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27.xml" ContentType="application/vnd.openxmlformats-officedocument.spreadsheetml.externalLink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34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41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externalLinks/externalLink139.xml" ContentType="application/vnd.openxmlformats-officedocument.spreadsheetml.externalLink+xml"/>
  <Override PartName="/xl/worksheets/sheet25.xml" ContentType="application/vnd.openxmlformats-officedocument.spreadsheetml.worksheet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89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8.xml" ContentType="application/vnd.openxmlformats-officedocument.spreadsheetml.externalLink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worksheets/sheet16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drawings/drawing1.xml" ContentType="application/vnd.openxmlformats-officedocument.drawing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90" yWindow="105" windowWidth="18750" windowHeight="12135" tabRatio="944" firstSheet="1" activeTab="2"/>
  </bookViews>
  <sheets>
    <sheet name="내역서 표지" sheetId="13" state="hidden" r:id="rId1"/>
    <sheet name="조정내역" sheetId="29" r:id="rId2"/>
    <sheet name="원가계산(계약심사)" sheetId="20" r:id="rId3"/>
    <sheet name="순공사비집계표" sheetId="21" r:id="rId4"/>
    <sheet name="공종별집계표" sheetId="8" r:id="rId5"/>
    <sheet name="공종별내역서" sheetId="7" r:id="rId6"/>
    <sheet name="일위대가목록" sheetId="6" r:id="rId7"/>
    <sheet name="일위대가" sheetId="5" r:id="rId8"/>
    <sheet name="단가대비표" sheetId="4" r:id="rId9"/>
    <sheet name="1층전시실산출" sheetId="15" r:id="rId10"/>
    <sheet name="2층전시실산출 " sheetId="16" r:id="rId11"/>
    <sheet name=" 공사설정 " sheetId="2" state="hidden" r:id="rId12"/>
    <sheet name="원가(진열장)" sheetId="28" r:id="rId13"/>
    <sheet name="진열장내역서" sheetId="27" r:id="rId14"/>
    <sheet name="진열장산출" sheetId="22" r:id="rId15"/>
    <sheet name="일위목록(진열장)" sheetId="23" r:id="rId16"/>
    <sheet name="일위대가 (진열장)" sheetId="24" r:id="rId17"/>
    <sheet name="단가대비표(진열장)" sheetId="25" r:id="rId18"/>
    <sheet name="노임(진열장)" sheetId="26" r:id="rId19"/>
    <sheet name="일위대가목록(기계)" sheetId="10" r:id="rId20"/>
    <sheet name="일위대가(기계)" sheetId="11" r:id="rId21"/>
    <sheet name="단가대비표(기계" sheetId="12" r:id="rId22"/>
    <sheet name="기계설비공사 산출" sheetId="18" r:id="rId23"/>
    <sheet name="기계설비 목록별산출" sheetId="19" r:id="rId24"/>
    <sheet name="대비표" sheetId="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</externalReferences>
  <definedNames>
    <definedName name="_" localSheetId="23">#N/A</definedName>
    <definedName name="_" localSheetId="22">#N/A</definedName>
    <definedName name="_" localSheetId="3">#REF!</definedName>
    <definedName name="_" localSheetId="2">#REF!</definedName>
    <definedName name="_">#REF!</definedName>
    <definedName name="__">#REF!</definedName>
    <definedName name="___">#REF!</definedName>
    <definedName name="____">#REF!</definedName>
    <definedName name="_____">#REF!</definedName>
    <definedName name="______">#REF!</definedName>
    <definedName name="_______A1" localSheetId="2">#REF!</definedName>
    <definedName name="_______A1">#REF!</definedName>
    <definedName name="_______mcv1" localSheetId="2">#REF!</definedName>
    <definedName name="_______mcv1">#REF!</definedName>
    <definedName name="_______mcv2" localSheetId="2">#REF!</definedName>
    <definedName name="_______mcv2">#REF!</definedName>
    <definedName name="_______mcv3" localSheetId="2">#REF!</definedName>
    <definedName name="_______mcv3">#REF!</definedName>
    <definedName name="_______mcv4" localSheetId="2">#REF!</definedName>
    <definedName name="_______mcv4">#REF!</definedName>
    <definedName name="_______mcv5" localSheetId="2">#REF!</definedName>
    <definedName name="_______mcv5">#REF!</definedName>
    <definedName name="_______mhw1" localSheetId="2">#REF!</definedName>
    <definedName name="_______mhw1">#REF!</definedName>
    <definedName name="_______mvw1" localSheetId="2">#REF!</definedName>
    <definedName name="_______mvw1">#REF!</definedName>
    <definedName name="_______pa1" localSheetId="2">#REF!</definedName>
    <definedName name="_______pa1">#REF!</definedName>
    <definedName name="_______pa2" localSheetId="2">#REF!</definedName>
    <definedName name="_______pa2">#REF!</definedName>
    <definedName name="_______pe22" localSheetId="2">#REF!</definedName>
    <definedName name="_______pe22">#REF!</definedName>
    <definedName name="_______RD1" localSheetId="2">#REF!</definedName>
    <definedName name="_______RD1">#REF!</definedName>
    <definedName name="_______RD2" localSheetId="2">#REF!</definedName>
    <definedName name="_______RD2">#REF!</definedName>
    <definedName name="_______RD3" localSheetId="2">#REF!</definedName>
    <definedName name="_______RD3">#REF!</definedName>
    <definedName name="_______RD4" localSheetId="2">#REF!</definedName>
    <definedName name="_______RD4">#REF!</definedName>
    <definedName name="_______RD5" localSheetId="2">#REF!</definedName>
    <definedName name="_______RD5">#REF!</definedName>
    <definedName name="_______RD6" localSheetId="2">#REF!</definedName>
    <definedName name="_______RD6">#REF!</definedName>
    <definedName name="_______RD7" localSheetId="2">#REF!</definedName>
    <definedName name="_______RD7">#REF!</definedName>
    <definedName name="_______RL1" localSheetId="2">#REF!</definedName>
    <definedName name="_______RL1">#REF!</definedName>
    <definedName name="_______RL2" localSheetId="2">#REF!</definedName>
    <definedName name="_______RL2">#REF!</definedName>
    <definedName name="_______RL3" localSheetId="2">#REF!</definedName>
    <definedName name="_______RL3">#REF!</definedName>
    <definedName name="_______RL4" localSheetId="2">#REF!</definedName>
    <definedName name="_______RL4">#REF!</definedName>
    <definedName name="_______RL5" localSheetId="2">#REF!</definedName>
    <definedName name="_______RL5">#REF!</definedName>
    <definedName name="_______RL6" localSheetId="2">#REF!</definedName>
    <definedName name="_______RL6">#REF!</definedName>
    <definedName name="_______RL7" localSheetId="2">#REF!</definedName>
    <definedName name="_______RL7">#REF!</definedName>
    <definedName name="_______s1" localSheetId="2">#REF!</definedName>
    <definedName name="_______s1">#REF!</definedName>
    <definedName name="_______sp1" localSheetId="2">#REF!</definedName>
    <definedName name="_______sp1">#REF!</definedName>
    <definedName name="_______sp2" localSheetId="2">#REF!</definedName>
    <definedName name="_______sp2">#REF!</definedName>
    <definedName name="_______sp3" localSheetId="2">#REF!</definedName>
    <definedName name="_______sp3">#REF!</definedName>
    <definedName name="_______SS1" localSheetId="2">#REF!</definedName>
    <definedName name="_______SS1">#REF!</definedName>
    <definedName name="_______SS2" localSheetId="2">#REF!</definedName>
    <definedName name="_______SS2">#REF!</definedName>
    <definedName name="_______TC1" localSheetId="2">#REF!</definedName>
    <definedName name="_______TC1">#REF!</definedName>
    <definedName name="_______TC2" localSheetId="2">#REF!</definedName>
    <definedName name="_______TC2">#REF!</definedName>
    <definedName name="_______tdl2" localSheetId="2">#REF!</definedName>
    <definedName name="_______tdl2">#REF!</definedName>
    <definedName name="_______teb1" localSheetId="2">#REF!</definedName>
    <definedName name="_______teb1">#REF!</definedName>
    <definedName name="_______teb2" localSheetId="2">#REF!</definedName>
    <definedName name="_______teb2">#REF!</definedName>
    <definedName name="_______teb3" localSheetId="2">#REF!</definedName>
    <definedName name="_______teb3">#REF!</definedName>
    <definedName name="_______Ted1" localSheetId="2">#REF!</definedName>
    <definedName name="_______Ted1">#REF!</definedName>
    <definedName name="_______tll2" localSheetId="2">#REF!</definedName>
    <definedName name="_______tll2">#REF!</definedName>
    <definedName name="_______tri11" localSheetId="2">#REF!</definedName>
    <definedName name="_______tri11">#REF!</definedName>
    <definedName name="_______tri12" localSheetId="2">#REF!</definedName>
    <definedName name="_______tri12">#REF!</definedName>
    <definedName name="_______tri13" localSheetId="2">#REF!</definedName>
    <definedName name="_______tri13">#REF!</definedName>
    <definedName name="_______tri14" localSheetId="2">#REF!</definedName>
    <definedName name="_______tri14">#REF!</definedName>
    <definedName name="_______tri15" localSheetId="2">#REF!</definedName>
    <definedName name="_______tri15">#REF!</definedName>
    <definedName name="_______tri22" localSheetId="2">#REF!</definedName>
    <definedName name="_______tri22">#REF!</definedName>
    <definedName name="_______tri23" localSheetId="2">#REF!</definedName>
    <definedName name="_______tri23">#REF!</definedName>
    <definedName name="_______tri24" localSheetId="2">#REF!</definedName>
    <definedName name="_______tri24">#REF!</definedName>
    <definedName name="_______tri25" localSheetId="2">#REF!</definedName>
    <definedName name="_______tri25">#REF!</definedName>
    <definedName name="_______tri32" localSheetId="2">#REF!</definedName>
    <definedName name="_______tri32">#REF!</definedName>
    <definedName name="_______tri33" localSheetId="2">#REF!</definedName>
    <definedName name="_______tri33">#REF!</definedName>
    <definedName name="_______tri34" localSheetId="2">#REF!</definedName>
    <definedName name="_______tri34">#REF!</definedName>
    <definedName name="_______tri35" localSheetId="2">#REF!</definedName>
    <definedName name="_______tri35">#REF!</definedName>
    <definedName name="_______tri42" localSheetId="2">#REF!</definedName>
    <definedName name="_______tri42">#REF!</definedName>
    <definedName name="_______tri43" localSheetId="2">#REF!</definedName>
    <definedName name="_______tri43">#REF!</definedName>
    <definedName name="_______tri44" localSheetId="2">#REF!</definedName>
    <definedName name="_______tri44">#REF!</definedName>
    <definedName name="_______tri45" localSheetId="2">#REF!</definedName>
    <definedName name="_______tri45">#REF!</definedName>
    <definedName name="_______Ts1" localSheetId="2">#REF!</definedName>
    <definedName name="_______Ts1">#REF!</definedName>
    <definedName name="_______TW1" localSheetId="2">#REF!</definedName>
    <definedName name="_______TW1">#REF!</definedName>
    <definedName name="_______TW2" localSheetId="2">#REF!</definedName>
    <definedName name="_______TW2">#REF!</definedName>
    <definedName name="_______vhw1" localSheetId="2">#REF!</definedName>
    <definedName name="_______vhw1">#REF!</definedName>
    <definedName name="_______vvw1" localSheetId="2">#REF!</definedName>
    <definedName name="_______vvw1">#REF!</definedName>
    <definedName name="_______WC1" localSheetId="2">#REF!</definedName>
    <definedName name="_______WC1">#REF!</definedName>
    <definedName name="_______wcv1" localSheetId="2">#REF!</definedName>
    <definedName name="_______wcv1">#REF!</definedName>
    <definedName name="_______wcv2" localSheetId="2">#REF!</definedName>
    <definedName name="_______wcv2">#REF!</definedName>
    <definedName name="_______wcv3" localSheetId="2">#REF!</definedName>
    <definedName name="_______wcv3">#REF!</definedName>
    <definedName name="_______wcv4" localSheetId="2">#REF!</definedName>
    <definedName name="_______wcv4">#REF!</definedName>
    <definedName name="_______wcv5" localSheetId="2">#REF!</definedName>
    <definedName name="_______wcv5">#REF!</definedName>
    <definedName name="_______XS1" localSheetId="2">#REF!</definedName>
    <definedName name="_______XS1">#REF!</definedName>
    <definedName name="_______XS2" localSheetId="2">#REF!</definedName>
    <definedName name="_______XS2">#REF!</definedName>
    <definedName name="_______zz1" localSheetId="2">#REF!</definedName>
    <definedName name="_______zz1">#REF!</definedName>
    <definedName name="_______zz2" localSheetId="2">#REF!</definedName>
    <definedName name="_______zz2">#REF!</definedName>
    <definedName name="_______zz3" localSheetId="2">#REF!</definedName>
    <definedName name="_______zz3">#REF!</definedName>
    <definedName name="______A1" localSheetId="2">#REF!</definedName>
    <definedName name="______A1">#REF!</definedName>
    <definedName name="______mcv1" localSheetId="2">#REF!</definedName>
    <definedName name="______mcv1">#REF!</definedName>
    <definedName name="______mcv2" localSheetId="2">#REF!</definedName>
    <definedName name="______mcv2">#REF!</definedName>
    <definedName name="______mcv3" localSheetId="2">#REF!</definedName>
    <definedName name="______mcv3">#REF!</definedName>
    <definedName name="______mcv4" localSheetId="2">#REF!</definedName>
    <definedName name="______mcv4">#REF!</definedName>
    <definedName name="______mcv5" localSheetId="2">#REF!</definedName>
    <definedName name="______mcv5">#REF!</definedName>
    <definedName name="______mhw1" localSheetId="2">#REF!</definedName>
    <definedName name="______mhw1">#REF!</definedName>
    <definedName name="______mvw1" localSheetId="2">#REF!</definedName>
    <definedName name="______mvw1">#REF!</definedName>
    <definedName name="______pa1" localSheetId="2">#REF!</definedName>
    <definedName name="______pa1">#REF!</definedName>
    <definedName name="______pa2" localSheetId="2">#REF!</definedName>
    <definedName name="______pa2">#REF!</definedName>
    <definedName name="______pe22" localSheetId="2">#REF!</definedName>
    <definedName name="______pe22">#REF!</definedName>
    <definedName name="______RD1" localSheetId="2">#REF!</definedName>
    <definedName name="______RD1">#REF!</definedName>
    <definedName name="______RD2" localSheetId="2">#REF!</definedName>
    <definedName name="______RD2">#REF!</definedName>
    <definedName name="______RD3" localSheetId="2">#REF!</definedName>
    <definedName name="______RD3">#REF!</definedName>
    <definedName name="______RD4" localSheetId="2">#REF!</definedName>
    <definedName name="______RD4">#REF!</definedName>
    <definedName name="______RD5" localSheetId="2">#REF!</definedName>
    <definedName name="______RD5">#REF!</definedName>
    <definedName name="______RD6" localSheetId="2">#REF!</definedName>
    <definedName name="______RD6">#REF!</definedName>
    <definedName name="______RD7" localSheetId="2">#REF!</definedName>
    <definedName name="______RD7">#REF!</definedName>
    <definedName name="______RL1" localSheetId="2">#REF!</definedName>
    <definedName name="______RL1">#REF!</definedName>
    <definedName name="______RL2" localSheetId="2">#REF!</definedName>
    <definedName name="______RL2">#REF!</definedName>
    <definedName name="______RL3" localSheetId="2">#REF!</definedName>
    <definedName name="______RL3">#REF!</definedName>
    <definedName name="______RL4" localSheetId="2">#REF!</definedName>
    <definedName name="______RL4">#REF!</definedName>
    <definedName name="______RL5" localSheetId="2">#REF!</definedName>
    <definedName name="______RL5">#REF!</definedName>
    <definedName name="______RL6" localSheetId="2">#REF!</definedName>
    <definedName name="______RL6">#REF!</definedName>
    <definedName name="______RL7" localSheetId="2">#REF!</definedName>
    <definedName name="______RL7">#REF!</definedName>
    <definedName name="______s1" localSheetId="2">#REF!</definedName>
    <definedName name="______s1">#REF!</definedName>
    <definedName name="______sp1" localSheetId="2">#REF!</definedName>
    <definedName name="______sp1">#REF!</definedName>
    <definedName name="______sp2" localSheetId="2">#REF!</definedName>
    <definedName name="______sp2">#REF!</definedName>
    <definedName name="______sp3" localSheetId="2">#REF!</definedName>
    <definedName name="______sp3">#REF!</definedName>
    <definedName name="______SS1" localSheetId="2">#REF!</definedName>
    <definedName name="______SS1">#REF!</definedName>
    <definedName name="______SS2" localSheetId="2">#REF!</definedName>
    <definedName name="______SS2">#REF!</definedName>
    <definedName name="______TC1" localSheetId="2">#REF!</definedName>
    <definedName name="______TC1">#REF!</definedName>
    <definedName name="______TC2" localSheetId="2">#REF!</definedName>
    <definedName name="______TC2">#REF!</definedName>
    <definedName name="______tdl2" localSheetId="2">#REF!</definedName>
    <definedName name="______tdl2">#REF!</definedName>
    <definedName name="______teb1" localSheetId="2">#REF!</definedName>
    <definedName name="______teb1">#REF!</definedName>
    <definedName name="______teb2" localSheetId="2">#REF!</definedName>
    <definedName name="______teb2">#REF!</definedName>
    <definedName name="______teb3" localSheetId="2">#REF!</definedName>
    <definedName name="______teb3">#REF!</definedName>
    <definedName name="______Ted1" localSheetId="2">#REF!</definedName>
    <definedName name="______Ted1">#REF!</definedName>
    <definedName name="______tll2" localSheetId="2">#REF!</definedName>
    <definedName name="______tll2">#REF!</definedName>
    <definedName name="______tri11" localSheetId="2">#REF!</definedName>
    <definedName name="______tri11">#REF!</definedName>
    <definedName name="______tri12" localSheetId="2">#REF!</definedName>
    <definedName name="______tri12">#REF!</definedName>
    <definedName name="______tri13" localSheetId="2">#REF!</definedName>
    <definedName name="______tri13">#REF!</definedName>
    <definedName name="______tri14" localSheetId="2">#REF!</definedName>
    <definedName name="______tri14">#REF!</definedName>
    <definedName name="______tri15" localSheetId="2">#REF!</definedName>
    <definedName name="______tri15">#REF!</definedName>
    <definedName name="______tri22" localSheetId="2">#REF!</definedName>
    <definedName name="______tri22">#REF!</definedName>
    <definedName name="______tri23" localSheetId="2">#REF!</definedName>
    <definedName name="______tri23">#REF!</definedName>
    <definedName name="______tri24" localSheetId="2">#REF!</definedName>
    <definedName name="______tri24">#REF!</definedName>
    <definedName name="______tri25" localSheetId="2">#REF!</definedName>
    <definedName name="______tri25">#REF!</definedName>
    <definedName name="______tri32" localSheetId="2">#REF!</definedName>
    <definedName name="______tri32">#REF!</definedName>
    <definedName name="______tri33" localSheetId="2">#REF!</definedName>
    <definedName name="______tri33">#REF!</definedName>
    <definedName name="______tri34" localSheetId="2">#REF!</definedName>
    <definedName name="______tri34">#REF!</definedName>
    <definedName name="______tri35" localSheetId="2">#REF!</definedName>
    <definedName name="______tri35">#REF!</definedName>
    <definedName name="______tri42" localSheetId="2">#REF!</definedName>
    <definedName name="______tri42">#REF!</definedName>
    <definedName name="______tri43" localSheetId="2">#REF!</definedName>
    <definedName name="______tri43">#REF!</definedName>
    <definedName name="______tri44" localSheetId="2">#REF!</definedName>
    <definedName name="______tri44">#REF!</definedName>
    <definedName name="______tri45" localSheetId="2">#REF!</definedName>
    <definedName name="______tri45">#REF!</definedName>
    <definedName name="______Ts1" localSheetId="2">#REF!</definedName>
    <definedName name="______Ts1">#REF!</definedName>
    <definedName name="______TW1" localSheetId="2">#REF!</definedName>
    <definedName name="______TW1">#REF!</definedName>
    <definedName name="______TW2" localSheetId="2">#REF!</definedName>
    <definedName name="______TW2">#REF!</definedName>
    <definedName name="______vhw1" localSheetId="2">#REF!</definedName>
    <definedName name="______vhw1">#REF!</definedName>
    <definedName name="______vvw1" localSheetId="2">#REF!</definedName>
    <definedName name="______vvw1">#REF!</definedName>
    <definedName name="______WC1" localSheetId="2">#REF!</definedName>
    <definedName name="______WC1">#REF!</definedName>
    <definedName name="______wcv1" localSheetId="2">#REF!</definedName>
    <definedName name="______wcv1">#REF!</definedName>
    <definedName name="______wcv2" localSheetId="2">#REF!</definedName>
    <definedName name="______wcv2">#REF!</definedName>
    <definedName name="______wcv3" localSheetId="2">#REF!</definedName>
    <definedName name="______wcv3">#REF!</definedName>
    <definedName name="______wcv4" localSheetId="2">#REF!</definedName>
    <definedName name="______wcv4">#REF!</definedName>
    <definedName name="______wcv5" localSheetId="2">#REF!</definedName>
    <definedName name="______wcv5">#REF!</definedName>
    <definedName name="______XS1" localSheetId="2">#REF!</definedName>
    <definedName name="______XS1">#REF!</definedName>
    <definedName name="______XS2" localSheetId="2">#REF!</definedName>
    <definedName name="______XS2">#REF!</definedName>
    <definedName name="______zz1" localSheetId="2">#REF!</definedName>
    <definedName name="______zz1">#REF!</definedName>
    <definedName name="______zz2" localSheetId="2">#REF!</definedName>
    <definedName name="______zz2">#REF!</definedName>
    <definedName name="______zz3" localSheetId="2">#REF!</definedName>
    <definedName name="______zz3">#REF!</definedName>
    <definedName name="_____A1" localSheetId="2">#REF!</definedName>
    <definedName name="_____A1">#REF!</definedName>
    <definedName name="_____mcv1" localSheetId="2">#REF!</definedName>
    <definedName name="_____mcv1">#REF!</definedName>
    <definedName name="_____mcv2" localSheetId="2">#REF!</definedName>
    <definedName name="_____mcv2">#REF!</definedName>
    <definedName name="_____mcv3" localSheetId="2">#REF!</definedName>
    <definedName name="_____mcv3">#REF!</definedName>
    <definedName name="_____mcv4" localSheetId="2">#REF!</definedName>
    <definedName name="_____mcv4">#REF!</definedName>
    <definedName name="_____mcv5" localSheetId="2">#REF!</definedName>
    <definedName name="_____mcv5">#REF!</definedName>
    <definedName name="_____mhw1" localSheetId="2">#REF!</definedName>
    <definedName name="_____mhw1">#REF!</definedName>
    <definedName name="_____mvw1" localSheetId="2">#REF!</definedName>
    <definedName name="_____mvw1">#REF!</definedName>
    <definedName name="_____pa1" localSheetId="2">#REF!</definedName>
    <definedName name="_____pa1">#REF!</definedName>
    <definedName name="_____pa2" localSheetId="2">#REF!</definedName>
    <definedName name="_____pa2">#REF!</definedName>
    <definedName name="_____pe22" localSheetId="2">#REF!</definedName>
    <definedName name="_____pe22">#REF!</definedName>
    <definedName name="_____RD1" localSheetId="2">#REF!</definedName>
    <definedName name="_____RD1">#REF!</definedName>
    <definedName name="_____RD2" localSheetId="2">#REF!</definedName>
    <definedName name="_____RD2">#REF!</definedName>
    <definedName name="_____RD3" localSheetId="2">#REF!</definedName>
    <definedName name="_____RD3">#REF!</definedName>
    <definedName name="_____RD4" localSheetId="2">#REF!</definedName>
    <definedName name="_____RD4">#REF!</definedName>
    <definedName name="_____RD5" localSheetId="2">#REF!</definedName>
    <definedName name="_____RD5">#REF!</definedName>
    <definedName name="_____RD6" localSheetId="2">#REF!</definedName>
    <definedName name="_____RD6">#REF!</definedName>
    <definedName name="_____RD7" localSheetId="2">#REF!</definedName>
    <definedName name="_____RD7">#REF!</definedName>
    <definedName name="_____RL1" localSheetId="2">#REF!</definedName>
    <definedName name="_____RL1">#REF!</definedName>
    <definedName name="_____RL2" localSheetId="2">#REF!</definedName>
    <definedName name="_____RL2">#REF!</definedName>
    <definedName name="_____RL3" localSheetId="2">#REF!</definedName>
    <definedName name="_____RL3">#REF!</definedName>
    <definedName name="_____RL4" localSheetId="2">#REF!</definedName>
    <definedName name="_____RL4">#REF!</definedName>
    <definedName name="_____RL5" localSheetId="2">#REF!</definedName>
    <definedName name="_____RL5">#REF!</definedName>
    <definedName name="_____RL6" localSheetId="2">#REF!</definedName>
    <definedName name="_____RL6">#REF!</definedName>
    <definedName name="_____RL7" localSheetId="2">#REF!</definedName>
    <definedName name="_____RL7">#REF!</definedName>
    <definedName name="_____s1" localSheetId="2">#REF!</definedName>
    <definedName name="_____s1">#REF!</definedName>
    <definedName name="_____sp1" localSheetId="2">#REF!</definedName>
    <definedName name="_____sp1">#REF!</definedName>
    <definedName name="_____sp2" localSheetId="2">#REF!</definedName>
    <definedName name="_____sp2">#REF!</definedName>
    <definedName name="_____sp3" localSheetId="2">#REF!</definedName>
    <definedName name="_____sp3">#REF!</definedName>
    <definedName name="_____SS1" localSheetId="2">#REF!</definedName>
    <definedName name="_____SS1">#REF!</definedName>
    <definedName name="_____SS2" localSheetId="2">#REF!</definedName>
    <definedName name="_____SS2">#REF!</definedName>
    <definedName name="_____TC1" localSheetId="2">#REF!</definedName>
    <definedName name="_____TC1">#REF!</definedName>
    <definedName name="_____TC2" localSheetId="2">#REF!</definedName>
    <definedName name="_____TC2">#REF!</definedName>
    <definedName name="_____tdl2" localSheetId="2">#REF!</definedName>
    <definedName name="_____tdl2">#REF!</definedName>
    <definedName name="_____teb1" localSheetId="2">#REF!</definedName>
    <definedName name="_____teb1">#REF!</definedName>
    <definedName name="_____teb2" localSheetId="2">#REF!</definedName>
    <definedName name="_____teb2">#REF!</definedName>
    <definedName name="_____teb3" localSheetId="2">#REF!</definedName>
    <definedName name="_____teb3">#REF!</definedName>
    <definedName name="_____Ted1" localSheetId="2">#REF!</definedName>
    <definedName name="_____Ted1">#REF!</definedName>
    <definedName name="_____tll2" localSheetId="2">#REF!</definedName>
    <definedName name="_____tll2">#REF!</definedName>
    <definedName name="_____tri11" localSheetId="2">#REF!</definedName>
    <definedName name="_____tri11">#REF!</definedName>
    <definedName name="_____tri12" localSheetId="2">#REF!</definedName>
    <definedName name="_____tri12">#REF!</definedName>
    <definedName name="_____tri13" localSheetId="2">#REF!</definedName>
    <definedName name="_____tri13">#REF!</definedName>
    <definedName name="_____tri14" localSheetId="2">#REF!</definedName>
    <definedName name="_____tri14">#REF!</definedName>
    <definedName name="_____tri15" localSheetId="2">#REF!</definedName>
    <definedName name="_____tri15">#REF!</definedName>
    <definedName name="_____tri22" localSheetId="2">#REF!</definedName>
    <definedName name="_____tri22">#REF!</definedName>
    <definedName name="_____tri23" localSheetId="2">#REF!</definedName>
    <definedName name="_____tri23">#REF!</definedName>
    <definedName name="_____tri24" localSheetId="2">#REF!</definedName>
    <definedName name="_____tri24">#REF!</definedName>
    <definedName name="_____tri25" localSheetId="2">#REF!</definedName>
    <definedName name="_____tri25">#REF!</definedName>
    <definedName name="_____tri32" localSheetId="2">#REF!</definedName>
    <definedName name="_____tri32">#REF!</definedName>
    <definedName name="_____tri33" localSheetId="2">#REF!</definedName>
    <definedName name="_____tri33">#REF!</definedName>
    <definedName name="_____tri34" localSheetId="2">#REF!</definedName>
    <definedName name="_____tri34">#REF!</definedName>
    <definedName name="_____tri35" localSheetId="2">#REF!</definedName>
    <definedName name="_____tri35">#REF!</definedName>
    <definedName name="_____tri42" localSheetId="2">#REF!</definedName>
    <definedName name="_____tri42">#REF!</definedName>
    <definedName name="_____tri43" localSheetId="2">#REF!</definedName>
    <definedName name="_____tri43">#REF!</definedName>
    <definedName name="_____tri44" localSheetId="2">#REF!</definedName>
    <definedName name="_____tri44">#REF!</definedName>
    <definedName name="_____tri45" localSheetId="2">#REF!</definedName>
    <definedName name="_____tri45">#REF!</definedName>
    <definedName name="_____Ts1" localSheetId="2">#REF!</definedName>
    <definedName name="_____Ts1">#REF!</definedName>
    <definedName name="_____TW1" localSheetId="2">#REF!</definedName>
    <definedName name="_____TW1">#REF!</definedName>
    <definedName name="_____TW2" localSheetId="2">#REF!</definedName>
    <definedName name="_____TW2">#REF!</definedName>
    <definedName name="_____vhw1" localSheetId="2">#REF!</definedName>
    <definedName name="_____vhw1">#REF!</definedName>
    <definedName name="_____vvw1" localSheetId="2">#REF!</definedName>
    <definedName name="_____vvw1">#REF!</definedName>
    <definedName name="_____WC1" localSheetId="2">#REF!</definedName>
    <definedName name="_____WC1">#REF!</definedName>
    <definedName name="_____wcv1" localSheetId="2">#REF!</definedName>
    <definedName name="_____wcv1">#REF!</definedName>
    <definedName name="_____wcv2" localSheetId="2">#REF!</definedName>
    <definedName name="_____wcv2">#REF!</definedName>
    <definedName name="_____wcv3" localSheetId="2">#REF!</definedName>
    <definedName name="_____wcv3">#REF!</definedName>
    <definedName name="_____wcv4" localSheetId="2">#REF!</definedName>
    <definedName name="_____wcv4">#REF!</definedName>
    <definedName name="_____wcv5" localSheetId="2">#REF!</definedName>
    <definedName name="_____wcv5">#REF!</definedName>
    <definedName name="_____XS1" localSheetId="2">#REF!</definedName>
    <definedName name="_____XS1">#REF!</definedName>
    <definedName name="_____XS2" localSheetId="2">#REF!</definedName>
    <definedName name="_____XS2">#REF!</definedName>
    <definedName name="_____zz1" localSheetId="2">#REF!</definedName>
    <definedName name="_____zz1">#REF!</definedName>
    <definedName name="_____zz2" localSheetId="2">#REF!</definedName>
    <definedName name="_____zz2">#REF!</definedName>
    <definedName name="_____zz3" localSheetId="2">#REF!</definedName>
    <definedName name="_____zz3">#REF!</definedName>
    <definedName name="____A1" localSheetId="2">#REF!</definedName>
    <definedName name="____A1">#REF!</definedName>
    <definedName name="____ee3" localSheetId="3">BlankMacro1</definedName>
    <definedName name="____ee3" localSheetId="2">BlankMacro1</definedName>
    <definedName name="____ee3">BlankMacro1</definedName>
    <definedName name="____mcv1" localSheetId="2">#REF!</definedName>
    <definedName name="____mcv1">#REF!</definedName>
    <definedName name="____mcv2" localSheetId="2">#REF!</definedName>
    <definedName name="____mcv2">#REF!</definedName>
    <definedName name="____mcv3" localSheetId="2">#REF!</definedName>
    <definedName name="____mcv3">#REF!</definedName>
    <definedName name="____mcv4" localSheetId="2">#REF!</definedName>
    <definedName name="____mcv4">#REF!</definedName>
    <definedName name="____mcv5" localSheetId="2">#REF!</definedName>
    <definedName name="____mcv5">#REF!</definedName>
    <definedName name="____mhw1" localSheetId="2">#REF!</definedName>
    <definedName name="____mhw1">#REF!</definedName>
    <definedName name="____mvw1" localSheetId="2">#REF!</definedName>
    <definedName name="____mvw1">#REF!</definedName>
    <definedName name="____pa1" localSheetId="2">#REF!</definedName>
    <definedName name="____pa1">#REF!</definedName>
    <definedName name="____pa2" localSheetId="2">#REF!</definedName>
    <definedName name="____pa2">#REF!</definedName>
    <definedName name="____pe22" localSheetId="2">#REF!</definedName>
    <definedName name="____pe22">#REF!</definedName>
    <definedName name="____RD1" localSheetId="2">#REF!</definedName>
    <definedName name="____RD1">#REF!</definedName>
    <definedName name="____RD2" localSheetId="2">#REF!</definedName>
    <definedName name="____RD2">#REF!</definedName>
    <definedName name="____RD3" localSheetId="2">#REF!</definedName>
    <definedName name="____RD3">#REF!</definedName>
    <definedName name="____RD4" localSheetId="2">#REF!</definedName>
    <definedName name="____RD4">#REF!</definedName>
    <definedName name="____RD5" localSheetId="2">#REF!</definedName>
    <definedName name="____RD5">#REF!</definedName>
    <definedName name="____RD6" localSheetId="2">#REF!</definedName>
    <definedName name="____RD6">#REF!</definedName>
    <definedName name="____RD7" localSheetId="2">#REF!</definedName>
    <definedName name="____RD7">#REF!</definedName>
    <definedName name="____RL1" localSheetId="2">#REF!</definedName>
    <definedName name="____RL1">#REF!</definedName>
    <definedName name="____RL2" localSheetId="2">#REF!</definedName>
    <definedName name="____RL2">#REF!</definedName>
    <definedName name="____RL3" localSheetId="2">#REF!</definedName>
    <definedName name="____RL3">#REF!</definedName>
    <definedName name="____RL4" localSheetId="2">#REF!</definedName>
    <definedName name="____RL4">#REF!</definedName>
    <definedName name="____RL5" localSheetId="2">#REF!</definedName>
    <definedName name="____RL5">#REF!</definedName>
    <definedName name="____RL6" localSheetId="2">#REF!</definedName>
    <definedName name="____RL6">#REF!</definedName>
    <definedName name="____RL7" localSheetId="2">#REF!</definedName>
    <definedName name="____RL7">#REF!</definedName>
    <definedName name="____s1" localSheetId="2">#REF!</definedName>
    <definedName name="____s1">#REF!</definedName>
    <definedName name="____sp1" localSheetId="2">#REF!</definedName>
    <definedName name="____sp1">#REF!</definedName>
    <definedName name="____sp2" localSheetId="2">#REF!</definedName>
    <definedName name="____sp2">#REF!</definedName>
    <definedName name="____sp3" localSheetId="2">#REF!</definedName>
    <definedName name="____sp3">#REF!</definedName>
    <definedName name="____SS1" localSheetId="2">#REF!</definedName>
    <definedName name="____SS1">#REF!</definedName>
    <definedName name="____SS2" localSheetId="2">#REF!</definedName>
    <definedName name="____SS2">#REF!</definedName>
    <definedName name="____TC1" localSheetId="2">#REF!</definedName>
    <definedName name="____TC1">#REF!</definedName>
    <definedName name="____TC2" localSheetId="2">#REF!</definedName>
    <definedName name="____TC2">#REF!</definedName>
    <definedName name="____tdl2" localSheetId="2">#REF!</definedName>
    <definedName name="____tdl2">#REF!</definedName>
    <definedName name="____teb1" localSheetId="2">#REF!</definedName>
    <definedName name="____teb1">#REF!</definedName>
    <definedName name="____teb2" localSheetId="2">#REF!</definedName>
    <definedName name="____teb2">#REF!</definedName>
    <definedName name="____teb3" localSheetId="2">#REF!</definedName>
    <definedName name="____teb3">#REF!</definedName>
    <definedName name="____Ted1" localSheetId="2">#REF!</definedName>
    <definedName name="____Ted1">#REF!</definedName>
    <definedName name="____tll2" localSheetId="2">#REF!</definedName>
    <definedName name="____tll2">#REF!</definedName>
    <definedName name="____tri11" localSheetId="2">#REF!</definedName>
    <definedName name="____tri11">#REF!</definedName>
    <definedName name="____tri12" localSheetId="2">#REF!</definedName>
    <definedName name="____tri12">#REF!</definedName>
    <definedName name="____tri13" localSheetId="2">#REF!</definedName>
    <definedName name="____tri13">#REF!</definedName>
    <definedName name="____tri14" localSheetId="2">#REF!</definedName>
    <definedName name="____tri14">#REF!</definedName>
    <definedName name="____tri15" localSheetId="2">#REF!</definedName>
    <definedName name="____tri15">#REF!</definedName>
    <definedName name="____tri22" localSheetId="2">#REF!</definedName>
    <definedName name="____tri22">#REF!</definedName>
    <definedName name="____tri23" localSheetId="2">#REF!</definedName>
    <definedName name="____tri23">#REF!</definedName>
    <definedName name="____tri24" localSheetId="2">#REF!</definedName>
    <definedName name="____tri24">#REF!</definedName>
    <definedName name="____tri25" localSheetId="2">#REF!</definedName>
    <definedName name="____tri25">#REF!</definedName>
    <definedName name="____tri32" localSheetId="2">#REF!</definedName>
    <definedName name="____tri32">#REF!</definedName>
    <definedName name="____tri33" localSheetId="2">#REF!</definedName>
    <definedName name="____tri33">#REF!</definedName>
    <definedName name="____tri34" localSheetId="2">#REF!</definedName>
    <definedName name="____tri34">#REF!</definedName>
    <definedName name="____tri35" localSheetId="2">#REF!</definedName>
    <definedName name="____tri35">#REF!</definedName>
    <definedName name="____tri42" localSheetId="2">#REF!</definedName>
    <definedName name="____tri42">#REF!</definedName>
    <definedName name="____tri43" localSheetId="2">#REF!</definedName>
    <definedName name="____tri43">#REF!</definedName>
    <definedName name="____tri44" localSheetId="2">#REF!</definedName>
    <definedName name="____tri44">#REF!</definedName>
    <definedName name="____tri45" localSheetId="2">#REF!</definedName>
    <definedName name="____tri45">#REF!</definedName>
    <definedName name="____Ts1" localSheetId="2">#REF!</definedName>
    <definedName name="____Ts1">#REF!</definedName>
    <definedName name="____TW1" localSheetId="2">#REF!</definedName>
    <definedName name="____TW1">#REF!</definedName>
    <definedName name="____TW2" localSheetId="2">#REF!</definedName>
    <definedName name="____TW2">#REF!</definedName>
    <definedName name="____vhw1" localSheetId="2">#REF!</definedName>
    <definedName name="____vhw1">#REF!</definedName>
    <definedName name="____vvw1" localSheetId="2">#REF!</definedName>
    <definedName name="____vvw1">#REF!</definedName>
    <definedName name="____WC1" localSheetId="2">#REF!</definedName>
    <definedName name="____WC1">#REF!</definedName>
    <definedName name="____wcv1" localSheetId="2">#REF!</definedName>
    <definedName name="____wcv1">#REF!</definedName>
    <definedName name="____wcv2" localSheetId="2">#REF!</definedName>
    <definedName name="____wcv2">#REF!</definedName>
    <definedName name="____wcv3" localSheetId="2">#REF!</definedName>
    <definedName name="____wcv3">#REF!</definedName>
    <definedName name="____wcv4" localSheetId="2">#REF!</definedName>
    <definedName name="____wcv4">#REF!</definedName>
    <definedName name="____wcv5" localSheetId="2">#REF!</definedName>
    <definedName name="____wcv5">#REF!</definedName>
    <definedName name="____XS1" localSheetId="2">#REF!</definedName>
    <definedName name="____XS1">#REF!</definedName>
    <definedName name="____XS2" localSheetId="2">#REF!</definedName>
    <definedName name="____XS2">#REF!</definedName>
    <definedName name="____zz1" localSheetId="2">#REF!</definedName>
    <definedName name="____zz1">#REF!</definedName>
    <definedName name="____zz2" localSheetId="2">#REF!</definedName>
    <definedName name="____zz2">#REF!</definedName>
    <definedName name="____zz3" localSheetId="2">#REF!</definedName>
    <definedName name="____zz3">#REF!</definedName>
    <definedName name="___A1" localSheetId="2">#REF!</definedName>
    <definedName name="___A1">#REF!</definedName>
    <definedName name="___ee3" localSheetId="3">BlankMacro1</definedName>
    <definedName name="___ee3" localSheetId="2">BlankMacro1</definedName>
    <definedName name="___ee3">BlankMacro1</definedName>
    <definedName name="___GHH1" localSheetId="2">#REF!</definedName>
    <definedName name="___GHH1">#REF!</definedName>
    <definedName name="___GHH2" localSheetId="2">#REF!</definedName>
    <definedName name="___GHH2">#REF!</definedName>
    <definedName name="___HSH1" localSheetId="2">#REF!</definedName>
    <definedName name="___HSH1">#REF!</definedName>
    <definedName name="___HSH2" localSheetId="2">#REF!</definedName>
    <definedName name="___HSH2">#REF!</definedName>
    <definedName name="___JEA1" localSheetId="2">#REF!</definedName>
    <definedName name="___JEA1">#REF!</definedName>
    <definedName name="___JEA2" localSheetId="2">#REF!</definedName>
    <definedName name="___JEA2">#REF!</definedName>
    <definedName name="___MaL1" localSheetId="2">#REF!</definedName>
    <definedName name="___MaL1">#REF!</definedName>
    <definedName name="___MaL2" localSheetId="2">#REF!</definedName>
    <definedName name="___MaL2">#REF!</definedName>
    <definedName name="___mcv1" localSheetId="2">#REF!</definedName>
    <definedName name="___mcv1">#REF!</definedName>
    <definedName name="___mcv2" localSheetId="2">#REF!</definedName>
    <definedName name="___mcv2">#REF!</definedName>
    <definedName name="___mcv3" localSheetId="2">#REF!</definedName>
    <definedName name="___mcv3">#REF!</definedName>
    <definedName name="___mcv4" localSheetId="2">#REF!</definedName>
    <definedName name="___mcv4">#REF!</definedName>
    <definedName name="___mcv5" localSheetId="2">#REF!</definedName>
    <definedName name="___mcv5">#REF!</definedName>
    <definedName name="___mhw1" localSheetId="2">#REF!</definedName>
    <definedName name="___mhw1">#REF!</definedName>
    <definedName name="___mvw1" localSheetId="2">#REF!</definedName>
    <definedName name="___mvw1">#REF!</definedName>
    <definedName name="___NP1" localSheetId="2">#REF!</definedName>
    <definedName name="___NP1">#REF!</definedName>
    <definedName name="___NP2" localSheetId="2">#REF!</definedName>
    <definedName name="___NP2">#REF!</definedName>
    <definedName name="___NSH1" localSheetId="2">#REF!</definedName>
    <definedName name="___NSH1">#REF!</definedName>
    <definedName name="___NSH2" localSheetId="2">#REF!</definedName>
    <definedName name="___NSH2">#REF!</definedName>
    <definedName name="___pa1" localSheetId="2">#REF!</definedName>
    <definedName name="___pa1">#REF!</definedName>
    <definedName name="___pa2" localSheetId="2">#REF!</definedName>
    <definedName name="___pa2">#REF!</definedName>
    <definedName name="___pe22" localSheetId="2">#REF!</definedName>
    <definedName name="___pe22">#REF!</definedName>
    <definedName name="___pl1" localSheetId="2">#REF!</definedName>
    <definedName name="___pl1">#REF!</definedName>
    <definedName name="___PL2" localSheetId="2">#REF!</definedName>
    <definedName name="___PL2">#REF!</definedName>
    <definedName name="___PL3" localSheetId="2">#REF!</definedName>
    <definedName name="___PL3">#REF!</definedName>
    <definedName name="___RD1" localSheetId="2">#REF!</definedName>
    <definedName name="___RD1">#REF!</definedName>
    <definedName name="___RD2" localSheetId="2">#REF!</definedName>
    <definedName name="___RD2">#REF!</definedName>
    <definedName name="___RD3" localSheetId="2">#REF!</definedName>
    <definedName name="___RD3">#REF!</definedName>
    <definedName name="___RD4" localSheetId="2">#REF!</definedName>
    <definedName name="___RD4">#REF!</definedName>
    <definedName name="___RD5" localSheetId="2">#REF!</definedName>
    <definedName name="___RD5">#REF!</definedName>
    <definedName name="___RD6" localSheetId="2">#REF!</definedName>
    <definedName name="___RD6">#REF!</definedName>
    <definedName name="___RD7" localSheetId="2">#REF!</definedName>
    <definedName name="___RD7">#REF!</definedName>
    <definedName name="___RL1" localSheetId="2">#REF!</definedName>
    <definedName name="___RL1">#REF!</definedName>
    <definedName name="___RL2" localSheetId="2">#REF!</definedName>
    <definedName name="___RL2">#REF!</definedName>
    <definedName name="___RL3" localSheetId="2">#REF!</definedName>
    <definedName name="___RL3">#REF!</definedName>
    <definedName name="___RL4" localSheetId="2">#REF!</definedName>
    <definedName name="___RL4">#REF!</definedName>
    <definedName name="___RL5" localSheetId="2">#REF!</definedName>
    <definedName name="___RL5">#REF!</definedName>
    <definedName name="___RL6" localSheetId="2">#REF!</definedName>
    <definedName name="___RL6">#REF!</definedName>
    <definedName name="___RL7" localSheetId="2">#REF!</definedName>
    <definedName name="___RL7">#REF!</definedName>
    <definedName name="___s1" localSheetId="2">#REF!</definedName>
    <definedName name="___s1">#REF!</definedName>
    <definedName name="___SBB1" localSheetId="2">#REF!</definedName>
    <definedName name="___SBB1">#REF!</definedName>
    <definedName name="___SBB2" localSheetId="2">#REF!</definedName>
    <definedName name="___SBB2">#REF!</definedName>
    <definedName name="___SBB3" localSheetId="2">#REF!</definedName>
    <definedName name="___SBB3">#REF!</definedName>
    <definedName name="___SBB4" localSheetId="2">#REF!</definedName>
    <definedName name="___SBB4">#REF!</definedName>
    <definedName name="___SBB5" localSheetId="2">#REF!</definedName>
    <definedName name="___SBB5">#REF!</definedName>
    <definedName name="___SHH1" localSheetId="2">#REF!</definedName>
    <definedName name="___SHH1">#REF!</definedName>
    <definedName name="___SHH2" localSheetId="2">#REF!</definedName>
    <definedName name="___SHH2">#REF!</definedName>
    <definedName name="___SHH3" localSheetId="2">#REF!</definedName>
    <definedName name="___SHH3">#REF!</definedName>
    <definedName name="___sp1" localSheetId="2">#REF!</definedName>
    <definedName name="___sp1">#REF!</definedName>
    <definedName name="___sp2" localSheetId="2">#REF!</definedName>
    <definedName name="___sp2">#REF!</definedName>
    <definedName name="___sp3" localSheetId="2">#REF!</definedName>
    <definedName name="___sp3">#REF!</definedName>
    <definedName name="___SS1" localSheetId="2">#REF!</definedName>
    <definedName name="___SS1">#REF!</definedName>
    <definedName name="___SS2" localSheetId="2">#REF!</definedName>
    <definedName name="___SS2">#REF!</definedName>
    <definedName name="___TC1" localSheetId="2">#REF!</definedName>
    <definedName name="___TC1">#REF!</definedName>
    <definedName name="___TC2" localSheetId="2">#REF!</definedName>
    <definedName name="___TC2">#REF!</definedName>
    <definedName name="___tdl2" localSheetId="2">#REF!</definedName>
    <definedName name="___tdl2">#REF!</definedName>
    <definedName name="___teb1" localSheetId="2">#REF!</definedName>
    <definedName name="___teb1">#REF!</definedName>
    <definedName name="___teb2" localSheetId="2">#REF!</definedName>
    <definedName name="___teb2">#REF!</definedName>
    <definedName name="___teb3" localSheetId="2">#REF!</definedName>
    <definedName name="___teb3">#REF!</definedName>
    <definedName name="___Ted1" localSheetId="2">#REF!</definedName>
    <definedName name="___Ted1">#REF!</definedName>
    <definedName name="___tll2" localSheetId="2">#REF!</definedName>
    <definedName name="___tll2">#REF!</definedName>
    <definedName name="___tri11" localSheetId="2">#REF!</definedName>
    <definedName name="___tri11">#REF!</definedName>
    <definedName name="___tri12" localSheetId="2">#REF!</definedName>
    <definedName name="___tri12">#REF!</definedName>
    <definedName name="___tri13" localSheetId="2">#REF!</definedName>
    <definedName name="___tri13">#REF!</definedName>
    <definedName name="___tri14" localSheetId="2">#REF!</definedName>
    <definedName name="___tri14">#REF!</definedName>
    <definedName name="___tri15" localSheetId="2">#REF!</definedName>
    <definedName name="___tri15">#REF!</definedName>
    <definedName name="___tri22" localSheetId="2">#REF!</definedName>
    <definedName name="___tri22">#REF!</definedName>
    <definedName name="___tri23" localSheetId="2">#REF!</definedName>
    <definedName name="___tri23">#REF!</definedName>
    <definedName name="___tri24" localSheetId="2">#REF!</definedName>
    <definedName name="___tri24">#REF!</definedName>
    <definedName name="___tri25" localSheetId="2">#REF!</definedName>
    <definedName name="___tri25">#REF!</definedName>
    <definedName name="___tri32" localSheetId="2">#REF!</definedName>
    <definedName name="___tri32">#REF!</definedName>
    <definedName name="___tri33" localSheetId="2">#REF!</definedName>
    <definedName name="___tri33">#REF!</definedName>
    <definedName name="___tri34" localSheetId="2">#REF!</definedName>
    <definedName name="___tri34">#REF!</definedName>
    <definedName name="___tri35" localSheetId="2">#REF!</definedName>
    <definedName name="___tri35">#REF!</definedName>
    <definedName name="___tri42" localSheetId="2">#REF!</definedName>
    <definedName name="___tri42">#REF!</definedName>
    <definedName name="___tri43" localSheetId="2">#REF!</definedName>
    <definedName name="___tri43">#REF!</definedName>
    <definedName name="___tri44" localSheetId="2">#REF!</definedName>
    <definedName name="___tri44">#REF!</definedName>
    <definedName name="___tri45" localSheetId="2">#REF!</definedName>
    <definedName name="___tri45">#REF!</definedName>
    <definedName name="___Ts1" localSheetId="2">#REF!</definedName>
    <definedName name="___Ts1">#REF!</definedName>
    <definedName name="___TW1" localSheetId="2">#REF!</definedName>
    <definedName name="___TW1">#REF!</definedName>
    <definedName name="___TW2" localSheetId="2">#REF!</definedName>
    <definedName name="___TW2">#REF!</definedName>
    <definedName name="___Ty1" localSheetId="2">#REF!</definedName>
    <definedName name="___Ty1">#REF!</definedName>
    <definedName name="___Ty2" localSheetId="2">#REF!</definedName>
    <definedName name="___Ty2">#REF!</definedName>
    <definedName name="___vhw1" localSheetId="2">#REF!</definedName>
    <definedName name="___vhw1">#REF!</definedName>
    <definedName name="___vvw1" localSheetId="2">#REF!</definedName>
    <definedName name="___vvw1">#REF!</definedName>
    <definedName name="___WC1" localSheetId="2">#REF!</definedName>
    <definedName name="___WC1">#REF!</definedName>
    <definedName name="___wcv1" localSheetId="2">#REF!</definedName>
    <definedName name="___wcv1">#REF!</definedName>
    <definedName name="___wcv2" localSheetId="2">#REF!</definedName>
    <definedName name="___wcv2">#REF!</definedName>
    <definedName name="___wcv3" localSheetId="2">#REF!</definedName>
    <definedName name="___wcv3">#REF!</definedName>
    <definedName name="___wcv4" localSheetId="2">#REF!</definedName>
    <definedName name="___wcv4">#REF!</definedName>
    <definedName name="___wcv5" localSheetId="2">#REF!</definedName>
    <definedName name="___wcv5">#REF!</definedName>
    <definedName name="___XS1" localSheetId="2">#REF!</definedName>
    <definedName name="___XS1">#REF!</definedName>
    <definedName name="___XS2" localSheetId="2">#REF!</definedName>
    <definedName name="___XS2">#REF!</definedName>
    <definedName name="___zz1" localSheetId="2">#REF!</definedName>
    <definedName name="___zz1">#REF!</definedName>
    <definedName name="___zz2" localSheetId="2">#REF!</definedName>
    <definedName name="___zz2">#REF!</definedName>
    <definedName name="___zz3" localSheetId="2">#REF!</definedName>
    <definedName name="___zz3">#REF!</definedName>
    <definedName name="__A1" localSheetId="2">#REF!</definedName>
    <definedName name="__A1">#REF!</definedName>
    <definedName name="__ee3" localSheetId="3">BlankMacro1</definedName>
    <definedName name="__ee3" localSheetId="2">BlankMacro1</definedName>
    <definedName name="__ee3">BlankMacro1</definedName>
    <definedName name="__GHH1" localSheetId="2">#REF!</definedName>
    <definedName name="__GHH1">#REF!</definedName>
    <definedName name="__GHH2" localSheetId="2">#REF!</definedName>
    <definedName name="__GHH2">#REF!</definedName>
    <definedName name="__HSH1" localSheetId="2">#REF!</definedName>
    <definedName name="__HSH1">#REF!</definedName>
    <definedName name="__HSH2" localSheetId="2">#REF!</definedName>
    <definedName name="__HSH2">#REF!</definedName>
    <definedName name="__JEA1" localSheetId="2">#REF!</definedName>
    <definedName name="__JEA1">#REF!</definedName>
    <definedName name="__JEA2" localSheetId="2">#REF!</definedName>
    <definedName name="__JEA2">#REF!</definedName>
    <definedName name="__MaL1" localSheetId="2">#REF!</definedName>
    <definedName name="__MaL1">#REF!</definedName>
    <definedName name="__MaL2" localSheetId="2">#REF!</definedName>
    <definedName name="__MaL2">#REF!</definedName>
    <definedName name="__mcv1" localSheetId="2">#REF!</definedName>
    <definedName name="__mcv1">#REF!</definedName>
    <definedName name="__mcv2" localSheetId="2">#REF!</definedName>
    <definedName name="__mcv2">#REF!</definedName>
    <definedName name="__mcv3" localSheetId="2">#REF!</definedName>
    <definedName name="__mcv3">#REF!</definedName>
    <definedName name="__mcv4" localSheetId="2">#REF!</definedName>
    <definedName name="__mcv4">#REF!</definedName>
    <definedName name="__mcv5" localSheetId="2">#REF!</definedName>
    <definedName name="__mcv5">#REF!</definedName>
    <definedName name="__mhw1" localSheetId="2">#REF!</definedName>
    <definedName name="__mhw1">#REF!</definedName>
    <definedName name="__mvw1" localSheetId="2">#REF!</definedName>
    <definedName name="__mvw1">#REF!</definedName>
    <definedName name="__NP1" localSheetId="2">#REF!</definedName>
    <definedName name="__NP1">#REF!</definedName>
    <definedName name="__NP2" localSheetId="2">#REF!</definedName>
    <definedName name="__NP2">#REF!</definedName>
    <definedName name="__NSH1" localSheetId="2">#REF!</definedName>
    <definedName name="__NSH1">#REF!</definedName>
    <definedName name="__NSH2" localSheetId="2">#REF!</definedName>
    <definedName name="__NSH2">#REF!</definedName>
    <definedName name="__pa1" localSheetId="2">#REF!</definedName>
    <definedName name="__pa1">#REF!</definedName>
    <definedName name="__pa2" localSheetId="2">#REF!</definedName>
    <definedName name="__pa2">#REF!</definedName>
    <definedName name="__pe22" localSheetId="2">#REF!</definedName>
    <definedName name="__pe22">#REF!</definedName>
    <definedName name="__pl1" localSheetId="2">#REF!</definedName>
    <definedName name="__pl1">#REF!</definedName>
    <definedName name="__PL2" localSheetId="2">#REF!</definedName>
    <definedName name="__PL2">#REF!</definedName>
    <definedName name="__PL3" localSheetId="2">#REF!</definedName>
    <definedName name="__PL3">#REF!</definedName>
    <definedName name="__RD1" localSheetId="2">#REF!</definedName>
    <definedName name="__RD1">#REF!</definedName>
    <definedName name="__RD2" localSheetId="2">#REF!</definedName>
    <definedName name="__RD2">#REF!</definedName>
    <definedName name="__RD3" localSheetId="2">#REF!</definedName>
    <definedName name="__RD3">#REF!</definedName>
    <definedName name="__RD4" localSheetId="2">#REF!</definedName>
    <definedName name="__RD4">#REF!</definedName>
    <definedName name="__RD5" localSheetId="2">#REF!</definedName>
    <definedName name="__RD5">#REF!</definedName>
    <definedName name="__RD6" localSheetId="2">#REF!</definedName>
    <definedName name="__RD6">#REF!</definedName>
    <definedName name="__RD7" localSheetId="2">#REF!</definedName>
    <definedName name="__RD7">#REF!</definedName>
    <definedName name="__RL1" localSheetId="2">#REF!</definedName>
    <definedName name="__RL1">#REF!</definedName>
    <definedName name="__RL2" localSheetId="2">#REF!</definedName>
    <definedName name="__RL2">#REF!</definedName>
    <definedName name="__RL3" localSheetId="2">#REF!</definedName>
    <definedName name="__RL3">#REF!</definedName>
    <definedName name="__RL4" localSheetId="2">#REF!</definedName>
    <definedName name="__RL4">#REF!</definedName>
    <definedName name="__RL5" localSheetId="2">#REF!</definedName>
    <definedName name="__RL5">#REF!</definedName>
    <definedName name="__RL6" localSheetId="2">#REF!</definedName>
    <definedName name="__RL6">#REF!</definedName>
    <definedName name="__RL7" localSheetId="2">#REF!</definedName>
    <definedName name="__RL7">#REF!</definedName>
    <definedName name="__RPT1">'[1]#REF'!$FB$5:$FB$5</definedName>
    <definedName name="__RPT2">'[1]#REF'!$FB$6:$FB$6</definedName>
    <definedName name="__s1" localSheetId="2">#REF!</definedName>
    <definedName name="__s1">#REF!</definedName>
    <definedName name="__SBB1" localSheetId="2">#REF!</definedName>
    <definedName name="__SBB1">#REF!</definedName>
    <definedName name="__SBB2" localSheetId="2">#REF!</definedName>
    <definedName name="__SBB2">#REF!</definedName>
    <definedName name="__SBB3" localSheetId="2">#REF!</definedName>
    <definedName name="__SBB3">#REF!</definedName>
    <definedName name="__SBB4" localSheetId="2">#REF!</definedName>
    <definedName name="__SBB4">#REF!</definedName>
    <definedName name="__SBB5" localSheetId="2">#REF!</definedName>
    <definedName name="__SBB5">#REF!</definedName>
    <definedName name="__SHH1" localSheetId="2">#REF!</definedName>
    <definedName name="__SHH1">#REF!</definedName>
    <definedName name="__SHH2" localSheetId="2">#REF!</definedName>
    <definedName name="__SHH2">#REF!</definedName>
    <definedName name="__SHH3" localSheetId="2">#REF!</definedName>
    <definedName name="__SHH3">#REF!</definedName>
    <definedName name="__sp1" localSheetId="2">#REF!</definedName>
    <definedName name="__sp1">#REF!</definedName>
    <definedName name="__sp2" localSheetId="2">#REF!</definedName>
    <definedName name="__sp2">#REF!</definedName>
    <definedName name="__sp3" localSheetId="2">#REF!</definedName>
    <definedName name="__sp3">#REF!</definedName>
    <definedName name="__SS1" localSheetId="2">#REF!</definedName>
    <definedName name="__SS1">#REF!</definedName>
    <definedName name="__SS2" localSheetId="2">#REF!</definedName>
    <definedName name="__SS2">#REF!</definedName>
    <definedName name="__TC1" localSheetId="2">#REF!</definedName>
    <definedName name="__TC1">#REF!</definedName>
    <definedName name="__TC2" localSheetId="2">#REF!</definedName>
    <definedName name="__TC2">#REF!</definedName>
    <definedName name="__tdl2" localSheetId="2">#REF!</definedName>
    <definedName name="__tdl2">#REF!</definedName>
    <definedName name="__teb1" localSheetId="2">#REF!</definedName>
    <definedName name="__teb1">#REF!</definedName>
    <definedName name="__teb2" localSheetId="2">#REF!</definedName>
    <definedName name="__teb2">#REF!</definedName>
    <definedName name="__teb3" localSheetId="2">#REF!</definedName>
    <definedName name="__teb3">#REF!</definedName>
    <definedName name="__Ted1" localSheetId="2">#REF!</definedName>
    <definedName name="__Ted1">#REF!</definedName>
    <definedName name="__tll2" localSheetId="2">#REF!</definedName>
    <definedName name="__tll2">#REF!</definedName>
    <definedName name="__tri11" localSheetId="2">#REF!</definedName>
    <definedName name="__tri11">#REF!</definedName>
    <definedName name="__tri12" localSheetId="2">#REF!</definedName>
    <definedName name="__tri12">#REF!</definedName>
    <definedName name="__tri13" localSheetId="2">#REF!</definedName>
    <definedName name="__tri13">#REF!</definedName>
    <definedName name="__tri14" localSheetId="2">#REF!</definedName>
    <definedName name="__tri14">#REF!</definedName>
    <definedName name="__tri15" localSheetId="2">#REF!</definedName>
    <definedName name="__tri15">#REF!</definedName>
    <definedName name="__tri22" localSheetId="2">#REF!</definedName>
    <definedName name="__tri22">#REF!</definedName>
    <definedName name="__tri23" localSheetId="2">#REF!</definedName>
    <definedName name="__tri23">#REF!</definedName>
    <definedName name="__tri24" localSheetId="2">#REF!</definedName>
    <definedName name="__tri24">#REF!</definedName>
    <definedName name="__tri25" localSheetId="2">#REF!</definedName>
    <definedName name="__tri25">#REF!</definedName>
    <definedName name="__tri32" localSheetId="2">#REF!</definedName>
    <definedName name="__tri32">#REF!</definedName>
    <definedName name="__tri33" localSheetId="2">#REF!</definedName>
    <definedName name="__tri33">#REF!</definedName>
    <definedName name="__tri34" localSheetId="2">#REF!</definedName>
    <definedName name="__tri34">#REF!</definedName>
    <definedName name="__tri35" localSheetId="2">#REF!</definedName>
    <definedName name="__tri35">#REF!</definedName>
    <definedName name="__tri42" localSheetId="2">#REF!</definedName>
    <definedName name="__tri42">#REF!</definedName>
    <definedName name="__tri43" localSheetId="2">#REF!</definedName>
    <definedName name="__tri43">#REF!</definedName>
    <definedName name="__tri44" localSheetId="2">#REF!</definedName>
    <definedName name="__tri44">#REF!</definedName>
    <definedName name="__tri45" localSheetId="2">#REF!</definedName>
    <definedName name="__tri45">#REF!</definedName>
    <definedName name="__Ts1" localSheetId="2">#REF!</definedName>
    <definedName name="__Ts1">#REF!</definedName>
    <definedName name="__TW1" localSheetId="2">#REF!</definedName>
    <definedName name="__TW1">#REF!</definedName>
    <definedName name="__TW2" localSheetId="2">#REF!</definedName>
    <definedName name="__TW2">#REF!</definedName>
    <definedName name="__Ty1" localSheetId="2">#REF!</definedName>
    <definedName name="__Ty1">#REF!</definedName>
    <definedName name="__Ty2" localSheetId="2">#REF!</definedName>
    <definedName name="__Ty2">#REF!</definedName>
    <definedName name="__vhw1" localSheetId="2">#REF!</definedName>
    <definedName name="__vhw1">#REF!</definedName>
    <definedName name="__vvw1" localSheetId="2">#REF!</definedName>
    <definedName name="__vvw1">#REF!</definedName>
    <definedName name="__WC1" localSheetId="2">#REF!</definedName>
    <definedName name="__WC1">#REF!</definedName>
    <definedName name="__wcv1" localSheetId="2">#REF!</definedName>
    <definedName name="__wcv1">#REF!</definedName>
    <definedName name="__wcv2" localSheetId="2">#REF!</definedName>
    <definedName name="__wcv2">#REF!</definedName>
    <definedName name="__wcv3" localSheetId="2">#REF!</definedName>
    <definedName name="__wcv3">#REF!</definedName>
    <definedName name="__wcv4" localSheetId="2">#REF!</definedName>
    <definedName name="__wcv4">#REF!</definedName>
    <definedName name="__wcv5" localSheetId="2">#REF!</definedName>
    <definedName name="__wcv5">#REF!</definedName>
    <definedName name="__XS1" localSheetId="2">#REF!</definedName>
    <definedName name="__XS1">#REF!</definedName>
    <definedName name="__XS2" localSheetId="2">#REF!</definedName>
    <definedName name="__XS2">#REF!</definedName>
    <definedName name="__zz1" localSheetId="2">#REF!</definedName>
    <definedName name="__zz1">#REF!</definedName>
    <definedName name="__zz2" localSheetId="2">#REF!</definedName>
    <definedName name="__zz2">#REF!</definedName>
    <definedName name="__zz3" localSheetId="2">#REF!</definedName>
    <definedName name="__zz3">#REF!</definedName>
    <definedName name="_1__________________________________________________________3__Crite" localSheetId="2">#REF!</definedName>
    <definedName name="_1__________________________________________________________3__Crite">#REF!</definedName>
    <definedName name="_1_______________________________________________________3__Crite" localSheetId="2">#REF!</definedName>
    <definedName name="_1_______________________________________________________3__Crite">#REF!</definedName>
    <definedName name="_10________________________________________________________3__Criteria" localSheetId="2">#REF!</definedName>
    <definedName name="_10________________________________________________________3__Criteria">#REF!</definedName>
    <definedName name="_10_____________________________________________________3__Criteria" localSheetId="2">#REF!</definedName>
    <definedName name="_10_____________________________________________________3__Criteria">#REF!</definedName>
    <definedName name="_11________________________________________________________G__Extr" localSheetId="2">#REF!</definedName>
    <definedName name="_11________________________________________________________G__Extr">#REF!</definedName>
    <definedName name="_11_____________________________________________________G__Extr" localSheetId="2">#REF!</definedName>
    <definedName name="_11_____________________________________________________G__Extr">#REF!</definedName>
    <definedName name="_12________________________________________________________G__Extract" localSheetId="2">#REF!</definedName>
    <definedName name="_12________________________________________________________G__Extract">#REF!</definedName>
    <definedName name="_12_____________________________________________________G__Extract" localSheetId="2">#REF!</definedName>
    <definedName name="_12_____________________________________________________G__Extract">#REF!</definedName>
    <definedName name="_15ee3_" localSheetId="3">BlankMacro1</definedName>
    <definedName name="_15ee3_" localSheetId="2">BlankMacro1</definedName>
    <definedName name="_15ee3_">BlankMacro1</definedName>
    <definedName name="_2.55_0.5_2___0.25_1.52_2" localSheetId="9">#REF!</definedName>
    <definedName name="_2.55_0.5_2___0.25_1.52_2" localSheetId="10">#REF!</definedName>
    <definedName name="_2.55_0.5_2___0.25_1.52_2">#REF!</definedName>
    <definedName name="_2_">#REF!</definedName>
    <definedName name="_2__________________________________________________________3__Criteria" localSheetId="2">#REF!</definedName>
    <definedName name="_2__________________________________________________________3__Criteria">#REF!</definedName>
    <definedName name="_2_______________________________________________________3__Criteria" localSheetId="2">#REF!</definedName>
    <definedName name="_2_______________________________________________________3__Criteria">#REF!</definedName>
    <definedName name="_3__________________________________________________________G__Extr" localSheetId="2">#REF!</definedName>
    <definedName name="_3__________________________________________________________G__Extr">#REF!</definedName>
    <definedName name="_3_______________________________________________________G__Extr" localSheetId="2">#REF!</definedName>
    <definedName name="_3_______________________________________________________G__Extr">#REF!</definedName>
    <definedName name="_30신설일위대가">'[2]30신설일위대가'!$A$4:$M$1603</definedName>
    <definedName name="_4__________________________________________________________G__Extract" localSheetId="2">#REF!</definedName>
    <definedName name="_4__________________________________________________________G__Extract">#REF!</definedName>
    <definedName name="_4_______________________________________________________G__Extract" localSheetId="2">#REF!</definedName>
    <definedName name="_4_______________________________________________________G__Extract">#REF!</definedName>
    <definedName name="_40총괄">'[3]40총괄'!$A$4:$O$76</definedName>
    <definedName name="_5_________________________________________________________3__Crite" localSheetId="2">#REF!</definedName>
    <definedName name="_5_________________________________________________________3__Crite">#REF!</definedName>
    <definedName name="_5______________________________________________________3__Crite" localSheetId="2">#REF!</definedName>
    <definedName name="_5______________________________________________________3__Crite">#REF!</definedName>
    <definedName name="_6_________________________________________________________3__Criteria" localSheetId="2">#REF!</definedName>
    <definedName name="_6_________________________________________________________3__Criteria">#REF!</definedName>
    <definedName name="_6______________________________________________________3__Criteria" localSheetId="2">#REF!</definedName>
    <definedName name="_6______________________________________________________3__Criteria">#REF!</definedName>
    <definedName name="_7_________________________________________________________G__Extr" localSheetId="2">#REF!</definedName>
    <definedName name="_7_________________________________________________________G__Extr">#REF!</definedName>
    <definedName name="_7______________________________________________________G__Extr" localSheetId="2">#REF!</definedName>
    <definedName name="_7______________________________________________________G__Extr">#REF!</definedName>
    <definedName name="_7_15_17_13.5_13.5">'[4]산출2-기기동력'!#REF!</definedName>
    <definedName name="_8_________________________________________________________G__Extract" localSheetId="2">#REF!</definedName>
    <definedName name="_8_________________________________________________________G__Extract">#REF!</definedName>
    <definedName name="_8______________________________________________________G__Extract" localSheetId="2">#REF!</definedName>
    <definedName name="_8______________________________________________________G__Extract">#REF!</definedName>
    <definedName name="_9________________________________________________________3__Crite" localSheetId="2">#REF!</definedName>
    <definedName name="_9________________________________________________________3__Crite">#REF!</definedName>
    <definedName name="_9_____________________________________________________3__Crite" localSheetId="2">#REF!</definedName>
    <definedName name="_9_____________________________________________________3__Crite">#REF!</definedName>
    <definedName name="_A" localSheetId="2">#REF!</definedName>
    <definedName name="_A">#REF!</definedName>
    <definedName name="_A1" localSheetId="2">#REF!</definedName>
    <definedName name="_A1">#REF!</definedName>
    <definedName name="_B1">#REF!</definedName>
    <definedName name="_B22">[5]일위대가!$1400:$1413=[5]일위대가!$A$1400</definedName>
    <definedName name="_CAL2291">[6]선로정수계산!$A$374:$R$382</definedName>
    <definedName name="_CAL2292">[6]선로정수계산!$A$402:$R$410</definedName>
    <definedName name="_CAL2293">[6]선로정수계산!$A$430:$R$438</definedName>
    <definedName name="_CAL331">[6]선로정수계산!$A$122:$R$136</definedName>
    <definedName name="_CAL332">[6]선로정수계산!$A$150:$R$164</definedName>
    <definedName name="_CAL333">[6]선로정수계산!$A$178:$R$192</definedName>
    <definedName name="_CAL3333">[6]선로정수계산!$A$206:$R$215</definedName>
    <definedName name="_CAL601">[6]선로정수계산!$A$10:$R$27</definedName>
    <definedName name="_CAL602">[6]선로정수계산!$A$38:$R$55</definedName>
    <definedName name="_CAL603">[6]선로정수계산!$A$66:$R$83</definedName>
    <definedName name="_CAL6033">[6]선로정수계산!$A$94:$R$106</definedName>
    <definedName name="_CAL661">[6]선로정수계산!$A$234:$R$248</definedName>
    <definedName name="_CAL662">[6]선로정수계산!$A$262:$R$276</definedName>
    <definedName name="_CAL663">[6]선로정수계산!$A$290:$R$304</definedName>
    <definedName name="_CAL6633">[6]선로정수계산!$A$318:$R$327</definedName>
    <definedName name="_Dist_Bin" hidden="1">#REF!</definedName>
    <definedName name="_Dist_Values" hidden="1">#REF!</definedName>
    <definedName name="_ee3" localSheetId="3">BlankMacro1</definedName>
    <definedName name="_ee3" localSheetId="2">BlankMacro1</definedName>
    <definedName name="_ee3">BlankMacro1</definedName>
    <definedName name="_F1">'[7]9GNG운반'!#REF!</definedName>
    <definedName name="_F2">'[7]9GNG운반'!#REF!</definedName>
    <definedName name="_F3">'[7]9GNG운반'!#REF!</definedName>
    <definedName name="_Fill" localSheetId="23" hidden="1">#REF!</definedName>
    <definedName name="_Fill" localSheetId="22" hidden="1">#REF!</definedName>
    <definedName name="_Fill" localSheetId="3" hidden="1">#REF!</definedName>
    <definedName name="_Fill" localSheetId="2" hidden="1">#REF!</definedName>
    <definedName name="_Fill" hidden="1">#REF!</definedName>
    <definedName name="_xlnm._FilterDatabase" localSheetId="2" hidden="1">#REF!</definedName>
    <definedName name="_xlnm._FilterDatabase" hidden="1">#REF!</definedName>
    <definedName name="_GHH1" localSheetId="2">#REF!</definedName>
    <definedName name="_GHH1">#REF!</definedName>
    <definedName name="_GHH2" localSheetId="2">#REF!</definedName>
    <definedName name="_GHH2">#REF!</definedName>
    <definedName name="_HSH1" localSheetId="2">#REF!</definedName>
    <definedName name="_HSH1">#REF!</definedName>
    <definedName name="_HSH2" localSheetId="2">#REF!</definedName>
    <definedName name="_HSH2">#REF!</definedName>
    <definedName name="_JEA1" localSheetId="2">#REF!</definedName>
    <definedName name="_JEA1">#REF!</definedName>
    <definedName name="_JEA2" localSheetId="2">#REF!</definedName>
    <definedName name="_JEA2">#REF!</definedName>
    <definedName name="_K">#N/A</definedName>
    <definedName name="_K02">[5]일위대가!$732:$745=[5]일위대가!$A$732</definedName>
    <definedName name="_Key1" localSheetId="23" hidden="1">#REF!</definedName>
    <definedName name="_Key1" localSheetId="22" hidden="1">#REF!</definedName>
    <definedName name="_Key1" hidden="1">#REF!</definedName>
    <definedName name="_Key2" localSheetId="23" hidden="1">#REF!</definedName>
    <definedName name="_Key2" localSheetId="22" hidden="1">#REF!</definedName>
    <definedName name="_Key2" hidden="1">#REF!</definedName>
    <definedName name="_kfkf" localSheetId="2" hidden="1">#REF!</definedName>
    <definedName name="_kfkf" hidden="1">#REF!</definedName>
    <definedName name="_MaL1" localSheetId="2">#REF!</definedName>
    <definedName name="_MaL1">#REF!</definedName>
    <definedName name="_MaL2" localSheetId="2">#REF!</definedName>
    <definedName name="_MaL2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cv1" localSheetId="2">#REF!</definedName>
    <definedName name="_mcv1">#REF!</definedName>
    <definedName name="_mcv2" localSheetId="2">#REF!</definedName>
    <definedName name="_mcv2">#REF!</definedName>
    <definedName name="_mcv3" localSheetId="2">#REF!</definedName>
    <definedName name="_mcv3">#REF!</definedName>
    <definedName name="_mcv4" localSheetId="2">#REF!</definedName>
    <definedName name="_mcv4">#REF!</definedName>
    <definedName name="_mcv5" localSheetId="2">#REF!</definedName>
    <definedName name="_mcv5">#REF!</definedName>
    <definedName name="_mhw1" localSheetId="2">#REF!</definedName>
    <definedName name="_mhw1">#REF!</definedName>
    <definedName name="_mvw1" localSheetId="2">#REF!</definedName>
    <definedName name="_mvw1">#REF!</definedName>
    <definedName name="_NMB96">#REF!</definedName>
    <definedName name="_NP1" localSheetId="2">#REF!</definedName>
    <definedName name="_NP1">#REF!</definedName>
    <definedName name="_NP2" localSheetId="2">#REF!</definedName>
    <definedName name="_NP2">#REF!</definedName>
    <definedName name="_NSH1" localSheetId="2">#REF!</definedName>
    <definedName name="_NSH1">#REF!</definedName>
    <definedName name="_NSH2" localSheetId="2">#REF!</definedName>
    <definedName name="_NSH2">#REF!</definedName>
    <definedName name="_O03">[5]일위대가!$1516:$1529=[5]일위대가!$A$1516</definedName>
    <definedName name="_Order1" hidden="1">255</definedName>
    <definedName name="_Order2" hidden="1">255</definedName>
    <definedName name="_pa1" localSheetId="2">#REF!</definedName>
    <definedName name="_pa1">#REF!</definedName>
    <definedName name="_pa2" localSheetId="2">#REF!</definedName>
    <definedName name="_pa2">#REF!</definedName>
    <definedName name="_Parse_Out" hidden="1">[8]갑지!#REF!</definedName>
    <definedName name="_PE1">[9]종합기별!$Y$10</definedName>
    <definedName name="_PE2">[9]종합기별!$Y$13</definedName>
    <definedName name="_pe22" localSheetId="2">#REF!</definedName>
    <definedName name="_pe22">#REF!</definedName>
    <definedName name="_PE3">[9]종합기별!$Y$16</definedName>
    <definedName name="_PE4">[9]종합기별!$Y$19</definedName>
    <definedName name="_pl1" localSheetId="2">#REF!</definedName>
    <definedName name="_pl1">#REF!</definedName>
    <definedName name="_PL2" localSheetId="2">#REF!</definedName>
    <definedName name="_PL2">#REF!</definedName>
    <definedName name="_PL3" localSheetId="2">#REF!</definedName>
    <definedName name="_PL3">#REF!</definedName>
    <definedName name="_RD1" localSheetId="2">#REF!</definedName>
    <definedName name="_RD1">#REF!</definedName>
    <definedName name="_RD2" localSheetId="2">#REF!</definedName>
    <definedName name="_RD2">#REF!</definedName>
    <definedName name="_RD3" localSheetId="2">#REF!</definedName>
    <definedName name="_RD3">#REF!</definedName>
    <definedName name="_RD4" localSheetId="2">#REF!</definedName>
    <definedName name="_RD4">#REF!</definedName>
    <definedName name="_RD5" localSheetId="2">#REF!</definedName>
    <definedName name="_RD5">#REF!</definedName>
    <definedName name="_RD6" localSheetId="2">#REF!</definedName>
    <definedName name="_RD6">#REF!</definedName>
    <definedName name="_RD7" localSheetId="2">#REF!</definedName>
    <definedName name="_RD7">#REF!</definedName>
    <definedName name="_Regression_Int" hidden="1">1</definedName>
    <definedName name="_RL1" localSheetId="2">#REF!</definedName>
    <definedName name="_RL1">#REF!</definedName>
    <definedName name="_RL2" localSheetId="2">#REF!</definedName>
    <definedName name="_RL2">#REF!</definedName>
    <definedName name="_RL3" localSheetId="2">#REF!</definedName>
    <definedName name="_RL3">#REF!</definedName>
    <definedName name="_RL4" localSheetId="2">#REF!</definedName>
    <definedName name="_RL4">#REF!</definedName>
    <definedName name="_RL5" localSheetId="2">#REF!</definedName>
    <definedName name="_RL5">#REF!</definedName>
    <definedName name="_RL6" localSheetId="2">#REF!</definedName>
    <definedName name="_RL6">#REF!</definedName>
    <definedName name="_RL7" localSheetId="2">#REF!</definedName>
    <definedName name="_RL7">#REF!</definedName>
    <definedName name="_RPT1">'[1]#REF'!$FB$5:$FB$5</definedName>
    <definedName name="_RPT2">'[1]#REF'!$FB$6:$FB$6</definedName>
    <definedName name="_s1" localSheetId="2">#REF!</definedName>
    <definedName name="_s1">#REF!</definedName>
    <definedName name="_SBB1" localSheetId="2">#REF!</definedName>
    <definedName name="_SBB1">#REF!</definedName>
    <definedName name="_SBB2" localSheetId="2">#REF!</definedName>
    <definedName name="_SBB2">#REF!</definedName>
    <definedName name="_SBB3" localSheetId="2">#REF!</definedName>
    <definedName name="_SBB3">#REF!</definedName>
    <definedName name="_SBB4" localSheetId="2">#REF!</definedName>
    <definedName name="_SBB4">#REF!</definedName>
    <definedName name="_SBB5" localSheetId="2">#REF!</definedName>
    <definedName name="_SBB5">#REF!</definedName>
    <definedName name="_SHH1" localSheetId="2">#REF!</definedName>
    <definedName name="_SHH1">#REF!</definedName>
    <definedName name="_SHH2" localSheetId="2">#REF!</definedName>
    <definedName name="_SHH2">#REF!</definedName>
    <definedName name="_SHH3" localSheetId="2">#REF!</definedName>
    <definedName name="_SHH3">#REF!</definedName>
    <definedName name="_Sort" localSheetId="23" hidden="1">#REF!</definedName>
    <definedName name="_Sort" localSheetId="22" hidden="1">#REF!</definedName>
    <definedName name="_Sort" hidden="1">#REF!</definedName>
    <definedName name="_Sortt" hidden="1">#REF!</definedName>
    <definedName name="_sp1" localSheetId="2">#REF!</definedName>
    <definedName name="_sp1">#REF!</definedName>
    <definedName name="_sp2" localSheetId="2">#REF!</definedName>
    <definedName name="_sp2">#REF!</definedName>
    <definedName name="_sp3" localSheetId="2">#REF!</definedName>
    <definedName name="_sp3">#REF!</definedName>
    <definedName name="_SS1" localSheetId="2">#REF!</definedName>
    <definedName name="_SS1">#REF!</definedName>
    <definedName name="_SS2" localSheetId="2">#REF!</definedName>
    <definedName name="_SS2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M1">[10]EP0618!#REF!</definedName>
    <definedName name="_SUM10">[10]EP0618!#REF!</definedName>
    <definedName name="_SUM11">[10]EP0618!#REF!</definedName>
    <definedName name="_SUM12">[10]EP0618!#REF!</definedName>
    <definedName name="_SUM13">[10]EP0618!#REF!</definedName>
    <definedName name="_SUM14">[10]EP0618!#REF!</definedName>
    <definedName name="_SUM15">[10]EP0618!#REF!</definedName>
    <definedName name="_SUM16">[10]EP0618!#REF!</definedName>
    <definedName name="_SUM17">[10]EP0618!#REF!</definedName>
    <definedName name="_SUM18">[10]EP0618!#REF!</definedName>
    <definedName name="_SUM19">[10]EP0618!#REF!</definedName>
    <definedName name="_SUM2">[10]EP0618!#REF!</definedName>
    <definedName name="_SUM3">[10]EP0618!#REF!</definedName>
    <definedName name="_SUM4">[10]EP0618!#REF!</definedName>
    <definedName name="_SUM5">[10]EP0618!#REF!</definedName>
    <definedName name="_SUM6">[10]EP0618!#REF!</definedName>
    <definedName name="_SUM7">[10]EP0618!#REF!</definedName>
    <definedName name="_SUM8">[10]EP0618!#REF!</definedName>
    <definedName name="_SUM9">[10]EP0618!#REF!</definedName>
    <definedName name="_Table1_In1" hidden="1">#REF!</definedName>
    <definedName name="_Table1_Out" hidden="1">#REF!</definedName>
    <definedName name="_TC1" localSheetId="2">#REF!</definedName>
    <definedName name="_TC1">#REF!</definedName>
    <definedName name="_TC2" localSheetId="2">#REF!</definedName>
    <definedName name="_TC2">#REF!</definedName>
    <definedName name="_tdl2" localSheetId="2">#REF!</definedName>
    <definedName name="_tdl2">#REF!</definedName>
    <definedName name="_teb1" localSheetId="2">#REF!</definedName>
    <definedName name="_teb1">#REF!</definedName>
    <definedName name="_teb2" localSheetId="2">#REF!</definedName>
    <definedName name="_teb2">#REF!</definedName>
    <definedName name="_teb3" localSheetId="2">#REF!</definedName>
    <definedName name="_teb3">#REF!</definedName>
    <definedName name="_Ted1" localSheetId="2">#REF!</definedName>
    <definedName name="_Ted1">#REF!</definedName>
    <definedName name="_tll2" localSheetId="2">#REF!</definedName>
    <definedName name="_tll2">#REF!</definedName>
    <definedName name="_tri11" localSheetId="2">#REF!</definedName>
    <definedName name="_tri11">#REF!</definedName>
    <definedName name="_tri12" localSheetId="2">#REF!</definedName>
    <definedName name="_tri12">#REF!</definedName>
    <definedName name="_tri13" localSheetId="2">#REF!</definedName>
    <definedName name="_tri13">#REF!</definedName>
    <definedName name="_tri14" localSheetId="2">#REF!</definedName>
    <definedName name="_tri14">#REF!</definedName>
    <definedName name="_tri15" localSheetId="2">#REF!</definedName>
    <definedName name="_tri15">#REF!</definedName>
    <definedName name="_tri22" localSheetId="2">#REF!</definedName>
    <definedName name="_tri22">#REF!</definedName>
    <definedName name="_tri23" localSheetId="2">#REF!</definedName>
    <definedName name="_tri23">#REF!</definedName>
    <definedName name="_tri24" localSheetId="2">#REF!</definedName>
    <definedName name="_tri24">#REF!</definedName>
    <definedName name="_tri25" localSheetId="2">#REF!</definedName>
    <definedName name="_tri25">#REF!</definedName>
    <definedName name="_tri32" localSheetId="2">#REF!</definedName>
    <definedName name="_tri32">#REF!</definedName>
    <definedName name="_tri33" localSheetId="2">#REF!</definedName>
    <definedName name="_tri33">#REF!</definedName>
    <definedName name="_tri34" localSheetId="2">#REF!</definedName>
    <definedName name="_tri34">#REF!</definedName>
    <definedName name="_tri35" localSheetId="2">#REF!</definedName>
    <definedName name="_tri35">#REF!</definedName>
    <definedName name="_tri42" localSheetId="2">#REF!</definedName>
    <definedName name="_tri42">#REF!</definedName>
    <definedName name="_tri43" localSheetId="2">#REF!</definedName>
    <definedName name="_tri43">#REF!</definedName>
    <definedName name="_tri44" localSheetId="2">#REF!</definedName>
    <definedName name="_tri44">#REF!</definedName>
    <definedName name="_tri45" localSheetId="2">#REF!</definedName>
    <definedName name="_tri45">#REF!</definedName>
    <definedName name="_Ts1" localSheetId="2">#REF!</definedName>
    <definedName name="_Ts1">#REF!</definedName>
    <definedName name="_TW1" localSheetId="2">#REF!</definedName>
    <definedName name="_TW1">#REF!</definedName>
    <definedName name="_TW2" localSheetId="2">#REF!</definedName>
    <definedName name="_TW2">#REF!</definedName>
    <definedName name="_Ty1" localSheetId="2">#REF!</definedName>
    <definedName name="_Ty1">#REF!</definedName>
    <definedName name="_Ty2" localSheetId="2">#REF!</definedName>
    <definedName name="_Ty2">#REF!</definedName>
    <definedName name="_vhw1" localSheetId="2">#REF!</definedName>
    <definedName name="_vhw1">#REF!</definedName>
    <definedName name="_vvw1" localSheetId="2">#REF!</definedName>
    <definedName name="_vvw1">#REF!</definedName>
    <definedName name="_WC1" localSheetId="2">#REF!</definedName>
    <definedName name="_WC1">#REF!</definedName>
    <definedName name="_wcv1" localSheetId="2">#REF!</definedName>
    <definedName name="_wcv1">#REF!</definedName>
    <definedName name="_wcv2" localSheetId="2">#REF!</definedName>
    <definedName name="_wcv2">#REF!</definedName>
    <definedName name="_wcv3" localSheetId="2">#REF!</definedName>
    <definedName name="_wcv3">#REF!</definedName>
    <definedName name="_wcv4" localSheetId="2">#REF!</definedName>
    <definedName name="_wcv4">#REF!</definedName>
    <definedName name="_wcv5" localSheetId="2">#REF!</definedName>
    <definedName name="_wcv5">#REF!</definedName>
    <definedName name="_woogi" localSheetId="2" hidden="1">#REF!</definedName>
    <definedName name="_woogi" hidden="1">#REF!</definedName>
    <definedName name="_woogi2" localSheetId="2" hidden="1">#REF!</definedName>
    <definedName name="_woogi2" hidden="1">#REF!</definedName>
    <definedName name="_woogi24" localSheetId="2" hidden="1">#REF!</definedName>
    <definedName name="_woogi24" hidden="1">#REF!</definedName>
    <definedName name="_woogi3" localSheetId="2" hidden="1">#REF!</definedName>
    <definedName name="_woogi3" hidden="1">#REF!</definedName>
    <definedName name="_XS1" localSheetId="2">#REF!</definedName>
    <definedName name="_XS1">#REF!</definedName>
    <definedName name="_XS2" localSheetId="2">#REF!</definedName>
    <definedName name="_XS2">#REF!</definedName>
    <definedName name="_zz1" localSheetId="2">#REF!</definedName>
    <definedName name="_zz1">#REF!</definedName>
    <definedName name="_zz2" localSheetId="2">#REF!</definedName>
    <definedName name="_zz2">#REF!</definedName>
    <definedName name="_zz3" localSheetId="2">#REF!</definedName>
    <definedName name="_zz3">#REF!</definedName>
    <definedName name="_재ㅐ햐" localSheetId="2" hidden="1">#REF!</definedName>
    <definedName name="_재ㅐ햐" hidden="1">#REF!</definedName>
    <definedName name="\0">'[11]9GNG운반'!#REF!</definedName>
    <definedName name="\a" localSheetId="23">#REF!</definedName>
    <definedName name="\a" localSheetId="22">#REF!</definedName>
    <definedName name="\a" localSheetId="3">#N/A</definedName>
    <definedName name="\a" localSheetId="2">#N/A</definedName>
    <definedName name="\a">#REF!</definedName>
    <definedName name="\b" localSheetId="23">#N/A</definedName>
    <definedName name="\b" localSheetId="22">#N/A</definedName>
    <definedName name="\B">'[11]9GNG운반'!#REF!</definedName>
    <definedName name="\c">#N/A</definedName>
    <definedName name="\d" localSheetId="23">#N/A</definedName>
    <definedName name="\d" localSheetId="22">#N/A</definedName>
    <definedName name="\d" localSheetId="3">#REF!</definedName>
    <definedName name="\d" localSheetId="2">#REF!</definedName>
    <definedName name="\d">[12]을!#REF!</definedName>
    <definedName name="\e" localSheetId="23">#N/A</definedName>
    <definedName name="\e" localSheetId="22">#N/A</definedName>
    <definedName name="\e" localSheetId="3">#REF!</definedName>
    <definedName name="\e" localSheetId="2">#REF!</definedName>
    <definedName name="\e">#REF!</definedName>
    <definedName name="\f" localSheetId="3">#REF!</definedName>
    <definedName name="\f" localSheetId="2">#REF!</definedName>
    <definedName name="\f">#N/A</definedName>
    <definedName name="\I">'[11]9GNG운반'!#REF!</definedName>
    <definedName name="\k">#N/A</definedName>
    <definedName name="\l" localSheetId="2">#REF!</definedName>
    <definedName name="\l">#REF!</definedName>
    <definedName name="\m" localSheetId="3">#REF!</definedName>
    <definedName name="\m" localSheetId="2">#REF!</definedName>
    <definedName name="\m">#N/A</definedName>
    <definedName name="\n">#N/A</definedName>
    <definedName name="\o" localSheetId="3">#REF!</definedName>
    <definedName name="\o" localSheetId="2">#REF!</definedName>
    <definedName name="\O">'[11]9GNG운반'!#REF!</definedName>
    <definedName name="\p" localSheetId="23">#REF!</definedName>
    <definedName name="\p" localSheetId="22">#REF!</definedName>
    <definedName name="\p" localSheetId="3">#REF!</definedName>
    <definedName name="\p" localSheetId="2">#REF!</definedName>
    <definedName name="\p">[13]정산변경입력!#REF!</definedName>
    <definedName name="\P1" localSheetId="2">#REF!</definedName>
    <definedName name="\P1">#REF!</definedName>
    <definedName name="\q" localSheetId="3">#N/A</definedName>
    <definedName name="\q" localSheetId="2">#N/A</definedName>
    <definedName name="\Q">'[11]9GNG운반'!#REF!</definedName>
    <definedName name="\r">#N/A</definedName>
    <definedName name="\s" localSheetId="23">'[1]#REF'!#REF!</definedName>
    <definedName name="\s" localSheetId="22">'[1]#REF'!#REF!</definedName>
    <definedName name="\s">#N/A</definedName>
    <definedName name="\w">#N/A</definedName>
    <definedName name="\x" localSheetId="2">#REF!</definedName>
    <definedName name="\x">#REF!</definedName>
    <definedName name="\z" localSheetId="2">#REF!</definedName>
    <definedName name="\z">#REF!</definedName>
    <definedName name="A" localSheetId="23">#REF!</definedName>
    <definedName name="A" localSheetId="22">#REF!</definedName>
    <definedName name="A" localSheetId="3">#REF!</definedName>
    <definedName name="A" localSheetId="2">#REF!</definedName>
    <definedName name="a">'기계설비 목록별산출'!A</definedName>
    <definedName name="A1..A2_">#N/A</definedName>
    <definedName name="A1..A200_">#N/A</definedName>
    <definedName name="A12..A13_">#N/A</definedName>
    <definedName name="AA">#REF!</definedName>
    <definedName name="AAA" localSheetId="3">#REF!</definedName>
    <definedName name="AAA" localSheetId="2">#REF!</definedName>
    <definedName name="AAA">[14]전기일위목록!$B$4:$K$123</definedName>
    <definedName name="AAAA" hidden="1">[14]입찰안!#REF!</definedName>
    <definedName name="AADD">[15]단가산출!$B$4:$AG$49903</definedName>
    <definedName name="AC" localSheetId="2">#REF!</definedName>
    <definedName name="AC">#REF!</definedName>
    <definedName name="AccessDatabase" hidden="1">"D:\공무jaje\98년품의-수불\98146.mdb"</definedName>
    <definedName name="acicrack" localSheetId="2">#REF!</definedName>
    <definedName name="acicrack">#REF!</definedName>
    <definedName name="acicw" localSheetId="2">#REF!</definedName>
    <definedName name="acicw">#REF!</definedName>
    <definedName name="acifs" localSheetId="2">#REF!</definedName>
    <definedName name="acifs">#REF!</definedName>
    <definedName name="acim" localSheetId="2">#REF!</definedName>
    <definedName name="acim">#REF!</definedName>
    <definedName name="acist" localSheetId="2">#REF!</definedName>
    <definedName name="acist">#REF!</definedName>
    <definedName name="acitemp" localSheetId="2">#REF!</definedName>
    <definedName name="acitemp">#REF!</definedName>
    <definedName name="aciw" localSheetId="2">#REF!</definedName>
    <definedName name="aciw">#REF!</definedName>
    <definedName name="ad">[16]data!$A$1:$E$1253</definedName>
    <definedName name="adadadadad" hidden="1">{#N/A,#N/A,FALSE,"포장1";#N/A,#N/A,FALSE,"포장1"}</definedName>
    <definedName name="aer">#REF!,#REF!</definedName>
    <definedName name="AF" localSheetId="2">#REF!</definedName>
    <definedName name="AF">#REF!</definedName>
    <definedName name="AFC설비">#REF!</definedName>
    <definedName name="AFF" localSheetId="2">#REF!</definedName>
    <definedName name="AFF">#REF!</definedName>
    <definedName name="ag" localSheetId="2">#REF!</definedName>
    <definedName name="ag">#REF!</definedName>
    <definedName name="all4fix" localSheetId="2">#REF!</definedName>
    <definedName name="all4fix">#REF!</definedName>
    <definedName name="AN" localSheetId="2">#REF!</definedName>
    <definedName name="AN">#REF!</definedName>
    <definedName name="Annual_interest_rate">#REF!</definedName>
    <definedName name="anscount" hidden="1">1</definedName>
    <definedName name="ap_s_t" localSheetId="2">#REF!</definedName>
    <definedName name="ap_s_t">#REF!</definedName>
    <definedName name="as" localSheetId="3">#REF!</definedName>
    <definedName name="as" localSheetId="2">#REF!</definedName>
    <definedName name="AS" hidden="1">#REF!</definedName>
    <definedName name="asd" localSheetId="23">#REF!</definedName>
    <definedName name="asd" localSheetId="22">#REF!</definedName>
    <definedName name="asd" hidden="1">{#N/A,#N/A,FALSE,"배수2"}</definedName>
    <definedName name="ASDF" hidden="1">{#N/A,#N/A,FALSE,"골재소요량";#N/A,#N/A,FALSE,"골재소요량"}</definedName>
    <definedName name="asdfgre" localSheetId="3">BlankMacro1</definedName>
    <definedName name="asdfgre" localSheetId="2">BlankMacro1</definedName>
    <definedName name="asdfgre">BlankMacro1</definedName>
    <definedName name="asp" localSheetId="2">#REF!</definedName>
    <definedName name="asp">#REF!</definedName>
    <definedName name="asr" localSheetId="2">#REF!</definedName>
    <definedName name="asr">#REF!</definedName>
    <definedName name="ASS" localSheetId="2">#REF!</definedName>
    <definedName name="ASS">#REF!</definedName>
    <definedName name="ASTMOUT" localSheetId="2">#REF!</definedName>
    <definedName name="ASTMOUT">#REF!</definedName>
    <definedName name="ASTMREBAR" localSheetId="2">#REF!</definedName>
    <definedName name="ASTMREBAR">#REF!</definedName>
    <definedName name="Astotal" localSheetId="2">#REF!</definedName>
    <definedName name="Astotal">#REF!</definedName>
    <definedName name="AT">[17]간선계산!#REF!</definedName>
    <definedName name="AVF" localSheetId="2">#REF!</definedName>
    <definedName name="AVF">#REF!</definedName>
    <definedName name="A삼" localSheetId="2">#REF!</definedName>
    <definedName name="A삼">#REF!</definedName>
    <definedName name="A이" localSheetId="2">#REF!</definedName>
    <definedName name="A이">#REF!</definedName>
    <definedName name="A일" localSheetId="2">#REF!</definedName>
    <definedName name="A일">#REF!</definedName>
    <definedName name="B" localSheetId="23">#REF!</definedName>
    <definedName name="B" localSheetId="22">#REF!</definedName>
    <definedName name="B" localSheetId="3">#REF!</definedName>
    <definedName name="B" localSheetId="2">#REF!</definedName>
    <definedName name="B">#REF!</definedName>
    <definedName name="B1A" localSheetId="2">#REF!</definedName>
    <definedName name="B1A">#REF!</definedName>
    <definedName name="B1B" localSheetId="2">#REF!</definedName>
    <definedName name="B1B">#REF!</definedName>
    <definedName name="B1C" localSheetId="2">#REF!</definedName>
    <definedName name="B1C">#REF!</definedName>
    <definedName name="B1F" localSheetId="2">#REF!</definedName>
    <definedName name="B1F">#REF!</definedName>
    <definedName name="B1WL" localSheetId="2">#REF!</definedName>
    <definedName name="B1WL">#REF!</definedName>
    <definedName name="B1WR" localSheetId="2">#REF!</definedName>
    <definedName name="B1WR">#REF!</definedName>
    <definedName name="B2A" localSheetId="2">#REF!</definedName>
    <definedName name="B2A">#REF!</definedName>
    <definedName name="B2B" localSheetId="2">#REF!</definedName>
    <definedName name="B2B">#REF!</definedName>
    <definedName name="B2C" localSheetId="2">#REF!</definedName>
    <definedName name="B2C">#REF!</definedName>
    <definedName name="B2WL" localSheetId="2">#REF!</definedName>
    <definedName name="B2WL">#REF!</definedName>
    <definedName name="B2WR" localSheetId="2">#REF!</definedName>
    <definedName name="B2WR">#REF!</definedName>
    <definedName name="B3A" localSheetId="2">#REF!</definedName>
    <definedName name="B3A">#REF!</definedName>
    <definedName name="B3B" localSheetId="2">#REF!</definedName>
    <definedName name="B3B">#REF!</definedName>
    <definedName name="b3r1h1" localSheetId="2">#REF!</definedName>
    <definedName name="b3r1h1">#REF!</definedName>
    <definedName name="b3r1h2" localSheetId="2">#REF!</definedName>
    <definedName name="b3r1h2">#REF!</definedName>
    <definedName name="B4A" localSheetId="2">#REF!</definedName>
    <definedName name="B4A">#REF!</definedName>
    <definedName name="B4B" localSheetId="2">#REF!</definedName>
    <definedName name="B4B">#REF!</definedName>
    <definedName name="B5A" localSheetId="2">#REF!</definedName>
    <definedName name="B5A">#REF!</definedName>
    <definedName name="B6A" localSheetId="2">#REF!</definedName>
    <definedName name="B6A">#REF!</definedName>
    <definedName name="B7A" localSheetId="2">#REF!</definedName>
    <definedName name="B7A">#REF!</definedName>
    <definedName name="B8A" localSheetId="2">#REF!</definedName>
    <definedName name="B8A">#REF!</definedName>
    <definedName name="BA" localSheetId="2">#REF!</definedName>
    <definedName name="BA">#REF!</definedName>
    <definedName name="BAL임">#REF!</definedName>
    <definedName name="bb" localSheetId="3">#REF!</definedName>
    <definedName name="bb" localSheetId="2">#REF!</definedName>
    <definedName name="BB">[18]내역서!$I$49</definedName>
    <definedName name="bbb" localSheetId="3">#REF!</definedName>
    <definedName name="bbb" localSheetId="2">#REF!</definedName>
    <definedName name="BBB">[19]내역서!#REF!</definedName>
    <definedName name="BBC" localSheetId="2">#REF!</definedName>
    <definedName name="BBC">#REF!</definedName>
    <definedName name="BC" localSheetId="2">#REF!</definedName>
    <definedName name="BC">#REF!</definedName>
    <definedName name="BCB" localSheetId="2">#REF!</definedName>
    <definedName name="BCB">#REF!</definedName>
    <definedName name="bcout" localSheetId="2">#REF!</definedName>
    <definedName name="bcout">#REF!</definedName>
    <definedName name="BCU임">#REF!</definedName>
    <definedName name="bdfgdgr">[20]!Macro8</definedName>
    <definedName name="beta1" localSheetId="2">#REF!</definedName>
    <definedName name="beta1">#REF!</definedName>
    <definedName name="BF" localSheetId="2">#REF!</definedName>
    <definedName name="BF">#REF!</definedName>
    <definedName name="BFH" localSheetId="2">#REF!</definedName>
    <definedName name="BFH">#REF!</definedName>
    <definedName name="bhtr" localSheetId="3">BlankMacro1</definedName>
    <definedName name="bhtr" localSheetId="2">BlankMacro1</definedName>
    <definedName name="bhtr">BlankMacro1</definedName>
    <definedName name="BHU" localSheetId="2">#REF!</definedName>
    <definedName name="BHU">#REF!</definedName>
    <definedName name="BM" localSheetId="2">#REF!</definedName>
    <definedName name="BM">#REF!</definedName>
    <definedName name="BMO" localSheetId="2">#REF!</definedName>
    <definedName name="BMO">#REF!</definedName>
    <definedName name="BR" localSheetId="2">#REF!</definedName>
    <definedName name="BR">#REF!</definedName>
    <definedName name="br4r1" localSheetId="2">#REF!</definedName>
    <definedName name="br4r1">#REF!</definedName>
    <definedName name="br4r2" localSheetId="2">#REF!</definedName>
    <definedName name="br4r2">#REF!</definedName>
    <definedName name="BS" localSheetId="2">#REF!</definedName>
    <definedName name="BS">#REF!</definedName>
    <definedName name="BSH" localSheetId="2">#REF!</definedName>
    <definedName name="BSH">#REF!</definedName>
    <definedName name="BV" localSheetId="2">#REF!</definedName>
    <definedName name="BV">#REF!</definedName>
    <definedName name="bvx" hidden="1">{#N/A,#N/A,FALSE,"토공2"}</definedName>
    <definedName name="BW" localSheetId="2">#REF!</definedName>
    <definedName name="BW">#REF!</definedName>
    <definedName name="bwc" localSheetId="2">#REF!</definedName>
    <definedName name="bwc">#REF!</definedName>
    <definedName name="BWD" localSheetId="2">#REF!</definedName>
    <definedName name="BWD">#REF!</definedName>
    <definedName name="B이" localSheetId="2">#REF!</definedName>
    <definedName name="B이">#REF!</definedName>
    <definedName name="B일" localSheetId="2">#REF!</definedName>
    <definedName name="B일">#REF!</definedName>
    <definedName name="B제로" localSheetId="2">#REF!</definedName>
    <definedName name="B제로">#REF!</definedName>
    <definedName name="C_" localSheetId="23">#N/A</definedName>
    <definedName name="C_" localSheetId="22">#N/A</definedName>
    <definedName name="C_">#REF!</definedName>
    <definedName name="c_1" localSheetId="2">#REF!</definedName>
    <definedName name="c_1">#REF!</definedName>
    <definedName name="c_2" localSheetId="2">#REF!</definedName>
    <definedName name="c_2">#REF!</definedName>
    <definedName name="c_3" localSheetId="2">#REF!</definedName>
    <definedName name="c_3">#REF!</definedName>
    <definedName name="c_33" localSheetId="2">#REF!</definedName>
    <definedName name="c_33">#REF!</definedName>
    <definedName name="c_4" localSheetId="2">#REF!</definedName>
    <definedName name="c_4">#REF!</definedName>
    <definedName name="cable">#REF!</definedName>
    <definedName name="case1" localSheetId="2">#REF!</definedName>
    <definedName name="case1">#REF!</definedName>
    <definedName name="case2" localSheetId="2">#REF!</definedName>
    <definedName name="case2">#REF!</definedName>
    <definedName name="CB_AF">#REF!</definedName>
    <definedName name="CB_AT">#REF!</definedName>
    <definedName name="CC" localSheetId="2">#REF!</definedName>
    <definedName name="CC">#REF!</definedName>
    <definedName name="CCC" localSheetId="3">#REF!</definedName>
    <definedName name="CCC" localSheetId="2">#REF!</definedName>
    <definedName name="CCC">[19]내역서!#REF!</definedName>
    <definedName name="CCTV설비">#REF!</definedName>
    <definedName name="CL" localSheetId="2">#REF!</definedName>
    <definedName name="CL">#REF!</definedName>
    <definedName name="CODE">#REF!</definedName>
    <definedName name="CODE1">#REF!</definedName>
    <definedName name="CODE2">#REF!</definedName>
    <definedName name="CODE3">#REF!</definedName>
    <definedName name="CODE4">#REF!</definedName>
    <definedName name="CODE5">#REF!</definedName>
    <definedName name="CODE6">#REF!</definedName>
    <definedName name="CODE7">#REF!</definedName>
    <definedName name="CON" localSheetId="2">#REF!</definedName>
    <definedName name="CON">#REF!</definedName>
    <definedName name="CON_1">#REF!</definedName>
    <definedName name="CON_3">#REF!</definedName>
    <definedName name="conc" localSheetId="2">#REF!</definedName>
    <definedName name="conc">#REF!</definedName>
    <definedName name="COND_1">#REF!</definedName>
    <definedName name="COND_3">#REF!</definedName>
    <definedName name="COPY990">#REF!</definedName>
    <definedName name="CORD">#REF!</definedName>
    <definedName name="cord1">#REF!</definedName>
    <definedName name="COST">#REF!</definedName>
    <definedName name="COV" localSheetId="2">#REF!</definedName>
    <definedName name="COV">#REF!</definedName>
    <definedName name="_xlnm.Criteria">#REF!</definedName>
    <definedName name="CT" localSheetId="2">#REF!</definedName>
    <definedName name="CT">#REF!</definedName>
    <definedName name="CTC" localSheetId="2">#REF!</definedName>
    <definedName name="CTC">#REF!</definedName>
    <definedName name="CUBICLE">#REF!</definedName>
    <definedName name="CURRENT_1">#REF!</definedName>
    <definedName name="CURRENT_2">#REF!</definedName>
    <definedName name="CURRENT_3">#REF!</definedName>
    <definedName name="CV">[21]요율!$A$1:$A$2</definedName>
    <definedName name="CV14_2C">[22]단가!#REF!</definedName>
    <definedName name="CV14_4C">[22]단가!#REF!</definedName>
    <definedName name="CV5.5_2">[22]단가!#REF!</definedName>
    <definedName name="CV5.5_4C">[22]단가!#REF!</definedName>
    <definedName name="CV8_2C">[22]단가!#REF!</definedName>
    <definedName name="CV8_4C">[22]단가!#REF!</definedName>
    <definedName name="D" localSheetId="3">#REF!</definedName>
    <definedName name="D" localSheetId="2">#REF!</definedName>
    <definedName name="d">순공사비집계표!D</definedName>
    <definedName name="dadadadadada" hidden="1">{#N/A,#N/A,FALSE,"포장2"}</definedName>
    <definedName name="DAN">[12]을!#REF!</definedName>
    <definedName name="danga" localSheetId="3">[23]danga!$A$1:$M$235</definedName>
    <definedName name="danga" localSheetId="2">[23]danga!$A$1:$M$235</definedName>
    <definedName name="DANGA">'[24]#REF'!$D$19:$D$19,'[24]#REF'!$F$19:$BD$19</definedName>
    <definedName name="danga2">#REF!,#REF!</definedName>
    <definedName name="DATA">[25]단가대비표!$A$4:$M$144</definedName>
    <definedName name="data1">[26]data!$A$1:$E$916</definedName>
    <definedName name="data2">[27]data!$A$1:$F$1193</definedName>
    <definedName name="data3">[26]data!$A$2:$F$916</definedName>
    <definedName name="_xlnm.Database" localSheetId="23">#REF!</definedName>
    <definedName name="_xlnm.Database" localSheetId="22">#REF!</definedName>
    <definedName name="_xlnm.Database" localSheetId="3">'[28]#REF'!$A$1:$AO$53</definedName>
    <definedName name="_xlnm.Database" localSheetId="2">'[28]#REF'!$A$1:$AO$53</definedName>
    <definedName name="_xlnm.Database">#REF!</definedName>
    <definedName name="DATABASE1">#REF!</definedName>
    <definedName name="database2" localSheetId="3">#REF!</definedName>
    <definedName name="database2" localSheetId="2">#REF!</definedName>
    <definedName name="database2">#REF!</definedName>
    <definedName name="dataww" localSheetId="2" hidden="1">#REF!</definedName>
    <definedName name="dataww" hidden="1">#REF!</definedName>
    <definedName name="DB" localSheetId="2">#REF!</definedName>
    <definedName name="DB">#REF!</definedName>
    <definedName name="DC" localSheetId="2">#REF!</definedName>
    <definedName name="DC">#REF!</definedName>
    <definedName name="DD" localSheetId="3">#REF!</definedName>
    <definedName name="DD" localSheetId="2">#REF!</definedName>
    <definedName name="DD">[29]내역서!#REF!</definedName>
    <definedName name="ddd" localSheetId="3">BlankMacro1</definedName>
    <definedName name="ddd" localSheetId="2">BlankMacro1</definedName>
    <definedName name="ddd">순공사비집계표!ddd</definedName>
    <definedName name="dddd">[0]!dddd</definedName>
    <definedName name="ddddd" localSheetId="3">BlankMacro1</definedName>
    <definedName name="ddddd" localSheetId="2">BlankMacro1</definedName>
    <definedName name="ddddd" hidden="1">#REF!</definedName>
    <definedName name="design" localSheetId="2">#REF!</definedName>
    <definedName name="design">#REF!</definedName>
    <definedName name="designout" localSheetId="2">#REF!</definedName>
    <definedName name="designout">#REF!</definedName>
    <definedName name="designTemp" localSheetId="2">#REF!</definedName>
    <definedName name="designTemp">#REF!</definedName>
    <definedName name="DF" localSheetId="2">#REF!</definedName>
    <definedName name="DF">#REF!</definedName>
    <definedName name="dfase" localSheetId="2">#REF!</definedName>
    <definedName name="dfase">#REF!</definedName>
    <definedName name="dfh" localSheetId="3">BlankMacro1</definedName>
    <definedName name="dfh" localSheetId="2">BlankMacro1</definedName>
    <definedName name="dfh">BlankMacro1</definedName>
    <definedName name="dftyh" localSheetId="3">BlankMacro1</definedName>
    <definedName name="dftyh" localSheetId="2">BlankMacro1</definedName>
    <definedName name="dftyh">BlankMacro1</definedName>
    <definedName name="dgdf" localSheetId="3">BlankMacro1</definedName>
    <definedName name="dgdf" localSheetId="2">BlankMacro1</definedName>
    <definedName name="dgdf">BlankMacro1</definedName>
    <definedName name="dghfd" localSheetId="3">BlankMacro1</definedName>
    <definedName name="dghfd" localSheetId="2">BlankMacro1</definedName>
    <definedName name="dghfd">BlankMacro1</definedName>
    <definedName name="dgsd">#REF!</definedName>
    <definedName name="DIA" localSheetId="2">#REF!</definedName>
    <definedName name="DIA">#REF!</definedName>
    <definedName name="direction" localSheetId="2">#REF!</definedName>
    <definedName name="direction">#REF!</definedName>
    <definedName name="dirout" localSheetId="2">#REF!</definedName>
    <definedName name="dirout">#REF!</definedName>
    <definedName name="DISTANCE">#REF!</definedName>
    <definedName name="dkdkdkdkd" hidden="1">{#N/A,#N/A,FALSE,"명세표"}</definedName>
    <definedName name="DL" localSheetId="2">#REF!</definedName>
    <definedName name="DL">#REF!</definedName>
    <definedName name="DLAWHDDLF" localSheetId="2">#REF!</definedName>
    <definedName name="DLAWHDDLF">#REF!</definedName>
    <definedName name="dldldldll" hidden="1">[30]조명시설!#REF!</definedName>
    <definedName name="DLSDF">#REF!</definedName>
    <definedName name="dn" hidden="1">{#N/A,#N/A,FALSE,"혼합골재"}</definedName>
    <definedName name="dp" localSheetId="2">#REF!</definedName>
    <definedName name="dp">#REF!</definedName>
    <definedName name="DPI" localSheetId="2">#REF!</definedName>
    <definedName name="DPI">#REF!</definedName>
    <definedName name="dqf" hidden="1">{#N/A,#N/A,FALSE,"운반시간"}</definedName>
    <definedName name="drsg">'[12]#REF'!#REF!</definedName>
    <definedName name="Ds" localSheetId="3">#REF!</definedName>
    <definedName name="Ds" localSheetId="2">#REF!</definedName>
    <definedName name="ds" hidden="1">{#N/A,#N/A,FALSE,"혼합골재"}</definedName>
    <definedName name="Ds_h" localSheetId="2">#REF!</definedName>
    <definedName name="Ds_h">#REF!</definedName>
    <definedName name="DsA" localSheetId="2">#REF!</definedName>
    <definedName name="DsA">#REF!</definedName>
    <definedName name="dsaf" hidden="1">{#N/A,#N/A,FALSE,"조골재"}</definedName>
    <definedName name="DSF" hidden="1">{#N/A,#N/A,FALSE,"골재소요량";#N/A,#N/A,FALSE,"골재소요량"}</definedName>
    <definedName name="dsh" localSheetId="2">#REF!</definedName>
    <definedName name="dsh">#REF!</definedName>
    <definedName name="dshn" localSheetId="2">#REF!</definedName>
    <definedName name="dshn">#REF!</definedName>
    <definedName name="DSSDS" hidden="1">{#N/A,#N/A,FALSE,"명세표"}</definedName>
    <definedName name="dsv" localSheetId="2">#REF!</definedName>
    <definedName name="dsv">#REF!</definedName>
    <definedName name="dsvn" localSheetId="2">#REF!</definedName>
    <definedName name="dsvn">#REF!</definedName>
    <definedName name="E" localSheetId="23">#REF!</definedName>
    <definedName name="E" localSheetId="22">#REF!</definedName>
    <definedName name="E">'기계설비 목록별산출'!E</definedName>
    <definedName name="E_IV">#REF!</definedName>
    <definedName name="E25M">[31]전기일위대가!#REF!</definedName>
    <definedName name="E25P">[31]전기일위대가!#REF!</definedName>
    <definedName name="E31E">[31]전기일위대가!#REF!</definedName>
    <definedName name="E31M">[31]전기일위대가!#REF!</definedName>
    <definedName name="E31P">[31]전기일위대가!#REF!</definedName>
    <definedName name="E32E">[31]전기일위대가!#REF!</definedName>
    <definedName name="E32M">[31]전기일위대가!#REF!</definedName>
    <definedName name="E32P">[31]전기일위대가!#REF!</definedName>
    <definedName name="E33E">[31]전기일위대가!#REF!</definedName>
    <definedName name="E33M">[31]전기일위대가!#REF!</definedName>
    <definedName name="E33P">[31]전기일위대가!#REF!</definedName>
    <definedName name="E34E">[31]전기일위대가!#REF!</definedName>
    <definedName name="E34M">[31]전기일위대가!#REF!</definedName>
    <definedName name="E34P">[31]전기일위대가!#REF!</definedName>
    <definedName name="E36M">[31]전기일위대가!#REF!</definedName>
    <definedName name="E36P">[31]전기일위대가!#REF!</definedName>
    <definedName name="E37M">[31]전기일위대가!#REF!</definedName>
    <definedName name="E37P">[31]전기일위대가!#REF!</definedName>
    <definedName name="E38M">[31]전기일위대가!#REF!</definedName>
    <definedName name="E38P">[31]전기일위대가!#REF!</definedName>
    <definedName name="E39M">[31]전기일위대가!#REF!</definedName>
    <definedName name="E39P">[31]전기일위대가!#REF!</definedName>
    <definedName name="E40M">[31]전기일위대가!#REF!</definedName>
    <definedName name="E40P">[31]전기일위대가!#REF!</definedName>
    <definedName name="E41M">[31]전기일위대가!#REF!</definedName>
    <definedName name="E41P">[31]전기일위대가!#REF!</definedName>
    <definedName name="E42M">[31]전기일위대가!#REF!</definedName>
    <definedName name="E42P">[31]전기일위대가!#REF!</definedName>
    <definedName name="E48M">[31]전기일위대가!#REF!</definedName>
    <definedName name="E48P">[31]전기일위대가!#REF!</definedName>
    <definedName name="E52M">[31]전기일위대가!#REF!</definedName>
    <definedName name="E52P">[31]전기일위대가!#REF!</definedName>
    <definedName name="E53M">[31]전기일위대가!#REF!</definedName>
    <definedName name="E53P">[31]전기일위대가!#REF!</definedName>
    <definedName name="E54M">[31]전기일위대가!#REF!</definedName>
    <definedName name="E54P">[31]전기일위대가!#REF!</definedName>
    <definedName name="E55M">[31]전기일위대가!#REF!</definedName>
    <definedName name="E55P">[31]전기일위대가!#REF!</definedName>
    <definedName name="E56M">[31]전기일위대가!#REF!</definedName>
    <definedName name="E56P">[31]전기일위대가!#REF!</definedName>
    <definedName name="E57M">[31]전기일위대가!#REF!</definedName>
    <definedName name="E57P">[31]전기일위대가!#REF!</definedName>
    <definedName name="E58M">[31]전기일위대가!#REF!</definedName>
    <definedName name="E58P">[31]전기일위대가!#REF!</definedName>
    <definedName name="E59M">[31]전기일위대가!#REF!</definedName>
    <definedName name="E59P">[31]전기일위대가!#REF!</definedName>
    <definedName name="E60M">[31]전기일위대가!#REF!</definedName>
    <definedName name="E60P">[31]전기일위대가!#REF!</definedName>
    <definedName name="E61M">[31]전기일위대가!#REF!</definedName>
    <definedName name="E61P">[31]전기일위대가!#REF!</definedName>
    <definedName name="E62M">[31]전기일위대가!#REF!</definedName>
    <definedName name="E62P">[31]전기일위대가!#REF!</definedName>
    <definedName name="E63M">[31]전기일위대가!#REF!</definedName>
    <definedName name="E63P">[31]전기일위대가!#REF!</definedName>
    <definedName name="E64M">[31]전기일위대가!#REF!</definedName>
    <definedName name="E64P">[31]전기일위대가!#REF!</definedName>
    <definedName name="E65M">[31]전기일위대가!#REF!</definedName>
    <definedName name="E65P">[31]전기일위대가!#REF!</definedName>
    <definedName name="E66M">[31]전기일위대가!#REF!</definedName>
    <definedName name="E66P">[31]전기일위대가!#REF!</definedName>
    <definedName name="E67M">[31]전기일위대가!#REF!</definedName>
    <definedName name="E67P">[31]전기일위대가!#REF!</definedName>
    <definedName name="E68M">[31]전기일위대가!#REF!</definedName>
    <definedName name="EA" localSheetId="3">#REF!</definedName>
    <definedName name="EA" localSheetId="2">#REF!</definedName>
    <definedName name="EA">#REF!</definedName>
    <definedName name="EC" localSheetId="2">#REF!</definedName>
    <definedName name="EC">#REF!</definedName>
    <definedName name="edgh">'[12]#REF'!#REF!</definedName>
    <definedName name="edtgh">'[12]#REF'!#REF!</definedName>
    <definedName name="ee" localSheetId="3">BlankMacro1</definedName>
    <definedName name="ee" localSheetId="2">BlankMacro1</definedName>
    <definedName name="ee" hidden="1">{#N/A,#N/A,FALSE,"단가표지"}</definedName>
    <definedName name="eee" localSheetId="3">BlankMacro1</definedName>
    <definedName name="eee" localSheetId="2">BlankMacro1</definedName>
    <definedName name="eee">순공사비집계표!eee</definedName>
    <definedName name="EEEE" localSheetId="2">#REF!</definedName>
    <definedName name="EEEE">#REF!</definedName>
    <definedName name="eergeryty">[0]!eergeryty</definedName>
    <definedName name="elec1">#REF!</definedName>
    <definedName name="elec2">#REF!</definedName>
    <definedName name="elec3">#REF!</definedName>
    <definedName name="elec4">#REF!</definedName>
    <definedName name="elec5">#REF!</definedName>
    <definedName name="elec6">#REF!</definedName>
    <definedName name="ELP">#REF!</definedName>
    <definedName name="EO" localSheetId="2">#REF!</definedName>
    <definedName name="EO">#REF!</definedName>
    <definedName name="eqrtq" hidden="1">{#N/A,#N/A,FALSE,"부대2"}</definedName>
    <definedName name="ES" localSheetId="2">#REF!</definedName>
    <definedName name="ES">#REF!</definedName>
    <definedName name="ewdf" localSheetId="3">BlankMacro1</definedName>
    <definedName name="ewdf" localSheetId="2">BlankMacro1</definedName>
    <definedName name="ewdf">BlankMacro1</definedName>
    <definedName name="ewqeqwe" hidden="1">{#N/A,#N/A,TRUE,"토적및재료집계";#N/A,#N/A,TRUE,"토적및재료집계";#N/A,#N/A,TRUE,"단위량"}</definedName>
    <definedName name="_xlnm.Extract" localSheetId="3">#REF!</definedName>
    <definedName name="_xlnm.Extract" localSheetId="2">#REF!</definedName>
    <definedName name="_xlnm.Extract">#REF!</definedName>
    <definedName name="F" localSheetId="3">#REF!</definedName>
    <definedName name="F" localSheetId="2">#REF!</definedName>
    <definedName name="F">순공사비집계표!F</definedName>
    <definedName name="FC" localSheetId="2">#REF!</definedName>
    <definedName name="FC">#REF!</definedName>
    <definedName name="Fck" localSheetId="2">#REF!</definedName>
    <definedName name="Fck">#REF!</definedName>
    <definedName name="fcp" localSheetId="2">#REF!</definedName>
    <definedName name="fcp">#REF!</definedName>
    <definedName name="fdsfe" localSheetId="3">BlankMacro1</definedName>
    <definedName name="fdsfe" localSheetId="2">BlankMacro1</definedName>
    <definedName name="fdsfe">BlankMacro1</definedName>
    <definedName name="FEEL" localSheetId="2">#REF!</definedName>
    <definedName name="FEEL">#REF!</definedName>
    <definedName name="FF">#REF!,#REF!,#REF!</definedName>
    <definedName name="fff" localSheetId="3">BlankMacro1</definedName>
    <definedName name="fff" localSheetId="2">BlankMacro1</definedName>
    <definedName name="fff">순공사비집계표!fff</definedName>
    <definedName name="ffff" localSheetId="3">BlankMacro1</definedName>
    <definedName name="ffff" localSheetId="2">BlankMacro1</definedName>
    <definedName name="ffff" hidden="1">{#N/A,#N/A,FALSE,"운반시간"}</definedName>
    <definedName name="FG" localSheetId="2">#REF!</definedName>
    <definedName name="FG">#REF!</definedName>
    <definedName name="FGY">#REF!</definedName>
    <definedName name="FHFH" hidden="1">[32]수량산출!$A$1:$A$8561</definedName>
    <definedName name="FHFK" hidden="1">[32]수량산출!#REF!</definedName>
    <definedName name="fht" localSheetId="3">BlankMacro1</definedName>
    <definedName name="fht" localSheetId="2">BlankMacro1</definedName>
    <definedName name="fht">BlankMacro1</definedName>
    <definedName name="First_payment_due">#REF!</definedName>
    <definedName name="FIXT">[33]데이타!$U$23:$V$50</definedName>
    <definedName name="fkf" localSheetId="2" hidden="1">#REF!</definedName>
    <definedName name="fkf" hidden="1">#REF!</definedName>
    <definedName name="fq" hidden="1">{#N/A,#N/A,TRUE,"토적및재료집계";#N/A,#N/A,TRUE,"토적및재료집계";#N/A,#N/A,TRUE,"단위량"}</definedName>
    <definedName name="FR8_1C">'[34]Macro(전선)'!$I$1</definedName>
    <definedName name="FR8_2C">'[34]Macro(전선)'!$J$1</definedName>
    <definedName name="FR8_3C">'[34]Macro(전선)'!$K$1</definedName>
    <definedName name="FR8_4C">'[34]Macro(전선)'!$L$1</definedName>
    <definedName name="ftri11" localSheetId="2">#REF!</definedName>
    <definedName name="ftri11">#REF!</definedName>
    <definedName name="ftri12" localSheetId="2">#REF!</definedName>
    <definedName name="ftri12">#REF!</definedName>
    <definedName name="ftri13" localSheetId="2">#REF!</definedName>
    <definedName name="ftri13">#REF!</definedName>
    <definedName name="ftri14" localSheetId="2">#REF!</definedName>
    <definedName name="ftri14">#REF!</definedName>
    <definedName name="ftri15" localSheetId="2">#REF!</definedName>
    <definedName name="ftri15">#REF!</definedName>
    <definedName name="FX" localSheetId="2">#REF!</definedName>
    <definedName name="FX">#REF!</definedName>
    <definedName name="fxmhpe1" localSheetId="2">#REF!</definedName>
    <definedName name="fxmhpe1">#REF!</definedName>
    <definedName name="fxmhpe2" localSheetId="2">#REF!</definedName>
    <definedName name="fxmhpe2">#REF!</definedName>
    <definedName name="fxmhpw" localSheetId="2">#REF!</definedName>
    <definedName name="fxmhpw">#REF!</definedName>
    <definedName name="fxmhq" localSheetId="2">#REF!</definedName>
    <definedName name="fxmhq">#REF!</definedName>
    <definedName name="fxvhpe1" localSheetId="2">#REF!</definedName>
    <definedName name="fxvhpe1">#REF!</definedName>
    <definedName name="fxvhpe2" localSheetId="2">#REF!</definedName>
    <definedName name="fxvhpe2">#REF!</definedName>
    <definedName name="fxvhpw" localSheetId="2">#REF!</definedName>
    <definedName name="fxvhpw">#REF!</definedName>
    <definedName name="fxvhq" localSheetId="2">#REF!</definedName>
    <definedName name="fxvhq">#REF!</definedName>
    <definedName name="fy" localSheetId="2">#REF!</definedName>
    <definedName name="fy">#REF!</definedName>
    <definedName name="FZ" localSheetId="2">#REF!</definedName>
    <definedName name="FZ">#REF!</definedName>
    <definedName name="F이" localSheetId="2">#REF!</definedName>
    <definedName name="F이">#REF!</definedName>
    <definedName name="F일" localSheetId="2">#REF!</definedName>
    <definedName name="F일">#REF!</definedName>
    <definedName name="G" localSheetId="2">#REF!</definedName>
    <definedName name="G">#REF!</definedName>
    <definedName name="G_m" localSheetId="2">#REF!</definedName>
    <definedName name="G_m">#REF!</definedName>
    <definedName name="GAB">[12]을!#REF!</definedName>
    <definedName name="gams" localSheetId="2">#REF!</definedName>
    <definedName name="gams">#REF!</definedName>
    <definedName name="gamt" localSheetId="2">#REF!</definedName>
    <definedName name="gamt">#REF!</definedName>
    <definedName name="gamw" localSheetId="2">#REF!</definedName>
    <definedName name="gamw">#REF!</definedName>
    <definedName name="gbdf" localSheetId="3">BlankMacro1</definedName>
    <definedName name="gbdf" localSheetId="2">BlankMacro1</definedName>
    <definedName name="gbdf">BlankMacro1</definedName>
    <definedName name="GC" localSheetId="2">#REF!</definedName>
    <definedName name="GC">#REF!</definedName>
    <definedName name="gdfg" localSheetId="3">BlankMacro1</definedName>
    <definedName name="gdfg" localSheetId="2">BlankMacro1</definedName>
    <definedName name="gdfg">BlankMacro1</definedName>
    <definedName name="GEN_KVA">#REF!</definedName>
    <definedName name="GEN_KW">#REF!</definedName>
    <definedName name="ger" localSheetId="3">BlankMacro1</definedName>
    <definedName name="ger" localSheetId="2">BlankMacro1</definedName>
    <definedName name="ger">BlankMacro1</definedName>
    <definedName name="gerqwe" localSheetId="3">BlankMacro1</definedName>
    <definedName name="gerqwe" localSheetId="2">BlankMacro1</definedName>
    <definedName name="gerqwe">BlankMacro1</definedName>
    <definedName name="gfgdfg" hidden="1">[34]차액보증!#REF!</definedName>
    <definedName name="gfhth" localSheetId="3">BlankMacro1</definedName>
    <definedName name="gfhth" localSheetId="2">BlankMacro1</definedName>
    <definedName name="gfhth">BlankMacro1</definedName>
    <definedName name="GG" localSheetId="3">#REF!</definedName>
    <definedName name="GG" localSheetId="2">#REF!</definedName>
    <definedName name="gg" hidden="1">{#N/A,#N/A,FALSE,"운반시간"}</definedName>
    <definedName name="ggfg" localSheetId="3">BlankMacro1</definedName>
    <definedName name="ggfg" localSheetId="2">BlankMacro1</definedName>
    <definedName name="ggfg">BlankMacro1</definedName>
    <definedName name="ggg" localSheetId="3">#REF!</definedName>
    <definedName name="ggg" localSheetId="2">#REF!</definedName>
    <definedName name="GGG">[35]내역서!#REF!</definedName>
    <definedName name="GGGG" localSheetId="2">#REF!</definedName>
    <definedName name="GGGG">#REF!</definedName>
    <definedName name="ggggg" hidden="1">{#N/A,#N/A,FALSE,"운반시간"}</definedName>
    <definedName name="GGGHGH" localSheetId="3">BlankMacro1</definedName>
    <definedName name="GGGHGH" localSheetId="2">BlankMacro1</definedName>
    <definedName name="GGGHGH">BlankMacro1</definedName>
    <definedName name="ggrg" localSheetId="3">BlankMacro1</definedName>
    <definedName name="ggrg" localSheetId="2">BlankMacro1</definedName>
    <definedName name="ggrg">BlankMacro1</definedName>
    <definedName name="GH" localSheetId="3">#REF!</definedName>
    <definedName name="GH" localSheetId="2">#REF!</definedName>
    <definedName name="gh" hidden="1">{#N/A,#N/A,FALSE,"조골재"}</definedName>
    <definedName name="ghcfg" localSheetId="3">BlankMacro1</definedName>
    <definedName name="ghcfg" localSheetId="2">BlankMacro1</definedName>
    <definedName name="ghcfg">BlankMacro1</definedName>
    <definedName name="GHFJ" localSheetId="3">BlankMacro1</definedName>
    <definedName name="GHFJ" localSheetId="2">BlankMacro1</definedName>
    <definedName name="GHFJ">BlankMacro1</definedName>
    <definedName name="ghk" localSheetId="3">BlankMacro1</definedName>
    <definedName name="ghk" localSheetId="2">BlankMacro1</definedName>
    <definedName name="ghk">BlankMacro1</definedName>
    <definedName name="gjgh" localSheetId="3">BlankMacro1</definedName>
    <definedName name="gjgh" localSheetId="2">BlankMacro1</definedName>
    <definedName name="gjgh">BlankMacro1</definedName>
    <definedName name="gk" localSheetId="3">BlankMacro1</definedName>
    <definedName name="gk" localSheetId="2">BlankMacro1</definedName>
    <definedName name="gk">BlankMacro1</definedName>
    <definedName name="gkg" localSheetId="3">BlankMacro1</definedName>
    <definedName name="gkg" localSheetId="2">BlankMacro1</definedName>
    <definedName name="gkg">BlankMacro1</definedName>
    <definedName name="gr" localSheetId="3">BlankMacro1</definedName>
    <definedName name="gr" localSheetId="2">BlankMacro1</definedName>
    <definedName name="gr">BlankMacro1</definedName>
    <definedName name="grew" hidden="1">#REF!</definedName>
    <definedName name="grg" localSheetId="3">BlankMacro1</definedName>
    <definedName name="grg" localSheetId="2">BlankMacro1</definedName>
    <definedName name="grg">BlankMacro1</definedName>
    <definedName name="grghrh" localSheetId="3">BlankMacro1</definedName>
    <definedName name="grghrh" localSheetId="2">BlankMacro1</definedName>
    <definedName name="grghrh">BlankMacro1</definedName>
    <definedName name="grgtr" localSheetId="3">BlankMacro1</definedName>
    <definedName name="grgtr" localSheetId="2">BlankMacro1</definedName>
    <definedName name="grgtr">BlankMacro1</definedName>
    <definedName name="grhrh" localSheetId="3">BlankMacro1</definedName>
    <definedName name="grhrh" localSheetId="2">BlankMacro1</definedName>
    <definedName name="grhrh">BlankMacro1</definedName>
    <definedName name="grhrhte" localSheetId="3">BlankMacro1</definedName>
    <definedName name="grhrhte" localSheetId="2">BlankMacro1</definedName>
    <definedName name="grhrhte">BlankMacro1</definedName>
    <definedName name="GROUND">#REF!</definedName>
    <definedName name="gsand" localSheetId="2">#REF!</definedName>
    <definedName name="gsand">#REF!</definedName>
    <definedName name="gsgs" hidden="1">{#N/A,#N/A,FALSE,"구조1"}</definedName>
    <definedName name="gsgsd" hidden="1">{#N/A,#N/A,FALSE,"토공2"}</definedName>
    <definedName name="gshsdgf" hidden="1">{#N/A,#N/A,FALSE,"부대2"}</definedName>
    <definedName name="gt" localSheetId="2">#REF!</definedName>
    <definedName name="gt">#REF!</definedName>
    <definedName name="gu">#REF!,#REF!</definedName>
    <definedName name="GuBae" localSheetId="2">#REF!</definedName>
    <definedName name="GuBae">#REF!</definedName>
    <definedName name="h" localSheetId="23">#REF!</definedName>
    <definedName name="h" localSheetId="22">#REF!</definedName>
    <definedName name="H" localSheetId="3">#REF!</definedName>
    <definedName name="H" localSheetId="2">#REF!</definedName>
    <definedName name="H">'[36](2)'!$J$2</definedName>
    <definedName name="H_1" localSheetId="2">#REF!</definedName>
    <definedName name="H_1">#REF!</definedName>
    <definedName name="H_2" localSheetId="2">#REF!</definedName>
    <definedName name="H_2">#REF!</definedName>
    <definedName name="h_3" localSheetId="2">#REF!</definedName>
    <definedName name="h_3">#REF!</definedName>
    <definedName name="H1C" localSheetId="2">#REF!</definedName>
    <definedName name="H1C">#REF!</definedName>
    <definedName name="H1D" localSheetId="2">#REF!</definedName>
    <definedName name="H1D">#REF!</definedName>
    <definedName name="H1H" localSheetId="2">#REF!</definedName>
    <definedName name="H1H">#REF!</definedName>
    <definedName name="H1L" localSheetId="2">#REF!</definedName>
    <definedName name="H1L">#REF!</definedName>
    <definedName name="H1R" localSheetId="2">#REF!</definedName>
    <definedName name="H1R">#REF!</definedName>
    <definedName name="H1WL" localSheetId="2">#REF!</definedName>
    <definedName name="H1WL">#REF!</definedName>
    <definedName name="H1WR" localSheetId="2">#REF!</definedName>
    <definedName name="H1WR">#REF!</definedName>
    <definedName name="H2C" localSheetId="2">#REF!</definedName>
    <definedName name="H2C">#REF!</definedName>
    <definedName name="H2D" localSheetId="2">#REF!</definedName>
    <definedName name="H2D">#REF!</definedName>
    <definedName name="H2H" localSheetId="2">#REF!</definedName>
    <definedName name="H2H">#REF!</definedName>
    <definedName name="H2L" localSheetId="2">#REF!</definedName>
    <definedName name="H2L">#REF!</definedName>
    <definedName name="H2R" localSheetId="2">#REF!</definedName>
    <definedName name="H2R">#REF!</definedName>
    <definedName name="H2WL" localSheetId="2">#REF!</definedName>
    <definedName name="H2WL">#REF!</definedName>
    <definedName name="H2WR" localSheetId="2">#REF!</definedName>
    <definedName name="H2WR">#REF!</definedName>
    <definedName name="h33g" localSheetId="3">BlankMacro1</definedName>
    <definedName name="h33g" localSheetId="2">BlankMacro1</definedName>
    <definedName name="h33g">BlankMacro1</definedName>
    <definedName name="H3C" localSheetId="2">#REF!</definedName>
    <definedName name="H3C">#REF!</definedName>
    <definedName name="H3H" localSheetId="2">#REF!</definedName>
    <definedName name="H3H">#REF!</definedName>
    <definedName name="H3L" localSheetId="2">#REF!</definedName>
    <definedName name="H3L">#REF!</definedName>
    <definedName name="H3R" localSheetId="2">#REF!</definedName>
    <definedName name="H3R">#REF!</definedName>
    <definedName name="H3WL" localSheetId="2">#REF!</definedName>
    <definedName name="H3WL">#REF!</definedName>
    <definedName name="H3WR" localSheetId="2">#REF!</definedName>
    <definedName name="H3WR">#REF!</definedName>
    <definedName name="H4H" localSheetId="2">#REF!</definedName>
    <definedName name="H4H">#REF!</definedName>
    <definedName name="H4L" localSheetId="2">#REF!</definedName>
    <definedName name="H4L">#REF!</definedName>
    <definedName name="H4R" localSheetId="2">#REF!</definedName>
    <definedName name="H4R">#REF!</definedName>
    <definedName name="H5L" localSheetId="2">#REF!</definedName>
    <definedName name="H5L">#REF!</definedName>
    <definedName name="H5R" localSheetId="2">#REF!</definedName>
    <definedName name="H5R">#REF!</definedName>
    <definedName name="H6L" localSheetId="2">#REF!</definedName>
    <definedName name="H6L">#REF!</definedName>
    <definedName name="H6R" localSheetId="2">#REF!</definedName>
    <definedName name="H6R">#REF!</definedName>
    <definedName name="H7L" localSheetId="2">#REF!</definedName>
    <definedName name="H7L">#REF!</definedName>
    <definedName name="H7R" localSheetId="2">#REF!</definedName>
    <definedName name="H7R">#REF!</definedName>
    <definedName name="H9A" localSheetId="2">#REF!</definedName>
    <definedName name="H9A">#REF!</definedName>
    <definedName name="HA" localSheetId="2">#REF!</definedName>
    <definedName name="HA">#REF!</definedName>
    <definedName name="han" hidden="1">#REF!</definedName>
    <definedName name="HC" localSheetId="2">#REF!</definedName>
    <definedName name="HC">#REF!</definedName>
    <definedName name="HE" localSheetId="2">#REF!</definedName>
    <definedName name="HE">#REF!</definedName>
    <definedName name="HELP">#REF!</definedName>
    <definedName name="HF" localSheetId="2">#REF!</definedName>
    <definedName name="HF">#REF!</definedName>
    <definedName name="hgh" localSheetId="3">BlankMacro1</definedName>
    <definedName name="hgh" localSheetId="2">BlankMacro1</definedName>
    <definedName name="hgh">BlankMacro1</definedName>
    <definedName name="hghdh" localSheetId="3">BlankMacro1</definedName>
    <definedName name="hghdh" localSheetId="2">BlankMacro1</definedName>
    <definedName name="hghdh">BlankMacro1</definedName>
    <definedName name="hghg" localSheetId="3">BlankMacro1</definedName>
    <definedName name="hghg" localSheetId="2">BlankMacro1</definedName>
    <definedName name="hghg">BlankMacro1</definedName>
    <definedName name="HH" localSheetId="3">[37]정부노임단가!$A$5:$F$215</definedName>
    <definedName name="HH" localSheetId="2">[37]정부노임단가!$A$5:$F$215</definedName>
    <definedName name="HH">#REF!</definedName>
    <definedName name="hhh">[20]!Macro6</definedName>
    <definedName name="HHHH" hidden="1">#REF!</definedName>
    <definedName name="hjg" localSheetId="3">BlankMacro1</definedName>
    <definedName name="hjg" localSheetId="2">BlankMacro1</definedName>
    <definedName name="hjg">BlankMacro1</definedName>
    <definedName name="hk" localSheetId="3">BlankMacro1</definedName>
    <definedName name="hk" localSheetId="2">BlankMacro1</definedName>
    <definedName name="hk">BlankMacro1</definedName>
    <definedName name="hkjmmh" localSheetId="3">BlankMacro1</definedName>
    <definedName name="hkjmmh" localSheetId="2">BlankMacro1</definedName>
    <definedName name="hkjmmh">BlankMacro1</definedName>
    <definedName name="HL" localSheetId="2">#REF!</definedName>
    <definedName name="HL">#REF!</definedName>
    <definedName name="hng" localSheetId="3">BlankMacro1</definedName>
    <definedName name="hng" localSheetId="2">BlankMacro1</definedName>
    <definedName name="hng">BlankMacro1</definedName>
    <definedName name="HP" localSheetId="2">#REF!</definedName>
    <definedName name="HP">#REF!</definedName>
    <definedName name="hpd" localSheetId="2">#REF!</definedName>
    <definedName name="hpd">#REF!</definedName>
    <definedName name="HR" localSheetId="2">#REF!</definedName>
    <definedName name="HR">#REF!</definedName>
    <definedName name="HS" localSheetId="2">#REF!</definedName>
    <definedName name="HS">#REF!</definedName>
    <definedName name="HSH" localSheetId="2">#REF!</definedName>
    <definedName name="HSH">#REF!</definedName>
    <definedName name="HSO" localSheetId="2">#REF!</definedName>
    <definedName name="HSO">#REF!</definedName>
    <definedName name="HSP" localSheetId="2">#REF!</definedName>
    <definedName name="HSP">#REF!</definedName>
    <definedName name="hth" localSheetId="3">BlankMacro1</definedName>
    <definedName name="hth" localSheetId="2">BlankMacro1</definedName>
    <definedName name="hth">BlankMacro1</definedName>
    <definedName name="hthth" localSheetId="3">BlankMacro1</definedName>
    <definedName name="hthth" localSheetId="2">BlankMacro1</definedName>
    <definedName name="hthth">BlankMacro1</definedName>
    <definedName name="HTML_CodePage" hidden="1">949</definedName>
    <definedName name="HTML_Control" hidden="1">{"'220승압(공문첨부)'!$A$3:$E$123"}</definedName>
    <definedName name="HTML_Description" hidden="1">""</definedName>
    <definedName name="HTML_Email" hidden="1">"keppler@dava.kepco.co.kr"</definedName>
    <definedName name="HTML_Header" hidden="1">"220승압 기준단가(승압,계기분야)"</definedName>
    <definedName name="HTML_LastUpdate" hidden="1">"98-05-28"</definedName>
    <definedName name="HTML_LineAfter" hidden="1">FALSE</definedName>
    <definedName name="HTML_LineBefore" hidden="1">TRUE</definedName>
    <definedName name="HTML_Name" hidden="1">"이정렬"</definedName>
    <definedName name="HTML_OBDlg2" hidden="1">TRUE</definedName>
    <definedName name="HTML_OBDlg4" hidden="1">TRUE</definedName>
    <definedName name="HTML_OS" hidden="1">0</definedName>
    <definedName name="HTML_PathFile" hidden="1">"D:\My Documents\98기준단가.htm"</definedName>
    <definedName name="HTML_Title" hidden="1">"기준단가98상"</definedName>
    <definedName name="htri12" localSheetId="2">#REF!</definedName>
    <definedName name="htri12">#REF!</definedName>
    <definedName name="htri13" localSheetId="2">#REF!</definedName>
    <definedName name="htri13">#REF!</definedName>
    <definedName name="htri14" localSheetId="2">#REF!</definedName>
    <definedName name="htri14">#REF!</definedName>
    <definedName name="htri15" localSheetId="2">#REF!</definedName>
    <definedName name="htri15">#REF!</definedName>
    <definedName name="htri22" localSheetId="2">#REF!</definedName>
    <definedName name="htri22">#REF!</definedName>
    <definedName name="htri23" localSheetId="2">#REF!</definedName>
    <definedName name="htri23">#REF!</definedName>
    <definedName name="htri24" localSheetId="2">#REF!</definedName>
    <definedName name="htri24">#REF!</definedName>
    <definedName name="htri25" localSheetId="2">#REF!</definedName>
    <definedName name="htri25">#REF!</definedName>
    <definedName name="htri32" localSheetId="2">#REF!</definedName>
    <definedName name="htri32">#REF!</definedName>
    <definedName name="htri33" localSheetId="2">#REF!</definedName>
    <definedName name="htri33">#REF!</definedName>
    <definedName name="htri34" localSheetId="2">#REF!</definedName>
    <definedName name="htri34">#REF!</definedName>
    <definedName name="htri35" localSheetId="2">#REF!</definedName>
    <definedName name="htri35">#REF!</definedName>
    <definedName name="htri42" localSheetId="2">#REF!</definedName>
    <definedName name="htri42">#REF!</definedName>
    <definedName name="htri43" localSheetId="2">#REF!</definedName>
    <definedName name="htri43">#REF!</definedName>
    <definedName name="htri44" localSheetId="2">#REF!</definedName>
    <definedName name="htri44">#REF!</definedName>
    <definedName name="htri45" localSheetId="2">#REF!</definedName>
    <definedName name="htri45">#REF!</definedName>
    <definedName name="hty" localSheetId="3">BlankMacro1</definedName>
    <definedName name="hty" localSheetId="2">BlankMacro1</definedName>
    <definedName name="hty">BlankMacro1</definedName>
    <definedName name="HWL" localSheetId="2">#REF!</definedName>
    <definedName name="HWL">#REF!</definedName>
    <definedName name="HWR" localSheetId="2">#REF!</definedName>
    <definedName name="HWR">#REF!</definedName>
    <definedName name="H사" localSheetId="2">#REF!</definedName>
    <definedName name="H사">#REF!</definedName>
    <definedName name="H삼" localSheetId="2">#REF!</definedName>
    <definedName name="H삼">#REF!</definedName>
    <definedName name="H이" localSheetId="2">#REF!</definedName>
    <definedName name="H이">#REF!</definedName>
    <definedName name="H일" localSheetId="2">#REF!</definedName>
    <definedName name="H일">#REF!</definedName>
    <definedName name="I">[38]내역서!#REF!</definedName>
    <definedName name="icr" localSheetId="2">#REF!</definedName>
    <definedName name="icr">#REF!</definedName>
    <definedName name="ID" localSheetId="3">'[39]Y-WORK'!$I$133:$I$366,'[39]Y-WORK'!$I$376:$I$401</definedName>
    <definedName name="ID" localSheetId="2">'[40]Y-WORK'!$I$133:$I$366,'[40]Y-WORK'!$I$376:$I$401</definedName>
    <definedName name="ID">'[24]#REF'!$I$22:$I$873,'[24]#REF'!$I$883:$I$906</definedName>
    <definedName name="ig" localSheetId="2">#REF!</definedName>
    <definedName name="ig">#REF!</definedName>
    <definedName name="II">[29]내역서!#REF!</definedName>
    <definedName name="III">[38]내역서!#REF!</definedName>
    <definedName name="ilch">[23]ilch!$A$3:$M$25</definedName>
    <definedName name="INTPUT" localSheetId="2">#REF!</definedName>
    <definedName name="INTPUT">#REF!</definedName>
    <definedName name="INTPUTDATA" localSheetId="2">#REF!</definedName>
    <definedName name="INTPUTDATA">#REF!</definedName>
    <definedName name="ITEM">[41]ITEM!#REF!</definedName>
    <definedName name="J" localSheetId="3">#REF!</definedName>
    <definedName name="J" localSheetId="2">#REF!</definedName>
    <definedName name="j" hidden="1">#REF!</definedName>
    <definedName name="JH" localSheetId="3">[42]정부노임단가!$A$5:$F$215</definedName>
    <definedName name="JH" localSheetId="2">[42]정부노임단가!$A$5:$F$215</definedName>
    <definedName name="JH">#REF!</definedName>
    <definedName name="jhjyjy" localSheetId="3">BlankMacro1</definedName>
    <definedName name="jhjyjy" localSheetId="2">BlankMacro1</definedName>
    <definedName name="jhjyjy">BlankMacro1</definedName>
    <definedName name="jhm" localSheetId="3">BlankMacro1</definedName>
    <definedName name="jhm" localSheetId="2">BlankMacro1</definedName>
    <definedName name="jhm">BlankMacro1</definedName>
    <definedName name="JJ" localSheetId="3">[43]정부노임단가!$A$5:$F$215</definedName>
    <definedName name="JJ" localSheetId="2">[43]정부노임단가!$A$5:$F$215</definedName>
    <definedName name="JJ">#REF!</definedName>
    <definedName name="JJJ">[29]내역서!#REF!</definedName>
    <definedName name="jjjjj" localSheetId="3">BlankMacro1</definedName>
    <definedName name="jjjjj" localSheetId="2">BlankMacro1</definedName>
    <definedName name="jjjjj">BlankMacro1</definedName>
    <definedName name="jk" localSheetId="3">BlankMacro1</definedName>
    <definedName name="jk" localSheetId="2">BlankMacro1</definedName>
    <definedName name="jk">BlankMacro1</definedName>
    <definedName name="jku" localSheetId="3">BlankMacro1</definedName>
    <definedName name="jku" localSheetId="2">BlankMacro1</definedName>
    <definedName name="jku">BlankMacro1</definedName>
    <definedName name="jkyt" localSheetId="3">BlankMacro1</definedName>
    <definedName name="jkyt" localSheetId="2">BlankMacro1</definedName>
    <definedName name="jkyt">BlankMacro1</definedName>
    <definedName name="jopp" localSheetId="3">BlankMacro1</definedName>
    <definedName name="jopp" localSheetId="2">BlankMacro1</definedName>
    <definedName name="jopp">BlankMacro1</definedName>
    <definedName name="JT" localSheetId="2">#REF!</definedName>
    <definedName name="JT">#REF!</definedName>
    <definedName name="JYH" localSheetId="2">#REF!</definedName>
    <definedName name="JYH">#REF!</definedName>
    <definedName name="jyhjmhy" localSheetId="3">BlankMacro1</definedName>
    <definedName name="jyhjmhy" localSheetId="2">BlankMacro1</definedName>
    <definedName name="jyhjmhy">BlankMacro1</definedName>
    <definedName name="jyjy" localSheetId="3">BlankMacro1</definedName>
    <definedName name="jyjy" localSheetId="2">BlankMacro1</definedName>
    <definedName name="jyjy">BlankMacro1</definedName>
    <definedName name="jyjyjwser" localSheetId="3">BlankMacro1</definedName>
    <definedName name="jyjyjwser" localSheetId="2">BlankMacro1</definedName>
    <definedName name="jyjyjwser">BlankMacro1</definedName>
    <definedName name="jyykty" localSheetId="3">BlankMacro1</definedName>
    <definedName name="jyykty" localSheetId="2">BlankMacro1</definedName>
    <definedName name="jyykty">BlankMacro1</definedName>
    <definedName name="k" localSheetId="23">'[44]#REF'!#REF!</definedName>
    <definedName name="k" localSheetId="22">'[44]#REF'!#REF!</definedName>
    <definedName name="K">[20]!Macro12</definedName>
    <definedName name="k3fix" localSheetId="2">#REF!</definedName>
    <definedName name="k3fix">#REF!</definedName>
    <definedName name="k4fix" localSheetId="2">#REF!</definedName>
    <definedName name="k4fix">#REF!</definedName>
    <definedName name="ka" localSheetId="3">#REF!</definedName>
    <definedName name="ka" localSheetId="2">#REF!</definedName>
    <definedName name="KA">[12]MOTOR!$B$61:$E$68</definedName>
    <definedName name="Ka일" localSheetId="2">#REF!</definedName>
    <definedName name="Ka일">#REF!</definedName>
    <definedName name="Ka투" localSheetId="2">#REF!</definedName>
    <definedName name="Ka투">#REF!</definedName>
    <definedName name="Kea" localSheetId="2">#REF!</definedName>
    <definedName name="Kea">#REF!</definedName>
    <definedName name="kgyj" localSheetId="3">BlankMacro1</definedName>
    <definedName name="kgyj" localSheetId="2">BlankMacro1</definedName>
    <definedName name="kgyj">BlankMacro1</definedName>
    <definedName name="Kh" localSheetId="2">#REF!</definedName>
    <definedName name="Kh">#REF!</definedName>
    <definedName name="khj" localSheetId="3">BlankMacro1</definedName>
    <definedName name="khj" localSheetId="2">BlankMacro1</definedName>
    <definedName name="khj">BlankMacro1</definedName>
    <definedName name="KIM">#REF!</definedName>
    <definedName name="kjgjg" localSheetId="3">BlankMacro1</definedName>
    <definedName name="kjgjg" localSheetId="2">BlankMacro1</definedName>
    <definedName name="kjgjg">BlankMacro1</definedName>
    <definedName name="kjjliu" localSheetId="3">BlankMacro1</definedName>
    <definedName name="kjjliu" localSheetId="2">BlankMacro1</definedName>
    <definedName name="kjjliu">BlankMacro1</definedName>
    <definedName name="kjk" localSheetId="3">BlankMacro1</definedName>
    <definedName name="kjk" localSheetId="2">BlankMacro1</definedName>
    <definedName name="kjk">BlankMacro1</definedName>
    <definedName name="KK" localSheetId="3">[42]정부노임단가!$A$5:$F$215</definedName>
    <definedName name="KK" localSheetId="2">[42]정부노임단가!$A$5:$F$215</definedName>
    <definedName name="KK">#REF!</definedName>
    <definedName name="kkk" hidden="1">{#N/A,#N/A,FALSE,"포장2"}</definedName>
    <definedName name="KL">[21]단가산출!$B$4:$AG$50040</definedName>
    <definedName name="knm" localSheetId="3">BlankMacro1</definedName>
    <definedName name="knm" localSheetId="2">BlankMacro1</definedName>
    <definedName name="knm">BlankMacro1</definedName>
    <definedName name="Ko" localSheetId="2">#REF!</definedName>
    <definedName name="Ko">#REF!</definedName>
    <definedName name="ktf" localSheetId="2" hidden="1">#REF!</definedName>
    <definedName name="ktf" hidden="1">#REF!</definedName>
    <definedName name="kty" localSheetId="2" hidden="1">#REF!</definedName>
    <definedName name="kty" hidden="1">#REF!</definedName>
    <definedName name="kv" localSheetId="2">#REF!</definedName>
    <definedName name="kv">#REF!</definedName>
    <definedName name="KVA_X">#REF!</definedName>
    <definedName name="KVO" localSheetId="2">#REF!</definedName>
    <definedName name="KVO">#REF!</definedName>
    <definedName name="KW_KVA">'[45]MACRO(MCC)'!#REF!</definedName>
    <definedName name="L" localSheetId="3">#REF!</definedName>
    <definedName name="L" localSheetId="2">#REF!</definedName>
    <definedName name="l">[20]!Macro13</definedName>
    <definedName name="L1L" localSheetId="2">#REF!</definedName>
    <definedName name="L1L">#REF!</definedName>
    <definedName name="L2L" localSheetId="2">#REF!</definedName>
    <definedName name="L2L">#REF!</definedName>
    <definedName name="L3L" localSheetId="2">#REF!</definedName>
    <definedName name="L3L">#REF!</definedName>
    <definedName name="L4L" localSheetId="2">#REF!</definedName>
    <definedName name="L4L">#REF!</definedName>
    <definedName name="LA" localSheetId="2">#REF!</definedName>
    <definedName name="LA">#REF!</definedName>
    <definedName name="labor">#REF!</definedName>
    <definedName name="LAY">[46]조명율데이타!$I$4:$L$6</definedName>
    <definedName name="LC" localSheetId="2">#REF!</definedName>
    <definedName name="LC">#REF!</definedName>
    <definedName name="ldtype" localSheetId="2">#REF!</definedName>
    <definedName name="ldtype">#REF!</definedName>
    <definedName name="Len" localSheetId="2">#REF!</definedName>
    <definedName name="Len">#REF!</definedName>
    <definedName name="LF" localSheetId="2">#REF!</definedName>
    <definedName name="LF">#REF!</definedName>
    <definedName name="LIST">#REF!</definedName>
    <definedName name="LKKLKL" localSheetId="3">BlankMacro1</definedName>
    <definedName name="LKKLKL" localSheetId="2">BlankMacro1</definedName>
    <definedName name="LKKLKL">BlankMacro1</definedName>
    <definedName name="LKTY" localSheetId="3">BlankMacro1</definedName>
    <definedName name="LKTY" localSheetId="2">BlankMacro1</definedName>
    <definedName name="LKTY">BlankMacro1</definedName>
    <definedName name="LL">[29]내역서!#REF!</definedName>
    <definedName name="LLC" localSheetId="2">#REF!</definedName>
    <definedName name="LLC">#REF!</definedName>
    <definedName name="lll" hidden="1">#REF!</definedName>
    <definedName name="LMO" localSheetId="2">#REF!</definedName>
    <definedName name="LMO">#REF!</definedName>
    <definedName name="LP___4">#REF!</definedName>
    <definedName name="LPI" localSheetId="2">#REF!</definedName>
    <definedName name="LPI">#REF!</definedName>
    <definedName name="LSH" localSheetId="2">#REF!</definedName>
    <definedName name="LSH">#REF!</definedName>
    <definedName name="LST" localSheetId="2">#REF!</definedName>
    <definedName name="LST">#REF!</definedName>
    <definedName name="L형측구" localSheetId="2">#REF!</definedName>
    <definedName name="L형측구">#REF!</definedName>
    <definedName name="m" localSheetId="23">#REF!</definedName>
    <definedName name="m" localSheetId="22">#REF!</definedName>
    <definedName name="M">'[47]동력부하(도산)'!$B$2:$G$4</definedName>
    <definedName name="M_VA3">#REF!</definedName>
    <definedName name="Macro1">[48]!Macro1</definedName>
    <definedName name="Macro10" localSheetId="3">#N/A</definedName>
    <definedName name="Macro10" localSheetId="2">#N/A</definedName>
    <definedName name="Macro10">[12]!Macro10</definedName>
    <definedName name="Macro11">[48]!Macro11</definedName>
    <definedName name="Macro12" localSheetId="3">#N/A</definedName>
    <definedName name="Macro12" localSheetId="2">#N/A</definedName>
    <definedName name="Macro12">[12]!Macro12</definedName>
    <definedName name="Macro13" localSheetId="3">#N/A</definedName>
    <definedName name="Macro13" localSheetId="2">#N/A</definedName>
    <definedName name="Macro13">[12]!Macro13</definedName>
    <definedName name="Macro14" localSheetId="3">#N/A</definedName>
    <definedName name="Macro14" localSheetId="2">#N/A</definedName>
    <definedName name="Macro14">[12]!Macro14</definedName>
    <definedName name="Macro2" localSheetId="3">#N/A</definedName>
    <definedName name="Macro2" localSheetId="2">#N/A</definedName>
    <definedName name="Macro2">[12]!Macro2</definedName>
    <definedName name="Macro3">[48]!Macro3</definedName>
    <definedName name="Macro4">[48]!Macro4</definedName>
    <definedName name="Macro5" localSheetId="3">#N/A</definedName>
    <definedName name="Macro5" localSheetId="2">#N/A</definedName>
    <definedName name="Macro5">[12]!Macro5</definedName>
    <definedName name="Macro6" localSheetId="3">#N/A</definedName>
    <definedName name="Macro6" localSheetId="2">#N/A</definedName>
    <definedName name="Macro6">[12]!Macro6</definedName>
    <definedName name="Macro7" localSheetId="3">#N/A</definedName>
    <definedName name="Macro7" localSheetId="2">#N/A</definedName>
    <definedName name="Macro7">[12]!Macro7</definedName>
    <definedName name="Macro8" localSheetId="3">#N/A</definedName>
    <definedName name="Macro8" localSheetId="2">#N/A</definedName>
    <definedName name="Macro8">[12]!Macro8</definedName>
    <definedName name="Macro9" localSheetId="3">#N/A</definedName>
    <definedName name="Macro9" localSheetId="2">#N/A</definedName>
    <definedName name="Macro9">[12]!Macro9</definedName>
    <definedName name="MaH" localSheetId="2">#REF!</definedName>
    <definedName name="MaH">#REF!</definedName>
    <definedName name="maxcoeff" localSheetId="2">#REF!</definedName>
    <definedName name="maxcoeff">#REF!</definedName>
    <definedName name="MaxCV" localSheetId="2">#REF!</definedName>
    <definedName name="MaxCV">#REF!</definedName>
    <definedName name="maxstart1" localSheetId="2">#REF!</definedName>
    <definedName name="maxstart1">#REF!</definedName>
    <definedName name="maxstart2" localSheetId="2">#REF!</definedName>
    <definedName name="maxstart2">#REF!</definedName>
    <definedName name="maxstart3" localSheetId="2">#REF!</definedName>
    <definedName name="maxstart3">#REF!</definedName>
    <definedName name="maxstart4" localSheetId="2">#REF!</definedName>
    <definedName name="maxstart4">#REF!</definedName>
    <definedName name="maxstart5" localSheetId="2">#REF!</definedName>
    <definedName name="maxstart5">#REF!</definedName>
    <definedName name="MCCB_AF1">'[49]Macro(차단기)'!$A$1</definedName>
    <definedName name="MCCB_AF2">#REF!</definedName>
    <definedName name="MCON_3">'[45]MACRO(MCC)'!#REF!</definedName>
    <definedName name="md3fx1fr_rec" localSheetId="2">#REF!</definedName>
    <definedName name="md3fx1fr_rec">#REF!</definedName>
    <definedName name="md3fx1fr_tri" localSheetId="2">#REF!</definedName>
    <definedName name="md3fx1fr_tri">#REF!</definedName>
    <definedName name="md3fx1hg_rec" localSheetId="2">#REF!</definedName>
    <definedName name="md3fx1hg_rec">#REF!</definedName>
    <definedName name="md3fx1hg_tri" localSheetId="2">#REF!</definedName>
    <definedName name="md3fx1hg_tri">#REF!</definedName>
    <definedName name="md4fx_rec" localSheetId="2">#REF!</definedName>
    <definedName name="md4fx_rec">#REF!</definedName>
    <definedName name="md4fx_semitri" localSheetId="2">#REF!</definedName>
    <definedName name="md4fx_semitri">#REF!</definedName>
    <definedName name="md4fx_tri" localSheetId="2">#REF!</definedName>
    <definedName name="md4fx_tri">#REF!</definedName>
    <definedName name="Mh" localSheetId="2">#REF!</definedName>
    <definedName name="Mh">#REF!</definedName>
    <definedName name="mhdl1" localSheetId="2">#REF!</definedName>
    <definedName name="mhdl1">#REF!</definedName>
    <definedName name="mhel1" localSheetId="2">#REF!</definedName>
    <definedName name="mhel1">#REF!</definedName>
    <definedName name="mhel2" localSheetId="2">#REF!</definedName>
    <definedName name="mhel2">#REF!</definedName>
    <definedName name="mhel3" localSheetId="2">#REF!</definedName>
    <definedName name="mhel3">#REF!</definedName>
    <definedName name="mhll1" localSheetId="2">#REF!</definedName>
    <definedName name="mhll1">#REF!</definedName>
    <definedName name="mhpe2" localSheetId="2">#REF!</definedName>
    <definedName name="mhpe2">#REF!</definedName>
    <definedName name="mhpw" localSheetId="2">#REF!</definedName>
    <definedName name="mhpw">#REF!</definedName>
    <definedName name="mhw" localSheetId="2">#REF!</definedName>
    <definedName name="mhw">#REF!</definedName>
    <definedName name="mm" localSheetId="3">BlankMacro1</definedName>
    <definedName name="mm" localSheetId="2">BlankMacro1</definedName>
    <definedName name="mm" hidden="1">{#N/A,#N/A,TRUE,"토적및재료집계";#N/A,#N/A,TRUE,"토적및재료집계";#N/A,#N/A,TRUE,"단위량"}</definedName>
    <definedName name="MNHL">[48]Sheet1!$A$4:$H$5</definedName>
    <definedName name="MO" localSheetId="2">#REF!</definedName>
    <definedName name="MO">#REF!</definedName>
    <definedName name="MONEY" localSheetId="3">'[39]Y-WORK'!$F$21:$M$366,'[39]Y-WORK'!$F$376:$M$401</definedName>
    <definedName name="MONEY" localSheetId="2">'[40]Y-WORK'!$F$21:$M$366,'[40]Y-WORK'!$F$376:$M$401</definedName>
    <definedName name="MONEY">'[24]#REF'!$F$21:$M$873,'[24]#REF'!$F$883:$M$906</definedName>
    <definedName name="MOTER_1">#REF!</definedName>
    <definedName name="MOTER_3">#REF!</definedName>
    <definedName name="MRD" localSheetId="2">#REF!</definedName>
    <definedName name="MRD">#REF!</definedName>
    <definedName name="MRL" localSheetId="2">#REF!</definedName>
    <definedName name="MRL">#REF!</definedName>
    <definedName name="MT" localSheetId="2">#REF!</definedName>
    <definedName name="MT">#REF!</definedName>
    <definedName name="MU" localSheetId="2">#REF!</definedName>
    <definedName name="MU">#REF!</definedName>
    <definedName name="Mv" localSheetId="2">#REF!</definedName>
    <definedName name="Mv">#REF!</definedName>
    <definedName name="mvdl1" localSheetId="2">#REF!</definedName>
    <definedName name="mvdl1">#REF!</definedName>
    <definedName name="mvel1" localSheetId="2">#REF!</definedName>
    <definedName name="mvel1">#REF!</definedName>
    <definedName name="mvel2" localSheetId="2">#REF!</definedName>
    <definedName name="mvel2">#REF!</definedName>
    <definedName name="mvel3" localSheetId="2">#REF!</definedName>
    <definedName name="mvel3">#REF!</definedName>
    <definedName name="mvll1" localSheetId="2">#REF!</definedName>
    <definedName name="mvll1">#REF!</definedName>
    <definedName name="mvpe2" localSheetId="2">#REF!</definedName>
    <definedName name="mvpe2">#REF!</definedName>
    <definedName name="mvpw" localSheetId="2">#REF!</definedName>
    <definedName name="mvpw">#REF!</definedName>
    <definedName name="MX" localSheetId="2">#REF!</definedName>
    <definedName name="MX">#REF!</definedName>
    <definedName name="Mxw" localSheetId="2">#REF!</definedName>
    <definedName name="Mxw">#REF!</definedName>
    <definedName name="My" localSheetId="2">#REF!</definedName>
    <definedName name="My">#REF!</definedName>
    <definedName name="Myw" localSheetId="2">#REF!</definedName>
    <definedName name="Myw">#REF!</definedName>
    <definedName name="MZ" localSheetId="2">#REF!</definedName>
    <definedName name="MZ">#REF!</definedName>
    <definedName name="M당무게">[50]DATE!$E$24:$E$85</definedName>
    <definedName name="n" hidden="1">[49]실행철강하도!$A$1:$A$4</definedName>
    <definedName name="N1S" localSheetId="2">#REF!</definedName>
    <definedName name="N1S">#REF!</definedName>
    <definedName name="N2S" localSheetId="2">#REF!</definedName>
    <definedName name="N2S">#REF!</definedName>
    <definedName name="N3S" localSheetId="2">#REF!</definedName>
    <definedName name="N3S">#REF!</definedName>
    <definedName name="NAME">#N/A</definedName>
    <definedName name="NDO" localSheetId="2">#REF!</definedName>
    <definedName name="NDO">#REF!</definedName>
    <definedName name="NFB">#REF!</definedName>
    <definedName name="NH">[46]조명율데이타!$I$19:$L$27</definedName>
    <definedName name="NHL">[51]터널조도!$AR$19:$AT$25</definedName>
    <definedName name="NN">[38]내역서!#REF!</definedName>
    <definedName name="NNN" localSheetId="2">#REF!</definedName>
    <definedName name="NNN">#REF!</definedName>
    <definedName name="no4fix" localSheetId="2">#REF!</definedName>
    <definedName name="no4fix">#REF!</definedName>
    <definedName name="NOMUBY">#REF!</definedName>
    <definedName name="NP" localSheetId="2">#REF!</definedName>
    <definedName name="NP">#REF!</definedName>
    <definedName name="NPI" localSheetId="2">#REF!</definedName>
    <definedName name="NPI">#REF!</definedName>
    <definedName name="NSH" localSheetId="2">#REF!</definedName>
    <definedName name="NSH">#REF!</definedName>
    <definedName name="NSO" localSheetId="2">#REF!</definedName>
    <definedName name="NSO">#REF!</definedName>
    <definedName name="null" localSheetId="2">#REF!</definedName>
    <definedName name="null">#REF!</definedName>
    <definedName name="nx" localSheetId="2">#REF!</definedName>
    <definedName name="nx">#REF!</definedName>
    <definedName name="n이" localSheetId="2">#REF!</definedName>
    <definedName name="n이">#REF!</definedName>
    <definedName name="n이_1" localSheetId="2">#REF!</definedName>
    <definedName name="n이_1">#REF!</definedName>
    <definedName name="n이_2" localSheetId="2">#REF!</definedName>
    <definedName name="n이_2">#REF!</definedName>
    <definedName name="n일" localSheetId="2">#REF!</definedName>
    <definedName name="n일">#REF!</definedName>
    <definedName name="N치" localSheetId="2">#REF!</definedName>
    <definedName name="N치">#REF!</definedName>
    <definedName name="O">[38]내역서!#REF!</definedName>
    <definedName name="o_m" localSheetId="2">#REF!</definedName>
    <definedName name="o_m">#REF!</definedName>
    <definedName name="ODD" hidden="1">{#N/A,#N/A,FALSE,"명세표"}</definedName>
    <definedName name="OH" hidden="1">{#N/A,#N/A,FALSE,"명세표"}</definedName>
    <definedName name="OHH" hidden="1">{#N/A,#N/A,FALSE,"명세표"}</definedName>
    <definedName name="oiy" hidden="1">{#N/A,#N/A,FALSE,"포장2"}</definedName>
    <definedName name="ONP" hidden="1">#REF!</definedName>
    <definedName name="OO">[38]내역서!#REF!</definedName>
    <definedName name="OOO" localSheetId="3">#REF!</definedName>
    <definedName name="OOO" localSheetId="2">#REF!</definedName>
    <definedName name="OOO">[35]내역서!#REF!</definedName>
    <definedName name="oooo" hidden="1">{#N/A,#N/A,FALSE,"조골재"}</definedName>
    <definedName name="oop" localSheetId="3">BlankMacro1</definedName>
    <definedName name="oop" localSheetId="2">BlankMacro1</definedName>
    <definedName name="oop">BlankMacro1</definedName>
    <definedName name="OPIU" localSheetId="3">BlankMacro1</definedName>
    <definedName name="OPIU" localSheetId="2">BlankMacro1</definedName>
    <definedName name="OPIU">BlankMacro1</definedName>
    <definedName name="P" localSheetId="3">[52]Sheet2!$F$140,[52]Sheet2!$F$140:$F$142,[52]Sheet2!$F$160</definedName>
    <definedName name="P" localSheetId="2">[52]Sheet2!$F$140,[52]Sheet2!$F$140:$F$142,[52]Sheet2!$F$160</definedName>
    <definedName name="p">[20]!Macro14</definedName>
    <definedName name="p_m" localSheetId="2">#REF!</definedName>
    <definedName name="p_m">#REF!</definedName>
    <definedName name="P1X" localSheetId="2">#REF!</definedName>
    <definedName name="P1X">#REF!</definedName>
    <definedName name="P2X" localSheetId="2">#REF!</definedName>
    <definedName name="P2X">#REF!</definedName>
    <definedName name="Pa" localSheetId="2">#REF!</definedName>
    <definedName name="Pa">#REF!</definedName>
    <definedName name="PASS">#REF!</definedName>
    <definedName name="Payments_per_year">#REF!</definedName>
    <definedName name="pa삼" localSheetId="2">#REF!</definedName>
    <definedName name="pa삼">#REF!</definedName>
    <definedName name="Pa오" localSheetId="2">#REF!</definedName>
    <definedName name="Pa오">#REF!</definedName>
    <definedName name="pb" localSheetId="2">#REF!</definedName>
    <definedName name="pb">#REF!</definedName>
    <definedName name="pcase" localSheetId="2">#REF!</definedName>
    <definedName name="pcase">#REF!</definedName>
    <definedName name="pcaseout" localSheetId="2">#REF!</definedName>
    <definedName name="pcaseout">#REF!</definedName>
    <definedName name="PCO" localSheetId="2">#REF!</definedName>
    <definedName name="PCO">#REF!</definedName>
    <definedName name="PE">#REF!</definedName>
    <definedName name="PE100C">[22]단가!#REF!</definedName>
    <definedName name="PE16C">[22]단가!#REF!</definedName>
    <definedName name="PE1열">[9]노무비명세서!$AE$22</definedName>
    <definedName name="PE22C">[22]단가!#REF!</definedName>
    <definedName name="pe22c1" localSheetId="2">#REF!</definedName>
    <definedName name="pe22c1">#REF!</definedName>
    <definedName name="pe22c2" localSheetId="2">#REF!</definedName>
    <definedName name="pe22c2">#REF!</definedName>
    <definedName name="PE28C">[22]단가!#REF!</definedName>
    <definedName name="PE36C">[22]단가!#REF!</definedName>
    <definedName name="PE42C">[22]단가!#REF!</definedName>
    <definedName name="PE54C">[22]단가!#REF!</definedName>
    <definedName name="PEA" localSheetId="2">#REF!</definedName>
    <definedName name="PEA">#REF!</definedName>
    <definedName name="PEE">[53]DATA!$N$4:$P$12</definedName>
    <definedName name="PF" localSheetId="2">#REF!</definedName>
    <definedName name="PF">#REF!</definedName>
    <definedName name="PH">#REF!</definedName>
    <definedName name="PHG" localSheetId="2">#REF!</definedName>
    <definedName name="PHG">#REF!</definedName>
    <definedName name="phi" localSheetId="2">#REF!</definedName>
    <definedName name="phi">#REF!</definedName>
    <definedName name="phiVn" localSheetId="2">#REF!</definedName>
    <definedName name="phiVn">#REF!</definedName>
    <definedName name="PILE규격" localSheetId="2">#REF!</definedName>
    <definedName name="PILE규격">#REF!</definedName>
    <definedName name="PIP_4">'[54]MACRO(전선관)'!#REF!</definedName>
    <definedName name="PIPE_2">#REF!</definedName>
    <definedName name="PIPE_3">#REF!</definedName>
    <definedName name="pj" localSheetId="3">BlankMacro1</definedName>
    <definedName name="pj" localSheetId="2">BlankMacro1</definedName>
    <definedName name="pj">BlankMacro1</definedName>
    <definedName name="PM" localSheetId="2">#REF!</definedName>
    <definedName name="PM">#REF!</definedName>
    <definedName name="pmax" localSheetId="2">#REF!</definedName>
    <definedName name="pmax">#REF!</definedName>
    <definedName name="pmin" localSheetId="2">#REF!</definedName>
    <definedName name="pmin">#REF!</definedName>
    <definedName name="pmin3" localSheetId="2">#REF!</definedName>
    <definedName name="pmin3">#REF!</definedName>
    <definedName name="Pmt_to_use">#REF!</definedName>
    <definedName name="pp">#REF!,#REF!</definedName>
    <definedName name="PPP" localSheetId="3">#REF!</definedName>
    <definedName name="PPP" localSheetId="2">#REF!</definedName>
    <definedName name="ppp" hidden="1">{#N/A,#N/A,FALSE,"속도"}</definedName>
    <definedName name="PQ" localSheetId="2">#REF!</definedName>
    <definedName name="PQ">#REF!</definedName>
    <definedName name="Pr" localSheetId="2">#REF!</definedName>
    <definedName name="Pr">#REF!</definedName>
    <definedName name="prin" localSheetId="2">#REF!</definedName>
    <definedName name="prin">#REF!</definedName>
    <definedName name="print" localSheetId="2">#REF!</definedName>
    <definedName name="print">#REF!</definedName>
    <definedName name="_xlnm.Print_Area" localSheetId="9">'1층전시실산출'!$A$1:$I$434</definedName>
    <definedName name="_xlnm.Print_Area" localSheetId="10">'2층전시실산출 '!$A$1:$I$491</definedName>
    <definedName name="_xlnm.Print_Area" localSheetId="5">공종별내역서!$A$1:$V$1451</definedName>
    <definedName name="_xlnm.Print_Area" localSheetId="4">공종별집계표!$A$1:$U$66</definedName>
    <definedName name="_xlnm.Print_Area" localSheetId="23">#REF!</definedName>
    <definedName name="_xlnm.Print_Area" localSheetId="22">'기계설비공사 산출'!$A$1:$Y$37</definedName>
    <definedName name="_xlnm.Print_Area" localSheetId="0">'내역서 표지'!$A$1:$L$22</definedName>
    <definedName name="_xlnm.Print_Area" localSheetId="18">'노임(진열장)'!$A$1:$G$29</definedName>
    <definedName name="_xlnm.Print_Area" localSheetId="8">단가대비표!$A$1:$X$602</definedName>
    <definedName name="_xlnm.Print_Area" localSheetId="21">'단가대비표(기계'!$A$1:$P$79</definedName>
    <definedName name="_xlnm.Print_Area" localSheetId="17">'단가대비표(진열장)'!$B$1:$M$146</definedName>
    <definedName name="_xlnm.Print_Area" localSheetId="24">대비표!$A$1:$O$63</definedName>
    <definedName name="_xlnm.Print_Area" localSheetId="3">순공사비집계표!$A$1:$L$30</definedName>
    <definedName name="_xlnm.Print_Area" localSheetId="12">'원가(진열장)'!$A$1:$J$26</definedName>
    <definedName name="_xlnm.Print_Area" localSheetId="2">'원가계산(계약심사)'!$A$1:$R$32</definedName>
    <definedName name="_xlnm.Print_Area" localSheetId="7">일위대가!$A$1:$M$932</definedName>
    <definedName name="_xlnm.Print_Area" localSheetId="16">'일위대가 (진열장)'!$A$1:$L$909</definedName>
    <definedName name="_xlnm.Print_Area" localSheetId="20">'일위대가(기계)'!$A$1:$O$107</definedName>
    <definedName name="_xlnm.Print_Area" localSheetId="6">일위대가목록!$A$1:$N$148</definedName>
    <definedName name="_xlnm.Print_Area" localSheetId="19">'일위대가목록(기계)'!$A$1:$I$25</definedName>
    <definedName name="_xlnm.Print_Area" localSheetId="15">'일위목록(진열장)'!$B$1:$I$636</definedName>
    <definedName name="_xlnm.Print_Area" localSheetId="13">진열장내역서!$A$1:$O$630</definedName>
    <definedName name="_xlnm.Print_Area" localSheetId="14">진열장산출!$A$1:$G$645</definedName>
    <definedName name="_xlnm.Print_Area">#REF!</definedName>
    <definedName name="Print_Area_MI" localSheetId="23">#REF!</definedName>
    <definedName name="Print_Area_MI" localSheetId="22">#REF!</definedName>
    <definedName name="PRINT_AREA_MI" localSheetId="3">#REF!</definedName>
    <definedName name="PRINT_AREA_MI" localSheetId="2">#REF!</definedName>
    <definedName name="Print_Area_MI">#REF!</definedName>
    <definedName name="PRINT_AREA_MI1" localSheetId="2">#REF!</definedName>
    <definedName name="PRINT_AREA_MI1">#REF!</definedName>
    <definedName name="PRINT_TILIES" localSheetId="2">#REF!,#REF!,#REF!,#REF!,#REF!</definedName>
    <definedName name="PRINT_TILIES">#REF!,#REF!,#REF!,#REF!,#REF!</definedName>
    <definedName name="PRINT_TILTES">#REF!</definedName>
    <definedName name="PRINT_TITEL">#REF!</definedName>
    <definedName name="print_title" localSheetId="3">#REF!</definedName>
    <definedName name="print_title" localSheetId="2">#REF!</definedName>
    <definedName name="PRINT_TITLE">#REF!</definedName>
    <definedName name="_xlnm.Print_Titles" localSheetId="9">'1층전시실산출'!$1:$3</definedName>
    <definedName name="_xlnm.Print_Titles" localSheetId="10">'2층전시실산출 '!$1:$3</definedName>
    <definedName name="_xlnm.Print_Titles" localSheetId="5">공종별내역서!$1:$3</definedName>
    <definedName name="_xlnm.Print_Titles" localSheetId="4">공종별집계표!$1:$4</definedName>
    <definedName name="_xlnm.Print_Titles" localSheetId="23">#REF!</definedName>
    <definedName name="_xlnm.Print_Titles" localSheetId="22">#REF!</definedName>
    <definedName name="_xlnm.Print_Titles" localSheetId="18">'노임(진열장)'!$1:$3</definedName>
    <definedName name="_xlnm.Print_Titles" localSheetId="8">단가대비표!$1:$4</definedName>
    <definedName name="_xlnm.Print_Titles" localSheetId="21">'단가대비표(기계'!$1:$4</definedName>
    <definedName name="_xlnm.Print_Titles" localSheetId="17">'단가대비표(진열장)'!$1:$4</definedName>
    <definedName name="_xlnm.Print_Titles" localSheetId="3">[55]공량산출서!$1:$1</definedName>
    <definedName name="_xlnm.Print_Titles" localSheetId="2">[55]공량산출서!$1:$1</definedName>
    <definedName name="_xlnm.Print_Titles" localSheetId="7">일위대가!$1:$3</definedName>
    <definedName name="_xlnm.Print_Titles" localSheetId="20">'일위대가(기계)'!$1:$3</definedName>
    <definedName name="_xlnm.Print_Titles" localSheetId="6">일위대가목록!$1:$3</definedName>
    <definedName name="_xlnm.Print_Titles" localSheetId="19">'일위대가목록(기계)'!$1:$3</definedName>
    <definedName name="_xlnm.Print_Titles" localSheetId="15">'일위목록(진열장)'!$1:$3</definedName>
    <definedName name="_xlnm.Print_Titles" localSheetId="13">진열장내역서!$1:$4</definedName>
    <definedName name="_xlnm.Print_Titles" localSheetId="14">진열장산출!$1:$3</definedName>
    <definedName name="_xlnm.Print_Titles">#REF!</definedName>
    <definedName name="PRINT_TITLES_MI" localSheetId="23">#REF!</definedName>
    <definedName name="PRINT_TITLES_MI" localSheetId="22">#REF!</definedName>
    <definedName name="PRINT_TITLES_MI">'[12]#REF'!$1:$2</definedName>
    <definedName name="print_ttitles">#REF!</definedName>
    <definedName name="PS" localSheetId="2">#REF!</definedName>
    <definedName name="PS">#REF!</definedName>
    <definedName name="PWP" localSheetId="2">#REF!</definedName>
    <definedName name="PWP">#REF!</definedName>
    <definedName name="PWS" localSheetId="2">#REF!</definedName>
    <definedName name="PWS">#REF!</definedName>
    <definedName name="PWW" localSheetId="2">#REF!</definedName>
    <definedName name="PWW">#REF!</definedName>
    <definedName name="pwwc1" localSheetId="2">#REF!</definedName>
    <definedName name="pwwc1">#REF!</definedName>
    <definedName name="pwwc2" localSheetId="2">#REF!</definedName>
    <definedName name="pwwc2">#REF!</definedName>
    <definedName name="PYUUYF" localSheetId="3">BlankMacro1</definedName>
    <definedName name="PYUUYF" localSheetId="2">BlankMacro1</definedName>
    <definedName name="PYUUYF">BlankMacro1</definedName>
    <definedName name="q" localSheetId="3">#REF!</definedName>
    <definedName name="q" localSheetId="2">#REF!</definedName>
    <definedName name="Q">[56]!Macro13</definedName>
    <definedName name="Q3WEE" hidden="1">{#N/A,#N/A,FALSE,"조골재"}</definedName>
    <definedName name="QA" localSheetId="2">#REF!</definedName>
    <definedName name="QA">#REF!</definedName>
    <definedName name="QAE" localSheetId="2">#REF!</definedName>
    <definedName name="QAE">#REF!</definedName>
    <definedName name="qewqe" hidden="1">{#N/A,#N/A,FALSE,"배수2"}</definedName>
    <definedName name="Qe앨" localSheetId="2">#REF!</definedName>
    <definedName name="Qe앨">#REF!</definedName>
    <definedName name="qfwqd" hidden="1">{#N/A,#N/A,FALSE,"이정표"}</definedName>
    <definedName name="QKF">'[57]Macro(차단기)'!$B$1</definedName>
    <definedName name="qkqh1" hidden="1">{#N/A,#N/A,FALSE,"명세표"}</definedName>
    <definedName name="qor" hidden="1">[57]실행철강하도!$A$1:$A$4</definedName>
    <definedName name="qq" localSheetId="3">#REF!</definedName>
    <definedName name="qq" localSheetId="2">#REF!</definedName>
    <definedName name="qq" hidden="1">{#N/A,#N/A,FALSE,"포장1";#N/A,#N/A,FALSE,"포장1"}</definedName>
    <definedName name="qqq" hidden="1">{#N/A,#N/A,FALSE,"배수1"}</definedName>
    <definedName name="qqqqq" hidden="1">{#N/A,#N/A,FALSE,"단가표지"}</definedName>
    <definedName name="qqqqqq">[0]!qqqqqq</definedName>
    <definedName name="Qten" localSheetId="2">#REF!</definedName>
    <definedName name="Qten">#REF!</definedName>
    <definedName name="QU" localSheetId="2">#REF!</definedName>
    <definedName name="QU">#REF!</definedName>
    <definedName name="qw" hidden="1">{#N/A,#N/A,FALSE,"단가표지"}</definedName>
    <definedName name="qwerqerwr" hidden="1">#REF!</definedName>
    <definedName name="qwfq" hidden="1">{#N/A,#N/A,FALSE,"속도"}</definedName>
    <definedName name="qwggg" hidden="1">{#N/A,#N/A,FALSE,"조골재"}</definedName>
    <definedName name="q디" localSheetId="2">#REF!</definedName>
    <definedName name="q디">#REF!</definedName>
    <definedName name="q앨" localSheetId="2">#REF!</definedName>
    <definedName name="q앨">#REF!</definedName>
    <definedName name="RACK설치">[9]노무비명세서!$AE$9</definedName>
    <definedName name="RD" localSheetId="2">#REF!</definedName>
    <definedName name="RD">#REF!</definedName>
    <definedName name="RealAs" localSheetId="2">#REF!</definedName>
    <definedName name="RealAs">#REF!</definedName>
    <definedName name="realfs" localSheetId="2">#REF!</definedName>
    <definedName name="realfs">#REF!</definedName>
    <definedName name="realp" localSheetId="2">#REF!</definedName>
    <definedName name="realp">#REF!</definedName>
    <definedName name="REBAR" localSheetId="2">#REF!</definedName>
    <definedName name="REBAR">#REF!</definedName>
    <definedName name="reinftype" localSheetId="2">#REF!</definedName>
    <definedName name="reinftype">#REF!</definedName>
    <definedName name="ReqAs" localSheetId="2">#REF!</definedName>
    <definedName name="ReqAs">#REF!</definedName>
    <definedName name="reqbar" localSheetId="2">#REF!</definedName>
    <definedName name="reqbar">#REF!</definedName>
    <definedName name="retr" localSheetId="3">BlankMacro1</definedName>
    <definedName name="retr" localSheetId="2">BlankMacro1</definedName>
    <definedName name="retr">BlankMacro1</definedName>
    <definedName name="rff">[12]을!#REF!</definedName>
    <definedName name="rgr" localSheetId="3">BlankMacro1</definedName>
    <definedName name="rgr" localSheetId="2">BlankMacro1</definedName>
    <definedName name="rgr">BlankMacro1</definedName>
    <definedName name="rho" localSheetId="2">#REF!</definedName>
    <definedName name="rho">#REF!</definedName>
    <definedName name="RK" hidden="1">[32]수량산출!#REF!</definedName>
    <definedName name="RL" localSheetId="2">#REF!</definedName>
    <definedName name="RL">#REF!</definedName>
    <definedName name="RL1D" localSheetId="2">#REF!</definedName>
    <definedName name="RL1D">#REF!</definedName>
    <definedName name="RL2D" localSheetId="2">#REF!</definedName>
    <definedName name="RL2D">#REF!</definedName>
    <definedName name="RL3D" localSheetId="2">#REF!</definedName>
    <definedName name="RL3D">#REF!</definedName>
    <definedName name="RL4D" localSheetId="2">#REF!</definedName>
    <definedName name="RL4D">#REF!</definedName>
    <definedName name="RL5D" localSheetId="2">#REF!</definedName>
    <definedName name="RL5D">#REF!</definedName>
    <definedName name="RL6D" localSheetId="2">#REF!</definedName>
    <definedName name="RL6D">#REF!</definedName>
    <definedName name="RL7D" localSheetId="2">#REF!</definedName>
    <definedName name="RL7D">#REF!</definedName>
    <definedName name="RLD" localSheetId="2">#REF!</definedName>
    <definedName name="RLD">#REF!</definedName>
    <definedName name="rlr">'[12]#REF'!$X$138</definedName>
    <definedName name="Rl이" localSheetId="2">#REF!</definedName>
    <definedName name="Rl이">#REF!</definedName>
    <definedName name="Rl일" localSheetId="2">#REF!</definedName>
    <definedName name="Rl일">#REF!</definedName>
    <definedName name="Rn" localSheetId="2">#REF!</definedName>
    <definedName name="Rn">#REF!</definedName>
    <definedName name="RNG" localSheetId="2">#REF!</definedName>
    <definedName name="RNG">#REF!</definedName>
    <definedName name="RR" localSheetId="2">#REF!</definedName>
    <definedName name="RR">#REF!</definedName>
    <definedName name="rrrr">BlankMacro1</definedName>
    <definedName name="rryry" localSheetId="3">BlankMacro1</definedName>
    <definedName name="rryry" localSheetId="2">BlankMacro1</definedName>
    <definedName name="rryry">BlankMacro1</definedName>
    <definedName name="rt" localSheetId="3">BlankMacro1</definedName>
    <definedName name="rt" localSheetId="2">BlankMacro1</definedName>
    <definedName name="RT">#REF!,#REF!,#REF!</definedName>
    <definedName name="rtb" localSheetId="3">BlankMacro1</definedName>
    <definedName name="rtb" localSheetId="2">BlankMacro1</definedName>
    <definedName name="rtb">BlankMacro1</definedName>
    <definedName name="Rten" localSheetId="2">#REF!</definedName>
    <definedName name="Rten">#REF!</definedName>
    <definedName name="rtret" localSheetId="3">BlankMacro1</definedName>
    <definedName name="rtret" localSheetId="2">BlankMacro1</definedName>
    <definedName name="rtret">BlankMacro1</definedName>
    <definedName name="rtrj" localSheetId="3">BlankMacro1</definedName>
    <definedName name="rtrj" localSheetId="2">BlankMacro1</definedName>
    <definedName name="rtrj">BlankMacro1</definedName>
    <definedName name="rty">#REF!,#REF!</definedName>
    <definedName name="rtyhrtyhtrrty" localSheetId="3">BlankMacro1</definedName>
    <definedName name="rtyhrtyhtrrty" localSheetId="2">BlankMacro1</definedName>
    <definedName name="rtyhrtyhtrrty">BlankMacro1</definedName>
    <definedName name="rtyujt" localSheetId="3">BlankMacro1</definedName>
    <definedName name="rtyujt" localSheetId="2">BlankMacro1</definedName>
    <definedName name="rtyujt">BlankMacro1</definedName>
    <definedName name="Rx" localSheetId="2">#REF!</definedName>
    <definedName name="Rx">#REF!</definedName>
    <definedName name="Rxw" localSheetId="2">#REF!</definedName>
    <definedName name="Rxw">#REF!</definedName>
    <definedName name="Ry" localSheetId="2">#REF!</definedName>
    <definedName name="Ry">#REF!</definedName>
    <definedName name="ryr" localSheetId="3">BlankMacro1</definedName>
    <definedName name="ryr" localSheetId="2">BlankMacro1</definedName>
    <definedName name="ryr">BlankMacro1</definedName>
    <definedName name="Ryw" localSheetId="2">#REF!</definedName>
    <definedName name="Ryw">#REF!</definedName>
    <definedName name="S" localSheetId="3">[50]DATE!$I$24:$I$85</definedName>
    <definedName name="S" localSheetId="2">[50]DATE!$I$24:$I$85</definedName>
    <definedName name="s">순공사비집계표!S</definedName>
    <definedName name="s_1" localSheetId="2">#REF!</definedName>
    <definedName name="s_1">#REF!</definedName>
    <definedName name="s_2" localSheetId="2">#REF!</definedName>
    <definedName name="s_2">#REF!</definedName>
    <definedName name="S2L" localSheetId="2">#REF!</definedName>
    <definedName name="S2L">#REF!</definedName>
    <definedName name="sallow" localSheetId="2">#REF!</definedName>
    <definedName name="sallow">#REF!</definedName>
    <definedName name="SAN">[12]을!#REF!</definedName>
    <definedName name="sanch_2" localSheetId="2">#REF!</definedName>
    <definedName name="sanch_2">#REF!</definedName>
    <definedName name="sanch_3" localSheetId="2">#REF!</definedName>
    <definedName name="sanch_3">#REF!</definedName>
    <definedName name="sanch_4" localSheetId="2">#REF!</definedName>
    <definedName name="sanch_4">#REF!</definedName>
    <definedName name="sand" localSheetId="2">#REF!,#REF!</definedName>
    <definedName name="sand">#REF!,#REF!</definedName>
    <definedName name="sbarea" localSheetId="2">#REF!</definedName>
    <definedName name="sbarea">#REF!</definedName>
    <definedName name="SCK" localSheetId="2">#REF!</definedName>
    <definedName name="SCK">#REF!</definedName>
    <definedName name="sd">[0]!sd</definedName>
    <definedName name="SDFSF" hidden="1">#REF!</definedName>
    <definedName name="sdg" hidden="1">#REF!</definedName>
    <definedName name="SER">#REF!</definedName>
    <definedName name="SERT">#REF!</definedName>
    <definedName name="SET">#REF!</definedName>
    <definedName name="sfdbd">[20]!Macro9</definedName>
    <definedName name="sh" localSheetId="2">#REF!</definedName>
    <definedName name="sh">#REF!</definedName>
    <definedName name="shear" localSheetId="2">#REF!</definedName>
    <definedName name="shear">#REF!</definedName>
    <definedName name="SHEET56">#REF!</definedName>
    <definedName name="SHT" localSheetId="2">#REF!</definedName>
    <definedName name="SHT">#REF!</definedName>
    <definedName name="SIL">[33]데이타!$R$23:$S$32</definedName>
    <definedName name="SK" localSheetId="3">#REF!</definedName>
    <definedName name="SK" localSheetId="2">#REF!</definedName>
    <definedName name="SK">[21]요율!$A$1:$A$2</definedName>
    <definedName name="SKE" localSheetId="2">#REF!</definedName>
    <definedName name="SKE">#REF!</definedName>
    <definedName name="slab" localSheetId="2">#REF!</definedName>
    <definedName name="slab">#REF!</definedName>
    <definedName name="slo" localSheetId="2">#REF!</definedName>
    <definedName name="slo">#REF!</definedName>
    <definedName name="sr">#REF!,#REF!</definedName>
    <definedName name="SS" localSheetId="3">#REF!</definedName>
    <definedName name="SS" localSheetId="2">#REF!</definedName>
    <definedName name="ss" hidden="1">{#N/A,#N/A,FALSE,"운반시간"}</definedName>
    <definedName name="SSS" localSheetId="3">#REF!</definedName>
    <definedName name="SSS" localSheetId="2">#REF!</definedName>
    <definedName name="sss" hidden="1">{#N/A,#N/A,FALSE,"전력간선"}</definedName>
    <definedName name="SSSS">[14]단가산출!$B$4:$AG$49836</definedName>
    <definedName name="sssss" hidden="1">{#N/A,#N/A,FALSE,"전력간선"}</definedName>
    <definedName name="stmin" localSheetId="2">#REF!</definedName>
    <definedName name="stmin">#REF!</definedName>
    <definedName name="stratio" localSheetId="2">#REF!</definedName>
    <definedName name="stratio">#REF!</definedName>
    <definedName name="SU" localSheetId="2">#REF!</definedName>
    <definedName name="SU">#REF!</definedName>
    <definedName name="sv" localSheetId="2">#REF!</definedName>
    <definedName name="sv">#REF!</definedName>
    <definedName name="sw">[0]!sw</definedName>
    <definedName name="SWL" localSheetId="2">#REF!</definedName>
    <definedName name="SWL">#REF!</definedName>
    <definedName name="SWR" localSheetId="2">#REF!</definedName>
    <definedName name="SWR">#REF!</definedName>
    <definedName name="SY" localSheetId="2">#REF!</definedName>
    <definedName name="SY">#REF!</definedName>
    <definedName name="T1S" localSheetId="2">#REF!</definedName>
    <definedName name="T1S">#REF!</definedName>
    <definedName name="T2S" localSheetId="2">#REF!</definedName>
    <definedName name="T2S">#REF!</definedName>
    <definedName name="T3S" localSheetId="2">#REF!</definedName>
    <definedName name="T3S">#REF!</definedName>
    <definedName name="t4t4" localSheetId="3">BlankMacro1</definedName>
    <definedName name="t4t4" localSheetId="2">BlankMacro1</definedName>
    <definedName name="t4t4">BlankMacro1</definedName>
    <definedName name="t4tgtdrgr" localSheetId="3">BlankMacro1</definedName>
    <definedName name="t4tgtdrgr" localSheetId="2">BlankMacro1</definedName>
    <definedName name="t4tgtdrgr">BlankMacro1</definedName>
    <definedName name="Ta" localSheetId="2">#REF!</definedName>
    <definedName name="Ta">#REF!</definedName>
    <definedName name="TANB" localSheetId="2">#REF!</definedName>
    <definedName name="TANB">#REF!</definedName>
    <definedName name="TB" localSheetId="2">#REF!</definedName>
    <definedName name="TB">#REF!</definedName>
    <definedName name="Tba" localSheetId="2">#REF!</definedName>
    <definedName name="Tba">#REF!</definedName>
    <definedName name="TC" localSheetId="2">#REF!</definedName>
    <definedName name="TC">#REF!</definedName>
    <definedName name="TCA" localSheetId="2">#REF!</definedName>
    <definedName name="TCA">#REF!</definedName>
    <definedName name="TCB" localSheetId="2">#REF!</definedName>
    <definedName name="TCB">#REF!</definedName>
    <definedName name="tcw" localSheetId="2">#REF!</definedName>
    <definedName name="tcw">#REF!</definedName>
    <definedName name="tcwds" localSheetId="2">#REF!</definedName>
    <definedName name="tcwds">#REF!</definedName>
    <definedName name="tdl" localSheetId="2">#REF!</definedName>
    <definedName name="tdl">#REF!</definedName>
    <definedName name="tdlp" localSheetId="2">#REF!</definedName>
    <definedName name="tdlp">#REF!</definedName>
    <definedName name="teb" localSheetId="2">#REF!</definedName>
    <definedName name="teb">#REF!</definedName>
    <definedName name="Ted" localSheetId="2">#REF!</definedName>
    <definedName name="Ted">#REF!</definedName>
    <definedName name="teg" localSheetId="3">BlankMacro1</definedName>
    <definedName name="teg" localSheetId="2">BlankMacro1</definedName>
    <definedName name="teg">BlankMacro1</definedName>
    <definedName name="tel" localSheetId="2">#REF!</definedName>
    <definedName name="tel">#REF!</definedName>
    <definedName name="telp" localSheetId="2">#REF!</definedName>
    <definedName name="telp">#REF!</definedName>
    <definedName name="telp1" localSheetId="2">#REF!</definedName>
    <definedName name="telp1">#REF!</definedName>
    <definedName name="telp2" localSheetId="2">#REF!</definedName>
    <definedName name="telp2">#REF!</definedName>
    <definedName name="telp3" localSheetId="2">#REF!</definedName>
    <definedName name="telp3">#REF!</definedName>
    <definedName name="Term_in_years">#REF!</definedName>
    <definedName name="tgh" localSheetId="3">BlankMacro1</definedName>
    <definedName name="tgh" localSheetId="2">BlankMacro1</definedName>
    <definedName name="tgh">BlankMacro1</definedName>
    <definedName name="tgrgr" localSheetId="3">BlankMacro1</definedName>
    <definedName name="tgrgr" localSheetId="2">BlankMacro1</definedName>
    <definedName name="tgrgr">BlankMacro1</definedName>
    <definedName name="th" localSheetId="3">BlankMacro1</definedName>
    <definedName name="th" localSheetId="2">BlankMacro1</definedName>
    <definedName name="th">BlankMacro1</definedName>
    <definedName name="thftyr" localSheetId="3">BlankMacro1</definedName>
    <definedName name="thftyr" localSheetId="2">BlankMacro1</definedName>
    <definedName name="thftyr">BlankMacro1</definedName>
    <definedName name="thgh" localSheetId="3">BlankMacro1</definedName>
    <definedName name="thgh" localSheetId="2">BlankMacro1</definedName>
    <definedName name="thgh">BlankMacro1</definedName>
    <definedName name="thrth" localSheetId="3">BlankMacro1</definedName>
    <definedName name="thrth" localSheetId="2">BlankMacro1</definedName>
    <definedName name="thrth">BlankMacro1</definedName>
    <definedName name="thth" localSheetId="3">BlankMacro1</definedName>
    <definedName name="thth" localSheetId="2">BlankMacro1</definedName>
    <definedName name="thth">BlankMacro1</definedName>
    <definedName name="thtjhgj" localSheetId="3">BlankMacro1</definedName>
    <definedName name="thtjhgj" localSheetId="2">BlankMacro1</definedName>
    <definedName name="thtjhgj">BlankMacro1</definedName>
    <definedName name="Tl" localSheetId="2">#REF!</definedName>
    <definedName name="Tl">#REF!</definedName>
    <definedName name="tll" localSheetId="2">#REF!</definedName>
    <definedName name="tll">#REF!</definedName>
    <definedName name="tllp" localSheetId="2">#REF!</definedName>
    <definedName name="tllp">#REF!</definedName>
    <definedName name="TMO" localSheetId="2">#REF!</definedName>
    <definedName name="TMO">#REF!</definedName>
    <definedName name="top" localSheetId="2">#REF!</definedName>
    <definedName name="top">#REF!</definedName>
    <definedName name="TOPMENU">'[1]#REF'!#REF!</definedName>
    <definedName name="tr" localSheetId="3">BlankMacro1</definedName>
    <definedName name="tr" localSheetId="2">BlankMacro1</definedName>
    <definedName name="tr" hidden="1">#REF!</definedName>
    <definedName name="Tra" localSheetId="2">#REF!</definedName>
    <definedName name="Tra">#REF!</definedName>
    <definedName name="trt" localSheetId="3">BlankMacro1</definedName>
    <definedName name="trt" localSheetId="2">BlankMacro1</definedName>
    <definedName name="trt">BlankMacro1</definedName>
    <definedName name="tryr" localSheetId="3">BlankMacro1</definedName>
    <definedName name="tryr" localSheetId="2">BlankMacro1</definedName>
    <definedName name="tryr">BlankMacro1</definedName>
    <definedName name="TS" localSheetId="2">#REF!</definedName>
    <definedName name="TS">#REF!</definedName>
    <definedName name="Tsa" localSheetId="2">#REF!</definedName>
    <definedName name="Tsa">#REF!</definedName>
    <definedName name="tt" hidden="1">{#N/A,#N/A,FALSE,"단가표지"}</definedName>
    <definedName name="ttt" hidden="1">{#N/A,#N/A,FALSE,"부대1"}</definedName>
    <definedName name="tttt" hidden="1">{#N/A,#N/A,FALSE,"단가표지"}</definedName>
    <definedName name="TU" localSheetId="2">#REF!</definedName>
    <definedName name="TU">#REF!</definedName>
    <definedName name="TV" localSheetId="2">#REF!</definedName>
    <definedName name="TV">#REF!</definedName>
    <definedName name="TW" localSheetId="2">#REF!</definedName>
    <definedName name="TW">#REF!</definedName>
    <definedName name="TWA" localSheetId="2">#REF!</definedName>
    <definedName name="TWA">#REF!</definedName>
    <definedName name="TWL" localSheetId="2">#REF!</definedName>
    <definedName name="TWL">#REF!</definedName>
    <definedName name="TWR" localSheetId="2">#REF!</definedName>
    <definedName name="TWR">#REF!</definedName>
    <definedName name="TWW" localSheetId="2">#REF!</definedName>
    <definedName name="TWW">#REF!</definedName>
    <definedName name="ty" localSheetId="3">BlankMacro1</definedName>
    <definedName name="ty" localSheetId="2">BlankMacro1</definedName>
    <definedName name="ty">BlankMacro1</definedName>
    <definedName name="Ty1H1" localSheetId="2">#REF!</definedName>
    <definedName name="Ty1H1">#REF!</definedName>
    <definedName name="Ty1H2" localSheetId="2">#REF!</definedName>
    <definedName name="Ty1H2">#REF!</definedName>
    <definedName name="Ty1H3" localSheetId="2">#REF!</definedName>
    <definedName name="Ty1H3">#REF!</definedName>
    <definedName name="Ty1Hun1" localSheetId="2">#REF!</definedName>
    <definedName name="Ty1Hun1">#REF!</definedName>
    <definedName name="Ty1Hun2" localSheetId="2">#REF!</definedName>
    <definedName name="Ty1Hun2">#REF!</definedName>
    <definedName name="Ty1K1" localSheetId="2">#REF!</definedName>
    <definedName name="Ty1K1">#REF!</definedName>
    <definedName name="Ty1K2" localSheetId="2">#REF!</definedName>
    <definedName name="Ty1K2">#REF!</definedName>
    <definedName name="Ty1L1" localSheetId="2">#REF!</definedName>
    <definedName name="Ty1L1">#REF!</definedName>
    <definedName name="Ty1L2" localSheetId="2">#REF!</definedName>
    <definedName name="Ty1L2">#REF!</definedName>
    <definedName name="Ty1L3" localSheetId="2">#REF!</definedName>
    <definedName name="Ty1L3">#REF!</definedName>
    <definedName name="Ty1L4" localSheetId="2">#REF!</definedName>
    <definedName name="Ty1L4">#REF!</definedName>
    <definedName name="Ty1L5" localSheetId="2">#REF!</definedName>
    <definedName name="Ty1L5">#REF!</definedName>
    <definedName name="Ty1L6" localSheetId="2">#REF!</definedName>
    <definedName name="Ty1L6">#REF!</definedName>
    <definedName name="Ty1TH" localSheetId="2">#REF!</definedName>
    <definedName name="Ty1TH">#REF!</definedName>
    <definedName name="Ty1TL" localSheetId="2">#REF!</definedName>
    <definedName name="Ty1TL">#REF!</definedName>
    <definedName name="Ty2H1" localSheetId="2">#REF!</definedName>
    <definedName name="Ty2H1">#REF!</definedName>
    <definedName name="Ty2H2" localSheetId="2">#REF!</definedName>
    <definedName name="Ty2H2">#REF!</definedName>
    <definedName name="Ty2H3" localSheetId="2">#REF!</definedName>
    <definedName name="Ty2H3">#REF!</definedName>
    <definedName name="Ty2Hun1" localSheetId="2">#REF!</definedName>
    <definedName name="Ty2Hun1">#REF!</definedName>
    <definedName name="Ty2Hun2" localSheetId="2">#REF!</definedName>
    <definedName name="Ty2Hun2">#REF!</definedName>
    <definedName name="Ty2K1" localSheetId="2">#REF!</definedName>
    <definedName name="Ty2K1">#REF!</definedName>
    <definedName name="Ty2K2" localSheetId="2">#REF!</definedName>
    <definedName name="Ty2K2">#REF!</definedName>
    <definedName name="Ty2L1" localSheetId="2">#REF!</definedName>
    <definedName name="Ty2L1">#REF!</definedName>
    <definedName name="Ty2L2" localSheetId="2">#REF!</definedName>
    <definedName name="Ty2L2">#REF!</definedName>
    <definedName name="Ty2L3" localSheetId="2">#REF!</definedName>
    <definedName name="Ty2L3">#REF!</definedName>
    <definedName name="Ty2L4" localSheetId="2">#REF!</definedName>
    <definedName name="Ty2L4">#REF!</definedName>
    <definedName name="Ty2L5" localSheetId="2">#REF!</definedName>
    <definedName name="Ty2L5">#REF!</definedName>
    <definedName name="Ty2L6" localSheetId="2">#REF!</definedName>
    <definedName name="Ty2L6">#REF!</definedName>
    <definedName name="Ty2TH" localSheetId="2">#REF!</definedName>
    <definedName name="Ty2TH">#REF!</definedName>
    <definedName name="Ty2TL" localSheetId="2">#REF!</definedName>
    <definedName name="Ty2TL">#REF!</definedName>
    <definedName name="tyh" localSheetId="3">BlankMacro1</definedName>
    <definedName name="tyh" localSheetId="2">BlankMacro1</definedName>
    <definedName name="tyh">BlankMacro1</definedName>
    <definedName name="tyjykr" localSheetId="3">BlankMacro1</definedName>
    <definedName name="tyjykr" localSheetId="2">BlankMacro1</definedName>
    <definedName name="tyjykr">BlankMacro1</definedName>
    <definedName name="TYPE" localSheetId="2">#REF!</definedName>
    <definedName name="TYPE">#REF!</definedName>
    <definedName name="tyty" localSheetId="3">BlankMacro1</definedName>
    <definedName name="tyty" localSheetId="2">BlankMacro1</definedName>
    <definedName name="tyty">BlankMacro1</definedName>
    <definedName name="tyutk" localSheetId="3">BlankMacro1</definedName>
    <definedName name="tyutk" localSheetId="2">BlankMacro1</definedName>
    <definedName name="tyutk">BlankMacro1</definedName>
    <definedName name="tyy" localSheetId="3">BlankMacro1</definedName>
    <definedName name="tyy" localSheetId="2">BlankMacro1</definedName>
    <definedName name="tyy">BlankMacro1</definedName>
    <definedName name="U" localSheetId="3">#REF!</definedName>
    <definedName name="U" localSheetId="2">#REF!</definedName>
    <definedName name="U">[38]내역서!#REF!</definedName>
    <definedName name="ujjfff" localSheetId="3">BlankMacro1</definedName>
    <definedName name="ujjfff" localSheetId="2">BlankMacro1</definedName>
    <definedName name="ujjfff">BlankMacro1</definedName>
    <definedName name="UL">[12]을!#REF!</definedName>
    <definedName name="UMh" localSheetId="2">#REF!</definedName>
    <definedName name="UMh">#REF!</definedName>
    <definedName name="UMv" localSheetId="2">#REF!</definedName>
    <definedName name="UMv">#REF!</definedName>
    <definedName name="UNIT_1">#REF!</definedName>
    <definedName name="UNIT_3">#REF!</definedName>
    <definedName name="uo" localSheetId="3">BlankMacro1</definedName>
    <definedName name="uo" localSheetId="2">BlankMacro1</definedName>
    <definedName name="uo">BlankMacro1</definedName>
    <definedName name="UT" localSheetId="2">#REF!</definedName>
    <definedName name="UT">#REF!</definedName>
    <definedName name="uu">[58]DATA!$B$4:$F$495</definedName>
    <definedName name="uuu" hidden="1">{#N/A,#N/A,FALSE,"부대2"}</definedName>
    <definedName name="UVh" localSheetId="2">#REF!</definedName>
    <definedName name="UVh">#REF!</definedName>
    <definedName name="UVv" localSheetId="2">#REF!</definedName>
    <definedName name="UVv">#REF!</definedName>
    <definedName name="V" localSheetId="3">#REF!</definedName>
    <definedName name="V" localSheetId="2">#REF!</definedName>
    <definedName name="V">[59]내역서!#REF!</definedName>
    <definedName name="Value">401.106502805424</definedName>
    <definedName name="VAT">#REF!</definedName>
    <definedName name="VB">[18]내역서!$I$49</definedName>
    <definedName name="vbdfgg">[20]!Macro7</definedName>
    <definedName name="VCB_AF">#REF!</definedName>
    <definedName name="VCB_AT">#REF!</definedName>
    <definedName name="vcc" hidden="1">{#N/A,#N/A,FALSE,"구조1"}</definedName>
    <definedName name="vcxvcxvc" hidden="1">{#N/A,#N/A,FALSE,"혼합골재"}</definedName>
    <definedName name="vdsfv" localSheetId="3">BlankMacro1</definedName>
    <definedName name="vdsfv" localSheetId="2">BlankMacro1</definedName>
    <definedName name="vdsfv">BlankMacro1</definedName>
    <definedName name="vfeg" localSheetId="3">BlankMacro1</definedName>
    <definedName name="vfeg" localSheetId="2">BlankMacro1</definedName>
    <definedName name="vfeg">BlankMacro1</definedName>
    <definedName name="vhdl1" localSheetId="2">#REF!</definedName>
    <definedName name="vhdl1">#REF!</definedName>
    <definedName name="vhel1" localSheetId="2">#REF!</definedName>
    <definedName name="vhel1">#REF!</definedName>
    <definedName name="vhel2" localSheetId="2">#REF!</definedName>
    <definedName name="vhel2">#REF!</definedName>
    <definedName name="vhel3" localSheetId="2">#REF!</definedName>
    <definedName name="vhel3">#REF!</definedName>
    <definedName name="vhll1" localSheetId="2">#REF!</definedName>
    <definedName name="vhll1">#REF!</definedName>
    <definedName name="vhpe2" localSheetId="2">#REF!</definedName>
    <definedName name="vhpe2">#REF!</definedName>
    <definedName name="vhpw" localSheetId="2">#REF!</definedName>
    <definedName name="vhpw">#REF!</definedName>
    <definedName name="vhw" localSheetId="2">#REF!</definedName>
    <definedName name="vhw">#REF!</definedName>
    <definedName name="VIP">[56]!Macro9</definedName>
    <definedName name="VIR">[56]!Macro7</definedName>
    <definedName name="VIS">[56]!Macro9</definedName>
    <definedName name="VOLT_P">#REF!</definedName>
    <definedName name="VOLT_W">#REF!</definedName>
    <definedName name="VPIP_2">#REF!</definedName>
    <definedName name="VPIP_3">#REF!</definedName>
    <definedName name="VPIP_4">#REF!</definedName>
    <definedName name="VpRLANF" hidden="1">{#N/A,#N/A,FALSE,"부대2"}</definedName>
    <definedName name="Vu" localSheetId="2">#REF!</definedName>
    <definedName name="Vu">#REF!</definedName>
    <definedName name="VV">[15]전기일위목록!$B$4:$K$144</definedName>
    <definedName name="vvdl1" localSheetId="2">#REF!</definedName>
    <definedName name="vvdl1">#REF!</definedName>
    <definedName name="vvel1" localSheetId="2">#REF!</definedName>
    <definedName name="vvel1">#REF!</definedName>
    <definedName name="vvel2" localSheetId="2">#REF!</definedName>
    <definedName name="vvel2">#REF!</definedName>
    <definedName name="vvel3" localSheetId="2">#REF!</definedName>
    <definedName name="vvel3">#REF!</definedName>
    <definedName name="vvll1" localSheetId="2">#REF!</definedName>
    <definedName name="vvll1">#REF!</definedName>
    <definedName name="vvpe2" localSheetId="2">#REF!</definedName>
    <definedName name="vvpe2">#REF!</definedName>
    <definedName name="vvpw" localSheetId="2">#REF!</definedName>
    <definedName name="vvpw">#REF!</definedName>
    <definedName name="VVV" localSheetId="3">#REF!</definedName>
    <definedName name="VVV" localSheetId="2">#REF!</definedName>
    <definedName name="VVV">[15]요율!$B$4:$K$144</definedName>
    <definedName name="vvvj" localSheetId="3">BlankMacro1</definedName>
    <definedName name="vvvj" localSheetId="2">BlankMacro1</definedName>
    <definedName name="vvvj">BlankMacro1</definedName>
    <definedName name="vvw" localSheetId="2">#REF!</definedName>
    <definedName name="vvw">#REF!</definedName>
    <definedName name="VWIRE">#REF!</definedName>
    <definedName name="vxvxv" hidden="1">{#N/A,#N/A,FALSE,"골재소요량";#N/A,#N/A,FALSE,"골재소요량"}</definedName>
    <definedName name="w" localSheetId="3">BlankMacro1</definedName>
    <definedName name="w" localSheetId="2">BlankMacro1</definedName>
    <definedName name="w">'[12]#REF'!#REF!</definedName>
    <definedName name="W_1">'[45]MACRO(MCC)'!$E$1</definedName>
    <definedName name="W_3">'[45]MACRO(MCC)'!$C$1</definedName>
    <definedName name="w_m" localSheetId="2">#REF!</definedName>
    <definedName name="w_m">#REF!</definedName>
    <definedName name="w_m1" localSheetId="2">#REF!</definedName>
    <definedName name="w_m1">#REF!</definedName>
    <definedName name="w_m2" localSheetId="2">#REF!</definedName>
    <definedName name="w_m2">#REF!</definedName>
    <definedName name="w_m22" localSheetId="2">#REF!</definedName>
    <definedName name="w_m22">#REF!</definedName>
    <definedName name="W1C" localSheetId="2">#REF!</definedName>
    <definedName name="W1C">#REF!</definedName>
    <definedName name="w2_p1">#REF!</definedName>
    <definedName name="W2C" localSheetId="2">#REF!</definedName>
    <definedName name="W2C">#REF!</definedName>
    <definedName name="W3_P3">#REF!</definedName>
    <definedName name="W3C" localSheetId="2">#REF!</definedName>
    <definedName name="W3C">#REF!</definedName>
    <definedName name="WA" localSheetId="2">#REF!</definedName>
    <definedName name="WA">#REF!</definedName>
    <definedName name="wbeta" localSheetId="2">#REF!</definedName>
    <definedName name="wbeta">#REF!</definedName>
    <definedName name="WC" localSheetId="2">#REF!</definedName>
    <definedName name="WC">#REF!</definedName>
    <definedName name="WCC" localSheetId="2">#REF!</definedName>
    <definedName name="WCC">#REF!</definedName>
    <definedName name="WCP" localSheetId="2">#REF!</definedName>
    <definedName name="WCP">#REF!</definedName>
    <definedName name="weqe" hidden="1">{#N/A,#N/A,FALSE,"부대1"}</definedName>
    <definedName name="wer" hidden="1">{#N/A,#N/A,FALSE,"골재소요량";#N/A,#N/A,FALSE,"골재소요량"}</definedName>
    <definedName name="werfew" localSheetId="3">BlankMacro1</definedName>
    <definedName name="werfew" localSheetId="2">BlankMacro1</definedName>
    <definedName name="werfew">BlankMacro1</definedName>
    <definedName name="wessdd">'[12]#REF'!#REF!</definedName>
    <definedName name="wetuyre" localSheetId="3">BlankMacro1</definedName>
    <definedName name="wetuyre" localSheetId="2">BlankMacro1</definedName>
    <definedName name="wetuyre">BlankMacro1</definedName>
    <definedName name="WF" localSheetId="2">#REF!</definedName>
    <definedName name="WF">#REF!</definedName>
    <definedName name="WFF" localSheetId="2">#REF!</definedName>
    <definedName name="WFF">#REF!</definedName>
    <definedName name="wfs" localSheetId="2">#REF!</definedName>
    <definedName name="wfs">#REF!</definedName>
    <definedName name="wh" localSheetId="2">#REF!</definedName>
    <definedName name="wh">#REF!</definedName>
    <definedName name="wing_l" localSheetId="2">#REF!</definedName>
    <definedName name="wing_l">#REF!</definedName>
    <definedName name="WING_T" localSheetId="2">#REF!</definedName>
    <definedName name="WING_T">#REF!</definedName>
    <definedName name="WIRE_1">#REF!</definedName>
    <definedName name="WIRE_3">#REF!</definedName>
    <definedName name="WL" localSheetId="2">#REF!</definedName>
    <definedName name="WL">#REF!</definedName>
    <definedName name="WLQ" hidden="1">{#N/A,#N/A,FALSE,"명세표"}</definedName>
    <definedName name="wm.조골재1" hidden="1">{#N/A,#N/A,FALSE,"조골재"}</definedName>
    <definedName name="WON">[12]을!#REF!</definedName>
    <definedName name="woogi" localSheetId="2" hidden="1">#REF!</definedName>
    <definedName name="woogi" hidden="1">#REF!</definedName>
    <definedName name="woogi2" localSheetId="2" hidden="1">#REF!</definedName>
    <definedName name="woogi2" hidden="1">#REF!</definedName>
    <definedName name="WPP" localSheetId="2">#REF!</definedName>
    <definedName name="WPP">#REF!</definedName>
    <definedName name="wrn.2번." hidden="1">{#N/A,#N/A,FALSE,"2~8번"}</definedName>
    <definedName name="wrn.97년._.사업계획._.및._.예산지침." hidden="1">{#N/A,#N/A,TRUE,"1";#N/A,#N/A,TRUE,"2";#N/A,#N/A,TRUE,"3";#N/A,#N/A,TRUE,"4";#N/A,#N/A,TRUE,"5";#N/A,#N/A,TRUE,"6";#N/A,#N/A,TRUE,"7"}</definedName>
    <definedName name="wrn.test1." hidden="1">{#N/A,#N/A,FALSE,"명세표"}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단가표지." hidden="1">{#N/A,#N/A,FALSE,"단가표지"}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속도." hidden="1">{#N/A,#N/A,FALSE,"속도"}</definedName>
    <definedName name="wrn.수." hidden="1">{#N/A,"수불부",FALSE,"사급자재수불서";#N/A,"수불부",FALSE,"사급자재수불서"}</definedName>
    <definedName name="wrn.신용찬." hidden="1">{#N/A,#N/A,TRUE,"토적및재료집계";#N/A,#N/A,TRUE,"토적및재료집계";#N/A,#N/A,TRUE,"단위량"}</definedName>
    <definedName name="wrn.연동제." localSheetId="3" hidden="1">{#N/A,#N/A,TRUE,"총괄"}</definedName>
    <definedName name="wrn.연동제." hidden="1">{#N/A,#N/A,TRUE,"총괄"}</definedName>
    <definedName name="wrn.운반시간." hidden="1">{#N/A,#N/A,FALSE,"운반시간"}</definedName>
    <definedName name="wrn.이정표." hidden="1">{#N/A,#N/A,FALSE,"이정표"}</definedName>
    <definedName name="wrn.일위대가." localSheetId="3" hidden="1">{#N/A,#N/A,TRUE,"대가1"}</definedName>
    <definedName name="wrn.일위대가." hidden="1">{#N/A,#N/A,TRUE,"대가1"}</definedName>
    <definedName name="wrn.조골재." hidden="1">{#N/A,#N/A,FALSE,"조골재"}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표지." hidden="1">{#N/A,#N/A,FALSE,"표지"}</definedName>
    <definedName name="wrn.표지목차." hidden="1">{#N/A,#N/A,FALSE,"표지목차"}</definedName>
    <definedName name="wrn.혼합골재." hidden="1">{#N/A,#N/A,FALSE,"혼합골재"}</definedName>
    <definedName name="WS" localSheetId="2">#REF!</definedName>
    <definedName name="WS">#REF!</definedName>
    <definedName name="WSO" localSheetId="2">#REF!</definedName>
    <definedName name="WSO">#REF!</definedName>
    <definedName name="WSUM" localSheetId="2">#REF!</definedName>
    <definedName name="WSUM">#REF!</definedName>
    <definedName name="Ws삼" localSheetId="2">#REF!</definedName>
    <definedName name="Ws삼">#REF!</definedName>
    <definedName name="Ws이" localSheetId="2">#REF!</definedName>
    <definedName name="Ws이">#REF!</definedName>
    <definedName name="Ws일" localSheetId="2">#REF!</definedName>
    <definedName name="Ws일">#REF!</definedName>
    <definedName name="ww" hidden="1">{#N/A,#N/A,FALSE,"골재소요량";#N/A,#N/A,FALSE,"골재소요량"}</definedName>
    <definedName name="WWW">#REF!</definedName>
    <definedName name="wwww" hidden="1">{#N/A,#N/A,FALSE,"전력간선"}</definedName>
    <definedName name="wwwweqwe" hidden="1">{#N/A,#N/A,FALSE,"배수1"}</definedName>
    <definedName name="wwwww" hidden="1">{#N/A,#N/A,FALSE,"골재소요량";#N/A,#N/A,FALSE,"골재소요량"}</definedName>
    <definedName name="wwwwww" hidden="1">{#N/A,#N/A,FALSE,"구조2"}</definedName>
    <definedName name="wwwwwww" hidden="1">{#N/A,#N/A,FALSE,"단가표지"}</definedName>
    <definedName name="X">[38]내역서!#REF!</definedName>
    <definedName name="X9701D_일위대가_List">#REF!</definedName>
    <definedName name="xcvxcvx" hidden="1">{#N/A,#N/A,FALSE,"표지목차"}</definedName>
    <definedName name="xx" hidden="1">#REF!</definedName>
    <definedName name="xxx" localSheetId="3">#REF!</definedName>
    <definedName name="xxx" localSheetId="2">#REF!</definedName>
    <definedName name="xxx" hidden="1">#REF!</definedName>
    <definedName name="y" localSheetId="2">#REF!</definedName>
    <definedName name="y">#REF!</definedName>
    <definedName name="YC" localSheetId="2">#REF!</definedName>
    <definedName name="YC">#REF!</definedName>
    <definedName name="yed" localSheetId="3">BlankMacro1</definedName>
    <definedName name="yed" localSheetId="2">BlankMacro1</definedName>
    <definedName name="yed">BlankMacro1</definedName>
    <definedName name="YHJ" localSheetId="2">#REF!</definedName>
    <definedName name="YHJ">#REF!</definedName>
    <definedName name="yhr" localSheetId="3">BlankMacro1</definedName>
    <definedName name="yhr" localSheetId="2">BlankMacro1</definedName>
    <definedName name="yhr">BlankMacro1</definedName>
    <definedName name="yhrtu" localSheetId="3">BlankMacro1</definedName>
    <definedName name="yhrtu" localSheetId="2">BlankMacro1</definedName>
    <definedName name="yhrtu">BlankMacro1</definedName>
    <definedName name="yiulk" localSheetId="3">BlankMacro1</definedName>
    <definedName name="yiulk" localSheetId="2">BlankMacro1</definedName>
    <definedName name="yiulk">BlankMacro1</definedName>
    <definedName name="yr" localSheetId="3">BlankMacro1</definedName>
    <definedName name="yr" localSheetId="2">BlankMacro1</definedName>
    <definedName name="yr">BlankMacro1</definedName>
    <definedName name="yuiyi" localSheetId="3">BlankMacro1</definedName>
    <definedName name="yuiyi" localSheetId="2">BlankMacro1</definedName>
    <definedName name="yuiyi">BlankMacro1</definedName>
    <definedName name="yyjkyk" localSheetId="3">BlankMacro1</definedName>
    <definedName name="yyjkyk" localSheetId="2">BlankMacro1</definedName>
    <definedName name="yyjkyk">BlankMacro1</definedName>
    <definedName name="YYY">#REF!</definedName>
    <definedName name="yyyuj" localSheetId="3">BlankMacro1</definedName>
    <definedName name="yyyuj" localSheetId="2">BlankMacro1</definedName>
    <definedName name="yyyuj">BlankMacro1</definedName>
    <definedName name="yyyyy" hidden="1">{#N/A,#N/A,FALSE,"이정표"}</definedName>
    <definedName name="z">'[12]#REF'!#REF!</definedName>
    <definedName name="z\gf">#REF!</definedName>
    <definedName name="za" hidden="1">[49]실행철강하도!$A$1:$A$4</definedName>
    <definedName name="zal">#REF!</definedName>
    <definedName name="zcu">#REF!</definedName>
    <definedName name="zd">#REF!</definedName>
    <definedName name="ZP">#REF!</definedName>
    <definedName name="ZZ">[60]공사원가계산서!#REF!</definedName>
    <definedName name="ㄱ" localSheetId="3">#REF!</definedName>
    <definedName name="ㄱ" localSheetId="2">#REF!</definedName>
    <definedName name="ㄱ">#REF!</definedName>
    <definedName name="ㄱㄱ" hidden="1">{#N/A,#N/A,FALSE,"명세표"}</definedName>
    <definedName name="ㄱㄷㄷㄷ">[0]!ㄱㄷㄷㄷ</definedName>
    <definedName name="ㄱㄷㅈㄱㄷㅈㄱㅈㄷ" hidden="1">{#N/A,#N/A,FALSE,"혼합골재"}</definedName>
    <definedName name="ㄱㅈㅎ" hidden="1">#REF!</definedName>
    <definedName name="ㄱㅎ" localSheetId="3">BlankMacro1</definedName>
    <definedName name="ㄱㅎ" localSheetId="2">BlankMacro1</definedName>
    <definedName name="ㄱㅎ">BlankMacro1</definedName>
    <definedName name="가" localSheetId="23">#REF!</definedName>
    <definedName name="가" localSheetId="22">#REF!</definedName>
    <definedName name="가" localSheetId="3">#REF!</definedName>
    <definedName name="가" localSheetId="2">#REF!</definedName>
    <definedName name="가">'기계설비 목록별산출'!가</definedName>
    <definedName name="가123">'[1]#REF'!#REF!</definedName>
    <definedName name="가공명찰1">[9]종합기별!$Z$10</definedName>
    <definedName name="가공명찰2">[9]종합기별!$Z$13</definedName>
    <definedName name="가공명찰3">[9]종합기별!$Z$16</definedName>
    <definedName name="가공명찰4">[9]종합기별!$Z$19</definedName>
    <definedName name="가공스파이랄1">[9]종합기별!$AC$10</definedName>
    <definedName name="가공스파이랄2">[9]종합기별!$AC$13</definedName>
    <definedName name="가공스파이랄3">[9]종합기별!$AC$16</definedName>
    <definedName name="가공스파이랄4">[9]종합기별!$AC$19</definedName>
    <definedName name="가나다라마바사" hidden="1">{#N/A,#N/A,FALSE,"명세표"}</definedName>
    <definedName name="가로등" localSheetId="3">#N/A</definedName>
    <definedName name="가로등" localSheetId="2">#N/A</definedName>
    <definedName name="가로등">순공사비집계표!가로등</definedName>
    <definedName name="가로등부표1">[20]!Macro13</definedName>
    <definedName name="가로등부표2">#REF!,#REF!</definedName>
    <definedName name="가로등입력" localSheetId="3">#N/A</definedName>
    <definedName name="가로등입력" localSheetId="2">#N/A</definedName>
    <definedName name="가로등입력">순공사비집계표!가로등입력</definedName>
    <definedName name="가로등주">#REF!</definedName>
    <definedName name="가설1">'[61]수량계산서 집계표(가설 신설 및 철거-을지로3가 2호선)'!$A:$AQ</definedName>
    <definedName name="가설2">'[62]수량계산서 집계표(가설 신설 및 철거-을지로3가 3호선)'!$A:$AQ</definedName>
    <definedName name="가설공사">#REF!</definedName>
    <definedName name="가설공사비">#REF!</definedName>
    <definedName name="가시나무R4">[63]데이타!$E$2</definedName>
    <definedName name="가시나무R5">[63]데이타!$E$3</definedName>
    <definedName name="가시나무R6">[63]데이타!$E$4</definedName>
    <definedName name="가시나무R8">[63]데이타!$E$5</definedName>
    <definedName name="가식장" localSheetId="2">#REF!</definedName>
    <definedName name="가식장">#REF!</definedName>
    <definedName name="가아" hidden="1">[64]수량산출!#REF!</definedName>
    <definedName name="가이즈까향1204">[63]데이타!$E$6</definedName>
    <definedName name="가이즈까향1505">[63]데이타!$E$7</definedName>
    <definedName name="가이즈까향2006">[63]데이타!$E$8</definedName>
    <definedName name="가이즈까향2008">[63]데이타!$E$9</definedName>
    <definedName name="가이즈까향2510">[63]데이타!$E$10</definedName>
    <definedName name="가중나무B10">[63]데이타!$E$19</definedName>
    <definedName name="가중나무B4">[63]데이타!$E$15</definedName>
    <definedName name="가중나무B5">[63]데이타!$E$16</definedName>
    <definedName name="가중나무B6">[63]데이타!$E$17</definedName>
    <definedName name="가중나무B8">[63]데이타!$E$18</definedName>
    <definedName name="간" hidden="1">{#N/A,#N/A,FALSE,"명세표"}</definedName>
    <definedName name="간노2">[65]설계명세서!#REF!</definedName>
    <definedName name="간이공사설계서">BlankMacro1</definedName>
    <definedName name="간접공사비" localSheetId="2">#REF!</definedName>
    <definedName name="간접공사비">#REF!</definedName>
    <definedName name="간접노무비" localSheetId="3">#REF!</definedName>
    <definedName name="간접노무비" localSheetId="2">#REF!</definedName>
    <definedName name="간접노무비">#REF!</definedName>
    <definedName name="간접재료비">#REF!</definedName>
    <definedName name="간지" localSheetId="3">#N/A</definedName>
    <definedName name="간지" localSheetId="2">#N/A</definedName>
    <definedName name="간지">BlankMacro1</definedName>
    <definedName name="감R10">[63]데이타!$E$24</definedName>
    <definedName name="감R12">[63]데이타!$E$25</definedName>
    <definedName name="감R15">[63]데이타!$E$26</definedName>
    <definedName name="감R5">[63]데이타!$E$20</definedName>
    <definedName name="감R6">[63]데이타!$E$21</definedName>
    <definedName name="감R7">[63]데이타!$E$22</definedName>
    <definedName name="감R8">[63]데이타!$E$23</definedName>
    <definedName name="감나무" localSheetId="2">#REF!</definedName>
    <definedName name="감나무">#REF!</definedName>
    <definedName name="감속턱수량" localSheetId="2">#REF!</definedName>
    <definedName name="감속턱수량">#REF!</definedName>
    <definedName name="갑">#REF!</definedName>
    <definedName name="갑지">#REF!</definedName>
    <definedName name="갑지1">#REF!</definedName>
    <definedName name="강관건주">[9]노무비명세서!$AE$63</definedName>
    <definedName name="강남지점">BlankMacro1</definedName>
    <definedName name="강동지점">BlankMacro1</definedName>
    <definedName name="강아지" hidden="1">#REF!</definedName>
    <definedName name="강탄성계수" localSheetId="2">#REF!</definedName>
    <definedName name="강탄성계수">#REF!</definedName>
    <definedName name="강하">[66]일위총괄표!$A$1:$L$65</definedName>
    <definedName name="개나리" localSheetId="2">#REF!</definedName>
    <definedName name="개나리">#REF!</definedName>
    <definedName name="개나리12">[63]데이타!$E$31</definedName>
    <definedName name="개나리3">[63]데이타!$E$27</definedName>
    <definedName name="개나리5">[63]데이타!$E$28</definedName>
    <definedName name="개나리7">[63]데이타!$E$29</definedName>
    <definedName name="개나리9">[63]데이타!$E$30</definedName>
    <definedName name="개비온" localSheetId="3">BlankMacro1</definedName>
    <definedName name="개비온" localSheetId="2">BlankMacro1</definedName>
    <definedName name="개비온">BlankMacro1</definedName>
    <definedName name="개소별명세표" hidden="1">{#N/A,#N/A,FALSE,"명세표"}</definedName>
    <definedName name="개쉬땅1204">[63]데이타!$E$32</definedName>
    <definedName name="개쉬땅1506">[63]데이타!$E$33</definedName>
    <definedName name="거마간준공">[26]data!$A$1:$E$916</definedName>
    <definedName name="거마준공">[27]data!$A$1:$F$1193</definedName>
    <definedName name="거마준공1">[26]data!$A$2:$F$916</definedName>
    <definedName name="거ㅏ" hidden="1">[67]수량산출!$A$3:$H$8539</definedName>
    <definedName name="건설기계운전기사">[68]기본단가표!$K$12</definedName>
    <definedName name="건설기계운전조수">[68]기본단가표!$K$14</definedName>
    <definedName name="건설기계조장">[68]기본단가표!$K$13</definedName>
    <definedName name="건축" hidden="1">{#N/A,#N/A,TRUE,"토적및재료집계";#N/A,#N/A,TRUE,"토적및재료집계";#N/A,#N/A,TRUE,"단위량"}</definedName>
    <definedName name="건축목공">[69]기본단가표!$L$10</definedName>
    <definedName name="건축원가" hidden="1">[66]전기!$B$4:$B$163</definedName>
    <definedName name="견">#REF!,#REF!</definedName>
    <definedName name="견갑">#REF!</definedName>
    <definedName name="견적" hidden="1">[70]내역서1999.8최종!$A$1:$A$2438</definedName>
    <definedName name="견적갑">#REF!</definedName>
    <definedName name="견적갑1">#REF!</definedName>
    <definedName name="견적단가">[71]견적단가!$A$3:$K$131</definedName>
    <definedName name="결로" localSheetId="2">#REF!</definedName>
    <definedName name="결로">#REF!</definedName>
    <definedName name="겹동백1002">[63]데이타!$E$145</definedName>
    <definedName name="겹동백1204">[63]데이타!$E$146</definedName>
    <definedName name="겹동백1506">[63]데이타!$E$147</definedName>
    <definedName name="겹벗R6">[63]데이타!$E$34</definedName>
    <definedName name="겹벗R8">[63]데이타!$E$35</definedName>
    <definedName name="겹철쭉0304">[63]데이타!$E$36</definedName>
    <definedName name="겹철쭉0506">[63]데이타!$E$37</definedName>
    <definedName name="겹철쭉0608">[63]데이타!$E$38</definedName>
    <definedName name="겹철쭉0810">[63]데이타!$E$39</definedName>
    <definedName name="겹철쭉0812">[63]데이타!$E$40</definedName>
    <definedName name="경계블럭연장" hidden="1">[72]조명시설!#REF!</definedName>
    <definedName name="경기노임">#REF!</definedName>
    <definedName name="경비" localSheetId="3">#REF!</definedName>
    <definedName name="경비" localSheetId="2">#REF!</definedName>
    <definedName name="경비">#REF!</definedName>
    <definedName name="경비2">[65]설계명세서!#REF!</definedName>
    <definedName name="경비율" localSheetId="3">#REF!</definedName>
    <definedName name="경비율" localSheetId="2">#REF!</definedName>
    <definedName name="경비율">#REF!</definedName>
    <definedName name="경비율1" localSheetId="2">#REF!</definedName>
    <definedName name="경비율1">#REF!</definedName>
    <definedName name="경유" localSheetId="3">[68]기본단가표!$L$46</definedName>
    <definedName name="경유" localSheetId="2">[68]기본단가표!$L$46</definedName>
    <definedName name="경유">#REF!</definedName>
    <definedName name="경인교대">[0]!경인교대</definedName>
    <definedName name="계" localSheetId="2">#REF!</definedName>
    <definedName name="계">#REF!</definedName>
    <definedName name="계산">[0]!계산</definedName>
    <definedName name="계산서총괄표">#N/A</definedName>
    <definedName name="계산조건">#REF!,#REF!</definedName>
    <definedName name="계산조건1">[20]!Macro6</definedName>
    <definedName name="계수B5">[63]데이타!$E$41</definedName>
    <definedName name="계수B6">[63]데이타!$E$42</definedName>
    <definedName name="계수B8">[63]데이타!$E$43</definedName>
    <definedName name="계수간격">#REF!</definedName>
    <definedName name="계약을">#REF!</definedName>
    <definedName name="고" hidden="1">{#N/A,#N/A,FALSE,"조골재"}</definedName>
    <definedName name="고광3">[63]데이타!$E$44</definedName>
    <definedName name="고광5">[63]데이타!$E$45</definedName>
    <definedName name="고압블럭수량" localSheetId="2">#REF!</definedName>
    <definedName name="고압블럭수량">#REF!</definedName>
    <definedName name="고용보험료" localSheetId="2">#REF!</definedName>
    <definedName name="고용보험료">#REF!</definedName>
    <definedName name="고임331">#REF!</definedName>
    <definedName name="고임332">#REF!</definedName>
    <definedName name="고임333">#REF!</definedName>
    <definedName name="고임661">#REF!</definedName>
    <definedName name="고임662">#REF!</definedName>
    <definedName name="고임663">#REF!</definedName>
    <definedName name="고재">#REF!</definedName>
    <definedName name="고정차고부속동신설수량">'[2]30집계표'!$A$4:$O$134</definedName>
    <definedName name="고케">#REF!</definedName>
    <definedName name="고허CV">#REF!</definedName>
    <definedName name="곰솔2508">[73]데이타!$E$46</definedName>
    <definedName name="곰솔3010">[63]데이타!$E$47</definedName>
    <definedName name="곰솔R10">[63]데이타!$E$48</definedName>
    <definedName name="곰솔R12">[63]데이타!$E$49</definedName>
    <definedName name="곰솔R15">[63]데이타!$E$50</definedName>
    <definedName name="곱">[50]DATE!$I$24:$I$85</definedName>
    <definedName name="공구관로번호" localSheetId="2">#REF!</definedName>
    <definedName name="공구관로번호">#REF!</definedName>
    <definedName name="공구도로명" localSheetId="2">#REF!</definedName>
    <definedName name="공구도로명">#REF!</definedName>
    <definedName name="공구손료">#REF!</definedName>
    <definedName name="공기">#REF!</definedName>
    <definedName name="공덕분전반견적">[74]견적가!$A$5:$N$210</definedName>
    <definedName name="공덕조명">[74]견적가!$A$212:$N$262</definedName>
    <definedName name="공동구공" localSheetId="2">#REF!</definedName>
    <definedName name="공동구공">#REF!</definedName>
    <definedName name="공동구공집계표" localSheetId="2">#REF!</definedName>
    <definedName name="공동구공집계표">#REF!</definedName>
    <definedName name="공명">[75]도급예산내역서봉투!$C$5</definedName>
    <definedName name="공비">#REF!</definedName>
    <definedName name="공사감독자">#REF!</definedName>
    <definedName name="공사구간">#REF!</definedName>
    <definedName name="공사명" localSheetId="2">#REF!</definedName>
    <definedName name="공사명">#REF!</definedName>
    <definedName name="공사시방서" hidden="1">{#N/A,#N/A,FALSE,"명세표"}</definedName>
    <definedName name="공사시방서1" hidden="1">{#N/A,#N/A,FALSE,"명세표"}</definedName>
    <definedName name="공사원가">#REF!</definedName>
    <definedName name="공사원가계산서" hidden="1">{#N/A,#N/A,TRUE,"토적및재료집계";#N/A,#N/A,TRUE,"토적및재료집계";#N/A,#N/A,TRUE,"단위량"}</definedName>
    <definedName name="공사원가계산서경비소계">[75]공사원가계산서!$C$22</definedName>
    <definedName name="공사원가계산서노무비">[75]공사원가계산서!$C$9</definedName>
    <definedName name="공사원가계산서재료비">[75]공사원가계산서!$C$6</definedName>
    <definedName name="공사원가명세서" localSheetId="2">#REF!</definedName>
    <definedName name="공사원가명세서">#REF!</definedName>
    <definedName name="공사원가명세서분석표1" localSheetId="2">[76]경산!#REF!</definedName>
    <definedName name="공사원가명세서분석표1">[76]경산!#REF!</definedName>
    <definedName name="공압축3.5간재">'[77]기계경비(시간당)'!$H$248</definedName>
    <definedName name="공압축3.5노무">'[77]기계경비(시간당)'!$H$244</definedName>
    <definedName name="공압축3.5노무야간">'[77]기계경비(시간당)'!$H$245</definedName>
    <definedName name="공압축3.5손료">'[77]기계경비(시간당)'!$H$243</definedName>
    <definedName name="공압축7.1간재">'[77]기계경비(시간당)'!$H$256</definedName>
    <definedName name="공압축7.1노무">'[77]기계경비(시간당)'!$H$252</definedName>
    <definedName name="공압축7.1노무야간">'[77]기계경비(시간당)'!$H$253</definedName>
    <definedName name="공압축7.1손료">'[77]기계경비(시간당)'!$H$251</definedName>
    <definedName name="공종">[61]공종!$A$2:$E$193</definedName>
    <definedName name="공통일위" localSheetId="2">#REF!</definedName>
    <definedName name="공통일위">#REF!</definedName>
    <definedName name="관T" localSheetId="2">#REF!</definedName>
    <definedName name="관T">#REF!</definedName>
    <definedName name="관갉">#REF!,#REF!,#REF!</definedName>
    <definedName name="관경" localSheetId="2">#REF!</definedName>
    <definedName name="관경">#REF!</definedName>
    <definedName name="관경1" localSheetId="2">#REF!</definedName>
    <definedName name="관경1">#REF!</definedName>
    <definedName name="관급">'[12]#REF'!#REF!,'[12]#REF'!#REF!,'[12]#REF'!#REF!</definedName>
    <definedName name="관급1">#REF!,#REF!,#REF!</definedName>
    <definedName name="관급자재" localSheetId="3">[78]투찰금액!$G$2</definedName>
    <definedName name="관급자재" localSheetId="2">[79]투찰금액!$G$2</definedName>
    <definedName name="관급자재">#REF!,#REF!,#REF!</definedName>
    <definedName name="관급자재1">[80]투찰금액!$G$2</definedName>
    <definedName name="관급자재비">#REF!</definedName>
    <definedName name="관로터파기">[81]!돌아가기</definedName>
    <definedName name="관목계" localSheetId="2">#REF!</definedName>
    <definedName name="관목계">#REF!</definedName>
    <definedName name="관제원" localSheetId="2">#REF!</definedName>
    <definedName name="관제원">#REF!</definedName>
    <definedName name="광나무1003">[63]데이타!$E$51</definedName>
    <definedName name="광나무1203">[63]데이타!$E$52</definedName>
    <definedName name="광나무1506">[63]데이타!$E$53</definedName>
    <definedName name="광명" localSheetId="3">#REF!</definedName>
    <definedName name="광명" localSheetId="2">#REF!</definedName>
    <definedName name="광명">#REF!</definedName>
    <definedName name="광명1" localSheetId="2">#REF!</definedName>
    <definedName name="광명1">#REF!</definedName>
    <definedName name="광속">#REF!</definedName>
    <definedName name="광원의종류">#REF!</definedName>
    <definedName name="광케이블포설1">[9]노무비명세서!$AE$15</definedName>
    <definedName name="광케이블포설2">[9]노무비명세서!$AE$16</definedName>
    <definedName name="광코드3">[9]소요자재명세서!$AE$157</definedName>
    <definedName name="광편백0405">[63]데이타!$E$153</definedName>
    <definedName name="광편백0507">[63]데이타!$E$154</definedName>
    <definedName name="광편백0509">[63]데이타!$E$155</definedName>
    <definedName name="교목계" localSheetId="2">#REF!</definedName>
    <definedName name="교목계">#REF!</definedName>
    <definedName name="교통" localSheetId="2" hidden="1">#REF!</definedName>
    <definedName name="교통" hidden="1">#REF!</definedName>
    <definedName name="교통2" localSheetId="2">#REF!</definedName>
    <definedName name="교통2">#REF!</definedName>
    <definedName name="교폭" localSheetId="2">#REF!</definedName>
    <definedName name="교폭">#REF!</definedName>
    <definedName name="구" localSheetId="2">#REF!</definedName>
    <definedName name="구">#REF!</definedName>
    <definedName name="구분" localSheetId="3">BlankMacro1</definedName>
    <definedName name="구분" localSheetId="2">BlankMacro1</definedName>
    <definedName name="구분">[82]에너지요금!#REF!</definedName>
    <definedName name="구분1" localSheetId="3">BlankMacro1</definedName>
    <definedName name="구분1" localSheetId="2">BlankMacro1</definedName>
    <definedName name="구분1">BlankMacro1</definedName>
    <definedName name="구상나무1505">[63]데이타!$E$69</definedName>
    <definedName name="구상나무2008">[63]데이타!$E$70</definedName>
    <definedName name="구상나무2510">[63]데이타!$E$71</definedName>
    <definedName name="구상나무3012">[63]데이타!$E$72</definedName>
    <definedName name="국내성단">[9]노무비명세서!$AE$20</definedName>
    <definedName name="굵기">[81]!굵기</definedName>
    <definedName name="규격">[50]DATE!$C$24:$C$85</definedName>
    <definedName name="근입장" localSheetId="2">#REF!</definedName>
    <definedName name="근입장">#REF!</definedName>
    <definedName name="금마타리" localSheetId="2">#REF!</definedName>
    <definedName name="금마타리">#REF!</definedName>
    <definedName name="금송1006">[63]데이타!$E$73</definedName>
    <definedName name="금송1208">[63]데이타!$E$74</definedName>
    <definedName name="금송1510">[63]데이타!$E$75</definedName>
    <definedName name="기계">#N/A</definedName>
    <definedName name="기계1" hidden="1">{#N/A,#N/A,FALSE,"혼합골재"}</definedName>
    <definedName name="기계3" localSheetId="3">BlankMacro1</definedName>
    <definedName name="기계3" localSheetId="2">BlankMacro1</definedName>
    <definedName name="기계3">BlankMacro1</definedName>
    <definedName name="기계설치공" localSheetId="2">#REF!</definedName>
    <definedName name="기계설치공">#REF!</definedName>
    <definedName name="기계설치공1" localSheetId="2">#REF!</definedName>
    <definedName name="기계설치공1">#REF!</definedName>
    <definedName name="기계운전사">[68]기본단가표!$L$16</definedName>
    <definedName name="기기">[83]data!$A$1:$F$1193</definedName>
    <definedName name="기기신설">#REF!</definedName>
    <definedName name="기기철거">#REF!</definedName>
    <definedName name="기성" localSheetId="23">#REF!</definedName>
    <definedName name="기성" localSheetId="22">#REF!</definedName>
    <definedName name="기성">[84]을지!$I$40</definedName>
    <definedName name="기성2">'[1]#REF'!#REF!</definedName>
    <definedName name="기성3">#REF!</definedName>
    <definedName name="기성청구서">#REF!</definedName>
    <definedName name="기존" localSheetId="3">BlankMacro1</definedName>
    <definedName name="기존" localSheetId="2">BlankMacro1</definedName>
    <definedName name="기존">BlankMacro1</definedName>
    <definedName name="기초" localSheetId="3">'[85]9509'!$A$3:$Y$665</definedName>
    <definedName name="기초" localSheetId="2">'[85]9509'!$A$3:$Y$665</definedName>
    <definedName name="기초">'[80]9509'!$A$3:$Y$665</definedName>
    <definedName name="기타">#N/A</definedName>
    <definedName name="기타경비">[75]설계산출기초!$G$15</definedName>
    <definedName name="기타경비1" hidden="1">{#N/A,#N/A,TRUE,"토적및재료집계";#N/A,#N/A,TRUE,"토적및재료집계";#N/A,#N/A,TRUE,"단위량"}</definedName>
    <definedName name="기타자재" localSheetId="3">#N/A</definedName>
    <definedName name="기타자재" localSheetId="2">#N/A</definedName>
    <definedName name="기타자재">순공사비집계표!기타자재</definedName>
    <definedName name="기호">#REF!</definedName>
    <definedName name="김" localSheetId="3">'[86]9811'!$A$3:$AD$1530</definedName>
    <definedName name="김" localSheetId="2">'[86]9811'!$A$3:$AD$1530</definedName>
    <definedName name="김" hidden="1">[84]대비!#REF!</definedName>
    <definedName name="김미영">#N/A</definedName>
    <definedName name="김용식" localSheetId="2">#REF!</definedName>
    <definedName name="김용식">#REF!</definedName>
    <definedName name="깊이" localSheetId="2">#REF!</definedName>
    <definedName name="깊이">#REF!</definedName>
    <definedName name="꽃복숭아R3">[63]데이타!$E$58</definedName>
    <definedName name="꽃복숭아R4">[63]데이타!$E$59</definedName>
    <definedName name="꽃복숭아R5">[63]데이타!$E$60</definedName>
    <definedName name="꽃사과R10">[63]데이타!$E$64</definedName>
    <definedName name="꽃사과R4">[63]데이타!$E$61</definedName>
    <definedName name="꽃사과R6">[63]데이타!$E$62</definedName>
    <definedName name="꽃사과R8">[63]데이타!$E$63</definedName>
    <definedName name="꽃아그배R10">[63]데이타!$E$68</definedName>
    <definedName name="꽃아그배R4">[63]데이타!$E$65</definedName>
    <definedName name="꽃아그배R6">[63]데이타!$E$66</definedName>
    <definedName name="꽃아그배R8">[63]데이타!$E$67</definedName>
    <definedName name="꽃창포" localSheetId="2">#REF!</definedName>
    <definedName name="꽃창포">#REF!</definedName>
    <definedName name="꽃향유" localSheetId="2">#REF!</definedName>
    <definedName name="꽃향유">#REF!</definedName>
    <definedName name="꽝꽝0304">[63]데이타!$E$54</definedName>
    <definedName name="꽝꽝0406">[63]데이타!$E$55</definedName>
    <definedName name="꽝꽝0508">[63]데이타!$E$56</definedName>
    <definedName name="꽝꽝0610">[63]데이타!$E$57</definedName>
    <definedName name="ㄳㄷ" hidden="1">{#N/A,#N/A,FALSE,"조골재"}</definedName>
    <definedName name="ㄴ" localSheetId="3">#REF!</definedName>
    <definedName name="ㄴ" localSheetId="2">#REF!</definedName>
    <definedName name="ㄴ">[87]예산!#REF!</definedName>
    <definedName name="ㄴㄱㄹ" hidden="1">#REF!</definedName>
    <definedName name="ㄴㄴㄴ" localSheetId="3">[88]연습!#REF!</definedName>
    <definedName name="ㄴㄴㄴ" localSheetId="2">[88]연습!#REF!</definedName>
    <definedName name="ㄴㄴㄴ" hidden="1">{#N/A,#N/A,FALSE,"명세표"}</definedName>
    <definedName name="ㄴㄴㄴㄴ" hidden="1">#REF!</definedName>
    <definedName name="ㄴㄴㄴㄴㄴ" hidden="1">#REF!</definedName>
    <definedName name="ㄴㄴㄴㄴㄴㄴㄴㄴㄴㄴㄴㄴㄴㄴㄴㄴㄴ" hidden="1">#REF!</definedName>
    <definedName name="ㄴㄹㄴㅁㅎㅇㄹ" hidden="1">{#N/A,"수불부",FALSE,"사급자재수불서";#N/A,"수불부",FALSE,"사급자재수불서"}</definedName>
    <definedName name="ㄴㅁ" localSheetId="23">#REF!</definedName>
    <definedName name="ㄴㅁ" localSheetId="22">#REF!</definedName>
    <definedName name="ㄴㅁ" hidden="1">#REF!</definedName>
    <definedName name="ㄴㅁㄹㅈㄹ" localSheetId="2" hidden="1">#REF!</definedName>
    <definedName name="ㄴㅁㄹㅈㄹ" hidden="1">#REF!</definedName>
    <definedName name="ㄴㅁㄻㄴㅇㄹㅇㄴㄹ" hidden="1">{#N/A,"수불부",FALSE,"사급자재수불서";#N/A,"수불부",FALSE,"사급자재수불서"}</definedName>
    <definedName name="ㄴㅇ">[21]요율!$B$4:$K$183</definedName>
    <definedName name="ㄴㅇㄹㄴ" hidden="1">{#N/A,"수불부",FALSE,"사급자재수불서";#N/A,"수불부",FALSE,"사급자재수불서"}</definedName>
    <definedName name="ㄴㅇㄹㄴㄹ" hidden="1">{"'Sheet1'!$D$19","'Sheet1'!$B$22:$E$22"}</definedName>
    <definedName name="ㄴㅇㅁㄴㅇ" hidden="1">{#N/A,#N/A,TRUE,"토적및재료집계";#N/A,#N/A,TRUE,"토적및재료집계";#N/A,#N/A,TRUE,"단위량"}</definedName>
    <definedName name="나" localSheetId="3">#REF!</definedName>
    <definedName name="나" localSheetId="2">#REF!</definedName>
    <definedName name="나">[89]!Macro10</definedName>
    <definedName name="나라">BlankMacro1</definedName>
    <definedName name="나라금융">#N/A</definedName>
    <definedName name="나라종합금융">#N/A</definedName>
    <definedName name="나무" localSheetId="2">#REF!</definedName>
    <definedName name="나무">#REF!</definedName>
    <definedName name="나박카스">[0]!나박카스</definedName>
    <definedName name="낙상홍">'[90]실행내역 '!$A:$A</definedName>
    <definedName name="낙상홍1004">[63]데이타!$E$76</definedName>
    <definedName name="낙상홍1506">[63]데이타!$E$77</definedName>
    <definedName name="낙상홍1808">[63]데이타!$E$78</definedName>
    <definedName name="낙상홍2010">[63]데이타!$E$79</definedName>
    <definedName name="낙상홍2515">[63]데이타!$E$80</definedName>
    <definedName name="낙우송R10">[63]데이타!$E$84</definedName>
    <definedName name="낙우송R12">[63]데이타!$E$85</definedName>
    <definedName name="낙우송R5">[63]데이타!$E$81</definedName>
    <definedName name="낙우송R6">[63]데이타!$E$82</definedName>
    <definedName name="낙우송R8">[63]데이타!$E$83</definedName>
    <definedName name="난연PE1">[9]종합기별!$X$10</definedName>
    <definedName name="난연PE2">[9]종합기별!$X$13</definedName>
    <definedName name="난연PE3">[9]종합기별!$X$16</definedName>
    <definedName name="난연PE4">[9]종합기별!$X$19</definedName>
    <definedName name="날짜">[75]설계산출표지!$B$8</definedName>
    <definedName name="내선전공" localSheetId="2">#REF!</definedName>
    <definedName name="내선전공">#REF!</definedName>
    <definedName name="내선전공1" localSheetId="2">#REF!</definedName>
    <definedName name="내선전공1">#REF!</definedName>
    <definedName name="내역서">#REF!</definedName>
    <definedName name="내역서1">#REF!</definedName>
    <definedName name="내역서4" hidden="1">[89]내역서!#REF!</definedName>
    <definedName name="내전">#REF!</definedName>
    <definedName name="너">[21]요율!$B$4:$K$183</definedName>
    <definedName name="노단">[91]노임단가!$A$1:$D$152</definedName>
    <definedName name="노르웨이R12">[63]데이타!$E$90</definedName>
    <definedName name="노르웨이R15">[63]데이타!$E$91</definedName>
    <definedName name="노르웨이R4">[63]데이타!$E$86</definedName>
    <definedName name="노르웨이R5">[63]데이타!$E$87</definedName>
    <definedName name="노르웨이R6">[63]데이타!$E$88</definedName>
    <definedName name="노르웨이R8">[63]데이타!$E$89</definedName>
    <definedName name="노무" localSheetId="2">#REF!</definedName>
    <definedName name="노무">#REF!</definedName>
    <definedName name="노무2">[65]설계명세서!#REF!</definedName>
    <definedName name="노무비" localSheetId="3">#REF!</definedName>
    <definedName name="노무비" localSheetId="2">#REF!</definedName>
    <definedName name="노무비">[74]노임단가!$A$4:$C$66</definedName>
    <definedName name="노임" localSheetId="3">BlankMacro1</definedName>
    <definedName name="노임" localSheetId="2">BlankMacro1</definedName>
    <definedName name="노임">[25]노임데이터!$A$2:$C$21</definedName>
    <definedName name="노임1" localSheetId="3">BlankMacro1</definedName>
    <definedName name="노임1" localSheetId="2">BlankMacro1</definedName>
    <definedName name="노임1">BlankMacro1</definedName>
    <definedName name="노임단가">#REF!</definedName>
    <definedName name="노임액">[25]노임데이터!$B$2:$C$21</definedName>
    <definedName name="노출형">[33]DATA!$E$50:$F$59</definedName>
    <definedName name="높" localSheetId="2">#REF!</definedName>
    <definedName name="높">#REF!</definedName>
    <definedName name="높이" localSheetId="2">#REF!</definedName>
    <definedName name="높이">#REF!</definedName>
    <definedName name="눈주목" localSheetId="2">#REF!</definedName>
    <definedName name="눈주목">#REF!</definedName>
    <definedName name="눈향L06">[63]데이타!$E$92</definedName>
    <definedName name="눈향L08">[63]데이타!$E$93</definedName>
    <definedName name="눈향L10">[63]데이타!$E$94</definedName>
    <definedName name="눈향L14">[63]데이타!$E$95</definedName>
    <definedName name="눈향L20">[63]데이타!$E$96</definedName>
    <definedName name="느릅R10">[63]데이타!$E$100</definedName>
    <definedName name="느릅R4">[63]데이타!$E$97</definedName>
    <definedName name="느릅R5">[63]데이타!$E$98</definedName>
    <definedName name="느릅R8">[73]데이타!$E$99</definedName>
    <definedName name="느티R10">[73]데이타!$E$104</definedName>
    <definedName name="느티R12">[63]데이타!$E$105</definedName>
    <definedName name="느티R15">[63]데이타!$E$106</definedName>
    <definedName name="느티R18">[63]데이타!$E$107</definedName>
    <definedName name="느티R20">[63]데이타!$E$108</definedName>
    <definedName name="느티R25">[63]데이타!$E$109</definedName>
    <definedName name="느티R30">[63]데이타!$E$110</definedName>
    <definedName name="느티R5">[63]데이타!$E$101</definedName>
    <definedName name="느티R6">[63]데이타!$E$102</definedName>
    <definedName name="느티R8">[63]데이타!$E$103</definedName>
    <definedName name="느티나무" localSheetId="2">#REF!</definedName>
    <definedName name="느티나무">#REF!</definedName>
    <definedName name="능소화R2">[63]데이타!$E$111</definedName>
    <definedName name="능소화R4">[63]데이타!$E$112</definedName>
    <definedName name="능소화R6">[63]데이타!$E$113</definedName>
    <definedName name="ㄷ" localSheetId="3">#REF!</definedName>
    <definedName name="ㄷ" localSheetId="2">#REF!</definedName>
    <definedName name="ㄷ" hidden="1">{#N/A,#N/A,TRUE,"토적및재료집계";#N/A,#N/A,TRUE,"토적및재료집계";#N/A,#N/A,TRUE,"단위량"}</definedName>
    <definedName name="ㄷㄷ" hidden="1">{#N/A,#N/A,FALSE,"조골재"}</definedName>
    <definedName name="ㄷㄹ1" localSheetId="2">#REF!</definedName>
    <definedName name="ㄷㄹ1">#REF!</definedName>
    <definedName name="ㄷㅇ">[21]요율!$B$4:$K$183</definedName>
    <definedName name="ㄷㅈㄱ" hidden="1">{#N/A,#N/A,FALSE,"포장1";#N/A,#N/A,FALSE,"포장1"}</definedName>
    <definedName name="ㄷㅎㄹㅇ" localSheetId="2" hidden="1">#REF!</definedName>
    <definedName name="ㄷㅎㄹㅇ" hidden="1">#REF!</definedName>
    <definedName name="다" localSheetId="3">#REF!</definedName>
    <definedName name="다" localSheetId="2">#REF!</definedName>
    <definedName name="다">#REF!</definedName>
    <definedName name="단" localSheetId="3">BlankMacro1</definedName>
    <definedName name="단" localSheetId="2">BlankMacro1</definedName>
    <definedName name="단">BlankMacro1</definedName>
    <definedName name="단_가2">[92]AV시스템!#REF!</definedName>
    <definedName name="단_가3">[92]AV시스템!#REF!</definedName>
    <definedName name="단_가4">[92]AV시스템!#REF!</definedName>
    <definedName name="단_가5">[92]AV시스템!#REF!</definedName>
    <definedName name="단_가6">[92]AV시스템!#REF!</definedName>
    <definedName name="단가" localSheetId="3">#REF!</definedName>
    <definedName name="단가" localSheetId="2">#REF!</definedName>
    <definedName name="단가">#REF!</definedName>
    <definedName name="단가_1">#REF!</definedName>
    <definedName name="단가2">#REF!,#REF!</definedName>
    <definedName name="단가대비">#REF!</definedName>
    <definedName name="단가비교표">'[12]#REF'!$D$19:$D$19,'[12]#REF'!$F$19:$BD$19</definedName>
    <definedName name="단가적용표">#REF!</definedName>
    <definedName name="단가조사서">#REF!</definedName>
    <definedName name="단가조사표" localSheetId="2">#REF!</definedName>
    <definedName name="단가조사표">#REF!</definedName>
    <definedName name="단가최종">#REF!</definedName>
    <definedName name="단가테이블">'[77]기계경비(시간당)'!$C$1:$F$58</definedName>
    <definedName name="단같">#N/A</definedName>
    <definedName name="단같1">#N/A</definedName>
    <definedName name="단같2">#N/A</definedName>
    <definedName name="단같3">#N/A</definedName>
    <definedName name="단같4">#N/A</definedName>
    <definedName name="단관M">[50]DATE!$H$24:$H$85</definedName>
    <definedName name="단면1">[27]data!$A$1:$F$1193</definedName>
    <definedName name="단면2">[26]data!$A$2:$F$916</definedName>
    <definedName name="단빔플랜지" localSheetId="2">#REF!</definedName>
    <definedName name="단빔플랜지">#REF!</definedName>
    <definedName name="단위" localSheetId="3">BlankMacro1</definedName>
    <definedName name="단위" localSheetId="2">BlankMacro1</definedName>
    <definedName name="단위">BlankMacro1</definedName>
    <definedName name="단위공량10">[92]AV시스템!#REF!</definedName>
    <definedName name="단위공량11">[92]AV시스템!#REF!</definedName>
    <definedName name="단위공량12">[92]AV시스템!#REF!</definedName>
    <definedName name="단위공량13">[92]AV시스템!#REF!</definedName>
    <definedName name="단위공량14">[92]AV시스템!#REF!</definedName>
    <definedName name="단위공량15">[92]AV시스템!#REF!</definedName>
    <definedName name="단위공량16">[92]AV시스템!#REF!</definedName>
    <definedName name="단위공량17">[92]AV시스템!#REF!</definedName>
    <definedName name="단위공량4">[92]AV시스템!#REF!</definedName>
    <definedName name="단위공량5">[92]AV시스템!#REF!</definedName>
    <definedName name="단위공량6">[92]AV시스템!#REF!</definedName>
    <definedName name="단위공량7">[92]AV시스템!#REF!</definedName>
    <definedName name="단위공량8">[92]AV시스템!#REF!</definedName>
    <definedName name="단위공량9">[92]AV시스템!#REF!</definedName>
    <definedName name="단위량" localSheetId="3">BlankMacro1</definedName>
    <definedName name="단위량" localSheetId="2">BlankMacro1</definedName>
    <definedName name="단위량">BlankMacro1</definedName>
    <definedName name="담쟁이L03">[63]데이타!$E$114</definedName>
    <definedName name="담쟁이넝쿨수량산출" localSheetId="2">#REF!</definedName>
    <definedName name="담쟁이넝쿨수량산출">#REF!</definedName>
    <definedName name="당초" localSheetId="3">BlankMacro1</definedName>
    <definedName name="당초" localSheetId="2">BlankMacro1</definedName>
    <definedName name="당초">BlankMacro1</definedName>
    <definedName name="대가목록">#REF!</definedName>
    <definedName name="대가집계표">[12]일위목록!$A$5:$J$32</definedName>
    <definedName name="대개소" localSheetId="2">#REF!</definedName>
    <definedName name="대개소">#REF!</definedName>
    <definedName name="대관경" localSheetId="2">#REF!</definedName>
    <definedName name="대관경">#REF!</definedName>
    <definedName name="대나무" localSheetId="2">#REF!</definedName>
    <definedName name="대나무">#REF!</definedName>
    <definedName name="대리석포장" localSheetId="3" hidden="1">{#N/A,#N/A,TRUE,"총괄"}</definedName>
    <definedName name="대리석포장" hidden="1">{#N/A,#N/A,TRUE,"총괄"}</definedName>
    <definedName name="대상">#REF!</definedName>
    <definedName name="대상의">#N/A</definedName>
    <definedName name="대왕참R10">[63]데이타!$E$118</definedName>
    <definedName name="대왕참R4">[63]데이타!$E$115</definedName>
    <definedName name="대왕참R6">[63]데이타!$E$116</definedName>
    <definedName name="대왕참R8">[63]데이타!$E$117</definedName>
    <definedName name="대추R10">[63]데이타!$E$123</definedName>
    <definedName name="대추R4">[63]데이타!$E$119</definedName>
    <definedName name="대추R5">[63]데이타!$E$120</definedName>
    <definedName name="대추R6">[63]데이타!$E$121</definedName>
    <definedName name="대추R8">[63]데이타!$E$122</definedName>
    <definedName name="댈타5" localSheetId="2">#REF!</definedName>
    <definedName name="댈타5">#REF!</definedName>
    <definedName name="더">[93]data2!$A$1:$E$275</definedName>
    <definedName name="더하기">[50]DATE!$J$24:$J$85</definedName>
    <definedName name="덩굴장미3">[63]데이타!$E$128</definedName>
    <definedName name="덩굴장미4">[63]데이타!$E$129</definedName>
    <definedName name="덩굴장미5">[63]데이타!$E$130</definedName>
    <definedName name="데이타" localSheetId="2">#REF!</definedName>
    <definedName name="데이타">#REF!</definedName>
    <definedName name="도급공사비" localSheetId="3">'[94]2공구산출내역'!#REF!</definedName>
    <definedName name="도급공사비" localSheetId="2">'[94]2공구산출내역'!#REF!</definedName>
    <definedName name="도급공사비">#REF!</definedName>
    <definedName name="도급예산내역서총괄표공구손료">[75]도급예산내역서총괄표!$G$21</definedName>
    <definedName name="도급예산내역서총괄표공비">[75]도급예산내역서총괄표!$H$21</definedName>
    <definedName name="도급예산내역서총괄표재료비">[75]도급예산내역서총괄표!$F$21</definedName>
    <definedName name="도로폭">'[46]조도계산(가로등NEW)'!#REF!</definedName>
    <definedName name="도색">BlankMacro1</definedName>
    <definedName name="도색목록">BlankMacro1</definedName>
    <definedName name="도색목록1">BlankMacro1</definedName>
    <definedName name="도색목록수정">BlankMacro1</definedName>
    <definedName name="도색목록표">#REF!</definedName>
    <definedName name="도장공">[68]기본단가표!$L$21</definedName>
    <definedName name="도장공정">#REF!</definedName>
    <definedName name="독일가문비1206">[63]데이타!$E$131</definedName>
    <definedName name="독일가문비1508">[63]데이타!$E$132</definedName>
    <definedName name="독일가문비2010">[63]데이타!$E$133</definedName>
    <definedName name="독일가문비2512">[63]데이타!$E$134</definedName>
    <definedName name="독일가문비3015">[63]데이타!$E$135</definedName>
    <definedName name="독일가문비3518">[63]데이타!$E$136</definedName>
    <definedName name="돈나무0504">[63]데이타!$E$137</definedName>
    <definedName name="돈나무0805">[63]데이타!$E$138</definedName>
    <definedName name="돈나무1007">[63]데이타!$E$139</definedName>
    <definedName name="돈나무1210">[63]데이타!$E$140</definedName>
    <definedName name="돌단풍" localSheetId="2">#REF!</definedName>
    <definedName name="돌단풍">#REF!</definedName>
    <definedName name="돌아가_교통">[81]!돌아가_교통</definedName>
    <definedName name="돌아가기">[81]!돌아가기</definedName>
    <definedName name="동방층" localSheetId="2">#REF!</definedName>
    <definedName name="동방층">#REF!</definedName>
    <definedName name="동백1002">[63]데이타!$E$141</definedName>
    <definedName name="동백1204">[63]데이타!$E$142</definedName>
    <definedName name="동백1506">[63]데이타!$E$143</definedName>
    <definedName name="동백1808">[63]데이타!$E$144</definedName>
    <definedName name="동상" localSheetId="2">#REF!</definedName>
    <definedName name="동상">#REF!</definedName>
    <definedName name="동상1" localSheetId="2">#REF!</definedName>
    <definedName name="동상1">#REF!</definedName>
    <definedName name="동상2" localSheetId="2">#REF!</definedName>
    <definedName name="동상2">#REF!</definedName>
    <definedName name="동원">#REF!</definedName>
    <definedName name="동원1">#REF!</definedName>
    <definedName name="두부" localSheetId="2">#REF!</definedName>
    <definedName name="두부">#REF!</definedName>
    <definedName name="등R2">[63]데이타!$E$156</definedName>
    <definedName name="등R4">[63]데이타!$E$157</definedName>
    <definedName name="등R6">[63]데이타!$E$158</definedName>
    <definedName name="등R8">[63]데이타!$E$159</definedName>
    <definedName name="등가거리">[95]!Macro12</definedName>
    <definedName name="등가도움">[81]!등가도움</definedName>
    <definedName name="때죽R10">[63]데이타!$E$127</definedName>
    <definedName name="때죽R4">[63]데이타!$E$124</definedName>
    <definedName name="때죽R6">[63]데이타!$E$125</definedName>
    <definedName name="때죽R8">[63]데이타!$E$126</definedName>
    <definedName name="띠장규격" localSheetId="2">#REF!</definedName>
    <definedName name="띠장규격">#REF!</definedName>
    <definedName name="ㄹ" localSheetId="3">#REF!</definedName>
    <definedName name="ㄹ" localSheetId="2">#REF!</definedName>
    <definedName name="ㄹ" hidden="1">{#N/A,#N/A,TRUE,"토적및재료집계";#N/A,#N/A,TRUE,"토적및재료집계";#N/A,#N/A,TRUE,"단위량"}</definedName>
    <definedName name="ㄹㄴㅁㄹㄴ" hidden="1">{#N/A,"수불부",FALSE,"사급자재수불서";#N/A,"수불부",FALSE,"사급자재수불서"}</definedName>
    <definedName name="ㄹㄴㅁㄹㅇㄴ" hidden="1">{"'Sheet1'!$D$19","'Sheet1'!$B$22:$E$22"}</definedName>
    <definedName name="ㄹㄹ" hidden="1">#REF!</definedName>
    <definedName name="ㄹㄹㄹ" hidden="1">{#N/A,#N/A,FALSE,"명세표"}</definedName>
    <definedName name="ㄹㅇ" localSheetId="3" hidden="1">{#N/A,#N/A,TRUE,"총괄"}</definedName>
    <definedName name="ㄹㅇ" hidden="1">{#N/A,#N/A,TRUE,"총괄"}</definedName>
    <definedName name="ㄹㅇㄴㄹ" hidden="1">{#N/A,"수불부",FALSE,"사급자재수불서";#N/A,"수불부",FALSE,"사급자재수불서"}</definedName>
    <definedName name="ㄹㅇㄹㅇ" hidden="1">#REF!</definedName>
    <definedName name="ㄹㅇㄹㅇㄴ" hidden="1">{#N/A,"수불부",FALSE,"사급자재수불서";#N/A,"수불부",FALSE,"사급자재수불서"}</definedName>
    <definedName name="ㄹㅇㅎㄹㅇㅎ" localSheetId="3">#N/A</definedName>
    <definedName name="ㄹㅇㅎㄹㅇㅎ" localSheetId="2">#N/A</definedName>
    <definedName name="ㄹㅇㅎㄹㅇㅎ">순공사비집계표!ㄹㅇㅎㄹㅇㅎ</definedName>
    <definedName name="ㄹ아ㅣㄹ" localSheetId="2" hidden="1">#REF!</definedName>
    <definedName name="ㄹ아ㅣㄹ" hidden="1">#REF!</definedName>
    <definedName name="ㄹ어미ㅏㄹ" hidden="1">{"'Sheet1'!$D$19","'Sheet1'!$B$22:$E$22"}</definedName>
    <definedName name="ㄹ하ㅓ">'[1]#REF'!#REF!</definedName>
    <definedName name="ㄹ호" hidden="1">#REF!</definedName>
    <definedName name="라" localSheetId="2">#REF!</definedName>
    <definedName name="라">#REF!</definedName>
    <definedName name="램머Q간재">[77]램머!$D$20</definedName>
    <definedName name="램머Q간재10">[77]램머!$F$20</definedName>
    <definedName name="램머Q간재야간">[77]램머!$J$20</definedName>
    <definedName name="램머Q노무">[77]램머!$D$21</definedName>
    <definedName name="램머Q노무10">[77]램머!$F$21</definedName>
    <definedName name="램머Q노무야간">[77]램머!$J$21</definedName>
    <definedName name="램머Q손료">[77]램머!$D$22</definedName>
    <definedName name="램머Q손료10">[77]램머!$F$22</definedName>
    <definedName name="램머Q손료야간">[77]램머!$J$22</definedName>
    <definedName name="램머간재">'[77]기계경비(시간당)'!$H$170</definedName>
    <definedName name="램머노무">'[77]기계경비(시간당)'!$H$166</definedName>
    <definedName name="램머노무야간">'[77]기계경비(시간당)'!$H$167</definedName>
    <definedName name="램머손료">'[77]기계경비(시간당)'!$H$165</definedName>
    <definedName name="램프">[96]단가조사!#REF!</definedName>
    <definedName name="ㅀ" hidden="1">{#N/A,#N/A,TRUE,"토적및재료집계";#N/A,#N/A,TRUE,"토적및재료집계";#N/A,#N/A,TRUE,"단위량"}</definedName>
    <definedName name="ㅀ오ㅓㅎ롱ㄶㄹㄴ" hidden="1">{#N/A,#N/A,FALSE,"2~8번"}</definedName>
    <definedName name="ㅁ" localSheetId="3">#REF!</definedName>
    <definedName name="ㅁ" localSheetId="2">#REF!</definedName>
    <definedName name="ㅁ">순공사비집계표!ㅁ</definedName>
    <definedName name="ㅁ1" localSheetId="3">#REF!</definedName>
    <definedName name="ㅁ1" localSheetId="2">#REF!</definedName>
    <definedName name="ㅁ1">[97]견적서1!#REF!</definedName>
    <definedName name="ㅁ11" localSheetId="2">#REF!</definedName>
    <definedName name="ㅁ11">#REF!</definedName>
    <definedName name="ㅁ2" localSheetId="2">[76]경산!#REF!</definedName>
    <definedName name="ㅁ2">[76]경산!#REF!</definedName>
    <definedName name="ㅁ331" localSheetId="2">#REF!</definedName>
    <definedName name="ㅁ331">#REF!</definedName>
    <definedName name="ㅁ500">[98]Baby일위대가!#REF!</definedName>
    <definedName name="ㅁ545">#REF!</definedName>
    <definedName name="ㅁ60" localSheetId="2">[99]직노!#REF!</definedName>
    <definedName name="ㅁ60">[99]직노!#REF!</definedName>
    <definedName name="ㅁ600">#REF!</definedName>
    <definedName name="ㅁ602">#REF!</definedName>
    <definedName name="ㅁ636">#REF!</definedName>
    <definedName name="ㅁ863">#REF!</definedName>
    <definedName name="ㅁㄴ" hidden="1">#REF!</definedName>
    <definedName name="ㅁㄴㄻㄻ">#REF!</definedName>
    <definedName name="ㅁㄴㅇ" localSheetId="2">#REF!</definedName>
    <definedName name="ㅁㄴㅇ">#REF!</definedName>
    <definedName name="ㅁㄴㅇㄴ" hidden="1">{#N/A,#N/A,TRUE,"토적및재료집계";#N/A,#N/A,TRUE,"토적및재료집계";#N/A,#N/A,TRUE,"단위량"}</definedName>
    <definedName name="ㅁㄴㅇㄹㄴㄹ" hidden="1">{#N/A,"수불부",FALSE,"사급자재수불서";#N/A,"수불부",FALSE,"사급자재수불서"}</definedName>
    <definedName name="ㅁㄴㅇㄻ" localSheetId="2">[88]연습!#REF!</definedName>
    <definedName name="ㅁㄴㅇㄻ">[88]연습!#REF!</definedName>
    <definedName name="ㅁㄴㅇㄻㄹ" hidden="1">{#N/A,"수불부",FALSE,"사급자재수불서";#N/A,"수불부",FALSE,"사급자재수불서"}</definedName>
    <definedName name="ㅁㄴㅇㅀ">[0]!ㅁㄴㅇㅀ</definedName>
    <definedName name="ㅁㄴㅇㅁㄴㅇ" hidden="1">#REF!</definedName>
    <definedName name="ㅁㄴㅇㅇ" localSheetId="2">[88]연습!#REF!</definedName>
    <definedName name="ㅁㄴㅇㅇ">[88]연습!#REF!</definedName>
    <definedName name="ㅁㄹ" localSheetId="3" hidden="1">{#N/A,#N/A,TRUE,"총괄"}</definedName>
    <definedName name="ㅁㄹ" hidden="1">{#N/A,#N/A,TRUE,"총괄"}</definedName>
    <definedName name="ㅁㄹㅇㄴㅇㄹ" hidden="1">{#N/A,"수불부",FALSE,"사급자재수불서";#N/A,"수불부",FALSE,"사급자재수불서"}</definedName>
    <definedName name="ㅁㄻㅇㄹㄴ" hidden="1">{#N/A,"수불부",FALSE,"사급자재수불서";#N/A,"수불부",FALSE,"사급자재수불서"}</definedName>
    <definedName name="ㅁㅁ" localSheetId="3">#REF!</definedName>
    <definedName name="ㅁㅁ" localSheetId="2">#REF!</definedName>
    <definedName name="ㅁㅁ" hidden="1">#REF!</definedName>
    <definedName name="ㅁㅁ185" localSheetId="2">#REF!</definedName>
    <definedName name="ㅁㅁ185">#REF!</definedName>
    <definedName name="ㅁㅁㅁㅁㅁㅁ" hidden="1">#REF!</definedName>
    <definedName name="ㅁㅇㄹㄴㄻ" hidden="1">{"'Sheet1'!$D$19","'Sheet1'!$B$22:$E$22"}</definedName>
    <definedName name="ㅁㅇㄹㄴㅁㅇㄹㄴ" hidden="1">{#N/A,"수불부",FALSE,"사급자재수불서";#N/A,"수불부",FALSE,"사급자재수불서"}</definedName>
    <definedName name="ㅁㅇㄹㄴㅇㄹㄴㅇㄹ" hidden="1">{#N/A,"수불부",FALSE,"사급자재수불서";#N/A,"수불부",FALSE,"사급자재수불서"}</definedName>
    <definedName name="마" localSheetId="3">#REF!</definedName>
    <definedName name="마" localSheetId="2">#REF!</definedName>
    <definedName name="마">[21]요율!$A$1:$A$2</definedName>
    <definedName name="마가목R3">[63]데이타!$E$160</definedName>
    <definedName name="마가목R5">[63]데이타!$E$161</definedName>
    <definedName name="마가목R7">[63]데이타!$E$162</definedName>
    <definedName name="마마마" localSheetId="2">#REF!</definedName>
    <definedName name="마마마">#REF!</definedName>
    <definedName name="마스콘수량" localSheetId="2">#REF!</definedName>
    <definedName name="마스콘수량">#REF!</definedName>
    <definedName name="마찰각" localSheetId="2">#REF!</definedName>
    <definedName name="마찰각">#REF!</definedName>
    <definedName name="말발도리1003">[63]데이타!$E$163</definedName>
    <definedName name="말발도리1204">[63]데이타!$E$164</definedName>
    <definedName name="말발도리1506">[63]데이타!$E$165</definedName>
    <definedName name="매입개방">[33]DATA!$E$6:$F$15</definedName>
    <definedName name="매자0804">[63]데이타!$E$166</definedName>
    <definedName name="매자1005">[63]데이타!$E$167</definedName>
    <definedName name="매화R10">[63]데이타!$E$174</definedName>
    <definedName name="매화R4">[63]데이타!$E$171</definedName>
    <definedName name="매화R6">[63]데이타!$E$172</definedName>
    <definedName name="매화R8">[63]데이타!$E$173</definedName>
    <definedName name="맥문동" localSheetId="2">#REF!</definedName>
    <definedName name="맥문동">#REF!</definedName>
    <definedName name="맨홀토공단위수량" localSheetId="2">#REF!</definedName>
    <definedName name="맨홀토공단위수량">#REF!</definedName>
    <definedName name="맨홀평균높이산출" localSheetId="2">#REF!</definedName>
    <definedName name="맨홀평균높이산출">#REF!</definedName>
    <definedName name="머" hidden="1">{#N/A,#N/A,FALSE,"명세표"}</definedName>
    <definedName name="메1" localSheetId="2">#REF!</definedName>
    <definedName name="메1">#REF!</definedName>
    <definedName name="메2" localSheetId="2">#REF!</definedName>
    <definedName name="메2">#REF!</definedName>
    <definedName name="메타B10">[63]데이타!$E$179</definedName>
    <definedName name="메타B12">[63]데이타!$E$180</definedName>
    <definedName name="메타B15">[63]데이타!$E$181</definedName>
    <definedName name="메타B18">[63]데이타!$E$182</definedName>
    <definedName name="메타B4">[63]데이타!$E$175</definedName>
    <definedName name="메타B5">[63]데이타!$E$176</definedName>
    <definedName name="메타B6">[63]데이타!$E$177</definedName>
    <definedName name="메타B8">[63]데이타!$E$178</definedName>
    <definedName name="명단" hidden="1">{#N/A,"수불부",FALSE,"사급자재수불서";#N/A,"수불부",FALSE,"사급자재수불서"}</definedName>
    <definedName name="명자0604">[63]데이타!$E$183</definedName>
    <definedName name="명자0805">[63]데이타!$E$184</definedName>
    <definedName name="명자1006">[63]데이타!$E$185</definedName>
    <definedName name="명자1208">[63]데이타!$E$186</definedName>
    <definedName name="명찰취부1">[9]노무비명세서!$AE$36</definedName>
    <definedName name="명찰취부2">[9]노무비명세서!$AE$37</definedName>
    <definedName name="모21" localSheetId="2">#REF!</definedName>
    <definedName name="모21">#REF!</definedName>
    <definedName name="모감주R10">[63]데이타!$E$190</definedName>
    <definedName name="모감주R4">[63]데이타!$E$187</definedName>
    <definedName name="모감주R6">[63]데이타!$E$188</definedName>
    <definedName name="모감주R8">[63]데이타!$E$189</definedName>
    <definedName name="모과2005">[63]데이타!$E$191</definedName>
    <definedName name="모과2507">[63]데이타!$E$192</definedName>
    <definedName name="모과R10">[63]데이타!$E$195</definedName>
    <definedName name="모과R12">[63]데이타!$E$196</definedName>
    <definedName name="모과R15">[63]데이타!$E$197</definedName>
    <definedName name="모과R20">[63]데이타!$E$198</definedName>
    <definedName name="모과R25">[63]데이타!$E$199</definedName>
    <definedName name="모과R5">[63]데이타!$E$193</definedName>
    <definedName name="모과R8">[63]데이타!$E$194</definedName>
    <definedName name="모과나무" localSheetId="2">#REF!</definedName>
    <definedName name="모과나무">#REF!</definedName>
    <definedName name="모듈11">BlankMacro1</definedName>
    <definedName name="모듈4">BlankMacro1</definedName>
    <definedName name="모란5가지">[63]데이타!$E$200</definedName>
    <definedName name="모란6가지">[63]데이타!$E$201</definedName>
    <definedName name="목도">[100]단위단가!$B$11</definedName>
    <definedName name="목도공">[68]기본단가표!$L$17</definedName>
    <definedName name="목련R10">[63]데이타!$E$206</definedName>
    <definedName name="목련R12">[63]데이타!$E$207</definedName>
    <definedName name="목련R15">[63]데이타!$E$208</definedName>
    <definedName name="목련R20">[63]데이타!$E$209</definedName>
    <definedName name="목련R4">[63]데이타!$E$202</definedName>
    <definedName name="목련R5">[63]데이타!$E$203</definedName>
    <definedName name="목련R6">[63]데이타!$E$204</definedName>
    <definedName name="목련R8">[63]데이타!$E$205</definedName>
    <definedName name="목록">[101]기초목록!$A$2:$I$95</definedName>
    <definedName name="목록표">BlankMacro1</definedName>
    <definedName name="목록표1">BlankMacro1</definedName>
    <definedName name="목백합" localSheetId="2">#REF!</definedName>
    <definedName name="목백합">#REF!</definedName>
    <definedName name="목서1506">[63]데이타!$E$213</definedName>
    <definedName name="목서2012">[63]데이타!$E$214</definedName>
    <definedName name="목서2515">[63]데이타!$E$215</definedName>
    <definedName name="목수국1006">[63]데이타!$E$210</definedName>
    <definedName name="목수국1208">[63]데이타!$E$211</definedName>
    <definedName name="목수국1510">[63]데이타!$E$212</definedName>
    <definedName name="목차">#N/A</definedName>
    <definedName name="목차표" localSheetId="2">#REF!</definedName>
    <definedName name="목차표">#REF!</definedName>
    <definedName name="몰라" hidden="1">{#N/A,#N/A,FALSE,"명세표"}</definedName>
    <definedName name="무궁화" localSheetId="2">#REF!</definedName>
    <definedName name="무궁화">#REF!</definedName>
    <definedName name="무궁화1003">[63]데이타!$E$216</definedName>
    <definedName name="무궁화1203">[63]데이타!$E$217</definedName>
    <definedName name="무궁화1504">[63]데이타!$E$218</definedName>
    <definedName name="무궁화1805">[63]데이타!$E$219</definedName>
    <definedName name="무궁화2006">[63]데이타!$E$220</definedName>
    <definedName name="무근" localSheetId="2">#REF!</definedName>
    <definedName name="무근">#REF!</definedName>
    <definedName name="물" localSheetId="2">#REF!</definedName>
    <definedName name="물">#REF!</definedName>
    <definedName name="물푸레R5">[63]데이타!$E$221</definedName>
    <definedName name="물푸레R6">[63]데이타!$E$222</definedName>
    <definedName name="물푸레R8">[63]데이타!$E$223</definedName>
    <definedName name="뮤" localSheetId="2">#REF!</definedName>
    <definedName name="뮤">#REF!</definedName>
    <definedName name="뮤2" localSheetId="2">#REF!</definedName>
    <definedName name="뮤2">#REF!</definedName>
    <definedName name="미끄럼방지시설2" localSheetId="3">BlankMacro1</definedName>
    <definedName name="미끄럼방지시설2" localSheetId="2">BlankMacro1</definedName>
    <definedName name="미끄럼방지시설2">BlankMacro1</definedName>
    <definedName name="미선0804">[63]데이타!$E$224</definedName>
    <definedName name="미선1206">[63]데이타!$E$225</definedName>
    <definedName name="미장공" localSheetId="3">[68]기본단가표!$L$25</definedName>
    <definedName name="미장공" localSheetId="2">[68]기본단가표!$L$25</definedName>
    <definedName name="미장공">[102]노임!$B$6</definedName>
    <definedName name="ㅂ" localSheetId="3">#REF!</definedName>
    <definedName name="ㅂ" localSheetId="2">#REF!</definedName>
    <definedName name="ㅂ" hidden="1">{#N/A,#N/A,TRUE,"토적및재료집계";#N/A,#N/A,TRUE,"토적및재료집계";#N/A,#N/A,TRUE,"단위량"}</definedName>
    <definedName name="ㅂ2ㅂ2" hidden="1">{#N/A,#N/A,FALSE,"배수1"}</definedName>
    <definedName name="ㅂㅂ" localSheetId="3">#REF!</definedName>
    <definedName name="ㅂㅂ" localSheetId="2">#REF!</definedName>
    <definedName name="ㅂㅂ" hidden="1">{#N/A,#N/A,FALSE,"표지"}</definedName>
    <definedName name="ㅂㅂㅂ" localSheetId="23">#REF!</definedName>
    <definedName name="ㅂㅂㅂ" localSheetId="22">#REF!</definedName>
    <definedName name="ㅂㅂㅂ">'기계설비 목록별산출'!ㅂㅂㅂ</definedName>
    <definedName name="ㅂㅂㅂㅂㅂㅂㅂ" hidden="1">{#N/A,#N/A,FALSE,"명세표"}</definedName>
    <definedName name="ㅂㅈ" hidden="1">{#N/A,#N/A,FALSE,"2~8번"}</definedName>
    <definedName name="ㅂ쟈ㅕㅑㅂ1" hidden="1">{#N/A,#N/A,FALSE,"배수1"}</definedName>
    <definedName name="바" localSheetId="2">#REF!</definedName>
    <definedName name="바">#REF!</definedName>
    <definedName name="바인드신설1">[9]노무비명세서!$AE$48</definedName>
    <definedName name="바인드신설2">[9]노무비명세서!$AE$49</definedName>
    <definedName name="바인드신설3">[9]노무비명세서!$AE$50</definedName>
    <definedName name="박광민" localSheetId="2">#REF!</definedName>
    <definedName name="박광민">#REF!</definedName>
    <definedName name="박민민" localSheetId="2">#REF!</definedName>
    <definedName name="박민민">#REF!</definedName>
    <definedName name="박태기" localSheetId="2">#REF!</definedName>
    <definedName name="박태기">#REF!</definedName>
    <definedName name="반경관1">[9]종합기별!$AI$10</definedName>
    <definedName name="반경관2">[9]종합기별!$AI$13</definedName>
    <definedName name="반경관3">[9]종합기별!$AI$16</definedName>
    <definedName name="반경관4">[9]종합기별!$AI$19</definedName>
    <definedName name="반경관취부1">[9]종합기별!$AJ$10</definedName>
    <definedName name="반경관취부2">[9]종합기별!$AJ$13</definedName>
    <definedName name="반경관취부3">[9]종합기별!$AJ$16</definedName>
    <definedName name="반경관취부4">[9]종합기별!$AJ$19</definedName>
    <definedName name="반송1012">[63]데이타!$E$148</definedName>
    <definedName name="반송1215">[63]데이타!$E$149</definedName>
    <definedName name="반송1518">[63]데이타!$E$150</definedName>
    <definedName name="반송1520">[63]데이타!$E$151</definedName>
    <definedName name="반송2022">[63]데이타!$E$152</definedName>
    <definedName name="방송설비">#REF!</definedName>
    <definedName name="방수공" localSheetId="3">[68]기본단가표!$L$24</definedName>
    <definedName name="방수공" localSheetId="2">[68]기본단가표!$L$24</definedName>
    <definedName name="방수공">[102]노임!$B$7</definedName>
    <definedName name="방호벽" localSheetId="2">#REF!</definedName>
    <definedName name="방호벽">#REF!</definedName>
    <definedName name="배관공">[69]기본단가표!$K$8</definedName>
    <definedName name="배롱나무" localSheetId="2">#REF!</definedName>
    <definedName name="배롱나무">#REF!</definedName>
    <definedName name="배전">#REF!</definedName>
    <definedName name="배전반자재단가영">#REF!</definedName>
    <definedName name="백">[0]!백</definedName>
    <definedName name="백02간재">'[77]기계경비(시간당)'!$H$161</definedName>
    <definedName name="백02간재티스제외">'[77]기계경비(시간당)'!$H$162</definedName>
    <definedName name="백02노무">'[77]기계경비(시간당)'!$H$153</definedName>
    <definedName name="백02노무야간">'[77]기계경비(시간당)'!$H$157</definedName>
    <definedName name="백02손료">'[77]기계경비(시간당)'!$H$149</definedName>
    <definedName name="백04간재">'[77]기계경비(시간당)'!$H$145</definedName>
    <definedName name="백04간재티스제외">'[77]기계경비(시간당)'!$H$146</definedName>
    <definedName name="백04노무">'[77]기계경비(시간당)'!$H$137</definedName>
    <definedName name="백04노무야간">'[77]기계경비(시간당)'!$H$141</definedName>
    <definedName name="백04손료">'[77]기계경비(시간당)'!$H$133</definedName>
    <definedName name="백07간재">'[77]기계경비(시간당)'!$H$129</definedName>
    <definedName name="백07노무">'[77]기계경비(시간당)'!$H$121</definedName>
    <definedName name="백07손료">'[77]기계경비(시간당)'!$H$117</definedName>
    <definedName name="백호07">#REF!</definedName>
    <definedName name="백호10">#REF!</definedName>
    <definedName name="밴드취부">[9]노무비명세서!$AE$43</definedName>
    <definedName name="버팀간격" localSheetId="2">#REF!</definedName>
    <definedName name="버팀간격">#REF!</definedName>
    <definedName name="버팀규격" localSheetId="2">#REF!</definedName>
    <definedName name="버팀규격">#REF!</definedName>
    <definedName name="버팀수량" localSheetId="2">#REF!</definedName>
    <definedName name="버팀수량">#REF!</definedName>
    <definedName name="번3">[103]data!$A$1:$F$1193</definedName>
    <definedName name="번호" localSheetId="2">#REF!</definedName>
    <definedName name="번호">#REF!</definedName>
    <definedName name="벽높이" localSheetId="2">#REF!</definedName>
    <definedName name="벽높이">#REF!</definedName>
    <definedName name="벽반사">#REF!</definedName>
    <definedName name="벽체" localSheetId="2">#REF!</definedName>
    <definedName name="벽체">#REF!</definedName>
    <definedName name="보도" localSheetId="3" hidden="1">{#N/A,#N/A,TRUE,"총괄"}</definedName>
    <definedName name="보도" hidden="1">{#N/A,#N/A,TRUE,"총괄"}</definedName>
    <definedName name="보도경계블럭수량" localSheetId="2">#REF!</definedName>
    <definedName name="보도경계블럭수량">#REF!</definedName>
    <definedName name="보인">#REF!</definedName>
    <definedName name="보조" localSheetId="2">#REF!</definedName>
    <definedName name="보조">#REF!</definedName>
    <definedName name="보조1" localSheetId="2">#REF!</definedName>
    <definedName name="보조1">#REF!</definedName>
    <definedName name="보조2" localSheetId="2">#REF!</definedName>
    <definedName name="보조2">#REF!</definedName>
    <definedName name="보조기층" localSheetId="2">#REF!</definedName>
    <definedName name="보조기층">#REF!</definedName>
    <definedName name="보차도경계블럭수량" localSheetId="2">#REF!</definedName>
    <definedName name="보차도경계블럭수량">#REF!</definedName>
    <definedName name="보통인부" localSheetId="3">[73]데이타!$E$659</definedName>
    <definedName name="보통인부" localSheetId="2">[73]데이타!$E$659</definedName>
    <definedName name="보통인부">#REF!</definedName>
    <definedName name="보통인부B10">[63]식재인부!$C$24</definedName>
    <definedName name="보통인부B4이하">[63]식재인부!$C$18</definedName>
    <definedName name="보통인부B5">[63]식재인부!$C$19</definedName>
    <definedName name="보통인부B6">[63]식재인부!$C$20</definedName>
    <definedName name="보통인부B8">[63]식재인부!$C$22</definedName>
    <definedName name="보통인부R10">[63]식재인부!$C$54</definedName>
    <definedName name="보통인부R12">[63]식재인부!$C$56</definedName>
    <definedName name="보통인부R15">[63]식재인부!$C$59</definedName>
    <definedName name="보통인부R4이하">[63]식재인부!$C$48</definedName>
    <definedName name="보통인부R5">[63]식재인부!$C$49</definedName>
    <definedName name="보통인부R6">[63]식재인부!$C$50</definedName>
    <definedName name="보통인부R7">[63]식재인부!$C$51</definedName>
    <definedName name="보통인부R8">[63]식재인부!$C$52</definedName>
    <definedName name="복토" localSheetId="2">#REF!</definedName>
    <definedName name="복토">#REF!</definedName>
    <definedName name="부가가치세">#REF!</definedName>
    <definedName name="부대a" hidden="1">{#N/A,#N/A,FALSE,"골재소요량";#N/A,#N/A,FALSE,"골재소요량"}</definedName>
    <definedName name="부대공" localSheetId="2">#REF!</definedName>
    <definedName name="부대공">#REF!</definedName>
    <definedName name="부대원본" hidden="1">{#N/A,#N/A,FALSE,"토공2"}</definedName>
    <definedName name="부대일위대가" localSheetId="2">#REF!</definedName>
    <definedName name="부대일위대가">#REF!</definedName>
    <definedName name="부하_부하명">#REF!</definedName>
    <definedName name="분배함취부">[9]노무비명세서!$AE$11</definedName>
    <definedName name="분전함신설합계">[104]분전함신설!$S$29</definedName>
    <definedName name="브02간재구조물">'[77]기계경비(시간당)'!$H$112</definedName>
    <definedName name="브02노무">'[77]기계경비(시간당)'!$H$110</definedName>
    <definedName name="브02노무야간">'[77]기계경비(시간당)'!$H$111</definedName>
    <definedName name="브02손료">'[77]기계경비(시간당)'!$H$109</definedName>
    <definedName name="브04간재구조물">'[77]기계경비(시간당)'!$H$105</definedName>
    <definedName name="브04노무">'[77]기계경비(시간당)'!$H$103</definedName>
    <definedName name="브04노무야간">'[77]기계경비(시간당)'!$H$104</definedName>
    <definedName name="브04손료">'[77]기계경비(시간당)'!$H$102</definedName>
    <definedName name="브레이드">'[77]기계경비(시간당)'!$D$28</definedName>
    <definedName name="브이c" localSheetId="2">#REF!</definedName>
    <definedName name="브이c">#REF!</definedName>
    <definedName name="비계">#REF!</definedName>
    <definedName name="비닐절연전선1">[9]종합기별!$AE$10</definedName>
    <definedName name="비닐절연전선2">[9]종합기별!$AE$13</definedName>
    <definedName name="비닐절연전선3">[9]종합기별!$AE$16</definedName>
    <definedName name="비닐절연전선4">[9]종합기별!$AE$19</definedName>
    <definedName name="비목1" localSheetId="2">#REF!</definedName>
    <definedName name="비목1">#REF!</definedName>
    <definedName name="비목2" localSheetId="2">#REF!</definedName>
    <definedName name="비목2">#REF!</definedName>
    <definedName name="비목3" localSheetId="2">#REF!</definedName>
    <definedName name="비목3">#REF!</definedName>
    <definedName name="비목4" localSheetId="2">#REF!</definedName>
    <definedName name="비목4">#REF!</definedName>
    <definedName name="비비추" localSheetId="2">#REF!</definedName>
    <definedName name="비비추">#REF!</definedName>
    <definedName name="비율" localSheetId="3">[78]투찰금액!$G$2</definedName>
    <definedName name="비율" localSheetId="2">[79]투찰금액!$G$2</definedName>
    <definedName name="비율">#REF!</definedName>
    <definedName name="빔간격" localSheetId="2">#REF!</definedName>
    <definedName name="빔간격">#REF!</definedName>
    <definedName name="빔높이" localSheetId="2">#REF!</definedName>
    <definedName name="빔높이">#REF!</definedName>
    <definedName name="빗물받이1" localSheetId="2">#REF!</definedName>
    <definedName name="빗물받이1">#REF!</definedName>
    <definedName name="빗물받이2" localSheetId="2">#REF!</definedName>
    <definedName name="빗물받이2">#REF!</definedName>
    <definedName name="ㅅ" localSheetId="3" hidden="1">#REF!</definedName>
    <definedName name="ㅅ" localSheetId="2" hidden="1">#REF!</definedName>
    <definedName name="ㅅ" hidden="1">{#N/A,#N/A,TRUE,"토적및재료집계";#N/A,#N/A,TRUE,"토적및재료집계";#N/A,#N/A,TRUE,"단위량"}</definedName>
    <definedName name="ㅅㄱㄷ" hidden="1">{#N/A,#N/A,FALSE,"2~8번"}</definedName>
    <definedName name="ㅅㄱㄷㅅㄱㄷ" hidden="1">{#N/A,#N/A,FALSE,"구조2"}</definedName>
    <definedName name="ㅅㄱㄷㅅㄷㄱ" hidden="1">{#N/A,#N/A,FALSE,"단가표지"}</definedName>
    <definedName name="ㅅㄱㄷㅅㄷㄳ" hidden="1">{#N/A,#N/A,FALSE,"골재소요량";#N/A,#N/A,FALSE,"골재소요량"}</definedName>
    <definedName name="ㅅㄹ">[21]단가산출!$B$4:$AG$50040</definedName>
    <definedName name="ㅅㅅ" hidden="1">{#N/A,#N/A,TRUE,"토적및재료집계";#N/A,#N/A,TRUE,"토적및재료집계";#N/A,#N/A,TRUE,"단위량"}</definedName>
    <definedName name="사" localSheetId="3">#REF!</definedName>
    <definedName name="사" localSheetId="2">#REF!</definedName>
    <definedName name="사" hidden="1">#REF!</definedName>
    <definedName name="사굴착">[9]노무비명세서!$AE$70</definedName>
    <definedName name="사급재료비">#REF!</definedName>
    <definedName name="사인일위" localSheetId="2">#REF!</definedName>
    <definedName name="사인일위">#REF!</definedName>
    <definedName name="사하중1" localSheetId="2">#REF!</definedName>
    <definedName name="사하중1">#REF!</definedName>
    <definedName name="사하중2" localSheetId="2">#REF!</definedName>
    <definedName name="사하중2">#REF!</definedName>
    <definedName name="사하중3" localSheetId="2">#REF!</definedName>
    <definedName name="사하중3">#REF!</definedName>
    <definedName name="사하중4" localSheetId="2">#REF!</definedName>
    <definedName name="사하중4">#REF!</definedName>
    <definedName name="산재보험료" localSheetId="3">#REF!</definedName>
    <definedName name="산재보험료" localSheetId="2">#REF!</definedName>
    <definedName name="산재보험료">[75]설계산출기초!$G$13</definedName>
    <definedName name="산철쭉" localSheetId="2">#REF!</definedName>
    <definedName name="산철쭉">#REF!</definedName>
    <definedName name="산출" localSheetId="2">#REF!</definedName>
    <definedName name="산출">#REF!</definedName>
    <definedName name="산출0">[105]산출0!$A$2:$AN$5024</definedName>
    <definedName name="산출근거" localSheetId="3">BlankMacro1</definedName>
    <definedName name="산출근거" localSheetId="2">BlankMacro1</definedName>
    <definedName name="산출근거">BlankMacro1</definedName>
    <definedName name="산표">#REF!</definedName>
    <definedName name="삼각지_동력부하_List">#REF!</definedName>
    <definedName name="상부" localSheetId="2">#REF!</definedName>
    <definedName name="상부">#REF!</definedName>
    <definedName name="상부1" localSheetId="2">#REF!</definedName>
    <definedName name="상부1">#REF!</definedName>
    <definedName name="상부2" localSheetId="2">#REF!</definedName>
    <definedName name="상부2">#REF!</definedName>
    <definedName name="상수도공" localSheetId="2">#REF!</definedName>
    <definedName name="상수도공">#REF!</definedName>
    <definedName name="상수도공집계표" localSheetId="2">#REF!</definedName>
    <definedName name="상수도공집계표">#REF!</definedName>
    <definedName name="새마을차고신설수량">'[3]40집계'!$A$4:$O$157</definedName>
    <definedName name="서류3" hidden="1">{#N/A,"수불부",FALSE,"사급자재수불서";#N/A,"수불부",FALSE,"사급자재수불서"}</definedName>
    <definedName name="서류4" hidden="1">{#N/A,"수불부",FALSE,"사급자재수불서";#N/A,"수불부",FALSE,"사급자재수불서"}</definedName>
    <definedName name="서류5" hidden="1">{#N/A,"수불부",FALSE,"사급자재수불서";#N/A,"수불부",FALSE,"사급자재수불서"}</definedName>
    <definedName name="석공">[68]기본단가표!$L$20</definedName>
    <definedName name="석면철거" hidden="1">{#N/A,#N/A,FALSE,"혼합골재"}</definedName>
    <definedName name="석항" hidden="1">{#N/A,#N/A,FALSE,"명세표"}</definedName>
    <definedName name="선로신설">#REF!</definedName>
    <definedName name="선로철거">#REF!</definedName>
    <definedName name="설계내역">#REF!</definedName>
    <definedName name="설계속도" localSheetId="2">#REF!</definedName>
    <definedName name="설계속도">#REF!</definedName>
    <definedName name="설비">[83]data!$A$1:$F$1193</definedName>
    <definedName name="소개소" localSheetId="2">#REF!</definedName>
    <definedName name="소개소">#REF!</definedName>
    <definedName name="소계" localSheetId="3">#REF!</definedName>
    <definedName name="소계" localSheetId="2">#REF!</definedName>
    <definedName name="소계">#REF!</definedName>
    <definedName name="소계3">#REF!</definedName>
    <definedName name="소계4">#REF!</definedName>
    <definedName name="소계5">#REF!</definedName>
    <definedName name="소관경" localSheetId="2">#REF!</definedName>
    <definedName name="소관경">#REF!</definedName>
    <definedName name="소나무" localSheetId="2">#REF!</definedName>
    <definedName name="소나무">#REF!</definedName>
    <definedName name="소방일위목록">#REF!</definedName>
    <definedName name="소일위대가1" localSheetId="2">#REF!</definedName>
    <definedName name="소일위대가1">#REF!</definedName>
    <definedName name="소켓무게">[106]DATE!$G$24:$G$79</definedName>
    <definedName name="소형B손료">'[77]기계경비(시간당)'!$H$240</definedName>
    <definedName name="손">[0]!손</definedName>
    <definedName name="송파단면">#REF!</definedName>
    <definedName name="송파단면1">#REF!</definedName>
    <definedName name="송파단면2">[26]data!$A$1:$E$916</definedName>
    <definedName name="송파단면3">[27]data!$A$1:$F$1193</definedName>
    <definedName name="송파대로">[26]data!$A$1:$E$916</definedName>
    <definedName name="쇼" localSheetId="3">BlankMacro1</definedName>
    <definedName name="쇼" localSheetId="2">BlankMacro1</definedName>
    <definedName name="쇼">BlankMacro1</definedName>
    <definedName name="수____종" localSheetId="2">#REF!</definedName>
    <definedName name="수____종">#REF!</definedName>
    <definedName name="수급인상호">#REF!</definedName>
    <definedName name="수급인성명">#REF!</definedName>
    <definedName name="수급인주소">#REF!</definedName>
    <definedName name="수량">[61]공종!$A$1:$E$188</definedName>
    <definedName name="수량계산">#REF!</definedName>
    <definedName name="수량산출" localSheetId="3">#REF!</definedName>
    <definedName name="수량산출" localSheetId="2">#REF!</definedName>
    <definedName name="수량산출">#REF!</definedName>
    <definedName name="수량산출2" localSheetId="3">BlankMacro1</definedName>
    <definedName name="수량산출2" localSheetId="2">BlankMacro1</definedName>
    <definedName name="수량산출2">BlankMacro1</definedName>
    <definedName name="수량산출5" localSheetId="3">BlankMacro1</definedName>
    <definedName name="수량산출5" localSheetId="2">BlankMacro1</definedName>
    <definedName name="수량산출5">BlankMacro1</definedName>
    <definedName name="수량산출서">#REF!</definedName>
    <definedName name="수량산출서표지" localSheetId="3">BlankMacro1</definedName>
    <definedName name="수량산출서표지" localSheetId="2">BlankMacro1</definedName>
    <definedName name="수량산출서표지">BlankMacro1</definedName>
    <definedName name="수목" localSheetId="2">#REF!</definedName>
    <definedName name="수목">#REF!</definedName>
    <definedName name="수수꽃다리" localSheetId="2">#REF!</definedName>
    <definedName name="수수꽃다리">#REF!</definedName>
    <definedName name="수식">#REF!</definedName>
    <definedName name="수압1" localSheetId="2">#REF!</definedName>
    <definedName name="수압1">#REF!</definedName>
    <definedName name="수압2" localSheetId="2">#REF!</definedName>
    <definedName name="수압2">#REF!</definedName>
    <definedName name="수압3" localSheetId="2">#REF!</definedName>
    <definedName name="수압3">#REF!</definedName>
    <definedName name="순공사비" localSheetId="2">#REF!</definedName>
    <definedName name="순공사비">#REF!</definedName>
    <definedName name="스파이랄취부1">[9]노무비명세서!$AE$40</definedName>
    <definedName name="스파이랄취부2">[9]노무비명세서!$AE$41</definedName>
    <definedName name="슬래브" localSheetId="2">#REF!</definedName>
    <definedName name="슬래브">#REF!</definedName>
    <definedName name="습윤" localSheetId="2">#REF!</definedName>
    <definedName name="습윤">#REF!</definedName>
    <definedName name="시방">'[107]9GNG운반'!#REF!</definedName>
    <definedName name="시방배">'[107]9GNG운반'!#REF!</definedName>
    <definedName name="시설물수량" localSheetId="2">#REF!</definedName>
    <definedName name="시설물수량">#REF!</definedName>
    <definedName name="시설수량" localSheetId="2">#REF!</definedName>
    <definedName name="시설수량">#REF!</definedName>
    <definedName name="시중노임1">#N/A</definedName>
    <definedName name="시행청">[75]설계산출표지!$B$21</definedName>
    <definedName name="식">#REF!</definedName>
    <definedName name="식재" localSheetId="2">#REF!</definedName>
    <definedName name="식재">#REF!</definedName>
    <definedName name="신설" hidden="1">{#N/A,#N/A,FALSE,"명세표"}</definedName>
    <definedName name="신설1">'[61]수량계산서 집계표(신설-을지로3가 2호선)'!$A:$AW</definedName>
    <definedName name="신설2">'[62]수량계산서 집계표(신설-을지로3가 3호선)'!$A:$AQ</definedName>
    <definedName name="신호기" localSheetId="3">#N/A</definedName>
    <definedName name="신호기" localSheetId="2">#N/A</definedName>
    <definedName name="신호기">순공사비집계표!신호기</definedName>
    <definedName name="신호기용공배관">[81]!돌아가기</definedName>
    <definedName name="실지수_기호">#REF!</definedName>
    <definedName name="써비스콘1">[9]종합기별!$AG$10</definedName>
    <definedName name="써비스콘2">[9]종합기별!$AG$13</definedName>
    <definedName name="써비스콘3">[9]종합기별!$AG$16</definedName>
    <definedName name="써비스콘4">[9]종합기별!$AG$19</definedName>
    <definedName name="써콘시설">[9]노무비명세서!$AE$53</definedName>
    <definedName name="씨" localSheetId="2">#REF!</definedName>
    <definedName name="씨">#REF!</definedName>
    <definedName name="씨그마ck" localSheetId="2">#REF!</definedName>
    <definedName name="씨그마ck">#REF!</definedName>
    <definedName name="씨그마y" localSheetId="2">#REF!</definedName>
    <definedName name="씨그마y">#REF!</definedName>
    <definedName name="ㅇ" localSheetId="3">#REF!</definedName>
    <definedName name="ㅇ" localSheetId="2">#REF!</definedName>
    <definedName name="ㅇ">순공사비집계표!ㅇ</definedName>
    <definedName name="ㅇㄱ" localSheetId="3">BlankMacro1</definedName>
    <definedName name="ㅇㄱ" localSheetId="2">BlankMacro1</definedName>
    <definedName name="ㅇㄱ">BlankMacro1</definedName>
    <definedName name="ㅇㄱ1" localSheetId="2">#REF!</definedName>
    <definedName name="ㅇㄱ1">#REF!</definedName>
    <definedName name="ㅇㄴㄹㄴㅇ" hidden="1">{#N/A,"수불부",FALSE,"사급자재수불서";#N/A,"수불부",FALSE,"사급자재수불서"}</definedName>
    <definedName name="ㅇㄴㄹㄴㅇㄹ" localSheetId="3">#N/A</definedName>
    <definedName name="ㅇㄴㄹㄴㅇㄹ" localSheetId="2">#N/A</definedName>
    <definedName name="ㅇㄴㄹㄴㅇㄹ">순공사비집계표!ㅇㄴㄹㄴㅇㄹ</definedName>
    <definedName name="ㅇㄴㄹㄴㅇㄹㄴㅇㄹ" hidden="1">#REF!</definedName>
    <definedName name="ㅇㄴㄻㅎㅈㄷㅈㄷㄴ" hidden="1">{"'Sheet1'!$D$19","'Sheet1'!$B$22:$E$22"}</definedName>
    <definedName name="ㅇㄴㅁ" hidden="1">[108]실행철강하도!$A$1:$A$4</definedName>
    <definedName name="ㅇㄴㅁㄹㅇㄻㅇㄹㄴㅇ" hidden="1">{#N/A,"수불부",FALSE,"사급자재수불서";#N/A,"수불부",FALSE,"사급자재수불서"}</definedName>
    <definedName name="ㅇㄶㄹㄷㄱㄹㅈ" hidden="1">{#N/A,"수불부",FALSE,"사급자재수불서";#N/A,"수불부",FALSE,"사급자재수불서"}</definedName>
    <definedName name="ㅇㄶㄹㅇ" hidden="1">#REF!</definedName>
    <definedName name="ㅇㄶㅁㄴㄱㄷ" hidden="1">{#N/A,"수불부",FALSE,"사급자재수불서";#N/A,"수불부",FALSE,"사급자재수불서"}</definedName>
    <definedName name="ㅇㄶㅁㄷㄱㄹㅈ" hidden="1">{#N/A,"수불부",FALSE,"사급자재수불서";#N/A,"수불부",FALSE,"사급자재수불서"}</definedName>
    <definedName name="ㅇㄹ">BlankMacro1</definedName>
    <definedName name="ㅇㄹㄴ" hidden="1">{#N/A,"수불부",FALSE,"사급자재수불서";#N/A,"수불부",FALSE,"사급자재수불서"}</definedName>
    <definedName name="ㅇㄹㄴㅁㅎㅁㄴ" hidden="1">{#N/A,"수불부",FALSE,"사급자재수불서";#N/A,"수불부",FALSE,"사급자재수불서"}</definedName>
    <definedName name="ㅇㄹㄹ" hidden="1">#REF!</definedName>
    <definedName name="ㅇㄹㅇ" localSheetId="23" hidden="1">#REF!</definedName>
    <definedName name="ㅇㄹㅇ" localSheetId="22" hidden="1">#REF!</definedName>
    <definedName name="ㅇㄹㅇ">BlankMacro1</definedName>
    <definedName name="ㅇㄹㅇㄹ" hidden="1">#REF!</definedName>
    <definedName name="ㅇㄻㄴㅀ" hidden="1">{#N/A,"수불부",FALSE,"사급자재수불서";#N/A,"수불부",FALSE,"사급자재수불서"}</definedName>
    <definedName name="ㅇㅁ" localSheetId="3">BlankMacro1</definedName>
    <definedName name="ㅇㅁ" localSheetId="2">BlankMacro1</definedName>
    <definedName name="ㅇㅁ">BlankMacro1</definedName>
    <definedName name="ㅇㅁㄶㄴㅇㅁㅀㅇㄴ" hidden="1">{#N/A,"수불부",FALSE,"사급자재수불서";#N/A,"수불부",FALSE,"사급자재수불서"}</definedName>
    <definedName name="ㅇㅇ">[0]!ㅇㅇ</definedName>
    <definedName name="ㅇㅇㄴ">[87]예산!#REF!</definedName>
    <definedName name="ㅇㅇㄹ" hidden="1">#REF!</definedName>
    <definedName name="ㅇㅇㅇ" localSheetId="3">#REF!</definedName>
    <definedName name="ㅇㅇㅇ" localSheetId="2">#REF!</definedName>
    <definedName name="ㅇㅇㅇ" hidden="1">{#N/A,#N/A,FALSE,"운반시간"}</definedName>
    <definedName name="ㅇㅇㅇㅇ" localSheetId="3">#REF!</definedName>
    <definedName name="ㅇㅇㅇㅇ" localSheetId="2">#REF!</definedName>
    <definedName name="ㅇㅇㅇㅇ" hidden="1">#REF!</definedName>
    <definedName name="ㅇㅇㅇㅇㅇㅇ" hidden="1">#REF!</definedName>
    <definedName name="ㅇ어ㅗ" localSheetId="2">#REF!</definedName>
    <definedName name="ㅇ어ㅗ">#REF!</definedName>
    <definedName name="ㅇㅍ" localSheetId="3">BlankMacro1</definedName>
    <definedName name="ㅇㅍ" localSheetId="2">BlankMacro1</definedName>
    <definedName name="ㅇㅍ">BlankMacro1</definedName>
    <definedName name="ㅇㅎㅁㅇㅎㄴㅇㅁ" hidden="1">{#N/A,"수불부",FALSE,"사급자재수불서";#N/A,"수불부",FALSE,"사급자재수불서"}</definedName>
    <definedName name="아" localSheetId="3">#REF!</definedName>
    <definedName name="아" localSheetId="2">#REF!</definedName>
    <definedName name="아">BlankMacro1</definedName>
    <definedName name="아니오">BlankMacro1</definedName>
    <definedName name="아스콘" localSheetId="2">#REF!</definedName>
    <definedName name="아스콘">#REF!</definedName>
    <definedName name="아스콘1" localSheetId="2">#REF!</definedName>
    <definedName name="아스콘1">#REF!</definedName>
    <definedName name="아스콘2" hidden="1">[109]조명시설!#REF!</definedName>
    <definedName name="아스콘수량" localSheetId="2">#REF!</definedName>
    <definedName name="아스콘수량">#REF!</definedName>
    <definedName name="아스팔트" localSheetId="2">#REF!</definedName>
    <definedName name="아스팔트">#REF!</definedName>
    <definedName name="안" localSheetId="2">#REF!</definedName>
    <definedName name="안">#REF!</definedName>
    <definedName name="안전관리비">#REF!</definedName>
    <definedName name="알d" localSheetId="2">#REF!</definedName>
    <definedName name="알d">#REF!</definedName>
    <definedName name="알파1" localSheetId="2">#REF!</definedName>
    <definedName name="알파1">#REF!</definedName>
    <definedName name="알파2" localSheetId="2">#REF!</definedName>
    <definedName name="알파2">#REF!</definedName>
    <definedName name="암거공" localSheetId="2">#REF!</definedName>
    <definedName name="암거공">#REF!</definedName>
    <definedName name="암타이1">[9]종합기별!$I$10</definedName>
    <definedName name="암타이2">[9]종합기별!$I$13</definedName>
    <definedName name="암타이3">[9]종합기별!$I$16</definedName>
    <definedName name="암타이4">[9]종합기별!$I$19</definedName>
    <definedName name="앞굽높이" localSheetId="2">#REF!</definedName>
    <definedName name="앞굽높이">#REF!</definedName>
    <definedName name="앞성토" localSheetId="2">#REF!</definedName>
    <definedName name="앞성토">#REF!</definedName>
    <definedName name="앨c" localSheetId="2">#REF!</definedName>
    <definedName name="앨c">#REF!</definedName>
    <definedName name="앨e" localSheetId="2">#REF!</definedName>
    <definedName name="앨e">#REF!</definedName>
    <definedName name="양매자0403">[63]데이타!$E$168</definedName>
    <definedName name="양매자0505">[63]데이타!$E$169</definedName>
    <definedName name="양매자0606">[63]데이타!$E$170</definedName>
    <definedName name="어랑너ㅣㄹㄴㅇ" hidden="1">{#N/A,"수불부",FALSE,"사급자재수불서";#N/A,"수불부",FALSE,"사급자재수불서"}</definedName>
    <definedName name="억이상" hidden="1">{#N/A,#N/A,FALSE,"2~8번"}</definedName>
    <definedName name="업체" hidden="1">#REF!</definedName>
    <definedName name="업체단가">[110]자재단가!$A$6:$M$156</definedName>
    <definedName name="여과지동" localSheetId="3">[111]여과지동!$F$3:$AS$80</definedName>
    <definedName name="여과지동" localSheetId="2">[111]여과지동!$F$3:$AS$80</definedName>
    <definedName name="여과지동">[106]여과지동!$F$3:$AS$80</definedName>
    <definedName name="여입">[112]data!$A$1:$F$1193</definedName>
    <definedName name="연동연선1">[9]종합기별!$AH$10</definedName>
    <definedName name="연동연선2">[9]종합기별!$AH$13</definedName>
    <definedName name="연동연선3">[9]종합기별!$AH$16</definedName>
    <definedName name="연동연선4">[9]종합기별!$AH$19</definedName>
    <definedName name="연습" localSheetId="3" hidden="1">{#N/A,#N/A,TRUE,"총괄"}</definedName>
    <definedName name="연습" hidden="1">{#N/A,#N/A,TRUE,"총괄"}</definedName>
    <definedName name="연습9">#REF!</definedName>
    <definedName name="연습99">#REF!</definedName>
    <definedName name="연장" localSheetId="3">#REF!</definedName>
    <definedName name="연장" localSheetId="2">#REF!</definedName>
    <definedName name="연장">#REF!</definedName>
    <definedName name="연접도움말">[81]!연접도움말</definedName>
    <definedName name="연접물량" localSheetId="3">#N/A</definedName>
    <definedName name="연접물량" localSheetId="2">#N/A</definedName>
    <definedName name="연접물량">순공사비집계표!연접물량</definedName>
    <definedName name="영산홍" localSheetId="2">#REF!</definedName>
    <definedName name="영산홍">#REF!</definedName>
    <definedName name="영원무역" localSheetId="3" hidden="1">{#N/A,#N/A,TRUE,"총괄"}</definedName>
    <definedName name="영원무역" hidden="1">{#N/A,#N/A,TRUE,"총괄"}</definedName>
    <definedName name="예">BlankMacro1</definedName>
    <definedName name="예산">[113]예산조서!$A$2:$O$353</definedName>
    <definedName name="예예예">BlankMacro1</definedName>
    <definedName name="오" localSheetId="3">#REF!</definedName>
    <definedName name="오" localSheetId="2">#REF!</definedName>
    <definedName name="오">BlankMacro1</definedName>
    <definedName name="오라1" localSheetId="2">#REF!</definedName>
    <definedName name="오라1">#REF!</definedName>
    <definedName name="오수공" localSheetId="2">#REF!</definedName>
    <definedName name="오수공">#REF!</definedName>
    <definedName name="옥외등철거공구손료">#REF!</definedName>
    <definedName name="옥외등철거공비">#REF!</definedName>
    <definedName name="옥외접지">[9]노무비명세서!$AE$54</definedName>
    <definedName name="옹벽공" localSheetId="2">#REF!</definedName>
    <definedName name="옹벽공">#REF!</definedName>
    <definedName name="옹벽공집계표" localSheetId="2">#REF!</definedName>
    <definedName name="옹벽공집계표">#REF!</definedName>
    <definedName name="완공3" hidden="1">#REF!</definedName>
    <definedName name="완료품의">'[1]#REF'!#REF!</definedName>
    <definedName name="왕벚나무" localSheetId="2">#REF!</definedName>
    <definedName name="왕벚나무">#REF!</definedName>
    <definedName name="왜성도라지" localSheetId="2">#REF!</definedName>
    <definedName name="왜성도라지">#REF!</definedName>
    <definedName name="외벽1" localSheetId="2">#REF!</definedName>
    <definedName name="외벽1">#REF!</definedName>
    <definedName name="외벽2" localSheetId="2">#REF!</definedName>
    <definedName name="외벽2">#REF!</definedName>
    <definedName name="외피접속">[9]노무비명세서!$AE$33</definedName>
    <definedName name="용접">#REF!</definedName>
    <definedName name="용접공" localSheetId="3">[68]기본단가표!$L$23</definedName>
    <definedName name="용접공" localSheetId="2">[68]기본단가표!$L$23</definedName>
    <definedName name="용접공">'[77]기계경비(시간당)'!$D$13</definedName>
    <definedName name="우수공" localSheetId="2">#REF!</definedName>
    <definedName name="우수공">#REF!</definedName>
    <definedName name="우수관수량산출" localSheetId="2">#REF!</definedName>
    <definedName name="우수관수량산출">#REF!</definedName>
    <definedName name="운반구간">[75]을부담운반비!$D$5</definedName>
    <definedName name="운반비">[75]설계산출기초!$G$7</definedName>
    <definedName name="운전">#REF!</definedName>
    <definedName name="운전사">#REF!</definedName>
    <definedName name="운전사_운반">'[77]기계경비(시간당)'!$D$7</definedName>
    <definedName name="운전사운반차">[68]기본단가표!$L$15</definedName>
    <definedName name="운전조">#REF!</definedName>
    <definedName name="원">#REF!</definedName>
    <definedName name="원가" hidden="1">{#N/A,#N/A,FALSE,"운반시간"}</definedName>
    <definedName name="원가계산1">[114]자재단가!$A$6:$M$156</definedName>
    <definedName name="원가계산서">[115]자재단가!$A$6:$M$156</definedName>
    <definedName name="원가계산선갑지">[116]기본단가표!$K$6</definedName>
    <definedName name="원각계ㅅ산">#REF!</definedName>
    <definedName name="원남내역" hidden="1">[117]실행철강하도!$A$1:$A$4</definedName>
    <definedName name="위험표시찰1">[9]종합기별!$AB$10</definedName>
    <definedName name="위험표시찰2">[9]종합기별!$AB$13</definedName>
    <definedName name="위험표시찰3">[9]종합기별!$AB$16</definedName>
    <definedName name="위험표시찰4">[9]종합기별!$AB$19</definedName>
    <definedName name="융착접속">[9]노무비명세서!$AE$32</definedName>
    <definedName name="은행나무" localSheetId="2">#REF!</definedName>
    <definedName name="은행나무">#REF!</definedName>
    <definedName name="을부담품목별중량계">[75]운반비산출!$E$25</definedName>
    <definedName name="의" hidden="1">{#N/A,#N/A,FALSE,"운반시간"}</definedName>
    <definedName name="이">#REF!</definedName>
    <definedName name="이공구가설비" localSheetId="2">#REF!</definedName>
    <definedName name="이공구가설비">#REF!</definedName>
    <definedName name="이공구간접노무비" localSheetId="2">#REF!</definedName>
    <definedName name="이공구간접노무비">#REF!</definedName>
    <definedName name="이공구공사원가" localSheetId="2">#REF!</definedName>
    <definedName name="이공구공사원가">#REF!</definedName>
    <definedName name="이공구기타경비" localSheetId="2">#REF!</definedName>
    <definedName name="이공구기타경비">#REF!</definedName>
    <definedName name="이공구부가가치세" localSheetId="2">'[94]2공구산출내역'!#REF!</definedName>
    <definedName name="이공구부가가치세">'[94]2공구산출내역'!#REF!</definedName>
    <definedName name="이공구산재보험료" localSheetId="2">#REF!</definedName>
    <definedName name="이공구산재보험료">#REF!</definedName>
    <definedName name="이공구안전관리비" localSheetId="2">#REF!</definedName>
    <definedName name="이공구안전관리비">#REF!</definedName>
    <definedName name="이공구이윤" localSheetId="2">#REF!</definedName>
    <definedName name="이공구이윤">#REF!</definedName>
    <definedName name="이공구일반관리비" localSheetId="2">#REF!</definedName>
    <definedName name="이공구일반관리비">#REF!</definedName>
    <definedName name="이광훈11" hidden="1">{#N/A,#N/A,FALSE,"명세표"}</definedName>
    <definedName name="이광훈15" hidden="1">{#N/A,#N/A,FALSE,"명세표"}</definedName>
    <definedName name="이광훈16" hidden="1">{#N/A,#N/A,FALSE,"명세표"}</definedName>
    <definedName name="이광훈17" hidden="1">{#N/A,#N/A,FALSE,"명세표"}</definedName>
    <definedName name="이광훈18" hidden="1">{#N/A,#N/A,FALSE,"명세표"}</definedName>
    <definedName name="이광훈2" hidden="1">{#N/A,#N/A,FALSE,"명세표"}</definedName>
    <definedName name="이광훈20" hidden="1">{#N/A,#N/A,FALSE,"명세표"}</definedName>
    <definedName name="이광훈21" hidden="1">{#N/A,#N/A,FALSE,"명세표"}</definedName>
    <definedName name="이광훈22" hidden="1">{#N/A,#N/A,FALSE,"명세표"}</definedName>
    <definedName name="이광훈23" hidden="1">{#N/A,#N/A,FALSE,"명세표"}</definedName>
    <definedName name="이광훈24" hidden="1">{#N/A,#N/A,FALSE,"명세표"}</definedName>
    <definedName name="이광훈4" hidden="1">{#N/A,#N/A,FALSE,"명세표"}</definedName>
    <definedName name="이광훈6" hidden="1">{#N/A,#N/A,FALSE,"명세표"}</definedName>
    <definedName name="이광훈7" hidden="1">{#N/A,#N/A,FALSE,"명세표"}</definedName>
    <definedName name="이광훈8" hidden="1">{#N/A,#N/A,FALSE,"명세표"}</definedName>
    <definedName name="이광훈9" hidden="1">{#N/A,#N/A,FALSE,"명세표"}</definedName>
    <definedName name="이름표" hidden="1">{#N/A,#N/A,FALSE,"단가표지"}</definedName>
    <definedName name="이릉" hidden="1">#REF!</definedName>
    <definedName name="이삼" localSheetId="2">#REF!</definedName>
    <definedName name="이삼">#REF!</definedName>
    <definedName name="이상" localSheetId="2">#REF!</definedName>
    <definedName name="이상">#REF!</definedName>
    <definedName name="이식" localSheetId="2">#REF!</definedName>
    <definedName name="이식">#REF!</definedName>
    <definedName name="이윤">[118]!이윤</definedName>
    <definedName name="이윤2">[65]설계명세서!#REF!</definedName>
    <definedName name="이종훈" hidden="1">[66]전기!$A$4:$A$163</definedName>
    <definedName name="이형관">[50]DATE!$B$24:$B$85</definedName>
    <definedName name="인가번호">#REF!</definedName>
    <definedName name="인건비">[119]인건비!$1:$1048576</definedName>
    <definedName name="인건비단가">#REF!</definedName>
    <definedName name="인동덩쿨" localSheetId="2">#REF!</definedName>
    <definedName name="인동덩쿨">#REF!</definedName>
    <definedName name="인류1">[9]종합기별!$K$10</definedName>
    <definedName name="인류2">[9]종합기별!$K$13</definedName>
    <definedName name="인류3">[9]종합기별!$K$16</definedName>
    <definedName name="인류4">[9]종합기별!$K$19</definedName>
    <definedName name="인입">#REF!</definedName>
    <definedName name="인입벽철1">[9]종합기별!$AN$10</definedName>
    <definedName name="인입벽철2">[9]종합기별!$AN$13</definedName>
    <definedName name="인입벽철3">[9]종합기별!$AN$16</definedName>
    <definedName name="인입벽철4">[9]종합기별!$AN$19</definedName>
    <definedName name="일" hidden="1">[57]실행철강하도!$A$1:$A$4</definedName>
    <definedName name="일___위___대___가___표" localSheetId="2">'[120]일위(시설)'!#REF!</definedName>
    <definedName name="일___위___대___가___표">'[121]일위(시설)'!#REF!</definedName>
    <definedName name="일공구직영비" localSheetId="2">#REF!</definedName>
    <definedName name="일공구직영비">#REF!</definedName>
    <definedName name="일대">#REF!</definedName>
    <definedName name="일반2">[65]설계명세서!#REF!</definedName>
    <definedName name="일반관리비">#REF!</definedName>
    <definedName name="일반통신설비">#REF!</definedName>
    <definedName name="일위">[122]일위대가목록!$C$3:$J$309</definedName>
    <definedName name="일위1">#REF!</definedName>
    <definedName name="일위단가">[123]일위단가!$A$3:$K$89</definedName>
    <definedName name="일위대가">[74]일위집계!$A$2:$J$85</definedName>
    <definedName name="일위대가1">#REF!</definedName>
    <definedName name="일위대가2">#REF!</definedName>
    <definedName name="일위대가목록">#REF!</definedName>
    <definedName name="일위대가표" localSheetId="2">#REF!</definedName>
    <definedName name="일위대가표">#REF!</definedName>
    <definedName name="일위목록2">'[12]#REF'!$A$8:$J$38</definedName>
    <definedName name="일위산출">#REF!</definedName>
    <definedName name="일위산출1">#REF!</definedName>
    <definedName name="일위위대가목록">#REF!</definedName>
    <definedName name="일위호표">[124]일위대가!#REF!</definedName>
    <definedName name="일의01" localSheetId="2">[99]직노!#REF!</definedName>
    <definedName name="일의01">[99]직노!#REF!</definedName>
    <definedName name="입상관취부">[9]노무비명세서!$AE$61</definedName>
    <definedName name="입찰" hidden="1">{#N/A,#N/A,FALSE,"구조2"}</definedName>
    <definedName name="입찰금액안" hidden="1">[124]집계표!#REF!</definedName>
    <definedName name="ㅈ" localSheetId="23">#REF!</definedName>
    <definedName name="ㅈ" localSheetId="22">#REF!</definedName>
    <definedName name="ㅈ" localSheetId="3">BlankMacro1</definedName>
    <definedName name="ㅈ" localSheetId="2">BlankMacro1</definedName>
    <definedName name="ㅈ" hidden="1">{#N/A,#N/A,FALSE,"명세표"}</definedName>
    <definedName name="ㅈㄴ">[21]요율!$A$1:$A$2</definedName>
    <definedName name="ㅈㄷ23" localSheetId="2">#REF!</definedName>
    <definedName name="ㅈㄷ23">#REF!</definedName>
    <definedName name="ㅈㄷㄴㅅㅎㄱㄷ횻ㄱ" hidden="1">#REF!</definedName>
    <definedName name="ㅈㅁ" localSheetId="2">#REF!</definedName>
    <definedName name="ㅈㅁ">#REF!</definedName>
    <definedName name="ㅈㅈ" localSheetId="2">[88]연습!#REF!</definedName>
    <definedName name="ㅈㅈ">[88]연습!#REF!</definedName>
    <definedName name="ㅈㅈㅈ" localSheetId="23">'[1]#REF'!#REF!</definedName>
    <definedName name="ㅈㅈㅈ" localSheetId="22">'[1]#REF'!#REF!</definedName>
    <definedName name="ㅈㅈㅈ" hidden="1">{"'Sheet1'!$D$19","'Sheet1'!$B$22:$E$22"}</definedName>
    <definedName name="ㅈㅈㅈㅈ" hidden="1">{#N/A,#N/A,FALSE,"명세표"}</definedName>
    <definedName name="자" localSheetId="2">#REF!</definedName>
    <definedName name="자">#REF!</definedName>
    <definedName name="자3">[103]data!$A$1:$F$1193</definedName>
    <definedName name="자귀나무" localSheetId="2">#REF!</definedName>
    <definedName name="자귀나무">#REF!</definedName>
    <definedName name="자단">[91]자재단가!$A$1:$S$372</definedName>
    <definedName name="자단2">[91]자재단가!$A$1:$S$372</definedName>
    <definedName name="자동화재탐지설비">#REF!</definedName>
    <definedName name="자료" localSheetId="3">[111]기초자료!$A$3:$X$80</definedName>
    <definedName name="자료" localSheetId="2">[111]기초자료!$A$3:$X$80</definedName>
    <definedName name="자료">[106]기초자료!$A$3:$X$80</definedName>
    <definedName name="자미" hidden="1">{#N/A,#N/A,FALSE,"명세표"}</definedName>
    <definedName name="자재">[112]data!$A$1:$F$1193</definedName>
    <definedName name="자재3">#REF!</definedName>
    <definedName name="자재단가">#REF!</definedName>
    <definedName name="자재단가표">#REF!</definedName>
    <definedName name="자재집게" localSheetId="3">BlankMacro1</definedName>
    <definedName name="자재집게" localSheetId="2">BlankMacro1</definedName>
    <definedName name="자재집게">BlankMacro1</definedName>
    <definedName name="자재코드">[125]자재테이블!$A$2:$D$13927</definedName>
    <definedName name="작업">#REF!</definedName>
    <definedName name="작업반장">#REF!</definedName>
    <definedName name="작업인원">[126]집계!#REF!</definedName>
    <definedName name="작전">[0]!작전</definedName>
    <definedName name="잔디_평떼" localSheetId="2">#REF!</definedName>
    <definedName name="잔디_평떼">#REF!</definedName>
    <definedName name="잣나무" localSheetId="2">#REF!</definedName>
    <definedName name="잣나무">#REF!</definedName>
    <definedName name="장1">#REF!</definedName>
    <definedName name="장산교" localSheetId="2">#REF!</definedName>
    <definedName name="장산교">#REF!</definedName>
    <definedName name="장순상" localSheetId="2">#REF!</definedName>
    <definedName name="장순상">#REF!</definedName>
    <definedName name="재료1">[65]설계명세서!#REF!</definedName>
    <definedName name="재료비">[74]단가조사!$A$1:$N$418</definedName>
    <definedName name="재료집계3">#REF!</definedName>
    <definedName name="저임1">#REF!</definedName>
    <definedName name="저임2">#REF!</definedName>
    <definedName name="저임3">#REF!</definedName>
    <definedName name="저케">#REF!</definedName>
    <definedName name="저판" localSheetId="2">#REF!</definedName>
    <definedName name="저판">#REF!</definedName>
    <definedName name="적용거리">[75]을부담운반비!$D$2</definedName>
    <definedName name="적용속도">[75]을부담운반비!$D$3</definedName>
    <definedName name="적용톤수">[75]을부담운반비!$D$1</definedName>
    <definedName name="전기공사물량산출집계표">#REF!</definedName>
    <definedName name="전기기" hidden="1">[89]내역서!#REF!</definedName>
    <definedName name="전등">[0]!전등</definedName>
    <definedName name="전등신설">#REF!</definedName>
    <definedName name="전력간선">#REF!</definedName>
    <definedName name="전선_관">[81]!전선_관</definedName>
    <definedName name="전압강하가기">[81]!전압강하가기</definedName>
    <definedName name="전압강하계산서">#REF!,#REF!</definedName>
    <definedName name="전장" localSheetId="2">#REF!</definedName>
    <definedName name="전장">#REF!</definedName>
    <definedName name="전토압1" localSheetId="2">#REF!</definedName>
    <definedName name="전토압1">#REF!</definedName>
    <definedName name="전토압2" localSheetId="2">#REF!</definedName>
    <definedName name="전토압2">#REF!</definedName>
    <definedName name="전토압3" localSheetId="2">#REF!</definedName>
    <definedName name="전토압3">#REF!</definedName>
    <definedName name="전토압4" localSheetId="2">#REF!</definedName>
    <definedName name="전토압4">#REF!</definedName>
    <definedName name="점멸기">#REF!</definedName>
    <definedName name="점멸기입력" localSheetId="3">#N/A</definedName>
    <definedName name="점멸기입력" localSheetId="2">#N/A</definedName>
    <definedName name="점멸기입력">순공사비집계표!점멸기입력</definedName>
    <definedName name="접속1">[9]종합기별!$L$10</definedName>
    <definedName name="접속2">[9]종합기별!$L$13</definedName>
    <definedName name="접속3">[9]종합기별!$L$16</definedName>
    <definedName name="접속4">[9]종합기별!$L$19</definedName>
    <definedName name="접속후시험">[9]노무비명세서!$AE$34</definedName>
    <definedName name="접지1종합계">[104]접지1종!$S$20</definedName>
    <definedName name="정">[0]!정</definedName>
    <definedName name="정거장">[0]!정거장</definedName>
    <definedName name="정산내역서">'[1]#REF'!#REF!</definedName>
    <definedName name="정산내영">'[1]#REF'!#REF!</definedName>
    <definedName name="정지" localSheetId="2">#REF!</definedName>
    <definedName name="정지">#REF!</definedName>
    <definedName name="제도사">[69]기본단가표!$L$34</definedName>
    <definedName name="제조단가산출">#REF!</definedName>
    <definedName name="조">#REF!</definedName>
    <definedName name="조가선1">[9]종합기별!$H$10</definedName>
    <definedName name="조가선2">[9]종합기별!$H$13</definedName>
    <definedName name="조가선3">[9]종합기별!$H$16</definedName>
    <definedName name="조가선4">[9]종합기별!$H$19</definedName>
    <definedName name="조가선신설">[9]노무비명세서!$AE$46</definedName>
    <definedName name="조경공">[73]데이타!$E$658</definedName>
    <definedName name="조경공B10">[63]식재인부!$B$24</definedName>
    <definedName name="조경공B4이하">[63]식재인부!$B$18</definedName>
    <definedName name="조경공B5">[63]식재인부!$B$19</definedName>
    <definedName name="조경공B6">[63]식재인부!$B$20</definedName>
    <definedName name="조경공B8">[63]식재인부!$B$22</definedName>
    <definedName name="조경공R10">[63]식재인부!$B$54</definedName>
    <definedName name="조경공R12">[63]식재인부!$B$56</definedName>
    <definedName name="조경공R15">[63]식재인부!$B$59</definedName>
    <definedName name="조경공R4이하">[63]식재인부!$B$48</definedName>
    <definedName name="조경공R5">[63]식재인부!$B$49</definedName>
    <definedName name="조경공R6">[63]식재인부!$B$50</definedName>
    <definedName name="조경공R7">[63]식재인부!$B$51</definedName>
    <definedName name="조경공R8">[63]식재인부!$B$52</definedName>
    <definedName name="조달수수료" localSheetId="3">#REF!</definedName>
    <definedName name="조달수수료" localSheetId="2">#REF!</definedName>
    <definedName name="조달수수료">#REF!</definedName>
    <definedName name="조명기구견적">'[127]단가조사-2'!$A$472:$L$522</definedName>
    <definedName name="조명율표">[128]조명율표!$B$4:$F$495</definedName>
    <definedName name="조사9909">#REF!</definedName>
    <definedName name="조사가" hidden="1">[128]입찰안!#REF!</definedName>
    <definedName name="조영수" localSheetId="2">#REF!</definedName>
    <definedName name="조영수">#REF!</definedName>
    <definedName name="조원공_1.1_1.5">[63]식재인부!$B$5</definedName>
    <definedName name="조장">#REF!</definedName>
    <definedName name="조적공">[68]기본단가표!$L$19</definedName>
    <definedName name="조차장" hidden="1">{#N/A,#N/A,FALSE,"명세표"}</definedName>
    <definedName name="조형가이즈까3010">[63]데이타!$E$11</definedName>
    <definedName name="조형가이즈까3012">[63]데이타!$E$12</definedName>
    <definedName name="조형가이즈까3014">[63]데이타!$E$13</definedName>
    <definedName name="조형가이즈까3516">[63]데이타!$E$14</definedName>
    <definedName name="주목" localSheetId="2">#REF!</definedName>
    <definedName name="주목">#REF!</definedName>
    <definedName name="주빔플랜지" localSheetId="2">#REF!</definedName>
    <definedName name="주빔플랜지">#REF!</definedName>
    <definedName name="준공">#REF!</definedName>
    <definedName name="준공2">#REF!</definedName>
    <definedName name="준공3">#REF!</definedName>
    <definedName name="준공년월일">#REF!</definedName>
    <definedName name="준공사진대장">#REF!</definedName>
    <definedName name="줄눈공">[68]기본단가표!$L$27</definedName>
    <definedName name="줄사철" localSheetId="2">#REF!</definedName>
    <definedName name="줄사철">#REF!</definedName>
    <definedName name="중급기술자">[69]기본단가표!$L$33</definedName>
    <definedName name="중기운전기사">'[77]기계경비(시간당)'!$D$4</definedName>
    <definedName name="중량" localSheetId="2">#REF!</definedName>
    <definedName name="중량">#REF!</definedName>
    <definedName name="중량표" localSheetId="2">#REF!</definedName>
    <definedName name="중량표">#REF!</definedName>
    <definedName name="중부지점">BlankMacro1</definedName>
    <definedName name="중부지점1">BlankMacro1</definedName>
    <definedName name="중분대" localSheetId="2">#REF!</definedName>
    <definedName name="중분대">#REF!</definedName>
    <definedName name="쥬">[0]!쥬</definedName>
    <definedName name="지">#REF!</definedName>
    <definedName name="지급미포함차액" localSheetId="2">#REF!</definedName>
    <definedName name="지급미포함차액">#REF!</definedName>
    <definedName name="지급자재비" localSheetId="2">#REF!</definedName>
    <definedName name="지급자재비">#REF!</definedName>
    <definedName name="지선밴드1">[9]종합기별!$J$10</definedName>
    <definedName name="지선밴드2">[9]종합기별!$J$13</definedName>
    <definedName name="지선밴드3">[9]종합기별!$J$16</definedName>
    <definedName name="지선밴드4">[9]종합기별!$J$19</definedName>
    <definedName name="지입자재검수2">BlankMacro1</definedName>
    <definedName name="지입재료비">#REF!</definedName>
    <definedName name="지중명찰1">[9]종합기별!$AA$10</definedName>
    <definedName name="지중명찰2">[9]종합기별!$AA$13</definedName>
    <definedName name="지중명찰3">[9]종합기별!$AA$16</definedName>
    <definedName name="지중명찰4">[9]종합기별!$AA$19</definedName>
    <definedName name="지중스파이랄1">[9]종합기별!$AD$10</definedName>
    <definedName name="지중스파이랄2">[9]종합기별!$AD$13</definedName>
    <definedName name="지중스파이랄3">[9]종합기별!$AD$16</definedName>
    <definedName name="지중스파이랄4">[9]종합기별!$AD$19</definedName>
    <definedName name="지하수" localSheetId="2">#REF!</definedName>
    <definedName name="지하수">#REF!</definedName>
    <definedName name="직노2">[65]설계명세서!#REF!</definedName>
    <definedName name="직매54P" hidden="1">{#N/A,#N/A,TRUE,"토적및재료집계";#N/A,#N/A,TRUE,"토적및재료집계";#N/A,#N/A,TRUE,"단위량"}</definedName>
    <definedName name="직영비" localSheetId="2">'[94]2공구산출내역'!#REF!</definedName>
    <definedName name="직영비">'[94]2공구산출내역'!#REF!</definedName>
    <definedName name="직접공사비" localSheetId="2">#REF!</definedName>
    <definedName name="직접공사비">#REF!</definedName>
    <definedName name="직접노무비" localSheetId="3">#REF!</definedName>
    <definedName name="직접노무비" localSheetId="2">#REF!</definedName>
    <definedName name="직접노무비">#REF!</definedName>
    <definedName name="직접재료비" localSheetId="3">#REF!</definedName>
    <definedName name="직접재료비" localSheetId="2">#REF!</definedName>
    <definedName name="직접재료비">#REF!</definedName>
    <definedName name="집" localSheetId="2">#REF!</definedName>
    <definedName name="집">#REF!</definedName>
    <definedName name="집계" localSheetId="2">#REF!</definedName>
    <definedName name="집계">#REF!</definedName>
    <definedName name="집계표1" localSheetId="2">#REF!</definedName>
    <definedName name="집계표1">#REF!</definedName>
    <definedName name="집계표2" localSheetId="2">#REF!</definedName>
    <definedName name="집계표2">#REF!</definedName>
    <definedName name="집계표3" localSheetId="2">#REF!</definedName>
    <definedName name="집계표3">#REF!</definedName>
    <definedName name="집계표4" localSheetId="2">#REF!</definedName>
    <definedName name="집계표4">#REF!</definedName>
    <definedName name="집계표5" localSheetId="2">#REF!</definedName>
    <definedName name="집계표5">#REF!</definedName>
    <definedName name="집수정" localSheetId="2">#REF!</definedName>
    <definedName name="집수정">#REF!</definedName>
    <definedName name="집수정관경" localSheetId="2">#REF!</definedName>
    <definedName name="집수정관경">#REF!</definedName>
    <definedName name="집수정규격" localSheetId="2">#REF!</definedName>
    <definedName name="집수정규격">#REF!</definedName>
    <definedName name="집수정수량" localSheetId="2">#REF!</definedName>
    <definedName name="집수정수량">#REF!</definedName>
    <definedName name="짜장">#REF!</definedName>
    <definedName name="ㅊ" localSheetId="3" hidden="1">{#N/A,#N/A,TRUE,"총괄"}</definedName>
    <definedName name="ㅊ" localSheetId="2" hidden="1">{#N/A,#N/A,TRUE,"총괄"}</definedName>
    <definedName name="ㅊ">순공사비집계표!ㅊ</definedName>
    <definedName name="ㅊ1555">#REF!</definedName>
    <definedName name="ㅊㅊ">[129]요율!$A$1:$A$2</definedName>
    <definedName name="차공계1">#N/A</definedName>
    <definedName name="차도폭">'[46]조도계산(가로등NEW)'!#REF!</definedName>
    <definedName name="차량가격">[75]을부담운반비!$D$4</definedName>
    <definedName name="차례">#N/A</definedName>
    <definedName name="차선도색중앙선수량" localSheetId="2">#REF!</definedName>
    <definedName name="차선도색중앙선수량">#REF!</definedName>
    <definedName name="차선도색직각주차수량" localSheetId="2">#REF!</definedName>
    <definedName name="차선도색직각주차수량">#REF!</definedName>
    <definedName name="차선도색집계" localSheetId="2">#REF!</definedName>
    <definedName name="차선도색집계">#REF!</definedName>
    <definedName name="차선도색평행주차수량" localSheetId="2">#REF!</definedName>
    <definedName name="차선도색평행주차수량">#REF!</definedName>
    <definedName name="차차" hidden="1">[130]조명시설!#REF!</definedName>
    <definedName name="착공기한">#REF!</definedName>
    <definedName name="착공년월일">#REF!</definedName>
    <definedName name="착공서류">[131]실행내역!#REF!</definedName>
    <definedName name="착공일">#REF!</definedName>
    <definedName name="착암공" localSheetId="3">#REF!</definedName>
    <definedName name="착암공" localSheetId="2">#REF!</definedName>
    <definedName name="착암공">'[77]기계경비(시간당)'!$D$12</definedName>
    <definedName name="착오">BlankMacro1</definedName>
    <definedName name="찰샇기" localSheetId="2" hidden="1">#REF!</definedName>
    <definedName name="찰샇기" hidden="1">#REF!</definedName>
    <definedName name="천공간격" localSheetId="2">#REF!</definedName>
    <definedName name="천공간격">#REF!</definedName>
    <definedName name="천정반사">#REF!</definedName>
    <definedName name="철거1">'[61]수량계산서 집계표(철거-을지로3가 2호선)'!$A:$AW</definedName>
    <definedName name="철거2">'[62]수량계산서 집계표(철거-을지로3가 3호선)'!$A:$AQ</definedName>
    <definedName name="철거자재">#REF!</definedName>
    <definedName name="철공" localSheetId="3">[68]기본단가표!$L$22</definedName>
    <definedName name="철공" localSheetId="2">[68]기본단가표!$L$22</definedName>
    <definedName name="철공">#REF!</definedName>
    <definedName name="철근" localSheetId="2">#REF!</definedName>
    <definedName name="철근">#REF!</definedName>
    <definedName name="철근공">[68]기본단가표!$K$18</definedName>
    <definedName name="철주신설공구손료">#REF!</definedName>
    <definedName name="철주신설공비">#REF!</definedName>
    <definedName name="철주신설재료비">#REF!</definedName>
    <definedName name="철콘" localSheetId="2">#REF!</definedName>
    <definedName name="철콘">#REF!</definedName>
    <definedName name="청">[56]!Macro14</definedName>
    <definedName name="청단풍" localSheetId="2">#REF!</definedName>
    <definedName name="청단풍">#REF!</definedName>
    <definedName name="초급기술자">[69]기본단가표!$L$32</definedName>
    <definedName name="총계" localSheetId="2">#REF!</definedName>
    <definedName name="총계">#REF!</definedName>
    <definedName name="총괄" localSheetId="3" hidden="1">{#N/A,#N/A,TRUE,"총괄"}</definedName>
    <definedName name="총괄" hidden="1">{#N/A,#N/A,TRUE,"총괄"}</definedName>
    <definedName name="총괄자재" localSheetId="3">BlankMacro1</definedName>
    <definedName name="총괄자재" localSheetId="2">BlankMacro1</definedName>
    <definedName name="총괄자재">BlankMacro1</definedName>
    <definedName name="총괄표">#REF!</definedName>
    <definedName name="총원가">#REF!</definedName>
    <definedName name="총원가2">#REF!</definedName>
    <definedName name="ㅋ" localSheetId="2">#REF!</definedName>
    <definedName name="ㅋ">#REF!</definedName>
    <definedName name="ㅋㅁ" hidden="1">{#N/A,#N/A,FALSE,"명세표"}</definedName>
    <definedName name="ㅋㅋ" hidden="1">{#N/A,#N/A,FALSE,"명세표"}</definedName>
    <definedName name="ㅋㅋㅋ" hidden="1">{#N/A,#N/A,FALSE,"단가표지"}</definedName>
    <definedName name="칼라샌드블록수량" localSheetId="2">#REF!</definedName>
    <definedName name="칼라샌드블록수량">#REF!</definedName>
    <definedName name="캇타간재">'[77]기계경비(시간당)'!$H$92</definedName>
    <definedName name="캇타노무">'[77]기계경비(시간당)'!$H$88</definedName>
    <definedName name="캇타손료">'[77]기계경비(시간당)'!$H$87</definedName>
    <definedName name="케이블_1">[22]단가!#REF!</definedName>
    <definedName name="케이블간지" hidden="1">{#N/A,#N/A,TRUE,"토적및재료집계";#N/A,#N/A,TRUE,"토적및재료집계";#N/A,#N/A,TRUE,"단위량"}</definedName>
    <definedName name="콘주철거공구손료">#REF!</definedName>
    <definedName name="콘주철거공비">#REF!</definedName>
    <definedName name="콘주철거합계">#REF!</definedName>
    <definedName name="콘크">#REF!</definedName>
    <definedName name="콘크리트" localSheetId="2">#REF!</definedName>
    <definedName name="콘크리트">#REF!</definedName>
    <definedName name="콘크리트공" localSheetId="3">[68]기본단가표!$K$9</definedName>
    <definedName name="콘크리트공" localSheetId="2">[68]기본단가표!$K$9</definedName>
    <definedName name="콘크리트공">[102]노임!$B$8</definedName>
    <definedName name="크램프취부">[9]노무비명세서!$AE$44</definedName>
    <definedName name="크리트1">[9]종합기별!$AL$10</definedName>
    <definedName name="크리트2">[9]종합기별!$AL$13</definedName>
    <definedName name="크리트3">[9]종합기별!$AL$16</definedName>
    <definedName name="크리트4">[9]종합기별!$AL$19</definedName>
    <definedName name="타일공">[68]기본단가표!$L$26</definedName>
    <definedName name="터파기계산">[81]!터파기계산</definedName>
    <definedName name="템플리트모듈1" localSheetId="3">BlankMacro1</definedName>
    <definedName name="템플리트모듈1" localSheetId="2">BlankMacro1</definedName>
    <definedName name="템플리트모듈1">BlankMacro1</definedName>
    <definedName name="템플리트모듈2" localSheetId="3">BlankMacro1</definedName>
    <definedName name="템플리트모듈2" localSheetId="2">BlankMacro1</definedName>
    <definedName name="템플리트모듈2">BlankMacro1</definedName>
    <definedName name="템플리트모듈3" localSheetId="3">BlankMacro1</definedName>
    <definedName name="템플리트모듈3" localSheetId="2">BlankMacro1</definedName>
    <definedName name="템플리트모듈3">BlankMacro1</definedName>
    <definedName name="템플리트모듈4" localSheetId="3">BlankMacro1</definedName>
    <definedName name="템플리트모듈4" localSheetId="2">BlankMacro1</definedName>
    <definedName name="템플리트모듈4">BlankMacro1</definedName>
    <definedName name="템플리트모듈5" localSheetId="3">BlankMacro1</definedName>
    <definedName name="템플리트모듈5" localSheetId="2">BlankMacro1</definedName>
    <definedName name="템플리트모듈5">BlankMacro1</definedName>
    <definedName name="템플리트모듈6" localSheetId="3">BlankMacro1</definedName>
    <definedName name="템플리트모듈6" localSheetId="2">BlankMacro1</definedName>
    <definedName name="템플리트모듈6">BlankMacro1</definedName>
    <definedName name="토" hidden="1">{#N/A,#N/A,FALSE,"배수2"}</definedName>
    <definedName name="토\40" hidden="1">{#N/A,#N/A,FALSE,"토공2"}</definedName>
    <definedName name="토1" hidden="1">{#N/A,#N/A,FALSE,"이정표"}</definedName>
    <definedName name="토2" hidden="1">{#N/A,#N/A,FALSE,"조골재"}</definedName>
    <definedName name="토3" hidden="1">{#N/A,#N/A,FALSE,"구조1"}</definedName>
    <definedName name="토공" localSheetId="2">#REF!</definedName>
    <definedName name="토공">#REF!</definedName>
    <definedName name="토공1" localSheetId="2">#REF!</definedName>
    <definedName name="토공1">#REF!</definedName>
    <definedName name="토량1">#REF!</definedName>
    <definedName name="토목설계" hidden="1">{#N/A,#N/A,FALSE,"골재소요량";#N/A,#N/A,FALSE,"골재소요량"}</definedName>
    <definedName name="토사" localSheetId="2">#REF!</definedName>
    <definedName name="토사">#REF!</definedName>
    <definedName name="토사1" localSheetId="2">#REF!</definedName>
    <definedName name="토사1">#REF!</definedName>
    <definedName name="토사2" localSheetId="2">#REF!</definedName>
    <definedName name="토사2">#REF!</definedName>
    <definedName name="토사3" localSheetId="2">#REF!</definedName>
    <definedName name="토사3">#REF!</definedName>
    <definedName name="토피" localSheetId="2">#REF!</definedName>
    <definedName name="토피">#REF!</definedName>
    <definedName name="통신일위목록">#REF!</definedName>
    <definedName name="통합" localSheetId="3">#N/A</definedName>
    <definedName name="통합" localSheetId="2">#N/A</definedName>
    <definedName name="통합">순공사비집계표!통합</definedName>
    <definedName name="퇴적깊이450" localSheetId="2">#REF!</definedName>
    <definedName name="퇴적깊이450">#REF!</definedName>
    <definedName name="퇴적량" localSheetId="2">#REF!</definedName>
    <definedName name="퇴적량">#REF!</definedName>
    <definedName name="퇴적량450" localSheetId="2">#REF!</definedName>
    <definedName name="퇴적량450">#REF!</definedName>
    <definedName name="퇴직공제부금비" localSheetId="2">#REF!</definedName>
    <definedName name="퇴직공제부금비">#REF!</definedName>
    <definedName name="특고">#REF!</definedName>
    <definedName name="특별">#REF!</definedName>
    <definedName name="특별인부" localSheetId="3">[68]기본단가표!$K$7</definedName>
    <definedName name="특별인부" localSheetId="2">[68]기본단가표!$K$7</definedName>
    <definedName name="특별인부">#REF!</definedName>
    <definedName name="특임1">#REF!</definedName>
    <definedName name="특임2">#REF!</definedName>
    <definedName name="특임3">#REF!</definedName>
    <definedName name="특허CV1">#REF!</definedName>
    <definedName name="ㅍ" localSheetId="3">BlankMacro1</definedName>
    <definedName name="ㅍ" localSheetId="2">BlankMacro1</definedName>
    <definedName name="ㅍ" hidden="1">{#N/A,#N/A,FALSE,"명세표"}</definedName>
    <definedName name="ㅍㅍ" hidden="1">{#N/A,#N/A,TRUE,"토적및재료집계";#N/A,#N/A,TRUE,"토적및재료집계";#N/A,#N/A,TRUE,"단위량"}</definedName>
    <definedName name="ㅍㅍㅍ" hidden="1">{#N/A,#N/A,TRUE,"토적및재료집계";#N/A,#N/A,TRUE,"토적및재료집계";#N/A,#N/A,TRUE,"단위량"}</definedName>
    <definedName name="파이1" localSheetId="2">#REF!</definedName>
    <definedName name="파이1">#REF!</definedName>
    <definedName name="파이2" localSheetId="2">#REF!</definedName>
    <definedName name="파이2">#REF!</definedName>
    <definedName name="파이프펜던트">[33]DATA!$E$17:$F$26</definedName>
    <definedName name="판넬일위목록">#REF!</definedName>
    <definedName name="팔" hidden="1">#REF!</definedName>
    <definedName name="평가서2">[132]을지!#REF!</definedName>
    <definedName name="평균H" localSheetId="2">#REF!</definedName>
    <definedName name="평균H">#REF!</definedName>
    <definedName name="포장" localSheetId="2">#REF!</definedName>
    <definedName name="포장">#REF!</definedName>
    <definedName name="포장T" localSheetId="2">#REF!</definedName>
    <definedName name="포장T">#REF!</definedName>
    <definedName name="포장공" localSheetId="2">#REF!</definedName>
    <definedName name="포장공">#REF!</definedName>
    <definedName name="포장공수량집계표" localSheetId="2">#REF!</definedName>
    <definedName name="포장공수량집계표">#REF!</definedName>
    <definedName name="포장두께" localSheetId="2">#REF!</definedName>
    <definedName name="포장두께">#REF!</definedName>
    <definedName name="포지머ㅗㄱㄷㅌ킹1" hidden="1">{#N/A,#N/A,FALSE,"표지목차"}</definedName>
    <definedName name="포화" localSheetId="2">#REF!</definedName>
    <definedName name="포화">#REF!</definedName>
    <definedName name="폭" localSheetId="2">#REF!</definedName>
    <definedName name="폭">#REF!</definedName>
    <definedName name="폭원" localSheetId="2">#REF!</definedName>
    <definedName name="폭원">#REF!</definedName>
    <definedName name="폽장2" hidden="1">{#N/A,#N/A,FALSE,"포장1";#N/A,#N/A,FALSE,"포장1"}</definedName>
    <definedName name="표시찰취부">[9]노무비명세서!$AE$38</definedName>
    <definedName name="표지">#REF!</definedName>
    <definedName name="품신">[75]설계산출표지!$B$1</definedName>
    <definedName name="품위서">'[1]#REF'!$A$1:$G$1</definedName>
    <definedName name="플라타너스B8">[63]데이타!$E$552</definedName>
    <definedName name="ㅎ" localSheetId="2">#REF!</definedName>
    <definedName name="ㅎ">#REF!</definedName>
    <definedName name="ㅎ1" localSheetId="2">#REF!</definedName>
    <definedName name="ㅎ1">#REF!</definedName>
    <definedName name="ㅎ314" localSheetId="2">#REF!</definedName>
    <definedName name="ㅎ314">#REF!</definedName>
    <definedName name="ㅎㄱ" localSheetId="3">BlankMacro1</definedName>
    <definedName name="ㅎㄱ" localSheetId="2">BlankMacro1</definedName>
    <definedName name="ㅎㄱ">BlankMacro1</definedName>
    <definedName name="ㅎㄴㅁㄹㅇㄹㄴ" hidden="1">{#N/A,"수불부",FALSE,"사급자재수불서";#N/A,"수불부",FALSE,"사급자재수불서"}</definedName>
    <definedName name="ㅎ로낟안" hidden="1">{#N/A,#N/A,FALSE,"혼합골재"}</definedName>
    <definedName name="ㅎㅅㅎ" localSheetId="3">BlankMacro1</definedName>
    <definedName name="ㅎㅅㅎ" localSheetId="2">BlankMacro1</definedName>
    <definedName name="ㅎㅅㅎ">BlankMacro1</definedName>
    <definedName name="ㅎㅎ" localSheetId="2">#REF!</definedName>
    <definedName name="ㅎㅎ">#REF!</definedName>
    <definedName name="ㅎㅎㅎㅎ" localSheetId="2">#REF!</definedName>
    <definedName name="ㅎㅎㅎㅎ">#REF!</definedName>
    <definedName name="ㅎㅎㅎㅎㅎㅎ" localSheetId="2">#REF!</definedName>
    <definedName name="ㅎㅎㅎㅎㅎㅎ">#REF!</definedName>
    <definedName name="ㅎㅎㅎㅎㅎㅎㅎㅎㅎㅎㅎㅎㅎ" localSheetId="2">#REF!</definedName>
    <definedName name="ㅎㅎㅎㅎㅎㅎㅎㅎㅎㅎㅎㅎㅎ">#REF!</definedName>
    <definedName name="하도급사항" hidden="1">#REF!</definedName>
    <definedName name="하도매입세">[133]원본!$A$1:$R$1262</definedName>
    <definedName name="하부" localSheetId="2">#REF!</definedName>
    <definedName name="하부">#REF!</definedName>
    <definedName name="하중" localSheetId="2">#REF!</definedName>
    <definedName name="하중">#REF!</definedName>
    <definedName name="하하하" hidden="1">{#N/A,#N/A,FALSE,"단가표지"}</definedName>
    <definedName name="하하하하" hidden="1">{#N/A,#N/A,FALSE,"단가표지"}</definedName>
    <definedName name="한" localSheetId="3">#REF!</definedName>
    <definedName name="한" localSheetId="2">#REF!</definedName>
    <definedName name="한" hidden="1">#REF!</definedName>
    <definedName name="한라구절초" localSheetId="2">#REF!</definedName>
    <definedName name="한라구절초">#REF!</definedName>
    <definedName name="한전" hidden="1">{#N/A,#N/A,FALSE,"단가표지"}</definedName>
    <definedName name="한전수" hidden="1">{#N/A,#N/A,FALSE,"명세표"}</definedName>
    <definedName name="할석공" localSheetId="2">#REF!</definedName>
    <definedName name="할석공">#REF!</definedName>
    <definedName name="함체신설">[9]노무비명세서!$AE$30</definedName>
    <definedName name="합계">#REF!</definedName>
    <definedName name="해당화" localSheetId="2">#REF!</definedName>
    <definedName name="해당화">#REF!</definedName>
    <definedName name="행가1">[65]소요자재명세서!#REF!</definedName>
    <definedName name="행가2">[9]종합기별!$AK$13</definedName>
    <definedName name="행가3">[9]종합기별!$AK$16</definedName>
    <definedName name="행가4">[9]종합기별!$AK$19</definedName>
    <definedName name="행선안내게시기설비">#REF!</definedName>
    <definedName name="허허">#REF!</definedName>
    <definedName name="헌치1" localSheetId="2">#REF!</definedName>
    <definedName name="헌치1">#REF!</definedName>
    <definedName name="헌치2" localSheetId="2">#REF!</definedName>
    <definedName name="헌치2">#REF!</definedName>
    <definedName name="현장대리인">#REF!</definedName>
    <definedName name="현지사무원급료" localSheetId="2">#REF!</definedName>
    <definedName name="현지사무원급료">#REF!</definedName>
    <definedName name="형상">[50]DATE!$D$24:$D$85</definedName>
    <definedName name="형식">#REF!</definedName>
    <definedName name="형틀">#REF!</definedName>
    <definedName name="형틀목공" localSheetId="3">[68]기본단가표!$K$11</definedName>
    <definedName name="형틀목공" localSheetId="2">[68]기본단가표!$K$11</definedName>
    <definedName name="형틀목공">[102]노임!$B$3</definedName>
    <definedName name="호" hidden="1">{#N/A,#N/A,TRUE,"토적및재료집계";#N/A,#N/A,TRUE,"토적및재료집계";#N/A,#N/A,TRUE,"단위량"}</definedName>
    <definedName name="호지니">[134]!Macro12</definedName>
    <definedName name="호표">#REF!</definedName>
    <definedName name="호호" hidden="1">{#N/A,#N/A,FALSE,"포장1";#N/A,#N/A,FALSE,"포장1"}</definedName>
    <definedName name="호호호" hidden="1">{#N/A,#N/A,FALSE,"명세표"}</definedName>
    <definedName name="호ㅓㅕㅏ6ㅅ서ㅛㅓ" hidden="1">[134]입찰안!#REF!</definedName>
    <definedName name="홈" localSheetId="2">#REF!</definedName>
    <definedName name="홈">#REF!</definedName>
    <definedName name="홈통받이수량" localSheetId="2">#REF!</definedName>
    <definedName name="홈통받이수량">#REF!</definedName>
    <definedName name="홍단풍" localSheetId="2">#REF!</definedName>
    <definedName name="홍단풍">#REF!</definedName>
    <definedName name="홍대분전반견적">'[127]단가조사-2'!$A$160:$L$314</definedName>
    <definedName name="확인" localSheetId="3">BlankMacro1</definedName>
    <definedName name="확인" localSheetId="2">BlankMacro1</definedName>
    <definedName name="확인">BlankMacro1</definedName>
    <definedName name="환율">'[77]기계경비(시간당)'!$D$21</definedName>
    <definedName name="활하중" localSheetId="2">#REF!</definedName>
    <definedName name="활하중">#REF!</definedName>
    <definedName name="활하중1" localSheetId="2">#REF!</definedName>
    <definedName name="활하중1">#REF!</definedName>
    <definedName name="활하중2" localSheetId="2">#REF!</definedName>
    <definedName name="활하중2">#REF!</definedName>
    <definedName name="황" localSheetId="3">#REF!</definedName>
    <definedName name="황" localSheetId="2">#REF!</definedName>
    <definedName name="황">순공사비집계표!황</definedName>
    <definedName name="후_담당간사에게_제출한다.">'[135]45,46'!#REF!</definedName>
    <definedName name="후렉시블1">[9]종합기별!$AM$10</definedName>
    <definedName name="후렉시블2">[9]종합기별!$AM$13</definedName>
    <definedName name="후렉시블3">[9]종합기별!$AM$16</definedName>
    <definedName name="후렉시블4">[9]종합기별!$AM$19</definedName>
    <definedName name="후렉시블시설">[9]노무비명세서!$AE$13</definedName>
    <definedName name="휘발유">[68]기본단가표!$L$47</definedName>
    <definedName name="희성" hidden="1">{#N/A,#N/A,FALSE,"명세표"}</definedName>
    <definedName name="ㅏ" localSheetId="3">BlankMacro1</definedName>
    <definedName name="ㅏ" localSheetId="2">BlankMacro1</definedName>
    <definedName name="ㅏ">BlankMacro1</definedName>
    <definedName name="ㅏ96">#REF!</definedName>
    <definedName name="ㅏㅏㅏ" hidden="1">{#N/A,#N/A,FALSE,"명세표"}</definedName>
    <definedName name="ㅏㅣ">[21]요율!$A$1:$A$2</definedName>
    <definedName name="ㅑ29">#REF!</definedName>
    <definedName name="ㅓ" localSheetId="3">BlankMacro1</definedName>
    <definedName name="ㅓ" localSheetId="2">BlankMacro1</definedName>
    <definedName name="ㅓ">BlankMacro1</definedName>
    <definedName name="ㅓ8" localSheetId="2">#REF!</definedName>
    <definedName name="ㅓ8">#REF!</definedName>
    <definedName name="ㅓㄴㄱ" hidden="1">[136]실행철강하도!$A$1:$A$4</definedName>
    <definedName name="ㅓㅓ" localSheetId="3">BlankMacro1</definedName>
    <definedName name="ㅓㅓ" localSheetId="2">BlankMacro1</definedName>
    <definedName name="ㅓㅓ">순공사비집계표!ㅓㅓ</definedName>
    <definedName name="ㅓㅗ" hidden="1">{#N/A,"수불부",FALSE,"사급자재수불서";#N/A,"수불부",FALSE,"사급자재수불서"}</definedName>
    <definedName name="ㅔㅐㅔ" hidden="1">{#N/A,"수불부",FALSE,"사급자재수불서";#N/A,"수불부",FALSE,"사급자재수불서"}</definedName>
    <definedName name="ㅔㅔ" hidden="1">[137]집계표!#REF!</definedName>
    <definedName name="ㅕ" localSheetId="2">#REF!</definedName>
    <definedName name="ㅕ">#REF!</definedName>
    <definedName name="ㅕㅛ" localSheetId="3">BlankMacro1</definedName>
    <definedName name="ㅕㅛ" localSheetId="2">BlankMacro1</definedName>
    <definedName name="ㅕㅛ">BlankMacro1</definedName>
    <definedName name="ㅗ" localSheetId="3">BlankMacro1</definedName>
    <definedName name="ㅗ" localSheetId="2">BlankMacro1</definedName>
    <definedName name="ㅗ">BlankMacro1</definedName>
    <definedName name="ㅗ1019">#REF!</definedName>
    <definedName name="ㅗ50" localSheetId="2">[88]연습!#REF!</definedName>
    <definedName name="ㅗ50">[88]연습!#REF!</definedName>
    <definedName name="ㅗㄹ" localSheetId="2">#REF!</definedName>
    <definedName name="ㅗㄹ">#REF!</definedName>
    <definedName name="ㅗㅅ20" localSheetId="2">#REF!</definedName>
    <definedName name="ㅗㅅ20">#REF!</definedName>
    <definedName name="ㅗㅅㄱ" hidden="1">{#N/A,#N/A,TRUE,"토적및재료집계";#N/A,#N/A,TRUE,"토적및재료집계";#N/A,#N/A,TRUE,"단위량"}</definedName>
    <definedName name="ㅗㅎㅇㅁㄹㅇㅎ" hidden="1">{#N/A,"수불부",FALSE,"사급자재수불서";#N/A,"수불부",FALSE,"사급자재수불서"}</definedName>
    <definedName name="ㅗㅕㄱty" localSheetId="3">BlankMacro1</definedName>
    <definedName name="ㅗㅕㄱty" localSheetId="2">BlankMacro1</definedName>
    <definedName name="ㅗㅕㄱty">BlankMacro1</definedName>
    <definedName name="ㅗㅗ" hidden="1">{#N/A,#N/A,FALSE,"명세표"}</definedName>
    <definedName name="ㅗㅗㅗ" hidden="1">{#N/A,#N/A,TRUE,"토적및재료집계";#N/A,#N/A,TRUE,"토적및재료집계";#N/A,#N/A,TRUE,"단위량"}</definedName>
    <definedName name="ㅛ" localSheetId="3">BlankMacro1</definedName>
    <definedName name="ㅛ" localSheetId="2">BlankMacro1</definedName>
    <definedName name="ㅛ" hidden="1">{#N/A,#N/A,TRUE,"토적및재료집계";#N/A,#N/A,TRUE,"토적및재료집계";#N/A,#N/A,TRUE,"단위량"}</definedName>
    <definedName name="ㅛㅛㅛ" localSheetId="3">BlankMacro1</definedName>
    <definedName name="ㅛㅛㅛ" localSheetId="2">BlankMacro1</definedName>
    <definedName name="ㅛㅛㅛ">BlankMacro1</definedName>
    <definedName name="ㅛㅛㅛㅛ" hidden="1">[138]수량산출!$A$1:$A$8561</definedName>
    <definedName name="ㅜ" hidden="1">{#N/A,#N/A,FALSE,"명세표"}</definedName>
    <definedName name="ㅜ1" localSheetId="2">#REF!</definedName>
    <definedName name="ㅜ1">#REF!</definedName>
    <definedName name="ㅠ" localSheetId="3">BlankMacro1</definedName>
    <definedName name="ㅠ" localSheetId="2">BlankMacro1</definedName>
    <definedName name="ㅠ">BlankMacro1</definedName>
    <definedName name="ㅠ359" localSheetId="2">#REF!</definedName>
    <definedName name="ㅠ359">#REF!</definedName>
    <definedName name="ㅠ뮤ㅐ" localSheetId="2" hidden="1">#REF!</definedName>
    <definedName name="ㅠ뮤ㅐ" hidden="1">#REF!</definedName>
    <definedName name="ㅡㅡ" hidden="1">{#N/A,#N/A,FALSE,"명세표"}</definedName>
    <definedName name="ㅣㅏ" localSheetId="3">BlankMacro1</definedName>
    <definedName name="ㅣㅏ" localSheetId="2">BlankMacro1</definedName>
    <definedName name="ㅣㅏ">BlankMacro1</definedName>
    <definedName name="ㅣㅑㅑ" hidden="1">{#N/A,#N/A,FALSE,"단가표지"}</definedName>
    <definedName name="ㅣㅣ">[56]!Macro10</definedName>
    <definedName name="ㅣㅣㅣㅣ" hidden="1">[109]조명시설!#REF!</definedName>
    <definedName name="ㅣㅣㅣㅣㅣ" hidden="1">[109]조명시설!#REF!</definedName>
    <definedName name="ㅣㅣㅣㅣㅣㅣ" hidden="1">[109]조명시설!#REF!</definedName>
  </definedNames>
  <calcPr calcId="125725"/>
</workbook>
</file>

<file path=xl/calcChain.xml><?xml version="1.0" encoding="utf-8"?>
<calcChain xmlns="http://schemas.openxmlformats.org/spreadsheetml/2006/main">
  <c r="I288" i="5"/>
  <c r="J288" s="1"/>
  <c r="G288"/>
  <c r="H288" s="1"/>
  <c r="E288"/>
  <c r="F288" s="1"/>
  <c r="O39" i="4"/>
  <c r="O38"/>
  <c r="O37"/>
  <c r="K288" i="5" l="1"/>
  <c r="L288"/>
  <c r="D28" i="29" l="1"/>
  <c r="D26"/>
  <c r="D24"/>
  <c r="D23"/>
  <c r="D20"/>
  <c r="D19"/>
  <c r="D18"/>
  <c r="D17"/>
  <c r="D16"/>
  <c r="D15"/>
  <c r="D14"/>
  <c r="D13"/>
  <c r="D12"/>
  <c r="D11"/>
  <c r="D10"/>
  <c r="D8"/>
  <c r="H20"/>
  <c r="H26" l="1"/>
  <c r="H24"/>
  <c r="H23"/>
  <c r="H22"/>
  <c r="F22"/>
  <c r="H21"/>
  <c r="F21"/>
  <c r="H18"/>
  <c r="H17"/>
  <c r="H16"/>
  <c r="H15"/>
  <c r="H14"/>
  <c r="H13"/>
  <c r="H12"/>
  <c r="H11"/>
  <c r="H10"/>
  <c r="D9"/>
  <c r="D25" s="1"/>
  <c r="D27" s="1"/>
  <c r="D29" s="1"/>
  <c r="E1207" i="7" l="1"/>
  <c r="I130" i="5"/>
  <c r="G130"/>
  <c r="H130" s="1"/>
  <c r="E130"/>
  <c r="I122"/>
  <c r="J122" s="1"/>
  <c r="G122"/>
  <c r="H122" s="1"/>
  <c r="E122"/>
  <c r="F122" s="1"/>
  <c r="K130" l="1"/>
  <c r="J130"/>
  <c r="F130"/>
  <c r="K122"/>
  <c r="L122"/>
  <c r="L130" l="1"/>
  <c r="E1141" i="7" l="1"/>
  <c r="I929" i="5"/>
  <c r="G929"/>
  <c r="H929" s="1"/>
  <c r="H930" s="1"/>
  <c r="H138" i="6" s="1"/>
  <c r="G133" i="5" s="1"/>
  <c r="H133" s="1"/>
  <c r="E929"/>
  <c r="I923"/>
  <c r="J923" s="1"/>
  <c r="G923"/>
  <c r="H923" s="1"/>
  <c r="E923"/>
  <c r="F923" s="1"/>
  <c r="J925"/>
  <c r="H925"/>
  <c r="I924"/>
  <c r="J924" s="1"/>
  <c r="G924"/>
  <c r="H924" s="1"/>
  <c r="E924"/>
  <c r="F924" s="1"/>
  <c r="I71"/>
  <c r="G71"/>
  <c r="E71"/>
  <c r="I70"/>
  <c r="G70"/>
  <c r="E70"/>
  <c r="V606" i="4"/>
  <c r="E925" i="5" l="1"/>
  <c r="G922"/>
  <c r="H922" s="1"/>
  <c r="H926" s="1"/>
  <c r="H137" i="6" s="1"/>
  <c r="G125" i="5"/>
  <c r="H125" s="1"/>
  <c r="K929"/>
  <c r="J929"/>
  <c r="J930" s="1"/>
  <c r="J138" i="6" s="1"/>
  <c r="I133" i="5" s="1"/>
  <c r="J133" s="1"/>
  <c r="F929"/>
  <c r="F930" s="1"/>
  <c r="F138" i="6" s="1"/>
  <c r="E133" i="5" s="1"/>
  <c r="L923"/>
  <c r="L924"/>
  <c r="K924"/>
  <c r="K923"/>
  <c r="L1207" i="7" l="1"/>
  <c r="M1207" s="1"/>
  <c r="L1141"/>
  <c r="M1141" s="1"/>
  <c r="K133" i="5"/>
  <c r="F133"/>
  <c r="L133" s="1"/>
  <c r="E125"/>
  <c r="E922"/>
  <c r="F922" s="1"/>
  <c r="I125"/>
  <c r="J125" s="1"/>
  <c r="I922"/>
  <c r="J922" s="1"/>
  <c r="J926" s="1"/>
  <c r="J137" i="6" s="1"/>
  <c r="L930" i="5"/>
  <c r="L138" i="6"/>
  <c r="L929" i="5"/>
  <c r="F925"/>
  <c r="K925"/>
  <c r="P1207" i="7" l="1"/>
  <c r="Q1207" s="1"/>
  <c r="P1141"/>
  <c r="Q1141" s="1"/>
  <c r="F926" i="5"/>
  <c r="F137" i="6" s="1"/>
  <c r="K125" i="5"/>
  <c r="F125"/>
  <c r="L125" s="1"/>
  <c r="K922"/>
  <c r="L922"/>
  <c r="L925"/>
  <c r="L926" l="1"/>
  <c r="L137" i="6"/>
  <c r="H1207" i="7"/>
  <c r="H1141"/>
  <c r="T1141" s="1"/>
  <c r="I1141" l="1"/>
  <c r="U1141" s="1"/>
  <c r="I1207"/>
  <c r="U1207" s="1"/>
  <c r="T1207"/>
  <c r="J402" i="5"/>
  <c r="G402"/>
  <c r="K402" s="1"/>
  <c r="F402"/>
  <c r="J401"/>
  <c r="G401"/>
  <c r="H401" s="1"/>
  <c r="F401"/>
  <c r="K401" l="1"/>
  <c r="H402"/>
  <c r="L402" s="1"/>
  <c r="L401"/>
  <c r="I914" l="1"/>
  <c r="G914"/>
  <c r="E914"/>
  <c r="I901"/>
  <c r="G901"/>
  <c r="E901"/>
  <c r="H918" l="1"/>
  <c r="F918"/>
  <c r="I917"/>
  <c r="J917" s="1"/>
  <c r="G917"/>
  <c r="H917" s="1"/>
  <c r="E917"/>
  <c r="F917" s="1"/>
  <c r="I916"/>
  <c r="J916" s="1"/>
  <c r="G916"/>
  <c r="E916"/>
  <c r="F916" s="1"/>
  <c r="I915"/>
  <c r="J915" s="1"/>
  <c r="G915"/>
  <c r="H915" s="1"/>
  <c r="E915"/>
  <c r="F915" s="1"/>
  <c r="J914"/>
  <c r="H914"/>
  <c r="F914"/>
  <c r="I913"/>
  <c r="J913" s="1"/>
  <c r="G913"/>
  <c r="H913" s="1"/>
  <c r="E913"/>
  <c r="F913" s="1"/>
  <c r="I911"/>
  <c r="J911" s="1"/>
  <c r="G911"/>
  <c r="H911" s="1"/>
  <c r="E911"/>
  <c r="F911" s="1"/>
  <c r="I910"/>
  <c r="J910" s="1"/>
  <c r="G910"/>
  <c r="H910" s="1"/>
  <c r="E910"/>
  <c r="F910" s="1"/>
  <c r="I909"/>
  <c r="J909" s="1"/>
  <c r="G909"/>
  <c r="E909"/>
  <c r="F909" s="1"/>
  <c r="H905"/>
  <c r="F905"/>
  <c r="I904"/>
  <c r="J904" s="1"/>
  <c r="G904"/>
  <c r="H904" s="1"/>
  <c r="E904"/>
  <c r="I903"/>
  <c r="J903" s="1"/>
  <c r="G903"/>
  <c r="H903" s="1"/>
  <c r="E903"/>
  <c r="I902"/>
  <c r="J902" s="1"/>
  <c r="G902"/>
  <c r="H902" s="1"/>
  <c r="E902"/>
  <c r="J901"/>
  <c r="H901"/>
  <c r="I900"/>
  <c r="J900" s="1"/>
  <c r="G900"/>
  <c r="H900" s="1"/>
  <c r="E900"/>
  <c r="I898"/>
  <c r="J898" s="1"/>
  <c r="G898"/>
  <c r="H898" s="1"/>
  <c r="E898"/>
  <c r="I897"/>
  <c r="J897" s="1"/>
  <c r="G897"/>
  <c r="H897" s="1"/>
  <c r="E897"/>
  <c r="I896"/>
  <c r="J896" s="1"/>
  <c r="G896"/>
  <c r="H896" s="1"/>
  <c r="E896"/>
  <c r="I768"/>
  <c r="I767"/>
  <c r="I766"/>
  <c r="I765"/>
  <c r="I764"/>
  <c r="I762"/>
  <c r="I761"/>
  <c r="I760"/>
  <c r="G768"/>
  <c r="G767"/>
  <c r="G766"/>
  <c r="G765"/>
  <c r="G764"/>
  <c r="G762"/>
  <c r="G761"/>
  <c r="G760"/>
  <c r="E768"/>
  <c r="E767"/>
  <c r="E766"/>
  <c r="E765"/>
  <c r="E764"/>
  <c r="E762"/>
  <c r="E761"/>
  <c r="E760"/>
  <c r="I755"/>
  <c r="I754"/>
  <c r="I753"/>
  <c r="I752"/>
  <c r="I751"/>
  <c r="I749"/>
  <c r="I748"/>
  <c r="I747"/>
  <c r="G755"/>
  <c r="G754"/>
  <c r="G753"/>
  <c r="G752"/>
  <c r="G751"/>
  <c r="G749"/>
  <c r="G748"/>
  <c r="G747"/>
  <c r="E755"/>
  <c r="E754"/>
  <c r="E753"/>
  <c r="E752"/>
  <c r="E751"/>
  <c r="E749"/>
  <c r="E748"/>
  <c r="E747"/>
  <c r="J810"/>
  <c r="H810"/>
  <c r="J813"/>
  <c r="G813"/>
  <c r="K813" s="1"/>
  <c r="F813"/>
  <c r="J812"/>
  <c r="G812"/>
  <c r="H812" s="1"/>
  <c r="F812"/>
  <c r="G805"/>
  <c r="G804"/>
  <c r="J158"/>
  <c r="F158"/>
  <c r="J675"/>
  <c r="H677"/>
  <c r="F677"/>
  <c r="I676"/>
  <c r="J676" s="1"/>
  <c r="G676"/>
  <c r="H676" s="1"/>
  <c r="E676"/>
  <c r="I669"/>
  <c r="G669"/>
  <c r="E669"/>
  <c r="K902" l="1"/>
  <c r="K903"/>
  <c r="K898"/>
  <c r="K909"/>
  <c r="K897"/>
  <c r="K901"/>
  <c r="L911"/>
  <c r="K896"/>
  <c r="K900"/>
  <c r="K904"/>
  <c r="K913"/>
  <c r="K916"/>
  <c r="I905"/>
  <c r="L910"/>
  <c r="L915"/>
  <c r="L913"/>
  <c r="L914"/>
  <c r="L917"/>
  <c r="K910"/>
  <c r="K911"/>
  <c r="K914"/>
  <c r="K915"/>
  <c r="K917"/>
  <c r="F896"/>
  <c r="F897"/>
  <c r="L897" s="1"/>
  <c r="F898"/>
  <c r="L898" s="1"/>
  <c r="F900"/>
  <c r="L900" s="1"/>
  <c r="F901"/>
  <c r="L901" s="1"/>
  <c r="F902"/>
  <c r="L902" s="1"/>
  <c r="F903"/>
  <c r="L903" s="1"/>
  <c r="F904"/>
  <c r="L904" s="1"/>
  <c r="H909"/>
  <c r="H916"/>
  <c r="I918" s="1"/>
  <c r="L812"/>
  <c r="H813"/>
  <c r="L813" s="1"/>
  <c r="K812"/>
  <c r="K676"/>
  <c r="F676"/>
  <c r="L676" s="1"/>
  <c r="K918" l="1"/>
  <c r="J918"/>
  <c r="L916"/>
  <c r="L896"/>
  <c r="L909"/>
  <c r="J905"/>
  <c r="K905"/>
  <c r="L905" l="1"/>
  <c r="L918"/>
  <c r="I887" l="1"/>
  <c r="J887" s="1"/>
  <c r="J888" s="1"/>
  <c r="J133" i="6" s="1"/>
  <c r="G887" i="5"/>
  <c r="H887" s="1"/>
  <c r="H888" s="1"/>
  <c r="H133" i="6" s="1"/>
  <c r="E887" i="5"/>
  <c r="V605" i="4"/>
  <c r="I882" i="5"/>
  <c r="G882"/>
  <c r="E882"/>
  <c r="F882" s="1"/>
  <c r="E883" s="1"/>
  <c r="O604" i="4"/>
  <c r="I881" i="5"/>
  <c r="J881" s="1"/>
  <c r="G881"/>
  <c r="E881"/>
  <c r="F881" s="1"/>
  <c r="V603" i="4"/>
  <c r="J883" i="5"/>
  <c r="H883"/>
  <c r="K882" l="1"/>
  <c r="J882"/>
  <c r="J884" s="1"/>
  <c r="J132" i="6" s="1"/>
  <c r="K881" i="5"/>
  <c r="K887"/>
  <c r="H881"/>
  <c r="H882"/>
  <c r="F887"/>
  <c r="L882" l="1"/>
  <c r="L887"/>
  <c r="F888"/>
  <c r="L881"/>
  <c r="H884"/>
  <c r="H132" i="6" s="1"/>
  <c r="I266" i="5"/>
  <c r="J266" s="1"/>
  <c r="G266"/>
  <c r="H266" s="1"/>
  <c r="E266"/>
  <c r="J258"/>
  <c r="L258" s="1"/>
  <c r="K258"/>
  <c r="H258"/>
  <c r="F258"/>
  <c r="I205"/>
  <c r="J205" s="1"/>
  <c r="G205"/>
  <c r="H205" s="1"/>
  <c r="I204"/>
  <c r="J204" s="1"/>
  <c r="G204"/>
  <c r="H204" s="1"/>
  <c r="E204"/>
  <c r="I203"/>
  <c r="J203" s="1"/>
  <c r="G203"/>
  <c r="H203" s="1"/>
  <c r="E203"/>
  <c r="I196"/>
  <c r="J196" s="1"/>
  <c r="G196"/>
  <c r="H196" s="1"/>
  <c r="I195"/>
  <c r="J195" s="1"/>
  <c r="G195"/>
  <c r="H195" s="1"/>
  <c r="E195"/>
  <c r="I194"/>
  <c r="J194" s="1"/>
  <c r="G194"/>
  <c r="H194" s="1"/>
  <c r="E194"/>
  <c r="F194" s="1"/>
  <c r="J554"/>
  <c r="L554" s="1"/>
  <c r="K554"/>
  <c r="H554"/>
  <c r="F554"/>
  <c r="V29" i="7"/>
  <c r="J876" i="5"/>
  <c r="F876"/>
  <c r="I873"/>
  <c r="J873" s="1"/>
  <c r="G873"/>
  <c r="H873" s="1"/>
  <c r="E873"/>
  <c r="I872"/>
  <c r="J872" s="1"/>
  <c r="G872"/>
  <c r="H872" s="1"/>
  <c r="E872"/>
  <c r="I877"/>
  <c r="J877" s="1"/>
  <c r="G877"/>
  <c r="H877" s="1"/>
  <c r="I875"/>
  <c r="J875" s="1"/>
  <c r="G875"/>
  <c r="H875" s="1"/>
  <c r="E875"/>
  <c r="I874"/>
  <c r="J874" s="1"/>
  <c r="G874"/>
  <c r="H874" s="1"/>
  <c r="E874"/>
  <c r="I345"/>
  <c r="J345" s="1"/>
  <c r="G345"/>
  <c r="H345" s="1"/>
  <c r="I344"/>
  <c r="J344" s="1"/>
  <c r="G344"/>
  <c r="H344" s="1"/>
  <c r="E344"/>
  <c r="I343"/>
  <c r="J343" s="1"/>
  <c r="G343"/>
  <c r="H343" s="1"/>
  <c r="E343"/>
  <c r="I77"/>
  <c r="G77"/>
  <c r="E77"/>
  <c r="F133" i="6" l="1"/>
  <c r="L888" i="5"/>
  <c r="K195"/>
  <c r="K204"/>
  <c r="K266"/>
  <c r="F266"/>
  <c r="L266" s="1"/>
  <c r="L194"/>
  <c r="K203"/>
  <c r="F203"/>
  <c r="L203" s="1"/>
  <c r="F204"/>
  <c r="L204" s="1"/>
  <c r="G876"/>
  <c r="K876" s="1"/>
  <c r="F195"/>
  <c r="L195" s="1"/>
  <c r="K194"/>
  <c r="K344"/>
  <c r="K874"/>
  <c r="K873"/>
  <c r="K343"/>
  <c r="K872"/>
  <c r="K875"/>
  <c r="J878"/>
  <c r="J131" i="6" s="1"/>
  <c r="P29" i="7" s="1"/>
  <c r="F872" i="5"/>
  <c r="F873"/>
  <c r="L873" s="1"/>
  <c r="F874"/>
  <c r="L874" s="1"/>
  <c r="F875"/>
  <c r="L875" s="1"/>
  <c r="F343"/>
  <c r="L343" s="1"/>
  <c r="F344"/>
  <c r="L344" s="1"/>
  <c r="H876" l="1"/>
  <c r="E877" s="1"/>
  <c r="K877" s="1"/>
  <c r="L133" i="6"/>
  <c r="L872" i="5"/>
  <c r="L876" l="1"/>
  <c r="H878"/>
  <c r="H131" i="6" s="1"/>
  <c r="L29" i="7" s="1"/>
  <c r="F877" i="5"/>
  <c r="L877" s="1"/>
  <c r="F878" l="1"/>
  <c r="L878" s="1"/>
  <c r="F131" i="6" l="1"/>
  <c r="H29" i="7" s="1"/>
  <c r="L131" i="6" l="1"/>
  <c r="I535" i="5"/>
  <c r="J535" s="1"/>
  <c r="G535"/>
  <c r="H535" s="1"/>
  <c r="E535"/>
  <c r="D37"/>
  <c r="D38"/>
  <c r="I38"/>
  <c r="J38" s="1"/>
  <c r="G38"/>
  <c r="E38"/>
  <c r="I76"/>
  <c r="G76"/>
  <c r="E76"/>
  <c r="K535" l="1"/>
  <c r="F38"/>
  <c r="H38"/>
  <c r="F535"/>
  <c r="L535" s="1"/>
  <c r="K38"/>
  <c r="L38" l="1"/>
  <c r="V820" i="7" l="1"/>
  <c r="AD2" i="8"/>
  <c r="H25" i="28" l="1"/>
  <c r="H22"/>
  <c r="E9"/>
  <c r="E15" s="1"/>
  <c r="E6"/>
  <c r="E8" s="1"/>
  <c r="A3"/>
  <c r="H610" i="27"/>
  <c r="G608"/>
  <c r="F608"/>
  <c r="D608"/>
  <c r="C608"/>
  <c r="B608"/>
  <c r="G607"/>
  <c r="F607"/>
  <c r="D607"/>
  <c r="C607"/>
  <c r="B607"/>
  <c r="B606"/>
  <c r="G605"/>
  <c r="F605"/>
  <c r="D605"/>
  <c r="B605"/>
  <c r="G604"/>
  <c r="F604"/>
  <c r="D604"/>
  <c r="B604"/>
  <c r="G603"/>
  <c r="F603"/>
  <c r="D603"/>
  <c r="C603"/>
  <c r="B603"/>
  <c r="B602"/>
  <c r="G601"/>
  <c r="F601"/>
  <c r="D601"/>
  <c r="C601"/>
  <c r="B601"/>
  <c r="G600"/>
  <c r="F600"/>
  <c r="D600"/>
  <c r="C600"/>
  <c r="B600"/>
  <c r="G599"/>
  <c r="F599"/>
  <c r="D599"/>
  <c r="C599"/>
  <c r="B599"/>
  <c r="G598"/>
  <c r="F598"/>
  <c r="D598"/>
  <c r="C598"/>
  <c r="B598"/>
  <c r="E598" s="1"/>
  <c r="G597"/>
  <c r="F597"/>
  <c r="D597"/>
  <c r="C597"/>
  <c r="B597"/>
  <c r="B596"/>
  <c r="G595"/>
  <c r="F595"/>
  <c r="D595"/>
  <c r="C595"/>
  <c r="B595"/>
  <c r="G594"/>
  <c r="F594"/>
  <c r="D594"/>
  <c r="B594"/>
  <c r="G593"/>
  <c r="F593"/>
  <c r="D593"/>
  <c r="C593"/>
  <c r="B593"/>
  <c r="E593" s="1"/>
  <c r="G592"/>
  <c r="F592"/>
  <c r="D592"/>
  <c r="B592"/>
  <c r="H592" s="1"/>
  <c r="B591"/>
  <c r="G590"/>
  <c r="F590"/>
  <c r="D590"/>
  <c r="C590"/>
  <c r="B590"/>
  <c r="G589"/>
  <c r="F589"/>
  <c r="D589"/>
  <c r="C589"/>
  <c r="B589"/>
  <c r="G588"/>
  <c r="F588"/>
  <c r="D588"/>
  <c r="C588"/>
  <c r="B588"/>
  <c r="E588" s="1"/>
  <c r="G587"/>
  <c r="F587"/>
  <c r="D587"/>
  <c r="C587"/>
  <c r="B587"/>
  <c r="G586"/>
  <c r="F586"/>
  <c r="D586"/>
  <c r="C586"/>
  <c r="B586"/>
  <c r="G585"/>
  <c r="F585"/>
  <c r="D585"/>
  <c r="C585"/>
  <c r="B585"/>
  <c r="G584"/>
  <c r="F584"/>
  <c r="D584"/>
  <c r="C584"/>
  <c r="B584"/>
  <c r="G583"/>
  <c r="F583"/>
  <c r="D583"/>
  <c r="C583"/>
  <c r="B583"/>
  <c r="G582"/>
  <c r="F582"/>
  <c r="E582"/>
  <c r="D582"/>
  <c r="C582"/>
  <c r="B582"/>
  <c r="B581"/>
  <c r="G580"/>
  <c r="F580"/>
  <c r="D580"/>
  <c r="C580"/>
  <c r="B580"/>
  <c r="B579"/>
  <c r="G578"/>
  <c r="F578"/>
  <c r="D578"/>
  <c r="C578"/>
  <c r="C22" s="1"/>
  <c r="B578"/>
  <c r="B22" s="1"/>
  <c r="A578"/>
  <c r="H577"/>
  <c r="G575"/>
  <c r="F575"/>
  <c r="D575"/>
  <c r="C575"/>
  <c r="B575"/>
  <c r="G574"/>
  <c r="F574"/>
  <c r="D574"/>
  <c r="C574"/>
  <c r="B574"/>
  <c r="B573"/>
  <c r="G572"/>
  <c r="F572"/>
  <c r="D572"/>
  <c r="B572"/>
  <c r="G571"/>
  <c r="F571"/>
  <c r="D571"/>
  <c r="B571"/>
  <c r="G570"/>
  <c r="F570"/>
  <c r="D570"/>
  <c r="C570"/>
  <c r="B570"/>
  <c r="B569"/>
  <c r="G568"/>
  <c r="F568"/>
  <c r="D568"/>
  <c r="C568"/>
  <c r="B568"/>
  <c r="G567"/>
  <c r="F567"/>
  <c r="D567"/>
  <c r="C567"/>
  <c r="B567"/>
  <c r="G566"/>
  <c r="F566"/>
  <c r="D566"/>
  <c r="C566"/>
  <c r="B566"/>
  <c r="G565"/>
  <c r="F565"/>
  <c r="D565"/>
  <c r="C565"/>
  <c r="B565"/>
  <c r="G564"/>
  <c r="F564"/>
  <c r="D564"/>
  <c r="C564"/>
  <c r="B564"/>
  <c r="B563"/>
  <c r="G562"/>
  <c r="F562"/>
  <c r="D562"/>
  <c r="C562"/>
  <c r="B562"/>
  <c r="G561"/>
  <c r="F561"/>
  <c r="D561"/>
  <c r="C561"/>
  <c r="B561"/>
  <c r="G560"/>
  <c r="F560"/>
  <c r="D560"/>
  <c r="C560"/>
  <c r="B560"/>
  <c r="G559"/>
  <c r="F559"/>
  <c r="D559"/>
  <c r="B559"/>
  <c r="G558"/>
  <c r="F558"/>
  <c r="D558"/>
  <c r="C558"/>
  <c r="B558"/>
  <c r="G557"/>
  <c r="F557"/>
  <c r="D557"/>
  <c r="C557"/>
  <c r="B557"/>
  <c r="E557" s="1"/>
  <c r="G556"/>
  <c r="F556"/>
  <c r="D556"/>
  <c r="C556"/>
  <c r="B556"/>
  <c r="G555"/>
  <c r="F555"/>
  <c r="D555"/>
  <c r="C555"/>
  <c r="E555" s="1"/>
  <c r="B555"/>
  <c r="G554"/>
  <c r="F554"/>
  <c r="D554"/>
  <c r="C554"/>
  <c r="B554"/>
  <c r="G553"/>
  <c r="F553"/>
  <c r="D553"/>
  <c r="C553"/>
  <c r="B553"/>
  <c r="G552"/>
  <c r="F552"/>
  <c r="D552"/>
  <c r="C552"/>
  <c r="B552"/>
  <c r="G551"/>
  <c r="F551"/>
  <c r="D551"/>
  <c r="C551"/>
  <c r="B551"/>
  <c r="G550"/>
  <c r="F550"/>
  <c r="D550"/>
  <c r="B550"/>
  <c r="G549"/>
  <c r="F549"/>
  <c r="D549"/>
  <c r="C549"/>
  <c r="B549"/>
  <c r="G548"/>
  <c r="F548"/>
  <c r="D548"/>
  <c r="B548"/>
  <c r="B547"/>
  <c r="G546"/>
  <c r="F546"/>
  <c r="D546"/>
  <c r="C546"/>
  <c r="B546"/>
  <c r="G545"/>
  <c r="F545"/>
  <c r="D545"/>
  <c r="C545"/>
  <c r="B545"/>
  <c r="G544"/>
  <c r="F544"/>
  <c r="D544"/>
  <c r="C544"/>
  <c r="B544"/>
  <c r="G543"/>
  <c r="F543"/>
  <c r="D543"/>
  <c r="C543"/>
  <c r="B543"/>
  <c r="G542"/>
  <c r="F542"/>
  <c r="D542"/>
  <c r="C542"/>
  <c r="B542"/>
  <c r="G541"/>
  <c r="F541"/>
  <c r="D541"/>
  <c r="C541"/>
  <c r="B541"/>
  <c r="B540"/>
  <c r="G539"/>
  <c r="F539"/>
  <c r="D539"/>
  <c r="C539"/>
  <c r="B539"/>
  <c r="G538"/>
  <c r="F538"/>
  <c r="D538"/>
  <c r="C538"/>
  <c r="B538"/>
  <c r="G537"/>
  <c r="F537"/>
  <c r="D537"/>
  <c r="C537"/>
  <c r="B537"/>
  <c r="G536"/>
  <c r="F536"/>
  <c r="D536"/>
  <c r="C536"/>
  <c r="B536"/>
  <c r="G535"/>
  <c r="F535"/>
  <c r="D535"/>
  <c r="C535"/>
  <c r="B535"/>
  <c r="G534"/>
  <c r="F534"/>
  <c r="D534"/>
  <c r="C534"/>
  <c r="B534"/>
  <c r="G533"/>
  <c r="F533"/>
  <c r="D533"/>
  <c r="C533"/>
  <c r="B533"/>
  <c r="G532"/>
  <c r="F532"/>
  <c r="D532"/>
  <c r="C532"/>
  <c r="B532"/>
  <c r="D531"/>
  <c r="C531"/>
  <c r="B531"/>
  <c r="G530"/>
  <c r="F530"/>
  <c r="D530"/>
  <c r="C530"/>
  <c r="B530"/>
  <c r="B529"/>
  <c r="G528"/>
  <c r="F528"/>
  <c r="D528"/>
  <c r="C528"/>
  <c r="B528"/>
  <c r="A528"/>
  <c r="H525"/>
  <c r="G523"/>
  <c r="F523"/>
  <c r="D523"/>
  <c r="C523"/>
  <c r="B523"/>
  <c r="G522"/>
  <c r="F522"/>
  <c r="D522"/>
  <c r="C522"/>
  <c r="B522"/>
  <c r="G521"/>
  <c r="F521"/>
  <c r="D521"/>
  <c r="C521"/>
  <c r="B521"/>
  <c r="G520"/>
  <c r="F520"/>
  <c r="D520"/>
  <c r="C520"/>
  <c r="B520"/>
  <c r="B519"/>
  <c r="G518"/>
  <c r="F518"/>
  <c r="D518"/>
  <c r="B518"/>
  <c r="E518" s="1"/>
  <c r="G517"/>
  <c r="F517"/>
  <c r="D517"/>
  <c r="B517"/>
  <c r="G516"/>
  <c r="F516"/>
  <c r="D516"/>
  <c r="C516"/>
  <c r="B516"/>
  <c r="G515"/>
  <c r="F515"/>
  <c r="D515"/>
  <c r="C515"/>
  <c r="B515"/>
  <c r="B514"/>
  <c r="G513"/>
  <c r="F513"/>
  <c r="D513"/>
  <c r="C513"/>
  <c r="B513"/>
  <c r="G512"/>
  <c r="F512"/>
  <c r="D512"/>
  <c r="C512"/>
  <c r="B512"/>
  <c r="G511"/>
  <c r="F511"/>
  <c r="D511"/>
  <c r="C511"/>
  <c r="B511"/>
  <c r="G510"/>
  <c r="F510"/>
  <c r="D510"/>
  <c r="C510"/>
  <c r="B510"/>
  <c r="G509"/>
  <c r="F509"/>
  <c r="D509"/>
  <c r="C509"/>
  <c r="B509"/>
  <c r="B508"/>
  <c r="G507"/>
  <c r="F507"/>
  <c r="D507"/>
  <c r="C507"/>
  <c r="B507"/>
  <c r="G506"/>
  <c r="F506"/>
  <c r="D506"/>
  <c r="C506"/>
  <c r="B506"/>
  <c r="G505"/>
  <c r="F505"/>
  <c r="D505"/>
  <c r="C505"/>
  <c r="B505"/>
  <c r="G504"/>
  <c r="F504"/>
  <c r="D504"/>
  <c r="C504"/>
  <c r="B504"/>
  <c r="G503"/>
  <c r="F503"/>
  <c r="D503"/>
  <c r="C503"/>
  <c r="B503"/>
  <c r="G502"/>
  <c r="F502"/>
  <c r="D502"/>
  <c r="C502"/>
  <c r="B502"/>
  <c r="G501"/>
  <c r="F501"/>
  <c r="D501"/>
  <c r="C501"/>
  <c r="B501"/>
  <c r="G500"/>
  <c r="F500"/>
  <c r="D500"/>
  <c r="C500"/>
  <c r="B500"/>
  <c r="G499"/>
  <c r="F499"/>
  <c r="D499"/>
  <c r="C499"/>
  <c r="B499"/>
  <c r="G498"/>
  <c r="F498"/>
  <c r="D498"/>
  <c r="C498"/>
  <c r="B498"/>
  <c r="G497"/>
  <c r="F497"/>
  <c r="D497"/>
  <c r="C497"/>
  <c r="B497"/>
  <c r="G496"/>
  <c r="F496"/>
  <c r="D496"/>
  <c r="B496"/>
  <c r="H496" s="1"/>
  <c r="O496" s="1"/>
  <c r="G495"/>
  <c r="F495"/>
  <c r="D495"/>
  <c r="C495"/>
  <c r="E495" s="1"/>
  <c r="B495"/>
  <c r="G494"/>
  <c r="F494"/>
  <c r="D494"/>
  <c r="B494"/>
  <c r="B493"/>
  <c r="G492"/>
  <c r="F492"/>
  <c r="D492"/>
  <c r="C492"/>
  <c r="B492"/>
  <c r="G491"/>
  <c r="F491"/>
  <c r="D491"/>
  <c r="C491"/>
  <c r="B491"/>
  <c r="G490"/>
  <c r="F490"/>
  <c r="D490"/>
  <c r="C490"/>
  <c r="B490"/>
  <c r="G489"/>
  <c r="F489"/>
  <c r="D489"/>
  <c r="C489"/>
  <c r="B489"/>
  <c r="G488"/>
  <c r="F488"/>
  <c r="D488"/>
  <c r="C488"/>
  <c r="B488"/>
  <c r="G487"/>
  <c r="F487"/>
  <c r="D487"/>
  <c r="C487"/>
  <c r="B487"/>
  <c r="B486"/>
  <c r="G485"/>
  <c r="F485"/>
  <c r="D485"/>
  <c r="C485"/>
  <c r="B485"/>
  <c r="G484"/>
  <c r="F484"/>
  <c r="C484"/>
  <c r="B484"/>
  <c r="B483"/>
  <c r="G482"/>
  <c r="F482"/>
  <c r="D482"/>
  <c r="C482"/>
  <c r="B482"/>
  <c r="G481"/>
  <c r="F481"/>
  <c r="D481"/>
  <c r="C481"/>
  <c r="B481"/>
  <c r="G480"/>
  <c r="F480"/>
  <c r="D480"/>
  <c r="C480"/>
  <c r="B480"/>
  <c r="G479"/>
  <c r="F479"/>
  <c r="D479"/>
  <c r="C479"/>
  <c r="B479"/>
  <c r="G478"/>
  <c r="F478"/>
  <c r="D478"/>
  <c r="C478"/>
  <c r="B478"/>
  <c r="D477"/>
  <c r="C477"/>
  <c r="B477"/>
  <c r="E477" s="1"/>
  <c r="G476"/>
  <c r="F476"/>
  <c r="D476"/>
  <c r="C476"/>
  <c r="B476"/>
  <c r="B475"/>
  <c r="G474"/>
  <c r="G20" s="1"/>
  <c r="F474"/>
  <c r="D474"/>
  <c r="D20" s="1"/>
  <c r="C474"/>
  <c r="B474"/>
  <c r="B20" s="1"/>
  <c r="A474"/>
  <c r="A20" s="1"/>
  <c r="H471"/>
  <c r="G469"/>
  <c r="F469"/>
  <c r="D469"/>
  <c r="C469"/>
  <c r="B469"/>
  <c r="G468"/>
  <c r="F468"/>
  <c r="D468"/>
  <c r="C468"/>
  <c r="B468"/>
  <c r="B467"/>
  <c r="G466"/>
  <c r="F466"/>
  <c r="D466"/>
  <c r="B466"/>
  <c r="G465"/>
  <c r="F465"/>
  <c r="D465"/>
  <c r="B465"/>
  <c r="G464"/>
  <c r="F464"/>
  <c r="D464"/>
  <c r="C464"/>
  <c r="B464"/>
  <c r="B463"/>
  <c r="G462"/>
  <c r="F462"/>
  <c r="D462"/>
  <c r="C462"/>
  <c r="B462"/>
  <c r="G461"/>
  <c r="F461"/>
  <c r="D461"/>
  <c r="C461"/>
  <c r="B461"/>
  <c r="G460"/>
  <c r="F460"/>
  <c r="D460"/>
  <c r="C460"/>
  <c r="B460"/>
  <c r="G459"/>
  <c r="F459"/>
  <c r="D459"/>
  <c r="C459"/>
  <c r="B459"/>
  <c r="G458"/>
  <c r="F458"/>
  <c r="D458"/>
  <c r="C458"/>
  <c r="B458"/>
  <c r="B457"/>
  <c r="G456"/>
  <c r="F456"/>
  <c r="D456"/>
  <c r="C456"/>
  <c r="B456"/>
  <c r="G455"/>
  <c r="F455"/>
  <c r="D455"/>
  <c r="C455"/>
  <c r="B455"/>
  <c r="G454"/>
  <c r="F454"/>
  <c r="D454"/>
  <c r="C454"/>
  <c r="B454"/>
  <c r="G453"/>
  <c r="F453"/>
  <c r="D453"/>
  <c r="C453"/>
  <c r="B453"/>
  <c r="G452"/>
  <c r="F452"/>
  <c r="D452"/>
  <c r="C452"/>
  <c r="B452"/>
  <c r="G451"/>
  <c r="F451"/>
  <c r="D451"/>
  <c r="C451"/>
  <c r="B451"/>
  <c r="E451" s="1"/>
  <c r="G450"/>
  <c r="F450"/>
  <c r="D450"/>
  <c r="C450"/>
  <c r="B450"/>
  <c r="G449"/>
  <c r="F449"/>
  <c r="D449"/>
  <c r="C449"/>
  <c r="B449"/>
  <c r="G448"/>
  <c r="F448"/>
  <c r="D448"/>
  <c r="C448"/>
  <c r="B448"/>
  <c r="G447"/>
  <c r="F447"/>
  <c r="D447"/>
  <c r="C447"/>
  <c r="B447"/>
  <c r="G446"/>
  <c r="F446"/>
  <c r="D446"/>
  <c r="C446"/>
  <c r="B446"/>
  <c r="G445"/>
  <c r="F445"/>
  <c r="D445"/>
  <c r="B445"/>
  <c r="G444"/>
  <c r="F444"/>
  <c r="D444"/>
  <c r="C444"/>
  <c r="B444"/>
  <c r="G443"/>
  <c r="F443"/>
  <c r="D443"/>
  <c r="B443"/>
  <c r="B442"/>
  <c r="G441"/>
  <c r="F441"/>
  <c r="D441"/>
  <c r="C441"/>
  <c r="B441"/>
  <c r="G440"/>
  <c r="F440"/>
  <c r="D440"/>
  <c r="C440"/>
  <c r="B440"/>
  <c r="G439"/>
  <c r="F439"/>
  <c r="D439"/>
  <c r="C439"/>
  <c r="B439"/>
  <c r="G438"/>
  <c r="F438"/>
  <c r="D438"/>
  <c r="C438"/>
  <c r="B438"/>
  <c r="G437"/>
  <c r="F437"/>
  <c r="D437"/>
  <c r="C437"/>
  <c r="B437"/>
  <c r="G436"/>
  <c r="F436"/>
  <c r="D436"/>
  <c r="C436"/>
  <c r="B436"/>
  <c r="B435"/>
  <c r="G434"/>
  <c r="F434"/>
  <c r="D434"/>
  <c r="C434"/>
  <c r="B434"/>
  <c r="G433"/>
  <c r="F433"/>
  <c r="D433"/>
  <c r="C433"/>
  <c r="B433"/>
  <c r="G432"/>
  <c r="F432"/>
  <c r="D432"/>
  <c r="C432"/>
  <c r="B432"/>
  <c r="G431"/>
  <c r="F431"/>
  <c r="D431"/>
  <c r="C431"/>
  <c r="B431"/>
  <c r="G430"/>
  <c r="F430"/>
  <c r="D430"/>
  <c r="C430"/>
  <c r="B430"/>
  <c r="G429"/>
  <c r="F429"/>
  <c r="D429"/>
  <c r="C429"/>
  <c r="B429"/>
  <c r="G428"/>
  <c r="F428"/>
  <c r="D428"/>
  <c r="C428"/>
  <c r="B428"/>
  <c r="G427"/>
  <c r="F427"/>
  <c r="D427"/>
  <c r="C427"/>
  <c r="B427"/>
  <c r="D426"/>
  <c r="C426"/>
  <c r="B426"/>
  <c r="G425"/>
  <c r="F425"/>
  <c r="D425"/>
  <c r="C425"/>
  <c r="B425"/>
  <c r="G424"/>
  <c r="F424"/>
  <c r="D424"/>
  <c r="C424"/>
  <c r="B424"/>
  <c r="G423"/>
  <c r="F423"/>
  <c r="D423"/>
  <c r="C423"/>
  <c r="B423"/>
  <c r="E423" s="1"/>
  <c r="B422"/>
  <c r="G421"/>
  <c r="G19" s="1"/>
  <c r="F421"/>
  <c r="D421"/>
  <c r="B421"/>
  <c r="A421"/>
  <c r="A19" s="1"/>
  <c r="H418"/>
  <c r="G416"/>
  <c r="F416"/>
  <c r="D416"/>
  <c r="C416"/>
  <c r="B416"/>
  <c r="G415"/>
  <c r="F415"/>
  <c r="D415"/>
  <c r="C415"/>
  <c r="B415"/>
  <c r="G414"/>
  <c r="F414"/>
  <c r="D414"/>
  <c r="C414"/>
  <c r="B414"/>
  <c r="H414" s="1"/>
  <c r="K414" s="1"/>
  <c r="G413"/>
  <c r="F413"/>
  <c r="D413"/>
  <c r="C413"/>
  <c r="B413"/>
  <c r="B412"/>
  <c r="G411"/>
  <c r="F411"/>
  <c r="D411"/>
  <c r="B411"/>
  <c r="G410"/>
  <c r="F410"/>
  <c r="D410"/>
  <c r="B410"/>
  <c r="G409"/>
  <c r="F409"/>
  <c r="D409"/>
  <c r="C409"/>
  <c r="B409"/>
  <c r="G408"/>
  <c r="F408"/>
  <c r="D408"/>
  <c r="C408"/>
  <c r="B408"/>
  <c r="B407"/>
  <c r="G406"/>
  <c r="F406"/>
  <c r="D406"/>
  <c r="C406"/>
  <c r="B406"/>
  <c r="G405"/>
  <c r="F405"/>
  <c r="D405"/>
  <c r="C405"/>
  <c r="B405"/>
  <c r="G404"/>
  <c r="F404"/>
  <c r="D404"/>
  <c r="C404"/>
  <c r="B404"/>
  <c r="H404" s="1"/>
  <c r="G403"/>
  <c r="F403"/>
  <c r="D403"/>
  <c r="C403"/>
  <c r="B403"/>
  <c r="G402"/>
  <c r="F402"/>
  <c r="D402"/>
  <c r="C402"/>
  <c r="B402"/>
  <c r="G401"/>
  <c r="F401"/>
  <c r="D401"/>
  <c r="C401"/>
  <c r="B401"/>
  <c r="G400"/>
  <c r="F400"/>
  <c r="D400"/>
  <c r="C400"/>
  <c r="B400"/>
  <c r="B399"/>
  <c r="G398"/>
  <c r="F398"/>
  <c r="D398"/>
  <c r="C398"/>
  <c r="B398"/>
  <c r="G397"/>
  <c r="F397"/>
  <c r="D397"/>
  <c r="C397"/>
  <c r="B397"/>
  <c r="G396"/>
  <c r="F396"/>
  <c r="D396"/>
  <c r="C396"/>
  <c r="B396"/>
  <c r="H396" s="1"/>
  <c r="G395"/>
  <c r="F395"/>
  <c r="D395"/>
  <c r="C395"/>
  <c r="B395"/>
  <c r="G394"/>
  <c r="F394"/>
  <c r="D394"/>
  <c r="C394"/>
  <c r="B394"/>
  <c r="G393"/>
  <c r="F393"/>
  <c r="D393"/>
  <c r="C393"/>
  <c r="B393"/>
  <c r="G392"/>
  <c r="F392"/>
  <c r="D392"/>
  <c r="C392"/>
  <c r="B392"/>
  <c r="E392" s="1"/>
  <c r="G391"/>
  <c r="F391"/>
  <c r="D391"/>
  <c r="C391"/>
  <c r="B391"/>
  <c r="G390"/>
  <c r="F390"/>
  <c r="D390"/>
  <c r="C390"/>
  <c r="B390"/>
  <c r="G389"/>
  <c r="F389"/>
  <c r="D389"/>
  <c r="C389"/>
  <c r="B389"/>
  <c r="G388"/>
  <c r="F388"/>
  <c r="D388"/>
  <c r="C388"/>
  <c r="B388"/>
  <c r="G387"/>
  <c r="F387"/>
  <c r="D387"/>
  <c r="B387"/>
  <c r="G386"/>
  <c r="F386"/>
  <c r="D386"/>
  <c r="C386"/>
  <c r="H386" s="1"/>
  <c r="K386" s="1"/>
  <c r="B386"/>
  <c r="G385"/>
  <c r="F385"/>
  <c r="D385"/>
  <c r="B385"/>
  <c r="E385" s="1"/>
  <c r="B384"/>
  <c r="G383"/>
  <c r="F383"/>
  <c r="E383" s="1"/>
  <c r="D383"/>
  <c r="C383"/>
  <c r="B383"/>
  <c r="G382"/>
  <c r="F382"/>
  <c r="D382"/>
  <c r="C382"/>
  <c r="B382"/>
  <c r="G381"/>
  <c r="F381"/>
  <c r="D381"/>
  <c r="C381"/>
  <c r="B381"/>
  <c r="B380"/>
  <c r="G379"/>
  <c r="F379"/>
  <c r="D379"/>
  <c r="C379"/>
  <c r="B379"/>
  <c r="G378"/>
  <c r="F378"/>
  <c r="D378"/>
  <c r="C378"/>
  <c r="B378"/>
  <c r="H378" s="1"/>
  <c r="G377"/>
  <c r="F377"/>
  <c r="D377"/>
  <c r="C377"/>
  <c r="B377"/>
  <c r="G376"/>
  <c r="F376"/>
  <c r="E376"/>
  <c r="D376"/>
  <c r="C376"/>
  <c r="B376"/>
  <c r="G375"/>
  <c r="F375"/>
  <c r="D375"/>
  <c r="C375"/>
  <c r="B375"/>
  <c r="G374"/>
  <c r="F374"/>
  <c r="D374"/>
  <c r="C374"/>
  <c r="B374"/>
  <c r="G373"/>
  <c r="F373"/>
  <c r="D373"/>
  <c r="C373"/>
  <c r="B373"/>
  <c r="G372"/>
  <c r="F372"/>
  <c r="D372"/>
  <c r="C372"/>
  <c r="B372"/>
  <c r="G371"/>
  <c r="F371"/>
  <c r="D371"/>
  <c r="C371"/>
  <c r="B371"/>
  <c r="D370"/>
  <c r="C370"/>
  <c r="B370"/>
  <c r="G369"/>
  <c r="F369"/>
  <c r="D369"/>
  <c r="C369"/>
  <c r="B369"/>
  <c r="G368"/>
  <c r="F368"/>
  <c r="D368"/>
  <c r="C368"/>
  <c r="B368"/>
  <c r="D367"/>
  <c r="B367"/>
  <c r="E367" s="1"/>
  <c r="G366"/>
  <c r="G18" s="1"/>
  <c r="F366"/>
  <c r="F18" s="1"/>
  <c r="D366"/>
  <c r="C366"/>
  <c r="C18" s="1"/>
  <c r="B366"/>
  <c r="A366"/>
  <c r="A18" s="1"/>
  <c r="H363"/>
  <c r="G361"/>
  <c r="F361"/>
  <c r="D361"/>
  <c r="C361"/>
  <c r="B361"/>
  <c r="G360"/>
  <c r="F360"/>
  <c r="D360"/>
  <c r="C360"/>
  <c r="B360"/>
  <c r="G359"/>
  <c r="F359"/>
  <c r="D359"/>
  <c r="C359"/>
  <c r="B359"/>
  <c r="G358"/>
  <c r="F358"/>
  <c r="D358"/>
  <c r="C358"/>
  <c r="B358"/>
  <c r="B357"/>
  <c r="G356"/>
  <c r="F356"/>
  <c r="D356"/>
  <c r="B356"/>
  <c r="E356" s="1"/>
  <c r="G355"/>
  <c r="F355"/>
  <c r="D355"/>
  <c r="B355"/>
  <c r="G354"/>
  <c r="F354"/>
  <c r="D354"/>
  <c r="C354"/>
  <c r="B354"/>
  <c r="E354" s="1"/>
  <c r="G353"/>
  <c r="F353"/>
  <c r="H353" s="1"/>
  <c r="K353" s="1"/>
  <c r="D353"/>
  <c r="C353"/>
  <c r="B353"/>
  <c r="B352"/>
  <c r="G351"/>
  <c r="F351"/>
  <c r="D351"/>
  <c r="C351"/>
  <c r="B351"/>
  <c r="G350"/>
  <c r="F350"/>
  <c r="D350"/>
  <c r="C350"/>
  <c r="B350"/>
  <c r="G349"/>
  <c r="F349"/>
  <c r="D349"/>
  <c r="C349"/>
  <c r="B349"/>
  <c r="G348"/>
  <c r="F348"/>
  <c r="D348"/>
  <c r="C348"/>
  <c r="B348"/>
  <c r="G347"/>
  <c r="F347"/>
  <c r="D347"/>
  <c r="C347"/>
  <c r="B347"/>
  <c r="G346"/>
  <c r="F346"/>
  <c r="D346"/>
  <c r="C346"/>
  <c r="B346"/>
  <c r="G345"/>
  <c r="F345"/>
  <c r="D345"/>
  <c r="C345"/>
  <c r="B345"/>
  <c r="B344"/>
  <c r="G343"/>
  <c r="F343"/>
  <c r="D343"/>
  <c r="C343"/>
  <c r="B343"/>
  <c r="G342"/>
  <c r="F342"/>
  <c r="D342"/>
  <c r="C342"/>
  <c r="B342"/>
  <c r="G341"/>
  <c r="F341"/>
  <c r="D341"/>
  <c r="C341"/>
  <c r="B341"/>
  <c r="G340"/>
  <c r="F340"/>
  <c r="D340"/>
  <c r="C340"/>
  <c r="B340"/>
  <c r="G339"/>
  <c r="F339"/>
  <c r="D339"/>
  <c r="C339"/>
  <c r="B339"/>
  <c r="G338"/>
  <c r="F338"/>
  <c r="D338"/>
  <c r="C338"/>
  <c r="H338" s="1"/>
  <c r="B338"/>
  <c r="G337"/>
  <c r="F337"/>
  <c r="D337"/>
  <c r="C337"/>
  <c r="B337"/>
  <c r="G336"/>
  <c r="F336"/>
  <c r="D336"/>
  <c r="C336"/>
  <c r="B336"/>
  <c r="G335"/>
  <c r="F335"/>
  <c r="D335"/>
  <c r="C335"/>
  <c r="B335"/>
  <c r="G334"/>
  <c r="F334"/>
  <c r="D334"/>
  <c r="C334"/>
  <c r="B334"/>
  <c r="G333"/>
  <c r="F333"/>
  <c r="D333"/>
  <c r="C333"/>
  <c r="B333"/>
  <c r="G332"/>
  <c r="F332"/>
  <c r="D332"/>
  <c r="B332"/>
  <c r="G331"/>
  <c r="F331"/>
  <c r="D331"/>
  <c r="C331"/>
  <c r="B331"/>
  <c r="G330"/>
  <c r="F330"/>
  <c r="D330"/>
  <c r="B330"/>
  <c r="B329"/>
  <c r="G328"/>
  <c r="F328"/>
  <c r="D328"/>
  <c r="C328"/>
  <c r="B328"/>
  <c r="G327"/>
  <c r="F327"/>
  <c r="D327"/>
  <c r="C327"/>
  <c r="B327"/>
  <c r="G326"/>
  <c r="F326"/>
  <c r="D326"/>
  <c r="C326"/>
  <c r="B326"/>
  <c r="B325"/>
  <c r="G324"/>
  <c r="F324"/>
  <c r="D324"/>
  <c r="C324"/>
  <c r="B324"/>
  <c r="G323"/>
  <c r="F323"/>
  <c r="D323"/>
  <c r="C323"/>
  <c r="B323"/>
  <c r="G322"/>
  <c r="F322"/>
  <c r="D322"/>
  <c r="C322"/>
  <c r="B322"/>
  <c r="G321"/>
  <c r="F321"/>
  <c r="D321"/>
  <c r="C321"/>
  <c r="B321"/>
  <c r="H321" s="1"/>
  <c r="G320"/>
  <c r="F320"/>
  <c r="D320"/>
  <c r="C320"/>
  <c r="B320"/>
  <c r="G319"/>
  <c r="F319"/>
  <c r="D319"/>
  <c r="C319"/>
  <c r="B319"/>
  <c r="G318"/>
  <c r="F318"/>
  <c r="D318"/>
  <c r="C318"/>
  <c r="B318"/>
  <c r="G317"/>
  <c r="F317"/>
  <c r="D317"/>
  <c r="C317"/>
  <c r="B317"/>
  <c r="G316"/>
  <c r="F316"/>
  <c r="D316"/>
  <c r="C316"/>
  <c r="B316"/>
  <c r="B315"/>
  <c r="G314"/>
  <c r="F314"/>
  <c r="D314"/>
  <c r="C314"/>
  <c r="B314"/>
  <c r="G313"/>
  <c r="F313"/>
  <c r="D313"/>
  <c r="C313"/>
  <c r="B313"/>
  <c r="D312"/>
  <c r="B312"/>
  <c r="E312" s="1"/>
  <c r="G311"/>
  <c r="G17" s="1"/>
  <c r="F311"/>
  <c r="C311"/>
  <c r="B311"/>
  <c r="B17" s="1"/>
  <c r="A311"/>
  <c r="A17" s="1"/>
  <c r="H308"/>
  <c r="G306"/>
  <c r="F306"/>
  <c r="D306"/>
  <c r="C306"/>
  <c r="B306"/>
  <c r="G305"/>
  <c r="F305"/>
  <c r="D305"/>
  <c r="C305"/>
  <c r="B305"/>
  <c r="G304"/>
  <c r="F304"/>
  <c r="D304"/>
  <c r="C304"/>
  <c r="B304"/>
  <c r="G303"/>
  <c r="F303"/>
  <c r="D303"/>
  <c r="C303"/>
  <c r="B303"/>
  <c r="B302"/>
  <c r="G301"/>
  <c r="F301"/>
  <c r="D301"/>
  <c r="B301"/>
  <c r="G300"/>
  <c r="F300"/>
  <c r="D300"/>
  <c r="B300"/>
  <c r="G299"/>
  <c r="F299"/>
  <c r="D299"/>
  <c r="C299"/>
  <c r="B299"/>
  <c r="G298"/>
  <c r="F298"/>
  <c r="D298"/>
  <c r="C298"/>
  <c r="B298"/>
  <c r="B297"/>
  <c r="G296"/>
  <c r="F296"/>
  <c r="D296"/>
  <c r="C296"/>
  <c r="B296"/>
  <c r="G295"/>
  <c r="F295"/>
  <c r="D295"/>
  <c r="C295"/>
  <c r="B295"/>
  <c r="G294"/>
  <c r="F294"/>
  <c r="D294"/>
  <c r="C294"/>
  <c r="B294"/>
  <c r="G293"/>
  <c r="F293"/>
  <c r="D293"/>
  <c r="C293"/>
  <c r="B293"/>
  <c r="G292"/>
  <c r="F292"/>
  <c r="D292"/>
  <c r="C292"/>
  <c r="B292"/>
  <c r="G291"/>
  <c r="F291"/>
  <c r="D291"/>
  <c r="C291"/>
  <c r="B291"/>
  <c r="G290"/>
  <c r="F290"/>
  <c r="D290"/>
  <c r="C290"/>
  <c r="B290"/>
  <c r="B289"/>
  <c r="G288"/>
  <c r="F288"/>
  <c r="D288"/>
  <c r="C288"/>
  <c r="B288"/>
  <c r="G287"/>
  <c r="F287"/>
  <c r="D287"/>
  <c r="C287"/>
  <c r="B287"/>
  <c r="G286"/>
  <c r="F286"/>
  <c r="D286"/>
  <c r="C286"/>
  <c r="B286"/>
  <c r="G285"/>
  <c r="F285"/>
  <c r="D285"/>
  <c r="C285"/>
  <c r="B285"/>
  <c r="G284"/>
  <c r="F284"/>
  <c r="D284"/>
  <c r="C284"/>
  <c r="B284"/>
  <c r="G283"/>
  <c r="F283"/>
  <c r="D283"/>
  <c r="C283"/>
  <c r="B283"/>
  <c r="G282"/>
  <c r="F282"/>
  <c r="D282"/>
  <c r="C282"/>
  <c r="B282"/>
  <c r="G281"/>
  <c r="F281"/>
  <c r="D281"/>
  <c r="C281"/>
  <c r="B281"/>
  <c r="G280"/>
  <c r="F280"/>
  <c r="D280"/>
  <c r="C280"/>
  <c r="B280"/>
  <c r="G279"/>
  <c r="F279"/>
  <c r="D279"/>
  <c r="C279"/>
  <c r="B279"/>
  <c r="G278"/>
  <c r="F278"/>
  <c r="D278"/>
  <c r="C278"/>
  <c r="B278"/>
  <c r="G277"/>
  <c r="F277"/>
  <c r="D277"/>
  <c r="B277"/>
  <c r="H277" s="1"/>
  <c r="G276"/>
  <c r="F276"/>
  <c r="D276"/>
  <c r="C276"/>
  <c r="B276"/>
  <c r="G275"/>
  <c r="F275"/>
  <c r="D275"/>
  <c r="B275"/>
  <c r="B274"/>
  <c r="G273"/>
  <c r="F273"/>
  <c r="D273"/>
  <c r="C273"/>
  <c r="B273"/>
  <c r="G272"/>
  <c r="F272"/>
  <c r="D272"/>
  <c r="C272"/>
  <c r="B272"/>
  <c r="G271"/>
  <c r="F271"/>
  <c r="D271"/>
  <c r="C271"/>
  <c r="B271"/>
  <c r="D270"/>
  <c r="C270"/>
  <c r="B270"/>
  <c r="G269"/>
  <c r="F269"/>
  <c r="D269"/>
  <c r="C269"/>
  <c r="B269"/>
  <c r="G268"/>
  <c r="F268"/>
  <c r="D268"/>
  <c r="C268"/>
  <c r="B268"/>
  <c r="G267"/>
  <c r="F267"/>
  <c r="D267"/>
  <c r="C267"/>
  <c r="B267"/>
  <c r="G266"/>
  <c r="F266"/>
  <c r="D266"/>
  <c r="C266"/>
  <c r="B266"/>
  <c r="G265"/>
  <c r="F265"/>
  <c r="D265"/>
  <c r="C265"/>
  <c r="B265"/>
  <c r="E265" s="1"/>
  <c r="G264"/>
  <c r="F264"/>
  <c r="D264"/>
  <c r="C264"/>
  <c r="B264"/>
  <c r="G263"/>
  <c r="F263"/>
  <c r="D263"/>
  <c r="C263"/>
  <c r="B263"/>
  <c r="G262"/>
  <c r="F262"/>
  <c r="D262"/>
  <c r="C262"/>
  <c r="B262"/>
  <c r="G261"/>
  <c r="F261"/>
  <c r="D261"/>
  <c r="C261"/>
  <c r="H261" s="1"/>
  <c r="B261"/>
  <c r="B260"/>
  <c r="G259"/>
  <c r="F259"/>
  <c r="D259"/>
  <c r="C259"/>
  <c r="B259"/>
  <c r="G258"/>
  <c r="F258"/>
  <c r="D258"/>
  <c r="C258"/>
  <c r="B258"/>
  <c r="B257"/>
  <c r="G256"/>
  <c r="G16" s="1"/>
  <c r="F256"/>
  <c r="F16" s="1"/>
  <c r="C256"/>
  <c r="C16" s="1"/>
  <c r="B256"/>
  <c r="A256"/>
  <c r="H254"/>
  <c r="G252"/>
  <c r="F252"/>
  <c r="D252"/>
  <c r="C252"/>
  <c r="B252"/>
  <c r="E252" s="1"/>
  <c r="G251"/>
  <c r="F251"/>
  <c r="D251"/>
  <c r="C251"/>
  <c r="B251"/>
  <c r="G250"/>
  <c r="F250"/>
  <c r="H250" s="1"/>
  <c r="D250"/>
  <c r="C250"/>
  <c r="B250"/>
  <c r="G249"/>
  <c r="F249"/>
  <c r="D249"/>
  <c r="C249"/>
  <c r="B249"/>
  <c r="B248"/>
  <c r="G247"/>
  <c r="F247"/>
  <c r="E247"/>
  <c r="D247"/>
  <c r="B247"/>
  <c r="G246"/>
  <c r="F246"/>
  <c r="D246"/>
  <c r="B246"/>
  <c r="G245"/>
  <c r="F245"/>
  <c r="E245"/>
  <c r="D245"/>
  <c r="C245"/>
  <c r="B245"/>
  <c r="H245" s="1"/>
  <c r="O245" s="1"/>
  <c r="G244"/>
  <c r="F244"/>
  <c r="D244"/>
  <c r="C244"/>
  <c r="B244"/>
  <c r="B243"/>
  <c r="G242"/>
  <c r="F242"/>
  <c r="D242"/>
  <c r="C242"/>
  <c r="B242"/>
  <c r="G241"/>
  <c r="F241"/>
  <c r="D241"/>
  <c r="C241"/>
  <c r="B241"/>
  <c r="G240"/>
  <c r="F240"/>
  <c r="D240"/>
  <c r="C240"/>
  <c r="B240"/>
  <c r="G239"/>
  <c r="F239"/>
  <c r="D239"/>
  <c r="C239"/>
  <c r="B239"/>
  <c r="G238"/>
  <c r="F238"/>
  <c r="D238"/>
  <c r="C238"/>
  <c r="B238"/>
  <c r="G237"/>
  <c r="F237"/>
  <c r="D237"/>
  <c r="C237"/>
  <c r="B237"/>
  <c r="G236"/>
  <c r="F236"/>
  <c r="D236"/>
  <c r="C236"/>
  <c r="B236"/>
  <c r="D235"/>
  <c r="B235"/>
  <c r="E235" s="1"/>
  <c r="G234"/>
  <c r="F234"/>
  <c r="D234"/>
  <c r="C234"/>
  <c r="B234"/>
  <c r="H233"/>
  <c r="I233" s="1"/>
  <c r="G233"/>
  <c r="F233"/>
  <c r="E233"/>
  <c r="D233"/>
  <c r="C233"/>
  <c r="B233"/>
  <c r="G232"/>
  <c r="F232"/>
  <c r="D232"/>
  <c r="C232"/>
  <c r="B232"/>
  <c r="G231"/>
  <c r="F231"/>
  <c r="D231"/>
  <c r="C231"/>
  <c r="B231"/>
  <c r="G230"/>
  <c r="F230"/>
  <c r="D230"/>
  <c r="C230"/>
  <c r="B230"/>
  <c r="G229"/>
  <c r="F229"/>
  <c r="D229"/>
  <c r="C229"/>
  <c r="B229"/>
  <c r="G228"/>
  <c r="F228"/>
  <c r="E228" s="1"/>
  <c r="D228"/>
  <c r="C228"/>
  <c r="B228"/>
  <c r="G227"/>
  <c r="F227"/>
  <c r="D227"/>
  <c r="C227"/>
  <c r="B227"/>
  <c r="G226"/>
  <c r="F226"/>
  <c r="D226"/>
  <c r="C226"/>
  <c r="B226"/>
  <c r="G225"/>
  <c r="F225"/>
  <c r="D225"/>
  <c r="C225"/>
  <c r="B225"/>
  <c r="G224"/>
  <c r="F224"/>
  <c r="D224"/>
  <c r="C224"/>
  <c r="B224"/>
  <c r="G223"/>
  <c r="F223"/>
  <c r="D223"/>
  <c r="B223"/>
  <c r="G222"/>
  <c r="F222"/>
  <c r="D222"/>
  <c r="C222"/>
  <c r="B222"/>
  <c r="E222" s="1"/>
  <c r="G221"/>
  <c r="F221"/>
  <c r="D221"/>
  <c r="B221"/>
  <c r="B220"/>
  <c r="G219"/>
  <c r="F219"/>
  <c r="D219"/>
  <c r="C219"/>
  <c r="B219"/>
  <c r="G218"/>
  <c r="F218"/>
  <c r="D218"/>
  <c r="C218"/>
  <c r="B218"/>
  <c r="G217"/>
  <c r="F217"/>
  <c r="D217"/>
  <c r="C217"/>
  <c r="B217"/>
  <c r="B216"/>
  <c r="G215"/>
  <c r="F215"/>
  <c r="D215"/>
  <c r="C215"/>
  <c r="B215"/>
  <c r="G214"/>
  <c r="F214"/>
  <c r="D214"/>
  <c r="C214"/>
  <c r="B214"/>
  <c r="G213"/>
  <c r="F213"/>
  <c r="D213"/>
  <c r="C213"/>
  <c r="B213"/>
  <c r="G212"/>
  <c r="F212"/>
  <c r="D212"/>
  <c r="C212"/>
  <c r="B212"/>
  <c r="G211"/>
  <c r="F211"/>
  <c r="D211"/>
  <c r="C211"/>
  <c r="B211"/>
  <c r="G210"/>
  <c r="F210"/>
  <c r="D210"/>
  <c r="C210"/>
  <c r="B210"/>
  <c r="G209"/>
  <c r="F209"/>
  <c r="D209"/>
  <c r="C209"/>
  <c r="B209"/>
  <c r="G208"/>
  <c r="F208"/>
  <c r="D208"/>
  <c r="C208"/>
  <c r="B208"/>
  <c r="G207"/>
  <c r="F207"/>
  <c r="D207"/>
  <c r="C207"/>
  <c r="B207"/>
  <c r="B206"/>
  <c r="G205"/>
  <c r="F205"/>
  <c r="D205"/>
  <c r="C205"/>
  <c r="B205"/>
  <c r="G204"/>
  <c r="F204"/>
  <c r="D204"/>
  <c r="C204"/>
  <c r="B204"/>
  <c r="B203"/>
  <c r="G202"/>
  <c r="G15" s="1"/>
  <c r="F202"/>
  <c r="D202"/>
  <c r="D15" s="1"/>
  <c r="C202"/>
  <c r="B202"/>
  <c r="B15" s="1"/>
  <c r="A202"/>
  <c r="A15" s="1"/>
  <c r="H199"/>
  <c r="G197"/>
  <c r="F197"/>
  <c r="D197"/>
  <c r="C197"/>
  <c r="B197"/>
  <c r="G196"/>
  <c r="F196"/>
  <c r="D196"/>
  <c r="C196"/>
  <c r="B196"/>
  <c r="G195"/>
  <c r="F195"/>
  <c r="D195"/>
  <c r="C195"/>
  <c r="B195"/>
  <c r="E195" s="1"/>
  <c r="G194"/>
  <c r="F194"/>
  <c r="D194"/>
  <c r="C194"/>
  <c r="B194"/>
  <c r="B193"/>
  <c r="G192"/>
  <c r="F192"/>
  <c r="D192"/>
  <c r="B192"/>
  <c r="G191"/>
  <c r="F191"/>
  <c r="D191"/>
  <c r="B191"/>
  <c r="G190"/>
  <c r="F190"/>
  <c r="C190"/>
  <c r="B190"/>
  <c r="G189"/>
  <c r="F189"/>
  <c r="D189"/>
  <c r="C189"/>
  <c r="B189"/>
  <c r="E188"/>
  <c r="D188"/>
  <c r="B188"/>
  <c r="G187"/>
  <c r="F187"/>
  <c r="D187"/>
  <c r="C187"/>
  <c r="B187"/>
  <c r="G186"/>
  <c r="F186"/>
  <c r="D186"/>
  <c r="C186"/>
  <c r="B186"/>
  <c r="G185"/>
  <c r="F185"/>
  <c r="D185"/>
  <c r="C185"/>
  <c r="B185"/>
  <c r="G184"/>
  <c r="F184"/>
  <c r="D184"/>
  <c r="C184"/>
  <c r="B184"/>
  <c r="G183"/>
  <c r="F183"/>
  <c r="D183"/>
  <c r="C183"/>
  <c r="B183"/>
  <c r="G182"/>
  <c r="F182"/>
  <c r="D182"/>
  <c r="C182"/>
  <c r="B182"/>
  <c r="G181"/>
  <c r="F181"/>
  <c r="D181"/>
  <c r="C181"/>
  <c r="B181"/>
  <c r="B180"/>
  <c r="G179"/>
  <c r="F179"/>
  <c r="D179"/>
  <c r="C179"/>
  <c r="B179"/>
  <c r="G178"/>
  <c r="F178"/>
  <c r="C178"/>
  <c r="B178"/>
  <c r="G177"/>
  <c r="F177"/>
  <c r="D177"/>
  <c r="C177"/>
  <c r="B177"/>
  <c r="G176"/>
  <c r="F176"/>
  <c r="D176"/>
  <c r="C176"/>
  <c r="B176"/>
  <c r="G175"/>
  <c r="F175"/>
  <c r="D175"/>
  <c r="C175"/>
  <c r="B175"/>
  <c r="G174"/>
  <c r="F174"/>
  <c r="D174"/>
  <c r="C174"/>
  <c r="B174"/>
  <c r="H174" s="1"/>
  <c r="I174" s="1"/>
  <c r="G173"/>
  <c r="F173"/>
  <c r="D173"/>
  <c r="C173"/>
  <c r="B173"/>
  <c r="G172"/>
  <c r="F172"/>
  <c r="D172"/>
  <c r="C172"/>
  <c r="B172"/>
  <c r="G171"/>
  <c r="F171"/>
  <c r="D171"/>
  <c r="C171"/>
  <c r="B171"/>
  <c r="G170"/>
  <c r="F170"/>
  <c r="D170"/>
  <c r="C170"/>
  <c r="B170"/>
  <c r="G169"/>
  <c r="F169"/>
  <c r="D169"/>
  <c r="C169"/>
  <c r="B169"/>
  <c r="G168"/>
  <c r="F168"/>
  <c r="D168"/>
  <c r="B168"/>
  <c r="G167"/>
  <c r="F167"/>
  <c r="D167"/>
  <c r="C167"/>
  <c r="B167"/>
  <c r="G166"/>
  <c r="F166"/>
  <c r="D166"/>
  <c r="B166"/>
  <c r="B165"/>
  <c r="G164"/>
  <c r="F164"/>
  <c r="D164"/>
  <c r="C164"/>
  <c r="B164"/>
  <c r="G163"/>
  <c r="F163"/>
  <c r="D163"/>
  <c r="C163"/>
  <c r="B163"/>
  <c r="G162"/>
  <c r="F162"/>
  <c r="D162"/>
  <c r="C162"/>
  <c r="B162"/>
  <c r="B161"/>
  <c r="G160"/>
  <c r="F160"/>
  <c r="D160"/>
  <c r="C160"/>
  <c r="B160"/>
  <c r="G159"/>
  <c r="F159"/>
  <c r="D159"/>
  <c r="C159"/>
  <c r="B159"/>
  <c r="G158"/>
  <c r="F158"/>
  <c r="D158"/>
  <c r="C158"/>
  <c r="B158"/>
  <c r="G157"/>
  <c r="F157"/>
  <c r="D157"/>
  <c r="C157"/>
  <c r="B157"/>
  <c r="G156"/>
  <c r="F156"/>
  <c r="D156"/>
  <c r="C156"/>
  <c r="B156"/>
  <c r="G155"/>
  <c r="F155"/>
  <c r="D155"/>
  <c r="C155"/>
  <c r="B155"/>
  <c r="G154"/>
  <c r="F154"/>
  <c r="D154"/>
  <c r="C154"/>
  <c r="B154"/>
  <c r="G153"/>
  <c r="F153"/>
  <c r="D153"/>
  <c r="C153"/>
  <c r="B153"/>
  <c r="G152"/>
  <c r="F152"/>
  <c r="D152"/>
  <c r="C152"/>
  <c r="B152"/>
  <c r="B151"/>
  <c r="G150"/>
  <c r="F150"/>
  <c r="D150"/>
  <c r="C150"/>
  <c r="B150"/>
  <c r="G149"/>
  <c r="F149"/>
  <c r="D149"/>
  <c r="C149"/>
  <c r="B149"/>
  <c r="B148"/>
  <c r="G147"/>
  <c r="G14" s="1"/>
  <c r="F147"/>
  <c r="D147"/>
  <c r="C147"/>
  <c r="C14" s="1"/>
  <c r="B147"/>
  <c r="B14" s="1"/>
  <c r="A147"/>
  <c r="H144"/>
  <c r="G142"/>
  <c r="F142"/>
  <c r="D142"/>
  <c r="C142"/>
  <c r="B142"/>
  <c r="G141"/>
  <c r="F141"/>
  <c r="D141"/>
  <c r="C141"/>
  <c r="B141"/>
  <c r="G140"/>
  <c r="F140"/>
  <c r="D140"/>
  <c r="C140"/>
  <c r="B140"/>
  <c r="G139"/>
  <c r="F139"/>
  <c r="D139"/>
  <c r="C139"/>
  <c r="B139"/>
  <c r="B138"/>
  <c r="G137"/>
  <c r="F137"/>
  <c r="D137"/>
  <c r="B137"/>
  <c r="G136"/>
  <c r="F136"/>
  <c r="D136"/>
  <c r="B136"/>
  <c r="G135"/>
  <c r="F135"/>
  <c r="E135"/>
  <c r="D135"/>
  <c r="C135"/>
  <c r="B135"/>
  <c r="H135" s="1"/>
  <c r="G134"/>
  <c r="F134"/>
  <c r="D134"/>
  <c r="C134"/>
  <c r="B134"/>
  <c r="B133"/>
  <c r="G132"/>
  <c r="F132"/>
  <c r="D132"/>
  <c r="C132"/>
  <c r="B132"/>
  <c r="G131"/>
  <c r="F131"/>
  <c r="D131"/>
  <c r="C131"/>
  <c r="B131"/>
  <c r="G130"/>
  <c r="F130"/>
  <c r="D130"/>
  <c r="C130"/>
  <c r="B130"/>
  <c r="G129"/>
  <c r="F129"/>
  <c r="D129"/>
  <c r="C129"/>
  <c r="B129"/>
  <c r="G128"/>
  <c r="F128"/>
  <c r="D128"/>
  <c r="C128"/>
  <c r="B128"/>
  <c r="G127"/>
  <c r="F127"/>
  <c r="D127"/>
  <c r="C127"/>
  <c r="B127"/>
  <c r="G126"/>
  <c r="F126"/>
  <c r="C126"/>
  <c r="B126"/>
  <c r="B125"/>
  <c r="G124"/>
  <c r="F124"/>
  <c r="D124"/>
  <c r="C124"/>
  <c r="B124"/>
  <c r="G123"/>
  <c r="F123"/>
  <c r="E123"/>
  <c r="D123"/>
  <c r="C123"/>
  <c r="B123"/>
  <c r="H123" s="1"/>
  <c r="I123" s="1"/>
  <c r="J123" s="1"/>
  <c r="G122"/>
  <c r="F122"/>
  <c r="D122"/>
  <c r="C122"/>
  <c r="B122"/>
  <c r="G121"/>
  <c r="F121"/>
  <c r="D121"/>
  <c r="C121"/>
  <c r="B121"/>
  <c r="G120"/>
  <c r="F120"/>
  <c r="D120"/>
  <c r="C120"/>
  <c r="B120"/>
  <c r="G119"/>
  <c r="F119"/>
  <c r="D119"/>
  <c r="C119"/>
  <c r="B119"/>
  <c r="G118"/>
  <c r="F118"/>
  <c r="D118"/>
  <c r="C118"/>
  <c r="B118"/>
  <c r="H118" s="1"/>
  <c r="I118" s="1"/>
  <c r="G117"/>
  <c r="F117"/>
  <c r="D117"/>
  <c r="C117"/>
  <c r="B117"/>
  <c r="G116"/>
  <c r="F116"/>
  <c r="D116"/>
  <c r="C116"/>
  <c r="B116"/>
  <c r="G115"/>
  <c r="F115"/>
  <c r="D115"/>
  <c r="C115"/>
  <c r="B115"/>
  <c r="G114"/>
  <c r="F114"/>
  <c r="D114"/>
  <c r="C114"/>
  <c r="B114"/>
  <c r="G113"/>
  <c r="F113"/>
  <c r="D113"/>
  <c r="B113"/>
  <c r="H113" s="1"/>
  <c r="I113" s="1"/>
  <c r="J113" s="1"/>
  <c r="G112"/>
  <c r="F112"/>
  <c r="D112"/>
  <c r="C112"/>
  <c r="B112"/>
  <c r="G111"/>
  <c r="F111"/>
  <c r="E111"/>
  <c r="D111"/>
  <c r="B111"/>
  <c r="B110"/>
  <c r="G109"/>
  <c r="F109"/>
  <c r="D109"/>
  <c r="C109"/>
  <c r="B109"/>
  <c r="G108"/>
  <c r="F108"/>
  <c r="D108"/>
  <c r="C108"/>
  <c r="B108"/>
  <c r="G107"/>
  <c r="F107"/>
  <c r="D107"/>
  <c r="C107"/>
  <c r="B107"/>
  <c r="C106"/>
  <c r="B106"/>
  <c r="G105"/>
  <c r="F105"/>
  <c r="D105"/>
  <c r="C105"/>
  <c r="B105"/>
  <c r="G104"/>
  <c r="F104"/>
  <c r="D104"/>
  <c r="C104"/>
  <c r="B104"/>
  <c r="G103"/>
  <c r="F103"/>
  <c r="D103"/>
  <c r="C103"/>
  <c r="B103"/>
  <c r="G102"/>
  <c r="F102"/>
  <c r="D102"/>
  <c r="C102"/>
  <c r="B102"/>
  <c r="G101"/>
  <c r="F101"/>
  <c r="D101"/>
  <c r="C101"/>
  <c r="B101"/>
  <c r="G100"/>
  <c r="F100"/>
  <c r="D100"/>
  <c r="C100"/>
  <c r="B100"/>
  <c r="G99"/>
  <c r="F99"/>
  <c r="D99"/>
  <c r="C99"/>
  <c r="B99"/>
  <c r="G98"/>
  <c r="F98"/>
  <c r="D98"/>
  <c r="C98"/>
  <c r="B98"/>
  <c r="E98" s="1"/>
  <c r="G97"/>
  <c r="F97"/>
  <c r="D97"/>
  <c r="C97"/>
  <c r="B97"/>
  <c r="C96"/>
  <c r="B96"/>
  <c r="G95"/>
  <c r="F95"/>
  <c r="D95"/>
  <c r="C95"/>
  <c r="B95"/>
  <c r="G94"/>
  <c r="F94"/>
  <c r="D94"/>
  <c r="C94"/>
  <c r="B94"/>
  <c r="C93"/>
  <c r="B93"/>
  <c r="G92"/>
  <c r="F92"/>
  <c r="C92"/>
  <c r="B92"/>
  <c r="A92"/>
  <c r="H89"/>
  <c r="G87"/>
  <c r="F87"/>
  <c r="D87"/>
  <c r="C87"/>
  <c r="B87"/>
  <c r="G86"/>
  <c r="F86"/>
  <c r="D86"/>
  <c r="C86"/>
  <c r="B86"/>
  <c r="G85"/>
  <c r="F85"/>
  <c r="D85"/>
  <c r="C85"/>
  <c r="B85"/>
  <c r="G84"/>
  <c r="F84"/>
  <c r="C84"/>
  <c r="B84"/>
  <c r="B83"/>
  <c r="G82"/>
  <c r="F82"/>
  <c r="D82"/>
  <c r="B82"/>
  <c r="G81"/>
  <c r="F81"/>
  <c r="D81"/>
  <c r="B81"/>
  <c r="E81" s="1"/>
  <c r="G80"/>
  <c r="F80"/>
  <c r="D80"/>
  <c r="C80"/>
  <c r="B80"/>
  <c r="G79"/>
  <c r="F79"/>
  <c r="D79"/>
  <c r="C79"/>
  <c r="B79"/>
  <c r="B78"/>
  <c r="G77"/>
  <c r="F77"/>
  <c r="C77"/>
  <c r="B77"/>
  <c r="G76"/>
  <c r="F76"/>
  <c r="C76"/>
  <c r="B76"/>
  <c r="G75"/>
  <c r="F75"/>
  <c r="D75"/>
  <c r="C75"/>
  <c r="B75"/>
  <c r="G74"/>
  <c r="F74"/>
  <c r="D74"/>
  <c r="C74"/>
  <c r="B74"/>
  <c r="G73"/>
  <c r="F73"/>
  <c r="D73"/>
  <c r="C73"/>
  <c r="B73"/>
  <c r="G72"/>
  <c r="F72"/>
  <c r="D72"/>
  <c r="C72"/>
  <c r="B72"/>
  <c r="G71"/>
  <c r="F71"/>
  <c r="D71"/>
  <c r="C71"/>
  <c r="B71"/>
  <c r="B70"/>
  <c r="G69"/>
  <c r="F69"/>
  <c r="D69"/>
  <c r="C69"/>
  <c r="B69"/>
  <c r="G68"/>
  <c r="F68"/>
  <c r="D68"/>
  <c r="C68"/>
  <c r="B68"/>
  <c r="G67"/>
  <c r="F67"/>
  <c r="D67"/>
  <c r="C67"/>
  <c r="B67"/>
  <c r="G66"/>
  <c r="F66"/>
  <c r="D66"/>
  <c r="C66"/>
  <c r="B66"/>
  <c r="G65"/>
  <c r="F65"/>
  <c r="D65"/>
  <c r="C65"/>
  <c r="H65" s="1"/>
  <c r="O65" s="1"/>
  <c r="B65"/>
  <c r="G64"/>
  <c r="F64"/>
  <c r="D64"/>
  <c r="C64"/>
  <c r="B64"/>
  <c r="G63"/>
  <c r="F63"/>
  <c r="D63"/>
  <c r="C63"/>
  <c r="B63"/>
  <c r="G62"/>
  <c r="F62"/>
  <c r="D62"/>
  <c r="C62"/>
  <c r="B62"/>
  <c r="E62" s="1"/>
  <c r="G61"/>
  <c r="F61"/>
  <c r="D61"/>
  <c r="C61"/>
  <c r="B61"/>
  <c r="G60"/>
  <c r="F60"/>
  <c r="D60"/>
  <c r="C60"/>
  <c r="B60"/>
  <c r="G59"/>
  <c r="F59"/>
  <c r="D59"/>
  <c r="C59"/>
  <c r="B59"/>
  <c r="G58"/>
  <c r="F58"/>
  <c r="D58"/>
  <c r="B58"/>
  <c r="G57"/>
  <c r="F57"/>
  <c r="D57"/>
  <c r="C57"/>
  <c r="B57"/>
  <c r="E57" s="1"/>
  <c r="G56"/>
  <c r="F56"/>
  <c r="D56"/>
  <c r="B56"/>
  <c r="B55"/>
  <c r="G54"/>
  <c r="F54"/>
  <c r="D54"/>
  <c r="C54"/>
  <c r="B54"/>
  <c r="G53"/>
  <c r="F53"/>
  <c r="D53"/>
  <c r="C53"/>
  <c r="B53"/>
  <c r="G52"/>
  <c r="F52"/>
  <c r="D52"/>
  <c r="C52"/>
  <c r="B52"/>
  <c r="E52" s="1"/>
  <c r="B51"/>
  <c r="G50"/>
  <c r="F50"/>
  <c r="D50"/>
  <c r="C50"/>
  <c r="B50"/>
  <c r="G49"/>
  <c r="F49"/>
  <c r="D49"/>
  <c r="C49"/>
  <c r="B49"/>
  <c r="G48"/>
  <c r="F48"/>
  <c r="D48"/>
  <c r="C48"/>
  <c r="B48"/>
  <c r="G47"/>
  <c r="F47"/>
  <c r="D47"/>
  <c r="C47"/>
  <c r="B47"/>
  <c r="C46"/>
  <c r="B46"/>
  <c r="G45"/>
  <c r="F45"/>
  <c r="D45"/>
  <c r="C45"/>
  <c r="B45"/>
  <c r="G44"/>
  <c r="F44"/>
  <c r="D44"/>
  <c r="C44"/>
  <c r="B44"/>
  <c r="G43"/>
  <c r="F43"/>
  <c r="D43"/>
  <c r="C43"/>
  <c r="B43"/>
  <c r="G42"/>
  <c r="F42"/>
  <c r="D42"/>
  <c r="C42"/>
  <c r="B42"/>
  <c r="B41"/>
  <c r="G40"/>
  <c r="F40"/>
  <c r="D40"/>
  <c r="C40"/>
  <c r="B40"/>
  <c r="G39"/>
  <c r="F39"/>
  <c r="D39"/>
  <c r="C39"/>
  <c r="B39"/>
  <c r="B38"/>
  <c r="H38" s="1"/>
  <c r="G37"/>
  <c r="F37"/>
  <c r="C37"/>
  <c r="B37"/>
  <c r="A37"/>
  <c r="H27"/>
  <c r="E27"/>
  <c r="G22"/>
  <c r="F22"/>
  <c r="D22"/>
  <c r="A22"/>
  <c r="G21"/>
  <c r="F21"/>
  <c r="D21"/>
  <c r="C21"/>
  <c r="B21"/>
  <c r="A21"/>
  <c r="F20"/>
  <c r="C20"/>
  <c r="F19"/>
  <c r="D19"/>
  <c r="C19"/>
  <c r="B19"/>
  <c r="D18"/>
  <c r="B18"/>
  <c r="F17"/>
  <c r="D17"/>
  <c r="C17"/>
  <c r="D16"/>
  <c r="B16"/>
  <c r="A16"/>
  <c r="F15"/>
  <c r="C15"/>
  <c r="F14"/>
  <c r="D14"/>
  <c r="A14"/>
  <c r="B13"/>
  <c r="H13" s="1"/>
  <c r="H12"/>
  <c r="E12"/>
  <c r="G8"/>
  <c r="F8"/>
  <c r="C8"/>
  <c r="B8"/>
  <c r="A8"/>
  <c r="G7"/>
  <c r="F7"/>
  <c r="C7"/>
  <c r="B7"/>
  <c r="A7"/>
  <c r="B6"/>
  <c r="H6" s="1"/>
  <c r="E5"/>
  <c r="E4"/>
  <c r="E3"/>
  <c r="N2"/>
  <c r="A2"/>
  <c r="M1407" i="7"/>
  <c r="M1428" s="1"/>
  <c r="T1317"/>
  <c r="M1317"/>
  <c r="I1313"/>
  <c r="I1314"/>
  <c r="I1315"/>
  <c r="I1316"/>
  <c r="I1317"/>
  <c r="U1317" s="1"/>
  <c r="M1115"/>
  <c r="M1119"/>
  <c r="I1114"/>
  <c r="I1116"/>
  <c r="I1117"/>
  <c r="I1118"/>
  <c r="I930"/>
  <c r="M448"/>
  <c r="I340"/>
  <c r="H21" i="27" l="1"/>
  <c r="H40"/>
  <c r="H71"/>
  <c r="O71" s="1"/>
  <c r="E72"/>
  <c r="E76"/>
  <c r="H94"/>
  <c r="K94" s="1"/>
  <c r="L94" s="1"/>
  <c r="E103"/>
  <c r="E179"/>
  <c r="H211"/>
  <c r="O211" s="1"/>
  <c r="E212"/>
  <c r="H323"/>
  <c r="E436"/>
  <c r="E443"/>
  <c r="H454"/>
  <c r="E458"/>
  <c r="E465"/>
  <c r="E8"/>
  <c r="E13"/>
  <c r="H98"/>
  <c r="E130"/>
  <c r="H155"/>
  <c r="I155" s="1"/>
  <c r="H168"/>
  <c r="I168" s="1"/>
  <c r="J168" s="1"/>
  <c r="H169"/>
  <c r="I169" s="1"/>
  <c r="H173"/>
  <c r="I173" s="1"/>
  <c r="E174"/>
  <c r="H208"/>
  <c r="E230"/>
  <c r="H342"/>
  <c r="E345"/>
  <c r="H346"/>
  <c r="E350"/>
  <c r="H354"/>
  <c r="I354" s="1"/>
  <c r="H394"/>
  <c r="H542"/>
  <c r="I542" s="1"/>
  <c r="E546"/>
  <c r="E553"/>
  <c r="H560"/>
  <c r="E567"/>
  <c r="E586"/>
  <c r="E6"/>
  <c r="E53"/>
  <c r="E109"/>
  <c r="E182"/>
  <c r="H183"/>
  <c r="H186"/>
  <c r="I186" s="1"/>
  <c r="H217"/>
  <c r="I217" s="1"/>
  <c r="H278"/>
  <c r="H285"/>
  <c r="H461"/>
  <c r="I461" s="1"/>
  <c r="H462"/>
  <c r="K462" s="1"/>
  <c r="H468"/>
  <c r="K468" s="1"/>
  <c r="L468" s="1"/>
  <c r="H484"/>
  <c r="K484" s="1"/>
  <c r="E566"/>
  <c r="I323"/>
  <c r="K323"/>
  <c r="K261"/>
  <c r="L261" s="1"/>
  <c r="I261"/>
  <c r="E163"/>
  <c r="H163"/>
  <c r="E50"/>
  <c r="H142"/>
  <c r="I142" s="1"/>
  <c r="H160"/>
  <c r="I160" s="1"/>
  <c r="J160" s="1"/>
  <c r="H227"/>
  <c r="E608"/>
  <c r="H356"/>
  <c r="I356" s="1"/>
  <c r="H218"/>
  <c r="K218" s="1"/>
  <c r="H317"/>
  <c r="H104"/>
  <c r="O104" s="1"/>
  <c r="E267"/>
  <c r="H272"/>
  <c r="I272" s="1"/>
  <c r="H273"/>
  <c r="E299"/>
  <c r="H304"/>
  <c r="H319"/>
  <c r="O319" s="1"/>
  <c r="H335"/>
  <c r="H347"/>
  <c r="K347" s="1"/>
  <c r="L347" s="1"/>
  <c r="H350"/>
  <c r="I468"/>
  <c r="M468" s="1"/>
  <c r="E20"/>
  <c r="L484"/>
  <c r="H485"/>
  <c r="H489"/>
  <c r="O489" s="1"/>
  <c r="H498"/>
  <c r="H502"/>
  <c r="O502" s="1"/>
  <c r="E510"/>
  <c r="E513"/>
  <c r="H530"/>
  <c r="K530" s="1"/>
  <c r="H532"/>
  <c r="H539"/>
  <c r="I539" s="1"/>
  <c r="H549"/>
  <c r="E575"/>
  <c r="H578"/>
  <c r="H608"/>
  <c r="H44"/>
  <c r="E44"/>
  <c r="H53"/>
  <c r="K53" s="1"/>
  <c r="L53" s="1"/>
  <c r="H67"/>
  <c r="I67" s="1"/>
  <c r="E141"/>
  <c r="H222"/>
  <c r="K222" s="1"/>
  <c r="L222" s="1"/>
  <c r="H230"/>
  <c r="K230" s="1"/>
  <c r="L230" s="1"/>
  <c r="E361"/>
  <c r="H361"/>
  <c r="O361" s="1"/>
  <c r="H212"/>
  <c r="H8"/>
  <c r="E61"/>
  <c r="E68"/>
  <c r="E69"/>
  <c r="H73"/>
  <c r="K73" s="1"/>
  <c r="L73" s="1"/>
  <c r="H79"/>
  <c r="I79" s="1"/>
  <c r="H100"/>
  <c r="E166"/>
  <c r="H166"/>
  <c r="K166" s="1"/>
  <c r="L166" s="1"/>
  <c r="H175"/>
  <c r="I175" s="1"/>
  <c r="E176"/>
  <c r="H187"/>
  <c r="I187" s="1"/>
  <c r="H189"/>
  <c r="H196"/>
  <c r="I196" s="1"/>
  <c r="H234"/>
  <c r="H240"/>
  <c r="H241"/>
  <c r="H54"/>
  <c r="E58"/>
  <c r="E80"/>
  <c r="E85"/>
  <c r="E102"/>
  <c r="H108"/>
  <c r="E115"/>
  <c r="H126"/>
  <c r="O126" s="1"/>
  <c r="H131"/>
  <c r="I131" s="1"/>
  <c r="E154"/>
  <c r="H157"/>
  <c r="I157" s="1"/>
  <c r="E158"/>
  <c r="H171"/>
  <c r="I171" s="1"/>
  <c r="E172"/>
  <c r="H181"/>
  <c r="H185"/>
  <c r="I185" s="1"/>
  <c r="J185" s="1"/>
  <c r="H191"/>
  <c r="I191" s="1"/>
  <c r="E210"/>
  <c r="E217"/>
  <c r="E221"/>
  <c r="E223"/>
  <c r="E231"/>
  <c r="H238"/>
  <c r="O238" s="1"/>
  <c r="E261"/>
  <c r="E288"/>
  <c r="H300"/>
  <c r="K300" s="1"/>
  <c r="H301"/>
  <c r="K301" s="1"/>
  <c r="L301" s="1"/>
  <c r="H305"/>
  <c r="K305" s="1"/>
  <c r="E327"/>
  <c r="E337"/>
  <c r="E347"/>
  <c r="E351"/>
  <c r="H379"/>
  <c r="K379" s="1"/>
  <c r="H383"/>
  <c r="H397"/>
  <c r="E402"/>
  <c r="E421"/>
  <c r="H421"/>
  <c r="H425"/>
  <c r="O425" s="1"/>
  <c r="H434"/>
  <c r="I434" s="1"/>
  <c r="H448"/>
  <c r="H449"/>
  <c r="H453"/>
  <c r="H456"/>
  <c r="H474"/>
  <c r="H499"/>
  <c r="H506"/>
  <c r="E515"/>
  <c r="H521"/>
  <c r="I521" s="1"/>
  <c r="E532"/>
  <c r="H533"/>
  <c r="H544"/>
  <c r="H562"/>
  <c r="H603"/>
  <c r="I603" s="1"/>
  <c r="E604"/>
  <c r="H605"/>
  <c r="E45"/>
  <c r="E48"/>
  <c r="E84"/>
  <c r="H86"/>
  <c r="O86" s="1"/>
  <c r="H111"/>
  <c r="E119"/>
  <c r="E16"/>
  <c r="E39"/>
  <c r="H42"/>
  <c r="O42" s="1"/>
  <c r="H43"/>
  <c r="H60"/>
  <c r="E64"/>
  <c r="H75"/>
  <c r="H81"/>
  <c r="H87"/>
  <c r="I87" s="1"/>
  <c r="H114"/>
  <c r="I114" s="1"/>
  <c r="J114" s="1"/>
  <c r="H117"/>
  <c r="E140"/>
  <c r="H150"/>
  <c r="I150" s="1"/>
  <c r="H179"/>
  <c r="O179" s="1"/>
  <c r="H197"/>
  <c r="I197" s="1"/>
  <c r="E208"/>
  <c r="H213"/>
  <c r="K213" s="1"/>
  <c r="L213" s="1"/>
  <c r="H225"/>
  <c r="H229"/>
  <c r="H231"/>
  <c r="E240"/>
  <c r="E246"/>
  <c r="H269"/>
  <c r="E271"/>
  <c r="H275"/>
  <c r="H280"/>
  <c r="E290"/>
  <c r="H316"/>
  <c r="H322"/>
  <c r="H324"/>
  <c r="H333"/>
  <c r="O333" s="1"/>
  <c r="E338"/>
  <c r="H345"/>
  <c r="H351"/>
  <c r="K351" s="1"/>
  <c r="H376"/>
  <c r="I376" s="1"/>
  <c r="J376" s="1"/>
  <c r="H401"/>
  <c r="H409"/>
  <c r="E410"/>
  <c r="E426"/>
  <c r="H429"/>
  <c r="H432"/>
  <c r="O432" s="1"/>
  <c r="H445"/>
  <c r="H446"/>
  <c r="O446" s="1"/>
  <c r="E454"/>
  <c r="E503"/>
  <c r="E504"/>
  <c r="E516"/>
  <c r="E537"/>
  <c r="E551"/>
  <c r="E564"/>
  <c r="E572"/>
  <c r="H580"/>
  <c r="K580" s="1"/>
  <c r="L580" s="1"/>
  <c r="E584"/>
  <c r="H594"/>
  <c r="K594" s="1"/>
  <c r="L594" s="1"/>
  <c r="E600"/>
  <c r="J187"/>
  <c r="O227"/>
  <c r="I227"/>
  <c r="J227" s="1"/>
  <c r="O498"/>
  <c r="K498"/>
  <c r="L498" s="1"/>
  <c r="O75"/>
  <c r="K75"/>
  <c r="L75" s="1"/>
  <c r="I75"/>
  <c r="K81"/>
  <c r="L81" s="1"/>
  <c r="O81"/>
  <c r="K104"/>
  <c r="L104" s="1"/>
  <c r="O230"/>
  <c r="K269"/>
  <c r="L269" s="1"/>
  <c r="I269"/>
  <c r="K429"/>
  <c r="I429"/>
  <c r="K40"/>
  <c r="O40"/>
  <c r="K285"/>
  <c r="O285"/>
  <c r="I285"/>
  <c r="K240"/>
  <c r="O240"/>
  <c r="I240"/>
  <c r="E17"/>
  <c r="H17"/>
  <c r="O98"/>
  <c r="I98"/>
  <c r="J98" s="1"/>
  <c r="K100"/>
  <c r="L100" s="1"/>
  <c r="O100"/>
  <c r="K111"/>
  <c r="L111" s="1"/>
  <c r="O111"/>
  <c r="I111"/>
  <c r="I383"/>
  <c r="O383"/>
  <c r="I229"/>
  <c r="K229"/>
  <c r="J461"/>
  <c r="E295"/>
  <c r="H330"/>
  <c r="I330" s="1"/>
  <c r="E360"/>
  <c r="H443"/>
  <c r="O462"/>
  <c r="E511"/>
  <c r="H513"/>
  <c r="K513" s="1"/>
  <c r="L513" s="1"/>
  <c r="H515"/>
  <c r="H537"/>
  <c r="I537" s="1"/>
  <c r="J537" s="1"/>
  <c r="E542"/>
  <c r="E562"/>
  <c r="H575"/>
  <c r="H587"/>
  <c r="E589"/>
  <c r="H600"/>
  <c r="E603"/>
  <c r="E66"/>
  <c r="E177"/>
  <c r="H47"/>
  <c r="K47" s="1"/>
  <c r="L47" s="1"/>
  <c r="E100"/>
  <c r="E126"/>
  <c r="E136"/>
  <c r="E173"/>
  <c r="K233"/>
  <c r="L233" s="1"/>
  <c r="E272"/>
  <c r="H290"/>
  <c r="O290" s="1"/>
  <c r="H327"/>
  <c r="I327" s="1"/>
  <c r="H341"/>
  <c r="E394"/>
  <c r="E396"/>
  <c r="E409"/>
  <c r="E461"/>
  <c r="I222"/>
  <c r="M222" s="1"/>
  <c r="H16"/>
  <c r="E21"/>
  <c r="E71"/>
  <c r="E277"/>
  <c r="E37"/>
  <c r="H50"/>
  <c r="H68"/>
  <c r="E73"/>
  <c r="E108"/>
  <c r="H115"/>
  <c r="O115" s="1"/>
  <c r="E121"/>
  <c r="H129"/>
  <c r="I129" s="1"/>
  <c r="E131"/>
  <c r="E150"/>
  <c r="H207"/>
  <c r="H209"/>
  <c r="E211"/>
  <c r="E215"/>
  <c r="O222"/>
  <c r="E225"/>
  <c r="H236"/>
  <c r="K236" s="1"/>
  <c r="L236" s="1"/>
  <c r="E275"/>
  <c r="E318"/>
  <c r="E320"/>
  <c r="E330"/>
  <c r="H366"/>
  <c r="H385"/>
  <c r="H402"/>
  <c r="E414"/>
  <c r="E425"/>
  <c r="H444"/>
  <c r="I444" s="1"/>
  <c r="E446"/>
  <c r="H450"/>
  <c r="E464"/>
  <c r="E485"/>
  <c r="E488"/>
  <c r="E499"/>
  <c r="E530"/>
  <c r="E549"/>
  <c r="E560"/>
  <c r="H565"/>
  <c r="E580"/>
  <c r="H583"/>
  <c r="E585"/>
  <c r="H595"/>
  <c r="H598"/>
  <c r="K598" s="1"/>
  <c r="L598" s="1"/>
  <c r="E381"/>
  <c r="H392"/>
  <c r="H458"/>
  <c r="E480"/>
  <c r="E539"/>
  <c r="E544"/>
  <c r="H572"/>
  <c r="H37"/>
  <c r="E60"/>
  <c r="J87"/>
  <c r="E117"/>
  <c r="J157"/>
  <c r="J171"/>
  <c r="E185"/>
  <c r="E187"/>
  <c r="E197"/>
  <c r="E229"/>
  <c r="E232"/>
  <c r="E244"/>
  <c r="E249"/>
  <c r="E264"/>
  <c r="H288"/>
  <c r="O288" s="1"/>
  <c r="E293"/>
  <c r="E324"/>
  <c r="H337"/>
  <c r="E378"/>
  <c r="H381"/>
  <c r="K381" s="1"/>
  <c r="E432"/>
  <c r="H556"/>
  <c r="H590"/>
  <c r="H593"/>
  <c r="H607"/>
  <c r="H56"/>
  <c r="H62"/>
  <c r="O62" s="1"/>
  <c r="E65"/>
  <c r="E75"/>
  <c r="E82"/>
  <c r="E94"/>
  <c r="E104"/>
  <c r="E113"/>
  <c r="H119"/>
  <c r="E122"/>
  <c r="H124"/>
  <c r="I124" s="1"/>
  <c r="E127"/>
  <c r="H136"/>
  <c r="I136" s="1"/>
  <c r="H156"/>
  <c r="I156" s="1"/>
  <c r="J156" s="1"/>
  <c r="K157"/>
  <c r="M157" s="1"/>
  <c r="H170"/>
  <c r="I170" s="1"/>
  <c r="J170" s="1"/>
  <c r="K171"/>
  <c r="J175"/>
  <c r="H258"/>
  <c r="K258" s="1"/>
  <c r="L258" s="1"/>
  <c r="H276"/>
  <c r="E280"/>
  <c r="E285"/>
  <c r="E301"/>
  <c r="E304"/>
  <c r="E331"/>
  <c r="O353"/>
  <c r="H374"/>
  <c r="E386"/>
  <c r="I414"/>
  <c r="H439"/>
  <c r="H476"/>
  <c r="H481"/>
  <c r="O481" s="1"/>
  <c r="E489"/>
  <c r="H500"/>
  <c r="O500" s="1"/>
  <c r="H512"/>
  <c r="E522"/>
  <c r="I530"/>
  <c r="E535"/>
  <c r="H546"/>
  <c r="H568"/>
  <c r="I568" s="1"/>
  <c r="H574"/>
  <c r="E159"/>
  <c r="E189"/>
  <c r="O233"/>
  <c r="H259"/>
  <c r="H284"/>
  <c r="H45"/>
  <c r="K45" s="1"/>
  <c r="L45" s="1"/>
  <c r="H63"/>
  <c r="H102"/>
  <c r="K102" s="1"/>
  <c r="L102" s="1"/>
  <c r="O218"/>
  <c r="H262"/>
  <c r="H283"/>
  <c r="K283" s="1"/>
  <c r="L283" s="1"/>
  <c r="H287"/>
  <c r="K287" s="1"/>
  <c r="L287" s="1"/>
  <c r="E323"/>
  <c r="E328"/>
  <c r="H336"/>
  <c r="E342"/>
  <c r="L462"/>
  <c r="E496"/>
  <c r="H516"/>
  <c r="O530"/>
  <c r="H564"/>
  <c r="I564" s="1"/>
  <c r="J564" s="1"/>
  <c r="H566"/>
  <c r="H571"/>
  <c r="H586"/>
  <c r="H588"/>
  <c r="H601"/>
  <c r="H64"/>
  <c r="E155"/>
  <c r="E169"/>
  <c r="H215"/>
  <c r="H20"/>
  <c r="E40"/>
  <c r="O171"/>
  <c r="H214"/>
  <c r="I214" s="1"/>
  <c r="H15"/>
  <c r="H58"/>
  <c r="O58" s="1"/>
  <c r="H130"/>
  <c r="I130" s="1"/>
  <c r="J130" s="1"/>
  <c r="H132"/>
  <c r="I132" s="1"/>
  <c r="E142"/>
  <c r="E160"/>
  <c r="E181"/>
  <c r="H190"/>
  <c r="I190" s="1"/>
  <c r="H219"/>
  <c r="H223"/>
  <c r="K223" s="1"/>
  <c r="L223" s="1"/>
  <c r="H226"/>
  <c r="I226" s="1"/>
  <c r="E234"/>
  <c r="E326"/>
  <c r="E453"/>
  <c r="H464"/>
  <c r="K464" s="1"/>
  <c r="H479"/>
  <c r="K479" s="1"/>
  <c r="L479" s="1"/>
  <c r="E507"/>
  <c r="H510"/>
  <c r="H538"/>
  <c r="H548"/>
  <c r="H559"/>
  <c r="K559" s="1"/>
  <c r="L559" s="1"/>
  <c r="E578"/>
  <c r="E590"/>
  <c r="M233"/>
  <c r="H251"/>
  <c r="H18"/>
  <c r="H141"/>
  <c r="I141" s="1"/>
  <c r="J141" s="1"/>
  <c r="E268"/>
  <c r="H7"/>
  <c r="H39"/>
  <c r="K39" s="1"/>
  <c r="L39" s="1"/>
  <c r="H48"/>
  <c r="O48" s="1"/>
  <c r="H59"/>
  <c r="I59" s="1"/>
  <c r="E99"/>
  <c r="H152"/>
  <c r="I152" s="1"/>
  <c r="J152" s="1"/>
  <c r="E156"/>
  <c r="E168"/>
  <c r="H184"/>
  <c r="I184" s="1"/>
  <c r="E186"/>
  <c r="E196"/>
  <c r="H205"/>
  <c r="O205" s="1"/>
  <c r="E258"/>
  <c r="E269"/>
  <c r="E276"/>
  <c r="H281"/>
  <c r="I281" s="1"/>
  <c r="H299"/>
  <c r="I299" s="1"/>
  <c r="E305"/>
  <c r="E429"/>
  <c r="E481"/>
  <c r="H495"/>
  <c r="H507"/>
  <c r="E512"/>
  <c r="H555"/>
  <c r="I555" s="1"/>
  <c r="J555" s="1"/>
  <c r="H557"/>
  <c r="I557" s="1"/>
  <c r="E568"/>
  <c r="E571"/>
  <c r="E574"/>
  <c r="H582"/>
  <c r="H584"/>
  <c r="H597"/>
  <c r="E599"/>
  <c r="H389"/>
  <c r="H410"/>
  <c r="E413"/>
  <c r="E431"/>
  <c r="E437"/>
  <c r="H451"/>
  <c r="E456"/>
  <c r="E462"/>
  <c r="E474"/>
  <c r="H490"/>
  <c r="H553"/>
  <c r="E594"/>
  <c r="H49"/>
  <c r="K49" s="1"/>
  <c r="L49" s="1"/>
  <c r="H128"/>
  <c r="O128" s="1"/>
  <c r="H19"/>
  <c r="E42"/>
  <c r="E47"/>
  <c r="H52"/>
  <c r="H57"/>
  <c r="I57" s="1"/>
  <c r="J57" s="1"/>
  <c r="H61"/>
  <c r="I61" s="1"/>
  <c r="J61" s="1"/>
  <c r="H92"/>
  <c r="E191"/>
  <c r="I231"/>
  <c r="J231" s="1"/>
  <c r="E238"/>
  <c r="H265"/>
  <c r="O265" s="1"/>
  <c r="H298"/>
  <c r="K298" s="1"/>
  <c r="L298" s="1"/>
  <c r="E300"/>
  <c r="E303"/>
  <c r="H368"/>
  <c r="H398"/>
  <c r="K398" s="1"/>
  <c r="L398" s="1"/>
  <c r="H436"/>
  <c r="H503"/>
  <c r="E521"/>
  <c r="H523"/>
  <c r="H551"/>
  <c r="E10" i="28"/>
  <c r="E11" s="1"/>
  <c r="E17"/>
  <c r="E18"/>
  <c r="E19"/>
  <c r="E14"/>
  <c r="E16" s="1"/>
  <c r="O54" i="27"/>
  <c r="I54"/>
  <c r="K54"/>
  <c r="L54" s="1"/>
  <c r="J132"/>
  <c r="I43"/>
  <c r="O43"/>
  <c r="K43"/>
  <c r="L43" s="1"/>
  <c r="K64"/>
  <c r="O64"/>
  <c r="I64"/>
  <c r="M64" s="1"/>
  <c r="K60"/>
  <c r="L60" s="1"/>
  <c r="I60"/>
  <c r="O60"/>
  <c r="J197"/>
  <c r="K50"/>
  <c r="L50" s="1"/>
  <c r="I50"/>
  <c r="O50"/>
  <c r="K52"/>
  <c r="I52"/>
  <c r="M52" s="1"/>
  <c r="O52"/>
  <c r="O57"/>
  <c r="K61"/>
  <c r="L61" s="1"/>
  <c r="I63"/>
  <c r="K63"/>
  <c r="L63" s="1"/>
  <c r="O63"/>
  <c r="O68"/>
  <c r="K68"/>
  <c r="I68"/>
  <c r="I86"/>
  <c r="J142"/>
  <c r="K44"/>
  <c r="L44" s="1"/>
  <c r="I44"/>
  <c r="O44"/>
  <c r="O49"/>
  <c r="I56"/>
  <c r="M56" s="1"/>
  <c r="K56"/>
  <c r="L56" s="1"/>
  <c r="O56"/>
  <c r="L40"/>
  <c r="L52"/>
  <c r="I115"/>
  <c r="I209"/>
  <c r="K209"/>
  <c r="L209" s="1"/>
  <c r="O209"/>
  <c r="K181"/>
  <c r="L181" s="1"/>
  <c r="O181"/>
  <c r="I205"/>
  <c r="O214"/>
  <c r="O223"/>
  <c r="I65"/>
  <c r="I94"/>
  <c r="M94" s="1"/>
  <c r="H97"/>
  <c r="E97"/>
  <c r="H105"/>
  <c r="E105"/>
  <c r="K117"/>
  <c r="L117" s="1"/>
  <c r="O117"/>
  <c r="K118"/>
  <c r="M118" s="1"/>
  <c r="K126"/>
  <c r="L126" s="1"/>
  <c r="K128"/>
  <c r="O129"/>
  <c r="K131"/>
  <c r="M131" s="1"/>
  <c r="J136"/>
  <c r="H149"/>
  <c r="E149"/>
  <c r="J155"/>
  <c r="H162"/>
  <c r="E162"/>
  <c r="I166"/>
  <c r="K169"/>
  <c r="M169" s="1"/>
  <c r="J173"/>
  <c r="O183"/>
  <c r="K183"/>
  <c r="L183" s="1"/>
  <c r="K186"/>
  <c r="M186" s="1"/>
  <c r="J191"/>
  <c r="H204"/>
  <c r="E204"/>
  <c r="O219"/>
  <c r="K219"/>
  <c r="L219" s="1"/>
  <c r="K234"/>
  <c r="I234"/>
  <c r="O234"/>
  <c r="O251"/>
  <c r="K251"/>
  <c r="I251"/>
  <c r="J251" s="1"/>
  <c r="E15"/>
  <c r="E19"/>
  <c r="I53"/>
  <c r="M53" s="1"/>
  <c r="E56"/>
  <c r="H77"/>
  <c r="E77"/>
  <c r="J79"/>
  <c r="O119"/>
  <c r="K119"/>
  <c r="L119" s="1"/>
  <c r="K130"/>
  <c r="L130" s="1"/>
  <c r="N130" s="1"/>
  <c r="O131"/>
  <c r="H164"/>
  <c r="E164"/>
  <c r="O169"/>
  <c r="L171"/>
  <c r="N171" s="1"/>
  <c r="K185"/>
  <c r="L185" s="1"/>
  <c r="N185" s="1"/>
  <c r="O185"/>
  <c r="O186"/>
  <c r="J196"/>
  <c r="I207"/>
  <c r="J207" s="1"/>
  <c r="K207"/>
  <c r="L207" s="1"/>
  <c r="O207"/>
  <c r="K67"/>
  <c r="L67" s="1"/>
  <c r="E7"/>
  <c r="K58"/>
  <c r="L58" s="1"/>
  <c r="E59"/>
  <c r="K65"/>
  <c r="L65" s="1"/>
  <c r="K79"/>
  <c r="M79" s="1"/>
  <c r="K87"/>
  <c r="M87" s="1"/>
  <c r="K98"/>
  <c r="L98" s="1"/>
  <c r="N98" s="1"/>
  <c r="I108"/>
  <c r="O108"/>
  <c r="H112"/>
  <c r="E112"/>
  <c r="O118"/>
  <c r="I119"/>
  <c r="O132"/>
  <c r="K132"/>
  <c r="M132" s="1"/>
  <c r="I135"/>
  <c r="O135"/>
  <c r="K135"/>
  <c r="L135" s="1"/>
  <c r="K136"/>
  <c r="M136" s="1"/>
  <c r="H147"/>
  <c r="E147"/>
  <c r="O152"/>
  <c r="K152"/>
  <c r="M152" s="1"/>
  <c r="K155"/>
  <c r="M155" s="1"/>
  <c r="H167"/>
  <c r="E167"/>
  <c r="K168"/>
  <c r="L168" s="1"/>
  <c r="N168" s="1"/>
  <c r="O168"/>
  <c r="O170"/>
  <c r="K170"/>
  <c r="M170" s="1"/>
  <c r="K173"/>
  <c r="M173" s="1"/>
  <c r="K175"/>
  <c r="M175" s="1"/>
  <c r="O187"/>
  <c r="K187"/>
  <c r="M187" s="1"/>
  <c r="K191"/>
  <c r="L191" s="1"/>
  <c r="H202"/>
  <c r="E202"/>
  <c r="E205"/>
  <c r="E214"/>
  <c r="O236"/>
  <c r="O262"/>
  <c r="K262"/>
  <c r="L262" s="1"/>
  <c r="I262"/>
  <c r="H116"/>
  <c r="E116"/>
  <c r="I58"/>
  <c r="I40"/>
  <c r="M40" s="1"/>
  <c r="L64"/>
  <c r="L68"/>
  <c r="I71"/>
  <c r="H101"/>
  <c r="E101"/>
  <c r="K42"/>
  <c r="L42" s="1"/>
  <c r="E43"/>
  <c r="K48"/>
  <c r="L48" s="1"/>
  <c r="E49"/>
  <c r="J53"/>
  <c r="E63"/>
  <c r="K71"/>
  <c r="L71" s="1"/>
  <c r="E18"/>
  <c r="E54"/>
  <c r="E67"/>
  <c r="O67"/>
  <c r="H74"/>
  <c r="E74"/>
  <c r="E79"/>
  <c r="H85"/>
  <c r="E86"/>
  <c r="E87"/>
  <c r="E92"/>
  <c r="O94"/>
  <c r="H107"/>
  <c r="E107"/>
  <c r="K108"/>
  <c r="L108" s="1"/>
  <c r="K113"/>
  <c r="L113" s="1"/>
  <c r="N113" s="1"/>
  <c r="O113"/>
  <c r="E118"/>
  <c r="H122"/>
  <c r="J124"/>
  <c r="E128"/>
  <c r="O136"/>
  <c r="K141"/>
  <c r="L141" s="1"/>
  <c r="H153"/>
  <c r="H154"/>
  <c r="O155"/>
  <c r="L157"/>
  <c r="N157" s="1"/>
  <c r="H159"/>
  <c r="M171"/>
  <c r="H172"/>
  <c r="O173"/>
  <c r="J174"/>
  <c r="H177"/>
  <c r="I179"/>
  <c r="K179"/>
  <c r="L179" s="1"/>
  <c r="E183"/>
  <c r="K189"/>
  <c r="L189" s="1"/>
  <c r="O189"/>
  <c r="O191"/>
  <c r="K196"/>
  <c r="M196" s="1"/>
  <c r="E219"/>
  <c r="I259"/>
  <c r="O259"/>
  <c r="K259"/>
  <c r="L259" s="1"/>
  <c r="J40"/>
  <c r="J63"/>
  <c r="N63" s="1"/>
  <c r="J64"/>
  <c r="H69"/>
  <c r="H76"/>
  <c r="O79"/>
  <c r="H84"/>
  <c r="O87"/>
  <c r="H95"/>
  <c r="E95"/>
  <c r="M98"/>
  <c r="H103"/>
  <c r="K124"/>
  <c r="L124" s="1"/>
  <c r="H134"/>
  <c r="E134"/>
  <c r="H137"/>
  <c r="E137"/>
  <c r="H139"/>
  <c r="H140"/>
  <c r="O141"/>
  <c r="O157"/>
  <c r="O174"/>
  <c r="K174"/>
  <c r="M174" s="1"/>
  <c r="O175"/>
  <c r="I189"/>
  <c r="H192"/>
  <c r="E192"/>
  <c r="H194"/>
  <c r="H195"/>
  <c r="O196"/>
  <c r="I225"/>
  <c r="J225" s="1"/>
  <c r="O225"/>
  <c r="K225"/>
  <c r="L225" s="1"/>
  <c r="O241"/>
  <c r="K241"/>
  <c r="L241" s="1"/>
  <c r="I241"/>
  <c r="J111"/>
  <c r="E114"/>
  <c r="H120"/>
  <c r="E120"/>
  <c r="H121"/>
  <c r="I126"/>
  <c r="H127"/>
  <c r="L128"/>
  <c r="J129"/>
  <c r="E132"/>
  <c r="O142"/>
  <c r="K142"/>
  <c r="M142" s="1"/>
  <c r="J150"/>
  <c r="E152"/>
  <c r="H158"/>
  <c r="E170"/>
  <c r="H176"/>
  <c r="I181"/>
  <c r="H182"/>
  <c r="J184"/>
  <c r="O197"/>
  <c r="K197"/>
  <c r="M197" s="1"/>
  <c r="K208"/>
  <c r="L208" s="1"/>
  <c r="O208"/>
  <c r="I208"/>
  <c r="I211"/>
  <c r="K211"/>
  <c r="L211" s="1"/>
  <c r="K212"/>
  <c r="L212" s="1"/>
  <c r="O212"/>
  <c r="I213"/>
  <c r="K226"/>
  <c r="K250"/>
  <c r="L250" s="1"/>
  <c r="O250"/>
  <c r="I250"/>
  <c r="I42"/>
  <c r="H72"/>
  <c r="H80"/>
  <c r="H99"/>
  <c r="H66"/>
  <c r="J67"/>
  <c r="I81"/>
  <c r="H82"/>
  <c r="J94"/>
  <c r="I100"/>
  <c r="M100" s="1"/>
  <c r="H109"/>
  <c r="I117"/>
  <c r="L118"/>
  <c r="J118"/>
  <c r="O123"/>
  <c r="K123"/>
  <c r="L123" s="1"/>
  <c r="N123" s="1"/>
  <c r="O124"/>
  <c r="I128"/>
  <c r="K129"/>
  <c r="L129" s="1"/>
  <c r="L131"/>
  <c r="J131"/>
  <c r="K150"/>
  <c r="L150" s="1"/>
  <c r="O150"/>
  <c r="O160"/>
  <c r="K160"/>
  <c r="M160" s="1"/>
  <c r="I163"/>
  <c r="O163"/>
  <c r="K163"/>
  <c r="L163" s="1"/>
  <c r="L169"/>
  <c r="J169"/>
  <c r="H178"/>
  <c r="E178"/>
  <c r="I183"/>
  <c r="L186"/>
  <c r="J186"/>
  <c r="K205"/>
  <c r="L205" s="1"/>
  <c r="I212"/>
  <c r="O213"/>
  <c r="K214"/>
  <c r="L214" s="1"/>
  <c r="K215"/>
  <c r="L215" s="1"/>
  <c r="K217"/>
  <c r="M217" s="1"/>
  <c r="O217"/>
  <c r="I218"/>
  <c r="I219"/>
  <c r="M229"/>
  <c r="E209"/>
  <c r="J217"/>
  <c r="H224"/>
  <c r="J229"/>
  <c r="E236"/>
  <c r="H239"/>
  <c r="L240"/>
  <c r="J240"/>
  <c r="H242"/>
  <c r="L251"/>
  <c r="K277"/>
  <c r="L277" s="1"/>
  <c r="O277"/>
  <c r="I277"/>
  <c r="E282"/>
  <c r="H282"/>
  <c r="L300"/>
  <c r="E237"/>
  <c r="E259"/>
  <c r="H263"/>
  <c r="O278"/>
  <c r="K278"/>
  <c r="L278" s="1"/>
  <c r="I278"/>
  <c r="E284"/>
  <c r="E266"/>
  <c r="H266"/>
  <c r="I280"/>
  <c r="K280"/>
  <c r="L280" s="1"/>
  <c r="O280"/>
  <c r="I284"/>
  <c r="J284" s="1"/>
  <c r="K284"/>
  <c r="L284" s="1"/>
  <c r="O284"/>
  <c r="E124"/>
  <c r="E129"/>
  <c r="E139"/>
  <c r="E153"/>
  <c r="E157"/>
  <c r="E171"/>
  <c r="E175"/>
  <c r="E184"/>
  <c r="E194"/>
  <c r="E207"/>
  <c r="H210"/>
  <c r="J212"/>
  <c r="L218"/>
  <c r="E224"/>
  <c r="E226"/>
  <c r="L229"/>
  <c r="L234"/>
  <c r="I238"/>
  <c r="E239"/>
  <c r="E242"/>
  <c r="H247"/>
  <c r="O258"/>
  <c r="I258"/>
  <c r="J259"/>
  <c r="K281"/>
  <c r="L281" s="1"/>
  <c r="E227"/>
  <c r="K227"/>
  <c r="L227" s="1"/>
  <c r="H244"/>
  <c r="E250"/>
  <c r="E251"/>
  <c r="E263"/>
  <c r="K272"/>
  <c r="M272" s="1"/>
  <c r="O272"/>
  <c r="O273"/>
  <c r="K273"/>
  <c r="L273" s="1"/>
  <c r="I273"/>
  <c r="E286"/>
  <c r="H286"/>
  <c r="H294"/>
  <c r="E294"/>
  <c r="L226"/>
  <c r="K238"/>
  <c r="L238" s="1"/>
  <c r="J241"/>
  <c r="K245"/>
  <c r="L245" s="1"/>
  <c r="I245"/>
  <c r="O229"/>
  <c r="I230"/>
  <c r="H232"/>
  <c r="H237"/>
  <c r="E241"/>
  <c r="H246"/>
  <c r="H249"/>
  <c r="J250"/>
  <c r="H252"/>
  <c r="J262"/>
  <c r="K265"/>
  <c r="I265"/>
  <c r="O275"/>
  <c r="I275"/>
  <c r="K275"/>
  <c r="L275" s="1"/>
  <c r="H279"/>
  <c r="E279"/>
  <c r="I341"/>
  <c r="O341"/>
  <c r="K341"/>
  <c r="E213"/>
  <c r="E218"/>
  <c r="H221"/>
  <c r="J222"/>
  <c r="N222" s="1"/>
  <c r="H228"/>
  <c r="J233"/>
  <c r="J277"/>
  <c r="E291"/>
  <c r="H291"/>
  <c r="H271"/>
  <c r="J272"/>
  <c r="L272"/>
  <c r="I317"/>
  <c r="J317" s="1"/>
  <c r="O317"/>
  <c r="K317"/>
  <c r="L317" s="1"/>
  <c r="K322"/>
  <c r="L322" s="1"/>
  <c r="O322"/>
  <c r="I322"/>
  <c r="O338"/>
  <c r="K338"/>
  <c r="L338" s="1"/>
  <c r="I338"/>
  <c r="E296"/>
  <c r="H296"/>
  <c r="K299"/>
  <c r="L299" s="1"/>
  <c r="H303"/>
  <c r="I304"/>
  <c r="J304" s="1"/>
  <c r="K304"/>
  <c r="L304" s="1"/>
  <c r="L305"/>
  <c r="H313"/>
  <c r="E313"/>
  <c r="E314"/>
  <c r="O324"/>
  <c r="K324"/>
  <c r="L324" s="1"/>
  <c r="I324"/>
  <c r="O327"/>
  <c r="O330"/>
  <c r="I335"/>
  <c r="K335"/>
  <c r="L335" s="1"/>
  <c r="O335"/>
  <c r="E339"/>
  <c r="H339"/>
  <c r="O316"/>
  <c r="K316"/>
  <c r="L316" s="1"/>
  <c r="I316"/>
  <c r="K336"/>
  <c r="L336" s="1"/>
  <c r="O336"/>
  <c r="I336"/>
  <c r="O345"/>
  <c r="K345"/>
  <c r="L345" s="1"/>
  <c r="I345"/>
  <c r="O283"/>
  <c r="I283"/>
  <c r="O287"/>
  <c r="I287"/>
  <c r="E292"/>
  <c r="H292"/>
  <c r="O298"/>
  <c r="I298"/>
  <c r="I305"/>
  <c r="M305" s="1"/>
  <c r="E322"/>
  <c r="H332"/>
  <c r="E332"/>
  <c r="I346"/>
  <c r="O346"/>
  <c r="K346"/>
  <c r="O261"/>
  <c r="H264"/>
  <c r="J265"/>
  <c r="L265"/>
  <c r="H267"/>
  <c r="O269"/>
  <c r="H293"/>
  <c r="I300"/>
  <c r="M300" s="1"/>
  <c r="O304"/>
  <c r="J305"/>
  <c r="H343"/>
  <c r="E262"/>
  <c r="E270"/>
  <c r="O276"/>
  <c r="J285"/>
  <c r="N285" s="1"/>
  <c r="L285"/>
  <c r="H295"/>
  <c r="O305"/>
  <c r="E316"/>
  <c r="L323"/>
  <c r="H334"/>
  <c r="E334"/>
  <c r="E336"/>
  <c r="O350"/>
  <c r="K350"/>
  <c r="L350" s="1"/>
  <c r="I350"/>
  <c r="J261"/>
  <c r="N261" s="1"/>
  <c r="E273"/>
  <c r="E283"/>
  <c r="E287"/>
  <c r="I290"/>
  <c r="M290" s="1"/>
  <c r="K290"/>
  <c r="L290" s="1"/>
  <c r="E298"/>
  <c r="O299"/>
  <c r="O300"/>
  <c r="E306"/>
  <c r="I321"/>
  <c r="K321"/>
  <c r="L321" s="1"/>
  <c r="O321"/>
  <c r="O342"/>
  <c r="K342"/>
  <c r="L342" s="1"/>
  <c r="I342"/>
  <c r="E346"/>
  <c r="L351"/>
  <c r="E355"/>
  <c r="H355"/>
  <c r="H268"/>
  <c r="J269"/>
  <c r="E278"/>
  <c r="E281"/>
  <c r="O301"/>
  <c r="I301"/>
  <c r="H318"/>
  <c r="I319"/>
  <c r="J319" s="1"/>
  <c r="K319"/>
  <c r="L319" s="1"/>
  <c r="J323"/>
  <c r="K327"/>
  <c r="L327" s="1"/>
  <c r="K330"/>
  <c r="L330" s="1"/>
  <c r="I333"/>
  <c r="J333" s="1"/>
  <c r="N333" s="1"/>
  <c r="K333"/>
  <c r="L333" s="1"/>
  <c r="I337"/>
  <c r="J337" s="1"/>
  <c r="O337"/>
  <c r="K337"/>
  <c r="L337" s="1"/>
  <c r="H340"/>
  <c r="E340"/>
  <c r="E317"/>
  <c r="E319"/>
  <c r="O323"/>
  <c r="E335"/>
  <c r="H348"/>
  <c r="E348"/>
  <c r="J354"/>
  <c r="O381"/>
  <c r="I381"/>
  <c r="M381" s="1"/>
  <c r="H390"/>
  <c r="E390"/>
  <c r="I397"/>
  <c r="K397"/>
  <c r="O397"/>
  <c r="H306"/>
  <c r="H314"/>
  <c r="H320"/>
  <c r="O354"/>
  <c r="K354"/>
  <c r="M354" s="1"/>
  <c r="H358"/>
  <c r="E358"/>
  <c r="H360"/>
  <c r="K368"/>
  <c r="L368" s="1"/>
  <c r="E374"/>
  <c r="H424"/>
  <c r="E424"/>
  <c r="E359"/>
  <c r="H359"/>
  <c r="O374"/>
  <c r="K374"/>
  <c r="L374" s="1"/>
  <c r="J383"/>
  <c r="I389"/>
  <c r="K389"/>
  <c r="L389" s="1"/>
  <c r="O392"/>
  <c r="K392"/>
  <c r="L392" s="1"/>
  <c r="H400"/>
  <c r="E400"/>
  <c r="K401"/>
  <c r="L401" s="1"/>
  <c r="O401"/>
  <c r="M429"/>
  <c r="J429"/>
  <c r="K439"/>
  <c r="O439"/>
  <c r="I439"/>
  <c r="M323"/>
  <c r="E333"/>
  <c r="J341"/>
  <c r="H349"/>
  <c r="I351"/>
  <c r="M351" s="1"/>
  <c r="O351"/>
  <c r="E353"/>
  <c r="J356"/>
  <c r="H369"/>
  <c r="E369"/>
  <c r="I379"/>
  <c r="O379"/>
  <c r="L381"/>
  <c r="K394"/>
  <c r="L394" s="1"/>
  <c r="O394"/>
  <c r="I394"/>
  <c r="E343"/>
  <c r="J345"/>
  <c r="O356"/>
  <c r="K356"/>
  <c r="L356" s="1"/>
  <c r="I361"/>
  <c r="K361"/>
  <c r="L361" s="1"/>
  <c r="I374"/>
  <c r="J374" s="1"/>
  <c r="N374" s="1"/>
  <c r="K376"/>
  <c r="L376" s="1"/>
  <c r="N376" s="1"/>
  <c r="O376"/>
  <c r="K383"/>
  <c r="L383" s="1"/>
  <c r="L386"/>
  <c r="I392"/>
  <c r="M392" s="1"/>
  <c r="K404"/>
  <c r="L404" s="1"/>
  <c r="I404"/>
  <c r="O404"/>
  <c r="H382"/>
  <c r="E382"/>
  <c r="E398"/>
  <c r="K443"/>
  <c r="L443" s="1"/>
  <c r="I443"/>
  <c r="O443"/>
  <c r="H326"/>
  <c r="H328"/>
  <c r="H331"/>
  <c r="L341"/>
  <c r="I353"/>
  <c r="M353" s="1"/>
  <c r="E366"/>
  <c r="H372"/>
  <c r="E372"/>
  <c r="E375"/>
  <c r="H375"/>
  <c r="H388"/>
  <c r="E388"/>
  <c r="E393"/>
  <c r="H393"/>
  <c r="I401"/>
  <c r="H403"/>
  <c r="E403"/>
  <c r="E321"/>
  <c r="J327"/>
  <c r="N327" s="1"/>
  <c r="J330"/>
  <c r="N330" s="1"/>
  <c r="E341"/>
  <c r="L346"/>
  <c r="O347"/>
  <c r="H371"/>
  <c r="O386"/>
  <c r="I386"/>
  <c r="M386" s="1"/>
  <c r="O389"/>
  <c r="O402"/>
  <c r="K402"/>
  <c r="L402" s="1"/>
  <c r="I402"/>
  <c r="E379"/>
  <c r="H387"/>
  <c r="E387"/>
  <c r="E397"/>
  <c r="E405"/>
  <c r="H405"/>
  <c r="E415"/>
  <c r="H415"/>
  <c r="E430"/>
  <c r="H430"/>
  <c r="E433"/>
  <c r="H433"/>
  <c r="H437"/>
  <c r="E449"/>
  <c r="E370"/>
  <c r="H373"/>
  <c r="E373"/>
  <c r="I385"/>
  <c r="H391"/>
  <c r="E391"/>
  <c r="H406"/>
  <c r="H427"/>
  <c r="H438"/>
  <c r="E438"/>
  <c r="K444"/>
  <c r="M444" s="1"/>
  <c r="O444"/>
  <c r="H377"/>
  <c r="E377"/>
  <c r="O378"/>
  <c r="K378"/>
  <c r="L378" s="1"/>
  <c r="H395"/>
  <c r="E395"/>
  <c r="O396"/>
  <c r="K396"/>
  <c r="L396" s="1"/>
  <c r="K409"/>
  <c r="L409" s="1"/>
  <c r="I409"/>
  <c r="O409"/>
  <c r="K425"/>
  <c r="L425" s="1"/>
  <c r="I425"/>
  <c r="J425" s="1"/>
  <c r="O448"/>
  <c r="K448"/>
  <c r="L448" s="1"/>
  <c r="I454"/>
  <c r="J454" s="1"/>
  <c r="K454"/>
  <c r="L454" s="1"/>
  <c r="O454"/>
  <c r="E349"/>
  <c r="L353"/>
  <c r="E368"/>
  <c r="E371"/>
  <c r="I378"/>
  <c r="L379"/>
  <c r="E389"/>
  <c r="I396"/>
  <c r="J396" s="1"/>
  <c r="L397"/>
  <c r="E406"/>
  <c r="E427"/>
  <c r="H428"/>
  <c r="E428"/>
  <c r="O434"/>
  <c r="K434"/>
  <c r="L434" s="1"/>
  <c r="H440"/>
  <c r="E440"/>
  <c r="E441"/>
  <c r="I448"/>
  <c r="J434"/>
  <c r="I449"/>
  <c r="O449"/>
  <c r="K449"/>
  <c r="L449" s="1"/>
  <c r="E404"/>
  <c r="H411"/>
  <c r="E411"/>
  <c r="H413"/>
  <c r="O414"/>
  <c r="H416"/>
  <c r="E416"/>
  <c r="O429"/>
  <c r="J444"/>
  <c r="E447"/>
  <c r="H447"/>
  <c r="K450"/>
  <c r="L450" s="1"/>
  <c r="I450"/>
  <c r="O450"/>
  <c r="O453"/>
  <c r="I453"/>
  <c r="K453"/>
  <c r="L453" s="1"/>
  <c r="H423"/>
  <c r="L429"/>
  <c r="H431"/>
  <c r="E434"/>
  <c r="L439"/>
  <c r="E448"/>
  <c r="E450"/>
  <c r="O451"/>
  <c r="L464"/>
  <c r="H465"/>
  <c r="O476"/>
  <c r="I476"/>
  <c r="O484"/>
  <c r="I484"/>
  <c r="M484" s="1"/>
  <c r="K432"/>
  <c r="L432" s="1"/>
  <c r="I432"/>
  <c r="M432" s="1"/>
  <c r="H441"/>
  <c r="I445"/>
  <c r="O445"/>
  <c r="K446"/>
  <c r="L446" s="1"/>
  <c r="I446"/>
  <c r="M446" s="1"/>
  <c r="H452"/>
  <c r="E452"/>
  <c r="O464"/>
  <c r="I464"/>
  <c r="E466"/>
  <c r="H466"/>
  <c r="O479"/>
  <c r="I479"/>
  <c r="M479" s="1"/>
  <c r="H494"/>
  <c r="E494"/>
  <c r="I500"/>
  <c r="K500"/>
  <c r="L500" s="1"/>
  <c r="O507"/>
  <c r="I507"/>
  <c r="K507"/>
  <c r="L507" s="1"/>
  <c r="O485"/>
  <c r="I485"/>
  <c r="K485"/>
  <c r="L485" s="1"/>
  <c r="L414"/>
  <c r="K436"/>
  <c r="J439"/>
  <c r="E445"/>
  <c r="O456"/>
  <c r="I456"/>
  <c r="J456" s="1"/>
  <c r="H460"/>
  <c r="E460"/>
  <c r="H492"/>
  <c r="O499"/>
  <c r="I499"/>
  <c r="K499"/>
  <c r="L499" s="1"/>
  <c r="O503"/>
  <c r="I503"/>
  <c r="K503"/>
  <c r="L503" s="1"/>
  <c r="H408"/>
  <c r="E439"/>
  <c r="K476"/>
  <c r="L476" s="1"/>
  <c r="O506"/>
  <c r="K506"/>
  <c r="L506" s="1"/>
  <c r="I506"/>
  <c r="O510"/>
  <c r="K510"/>
  <c r="L510" s="1"/>
  <c r="I510"/>
  <c r="I481"/>
  <c r="K481"/>
  <c r="L481" s="1"/>
  <c r="I489"/>
  <c r="K489"/>
  <c r="E401"/>
  <c r="E408"/>
  <c r="E444"/>
  <c r="K445"/>
  <c r="L445" s="1"/>
  <c r="K456"/>
  <c r="L456" s="1"/>
  <c r="H504"/>
  <c r="H511"/>
  <c r="I532"/>
  <c r="O532"/>
  <c r="K532"/>
  <c r="L532" s="1"/>
  <c r="J539"/>
  <c r="I544"/>
  <c r="O544"/>
  <c r="K544"/>
  <c r="L544" s="1"/>
  <c r="E476"/>
  <c r="E479"/>
  <c r="H480"/>
  <c r="H482"/>
  <c r="E482"/>
  <c r="H487"/>
  <c r="H488"/>
  <c r="E492"/>
  <c r="H497"/>
  <c r="E497"/>
  <c r="I498"/>
  <c r="O513"/>
  <c r="O515"/>
  <c r="I515"/>
  <c r="K515"/>
  <c r="L515" s="1"/>
  <c r="O533"/>
  <c r="K533"/>
  <c r="L533" s="1"/>
  <c r="I533"/>
  <c r="I538"/>
  <c r="O538"/>
  <c r="H561"/>
  <c r="E561"/>
  <c r="I516"/>
  <c r="O516"/>
  <c r="K516"/>
  <c r="L516" s="1"/>
  <c r="H520"/>
  <c r="E520"/>
  <c r="I523"/>
  <c r="O523"/>
  <c r="K523"/>
  <c r="L523" s="1"/>
  <c r="H528"/>
  <c r="E528"/>
  <c r="E550"/>
  <c r="H550"/>
  <c r="J557"/>
  <c r="K461"/>
  <c r="L461" s="1"/>
  <c r="N461" s="1"/>
  <c r="O468"/>
  <c r="L489"/>
  <c r="O490"/>
  <c r="E498"/>
  <c r="E500"/>
  <c r="H501"/>
  <c r="E501"/>
  <c r="I502"/>
  <c r="J506"/>
  <c r="I512"/>
  <c r="K553"/>
  <c r="L553" s="1"/>
  <c r="O553"/>
  <c r="I553"/>
  <c r="K571"/>
  <c r="L571" s="1"/>
  <c r="I571"/>
  <c r="O571"/>
  <c r="I462"/>
  <c r="E468"/>
  <c r="H469"/>
  <c r="E484"/>
  <c r="E490"/>
  <c r="H491"/>
  <c r="I496"/>
  <c r="K496"/>
  <c r="L496" s="1"/>
  <c r="K502"/>
  <c r="L502" s="1"/>
  <c r="J512"/>
  <c r="E533"/>
  <c r="J568"/>
  <c r="O461"/>
  <c r="E502"/>
  <c r="H505"/>
  <c r="E505"/>
  <c r="H509"/>
  <c r="I513"/>
  <c r="M513" s="1"/>
  <c r="E517"/>
  <c r="H517"/>
  <c r="E536"/>
  <c r="H536"/>
  <c r="H455"/>
  <c r="E455"/>
  <c r="H459"/>
  <c r="J521"/>
  <c r="M530"/>
  <c r="J530"/>
  <c r="K538"/>
  <c r="L538" s="1"/>
  <c r="I556"/>
  <c r="O556"/>
  <c r="K556"/>
  <c r="L556" s="1"/>
  <c r="H478"/>
  <c r="E478"/>
  <c r="J484"/>
  <c r="N484" s="1"/>
  <c r="E506"/>
  <c r="H522"/>
  <c r="I565"/>
  <c r="O565"/>
  <c r="K565"/>
  <c r="L565" s="1"/>
  <c r="H518"/>
  <c r="K521"/>
  <c r="L521" s="1"/>
  <c r="O521"/>
  <c r="E523"/>
  <c r="H534"/>
  <c r="J542"/>
  <c r="I549"/>
  <c r="O549"/>
  <c r="K549"/>
  <c r="L549" s="1"/>
  <c r="O551"/>
  <c r="K551"/>
  <c r="L551" s="1"/>
  <c r="H552"/>
  <c r="E554"/>
  <c r="H554"/>
  <c r="I560"/>
  <c r="O560"/>
  <c r="K560"/>
  <c r="L560" s="1"/>
  <c r="H535"/>
  <c r="O537"/>
  <c r="K537"/>
  <c r="M537" s="1"/>
  <c r="K542"/>
  <c r="L542" s="1"/>
  <c r="O542"/>
  <c r="K546"/>
  <c r="L546" s="1"/>
  <c r="I546"/>
  <c r="O546"/>
  <c r="O564"/>
  <c r="K564"/>
  <c r="M564" s="1"/>
  <c r="E565"/>
  <c r="O582"/>
  <c r="K582"/>
  <c r="I582"/>
  <c r="K593"/>
  <c r="L593" s="1"/>
  <c r="I593"/>
  <c r="O593"/>
  <c r="I597"/>
  <c r="O597"/>
  <c r="K597"/>
  <c r="L597" s="1"/>
  <c r="O600"/>
  <c r="K600"/>
  <c r="L600" s="1"/>
  <c r="I600"/>
  <c r="J600" s="1"/>
  <c r="J603"/>
  <c r="K608"/>
  <c r="I608"/>
  <c r="J608" s="1"/>
  <c r="O608"/>
  <c r="E459"/>
  <c r="E469"/>
  <c r="E487"/>
  <c r="E491"/>
  <c r="E509"/>
  <c r="E531"/>
  <c r="K539"/>
  <c r="M539" s="1"/>
  <c r="O539"/>
  <c r="K588"/>
  <c r="L588" s="1"/>
  <c r="I588"/>
  <c r="O588"/>
  <c r="O595"/>
  <c r="K595"/>
  <c r="L595" s="1"/>
  <c r="I595"/>
  <c r="H541"/>
  <c r="E541"/>
  <c r="H543"/>
  <c r="E543"/>
  <c r="O548"/>
  <c r="K548"/>
  <c r="L548" s="1"/>
  <c r="I548"/>
  <c r="O559"/>
  <c r="O568"/>
  <c r="K568"/>
  <c r="L568" s="1"/>
  <c r="H570"/>
  <c r="E570"/>
  <c r="K572"/>
  <c r="L572" s="1"/>
  <c r="I572"/>
  <c r="O572"/>
  <c r="I592"/>
  <c r="O592"/>
  <c r="K592"/>
  <c r="L592" s="1"/>
  <c r="H545"/>
  <c r="E545"/>
  <c r="K557"/>
  <c r="L557" s="1"/>
  <c r="O557"/>
  <c r="I575"/>
  <c r="O575"/>
  <c r="K575"/>
  <c r="L575" s="1"/>
  <c r="K584"/>
  <c r="L584" s="1"/>
  <c r="I584"/>
  <c r="O584"/>
  <c r="I587"/>
  <c r="J587" s="1"/>
  <c r="O587"/>
  <c r="K587"/>
  <c r="L587" s="1"/>
  <c r="O590"/>
  <c r="K590"/>
  <c r="L590" s="1"/>
  <c r="I590"/>
  <c r="I607"/>
  <c r="O607"/>
  <c r="K607"/>
  <c r="L607" s="1"/>
  <c r="L530"/>
  <c r="L537"/>
  <c r="J538"/>
  <c r="N538" s="1"/>
  <c r="I551"/>
  <c r="O555"/>
  <c r="K555"/>
  <c r="M555" s="1"/>
  <c r="E556"/>
  <c r="E558"/>
  <c r="H558"/>
  <c r="K562"/>
  <c r="L562" s="1"/>
  <c r="I562"/>
  <c r="M562" s="1"/>
  <c r="O562"/>
  <c r="O574"/>
  <c r="K574"/>
  <c r="L574" s="1"/>
  <c r="I574"/>
  <c r="L582"/>
  <c r="K566"/>
  <c r="L566" s="1"/>
  <c r="I566"/>
  <c r="O566"/>
  <c r="I583"/>
  <c r="O583"/>
  <c r="K583"/>
  <c r="L583" s="1"/>
  <c r="O586"/>
  <c r="K586"/>
  <c r="L586" s="1"/>
  <c r="I586"/>
  <c r="J586" s="1"/>
  <c r="I598"/>
  <c r="O598"/>
  <c r="I601"/>
  <c r="O601"/>
  <c r="K601"/>
  <c r="L601" s="1"/>
  <c r="O605"/>
  <c r="K605"/>
  <c r="L605" s="1"/>
  <c r="I605"/>
  <c r="J565"/>
  <c r="O580"/>
  <c r="J583"/>
  <c r="O594"/>
  <c r="K603"/>
  <c r="L603" s="1"/>
  <c r="J607"/>
  <c r="L608"/>
  <c r="H567"/>
  <c r="I580"/>
  <c r="M580" s="1"/>
  <c r="H585"/>
  <c r="H589"/>
  <c r="J590"/>
  <c r="I594"/>
  <c r="M594" s="1"/>
  <c r="H599"/>
  <c r="H604"/>
  <c r="E534"/>
  <c r="E538"/>
  <c r="E552"/>
  <c r="E583"/>
  <c r="E587"/>
  <c r="E592"/>
  <c r="E597"/>
  <c r="E601"/>
  <c r="E607"/>
  <c r="E548"/>
  <c r="E559"/>
  <c r="E595"/>
  <c r="O603"/>
  <c r="E605"/>
  <c r="M601" l="1"/>
  <c r="J562"/>
  <c r="M593"/>
  <c r="M241"/>
  <c r="M299"/>
  <c r="M111"/>
  <c r="M285"/>
  <c r="M378"/>
  <c r="M565"/>
  <c r="M556"/>
  <c r="M434"/>
  <c r="J353"/>
  <c r="M401"/>
  <c r="M443"/>
  <c r="M280"/>
  <c r="N186"/>
  <c r="M226"/>
  <c r="M261"/>
  <c r="M166"/>
  <c r="J443"/>
  <c r="J166"/>
  <c r="N166" s="1"/>
  <c r="J52"/>
  <c r="N52" s="1"/>
  <c r="L87"/>
  <c r="N87" s="1"/>
  <c r="I236"/>
  <c r="J236" s="1"/>
  <c r="O166"/>
  <c r="I49"/>
  <c r="O39"/>
  <c r="K114"/>
  <c r="L114" s="1"/>
  <c r="K86"/>
  <c r="L86" s="1"/>
  <c r="I73"/>
  <c r="J468"/>
  <c r="N468" s="1"/>
  <c r="M476"/>
  <c r="N565"/>
  <c r="M575"/>
  <c r="M546"/>
  <c r="J479"/>
  <c r="N479" s="1"/>
  <c r="M510"/>
  <c r="N345"/>
  <c r="L354"/>
  <c r="N305"/>
  <c r="L217"/>
  <c r="O226"/>
  <c r="N251"/>
  <c r="M185"/>
  <c r="I39"/>
  <c r="J39" s="1"/>
  <c r="O114"/>
  <c r="O61"/>
  <c r="K57"/>
  <c r="L57" s="1"/>
  <c r="N57" s="1"/>
  <c r="O53"/>
  <c r="I347"/>
  <c r="J347" s="1"/>
  <c r="N347" s="1"/>
  <c r="I104"/>
  <c r="O73"/>
  <c r="K231"/>
  <c r="O231"/>
  <c r="M592"/>
  <c r="N608"/>
  <c r="M345"/>
  <c r="M265"/>
  <c r="M245"/>
  <c r="N227"/>
  <c r="J280"/>
  <c r="N280" s="1"/>
  <c r="N240"/>
  <c r="K184"/>
  <c r="L184" s="1"/>
  <c r="N184" s="1"/>
  <c r="N64"/>
  <c r="N40"/>
  <c r="N53"/>
  <c r="O130"/>
  <c r="O184"/>
  <c r="M281"/>
  <c r="J281"/>
  <c r="J513"/>
  <c r="N513" s="1"/>
  <c r="M532"/>
  <c r="L444"/>
  <c r="M81"/>
  <c r="I48"/>
  <c r="M262"/>
  <c r="K115"/>
  <c r="L115" s="1"/>
  <c r="I368"/>
  <c r="J368" s="1"/>
  <c r="O368"/>
  <c r="K451"/>
  <c r="L451" s="1"/>
  <c r="I451"/>
  <c r="M240"/>
  <c r="M347"/>
  <c r="N439"/>
  <c r="N259"/>
  <c r="N67"/>
  <c r="N111"/>
  <c r="I215"/>
  <c r="J215" s="1"/>
  <c r="O215"/>
  <c r="J510"/>
  <c r="N341"/>
  <c r="I398"/>
  <c r="K512"/>
  <c r="L512" s="1"/>
  <c r="N512" s="1"/>
  <c r="O512"/>
  <c r="J75"/>
  <c r="N75" s="1"/>
  <c r="M75"/>
  <c r="N587"/>
  <c r="I559"/>
  <c r="M597"/>
  <c r="O398"/>
  <c r="N269"/>
  <c r="M335"/>
  <c r="L175"/>
  <c r="N175" s="1"/>
  <c r="O102"/>
  <c r="O47"/>
  <c r="L564"/>
  <c r="N564" s="1"/>
  <c r="N323"/>
  <c r="N233"/>
  <c r="J245"/>
  <c r="N245" s="1"/>
  <c r="M277"/>
  <c r="M212"/>
  <c r="M189"/>
  <c r="M236"/>
  <c r="I102"/>
  <c r="I47"/>
  <c r="J47" s="1"/>
  <c r="N47" s="1"/>
  <c r="K59"/>
  <c r="L59" s="1"/>
  <c r="I410"/>
  <c r="O410"/>
  <c r="K410"/>
  <c r="L410" s="1"/>
  <c r="M598"/>
  <c r="M368"/>
  <c r="N118"/>
  <c r="O45"/>
  <c r="O59"/>
  <c r="K495"/>
  <c r="L495" s="1"/>
  <c r="O495"/>
  <c r="I495"/>
  <c r="I276"/>
  <c r="K276"/>
  <c r="L276" s="1"/>
  <c r="M454"/>
  <c r="I45"/>
  <c r="K385"/>
  <c r="L385" s="1"/>
  <c r="O385"/>
  <c r="L555"/>
  <c r="N555" s="1"/>
  <c r="N506"/>
  <c r="M211"/>
  <c r="K62"/>
  <c r="L62" s="1"/>
  <c r="K190"/>
  <c r="L190" s="1"/>
  <c r="J476"/>
  <c r="N456"/>
  <c r="N396"/>
  <c r="K288"/>
  <c r="L288" s="1"/>
  <c r="N262"/>
  <c r="M273"/>
  <c r="M67"/>
  <c r="M208"/>
  <c r="J100"/>
  <c r="N100" s="1"/>
  <c r="L160"/>
  <c r="N160" s="1"/>
  <c r="I62"/>
  <c r="O190"/>
  <c r="K490"/>
  <c r="L490" s="1"/>
  <c r="I490"/>
  <c r="M414"/>
  <c r="J414"/>
  <c r="N414" s="1"/>
  <c r="K458"/>
  <c r="L458" s="1"/>
  <c r="I458"/>
  <c r="O458"/>
  <c r="J593"/>
  <c r="N593" s="1"/>
  <c r="M572"/>
  <c r="M425"/>
  <c r="I288"/>
  <c r="J288" s="1"/>
  <c r="N288" s="1"/>
  <c r="O281"/>
  <c r="K156"/>
  <c r="M156" s="1"/>
  <c r="I223"/>
  <c r="M61"/>
  <c r="M600"/>
  <c r="N131"/>
  <c r="O156"/>
  <c r="M39"/>
  <c r="O436"/>
  <c r="I436"/>
  <c r="J436" s="1"/>
  <c r="M269"/>
  <c r="E13" i="28"/>
  <c r="E12"/>
  <c r="J584" i="27"/>
  <c r="N584" s="1"/>
  <c r="M584"/>
  <c r="K541"/>
  <c r="L541" s="1"/>
  <c r="I541"/>
  <c r="O541"/>
  <c r="I534"/>
  <c r="K534"/>
  <c r="L534" s="1"/>
  <c r="O534"/>
  <c r="K505"/>
  <c r="L505" s="1"/>
  <c r="O505"/>
  <c r="I505"/>
  <c r="M568"/>
  <c r="J462"/>
  <c r="N462" s="1"/>
  <c r="M462"/>
  <c r="M542"/>
  <c r="M557"/>
  <c r="K561"/>
  <c r="L561" s="1"/>
  <c r="I561"/>
  <c r="O561"/>
  <c r="N537"/>
  <c r="I511"/>
  <c r="O511"/>
  <c r="K511"/>
  <c r="L511" s="1"/>
  <c r="M499"/>
  <c r="J499"/>
  <c r="N499" s="1"/>
  <c r="J500"/>
  <c r="N500" s="1"/>
  <c r="M500"/>
  <c r="M445"/>
  <c r="J445"/>
  <c r="N445" s="1"/>
  <c r="K428"/>
  <c r="L428" s="1"/>
  <c r="I428"/>
  <c r="O428"/>
  <c r="I395"/>
  <c r="O395"/>
  <c r="K395"/>
  <c r="L395" s="1"/>
  <c r="I427"/>
  <c r="O427"/>
  <c r="K427"/>
  <c r="L427" s="1"/>
  <c r="O415"/>
  <c r="I415"/>
  <c r="K415"/>
  <c r="L415" s="1"/>
  <c r="M402"/>
  <c r="J402"/>
  <c r="N402" s="1"/>
  <c r="I371"/>
  <c r="O371"/>
  <c r="K371"/>
  <c r="L371" s="1"/>
  <c r="M376"/>
  <c r="M404"/>
  <c r="J404"/>
  <c r="N404" s="1"/>
  <c r="M374"/>
  <c r="J381"/>
  <c r="N381" s="1"/>
  <c r="N356"/>
  <c r="I424"/>
  <c r="O424"/>
  <c r="K424"/>
  <c r="L424" s="1"/>
  <c r="N354"/>
  <c r="M333"/>
  <c r="N317"/>
  <c r="O355"/>
  <c r="K355"/>
  <c r="L355" s="1"/>
  <c r="I355"/>
  <c r="K295"/>
  <c r="L295" s="1"/>
  <c r="I295"/>
  <c r="O295"/>
  <c r="M336"/>
  <c r="J336"/>
  <c r="N336" s="1"/>
  <c r="K291"/>
  <c r="L291" s="1"/>
  <c r="I291"/>
  <c r="O291"/>
  <c r="O232"/>
  <c r="K232"/>
  <c r="L232" s="1"/>
  <c r="I232"/>
  <c r="J299"/>
  <c r="N299" s="1"/>
  <c r="N215"/>
  <c r="M330"/>
  <c r="N229"/>
  <c r="O178"/>
  <c r="I178"/>
  <c r="K178"/>
  <c r="L178" s="1"/>
  <c r="J163"/>
  <c r="N163" s="1"/>
  <c r="M163"/>
  <c r="J128"/>
  <c r="N128" s="1"/>
  <c r="M128"/>
  <c r="K109"/>
  <c r="L109" s="1"/>
  <c r="I109"/>
  <c r="O109"/>
  <c r="N207"/>
  <c r="O134"/>
  <c r="I134"/>
  <c r="K134"/>
  <c r="L134" s="1"/>
  <c r="I76"/>
  <c r="K76"/>
  <c r="L76" s="1"/>
  <c r="O76"/>
  <c r="K154"/>
  <c r="L154" s="1"/>
  <c r="O154"/>
  <c r="I154"/>
  <c r="O112"/>
  <c r="I112"/>
  <c r="K112"/>
  <c r="L112" s="1"/>
  <c r="K164"/>
  <c r="L164" s="1"/>
  <c r="I164"/>
  <c r="O164"/>
  <c r="K204"/>
  <c r="L204" s="1"/>
  <c r="I204"/>
  <c r="O204"/>
  <c r="J102"/>
  <c r="N102" s="1"/>
  <c r="M102"/>
  <c r="M124"/>
  <c r="M115"/>
  <c r="J115"/>
  <c r="N115" s="1"/>
  <c r="N607"/>
  <c r="M583"/>
  <c r="K604"/>
  <c r="L604" s="1"/>
  <c r="I604"/>
  <c r="O604"/>
  <c r="J592"/>
  <c r="N592" s="1"/>
  <c r="J580"/>
  <c r="M590"/>
  <c r="O570"/>
  <c r="K570"/>
  <c r="L570" s="1"/>
  <c r="I570"/>
  <c r="J532"/>
  <c r="N532" s="1"/>
  <c r="K478"/>
  <c r="L478" s="1"/>
  <c r="I478"/>
  <c r="O478"/>
  <c r="N521"/>
  <c r="I536"/>
  <c r="O536"/>
  <c r="K536"/>
  <c r="L536" s="1"/>
  <c r="L539"/>
  <c r="N557"/>
  <c r="M523"/>
  <c r="J523"/>
  <c r="N523" s="1"/>
  <c r="K497"/>
  <c r="L497" s="1"/>
  <c r="I497"/>
  <c r="O497"/>
  <c r="I504"/>
  <c r="K504"/>
  <c r="L504" s="1"/>
  <c r="O504"/>
  <c r="N454"/>
  <c r="M461"/>
  <c r="N443"/>
  <c r="J432"/>
  <c r="N432" s="1"/>
  <c r="M450"/>
  <c r="K438"/>
  <c r="L438" s="1"/>
  <c r="O438"/>
  <c r="I438"/>
  <c r="O406"/>
  <c r="K406"/>
  <c r="L406" s="1"/>
  <c r="I406"/>
  <c r="J450"/>
  <c r="N450" s="1"/>
  <c r="I387"/>
  <c r="O387"/>
  <c r="K387"/>
  <c r="L387" s="1"/>
  <c r="I375"/>
  <c r="O375"/>
  <c r="K375"/>
  <c r="L375" s="1"/>
  <c r="J401"/>
  <c r="N401" s="1"/>
  <c r="M397"/>
  <c r="J397"/>
  <c r="N397" s="1"/>
  <c r="M301"/>
  <c r="J301"/>
  <c r="N301" s="1"/>
  <c r="M321"/>
  <c r="J321"/>
  <c r="N321" s="1"/>
  <c r="J351"/>
  <c r="N351" s="1"/>
  <c r="M298"/>
  <c r="J298"/>
  <c r="N298" s="1"/>
  <c r="N284"/>
  <c r="M317"/>
  <c r="I221"/>
  <c r="O221"/>
  <c r="K221"/>
  <c r="L221" s="1"/>
  <c r="O279"/>
  <c r="I279"/>
  <c r="K279"/>
  <c r="L279" s="1"/>
  <c r="O252"/>
  <c r="K252"/>
  <c r="L252" s="1"/>
  <c r="I252"/>
  <c r="J230"/>
  <c r="N230" s="1"/>
  <c r="M230"/>
  <c r="N241"/>
  <c r="M238"/>
  <c r="J238"/>
  <c r="N238" s="1"/>
  <c r="N212"/>
  <c r="O224"/>
  <c r="I224"/>
  <c r="K224"/>
  <c r="L224" s="1"/>
  <c r="N169"/>
  <c r="K66"/>
  <c r="L66" s="1"/>
  <c r="I66"/>
  <c r="O66"/>
  <c r="M250"/>
  <c r="I120"/>
  <c r="O120"/>
  <c r="K120"/>
  <c r="L120" s="1"/>
  <c r="M259"/>
  <c r="K172"/>
  <c r="L172" s="1"/>
  <c r="O172"/>
  <c r="I172"/>
  <c r="I153"/>
  <c r="O153"/>
  <c r="K153"/>
  <c r="L153" s="1"/>
  <c r="L197"/>
  <c r="O167"/>
  <c r="I167"/>
  <c r="K167"/>
  <c r="L167" s="1"/>
  <c r="L142"/>
  <c r="L196"/>
  <c r="N196" s="1"/>
  <c r="I77"/>
  <c r="K77"/>
  <c r="L77" s="1"/>
  <c r="O77"/>
  <c r="L155"/>
  <c r="N155" s="1"/>
  <c r="M130"/>
  <c r="M205"/>
  <c r="J205"/>
  <c r="N205" s="1"/>
  <c r="L170"/>
  <c r="N170" s="1"/>
  <c r="L132"/>
  <c r="N132" s="1"/>
  <c r="M63"/>
  <c r="J60"/>
  <c r="N60" s="1"/>
  <c r="M60"/>
  <c r="M43"/>
  <c r="J43"/>
  <c r="N43" s="1"/>
  <c r="M559"/>
  <c r="J559"/>
  <c r="N559" s="1"/>
  <c r="M605"/>
  <c r="J605"/>
  <c r="N605" s="1"/>
  <c r="K585"/>
  <c r="L585" s="1"/>
  <c r="I585"/>
  <c r="O585"/>
  <c r="N600"/>
  <c r="K567"/>
  <c r="L567" s="1"/>
  <c r="I567"/>
  <c r="O567"/>
  <c r="M586"/>
  <c r="J566"/>
  <c r="N566" s="1"/>
  <c r="M566"/>
  <c r="M574"/>
  <c r="J574"/>
  <c r="N574" s="1"/>
  <c r="I558"/>
  <c r="O558"/>
  <c r="K558"/>
  <c r="L558" s="1"/>
  <c r="M548"/>
  <c r="J548"/>
  <c r="N548" s="1"/>
  <c r="J598"/>
  <c r="N598" s="1"/>
  <c r="M608"/>
  <c r="M582"/>
  <c r="J582"/>
  <c r="N582" s="1"/>
  <c r="M496"/>
  <c r="J496"/>
  <c r="N496" s="1"/>
  <c r="I550"/>
  <c r="K550"/>
  <c r="L550" s="1"/>
  <c r="O550"/>
  <c r="J556"/>
  <c r="N556" s="1"/>
  <c r="M489"/>
  <c r="J489"/>
  <c r="N489" s="1"/>
  <c r="M506"/>
  <c r="I408"/>
  <c r="O408"/>
  <c r="K408"/>
  <c r="L408" s="1"/>
  <c r="O492"/>
  <c r="K492"/>
  <c r="L492" s="1"/>
  <c r="I492"/>
  <c r="M485"/>
  <c r="J485"/>
  <c r="N485" s="1"/>
  <c r="I494"/>
  <c r="O494"/>
  <c r="K494"/>
  <c r="L494" s="1"/>
  <c r="I431"/>
  <c r="O431"/>
  <c r="K431"/>
  <c r="L431" s="1"/>
  <c r="O416"/>
  <c r="I416"/>
  <c r="K416"/>
  <c r="L416" s="1"/>
  <c r="M449"/>
  <c r="J449"/>
  <c r="N449" s="1"/>
  <c r="I403"/>
  <c r="O403"/>
  <c r="K403"/>
  <c r="L403" s="1"/>
  <c r="K331"/>
  <c r="L331" s="1"/>
  <c r="O331"/>
  <c r="I331"/>
  <c r="J394"/>
  <c r="N394" s="1"/>
  <c r="M394"/>
  <c r="M379"/>
  <c r="J379"/>
  <c r="N379" s="1"/>
  <c r="J378"/>
  <c r="N378" s="1"/>
  <c r="N337"/>
  <c r="O334"/>
  <c r="K334"/>
  <c r="L334" s="1"/>
  <c r="I334"/>
  <c r="J290"/>
  <c r="N290" s="1"/>
  <c r="I343"/>
  <c r="K343"/>
  <c r="L343" s="1"/>
  <c r="O343"/>
  <c r="O267"/>
  <c r="K267"/>
  <c r="L267" s="1"/>
  <c r="I267"/>
  <c r="M283"/>
  <c r="J283"/>
  <c r="N283" s="1"/>
  <c r="O296"/>
  <c r="I296"/>
  <c r="K296"/>
  <c r="L296" s="1"/>
  <c r="N277"/>
  <c r="N250"/>
  <c r="I294"/>
  <c r="K294"/>
  <c r="L294" s="1"/>
  <c r="O294"/>
  <c r="J211"/>
  <c r="N211" s="1"/>
  <c r="M258"/>
  <c r="J258"/>
  <c r="O210"/>
  <c r="K210"/>
  <c r="L210" s="1"/>
  <c r="I210"/>
  <c r="N217"/>
  <c r="M219"/>
  <c r="J219"/>
  <c r="N219" s="1"/>
  <c r="K99"/>
  <c r="L99" s="1"/>
  <c r="I99"/>
  <c r="O99"/>
  <c r="N129"/>
  <c r="O95"/>
  <c r="I95"/>
  <c r="K95"/>
  <c r="L95" s="1"/>
  <c r="I69"/>
  <c r="K69"/>
  <c r="L69" s="1"/>
  <c r="O69"/>
  <c r="O74"/>
  <c r="I74"/>
  <c r="K74"/>
  <c r="L74" s="1"/>
  <c r="M141"/>
  <c r="J108"/>
  <c r="N108" s="1"/>
  <c r="M108"/>
  <c r="M227"/>
  <c r="M191"/>
  <c r="L174"/>
  <c r="N174" s="1"/>
  <c r="L156"/>
  <c r="N191"/>
  <c r="L173"/>
  <c r="N173" s="1"/>
  <c r="I97"/>
  <c r="O97"/>
  <c r="K97"/>
  <c r="L97" s="1"/>
  <c r="J49"/>
  <c r="N49" s="1"/>
  <c r="M49"/>
  <c r="M114"/>
  <c r="J190"/>
  <c r="N190" s="1"/>
  <c r="M190"/>
  <c r="M123"/>
  <c r="K599"/>
  <c r="L599" s="1"/>
  <c r="I599"/>
  <c r="O599"/>
  <c r="N583"/>
  <c r="M595"/>
  <c r="J595"/>
  <c r="N595" s="1"/>
  <c r="J572"/>
  <c r="N572" s="1"/>
  <c r="K535"/>
  <c r="L535" s="1"/>
  <c r="O535"/>
  <c r="I535"/>
  <c r="J560"/>
  <c r="N560" s="1"/>
  <c r="M560"/>
  <c r="J549"/>
  <c r="N549" s="1"/>
  <c r="M549"/>
  <c r="O522"/>
  <c r="I522"/>
  <c r="K522"/>
  <c r="L522" s="1"/>
  <c r="K459"/>
  <c r="L459" s="1"/>
  <c r="I459"/>
  <c r="O459"/>
  <c r="I517"/>
  <c r="K517"/>
  <c r="L517" s="1"/>
  <c r="O517"/>
  <c r="O491"/>
  <c r="I491"/>
  <c r="K491"/>
  <c r="L491" s="1"/>
  <c r="J571"/>
  <c r="N571" s="1"/>
  <c r="M571"/>
  <c r="K520"/>
  <c r="L520" s="1"/>
  <c r="I520"/>
  <c r="O520"/>
  <c r="M515"/>
  <c r="J515"/>
  <c r="N515" s="1"/>
  <c r="O488"/>
  <c r="K488"/>
  <c r="L488" s="1"/>
  <c r="I488"/>
  <c r="I441"/>
  <c r="K441"/>
  <c r="L441" s="1"/>
  <c r="O441"/>
  <c r="K447"/>
  <c r="L447" s="1"/>
  <c r="O447"/>
  <c r="I447"/>
  <c r="N434"/>
  <c r="O440"/>
  <c r="I440"/>
  <c r="K440"/>
  <c r="L440" s="1"/>
  <c r="M409"/>
  <c r="N425"/>
  <c r="I391"/>
  <c r="K391"/>
  <c r="L391" s="1"/>
  <c r="O391"/>
  <c r="I437"/>
  <c r="K437"/>
  <c r="L437" s="1"/>
  <c r="O437"/>
  <c r="I405"/>
  <c r="O405"/>
  <c r="K405"/>
  <c r="L405" s="1"/>
  <c r="K328"/>
  <c r="L328" s="1"/>
  <c r="O328"/>
  <c r="I328"/>
  <c r="M361"/>
  <c r="J361"/>
  <c r="N361" s="1"/>
  <c r="M439"/>
  <c r="K400"/>
  <c r="L400" s="1"/>
  <c r="I400"/>
  <c r="O400"/>
  <c r="O320"/>
  <c r="K320"/>
  <c r="L320" s="1"/>
  <c r="I320"/>
  <c r="K390"/>
  <c r="L390" s="1"/>
  <c r="O390"/>
  <c r="I390"/>
  <c r="K348"/>
  <c r="L348" s="1"/>
  <c r="O348"/>
  <c r="I348"/>
  <c r="K340"/>
  <c r="L340" s="1"/>
  <c r="O340"/>
  <c r="I340"/>
  <c r="N319"/>
  <c r="M316"/>
  <c r="J316"/>
  <c r="N316" s="1"/>
  <c r="K313"/>
  <c r="L313" s="1"/>
  <c r="I313"/>
  <c r="O313"/>
  <c r="J335"/>
  <c r="N335" s="1"/>
  <c r="N304"/>
  <c r="J275"/>
  <c r="N275" s="1"/>
  <c r="M275"/>
  <c r="O286"/>
  <c r="I286"/>
  <c r="K286"/>
  <c r="L286" s="1"/>
  <c r="I266"/>
  <c r="O266"/>
  <c r="K266"/>
  <c r="L266" s="1"/>
  <c r="J300"/>
  <c r="N300" s="1"/>
  <c r="O242"/>
  <c r="I242"/>
  <c r="K242"/>
  <c r="L242" s="1"/>
  <c r="M218"/>
  <c r="J218"/>
  <c r="N218" s="1"/>
  <c r="N94"/>
  <c r="K80"/>
  <c r="L80" s="1"/>
  <c r="O80"/>
  <c r="I80"/>
  <c r="K195"/>
  <c r="L195" s="1"/>
  <c r="O195"/>
  <c r="I195"/>
  <c r="K140"/>
  <c r="L140" s="1"/>
  <c r="O140"/>
  <c r="I140"/>
  <c r="N225"/>
  <c r="M62"/>
  <c r="J62"/>
  <c r="N62" s="1"/>
  <c r="M119"/>
  <c r="J119"/>
  <c r="N119" s="1"/>
  <c r="J226"/>
  <c r="N226" s="1"/>
  <c r="M129"/>
  <c r="M234"/>
  <c r="J234"/>
  <c r="N234" s="1"/>
  <c r="K149"/>
  <c r="L149" s="1"/>
  <c r="I149"/>
  <c r="O149"/>
  <c r="N114"/>
  <c r="L79"/>
  <c r="I554"/>
  <c r="O554"/>
  <c r="K554"/>
  <c r="L554" s="1"/>
  <c r="J546"/>
  <c r="N546" s="1"/>
  <c r="N476"/>
  <c r="M502"/>
  <c r="J502"/>
  <c r="N502" s="1"/>
  <c r="K487"/>
  <c r="L487" s="1"/>
  <c r="I487"/>
  <c r="O487"/>
  <c r="J503"/>
  <c r="N503" s="1"/>
  <c r="M503"/>
  <c r="O452"/>
  <c r="I452"/>
  <c r="K452"/>
  <c r="L452" s="1"/>
  <c r="O465"/>
  <c r="K465"/>
  <c r="L465" s="1"/>
  <c r="I465"/>
  <c r="O423"/>
  <c r="K423"/>
  <c r="L423" s="1"/>
  <c r="I423"/>
  <c r="I413"/>
  <c r="K413"/>
  <c r="L413" s="1"/>
  <c r="O413"/>
  <c r="I377"/>
  <c r="O377"/>
  <c r="K377"/>
  <c r="L377" s="1"/>
  <c r="M385"/>
  <c r="J385"/>
  <c r="N385" s="1"/>
  <c r="K433"/>
  <c r="L433" s="1"/>
  <c r="O433"/>
  <c r="I433"/>
  <c r="I393"/>
  <c r="O393"/>
  <c r="K393"/>
  <c r="L393" s="1"/>
  <c r="K372"/>
  <c r="L372" s="1"/>
  <c r="O372"/>
  <c r="I372"/>
  <c r="K326"/>
  <c r="L326" s="1"/>
  <c r="O326"/>
  <c r="I326"/>
  <c r="K349"/>
  <c r="L349" s="1"/>
  <c r="I349"/>
  <c r="O349"/>
  <c r="M398"/>
  <c r="J398"/>
  <c r="N398" s="1"/>
  <c r="M389"/>
  <c r="J389"/>
  <c r="N389" s="1"/>
  <c r="O314"/>
  <c r="K314"/>
  <c r="L314" s="1"/>
  <c r="I314"/>
  <c r="J342"/>
  <c r="N342" s="1"/>
  <c r="M342"/>
  <c r="J350"/>
  <c r="N350" s="1"/>
  <c r="M350"/>
  <c r="N265"/>
  <c r="J346"/>
  <c r="N346" s="1"/>
  <c r="M346"/>
  <c r="M322"/>
  <c r="J322"/>
  <c r="N322" s="1"/>
  <c r="I249"/>
  <c r="K249"/>
  <c r="L249" s="1"/>
  <c r="O249"/>
  <c r="M278"/>
  <c r="J278"/>
  <c r="N278" s="1"/>
  <c r="I82"/>
  <c r="O82"/>
  <c r="K82"/>
  <c r="L82" s="1"/>
  <c r="K158"/>
  <c r="L158" s="1"/>
  <c r="O158"/>
  <c r="I158"/>
  <c r="I127"/>
  <c r="K127"/>
  <c r="L127" s="1"/>
  <c r="O127"/>
  <c r="I194"/>
  <c r="O194"/>
  <c r="K194"/>
  <c r="L194" s="1"/>
  <c r="I139"/>
  <c r="O139"/>
  <c r="K139"/>
  <c r="L139" s="1"/>
  <c r="K84"/>
  <c r="L84" s="1"/>
  <c r="O84"/>
  <c r="I84"/>
  <c r="J179"/>
  <c r="N179" s="1"/>
  <c r="M179"/>
  <c r="I159"/>
  <c r="O159"/>
  <c r="K159"/>
  <c r="L159" s="1"/>
  <c r="M58"/>
  <c r="J58"/>
  <c r="N58" s="1"/>
  <c r="M215"/>
  <c r="M168"/>
  <c r="L187"/>
  <c r="N187" s="1"/>
  <c r="M47"/>
  <c r="M86"/>
  <c r="J86"/>
  <c r="N86" s="1"/>
  <c r="M68"/>
  <c r="J68"/>
  <c r="N68" s="1"/>
  <c r="M50"/>
  <c r="J50"/>
  <c r="N50" s="1"/>
  <c r="N590"/>
  <c r="J575"/>
  <c r="N575" s="1"/>
  <c r="K545"/>
  <c r="L545" s="1"/>
  <c r="I545"/>
  <c r="O545"/>
  <c r="M603"/>
  <c r="J594"/>
  <c r="N594" s="1"/>
  <c r="O518"/>
  <c r="K518"/>
  <c r="L518" s="1"/>
  <c r="I518"/>
  <c r="K455"/>
  <c r="L455" s="1"/>
  <c r="I455"/>
  <c r="O455"/>
  <c r="J553"/>
  <c r="N553" s="1"/>
  <c r="M553"/>
  <c r="M538"/>
  <c r="J544"/>
  <c r="N544" s="1"/>
  <c r="M544"/>
  <c r="M521"/>
  <c r="M507"/>
  <c r="J507"/>
  <c r="N507" s="1"/>
  <c r="O466"/>
  <c r="K466"/>
  <c r="L466" s="1"/>
  <c r="I466"/>
  <c r="N444"/>
  <c r="O382"/>
  <c r="I382"/>
  <c r="K382"/>
  <c r="L382" s="1"/>
  <c r="J386"/>
  <c r="N386" s="1"/>
  <c r="I359"/>
  <c r="O359"/>
  <c r="K359"/>
  <c r="L359" s="1"/>
  <c r="O360"/>
  <c r="K360"/>
  <c r="L360" s="1"/>
  <c r="I360"/>
  <c r="O306"/>
  <c r="K306"/>
  <c r="L306" s="1"/>
  <c r="I306"/>
  <c r="M319"/>
  <c r="I264"/>
  <c r="O264"/>
  <c r="K264"/>
  <c r="L264" s="1"/>
  <c r="O292"/>
  <c r="I292"/>
  <c r="K292"/>
  <c r="L292" s="1"/>
  <c r="I246"/>
  <c r="O246"/>
  <c r="K246"/>
  <c r="L246" s="1"/>
  <c r="O282"/>
  <c r="I282"/>
  <c r="K282"/>
  <c r="L282" s="1"/>
  <c r="I72"/>
  <c r="K72"/>
  <c r="L72" s="1"/>
  <c r="O72"/>
  <c r="I182"/>
  <c r="K182"/>
  <c r="L182" s="1"/>
  <c r="O182"/>
  <c r="J126"/>
  <c r="N126" s="1"/>
  <c r="M126"/>
  <c r="M225"/>
  <c r="K103"/>
  <c r="L103" s="1"/>
  <c r="I103"/>
  <c r="O103"/>
  <c r="J81"/>
  <c r="N81" s="1"/>
  <c r="M48"/>
  <c r="J48"/>
  <c r="N48" s="1"/>
  <c r="I177"/>
  <c r="O177"/>
  <c r="K177"/>
  <c r="L177" s="1"/>
  <c r="N124"/>
  <c r="O101"/>
  <c r="I101"/>
  <c r="K101"/>
  <c r="L101" s="1"/>
  <c r="J189"/>
  <c r="N189" s="1"/>
  <c r="N141"/>
  <c r="M209"/>
  <c r="J209"/>
  <c r="N209" s="1"/>
  <c r="J54"/>
  <c r="N54" s="1"/>
  <c r="M54"/>
  <c r="M587"/>
  <c r="N562"/>
  <c r="N603"/>
  <c r="I552"/>
  <c r="O552"/>
  <c r="K552"/>
  <c r="L552" s="1"/>
  <c r="N542"/>
  <c r="O509"/>
  <c r="K509"/>
  <c r="L509" s="1"/>
  <c r="I509"/>
  <c r="N510"/>
  <c r="O469"/>
  <c r="I469"/>
  <c r="K469"/>
  <c r="L469" s="1"/>
  <c r="K501"/>
  <c r="L501" s="1"/>
  <c r="O501"/>
  <c r="I501"/>
  <c r="M516"/>
  <c r="J516"/>
  <c r="N516" s="1"/>
  <c r="J533"/>
  <c r="N533" s="1"/>
  <c r="M533"/>
  <c r="K482"/>
  <c r="L482" s="1"/>
  <c r="I482"/>
  <c r="O482"/>
  <c r="M481"/>
  <c r="J481"/>
  <c r="N481" s="1"/>
  <c r="O460"/>
  <c r="I460"/>
  <c r="K460"/>
  <c r="L460" s="1"/>
  <c r="L436"/>
  <c r="M436"/>
  <c r="J446"/>
  <c r="N446" s="1"/>
  <c r="J453"/>
  <c r="N453" s="1"/>
  <c r="M453"/>
  <c r="I411"/>
  <c r="K411"/>
  <c r="L411" s="1"/>
  <c r="O411"/>
  <c r="J409"/>
  <c r="N409" s="1"/>
  <c r="I373"/>
  <c r="O373"/>
  <c r="K373"/>
  <c r="L373" s="1"/>
  <c r="O430"/>
  <c r="I430"/>
  <c r="K430"/>
  <c r="L430" s="1"/>
  <c r="J392"/>
  <c r="N392" s="1"/>
  <c r="M383"/>
  <c r="K369"/>
  <c r="L369" s="1"/>
  <c r="O369"/>
  <c r="I369"/>
  <c r="N429"/>
  <c r="M337"/>
  <c r="K318"/>
  <c r="L318" s="1"/>
  <c r="O318"/>
  <c r="I318"/>
  <c r="K332"/>
  <c r="L332" s="1"/>
  <c r="O332"/>
  <c r="I332"/>
  <c r="M356"/>
  <c r="M324"/>
  <c r="J324"/>
  <c r="N324" s="1"/>
  <c r="M304"/>
  <c r="M288"/>
  <c r="N272"/>
  <c r="M341"/>
  <c r="I244"/>
  <c r="O244"/>
  <c r="K244"/>
  <c r="L244" s="1"/>
  <c r="J273"/>
  <c r="N273" s="1"/>
  <c r="I247"/>
  <c r="O247"/>
  <c r="K247"/>
  <c r="L247" s="1"/>
  <c r="N236"/>
  <c r="I239"/>
  <c r="K239"/>
  <c r="L239" s="1"/>
  <c r="O239"/>
  <c r="M183"/>
  <c r="J183"/>
  <c r="N183" s="1"/>
  <c r="J117"/>
  <c r="N117" s="1"/>
  <c r="M117"/>
  <c r="M42"/>
  <c r="J42"/>
  <c r="N42" s="1"/>
  <c r="J181"/>
  <c r="N181" s="1"/>
  <c r="M181"/>
  <c r="N150"/>
  <c r="J208"/>
  <c r="N208" s="1"/>
  <c r="O192"/>
  <c r="I192"/>
  <c r="K192"/>
  <c r="L192" s="1"/>
  <c r="O137"/>
  <c r="I137"/>
  <c r="K137"/>
  <c r="L137" s="1"/>
  <c r="N156"/>
  <c r="O107"/>
  <c r="K107"/>
  <c r="L107" s="1"/>
  <c r="I107"/>
  <c r="I85"/>
  <c r="K85"/>
  <c r="L85" s="1"/>
  <c r="O85"/>
  <c r="N61"/>
  <c r="I116"/>
  <c r="O116"/>
  <c r="K116"/>
  <c r="L116" s="1"/>
  <c r="J135"/>
  <c r="N135" s="1"/>
  <c r="M135"/>
  <c r="M113"/>
  <c r="M251"/>
  <c r="L136"/>
  <c r="N136" s="1"/>
  <c r="O105"/>
  <c r="K105"/>
  <c r="L105" s="1"/>
  <c r="I105"/>
  <c r="L152"/>
  <c r="N152" s="1"/>
  <c r="N142"/>
  <c r="M57"/>
  <c r="N197"/>
  <c r="J56"/>
  <c r="N56" s="1"/>
  <c r="K589"/>
  <c r="L589" s="1"/>
  <c r="I589"/>
  <c r="O589"/>
  <c r="J601"/>
  <c r="N601" s="1"/>
  <c r="M607"/>
  <c r="O543"/>
  <c r="I543"/>
  <c r="K543"/>
  <c r="L543" s="1"/>
  <c r="N586"/>
  <c r="J597"/>
  <c r="N597" s="1"/>
  <c r="J551"/>
  <c r="N551" s="1"/>
  <c r="M551"/>
  <c r="J588"/>
  <c r="N588" s="1"/>
  <c r="M588"/>
  <c r="N530"/>
  <c r="N568"/>
  <c r="M498"/>
  <c r="J498"/>
  <c r="N498" s="1"/>
  <c r="O480"/>
  <c r="I480"/>
  <c r="K480"/>
  <c r="L480" s="1"/>
  <c r="L525" s="1"/>
  <c r="K20" s="1"/>
  <c r="L20" s="1"/>
  <c r="N539"/>
  <c r="M456"/>
  <c r="M464"/>
  <c r="J464"/>
  <c r="N464" s="1"/>
  <c r="M448"/>
  <c r="J448"/>
  <c r="N448" s="1"/>
  <c r="M396"/>
  <c r="N353"/>
  <c r="O388"/>
  <c r="K388"/>
  <c r="L388" s="1"/>
  <c r="I388"/>
  <c r="N383"/>
  <c r="K358"/>
  <c r="L358" s="1"/>
  <c r="I358"/>
  <c r="O358"/>
  <c r="I268"/>
  <c r="K268"/>
  <c r="L268" s="1"/>
  <c r="O268"/>
  <c r="N281"/>
  <c r="O293"/>
  <c r="I293"/>
  <c r="K293"/>
  <c r="L293" s="1"/>
  <c r="N368"/>
  <c r="M287"/>
  <c r="J287"/>
  <c r="N287" s="1"/>
  <c r="I339"/>
  <c r="O339"/>
  <c r="K339"/>
  <c r="L339" s="1"/>
  <c r="O303"/>
  <c r="I303"/>
  <c r="K303"/>
  <c r="L303" s="1"/>
  <c r="J338"/>
  <c r="N338" s="1"/>
  <c r="M338"/>
  <c r="I271"/>
  <c r="K271"/>
  <c r="L271" s="1"/>
  <c r="O271"/>
  <c r="O228"/>
  <c r="K228"/>
  <c r="L228" s="1"/>
  <c r="I228"/>
  <c r="M327"/>
  <c r="I237"/>
  <c r="O237"/>
  <c r="K237"/>
  <c r="L237" s="1"/>
  <c r="M284"/>
  <c r="O263"/>
  <c r="I263"/>
  <c r="K263"/>
  <c r="L263" s="1"/>
  <c r="M213"/>
  <c r="J213"/>
  <c r="N213" s="1"/>
  <c r="K176"/>
  <c r="L176" s="1"/>
  <c r="O176"/>
  <c r="I176"/>
  <c r="K121"/>
  <c r="L121" s="1"/>
  <c r="O121"/>
  <c r="I121"/>
  <c r="N39"/>
  <c r="I122"/>
  <c r="O122"/>
  <c r="K122"/>
  <c r="L122" s="1"/>
  <c r="J71"/>
  <c r="N71" s="1"/>
  <c r="M71"/>
  <c r="M207"/>
  <c r="M184"/>
  <c r="N79"/>
  <c r="O162"/>
  <c r="I162"/>
  <c r="K162"/>
  <c r="L162" s="1"/>
  <c r="M65"/>
  <c r="J65"/>
  <c r="N65" s="1"/>
  <c r="M214"/>
  <c r="J214"/>
  <c r="N214" s="1"/>
  <c r="M150"/>
  <c r="J44"/>
  <c r="N44" s="1"/>
  <c r="M44"/>
  <c r="J59"/>
  <c r="N59" s="1"/>
  <c r="M59"/>
  <c r="M104" l="1"/>
  <c r="J104"/>
  <c r="N104" s="1"/>
  <c r="M73"/>
  <c r="J73"/>
  <c r="N73" s="1"/>
  <c r="M231"/>
  <c r="L231"/>
  <c r="N231" s="1"/>
  <c r="N436"/>
  <c r="L89"/>
  <c r="K7" s="1"/>
  <c r="L7" s="1"/>
  <c r="L577"/>
  <c r="K21" s="1"/>
  <c r="L21" s="1"/>
  <c r="M458"/>
  <c r="J458"/>
  <c r="N458" s="1"/>
  <c r="M45"/>
  <c r="J45"/>
  <c r="N45" s="1"/>
  <c r="L418"/>
  <c r="K18" s="1"/>
  <c r="L18" s="1"/>
  <c r="M512"/>
  <c r="L308"/>
  <c r="K16" s="1"/>
  <c r="L16" s="1"/>
  <c r="M223"/>
  <c r="J223"/>
  <c r="N223" s="1"/>
  <c r="M490"/>
  <c r="J490"/>
  <c r="N490" s="1"/>
  <c r="M410"/>
  <c r="J410"/>
  <c r="N410" s="1"/>
  <c r="L610"/>
  <c r="K22" s="1"/>
  <c r="L22" s="1"/>
  <c r="M276"/>
  <c r="J276"/>
  <c r="N276" s="1"/>
  <c r="E20" i="28"/>
  <c r="E21" s="1"/>
  <c r="E22" s="1"/>
  <c r="M495" i="27"/>
  <c r="J495"/>
  <c r="N495" s="1"/>
  <c r="M451"/>
  <c r="J451"/>
  <c r="N451" s="1"/>
  <c r="M504"/>
  <c r="J504"/>
  <c r="N504" s="1"/>
  <c r="M318"/>
  <c r="J318"/>
  <c r="N318" s="1"/>
  <c r="M373"/>
  <c r="J373"/>
  <c r="N373" s="1"/>
  <c r="M101"/>
  <c r="J101"/>
  <c r="N101" s="1"/>
  <c r="M264"/>
  <c r="J264"/>
  <c r="N264" s="1"/>
  <c r="M466"/>
  <c r="J466"/>
  <c r="N466" s="1"/>
  <c r="L471"/>
  <c r="K19" s="1"/>
  <c r="L19" s="1"/>
  <c r="M149"/>
  <c r="J149"/>
  <c r="M286"/>
  <c r="J286"/>
  <c r="N286" s="1"/>
  <c r="L363"/>
  <c r="K17" s="1"/>
  <c r="L17" s="1"/>
  <c r="M447"/>
  <c r="J447"/>
  <c r="N447" s="1"/>
  <c r="J535"/>
  <c r="N535" s="1"/>
  <c r="M535"/>
  <c r="M99"/>
  <c r="J99"/>
  <c r="N99" s="1"/>
  <c r="N258"/>
  <c r="M492"/>
  <c r="J492"/>
  <c r="N492" s="1"/>
  <c r="M153"/>
  <c r="J153"/>
  <c r="N153" s="1"/>
  <c r="M387"/>
  <c r="J387"/>
  <c r="N387" s="1"/>
  <c r="M76"/>
  <c r="J76"/>
  <c r="N76" s="1"/>
  <c r="M505"/>
  <c r="J505"/>
  <c r="N505" s="1"/>
  <c r="M105"/>
  <c r="J105"/>
  <c r="N105" s="1"/>
  <c r="M388"/>
  <c r="J388"/>
  <c r="N388" s="1"/>
  <c r="M247"/>
  <c r="J247"/>
  <c r="N247" s="1"/>
  <c r="M482"/>
  <c r="J482"/>
  <c r="N482" s="1"/>
  <c r="M182"/>
  <c r="J182"/>
  <c r="N182" s="1"/>
  <c r="M84"/>
  <c r="J84"/>
  <c r="N84" s="1"/>
  <c r="M194"/>
  <c r="J194"/>
  <c r="N194" s="1"/>
  <c r="M314"/>
  <c r="J314"/>
  <c r="N314" s="1"/>
  <c r="M349"/>
  <c r="J349"/>
  <c r="N349" s="1"/>
  <c r="L199"/>
  <c r="K14" s="1"/>
  <c r="L14" s="1"/>
  <c r="M80"/>
  <c r="J80"/>
  <c r="N80" s="1"/>
  <c r="J242"/>
  <c r="N242" s="1"/>
  <c r="M242"/>
  <c r="M400"/>
  <c r="J400"/>
  <c r="N400" s="1"/>
  <c r="M391"/>
  <c r="J391"/>
  <c r="N391" s="1"/>
  <c r="M491"/>
  <c r="J491"/>
  <c r="N491" s="1"/>
  <c r="M599"/>
  <c r="J599"/>
  <c r="N599" s="1"/>
  <c r="M296"/>
  <c r="J296"/>
  <c r="N296" s="1"/>
  <c r="J172"/>
  <c r="N172" s="1"/>
  <c r="M172"/>
  <c r="M497"/>
  <c r="J497"/>
  <c r="N497" s="1"/>
  <c r="M536"/>
  <c r="J536"/>
  <c r="N536" s="1"/>
  <c r="M112"/>
  <c r="J112"/>
  <c r="N112" s="1"/>
  <c r="M561"/>
  <c r="J561"/>
  <c r="N561" s="1"/>
  <c r="M459"/>
  <c r="J459"/>
  <c r="N459" s="1"/>
  <c r="M427"/>
  <c r="J427"/>
  <c r="N427" s="1"/>
  <c r="J176"/>
  <c r="N176" s="1"/>
  <c r="M176"/>
  <c r="M271"/>
  <c r="J271"/>
  <c r="N271" s="1"/>
  <c r="M103"/>
  <c r="J103"/>
  <c r="N103" s="1"/>
  <c r="M246"/>
  <c r="J246"/>
  <c r="N246" s="1"/>
  <c r="M306"/>
  <c r="J306"/>
  <c r="N306" s="1"/>
  <c r="M359"/>
  <c r="J359"/>
  <c r="N359" s="1"/>
  <c r="M82"/>
  <c r="J82"/>
  <c r="N82" s="1"/>
  <c r="M465"/>
  <c r="J465"/>
  <c r="N465" s="1"/>
  <c r="M390"/>
  <c r="J390"/>
  <c r="N390" s="1"/>
  <c r="M522"/>
  <c r="J522"/>
  <c r="N522" s="1"/>
  <c r="M69"/>
  <c r="J69"/>
  <c r="N69" s="1"/>
  <c r="M343"/>
  <c r="J343"/>
  <c r="N343" s="1"/>
  <c r="M403"/>
  <c r="J403"/>
  <c r="N403" s="1"/>
  <c r="M431"/>
  <c r="J431"/>
  <c r="N431" s="1"/>
  <c r="M585"/>
  <c r="J585"/>
  <c r="N585" s="1"/>
  <c r="M167"/>
  <c r="J167"/>
  <c r="N167" s="1"/>
  <c r="J66"/>
  <c r="N66" s="1"/>
  <c r="M66"/>
  <c r="J279"/>
  <c r="N279" s="1"/>
  <c r="M279"/>
  <c r="M406"/>
  <c r="J406"/>
  <c r="N406" s="1"/>
  <c r="M204"/>
  <c r="J204"/>
  <c r="M134"/>
  <c r="J134"/>
  <c r="N134" s="1"/>
  <c r="M395"/>
  <c r="J395"/>
  <c r="N395" s="1"/>
  <c r="M192"/>
  <c r="J192"/>
  <c r="N192" s="1"/>
  <c r="M501"/>
  <c r="J501"/>
  <c r="N501" s="1"/>
  <c r="M162"/>
  <c r="J162"/>
  <c r="N162" s="1"/>
  <c r="M116"/>
  <c r="J116"/>
  <c r="N116" s="1"/>
  <c r="M237"/>
  <c r="J237"/>
  <c r="N237" s="1"/>
  <c r="M543"/>
  <c r="J543"/>
  <c r="N543" s="1"/>
  <c r="M460"/>
  <c r="J460"/>
  <c r="N460" s="1"/>
  <c r="M469"/>
  <c r="J469"/>
  <c r="N469" s="1"/>
  <c r="M326"/>
  <c r="J326"/>
  <c r="N326" s="1"/>
  <c r="M393"/>
  <c r="J393"/>
  <c r="N393" s="1"/>
  <c r="M377"/>
  <c r="J377"/>
  <c r="N377" s="1"/>
  <c r="M487"/>
  <c r="J487"/>
  <c r="N487" s="1"/>
  <c r="J140"/>
  <c r="N140" s="1"/>
  <c r="M140"/>
  <c r="M405"/>
  <c r="J405"/>
  <c r="N405" s="1"/>
  <c r="M97"/>
  <c r="J97"/>
  <c r="N97" s="1"/>
  <c r="L144"/>
  <c r="K8" s="1"/>
  <c r="L8" s="1"/>
  <c r="N580"/>
  <c r="L254"/>
  <c r="K15" s="1"/>
  <c r="L15" s="1"/>
  <c r="J154"/>
  <c r="N154" s="1"/>
  <c r="M154"/>
  <c r="J232"/>
  <c r="N232" s="1"/>
  <c r="M232"/>
  <c r="M415"/>
  <c r="J415"/>
  <c r="N415" s="1"/>
  <c r="M293"/>
  <c r="J293"/>
  <c r="N293" s="1"/>
  <c r="M249"/>
  <c r="J249"/>
  <c r="N249" s="1"/>
  <c r="M558"/>
  <c r="J558"/>
  <c r="N558" s="1"/>
  <c r="M291"/>
  <c r="J291"/>
  <c r="N291" s="1"/>
  <c r="M122"/>
  <c r="J122"/>
  <c r="N122" s="1"/>
  <c r="M339"/>
  <c r="J339"/>
  <c r="N339" s="1"/>
  <c r="M268"/>
  <c r="J268"/>
  <c r="N268" s="1"/>
  <c r="M137"/>
  <c r="J137"/>
  <c r="N137" s="1"/>
  <c r="M430"/>
  <c r="J430"/>
  <c r="N430" s="1"/>
  <c r="M411"/>
  <c r="J411"/>
  <c r="N411" s="1"/>
  <c r="M552"/>
  <c r="J552"/>
  <c r="N552" s="1"/>
  <c r="M72"/>
  <c r="J72"/>
  <c r="N72" s="1"/>
  <c r="M292"/>
  <c r="J292"/>
  <c r="N292" s="1"/>
  <c r="M455"/>
  <c r="J455"/>
  <c r="N455" s="1"/>
  <c r="M545"/>
  <c r="J545"/>
  <c r="N545" s="1"/>
  <c r="M127"/>
  <c r="J127"/>
  <c r="N127" s="1"/>
  <c r="M433"/>
  <c r="J433"/>
  <c r="N433" s="1"/>
  <c r="M554"/>
  <c r="J554"/>
  <c r="N554" s="1"/>
  <c r="J340"/>
  <c r="N340" s="1"/>
  <c r="M340"/>
  <c r="M520"/>
  <c r="J520"/>
  <c r="N520" s="1"/>
  <c r="M95"/>
  <c r="J95"/>
  <c r="M334"/>
  <c r="J334"/>
  <c r="N334" s="1"/>
  <c r="M550"/>
  <c r="J550"/>
  <c r="N550" s="1"/>
  <c r="M478"/>
  <c r="J478"/>
  <c r="M295"/>
  <c r="J295"/>
  <c r="N295" s="1"/>
  <c r="M428"/>
  <c r="J428"/>
  <c r="N428" s="1"/>
  <c r="M107"/>
  <c r="J107"/>
  <c r="N107" s="1"/>
  <c r="M423"/>
  <c r="J423"/>
  <c r="M120"/>
  <c r="J120"/>
  <c r="N120" s="1"/>
  <c r="M570"/>
  <c r="J570"/>
  <c r="N570" s="1"/>
  <c r="M541"/>
  <c r="J541"/>
  <c r="N541" s="1"/>
  <c r="M589"/>
  <c r="J589"/>
  <c r="N589" s="1"/>
  <c r="J121"/>
  <c r="N121" s="1"/>
  <c r="M121"/>
  <c r="J228"/>
  <c r="N228" s="1"/>
  <c r="M228"/>
  <c r="M480"/>
  <c r="J480"/>
  <c r="N480" s="1"/>
  <c r="M239"/>
  <c r="J239"/>
  <c r="N239" s="1"/>
  <c r="M244"/>
  <c r="J244"/>
  <c r="N244" s="1"/>
  <c r="J332"/>
  <c r="N332" s="1"/>
  <c r="M332"/>
  <c r="M369"/>
  <c r="J369"/>
  <c r="M177"/>
  <c r="J177"/>
  <c r="N177" s="1"/>
  <c r="M360"/>
  <c r="J360"/>
  <c r="N360" s="1"/>
  <c r="J382"/>
  <c r="N382" s="1"/>
  <c r="M382"/>
  <c r="J158"/>
  <c r="N158" s="1"/>
  <c r="M158"/>
  <c r="J320"/>
  <c r="N320" s="1"/>
  <c r="M320"/>
  <c r="M440"/>
  <c r="J440"/>
  <c r="N440" s="1"/>
  <c r="M441"/>
  <c r="J441"/>
  <c r="N441" s="1"/>
  <c r="M517"/>
  <c r="J517"/>
  <c r="N517" s="1"/>
  <c r="M210"/>
  <c r="J210"/>
  <c r="N210" s="1"/>
  <c r="M294"/>
  <c r="J294"/>
  <c r="N294" s="1"/>
  <c r="M267"/>
  <c r="J267"/>
  <c r="N267" s="1"/>
  <c r="M331"/>
  <c r="J331"/>
  <c r="N331" s="1"/>
  <c r="M494"/>
  <c r="J494"/>
  <c r="N494" s="1"/>
  <c r="M408"/>
  <c r="J408"/>
  <c r="N408" s="1"/>
  <c r="M375"/>
  <c r="J375"/>
  <c r="N375" s="1"/>
  <c r="M438"/>
  <c r="J438"/>
  <c r="N438" s="1"/>
  <c r="M164"/>
  <c r="J164"/>
  <c r="N164" s="1"/>
  <c r="M178"/>
  <c r="J178"/>
  <c r="N178" s="1"/>
  <c r="M534"/>
  <c r="J534"/>
  <c r="M313"/>
  <c r="J313"/>
  <c r="M348"/>
  <c r="J348"/>
  <c r="N348" s="1"/>
  <c r="M371"/>
  <c r="J371"/>
  <c r="N371" s="1"/>
  <c r="J263"/>
  <c r="N263" s="1"/>
  <c r="M263"/>
  <c r="M303"/>
  <c r="J303"/>
  <c r="N303" s="1"/>
  <c r="M358"/>
  <c r="J358"/>
  <c r="N358" s="1"/>
  <c r="M85"/>
  <c r="J85"/>
  <c r="N85" s="1"/>
  <c r="M509"/>
  <c r="J509"/>
  <c r="N509" s="1"/>
  <c r="M282"/>
  <c r="J282"/>
  <c r="N282" s="1"/>
  <c r="J518"/>
  <c r="N518" s="1"/>
  <c r="M518"/>
  <c r="M159"/>
  <c r="J159"/>
  <c r="N159" s="1"/>
  <c r="M139"/>
  <c r="J139"/>
  <c r="N139" s="1"/>
  <c r="M372"/>
  <c r="J372"/>
  <c r="N372" s="1"/>
  <c r="M413"/>
  <c r="J413"/>
  <c r="N413" s="1"/>
  <c r="M452"/>
  <c r="J452"/>
  <c r="N452" s="1"/>
  <c r="J195"/>
  <c r="N195" s="1"/>
  <c r="M195"/>
  <c r="M266"/>
  <c r="J266"/>
  <c r="N266" s="1"/>
  <c r="M328"/>
  <c r="J328"/>
  <c r="N328" s="1"/>
  <c r="M437"/>
  <c r="J437"/>
  <c r="N437" s="1"/>
  <c r="M488"/>
  <c r="J488"/>
  <c r="N488" s="1"/>
  <c r="M74"/>
  <c r="J74"/>
  <c r="N74" s="1"/>
  <c r="M416"/>
  <c r="J416"/>
  <c r="N416" s="1"/>
  <c r="M567"/>
  <c r="J567"/>
  <c r="N567" s="1"/>
  <c r="M77"/>
  <c r="J77"/>
  <c r="N77" s="1"/>
  <c r="J224"/>
  <c r="N224" s="1"/>
  <c r="M224"/>
  <c r="J252"/>
  <c r="N252" s="1"/>
  <c r="M252"/>
  <c r="M221"/>
  <c r="J221"/>
  <c r="N221" s="1"/>
  <c r="M604"/>
  <c r="J604"/>
  <c r="N604" s="1"/>
  <c r="M109"/>
  <c r="J109"/>
  <c r="N109" s="1"/>
  <c r="J355"/>
  <c r="N355" s="1"/>
  <c r="M355"/>
  <c r="J424"/>
  <c r="N424" s="1"/>
  <c r="M424"/>
  <c r="M511"/>
  <c r="J511"/>
  <c r="N511" s="1"/>
  <c r="L10" l="1"/>
  <c r="N89"/>
  <c r="M7" s="1"/>
  <c r="E23" i="28"/>
  <c r="N95" i="27"/>
  <c r="N144" s="1"/>
  <c r="M8" s="1"/>
  <c r="J144"/>
  <c r="I8" s="1"/>
  <c r="J8" s="1"/>
  <c r="N8" s="1"/>
  <c r="N204"/>
  <c r="N254" s="1"/>
  <c r="M15" s="1"/>
  <c r="J254"/>
  <c r="I15" s="1"/>
  <c r="J15" s="1"/>
  <c r="N15" s="1"/>
  <c r="J363"/>
  <c r="I17" s="1"/>
  <c r="J17" s="1"/>
  <c r="N17" s="1"/>
  <c r="N313"/>
  <c r="N363" s="1"/>
  <c r="M17" s="1"/>
  <c r="J471"/>
  <c r="I19" s="1"/>
  <c r="J19" s="1"/>
  <c r="N19" s="1"/>
  <c r="N423"/>
  <c r="N471" s="1"/>
  <c r="M19" s="1"/>
  <c r="N478"/>
  <c r="N525" s="1"/>
  <c r="M20" s="1"/>
  <c r="J525"/>
  <c r="I20" s="1"/>
  <c r="J20" s="1"/>
  <c r="N20" s="1"/>
  <c r="J610"/>
  <c r="I22" s="1"/>
  <c r="J22" s="1"/>
  <c r="N22" s="1"/>
  <c r="N308"/>
  <c r="M16" s="1"/>
  <c r="J89"/>
  <c r="I7" s="1"/>
  <c r="J7" s="1"/>
  <c r="N369"/>
  <c r="N418" s="1"/>
  <c r="M18" s="1"/>
  <c r="J418"/>
  <c r="I18" s="1"/>
  <c r="J18" s="1"/>
  <c r="N18" s="1"/>
  <c r="N610"/>
  <c r="M22" s="1"/>
  <c r="J308"/>
  <c r="I16" s="1"/>
  <c r="J16" s="1"/>
  <c r="N16" s="1"/>
  <c r="N534"/>
  <c r="N577" s="1"/>
  <c r="M21" s="1"/>
  <c r="J577"/>
  <c r="I21" s="1"/>
  <c r="J21" s="1"/>
  <c r="N21" s="1"/>
  <c r="L24"/>
  <c r="L27" s="1"/>
  <c r="N149"/>
  <c r="N199" s="1"/>
  <c r="M14" s="1"/>
  <c r="J199"/>
  <c r="I14" s="1"/>
  <c r="J14" s="1"/>
  <c r="E24" i="28" l="1"/>
  <c r="N14" i="27"/>
  <c r="N24" s="1"/>
  <c r="J24"/>
  <c r="J10"/>
  <c r="N7"/>
  <c r="N10" s="1"/>
  <c r="E25" i="28" l="1"/>
  <c r="E26" s="1"/>
  <c r="K18" i="21" s="1"/>
  <c r="F8" i="28"/>
  <c r="F11"/>
  <c r="F21"/>
  <c r="F22"/>
  <c r="F23"/>
  <c r="J27" i="27"/>
  <c r="N27"/>
  <c r="F24" i="28" l="1"/>
  <c r="I257" i="24" l="1"/>
  <c r="J257" s="1"/>
  <c r="I31"/>
  <c r="I30"/>
  <c r="I29"/>
  <c r="I14"/>
  <c r="I13"/>
  <c r="I12"/>
  <c r="J12" s="1"/>
  <c r="I11"/>
  <c r="O518" i="4"/>
  <c r="O512"/>
  <c r="O511"/>
  <c r="O505"/>
  <c r="O493"/>
  <c r="O492"/>
  <c r="O491"/>
  <c r="O468"/>
  <c r="O469"/>
  <c r="O470"/>
  <c r="O473"/>
  <c r="O78"/>
  <c r="O73"/>
  <c r="O72"/>
  <c r="O70"/>
  <c r="O36"/>
  <c r="H3" i="26"/>
  <c r="G19" s="1"/>
  <c r="I248" i="24" s="1"/>
  <c r="J248" s="1"/>
  <c r="L140" i="25"/>
  <c r="A140"/>
  <c r="L139"/>
  <c r="A139"/>
  <c r="L138"/>
  <c r="A138"/>
  <c r="L137"/>
  <c r="A137"/>
  <c r="L136"/>
  <c r="A136"/>
  <c r="L135"/>
  <c r="A135"/>
  <c r="L134"/>
  <c r="A134"/>
  <c r="L133"/>
  <c r="A133"/>
  <c r="L132"/>
  <c r="A132"/>
  <c r="L131"/>
  <c r="A131"/>
  <c r="L130"/>
  <c r="A130"/>
  <c r="L129"/>
  <c r="A129"/>
  <c r="L128"/>
  <c r="A128"/>
  <c r="L127"/>
  <c r="A127"/>
  <c r="L126"/>
  <c r="A126"/>
  <c r="L125"/>
  <c r="A125"/>
  <c r="L124"/>
  <c r="A124"/>
  <c r="L123"/>
  <c r="A123"/>
  <c r="L122"/>
  <c r="A122"/>
  <c r="L121"/>
  <c r="A121"/>
  <c r="L120"/>
  <c r="A120"/>
  <c r="L119"/>
  <c r="A119"/>
  <c r="L118"/>
  <c r="A118"/>
  <c r="L117"/>
  <c r="A117"/>
  <c r="L116"/>
  <c r="A116"/>
  <c r="L115"/>
  <c r="A115"/>
  <c r="L114"/>
  <c r="A114"/>
  <c r="L113"/>
  <c r="A113"/>
  <c r="L112"/>
  <c r="A112"/>
  <c r="L111"/>
  <c r="A111"/>
  <c r="L110"/>
  <c r="A110"/>
  <c r="L109"/>
  <c r="A109"/>
  <c r="L108"/>
  <c r="A108"/>
  <c r="L107"/>
  <c r="A107"/>
  <c r="L106"/>
  <c r="A106"/>
  <c r="L105"/>
  <c r="A105"/>
  <c r="L104"/>
  <c r="A104"/>
  <c r="L103"/>
  <c r="A103"/>
  <c r="L102"/>
  <c r="A102"/>
  <c r="L101"/>
  <c r="A101"/>
  <c r="L100"/>
  <c r="A100"/>
  <c r="L99"/>
  <c r="A99"/>
  <c r="L98"/>
  <c r="A98"/>
  <c r="L97"/>
  <c r="A97"/>
  <c r="L96"/>
  <c r="A96"/>
  <c r="L95"/>
  <c r="A95"/>
  <c r="L94"/>
  <c r="A94"/>
  <c r="L93"/>
  <c r="A93"/>
  <c r="L92"/>
  <c r="A92"/>
  <c r="L91"/>
  <c r="A91"/>
  <c r="L90"/>
  <c r="A90"/>
  <c r="L89"/>
  <c r="A89"/>
  <c r="L88"/>
  <c r="A88"/>
  <c r="L87"/>
  <c r="A87"/>
  <c r="L86"/>
  <c r="A86"/>
  <c r="L85"/>
  <c r="A85"/>
  <c r="L84"/>
  <c r="A84"/>
  <c r="L83"/>
  <c r="A83"/>
  <c r="L82"/>
  <c r="A82"/>
  <c r="L81"/>
  <c r="A81"/>
  <c r="L80"/>
  <c r="A80"/>
  <c r="L79"/>
  <c r="A79"/>
  <c r="L78"/>
  <c r="A78"/>
  <c r="L77"/>
  <c r="A77"/>
  <c r="L76"/>
  <c r="A76"/>
  <c r="L75"/>
  <c r="A75"/>
  <c r="L74"/>
  <c r="A74"/>
  <c r="L73"/>
  <c r="A73"/>
  <c r="L72"/>
  <c r="A72"/>
  <c r="L71"/>
  <c r="A71"/>
  <c r="L70"/>
  <c r="G224" i="24" s="1"/>
  <c r="A70" i="25"/>
  <c r="L69"/>
  <c r="A69"/>
  <c r="L68"/>
  <c r="A68"/>
  <c r="L67"/>
  <c r="A67"/>
  <c r="L66"/>
  <c r="A66"/>
  <c r="L65"/>
  <c r="A65"/>
  <c r="L64"/>
  <c r="A64"/>
  <c r="L63"/>
  <c r="A63"/>
  <c r="L62"/>
  <c r="A62"/>
  <c r="L61"/>
  <c r="A61"/>
  <c r="L60"/>
  <c r="G237" i="24" s="1"/>
  <c r="A60" i="25"/>
  <c r="L59"/>
  <c r="A59"/>
  <c r="L58"/>
  <c r="A58"/>
  <c r="L57"/>
  <c r="A57"/>
  <c r="L56"/>
  <c r="L55"/>
  <c r="G27" i="24" s="1"/>
  <c r="A55" i="25"/>
  <c r="L54"/>
  <c r="A54"/>
  <c r="L53"/>
  <c r="A53"/>
  <c r="L52"/>
  <c r="A52"/>
  <c r="L51"/>
  <c r="A51"/>
  <c r="L50"/>
  <c r="A50"/>
  <c r="L49"/>
  <c r="A49"/>
  <c r="L48"/>
  <c r="A48"/>
  <c r="F47"/>
  <c r="L47" s="1"/>
  <c r="A47"/>
  <c r="L46"/>
  <c r="G225" i="24" s="1"/>
  <c r="A46" i="25"/>
  <c r="L45"/>
  <c r="G42" i="24" s="1"/>
  <c r="A45" i="25"/>
  <c r="L44"/>
  <c r="G41" i="24" s="1"/>
  <c r="A44" i="25"/>
  <c r="L43"/>
  <c r="A43"/>
  <c r="L42"/>
  <c r="A42"/>
  <c r="L41"/>
  <c r="G184" i="24" s="1"/>
  <c r="A41" i="25"/>
  <c r="L40"/>
  <c r="A40"/>
  <c r="L39"/>
  <c r="A39"/>
  <c r="L38"/>
  <c r="A38"/>
  <c r="L37"/>
  <c r="A37"/>
  <c r="L36"/>
  <c r="A36"/>
  <c r="L35"/>
  <c r="G235" i="24" s="1"/>
  <c r="A35" i="25"/>
  <c r="L34"/>
  <c r="G246" i="24" s="1"/>
  <c r="A34" i="25"/>
  <c r="L33"/>
  <c r="A33"/>
  <c r="L32"/>
  <c r="G200" i="24" s="1"/>
  <c r="A32" i="25"/>
  <c r="L31"/>
  <c r="G198" i="24" s="1"/>
  <c r="A31" i="25"/>
  <c r="L30"/>
  <c r="G213" i="24" s="1"/>
  <c r="A30" i="25"/>
  <c r="L29"/>
  <c r="G199" i="24" s="1"/>
  <c r="A29" i="25"/>
  <c r="L28"/>
  <c r="G201" i="24" s="1"/>
  <c r="A28" i="25"/>
  <c r="L27"/>
  <c r="A27"/>
  <c r="L26"/>
  <c r="A26"/>
  <c r="L25"/>
  <c r="G223" i="24" s="1"/>
  <c r="A25" i="25"/>
  <c r="L24"/>
  <c r="A24"/>
  <c r="L23"/>
  <c r="A23"/>
  <c r="L22"/>
  <c r="G222" i="24" s="1"/>
  <c r="A22" i="25"/>
  <c r="L21"/>
  <c r="A21"/>
  <c r="L20"/>
  <c r="A20"/>
  <c r="L19"/>
  <c r="A19"/>
  <c r="L18"/>
  <c r="A18"/>
  <c r="L17"/>
  <c r="A17"/>
  <c r="L16"/>
  <c r="A16"/>
  <c r="L15"/>
  <c r="G247" i="24" s="1"/>
  <c r="A15" i="25"/>
  <c r="L14"/>
  <c r="A14"/>
  <c r="L13"/>
  <c r="A13"/>
  <c r="L12"/>
  <c r="A12"/>
  <c r="L11"/>
  <c r="A11"/>
  <c r="L10"/>
  <c r="A10"/>
  <c r="L9"/>
  <c r="A9"/>
  <c r="L8"/>
  <c r="A8"/>
  <c r="L7"/>
  <c r="A7"/>
  <c r="N6"/>
  <c r="N7" s="1"/>
  <c r="L6"/>
  <c r="A6"/>
  <c r="L5"/>
  <c r="B5"/>
  <c r="A5"/>
  <c r="L3"/>
  <c r="L908" i="24"/>
  <c r="I908"/>
  <c r="J908" s="1"/>
  <c r="G908"/>
  <c r="H908" s="1"/>
  <c r="D908"/>
  <c r="L907"/>
  <c r="I907"/>
  <c r="J907" s="1"/>
  <c r="G907"/>
  <c r="H907" s="1"/>
  <c r="D907"/>
  <c r="D906"/>
  <c r="D905"/>
  <c r="D899"/>
  <c r="L899" s="1"/>
  <c r="D898"/>
  <c r="D892"/>
  <c r="D891"/>
  <c r="D890"/>
  <c r="D889"/>
  <c r="L883"/>
  <c r="I883"/>
  <c r="J883" s="1"/>
  <c r="G883"/>
  <c r="H883" s="1"/>
  <c r="D883"/>
  <c r="L882"/>
  <c r="I882"/>
  <c r="J882" s="1"/>
  <c r="G882"/>
  <c r="H882" s="1"/>
  <c r="D882"/>
  <c r="F881"/>
  <c r="D881"/>
  <c r="F880"/>
  <c r="D880"/>
  <c r="D879"/>
  <c r="D878"/>
  <c r="L872"/>
  <c r="I872"/>
  <c r="J872" s="1"/>
  <c r="G872"/>
  <c r="H872" s="1"/>
  <c r="D872"/>
  <c r="L871"/>
  <c r="I871"/>
  <c r="J871" s="1"/>
  <c r="G871"/>
  <c r="H871" s="1"/>
  <c r="D871"/>
  <c r="D870"/>
  <c r="L864"/>
  <c r="I864"/>
  <c r="J864" s="1"/>
  <c r="G864"/>
  <c r="H864" s="1"/>
  <c r="D864"/>
  <c r="L863"/>
  <c r="I863"/>
  <c r="J863" s="1"/>
  <c r="G863"/>
  <c r="H863" s="1"/>
  <c r="D863"/>
  <c r="D862"/>
  <c r="L856"/>
  <c r="I856"/>
  <c r="J856" s="1"/>
  <c r="G856"/>
  <c r="H856" s="1"/>
  <c r="D856"/>
  <c r="L855"/>
  <c r="I855"/>
  <c r="J855" s="1"/>
  <c r="G855"/>
  <c r="H855" s="1"/>
  <c r="D855"/>
  <c r="L854"/>
  <c r="I854"/>
  <c r="J854" s="1"/>
  <c r="G854"/>
  <c r="H854" s="1"/>
  <c r="D854"/>
  <c r="L853"/>
  <c r="I853"/>
  <c r="J853" s="1"/>
  <c r="G853"/>
  <c r="H853" s="1"/>
  <c r="D853"/>
  <c r="D852"/>
  <c r="D851"/>
  <c r="L845"/>
  <c r="I845"/>
  <c r="J845" s="1"/>
  <c r="H845"/>
  <c r="G845"/>
  <c r="D845"/>
  <c r="L844"/>
  <c r="I844"/>
  <c r="J844" s="1"/>
  <c r="G844"/>
  <c r="H844" s="1"/>
  <c r="D844"/>
  <c r="L843"/>
  <c r="I843"/>
  <c r="J843" s="1"/>
  <c r="G843"/>
  <c r="H843" s="1"/>
  <c r="D843"/>
  <c r="L842"/>
  <c r="I842"/>
  <c r="J842" s="1"/>
  <c r="G842"/>
  <c r="H842" s="1"/>
  <c r="D842"/>
  <c r="D841"/>
  <c r="D840"/>
  <c r="L834"/>
  <c r="I834"/>
  <c r="J834" s="1"/>
  <c r="G834"/>
  <c r="H834" s="1"/>
  <c r="D834"/>
  <c r="L833"/>
  <c r="I833"/>
  <c r="J833" s="1"/>
  <c r="G833"/>
  <c r="H833" s="1"/>
  <c r="K833" s="1"/>
  <c r="D833"/>
  <c r="L832"/>
  <c r="I832"/>
  <c r="J832" s="1"/>
  <c r="G832"/>
  <c r="H832" s="1"/>
  <c r="D832"/>
  <c r="L831"/>
  <c r="I831"/>
  <c r="J831" s="1"/>
  <c r="G831"/>
  <c r="H831" s="1"/>
  <c r="D831"/>
  <c r="D830"/>
  <c r="D829"/>
  <c r="L823"/>
  <c r="I823"/>
  <c r="J823" s="1"/>
  <c r="G823"/>
  <c r="H823" s="1"/>
  <c r="D823"/>
  <c r="L822"/>
  <c r="I822"/>
  <c r="J822" s="1"/>
  <c r="G822"/>
  <c r="H822" s="1"/>
  <c r="D822"/>
  <c r="D821"/>
  <c r="L815"/>
  <c r="I815"/>
  <c r="J815" s="1"/>
  <c r="G815"/>
  <c r="H815" s="1"/>
  <c r="D815"/>
  <c r="L814"/>
  <c r="I814"/>
  <c r="J814" s="1"/>
  <c r="G814"/>
  <c r="H814" s="1"/>
  <c r="D814"/>
  <c r="D813"/>
  <c r="L807"/>
  <c r="I807"/>
  <c r="J807" s="1"/>
  <c r="G807"/>
  <c r="H807" s="1"/>
  <c r="D807"/>
  <c r="L806"/>
  <c r="I806"/>
  <c r="J806" s="1"/>
  <c r="G806"/>
  <c r="H806" s="1"/>
  <c r="D806"/>
  <c r="D805"/>
  <c r="L799"/>
  <c r="I799"/>
  <c r="J799" s="1"/>
  <c r="G799"/>
  <c r="H799" s="1"/>
  <c r="D799"/>
  <c r="L798"/>
  <c r="I798"/>
  <c r="J798" s="1"/>
  <c r="G798"/>
  <c r="H798" s="1"/>
  <c r="D798"/>
  <c r="D797"/>
  <c r="L791"/>
  <c r="I791"/>
  <c r="J791" s="1"/>
  <c r="G791"/>
  <c r="H791" s="1"/>
  <c r="D791"/>
  <c r="L790"/>
  <c r="I790"/>
  <c r="J790" s="1"/>
  <c r="G790"/>
  <c r="H790" s="1"/>
  <c r="D790"/>
  <c r="D789"/>
  <c r="L783"/>
  <c r="I783"/>
  <c r="J783" s="1"/>
  <c r="G783"/>
  <c r="H783" s="1"/>
  <c r="D783"/>
  <c r="L782"/>
  <c r="I782"/>
  <c r="J782" s="1"/>
  <c r="G782"/>
  <c r="H782" s="1"/>
  <c r="D782"/>
  <c r="L781"/>
  <c r="I781"/>
  <c r="J781" s="1"/>
  <c r="G781"/>
  <c r="H781" s="1"/>
  <c r="D781"/>
  <c r="L780"/>
  <c r="I780"/>
  <c r="J780" s="1"/>
  <c r="G780"/>
  <c r="H780" s="1"/>
  <c r="D780"/>
  <c r="D779"/>
  <c r="D778"/>
  <c r="L772"/>
  <c r="I772"/>
  <c r="J772" s="1"/>
  <c r="G772"/>
  <c r="H772" s="1"/>
  <c r="D772"/>
  <c r="L771"/>
  <c r="I771"/>
  <c r="J771" s="1"/>
  <c r="G771"/>
  <c r="H771" s="1"/>
  <c r="D771"/>
  <c r="L770"/>
  <c r="I770"/>
  <c r="J770" s="1"/>
  <c r="G770"/>
  <c r="H770" s="1"/>
  <c r="D770"/>
  <c r="D769"/>
  <c r="D768"/>
  <c r="L762"/>
  <c r="I762"/>
  <c r="J762" s="1"/>
  <c r="G762"/>
  <c r="H762" s="1"/>
  <c r="D762"/>
  <c r="L761"/>
  <c r="I761"/>
  <c r="J761" s="1"/>
  <c r="G761"/>
  <c r="H761" s="1"/>
  <c r="D761"/>
  <c r="D760"/>
  <c r="L754"/>
  <c r="I754"/>
  <c r="J754" s="1"/>
  <c r="G754"/>
  <c r="H754" s="1"/>
  <c r="D754"/>
  <c r="L753"/>
  <c r="I753"/>
  <c r="J753" s="1"/>
  <c r="G753"/>
  <c r="H753" s="1"/>
  <c r="D753"/>
  <c r="D752"/>
  <c r="L746"/>
  <c r="I746"/>
  <c r="J746" s="1"/>
  <c r="G746"/>
  <c r="H746" s="1"/>
  <c r="D746"/>
  <c r="L745"/>
  <c r="I745"/>
  <c r="J745" s="1"/>
  <c r="G745"/>
  <c r="H745" s="1"/>
  <c r="D745"/>
  <c r="D744"/>
  <c r="L738"/>
  <c r="I738"/>
  <c r="J738" s="1"/>
  <c r="G738"/>
  <c r="H738" s="1"/>
  <c r="D738"/>
  <c r="L737"/>
  <c r="I737"/>
  <c r="J737" s="1"/>
  <c r="G737"/>
  <c r="H737" s="1"/>
  <c r="D737"/>
  <c r="D736"/>
  <c r="L730"/>
  <c r="I730"/>
  <c r="J730" s="1"/>
  <c r="G730"/>
  <c r="H730" s="1"/>
  <c r="D730"/>
  <c r="L729"/>
  <c r="I729"/>
  <c r="J729" s="1"/>
  <c r="G729"/>
  <c r="H729" s="1"/>
  <c r="D729"/>
  <c r="D728"/>
  <c r="L722"/>
  <c r="I722"/>
  <c r="J722" s="1"/>
  <c r="G722"/>
  <c r="H722" s="1"/>
  <c r="D722"/>
  <c r="L721"/>
  <c r="I721"/>
  <c r="J721" s="1"/>
  <c r="G721"/>
  <c r="H721" s="1"/>
  <c r="D721"/>
  <c r="D720"/>
  <c r="L714"/>
  <c r="I714"/>
  <c r="J714" s="1"/>
  <c r="G714"/>
  <c r="H714" s="1"/>
  <c r="D714"/>
  <c r="L713"/>
  <c r="I713"/>
  <c r="J713" s="1"/>
  <c r="G713"/>
  <c r="H713" s="1"/>
  <c r="D713"/>
  <c r="D712"/>
  <c r="L706"/>
  <c r="I706"/>
  <c r="J706" s="1"/>
  <c r="G706"/>
  <c r="H706" s="1"/>
  <c r="D706"/>
  <c r="L705"/>
  <c r="I705"/>
  <c r="J705" s="1"/>
  <c r="G705"/>
  <c r="H705" s="1"/>
  <c r="D705"/>
  <c r="D704"/>
  <c r="D698"/>
  <c r="D697"/>
  <c r="D696"/>
  <c r="D695"/>
  <c r="D689"/>
  <c r="D688"/>
  <c r="D687"/>
  <c r="D686"/>
  <c r="L680"/>
  <c r="I680"/>
  <c r="J680" s="1"/>
  <c r="G680"/>
  <c r="H680" s="1"/>
  <c r="D680"/>
  <c r="D679"/>
  <c r="D678"/>
  <c r="D677"/>
  <c r="D676"/>
  <c r="D675"/>
  <c r="L669"/>
  <c r="I669"/>
  <c r="J669" s="1"/>
  <c r="G669"/>
  <c r="H669" s="1"/>
  <c r="D669"/>
  <c r="D668"/>
  <c r="D667"/>
  <c r="L660"/>
  <c r="I660"/>
  <c r="J660" s="1"/>
  <c r="G660"/>
  <c r="H660" s="1"/>
  <c r="D660"/>
  <c r="D659"/>
  <c r="D658"/>
  <c r="L651"/>
  <c r="I651"/>
  <c r="J651" s="1"/>
  <c r="G651"/>
  <c r="H651" s="1"/>
  <c r="D651"/>
  <c r="D650"/>
  <c r="L643"/>
  <c r="I643"/>
  <c r="J643" s="1"/>
  <c r="G643"/>
  <c r="H643" s="1"/>
  <c r="D643"/>
  <c r="D642"/>
  <c r="L635"/>
  <c r="I635"/>
  <c r="J635" s="1"/>
  <c r="G635"/>
  <c r="H635" s="1"/>
  <c r="D635"/>
  <c r="D634"/>
  <c r="L627"/>
  <c r="I627"/>
  <c r="J627" s="1"/>
  <c r="G627"/>
  <c r="H627" s="1"/>
  <c r="D627"/>
  <c r="D626"/>
  <c r="L619"/>
  <c r="I619"/>
  <c r="J619" s="1"/>
  <c r="G619"/>
  <c r="H619" s="1"/>
  <c r="D619"/>
  <c r="D618"/>
  <c r="L611"/>
  <c r="I611"/>
  <c r="J611" s="1"/>
  <c r="G611"/>
  <c r="H611" s="1"/>
  <c r="D611"/>
  <c r="D610"/>
  <c r="J604"/>
  <c r="H604"/>
  <c r="D604"/>
  <c r="L603"/>
  <c r="I603"/>
  <c r="J603" s="1"/>
  <c r="G603"/>
  <c r="H603" s="1"/>
  <c r="D603"/>
  <c r="D602"/>
  <c r="D596"/>
  <c r="D595"/>
  <c r="D594"/>
  <c r="D588"/>
  <c r="L587"/>
  <c r="I587"/>
  <c r="J587" s="1"/>
  <c r="G587"/>
  <c r="H587" s="1"/>
  <c r="D587"/>
  <c r="L586"/>
  <c r="I586"/>
  <c r="J586" s="1"/>
  <c r="G586"/>
  <c r="H586" s="1"/>
  <c r="D586"/>
  <c r="D585"/>
  <c r="D584"/>
  <c r="D583"/>
  <c r="D577"/>
  <c r="L575"/>
  <c r="I575"/>
  <c r="J575" s="1"/>
  <c r="H575"/>
  <c r="G575"/>
  <c r="D575"/>
  <c r="L574"/>
  <c r="I574"/>
  <c r="G574"/>
  <c r="F574"/>
  <c r="H574" s="1"/>
  <c r="D574"/>
  <c r="D573"/>
  <c r="D572"/>
  <c r="D571"/>
  <c r="D570"/>
  <c r="D569"/>
  <c r="D568"/>
  <c r="D562"/>
  <c r="L561"/>
  <c r="I561"/>
  <c r="J561" s="1"/>
  <c r="G561"/>
  <c r="H561" s="1"/>
  <c r="D561"/>
  <c r="L560"/>
  <c r="I560"/>
  <c r="J560" s="1"/>
  <c r="G560"/>
  <c r="H560" s="1"/>
  <c r="D560"/>
  <c r="D559"/>
  <c r="D558"/>
  <c r="D557"/>
  <c r="D556"/>
  <c r="L550"/>
  <c r="J550"/>
  <c r="I550"/>
  <c r="G550"/>
  <c r="H550" s="1"/>
  <c r="D550"/>
  <c r="L549"/>
  <c r="I549"/>
  <c r="J549" s="1"/>
  <c r="G549"/>
  <c r="H549" s="1"/>
  <c r="D549"/>
  <c r="D548"/>
  <c r="D547"/>
  <c r="D546"/>
  <c r="D545"/>
  <c r="L544"/>
  <c r="I544"/>
  <c r="J544" s="1"/>
  <c r="G544"/>
  <c r="H544" s="1"/>
  <c r="D544"/>
  <c r="D543"/>
  <c r="D537"/>
  <c r="L536"/>
  <c r="I536"/>
  <c r="J536" s="1"/>
  <c r="K536" s="1"/>
  <c r="G536"/>
  <c r="H536" s="1"/>
  <c r="D536"/>
  <c r="L535"/>
  <c r="I535"/>
  <c r="J535" s="1"/>
  <c r="G535"/>
  <c r="H535" s="1"/>
  <c r="D535"/>
  <c r="D534"/>
  <c r="D527"/>
  <c r="L526"/>
  <c r="I526"/>
  <c r="J526" s="1"/>
  <c r="G526"/>
  <c r="H526" s="1"/>
  <c r="D526"/>
  <c r="L525"/>
  <c r="I525"/>
  <c r="J525" s="1"/>
  <c r="G525"/>
  <c r="H525" s="1"/>
  <c r="D525"/>
  <c r="D524"/>
  <c r="D523"/>
  <c r="D522"/>
  <c r="D515"/>
  <c r="L514"/>
  <c r="I514"/>
  <c r="J514" s="1"/>
  <c r="G514"/>
  <c r="H514" s="1"/>
  <c r="D514"/>
  <c r="L513"/>
  <c r="I513"/>
  <c r="J513" s="1"/>
  <c r="G513"/>
  <c r="H513" s="1"/>
  <c r="D513"/>
  <c r="D512"/>
  <c r="D511"/>
  <c r="D510"/>
  <c r="D509"/>
  <c r="L501"/>
  <c r="I501"/>
  <c r="J501" s="1"/>
  <c r="J504" s="1"/>
  <c r="G74" i="23" s="1"/>
  <c r="G501" i="24"/>
  <c r="H501" s="1"/>
  <c r="D501"/>
  <c r="I495"/>
  <c r="J495" s="1"/>
  <c r="D495"/>
  <c r="L494"/>
  <c r="I494"/>
  <c r="J494" s="1"/>
  <c r="G494"/>
  <c r="H494" s="1"/>
  <c r="L493"/>
  <c r="I493"/>
  <c r="J493" s="1"/>
  <c r="G493"/>
  <c r="H493" s="1"/>
  <c r="D493"/>
  <c r="L492"/>
  <c r="I492"/>
  <c r="J492" s="1"/>
  <c r="G492"/>
  <c r="H492" s="1"/>
  <c r="D492"/>
  <c r="D491"/>
  <c r="D490"/>
  <c r="D489"/>
  <c r="L483"/>
  <c r="I483"/>
  <c r="J483" s="1"/>
  <c r="G483"/>
  <c r="H483" s="1"/>
  <c r="D483"/>
  <c r="L482"/>
  <c r="I482"/>
  <c r="J482" s="1"/>
  <c r="G482"/>
  <c r="H482" s="1"/>
  <c r="D482"/>
  <c r="L481"/>
  <c r="I481"/>
  <c r="J481" s="1"/>
  <c r="G481"/>
  <c r="H481" s="1"/>
  <c r="D480"/>
  <c r="D479"/>
  <c r="I473"/>
  <c r="J473" s="1"/>
  <c r="D473"/>
  <c r="L472"/>
  <c r="I472"/>
  <c r="J472" s="1"/>
  <c r="G472"/>
  <c r="H472" s="1"/>
  <c r="L471"/>
  <c r="I471"/>
  <c r="J471" s="1"/>
  <c r="G471"/>
  <c r="H471" s="1"/>
  <c r="D471"/>
  <c r="L470"/>
  <c r="I470"/>
  <c r="J470" s="1"/>
  <c r="G470"/>
  <c r="H470" s="1"/>
  <c r="D470"/>
  <c r="D469"/>
  <c r="D468"/>
  <c r="D467"/>
  <c r="D466"/>
  <c r="L460"/>
  <c r="I460"/>
  <c r="J460" s="1"/>
  <c r="G460"/>
  <c r="H460" s="1"/>
  <c r="D460"/>
  <c r="D459"/>
  <c r="L453"/>
  <c r="I453"/>
  <c r="J453" s="1"/>
  <c r="G453"/>
  <c r="H453" s="1"/>
  <c r="D453"/>
  <c r="L452"/>
  <c r="I452"/>
  <c r="J452" s="1"/>
  <c r="G452"/>
  <c r="H452" s="1"/>
  <c r="D452"/>
  <c r="D451"/>
  <c r="D450"/>
  <c r="D449"/>
  <c r="L442"/>
  <c r="I442"/>
  <c r="J442" s="1"/>
  <c r="G442"/>
  <c r="H442" s="1"/>
  <c r="D442"/>
  <c r="L441"/>
  <c r="I441"/>
  <c r="J441" s="1"/>
  <c r="G441"/>
  <c r="H441" s="1"/>
  <c r="D441"/>
  <c r="D440"/>
  <c r="D439"/>
  <c r="D438"/>
  <c r="L431"/>
  <c r="I431"/>
  <c r="J431" s="1"/>
  <c r="G431"/>
  <c r="H431" s="1"/>
  <c r="D431"/>
  <c r="L430"/>
  <c r="I430"/>
  <c r="J430" s="1"/>
  <c r="G430"/>
  <c r="H430" s="1"/>
  <c r="D430"/>
  <c r="D429"/>
  <c r="D428"/>
  <c r="D427"/>
  <c r="L421"/>
  <c r="I421"/>
  <c r="J421" s="1"/>
  <c r="G421"/>
  <c r="H421" s="1"/>
  <c r="D421"/>
  <c r="L420"/>
  <c r="I420"/>
  <c r="J420" s="1"/>
  <c r="G420"/>
  <c r="H420" s="1"/>
  <c r="D420"/>
  <c r="D419"/>
  <c r="D418"/>
  <c r="D417"/>
  <c r="L411"/>
  <c r="I411"/>
  <c r="J411" s="1"/>
  <c r="G411"/>
  <c r="H411" s="1"/>
  <c r="D411"/>
  <c r="L410"/>
  <c r="I410"/>
  <c r="J410" s="1"/>
  <c r="G410"/>
  <c r="H410" s="1"/>
  <c r="D410"/>
  <c r="D409"/>
  <c r="D408"/>
  <c r="D407"/>
  <c r="L401"/>
  <c r="I401"/>
  <c r="J401" s="1"/>
  <c r="G401"/>
  <c r="H401" s="1"/>
  <c r="D401"/>
  <c r="L400"/>
  <c r="I400"/>
  <c r="J400" s="1"/>
  <c r="G400"/>
  <c r="H400" s="1"/>
  <c r="D400"/>
  <c r="D399"/>
  <c r="D398"/>
  <c r="D397"/>
  <c r="L391"/>
  <c r="I391"/>
  <c r="J391" s="1"/>
  <c r="G391"/>
  <c r="H391" s="1"/>
  <c r="D391"/>
  <c r="L390"/>
  <c r="I390"/>
  <c r="J390" s="1"/>
  <c r="G390"/>
  <c r="H390" s="1"/>
  <c r="D390"/>
  <c r="D389"/>
  <c r="D388"/>
  <c r="D387"/>
  <c r="L381"/>
  <c r="I381"/>
  <c r="J381" s="1"/>
  <c r="G381"/>
  <c r="H381" s="1"/>
  <c r="D381"/>
  <c r="L380"/>
  <c r="I380"/>
  <c r="J380" s="1"/>
  <c r="G380"/>
  <c r="H380" s="1"/>
  <c r="D380"/>
  <c r="D379"/>
  <c r="D378"/>
  <c r="D377"/>
  <c r="L371"/>
  <c r="I371"/>
  <c r="J371" s="1"/>
  <c r="G371"/>
  <c r="H371" s="1"/>
  <c r="D371"/>
  <c r="L370"/>
  <c r="I370"/>
  <c r="J370" s="1"/>
  <c r="G370"/>
  <c r="H370" s="1"/>
  <c r="D370"/>
  <c r="D369"/>
  <c r="D368"/>
  <c r="D367"/>
  <c r="L361"/>
  <c r="I361"/>
  <c r="J361" s="1"/>
  <c r="G361"/>
  <c r="H361" s="1"/>
  <c r="D361"/>
  <c r="L360"/>
  <c r="I360"/>
  <c r="J360" s="1"/>
  <c r="G360"/>
  <c r="H360" s="1"/>
  <c r="D360"/>
  <c r="D359"/>
  <c r="D358"/>
  <c r="L351"/>
  <c r="I351"/>
  <c r="J351" s="1"/>
  <c r="G351"/>
  <c r="H351" s="1"/>
  <c r="D351"/>
  <c r="L350"/>
  <c r="I350"/>
  <c r="J350" s="1"/>
  <c r="G350"/>
  <c r="H350" s="1"/>
  <c r="D350"/>
  <c r="D349"/>
  <c r="D348"/>
  <c r="D347"/>
  <c r="D341"/>
  <c r="L340"/>
  <c r="I340"/>
  <c r="J340" s="1"/>
  <c r="G340"/>
  <c r="H340" s="1"/>
  <c r="D340"/>
  <c r="L339"/>
  <c r="I339"/>
  <c r="J339" s="1"/>
  <c r="G339"/>
  <c r="H339" s="1"/>
  <c r="D339"/>
  <c r="D338"/>
  <c r="D337"/>
  <c r="D336"/>
  <c r="F330"/>
  <c r="D330"/>
  <c r="G330" s="1"/>
  <c r="C329"/>
  <c r="D329" s="1"/>
  <c r="F328"/>
  <c r="F329" s="1"/>
  <c r="D328"/>
  <c r="L322"/>
  <c r="I322"/>
  <c r="J322" s="1"/>
  <c r="J323" s="1"/>
  <c r="G56" i="23" s="1"/>
  <c r="G322" i="24"/>
  <c r="H322" s="1"/>
  <c r="D322"/>
  <c r="D316"/>
  <c r="G316" s="1"/>
  <c r="C316"/>
  <c r="D315"/>
  <c r="G315" s="1"/>
  <c r="C314"/>
  <c r="D314" s="1"/>
  <c r="F313"/>
  <c r="D313"/>
  <c r="C307"/>
  <c r="D307" s="1"/>
  <c r="G307" s="1"/>
  <c r="D306"/>
  <c r="G306" s="1"/>
  <c r="C305"/>
  <c r="D305" s="1"/>
  <c r="F304"/>
  <c r="D304"/>
  <c r="F298"/>
  <c r="D298"/>
  <c r="G298" s="1"/>
  <c r="D297"/>
  <c r="G297" s="1"/>
  <c r="H297" s="1"/>
  <c r="F296"/>
  <c r="C296"/>
  <c r="D296" s="1"/>
  <c r="D290"/>
  <c r="G290" s="1"/>
  <c r="H290" s="1"/>
  <c r="D289"/>
  <c r="G289" s="1"/>
  <c r="H289" s="1"/>
  <c r="C288"/>
  <c r="D288" s="1"/>
  <c r="G288" s="1"/>
  <c r="D282"/>
  <c r="G282" s="1"/>
  <c r="D281"/>
  <c r="G281" s="1"/>
  <c r="C280"/>
  <c r="D280" s="1"/>
  <c r="G280" s="1"/>
  <c r="D274"/>
  <c r="G274" s="1"/>
  <c r="H274" s="1"/>
  <c r="D273"/>
  <c r="G273" s="1"/>
  <c r="H273" s="1"/>
  <c r="C272"/>
  <c r="D272" s="1"/>
  <c r="G272" s="1"/>
  <c r="D266"/>
  <c r="G266" s="1"/>
  <c r="D265"/>
  <c r="G265" s="1"/>
  <c r="F264"/>
  <c r="C264"/>
  <c r="D264" s="1"/>
  <c r="G264" s="1"/>
  <c r="L257"/>
  <c r="G257"/>
  <c r="H257" s="1"/>
  <c r="D257"/>
  <c r="D256"/>
  <c r="G256" s="1"/>
  <c r="D250"/>
  <c r="L249"/>
  <c r="G249"/>
  <c r="H249" s="1"/>
  <c r="D249"/>
  <c r="L248"/>
  <c r="G248"/>
  <c r="H248" s="1"/>
  <c r="D248"/>
  <c r="D247"/>
  <c r="D246"/>
  <c r="D240"/>
  <c r="L239"/>
  <c r="G239"/>
  <c r="H239" s="1"/>
  <c r="D239"/>
  <c r="L238"/>
  <c r="G238"/>
  <c r="H238" s="1"/>
  <c r="D238"/>
  <c r="D237"/>
  <c r="D236"/>
  <c r="D235"/>
  <c r="D229"/>
  <c r="L229" s="1"/>
  <c r="L227"/>
  <c r="G227"/>
  <c r="H227" s="1"/>
  <c r="D227"/>
  <c r="L226"/>
  <c r="G226"/>
  <c r="H226" s="1"/>
  <c r="D226"/>
  <c r="D225"/>
  <c r="D224"/>
  <c r="D223"/>
  <c r="D222"/>
  <c r="D216"/>
  <c r="L215"/>
  <c r="G215"/>
  <c r="H215" s="1"/>
  <c r="D215"/>
  <c r="D214"/>
  <c r="D213"/>
  <c r="L205"/>
  <c r="G205"/>
  <c r="H205" s="1"/>
  <c r="D205"/>
  <c r="L204"/>
  <c r="G204"/>
  <c r="F204"/>
  <c r="D204"/>
  <c r="D203"/>
  <c r="F202"/>
  <c r="D202"/>
  <c r="D201"/>
  <c r="D200"/>
  <c r="D199"/>
  <c r="D198"/>
  <c r="L188"/>
  <c r="G188"/>
  <c r="H188" s="1"/>
  <c r="D188"/>
  <c r="L187"/>
  <c r="G187"/>
  <c r="H187" s="1"/>
  <c r="D187"/>
  <c r="L186"/>
  <c r="G186"/>
  <c r="H186" s="1"/>
  <c r="D186"/>
  <c r="L185"/>
  <c r="G185"/>
  <c r="H185" s="1"/>
  <c r="D185"/>
  <c r="D184"/>
  <c r="K182"/>
  <c r="L150"/>
  <c r="G150"/>
  <c r="H150" s="1"/>
  <c r="D150"/>
  <c r="L149"/>
  <c r="G149"/>
  <c r="H149" s="1"/>
  <c r="D149"/>
  <c r="K147"/>
  <c r="L115"/>
  <c r="G115"/>
  <c r="H115" s="1"/>
  <c r="D115"/>
  <c r="L114"/>
  <c r="G114"/>
  <c r="H114" s="1"/>
  <c r="D114"/>
  <c r="K112"/>
  <c r="L81"/>
  <c r="G81"/>
  <c r="H81" s="1"/>
  <c r="D81"/>
  <c r="L80"/>
  <c r="G80"/>
  <c r="H80" s="1"/>
  <c r="D80"/>
  <c r="K78"/>
  <c r="I48"/>
  <c r="J48" s="1"/>
  <c r="D48"/>
  <c r="L47"/>
  <c r="I47"/>
  <c r="G47"/>
  <c r="F47"/>
  <c r="D47"/>
  <c r="L46"/>
  <c r="I46"/>
  <c r="G46"/>
  <c r="F46"/>
  <c r="D46"/>
  <c r="L45"/>
  <c r="I45"/>
  <c r="G45"/>
  <c r="F45"/>
  <c r="D45"/>
  <c r="L44"/>
  <c r="G44"/>
  <c r="F44"/>
  <c r="D44"/>
  <c r="F43"/>
  <c r="D43"/>
  <c r="F42"/>
  <c r="D42"/>
  <c r="F41"/>
  <c r="D41"/>
  <c r="F40"/>
  <c r="D40"/>
  <c r="I35"/>
  <c r="I34"/>
  <c r="I33"/>
  <c r="I32"/>
  <c r="J32" s="1"/>
  <c r="D32"/>
  <c r="L31"/>
  <c r="G31"/>
  <c r="F31"/>
  <c r="D31"/>
  <c r="L30"/>
  <c r="G30"/>
  <c r="F30"/>
  <c r="J30" s="1"/>
  <c r="D30"/>
  <c r="L29"/>
  <c r="G29"/>
  <c r="F29"/>
  <c r="D29"/>
  <c r="L28"/>
  <c r="G28"/>
  <c r="F28"/>
  <c r="D28"/>
  <c r="D27"/>
  <c r="F26"/>
  <c r="D26"/>
  <c r="F25"/>
  <c r="D25"/>
  <c r="F24"/>
  <c r="D24"/>
  <c r="F23"/>
  <c r="D23"/>
  <c r="M21"/>
  <c r="A21" s="1"/>
  <c r="L34" s="1"/>
  <c r="D34" s="1"/>
  <c r="I18"/>
  <c r="I17"/>
  <c r="I16"/>
  <c r="I15"/>
  <c r="J15" s="1"/>
  <c r="G15"/>
  <c r="D15"/>
  <c r="L14"/>
  <c r="J14"/>
  <c r="G14"/>
  <c r="H14" s="1"/>
  <c r="D14"/>
  <c r="L13"/>
  <c r="J13"/>
  <c r="G13"/>
  <c r="H13" s="1"/>
  <c r="D13"/>
  <c r="L12"/>
  <c r="G12"/>
  <c r="H12" s="1"/>
  <c r="D12"/>
  <c r="L11"/>
  <c r="J11"/>
  <c r="G11"/>
  <c r="H11" s="1"/>
  <c r="D11"/>
  <c r="D10"/>
  <c r="D9"/>
  <c r="D8"/>
  <c r="D7"/>
  <c r="A5"/>
  <c r="L18" s="1"/>
  <c r="D18" s="1"/>
  <c r="F636" i="23"/>
  <c r="E636"/>
  <c r="D636"/>
  <c r="C636"/>
  <c r="F635"/>
  <c r="E635"/>
  <c r="D635"/>
  <c r="C635"/>
  <c r="F634"/>
  <c r="E634"/>
  <c r="D634"/>
  <c r="C634"/>
  <c r="F633"/>
  <c r="E633"/>
  <c r="D633"/>
  <c r="C633"/>
  <c r="F632"/>
  <c r="E632"/>
  <c r="D632"/>
  <c r="C632"/>
  <c r="F631"/>
  <c r="E631"/>
  <c r="D631"/>
  <c r="C631"/>
  <c r="F630"/>
  <c r="E630"/>
  <c r="D630"/>
  <c r="C630"/>
  <c r="F629"/>
  <c r="E629"/>
  <c r="D629"/>
  <c r="C629"/>
  <c r="F628"/>
  <c r="E628"/>
  <c r="D628"/>
  <c r="C628"/>
  <c r="F627"/>
  <c r="E627"/>
  <c r="D627"/>
  <c r="C627"/>
  <c r="F626"/>
  <c r="E626"/>
  <c r="D626"/>
  <c r="C626"/>
  <c r="F625"/>
  <c r="E625"/>
  <c r="D625"/>
  <c r="C625"/>
  <c r="F624"/>
  <c r="E624"/>
  <c r="D624"/>
  <c r="C624"/>
  <c r="F623"/>
  <c r="E623"/>
  <c r="D623"/>
  <c r="C623"/>
  <c r="F622"/>
  <c r="E622"/>
  <c r="D622"/>
  <c r="C622"/>
  <c r="F621"/>
  <c r="E621"/>
  <c r="D621"/>
  <c r="C621"/>
  <c r="F620"/>
  <c r="E620"/>
  <c r="D620"/>
  <c r="C620"/>
  <c r="F619"/>
  <c r="E619"/>
  <c r="D619"/>
  <c r="C619"/>
  <c r="F618"/>
  <c r="E618"/>
  <c r="D618"/>
  <c r="C618"/>
  <c r="F617"/>
  <c r="E617"/>
  <c r="D617"/>
  <c r="C617"/>
  <c r="F616"/>
  <c r="E616"/>
  <c r="D616"/>
  <c r="C616"/>
  <c r="F615"/>
  <c r="E615"/>
  <c r="D615"/>
  <c r="C615"/>
  <c r="F614"/>
  <c r="E614"/>
  <c r="D614"/>
  <c r="C614"/>
  <c r="F613"/>
  <c r="E613"/>
  <c r="D613"/>
  <c r="C613"/>
  <c r="F612"/>
  <c r="E612"/>
  <c r="D612"/>
  <c r="C612"/>
  <c r="F611"/>
  <c r="E611"/>
  <c r="D611"/>
  <c r="C611"/>
  <c r="F610"/>
  <c r="E610"/>
  <c r="D610"/>
  <c r="C610"/>
  <c r="F609"/>
  <c r="E609"/>
  <c r="D609"/>
  <c r="C609"/>
  <c r="F608"/>
  <c r="E608"/>
  <c r="D608"/>
  <c r="C608"/>
  <c r="F607"/>
  <c r="E607"/>
  <c r="D607"/>
  <c r="C607"/>
  <c r="F606"/>
  <c r="E606"/>
  <c r="D606"/>
  <c r="C606"/>
  <c r="F605"/>
  <c r="E605"/>
  <c r="D605"/>
  <c r="C605"/>
  <c r="F604"/>
  <c r="E604"/>
  <c r="D604"/>
  <c r="C604"/>
  <c r="F603"/>
  <c r="E603"/>
  <c r="D603"/>
  <c r="C603"/>
  <c r="F602"/>
  <c r="E602"/>
  <c r="D602"/>
  <c r="C602"/>
  <c r="F601"/>
  <c r="E601"/>
  <c r="D601"/>
  <c r="C601"/>
  <c r="F600"/>
  <c r="E600"/>
  <c r="D600"/>
  <c r="C600"/>
  <c r="F599"/>
  <c r="E599"/>
  <c r="D599"/>
  <c r="C599"/>
  <c r="F598"/>
  <c r="E598"/>
  <c r="D598"/>
  <c r="C598"/>
  <c r="F597"/>
  <c r="E597"/>
  <c r="D597"/>
  <c r="C597"/>
  <c r="F596"/>
  <c r="E596"/>
  <c r="D596"/>
  <c r="C596"/>
  <c r="F595"/>
  <c r="E595"/>
  <c r="D595"/>
  <c r="C595"/>
  <c r="F594"/>
  <c r="E594"/>
  <c r="D594"/>
  <c r="C594"/>
  <c r="F593"/>
  <c r="E593"/>
  <c r="D593"/>
  <c r="C593"/>
  <c r="F592"/>
  <c r="E592"/>
  <c r="D592"/>
  <c r="C592"/>
  <c r="F591"/>
  <c r="E591"/>
  <c r="D591"/>
  <c r="C591"/>
  <c r="F590"/>
  <c r="E590"/>
  <c r="D590"/>
  <c r="C590"/>
  <c r="A590" s="1"/>
  <c r="F589"/>
  <c r="E589"/>
  <c r="D589"/>
  <c r="C589"/>
  <c r="F588"/>
  <c r="E588"/>
  <c r="D588"/>
  <c r="C588"/>
  <c r="F587"/>
  <c r="E587"/>
  <c r="D587"/>
  <c r="C587"/>
  <c r="F586"/>
  <c r="E586"/>
  <c r="D586"/>
  <c r="C586"/>
  <c r="F585"/>
  <c r="E585"/>
  <c r="D585"/>
  <c r="C585"/>
  <c r="F584"/>
  <c r="E584"/>
  <c r="D584"/>
  <c r="C584"/>
  <c r="F583"/>
  <c r="E583"/>
  <c r="D583"/>
  <c r="C583"/>
  <c r="F582"/>
  <c r="E582"/>
  <c r="D582"/>
  <c r="C582"/>
  <c r="A582" s="1"/>
  <c r="F581"/>
  <c r="E581"/>
  <c r="D581"/>
  <c r="C581"/>
  <c r="F580"/>
  <c r="E580"/>
  <c r="D580"/>
  <c r="C580"/>
  <c r="F579"/>
  <c r="E579"/>
  <c r="D579"/>
  <c r="C579"/>
  <c r="F578"/>
  <c r="E578"/>
  <c r="D578"/>
  <c r="C578"/>
  <c r="F577"/>
  <c r="E577"/>
  <c r="D577"/>
  <c r="C577"/>
  <c r="F576"/>
  <c r="E576"/>
  <c r="D576"/>
  <c r="C576"/>
  <c r="F575"/>
  <c r="E575"/>
  <c r="D575"/>
  <c r="C575"/>
  <c r="F574"/>
  <c r="E574"/>
  <c r="D574"/>
  <c r="C574"/>
  <c r="F573"/>
  <c r="E573"/>
  <c r="D573"/>
  <c r="C573"/>
  <c r="F572"/>
  <c r="E572"/>
  <c r="D572"/>
  <c r="C572"/>
  <c r="F571"/>
  <c r="E571"/>
  <c r="D571"/>
  <c r="C571"/>
  <c r="F570"/>
  <c r="E570"/>
  <c r="D570"/>
  <c r="C570"/>
  <c r="F569"/>
  <c r="E569"/>
  <c r="D569"/>
  <c r="C569"/>
  <c r="F568"/>
  <c r="E568"/>
  <c r="D568"/>
  <c r="C568"/>
  <c r="F567"/>
  <c r="E567"/>
  <c r="D567"/>
  <c r="C567"/>
  <c r="F566"/>
  <c r="E566"/>
  <c r="D566"/>
  <c r="C566"/>
  <c r="F565"/>
  <c r="E565"/>
  <c r="D565"/>
  <c r="C565"/>
  <c r="F564"/>
  <c r="E564"/>
  <c r="D564"/>
  <c r="C564"/>
  <c r="F563"/>
  <c r="E563"/>
  <c r="D563"/>
  <c r="C563"/>
  <c r="F562"/>
  <c r="E562"/>
  <c r="D562"/>
  <c r="C562"/>
  <c r="F561"/>
  <c r="E561"/>
  <c r="D561"/>
  <c r="C561"/>
  <c r="F560"/>
  <c r="E560"/>
  <c r="D560"/>
  <c r="C560"/>
  <c r="A560" s="1"/>
  <c r="F559"/>
  <c r="E559"/>
  <c r="D559"/>
  <c r="C559"/>
  <c r="F558"/>
  <c r="E558"/>
  <c r="D558"/>
  <c r="C558"/>
  <c r="A558" s="1"/>
  <c r="F557"/>
  <c r="E557"/>
  <c r="D557"/>
  <c r="C557"/>
  <c r="F556"/>
  <c r="E556"/>
  <c r="D556"/>
  <c r="C556"/>
  <c r="F555"/>
  <c r="E555"/>
  <c r="D555"/>
  <c r="C555"/>
  <c r="F554"/>
  <c r="E554"/>
  <c r="D554"/>
  <c r="C554"/>
  <c r="F553"/>
  <c r="E553"/>
  <c r="D553"/>
  <c r="C553"/>
  <c r="F552"/>
  <c r="E552"/>
  <c r="D552"/>
  <c r="C552"/>
  <c r="F551"/>
  <c r="E551"/>
  <c r="D551"/>
  <c r="C551"/>
  <c r="F550"/>
  <c r="E550"/>
  <c r="D550"/>
  <c r="C550"/>
  <c r="F549"/>
  <c r="E549"/>
  <c r="D549"/>
  <c r="C549"/>
  <c r="F548"/>
  <c r="E548"/>
  <c r="D548"/>
  <c r="C548"/>
  <c r="F547"/>
  <c r="E547"/>
  <c r="D547"/>
  <c r="C547"/>
  <c r="F546"/>
  <c r="E546"/>
  <c r="D546"/>
  <c r="C546"/>
  <c r="F545"/>
  <c r="E545"/>
  <c r="D545"/>
  <c r="C545"/>
  <c r="F544"/>
  <c r="E544"/>
  <c r="D544"/>
  <c r="C544"/>
  <c r="F543"/>
  <c r="E543"/>
  <c r="D543"/>
  <c r="C543"/>
  <c r="F542"/>
  <c r="E542"/>
  <c r="D542"/>
  <c r="C542"/>
  <c r="F541"/>
  <c r="E541"/>
  <c r="D541"/>
  <c r="C541"/>
  <c r="F540"/>
  <c r="E540"/>
  <c r="D540"/>
  <c r="C540"/>
  <c r="F539"/>
  <c r="E539"/>
  <c r="D539"/>
  <c r="C539"/>
  <c r="F538"/>
  <c r="E538"/>
  <c r="D538"/>
  <c r="C538"/>
  <c r="F537"/>
  <c r="E537"/>
  <c r="D537"/>
  <c r="C537"/>
  <c r="F536"/>
  <c r="E536"/>
  <c r="D536"/>
  <c r="C536"/>
  <c r="F535"/>
  <c r="E535"/>
  <c r="D535"/>
  <c r="C535"/>
  <c r="F534"/>
  <c r="E534"/>
  <c r="D534"/>
  <c r="C534"/>
  <c r="F533"/>
  <c r="E533"/>
  <c r="D533"/>
  <c r="C533"/>
  <c r="F532"/>
  <c r="E532"/>
  <c r="D532"/>
  <c r="C532"/>
  <c r="F531"/>
  <c r="E531"/>
  <c r="D531"/>
  <c r="C531"/>
  <c r="F530"/>
  <c r="E530"/>
  <c r="D530"/>
  <c r="C530"/>
  <c r="F529"/>
  <c r="E529"/>
  <c r="D529"/>
  <c r="C529"/>
  <c r="F528"/>
  <c r="E528"/>
  <c r="D528"/>
  <c r="C528"/>
  <c r="F527"/>
  <c r="E527"/>
  <c r="D527"/>
  <c r="C527"/>
  <c r="F526"/>
  <c r="E526"/>
  <c r="D526"/>
  <c r="C526"/>
  <c r="F525"/>
  <c r="E525"/>
  <c r="D525"/>
  <c r="C525"/>
  <c r="F524"/>
  <c r="E524"/>
  <c r="D524"/>
  <c r="C524"/>
  <c r="F523"/>
  <c r="E523"/>
  <c r="D523"/>
  <c r="C523"/>
  <c r="F522"/>
  <c r="E522"/>
  <c r="D522"/>
  <c r="C522"/>
  <c r="F521"/>
  <c r="E521"/>
  <c r="D521"/>
  <c r="C521"/>
  <c r="F520"/>
  <c r="E520"/>
  <c r="D520"/>
  <c r="C520"/>
  <c r="F519"/>
  <c r="E519"/>
  <c r="D519"/>
  <c r="C519"/>
  <c r="F518"/>
  <c r="E518"/>
  <c r="D518"/>
  <c r="C518"/>
  <c r="F517"/>
  <c r="E517"/>
  <c r="D517"/>
  <c r="C517"/>
  <c r="F516"/>
  <c r="E516"/>
  <c r="D516"/>
  <c r="C516"/>
  <c r="F515"/>
  <c r="E515"/>
  <c r="D515"/>
  <c r="C515"/>
  <c r="F514"/>
  <c r="E514"/>
  <c r="D514"/>
  <c r="C514"/>
  <c r="F513"/>
  <c r="E513"/>
  <c r="D513"/>
  <c r="C513"/>
  <c r="F512"/>
  <c r="E512"/>
  <c r="D512"/>
  <c r="C512"/>
  <c r="F511"/>
  <c r="E511"/>
  <c r="D511"/>
  <c r="C511"/>
  <c r="F510"/>
  <c r="E510"/>
  <c r="D510"/>
  <c r="C510"/>
  <c r="F509"/>
  <c r="E509"/>
  <c r="D509"/>
  <c r="C509"/>
  <c r="F508"/>
  <c r="E508"/>
  <c r="D508"/>
  <c r="C508"/>
  <c r="F507"/>
  <c r="E507"/>
  <c r="D507"/>
  <c r="C507"/>
  <c r="F506"/>
  <c r="E506"/>
  <c r="D506"/>
  <c r="C506"/>
  <c r="F505"/>
  <c r="E505"/>
  <c r="D505"/>
  <c r="C505"/>
  <c r="F504"/>
  <c r="E504"/>
  <c r="D504"/>
  <c r="C504"/>
  <c r="F503"/>
  <c r="E503"/>
  <c r="D503"/>
  <c r="C503"/>
  <c r="F502"/>
  <c r="E502"/>
  <c r="D502"/>
  <c r="C502"/>
  <c r="F501"/>
  <c r="E501"/>
  <c r="D501"/>
  <c r="C501"/>
  <c r="F500"/>
  <c r="E500"/>
  <c r="D500"/>
  <c r="C500"/>
  <c r="F499"/>
  <c r="E499"/>
  <c r="D499"/>
  <c r="C499"/>
  <c r="A499" s="1"/>
  <c r="F498"/>
  <c r="E498"/>
  <c r="D498"/>
  <c r="C498"/>
  <c r="F497"/>
  <c r="E497"/>
  <c r="D497"/>
  <c r="C497"/>
  <c r="F496"/>
  <c r="E496"/>
  <c r="D496"/>
  <c r="C496"/>
  <c r="F495"/>
  <c r="E495"/>
  <c r="D495"/>
  <c r="C495"/>
  <c r="F494"/>
  <c r="E494"/>
  <c r="D494"/>
  <c r="C494"/>
  <c r="F493"/>
  <c r="E493"/>
  <c r="D493"/>
  <c r="C493"/>
  <c r="F492"/>
  <c r="E492"/>
  <c r="D492"/>
  <c r="C492"/>
  <c r="F491"/>
  <c r="E491"/>
  <c r="D491"/>
  <c r="C491"/>
  <c r="F490"/>
  <c r="E490"/>
  <c r="D490"/>
  <c r="C490"/>
  <c r="F489"/>
  <c r="E489"/>
  <c r="D489"/>
  <c r="C489"/>
  <c r="F488"/>
  <c r="E488"/>
  <c r="D488"/>
  <c r="C488"/>
  <c r="F487"/>
  <c r="E487"/>
  <c r="D487"/>
  <c r="C487"/>
  <c r="F486"/>
  <c r="E486"/>
  <c r="D486"/>
  <c r="C486"/>
  <c r="F485"/>
  <c r="E485"/>
  <c r="D485"/>
  <c r="C485"/>
  <c r="F484"/>
  <c r="E484"/>
  <c r="D484"/>
  <c r="C484"/>
  <c r="F483"/>
  <c r="E483"/>
  <c r="D483"/>
  <c r="C483"/>
  <c r="F482"/>
  <c r="E482"/>
  <c r="D482"/>
  <c r="C482"/>
  <c r="F481"/>
  <c r="E481"/>
  <c r="D481"/>
  <c r="C481"/>
  <c r="F480"/>
  <c r="E480"/>
  <c r="D480"/>
  <c r="C480"/>
  <c r="F479"/>
  <c r="E479"/>
  <c r="D479"/>
  <c r="C479"/>
  <c r="F478"/>
  <c r="E478"/>
  <c r="D478"/>
  <c r="C478"/>
  <c r="F477"/>
  <c r="E477"/>
  <c r="D477"/>
  <c r="C477"/>
  <c r="F476"/>
  <c r="E476"/>
  <c r="D476"/>
  <c r="C476"/>
  <c r="F475"/>
  <c r="E475"/>
  <c r="D475"/>
  <c r="C475"/>
  <c r="F474"/>
  <c r="E474"/>
  <c r="D474"/>
  <c r="C474"/>
  <c r="F473"/>
  <c r="E473"/>
  <c r="D473"/>
  <c r="C473"/>
  <c r="F472"/>
  <c r="E472"/>
  <c r="D472"/>
  <c r="C472"/>
  <c r="F471"/>
  <c r="E471"/>
  <c r="D471"/>
  <c r="C471"/>
  <c r="F470"/>
  <c r="E470"/>
  <c r="D470"/>
  <c r="C470"/>
  <c r="F469"/>
  <c r="E469"/>
  <c r="D469"/>
  <c r="C469"/>
  <c r="F468"/>
  <c r="E468"/>
  <c r="D468"/>
  <c r="C468"/>
  <c r="F467"/>
  <c r="E467"/>
  <c r="D467"/>
  <c r="C467"/>
  <c r="F466"/>
  <c r="E466"/>
  <c r="D466"/>
  <c r="C466"/>
  <c r="F465"/>
  <c r="E465"/>
  <c r="D465"/>
  <c r="C465"/>
  <c r="F464"/>
  <c r="E464"/>
  <c r="D464"/>
  <c r="C464"/>
  <c r="F463"/>
  <c r="E463"/>
  <c r="D463"/>
  <c r="C463"/>
  <c r="F462"/>
  <c r="E462"/>
  <c r="D462"/>
  <c r="C462"/>
  <c r="F461"/>
  <c r="E461"/>
  <c r="D461"/>
  <c r="C461"/>
  <c r="F460"/>
  <c r="E460"/>
  <c r="D460"/>
  <c r="C460"/>
  <c r="F459"/>
  <c r="E459"/>
  <c r="D459"/>
  <c r="C459"/>
  <c r="F458"/>
  <c r="E458"/>
  <c r="D458"/>
  <c r="C458"/>
  <c r="F457"/>
  <c r="E457"/>
  <c r="D457"/>
  <c r="C457"/>
  <c r="F456"/>
  <c r="E456"/>
  <c r="D456"/>
  <c r="C456"/>
  <c r="F455"/>
  <c r="E455"/>
  <c r="D455"/>
  <c r="C455"/>
  <c r="F454"/>
  <c r="E454"/>
  <c r="D454"/>
  <c r="C454"/>
  <c r="F453"/>
  <c r="E453"/>
  <c r="D453"/>
  <c r="C453"/>
  <c r="F452"/>
  <c r="E452"/>
  <c r="D452"/>
  <c r="C452"/>
  <c r="F451"/>
  <c r="E451"/>
  <c r="D451"/>
  <c r="C451"/>
  <c r="F450"/>
  <c r="E450"/>
  <c r="D450"/>
  <c r="C450"/>
  <c r="F449"/>
  <c r="E449"/>
  <c r="D449"/>
  <c r="C449"/>
  <c r="F448"/>
  <c r="E448"/>
  <c r="D448"/>
  <c r="C448"/>
  <c r="F447"/>
  <c r="E447"/>
  <c r="D447"/>
  <c r="C447"/>
  <c r="F446"/>
  <c r="E446"/>
  <c r="D446"/>
  <c r="C446"/>
  <c r="F445"/>
  <c r="E445"/>
  <c r="D445"/>
  <c r="C445"/>
  <c r="F444"/>
  <c r="E444"/>
  <c r="D444"/>
  <c r="C444"/>
  <c r="F443"/>
  <c r="E443"/>
  <c r="D443"/>
  <c r="C443"/>
  <c r="F442"/>
  <c r="E442"/>
  <c r="D442"/>
  <c r="C442"/>
  <c r="F441"/>
  <c r="E441"/>
  <c r="D441"/>
  <c r="C441"/>
  <c r="F440"/>
  <c r="E440"/>
  <c r="D440"/>
  <c r="C440"/>
  <c r="F439"/>
  <c r="E439"/>
  <c r="D439"/>
  <c r="C439"/>
  <c r="F438"/>
  <c r="E438"/>
  <c r="D438"/>
  <c r="C438"/>
  <c r="F437"/>
  <c r="E437"/>
  <c r="D437"/>
  <c r="C437"/>
  <c r="F436"/>
  <c r="E436"/>
  <c r="D436"/>
  <c r="C436"/>
  <c r="F435"/>
  <c r="E435"/>
  <c r="D435"/>
  <c r="C435"/>
  <c r="F434"/>
  <c r="E434"/>
  <c r="D434"/>
  <c r="C434"/>
  <c r="F433"/>
  <c r="E433"/>
  <c r="D433"/>
  <c r="C433"/>
  <c r="F432"/>
  <c r="E432"/>
  <c r="D432"/>
  <c r="C432"/>
  <c r="F431"/>
  <c r="E431"/>
  <c r="D431"/>
  <c r="C431"/>
  <c r="F430"/>
  <c r="E430"/>
  <c r="D430"/>
  <c r="C430"/>
  <c r="F429"/>
  <c r="E429"/>
  <c r="D429"/>
  <c r="C429"/>
  <c r="F428"/>
  <c r="E428"/>
  <c r="D428"/>
  <c r="C428"/>
  <c r="F427"/>
  <c r="E427"/>
  <c r="D427"/>
  <c r="C427"/>
  <c r="F426"/>
  <c r="E426"/>
  <c r="D426"/>
  <c r="C426"/>
  <c r="F425"/>
  <c r="E425"/>
  <c r="D425"/>
  <c r="C425"/>
  <c r="F424"/>
  <c r="E424"/>
  <c r="D424"/>
  <c r="C424"/>
  <c r="F423"/>
  <c r="E423"/>
  <c r="D423"/>
  <c r="C423"/>
  <c r="F422"/>
  <c r="E422"/>
  <c r="D422"/>
  <c r="C422"/>
  <c r="F421"/>
  <c r="E421"/>
  <c r="D421"/>
  <c r="C421"/>
  <c r="F420"/>
  <c r="E420"/>
  <c r="D420"/>
  <c r="C420"/>
  <c r="F419"/>
  <c r="E419"/>
  <c r="D419"/>
  <c r="C419"/>
  <c r="F418"/>
  <c r="E418"/>
  <c r="D418"/>
  <c r="C418"/>
  <c r="F417"/>
  <c r="E417"/>
  <c r="D417"/>
  <c r="C417"/>
  <c r="F416"/>
  <c r="E416"/>
  <c r="D416"/>
  <c r="C416"/>
  <c r="F415"/>
  <c r="E415"/>
  <c r="D415"/>
  <c r="C415"/>
  <c r="F414"/>
  <c r="E414"/>
  <c r="D414"/>
  <c r="C414"/>
  <c r="F413"/>
  <c r="E413"/>
  <c r="D413"/>
  <c r="C413"/>
  <c r="F412"/>
  <c r="E412"/>
  <c r="D412"/>
  <c r="C412"/>
  <c r="F411"/>
  <c r="E411"/>
  <c r="D411"/>
  <c r="C411"/>
  <c r="F410"/>
  <c r="E410"/>
  <c r="D410"/>
  <c r="C410"/>
  <c r="F409"/>
  <c r="E409"/>
  <c r="D409"/>
  <c r="C409"/>
  <c r="F408"/>
  <c r="E408"/>
  <c r="D408"/>
  <c r="C408"/>
  <c r="F407"/>
  <c r="E407"/>
  <c r="D407"/>
  <c r="C407"/>
  <c r="F406"/>
  <c r="E406"/>
  <c r="D406"/>
  <c r="C406"/>
  <c r="F405"/>
  <c r="E405"/>
  <c r="D405"/>
  <c r="C405"/>
  <c r="F404"/>
  <c r="E404"/>
  <c r="D404"/>
  <c r="C404"/>
  <c r="F403"/>
  <c r="E403"/>
  <c r="D403"/>
  <c r="C403"/>
  <c r="A403" s="1"/>
  <c r="F402"/>
  <c r="E402"/>
  <c r="D402"/>
  <c r="C402"/>
  <c r="F401"/>
  <c r="E401"/>
  <c r="D401"/>
  <c r="C401"/>
  <c r="F400"/>
  <c r="E400"/>
  <c r="D400"/>
  <c r="C400"/>
  <c r="F399"/>
  <c r="E399"/>
  <c r="D399"/>
  <c r="C399"/>
  <c r="F398"/>
  <c r="E398"/>
  <c r="D398"/>
  <c r="C398"/>
  <c r="F397"/>
  <c r="E397"/>
  <c r="D397"/>
  <c r="C397"/>
  <c r="F396"/>
  <c r="E396"/>
  <c r="D396"/>
  <c r="C396"/>
  <c r="F395"/>
  <c r="E395"/>
  <c r="D395"/>
  <c r="C395"/>
  <c r="F394"/>
  <c r="E394"/>
  <c r="D394"/>
  <c r="C394"/>
  <c r="F393"/>
  <c r="E393"/>
  <c r="D393"/>
  <c r="C393"/>
  <c r="F392"/>
  <c r="E392"/>
  <c r="D392"/>
  <c r="C392"/>
  <c r="F391"/>
  <c r="E391"/>
  <c r="D391"/>
  <c r="C391"/>
  <c r="F390"/>
  <c r="E390"/>
  <c r="D390"/>
  <c r="C390"/>
  <c r="F389"/>
  <c r="E389"/>
  <c r="D389"/>
  <c r="C389"/>
  <c r="F388"/>
  <c r="E388"/>
  <c r="D388"/>
  <c r="C388"/>
  <c r="F387"/>
  <c r="E387"/>
  <c r="D387"/>
  <c r="C387"/>
  <c r="F386"/>
  <c r="E386"/>
  <c r="D386"/>
  <c r="C386"/>
  <c r="F385"/>
  <c r="E385"/>
  <c r="D385"/>
  <c r="C385"/>
  <c r="F384"/>
  <c r="E384"/>
  <c r="D384"/>
  <c r="C384"/>
  <c r="F383"/>
  <c r="E383"/>
  <c r="D383"/>
  <c r="C383"/>
  <c r="F382"/>
  <c r="E382"/>
  <c r="D382"/>
  <c r="C382"/>
  <c r="F381"/>
  <c r="E381"/>
  <c r="D381"/>
  <c r="C381"/>
  <c r="F380"/>
  <c r="E380"/>
  <c r="D380"/>
  <c r="C380"/>
  <c r="F379"/>
  <c r="E379"/>
  <c r="D379"/>
  <c r="C379"/>
  <c r="F378"/>
  <c r="E378"/>
  <c r="D378"/>
  <c r="C378"/>
  <c r="F377"/>
  <c r="E377"/>
  <c r="D377"/>
  <c r="C377"/>
  <c r="F376"/>
  <c r="E376"/>
  <c r="D376"/>
  <c r="C376"/>
  <c r="F375"/>
  <c r="E375"/>
  <c r="D375"/>
  <c r="C375"/>
  <c r="F374"/>
  <c r="E374"/>
  <c r="D374"/>
  <c r="C374"/>
  <c r="F373"/>
  <c r="E373"/>
  <c r="D373"/>
  <c r="C373"/>
  <c r="F372"/>
  <c r="E372"/>
  <c r="D372"/>
  <c r="C372"/>
  <c r="F371"/>
  <c r="E371"/>
  <c r="D371"/>
  <c r="C371"/>
  <c r="F370"/>
  <c r="E370"/>
  <c r="D370"/>
  <c r="C370"/>
  <c r="F369"/>
  <c r="E369"/>
  <c r="D369"/>
  <c r="C369"/>
  <c r="F368"/>
  <c r="E368"/>
  <c r="D368"/>
  <c r="C368"/>
  <c r="F367"/>
  <c r="E367"/>
  <c r="D367"/>
  <c r="C367"/>
  <c r="F366"/>
  <c r="E366"/>
  <c r="D366"/>
  <c r="C366"/>
  <c r="F365"/>
  <c r="E365"/>
  <c r="D365"/>
  <c r="C365"/>
  <c r="F364"/>
  <c r="E364"/>
  <c r="D364"/>
  <c r="C364"/>
  <c r="F363"/>
  <c r="E363"/>
  <c r="D363"/>
  <c r="C363"/>
  <c r="F362"/>
  <c r="E362"/>
  <c r="D362"/>
  <c r="C362"/>
  <c r="F361"/>
  <c r="E361"/>
  <c r="D361"/>
  <c r="C361"/>
  <c r="F360"/>
  <c r="E360"/>
  <c r="D360"/>
  <c r="C360"/>
  <c r="F359"/>
  <c r="E359"/>
  <c r="D359"/>
  <c r="C359"/>
  <c r="F358"/>
  <c r="E358"/>
  <c r="D358"/>
  <c r="C358"/>
  <c r="F357"/>
  <c r="E357"/>
  <c r="D357"/>
  <c r="C357"/>
  <c r="F356"/>
  <c r="E356"/>
  <c r="D356"/>
  <c r="C356"/>
  <c r="F355"/>
  <c r="E355"/>
  <c r="D355"/>
  <c r="C355"/>
  <c r="F354"/>
  <c r="E354"/>
  <c r="D354"/>
  <c r="C354"/>
  <c r="F353"/>
  <c r="E353"/>
  <c r="D353"/>
  <c r="C353"/>
  <c r="F352"/>
  <c r="E352"/>
  <c r="D352"/>
  <c r="C352"/>
  <c r="F351"/>
  <c r="E351"/>
  <c r="D351"/>
  <c r="C351"/>
  <c r="F350"/>
  <c r="E350"/>
  <c r="D350"/>
  <c r="C350"/>
  <c r="F349"/>
  <c r="E349"/>
  <c r="D349"/>
  <c r="C349"/>
  <c r="F348"/>
  <c r="E348"/>
  <c r="D348"/>
  <c r="C348"/>
  <c r="F347"/>
  <c r="E347"/>
  <c r="D347"/>
  <c r="C347"/>
  <c r="F346"/>
  <c r="E346"/>
  <c r="D346"/>
  <c r="C346"/>
  <c r="F345"/>
  <c r="E345"/>
  <c r="D345"/>
  <c r="C345"/>
  <c r="F344"/>
  <c r="E344"/>
  <c r="D344"/>
  <c r="C344"/>
  <c r="F343"/>
  <c r="E343"/>
  <c r="D343"/>
  <c r="C343"/>
  <c r="F342"/>
  <c r="E342"/>
  <c r="D342"/>
  <c r="C342"/>
  <c r="F341"/>
  <c r="E341"/>
  <c r="D341"/>
  <c r="C341"/>
  <c r="F340"/>
  <c r="E340"/>
  <c r="D340"/>
  <c r="C340"/>
  <c r="F339"/>
  <c r="E339"/>
  <c r="D339"/>
  <c r="C339"/>
  <c r="F338"/>
  <c r="E338"/>
  <c r="D338"/>
  <c r="C338"/>
  <c r="F337"/>
  <c r="E337"/>
  <c r="D337"/>
  <c r="C337"/>
  <c r="F336"/>
  <c r="E336"/>
  <c r="D336"/>
  <c r="C336"/>
  <c r="F335"/>
  <c r="E335"/>
  <c r="D335"/>
  <c r="C335"/>
  <c r="F334"/>
  <c r="E334"/>
  <c r="D334"/>
  <c r="C334"/>
  <c r="F333"/>
  <c r="E333"/>
  <c r="D333"/>
  <c r="C333"/>
  <c r="F332"/>
  <c r="E332"/>
  <c r="D332"/>
  <c r="C332"/>
  <c r="F331"/>
  <c r="E331"/>
  <c r="D331"/>
  <c r="C331"/>
  <c r="F330"/>
  <c r="E330"/>
  <c r="D330"/>
  <c r="C330"/>
  <c r="F329"/>
  <c r="E329"/>
  <c r="D329"/>
  <c r="C329"/>
  <c r="F328"/>
  <c r="E328"/>
  <c r="D328"/>
  <c r="C328"/>
  <c r="F327"/>
  <c r="E327"/>
  <c r="D327"/>
  <c r="C327"/>
  <c r="F326"/>
  <c r="E326"/>
  <c r="D326"/>
  <c r="C326"/>
  <c r="F325"/>
  <c r="E325"/>
  <c r="D325"/>
  <c r="C325"/>
  <c r="F324"/>
  <c r="E324"/>
  <c r="D324"/>
  <c r="C324"/>
  <c r="F323"/>
  <c r="E323"/>
  <c r="D323"/>
  <c r="C323"/>
  <c r="F322"/>
  <c r="E322"/>
  <c r="D322"/>
  <c r="C322"/>
  <c r="F321"/>
  <c r="E321"/>
  <c r="D321"/>
  <c r="C321"/>
  <c r="F320"/>
  <c r="E320"/>
  <c r="D320"/>
  <c r="C320"/>
  <c r="F319"/>
  <c r="E319"/>
  <c r="D319"/>
  <c r="C319"/>
  <c r="F318"/>
  <c r="E318"/>
  <c r="D318"/>
  <c r="C318"/>
  <c r="F317"/>
  <c r="E317"/>
  <c r="D317"/>
  <c r="C317"/>
  <c r="F316"/>
  <c r="E316"/>
  <c r="D316"/>
  <c r="C316"/>
  <c r="F315"/>
  <c r="E315"/>
  <c r="D315"/>
  <c r="C315"/>
  <c r="F314"/>
  <c r="E314"/>
  <c r="D314"/>
  <c r="C314"/>
  <c r="F313"/>
  <c r="E313"/>
  <c r="D313"/>
  <c r="C313"/>
  <c r="F312"/>
  <c r="E312"/>
  <c r="D312"/>
  <c r="C312"/>
  <c r="F311"/>
  <c r="E311"/>
  <c r="D311"/>
  <c r="C311"/>
  <c r="F310"/>
  <c r="E310"/>
  <c r="D310"/>
  <c r="C310"/>
  <c r="F309"/>
  <c r="E309"/>
  <c r="D309"/>
  <c r="C309"/>
  <c r="F308"/>
  <c r="E308"/>
  <c r="D308"/>
  <c r="C308"/>
  <c r="F307"/>
  <c r="E307"/>
  <c r="D307"/>
  <c r="C307"/>
  <c r="F306"/>
  <c r="E306"/>
  <c r="D306"/>
  <c r="C306"/>
  <c r="F305"/>
  <c r="E305"/>
  <c r="D305"/>
  <c r="C305"/>
  <c r="F304"/>
  <c r="E304"/>
  <c r="D304"/>
  <c r="C304"/>
  <c r="F303"/>
  <c r="E303"/>
  <c r="D303"/>
  <c r="C303"/>
  <c r="F302"/>
  <c r="E302"/>
  <c r="D302"/>
  <c r="C302"/>
  <c r="F301"/>
  <c r="E301"/>
  <c r="D301"/>
  <c r="C301"/>
  <c r="F300"/>
  <c r="E300"/>
  <c r="D300"/>
  <c r="C300"/>
  <c r="F299"/>
  <c r="E299"/>
  <c r="D299"/>
  <c r="C299"/>
  <c r="F298"/>
  <c r="E298"/>
  <c r="D298"/>
  <c r="C298"/>
  <c r="F297"/>
  <c r="E297"/>
  <c r="D297"/>
  <c r="C297"/>
  <c r="F296"/>
  <c r="E296"/>
  <c r="D296"/>
  <c r="C296"/>
  <c r="F295"/>
  <c r="E295"/>
  <c r="D295"/>
  <c r="C295"/>
  <c r="F294"/>
  <c r="E294"/>
  <c r="D294"/>
  <c r="C294"/>
  <c r="F293"/>
  <c r="E293"/>
  <c r="D293"/>
  <c r="C293"/>
  <c r="F292"/>
  <c r="E292"/>
  <c r="D292"/>
  <c r="C292"/>
  <c r="F291"/>
  <c r="E291"/>
  <c r="D291"/>
  <c r="C291"/>
  <c r="F290"/>
  <c r="E290"/>
  <c r="D290"/>
  <c r="C290"/>
  <c r="F289"/>
  <c r="E289"/>
  <c r="D289"/>
  <c r="C289"/>
  <c r="F288"/>
  <c r="E288"/>
  <c r="D288"/>
  <c r="C288"/>
  <c r="F287"/>
  <c r="E287"/>
  <c r="D287"/>
  <c r="C287"/>
  <c r="F286"/>
  <c r="E286"/>
  <c r="D286"/>
  <c r="C286"/>
  <c r="F285"/>
  <c r="E285"/>
  <c r="D285"/>
  <c r="C285"/>
  <c r="F284"/>
  <c r="E284"/>
  <c r="D284"/>
  <c r="C284"/>
  <c r="F283"/>
  <c r="E283"/>
  <c r="D283"/>
  <c r="C283"/>
  <c r="A283" s="1"/>
  <c r="F282"/>
  <c r="E282"/>
  <c r="D282"/>
  <c r="C282"/>
  <c r="F281"/>
  <c r="E281"/>
  <c r="D281"/>
  <c r="C281"/>
  <c r="F280"/>
  <c r="E280"/>
  <c r="D280"/>
  <c r="C280"/>
  <c r="F279"/>
  <c r="E279"/>
  <c r="D279"/>
  <c r="C279"/>
  <c r="F278"/>
  <c r="E278"/>
  <c r="D278"/>
  <c r="C278"/>
  <c r="F277"/>
  <c r="E277"/>
  <c r="D277"/>
  <c r="C277"/>
  <c r="F276"/>
  <c r="E276"/>
  <c r="D276"/>
  <c r="C276"/>
  <c r="F275"/>
  <c r="E275"/>
  <c r="D275"/>
  <c r="C275"/>
  <c r="F274"/>
  <c r="E274"/>
  <c r="D274"/>
  <c r="C274"/>
  <c r="F273"/>
  <c r="E273"/>
  <c r="D273"/>
  <c r="C273"/>
  <c r="F272"/>
  <c r="E272"/>
  <c r="D272"/>
  <c r="C272"/>
  <c r="F271"/>
  <c r="E271"/>
  <c r="D271"/>
  <c r="C271"/>
  <c r="F270"/>
  <c r="E270"/>
  <c r="D270"/>
  <c r="C270"/>
  <c r="F269"/>
  <c r="E269"/>
  <c r="D269"/>
  <c r="C269"/>
  <c r="F268"/>
  <c r="E268"/>
  <c r="D268"/>
  <c r="C268"/>
  <c r="F267"/>
  <c r="E267"/>
  <c r="D267"/>
  <c r="C267"/>
  <c r="F266"/>
  <c r="E266"/>
  <c r="D266"/>
  <c r="C266"/>
  <c r="F265"/>
  <c r="E265"/>
  <c r="D265"/>
  <c r="C265"/>
  <c r="F264"/>
  <c r="E264"/>
  <c r="D264"/>
  <c r="C264"/>
  <c r="F263"/>
  <c r="E263"/>
  <c r="D263"/>
  <c r="C263"/>
  <c r="F262"/>
  <c r="E262"/>
  <c r="D262"/>
  <c r="C262"/>
  <c r="F261"/>
  <c r="E261"/>
  <c r="D261"/>
  <c r="C261"/>
  <c r="F260"/>
  <c r="E260"/>
  <c r="D260"/>
  <c r="C260"/>
  <c r="F259"/>
  <c r="E259"/>
  <c r="D259"/>
  <c r="C259"/>
  <c r="F258"/>
  <c r="E258"/>
  <c r="D258"/>
  <c r="C258"/>
  <c r="F257"/>
  <c r="E257"/>
  <c r="D257"/>
  <c r="C257"/>
  <c r="F256"/>
  <c r="E256"/>
  <c r="D256"/>
  <c r="C256"/>
  <c r="F255"/>
  <c r="E255"/>
  <c r="D255"/>
  <c r="C255"/>
  <c r="F254"/>
  <c r="E254"/>
  <c r="D254"/>
  <c r="C254"/>
  <c r="F253"/>
  <c r="E253"/>
  <c r="D253"/>
  <c r="C253"/>
  <c r="F252"/>
  <c r="E252"/>
  <c r="D252"/>
  <c r="C252"/>
  <c r="F251"/>
  <c r="E251"/>
  <c r="D251"/>
  <c r="C251"/>
  <c r="F250"/>
  <c r="E250"/>
  <c r="D250"/>
  <c r="C250"/>
  <c r="F249"/>
  <c r="E249"/>
  <c r="D249"/>
  <c r="C249"/>
  <c r="F248"/>
  <c r="E248"/>
  <c r="D248"/>
  <c r="C248"/>
  <c r="F247"/>
  <c r="E247"/>
  <c r="D247"/>
  <c r="C247"/>
  <c r="F246"/>
  <c r="E246"/>
  <c r="D246"/>
  <c r="C246"/>
  <c r="F245"/>
  <c r="E245"/>
  <c r="D245"/>
  <c r="C245"/>
  <c r="F244"/>
  <c r="E244"/>
  <c r="D244"/>
  <c r="C244"/>
  <c r="F243"/>
  <c r="E243"/>
  <c r="D243"/>
  <c r="C243"/>
  <c r="F242"/>
  <c r="E242"/>
  <c r="D242"/>
  <c r="C242"/>
  <c r="F241"/>
  <c r="E241"/>
  <c r="D241"/>
  <c r="C241"/>
  <c r="F240"/>
  <c r="E240"/>
  <c r="D240"/>
  <c r="C240"/>
  <c r="F239"/>
  <c r="E239"/>
  <c r="D239"/>
  <c r="C239"/>
  <c r="F238"/>
  <c r="E238"/>
  <c r="D238"/>
  <c r="C238"/>
  <c r="F237"/>
  <c r="E237"/>
  <c r="D237"/>
  <c r="C237"/>
  <c r="F236"/>
  <c r="E236"/>
  <c r="D236"/>
  <c r="C236"/>
  <c r="F235"/>
  <c r="E235"/>
  <c r="D235"/>
  <c r="C235"/>
  <c r="A235" s="1"/>
  <c r="F234"/>
  <c r="E234"/>
  <c r="D234"/>
  <c r="C234"/>
  <c r="F233"/>
  <c r="E233"/>
  <c r="D233"/>
  <c r="C233"/>
  <c r="F232"/>
  <c r="E232"/>
  <c r="D232"/>
  <c r="C232"/>
  <c r="F231"/>
  <c r="E231"/>
  <c r="D231"/>
  <c r="C231"/>
  <c r="F230"/>
  <c r="E230"/>
  <c r="D230"/>
  <c r="C230"/>
  <c r="F229"/>
  <c r="E229"/>
  <c r="D229"/>
  <c r="C229"/>
  <c r="F228"/>
  <c r="E228"/>
  <c r="D228"/>
  <c r="C228"/>
  <c r="F227"/>
  <c r="E227"/>
  <c r="D227"/>
  <c r="C227"/>
  <c r="A227" s="1"/>
  <c r="F226"/>
  <c r="E226"/>
  <c r="D226"/>
  <c r="C226"/>
  <c r="F225"/>
  <c r="E225"/>
  <c r="D225"/>
  <c r="C225"/>
  <c r="F224"/>
  <c r="E224"/>
  <c r="D224"/>
  <c r="C224"/>
  <c r="F223"/>
  <c r="E223"/>
  <c r="D223"/>
  <c r="C223"/>
  <c r="F222"/>
  <c r="E222"/>
  <c r="D222"/>
  <c r="C222"/>
  <c r="F221"/>
  <c r="E221"/>
  <c r="D221"/>
  <c r="C221"/>
  <c r="F220"/>
  <c r="E220"/>
  <c r="D220"/>
  <c r="C220"/>
  <c r="F219"/>
  <c r="E219"/>
  <c r="D219"/>
  <c r="C219"/>
  <c r="F218"/>
  <c r="E218"/>
  <c r="D218"/>
  <c r="C218"/>
  <c r="F217"/>
  <c r="E217"/>
  <c r="D217"/>
  <c r="C217"/>
  <c r="F216"/>
  <c r="E216"/>
  <c r="D216"/>
  <c r="C216"/>
  <c r="F215"/>
  <c r="E215"/>
  <c r="D215"/>
  <c r="C215"/>
  <c r="F214"/>
  <c r="E214"/>
  <c r="D214"/>
  <c r="C214"/>
  <c r="F213"/>
  <c r="E213"/>
  <c r="D213"/>
  <c r="C213"/>
  <c r="F212"/>
  <c r="E212"/>
  <c r="D212"/>
  <c r="C212"/>
  <c r="F211"/>
  <c r="E211"/>
  <c r="D211"/>
  <c r="C211"/>
  <c r="F210"/>
  <c r="E210"/>
  <c r="D210"/>
  <c r="C210"/>
  <c r="F209"/>
  <c r="E209"/>
  <c r="D209"/>
  <c r="C209"/>
  <c r="F208"/>
  <c r="E208"/>
  <c r="D208"/>
  <c r="C208"/>
  <c r="F207"/>
  <c r="E207"/>
  <c r="D207"/>
  <c r="C207"/>
  <c r="F206"/>
  <c r="E206"/>
  <c r="D206"/>
  <c r="C206"/>
  <c r="F205"/>
  <c r="E205"/>
  <c r="D205"/>
  <c r="C205"/>
  <c r="F204"/>
  <c r="E204"/>
  <c r="D204"/>
  <c r="C204"/>
  <c r="F203"/>
  <c r="E203"/>
  <c r="D203"/>
  <c r="C203"/>
  <c r="F202"/>
  <c r="E202"/>
  <c r="D202"/>
  <c r="C202"/>
  <c r="F201"/>
  <c r="E201"/>
  <c r="D201"/>
  <c r="C201"/>
  <c r="F200"/>
  <c r="E200"/>
  <c r="D200"/>
  <c r="C200"/>
  <c r="F199"/>
  <c r="E199"/>
  <c r="D199"/>
  <c r="C199"/>
  <c r="F198"/>
  <c r="E198"/>
  <c r="D198"/>
  <c r="C198"/>
  <c r="F197"/>
  <c r="E197"/>
  <c r="D197"/>
  <c r="C197"/>
  <c r="F196"/>
  <c r="E196"/>
  <c r="D196"/>
  <c r="C196"/>
  <c r="F195"/>
  <c r="E195"/>
  <c r="D195"/>
  <c r="C195"/>
  <c r="F194"/>
  <c r="E194"/>
  <c r="D194"/>
  <c r="C194"/>
  <c r="F193"/>
  <c r="E193"/>
  <c r="D193"/>
  <c r="C193"/>
  <c r="F192"/>
  <c r="E192"/>
  <c r="D192"/>
  <c r="C192"/>
  <c r="F191"/>
  <c r="E191"/>
  <c r="D191"/>
  <c r="C191"/>
  <c r="F190"/>
  <c r="E190"/>
  <c r="D190"/>
  <c r="C190"/>
  <c r="F189"/>
  <c r="E189"/>
  <c r="D189"/>
  <c r="C189"/>
  <c r="F188"/>
  <c r="E188"/>
  <c r="D188"/>
  <c r="C188"/>
  <c r="F187"/>
  <c r="E187"/>
  <c r="D187"/>
  <c r="C187"/>
  <c r="F186"/>
  <c r="E186"/>
  <c r="D186"/>
  <c r="C186"/>
  <c r="F185"/>
  <c r="E185"/>
  <c r="D185"/>
  <c r="C185"/>
  <c r="F184"/>
  <c r="E184"/>
  <c r="D184"/>
  <c r="C184"/>
  <c r="F183"/>
  <c r="E183"/>
  <c r="D183"/>
  <c r="C183"/>
  <c r="F182"/>
  <c r="E182"/>
  <c r="D182"/>
  <c r="C182"/>
  <c r="F181"/>
  <c r="E181"/>
  <c r="D181"/>
  <c r="C181"/>
  <c r="F180"/>
  <c r="E180"/>
  <c r="D180"/>
  <c r="C180"/>
  <c r="F179"/>
  <c r="E179"/>
  <c r="D179"/>
  <c r="C179"/>
  <c r="F178"/>
  <c r="E178"/>
  <c r="D178"/>
  <c r="C178"/>
  <c r="F177"/>
  <c r="E177"/>
  <c r="D177"/>
  <c r="C177"/>
  <c r="F176"/>
  <c r="E176"/>
  <c r="D176"/>
  <c r="C176"/>
  <c r="F175"/>
  <c r="E175"/>
  <c r="D175"/>
  <c r="C175"/>
  <c r="F174"/>
  <c r="E174"/>
  <c r="D174"/>
  <c r="C174"/>
  <c r="F173"/>
  <c r="E173"/>
  <c r="D173"/>
  <c r="C173"/>
  <c r="F172"/>
  <c r="E172"/>
  <c r="D172"/>
  <c r="C172"/>
  <c r="F171"/>
  <c r="E171"/>
  <c r="D171"/>
  <c r="C171"/>
  <c r="F170"/>
  <c r="E170"/>
  <c r="D170"/>
  <c r="C170"/>
  <c r="F169"/>
  <c r="E169"/>
  <c r="D169"/>
  <c r="C169"/>
  <c r="F168"/>
  <c r="E168"/>
  <c r="D168"/>
  <c r="C168"/>
  <c r="F167"/>
  <c r="E167"/>
  <c r="D167"/>
  <c r="C167"/>
  <c r="E118"/>
  <c r="D118"/>
  <c r="C118"/>
  <c r="E117"/>
  <c r="D117"/>
  <c r="C117"/>
  <c r="E116"/>
  <c r="D116"/>
  <c r="C116"/>
  <c r="E115"/>
  <c r="D115"/>
  <c r="C115"/>
  <c r="E114"/>
  <c r="D114"/>
  <c r="C114"/>
  <c r="E113"/>
  <c r="D113"/>
  <c r="C113"/>
  <c r="E112"/>
  <c r="D112"/>
  <c r="C112"/>
  <c r="E111"/>
  <c r="D111"/>
  <c r="C111"/>
  <c r="E110"/>
  <c r="D110"/>
  <c r="C110"/>
  <c r="E109"/>
  <c r="D109"/>
  <c r="C109"/>
  <c r="E108"/>
  <c r="D108"/>
  <c r="C108"/>
  <c r="E107"/>
  <c r="D107"/>
  <c r="C107"/>
  <c r="E106"/>
  <c r="D106"/>
  <c r="C106"/>
  <c r="E105"/>
  <c r="D105"/>
  <c r="C105"/>
  <c r="E104"/>
  <c r="D104"/>
  <c r="C104"/>
  <c r="E103"/>
  <c r="D103"/>
  <c r="C103"/>
  <c r="E102"/>
  <c r="D102"/>
  <c r="C102"/>
  <c r="E101"/>
  <c r="D101"/>
  <c r="C101"/>
  <c r="E100"/>
  <c r="D100"/>
  <c r="C100"/>
  <c r="E99"/>
  <c r="D99"/>
  <c r="C99"/>
  <c r="E98"/>
  <c r="D98"/>
  <c r="C98"/>
  <c r="E97"/>
  <c r="D97"/>
  <c r="C97"/>
  <c r="E96"/>
  <c r="D96"/>
  <c r="C96"/>
  <c r="E95"/>
  <c r="D95"/>
  <c r="C95"/>
  <c r="E94"/>
  <c r="D94"/>
  <c r="C94"/>
  <c r="E93"/>
  <c r="D93"/>
  <c r="C93"/>
  <c r="E92"/>
  <c r="D92"/>
  <c r="C92"/>
  <c r="E91"/>
  <c r="D91"/>
  <c r="C91"/>
  <c r="E90"/>
  <c r="D90"/>
  <c r="C90"/>
  <c r="E89"/>
  <c r="D89"/>
  <c r="C89"/>
  <c r="E88"/>
  <c r="D88"/>
  <c r="C88"/>
  <c r="E87"/>
  <c r="D87"/>
  <c r="C87"/>
  <c r="E86"/>
  <c r="D86"/>
  <c r="C86"/>
  <c r="E85"/>
  <c r="D85"/>
  <c r="C85"/>
  <c r="E84"/>
  <c r="D84"/>
  <c r="C84"/>
  <c r="E83"/>
  <c r="D83"/>
  <c r="C83"/>
  <c r="E82"/>
  <c r="D82"/>
  <c r="C82"/>
  <c r="E81"/>
  <c r="D81"/>
  <c r="C81"/>
  <c r="E80"/>
  <c r="D80"/>
  <c r="C80"/>
  <c r="E79"/>
  <c r="D79"/>
  <c r="C79"/>
  <c r="E78"/>
  <c r="D78"/>
  <c r="C78"/>
  <c r="E77"/>
  <c r="D77"/>
  <c r="C77"/>
  <c r="E76"/>
  <c r="D76"/>
  <c r="C76"/>
  <c r="E75"/>
  <c r="D75"/>
  <c r="C75"/>
  <c r="A75" s="1"/>
  <c r="E74"/>
  <c r="D74"/>
  <c r="C74"/>
  <c r="E73"/>
  <c r="D73"/>
  <c r="C73"/>
  <c r="E72"/>
  <c r="D72"/>
  <c r="C72"/>
  <c r="E71"/>
  <c r="D71"/>
  <c r="C71"/>
  <c r="E70"/>
  <c r="D70"/>
  <c r="C70"/>
  <c r="E69"/>
  <c r="D69"/>
  <c r="C69"/>
  <c r="E68"/>
  <c r="D68"/>
  <c r="C68"/>
  <c r="E67"/>
  <c r="D67"/>
  <c r="C67"/>
  <c r="E66"/>
  <c r="D66"/>
  <c r="C66"/>
  <c r="E65"/>
  <c r="D65"/>
  <c r="C65"/>
  <c r="E64"/>
  <c r="D64"/>
  <c r="C64"/>
  <c r="E63"/>
  <c r="D63"/>
  <c r="C63"/>
  <c r="E62"/>
  <c r="D62"/>
  <c r="C62"/>
  <c r="E61"/>
  <c r="D61"/>
  <c r="C61"/>
  <c r="E60"/>
  <c r="D60"/>
  <c r="C60"/>
  <c r="E59"/>
  <c r="D59"/>
  <c r="C59"/>
  <c r="E58"/>
  <c r="D58"/>
  <c r="C58"/>
  <c r="E57"/>
  <c r="D57"/>
  <c r="C57"/>
  <c r="E56"/>
  <c r="D56"/>
  <c r="C56"/>
  <c r="E55"/>
  <c r="D55"/>
  <c r="C55"/>
  <c r="E54"/>
  <c r="D54"/>
  <c r="C54"/>
  <c r="E53"/>
  <c r="D53"/>
  <c r="C53"/>
  <c r="E52"/>
  <c r="D52"/>
  <c r="C52"/>
  <c r="E51"/>
  <c r="D51"/>
  <c r="C51"/>
  <c r="E50"/>
  <c r="D50"/>
  <c r="C50"/>
  <c r="E49"/>
  <c r="D49"/>
  <c r="C49"/>
  <c r="E48"/>
  <c r="D48"/>
  <c r="C48"/>
  <c r="E47"/>
  <c r="D47"/>
  <c r="C47"/>
  <c r="E46"/>
  <c r="D46"/>
  <c r="C46"/>
  <c r="E45"/>
  <c r="D45"/>
  <c r="C45"/>
  <c r="E44"/>
  <c r="D44"/>
  <c r="C44"/>
  <c r="E43"/>
  <c r="D43"/>
  <c r="C43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F19"/>
  <c r="E19"/>
  <c r="D19"/>
  <c r="C19"/>
  <c r="F18"/>
  <c r="E18"/>
  <c r="D18"/>
  <c r="C18"/>
  <c r="F17"/>
  <c r="E17"/>
  <c r="D17"/>
  <c r="C17"/>
  <c r="F16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E7"/>
  <c r="D7"/>
  <c r="C7"/>
  <c r="E6"/>
  <c r="D6"/>
  <c r="C6"/>
  <c r="E5"/>
  <c r="D5"/>
  <c r="C5"/>
  <c r="E4"/>
  <c r="D4"/>
  <c r="C4"/>
  <c r="E636" i="22"/>
  <c r="B612"/>
  <c r="A612"/>
  <c r="C611"/>
  <c r="D611" s="1"/>
  <c r="C610"/>
  <c r="D610" s="1"/>
  <c r="C609"/>
  <c r="C608"/>
  <c r="D608" s="1"/>
  <c r="C607"/>
  <c r="D607" s="1"/>
  <c r="C606"/>
  <c r="D606" s="1"/>
  <c r="E594"/>
  <c r="E584"/>
  <c r="B554"/>
  <c r="A554"/>
  <c r="C553"/>
  <c r="D553" s="1"/>
  <c r="C552"/>
  <c r="D552" s="1"/>
  <c r="E552" s="1"/>
  <c r="C551"/>
  <c r="D551" s="1"/>
  <c r="C550"/>
  <c r="D550" s="1"/>
  <c r="C549"/>
  <c r="D549" s="1"/>
  <c r="C548"/>
  <c r="E535"/>
  <c r="E526"/>
  <c r="B496"/>
  <c r="A496"/>
  <c r="C495"/>
  <c r="D495" s="1"/>
  <c r="C494"/>
  <c r="D494" s="1"/>
  <c r="C493"/>
  <c r="D493" s="1"/>
  <c r="C492"/>
  <c r="D492" s="1"/>
  <c r="C491"/>
  <c r="D491" s="1"/>
  <c r="C490"/>
  <c r="E475"/>
  <c r="E466"/>
  <c r="B434"/>
  <c r="A434"/>
  <c r="C433"/>
  <c r="D433" s="1"/>
  <c r="C432"/>
  <c r="D432" s="1"/>
  <c r="E432" s="1"/>
  <c r="C431"/>
  <c r="D431" s="1"/>
  <c r="C430"/>
  <c r="D430" s="1"/>
  <c r="C429"/>
  <c r="D429" s="1"/>
  <c r="C428"/>
  <c r="E413"/>
  <c r="E402"/>
  <c r="B373"/>
  <c r="A373"/>
  <c r="C372"/>
  <c r="D372" s="1"/>
  <c r="C371"/>
  <c r="D371" s="1"/>
  <c r="E371" s="1"/>
  <c r="C370"/>
  <c r="D370" s="1"/>
  <c r="C369"/>
  <c r="D369" s="1"/>
  <c r="C368"/>
  <c r="D368" s="1"/>
  <c r="C367"/>
  <c r="E353"/>
  <c r="E342"/>
  <c r="B313"/>
  <c r="A313"/>
  <c r="C312"/>
  <c r="D312" s="1"/>
  <c r="C311"/>
  <c r="D311" s="1"/>
  <c r="E311" s="1"/>
  <c r="C310"/>
  <c r="D310" s="1"/>
  <c r="C309"/>
  <c r="D309" s="1"/>
  <c r="C308"/>
  <c r="D308" s="1"/>
  <c r="C307"/>
  <c r="D307" s="1"/>
  <c r="E293"/>
  <c r="E282"/>
  <c r="B253"/>
  <c r="A253"/>
  <c r="C252"/>
  <c r="D252" s="1"/>
  <c r="C251"/>
  <c r="D251" s="1"/>
  <c r="E251" s="1"/>
  <c r="C250"/>
  <c r="D250" s="1"/>
  <c r="C249"/>
  <c r="D249" s="1"/>
  <c r="C248"/>
  <c r="D248" s="1"/>
  <c r="C247"/>
  <c r="E233"/>
  <c r="E222"/>
  <c r="B193"/>
  <c r="A193"/>
  <c r="C192"/>
  <c r="D192" s="1"/>
  <c r="C191"/>
  <c r="D191" s="1"/>
  <c r="E191" s="1"/>
  <c r="C190"/>
  <c r="D190" s="1"/>
  <c r="C189"/>
  <c r="D189" s="1"/>
  <c r="C188"/>
  <c r="D188" s="1"/>
  <c r="C187"/>
  <c r="E171"/>
  <c r="E160"/>
  <c r="B131"/>
  <c r="A131"/>
  <c r="C130"/>
  <c r="D130" s="1"/>
  <c r="C129"/>
  <c r="D129" s="1"/>
  <c r="E129" s="1"/>
  <c r="C128"/>
  <c r="D128" s="1"/>
  <c r="C127"/>
  <c r="D127" s="1"/>
  <c r="C126"/>
  <c r="D126" s="1"/>
  <c r="C125"/>
  <c r="E112"/>
  <c r="E101"/>
  <c r="B72"/>
  <c r="A72"/>
  <c r="C71"/>
  <c r="D71" s="1"/>
  <c r="C70"/>
  <c r="D70" s="1"/>
  <c r="E70" s="1"/>
  <c r="C69"/>
  <c r="D69" s="1"/>
  <c r="C68"/>
  <c r="D68" s="1"/>
  <c r="C67"/>
  <c r="D67" s="1"/>
  <c r="C66"/>
  <c r="D66" s="1"/>
  <c r="E53"/>
  <c r="E42"/>
  <c r="B13"/>
  <c r="A13"/>
  <c r="C12"/>
  <c r="D12" s="1"/>
  <c r="C11"/>
  <c r="D11" s="1"/>
  <c r="E11" s="1"/>
  <c r="C10"/>
  <c r="D10" s="1"/>
  <c r="C9"/>
  <c r="D9" s="1"/>
  <c r="C8"/>
  <c r="D8" s="1"/>
  <c r="C7"/>
  <c r="H29" i="24" l="1"/>
  <c r="H204"/>
  <c r="K669"/>
  <c r="A310" i="23"/>
  <c r="A314"/>
  <c r="A342"/>
  <c r="A429"/>
  <c r="A552"/>
  <c r="A584"/>
  <c r="A614"/>
  <c r="A630"/>
  <c r="A636"/>
  <c r="K380" i="24"/>
  <c r="K410"/>
  <c r="A404" i="23"/>
  <c r="A410"/>
  <c r="A574"/>
  <c r="K844" i="24"/>
  <c r="I899"/>
  <c r="J899" s="1"/>
  <c r="G24"/>
  <c r="A316" i="23"/>
  <c r="K762" i="24"/>
  <c r="K814"/>
  <c r="B6" i="25"/>
  <c r="A219" i="23"/>
  <c r="A20"/>
  <c r="A85"/>
  <c r="A11"/>
  <c r="A43"/>
  <c r="A51"/>
  <c r="A59"/>
  <c r="A67"/>
  <c r="A71"/>
  <c r="A340"/>
  <c r="A397"/>
  <c r="K729" i="24"/>
  <c r="K761"/>
  <c r="K780"/>
  <c r="I274"/>
  <c r="A427" i="23"/>
  <c r="A433"/>
  <c r="A484"/>
  <c r="A493"/>
  <c r="K441" i="24"/>
  <c r="G23"/>
  <c r="G236"/>
  <c r="A556" i="23"/>
  <c r="A571"/>
  <c r="A592"/>
  <c r="A634"/>
  <c r="I273" i="24"/>
  <c r="M38"/>
  <c r="M54" s="1"/>
  <c r="K526"/>
  <c r="G25"/>
  <c r="I238"/>
  <c r="J238" s="1"/>
  <c r="K238" s="1"/>
  <c r="A344" i="23"/>
  <c r="A371"/>
  <c r="A395"/>
  <c r="A401"/>
  <c r="A547"/>
  <c r="G202" i="24"/>
  <c r="A56" i="23"/>
  <c r="A64"/>
  <c r="A419"/>
  <c r="A431"/>
  <c r="A497"/>
  <c r="G203" i="24"/>
  <c r="I266"/>
  <c r="A632" i="23"/>
  <c r="K411" i="24"/>
  <c r="G7"/>
  <c r="H7" s="1"/>
  <c r="A76" i="23"/>
  <c r="A80"/>
  <c r="A104"/>
  <c r="A108"/>
  <c r="A112"/>
  <c r="A116"/>
  <c r="A312"/>
  <c r="A539"/>
  <c r="A578"/>
  <c r="G8" i="24"/>
  <c r="G214"/>
  <c r="I282"/>
  <c r="I265"/>
  <c r="A387" i="23"/>
  <c r="A399"/>
  <c r="K381" i="24"/>
  <c r="K799"/>
  <c r="G9"/>
  <c r="G40"/>
  <c r="A495" i="23"/>
  <c r="K371" i="24"/>
  <c r="K513"/>
  <c r="I281"/>
  <c r="A348" i="23"/>
  <c r="J574" i="24"/>
  <c r="K574" s="1"/>
  <c r="K908"/>
  <c r="A83" i="23"/>
  <c r="A89"/>
  <c r="A94"/>
  <c r="A113"/>
  <c r="A115"/>
  <c r="A180"/>
  <c r="A188"/>
  <c r="A204"/>
  <c r="A212"/>
  <c r="A246"/>
  <c r="A248"/>
  <c r="A250"/>
  <c r="A254"/>
  <c r="A256"/>
  <c r="A258"/>
  <c r="K472" i="24"/>
  <c r="A379" i="23"/>
  <c r="A467"/>
  <c r="A548"/>
  <c r="A566"/>
  <c r="A570"/>
  <c r="A10"/>
  <c r="A47"/>
  <c r="A74"/>
  <c r="A79"/>
  <c r="A95"/>
  <c r="A111"/>
  <c r="A167"/>
  <c r="A169"/>
  <c r="A195"/>
  <c r="A203"/>
  <c r="A205"/>
  <c r="A211"/>
  <c r="A213"/>
  <c r="A215"/>
  <c r="A217"/>
  <c r="K322" i="24"/>
  <c r="K323" s="1"/>
  <c r="K361"/>
  <c r="K431"/>
  <c r="K453"/>
  <c r="K651"/>
  <c r="A32" i="23"/>
  <c r="A69"/>
  <c r="A82"/>
  <c r="A90"/>
  <c r="A106"/>
  <c r="A114"/>
  <c r="A221"/>
  <c r="A223"/>
  <c r="A225"/>
  <c r="A364"/>
  <c r="A435"/>
  <c r="A515"/>
  <c r="A523"/>
  <c r="A531"/>
  <c r="A533"/>
  <c r="A535"/>
  <c r="A537"/>
  <c r="A588"/>
  <c r="A606"/>
  <c r="A610"/>
  <c r="A612"/>
  <c r="A622"/>
  <c r="A628"/>
  <c r="K603" i="24"/>
  <c r="K745"/>
  <c r="A251" i="23"/>
  <c r="A275"/>
  <c r="A277"/>
  <c r="A279"/>
  <c r="A281"/>
  <c r="A541"/>
  <c r="A543"/>
  <c r="A545"/>
  <c r="A555"/>
  <c r="A563"/>
  <c r="A565"/>
  <c r="A567"/>
  <c r="A569"/>
  <c r="A598"/>
  <c r="G10" i="26"/>
  <c r="I187" i="24" s="1"/>
  <c r="J187" s="1"/>
  <c r="K187" s="1"/>
  <c r="A285" i="23"/>
  <c r="A287"/>
  <c r="A289"/>
  <c r="A380"/>
  <c r="A412"/>
  <c r="A414"/>
  <c r="A416"/>
  <c r="A420"/>
  <c r="A428"/>
  <c r="A452"/>
  <c r="A476"/>
  <c r="A478"/>
  <c r="A480"/>
  <c r="A575"/>
  <c r="A577"/>
  <c r="K391" i="24"/>
  <c r="K482"/>
  <c r="A331" i="23"/>
  <c r="A339"/>
  <c r="A347"/>
  <c r="A587"/>
  <c r="A599"/>
  <c r="A601"/>
  <c r="A605"/>
  <c r="A607"/>
  <c r="A609"/>
  <c r="A613"/>
  <c r="A623"/>
  <c r="A625"/>
  <c r="A627"/>
  <c r="K627" i="24"/>
  <c r="K863"/>
  <c r="A31" i="23"/>
  <c r="A291"/>
  <c r="A323"/>
  <c r="A363"/>
  <c r="A365"/>
  <c r="A367"/>
  <c r="A369"/>
  <c r="A579"/>
  <c r="J46" i="24"/>
  <c r="K339"/>
  <c r="K560"/>
  <c r="K680"/>
  <c r="K854"/>
  <c r="K257"/>
  <c r="K248"/>
  <c r="K14"/>
  <c r="K11"/>
  <c r="A97" i="23"/>
  <c r="C554" i="22"/>
  <c r="A35" i="23"/>
  <c r="A39"/>
  <c r="A54"/>
  <c r="A62"/>
  <c r="A243"/>
  <c r="A267"/>
  <c r="D548" i="22"/>
  <c r="A4" i="23"/>
  <c r="A68"/>
  <c r="A73"/>
  <c r="A168"/>
  <c r="A170"/>
  <c r="A174"/>
  <c r="A176"/>
  <c r="A178"/>
  <c r="A299"/>
  <c r="A315"/>
  <c r="A354"/>
  <c r="A370"/>
  <c r="A451"/>
  <c r="A490"/>
  <c r="A508"/>
  <c r="A510"/>
  <c r="A512"/>
  <c r="A518"/>
  <c r="A520"/>
  <c r="A524"/>
  <c r="A526"/>
  <c r="A528"/>
  <c r="A532"/>
  <c r="A228"/>
  <c r="A268"/>
  <c r="A87"/>
  <c r="A171"/>
  <c r="A292"/>
  <c r="A324"/>
  <c r="A19"/>
  <c r="A27"/>
  <c r="C253" i="22"/>
  <c r="A7" i="23"/>
  <c r="A15"/>
  <c r="A23"/>
  <c r="A55"/>
  <c r="A63"/>
  <c r="A78"/>
  <c r="A81"/>
  <c r="A91"/>
  <c r="A307"/>
  <c r="A325"/>
  <c r="A327"/>
  <c r="A329"/>
  <c r="A356"/>
  <c r="A372"/>
  <c r="A378"/>
  <c r="A382"/>
  <c r="A384"/>
  <c r="A388"/>
  <c r="A396"/>
  <c r="A443"/>
  <c r="A461"/>
  <c r="A463"/>
  <c r="A465"/>
  <c r="A492"/>
  <c r="A538"/>
  <c r="A402"/>
  <c r="A459"/>
  <c r="A475"/>
  <c r="A483"/>
  <c r="A540"/>
  <c r="A546"/>
  <c r="A550"/>
  <c r="A355"/>
  <c r="A434"/>
  <c r="A446"/>
  <c r="A448"/>
  <c r="A491"/>
  <c r="A507"/>
  <c r="A436"/>
  <c r="A442"/>
  <c r="A179"/>
  <c r="A458"/>
  <c r="A411"/>
  <c r="A460"/>
  <c r="A24"/>
  <c r="A41"/>
  <c r="A53"/>
  <c r="A57"/>
  <c r="A61"/>
  <c r="A65"/>
  <c r="A77"/>
  <c r="A93"/>
  <c r="A99"/>
  <c r="A197"/>
  <c r="A199"/>
  <c r="A201"/>
  <c r="K350" i="24"/>
  <c r="C373" i="22"/>
  <c r="A26" i="23"/>
  <c r="A5"/>
  <c r="C496" i="22"/>
  <c r="A9" i="23"/>
  <c r="A13"/>
  <c r="A17"/>
  <c r="A22"/>
  <c r="A29"/>
  <c r="A49"/>
  <c r="A86"/>
  <c r="A101"/>
  <c r="A103"/>
  <c r="A107"/>
  <c r="A187"/>
  <c r="A189"/>
  <c r="A191"/>
  <c r="A193"/>
  <c r="K635" i="24"/>
  <c r="A36" i="23"/>
  <c r="C193" i="22"/>
  <c r="C13"/>
  <c r="A6" i="23"/>
  <c r="A34"/>
  <c r="A45"/>
  <c r="A70"/>
  <c r="A72"/>
  <c r="A84"/>
  <c r="A88"/>
  <c r="A105"/>
  <c r="A109"/>
  <c r="A117"/>
  <c r="A173"/>
  <c r="A175"/>
  <c r="A177"/>
  <c r="K771" i="24"/>
  <c r="K842"/>
  <c r="A500" i="23"/>
  <c r="A21"/>
  <c r="C612" i="22"/>
  <c r="C131"/>
  <c r="C434"/>
  <c r="A14" i="23"/>
  <c r="A18"/>
  <c r="A25"/>
  <c r="A30"/>
  <c r="A37"/>
  <c r="A58"/>
  <c r="A60"/>
  <c r="A66"/>
  <c r="A92"/>
  <c r="A96"/>
  <c r="A102"/>
  <c r="A172"/>
  <c r="K587" i="24"/>
  <c r="K660"/>
  <c r="A8" i="23"/>
  <c r="A12"/>
  <c r="A16"/>
  <c r="A28"/>
  <c r="A40"/>
  <c r="A42"/>
  <c r="A44"/>
  <c r="A46"/>
  <c r="A48"/>
  <c r="A50"/>
  <c r="A52"/>
  <c r="A98"/>
  <c r="A100"/>
  <c r="A110"/>
  <c r="A118"/>
  <c r="A182"/>
  <c r="A184"/>
  <c r="A186"/>
  <c r="A190"/>
  <c r="A192"/>
  <c r="A194"/>
  <c r="A259"/>
  <c r="A332"/>
  <c r="A468"/>
  <c r="A33"/>
  <c r="A38"/>
  <c r="K481" i="24"/>
  <c r="A207" i="23"/>
  <c r="A209"/>
  <c r="A220"/>
  <c r="A238"/>
  <c r="A240"/>
  <c r="A242"/>
  <c r="A269"/>
  <c r="A271"/>
  <c r="A273"/>
  <c r="A284"/>
  <c r="A302"/>
  <c r="A304"/>
  <c r="A306"/>
  <c r="A338"/>
  <c r="A357"/>
  <c r="A359"/>
  <c r="A361"/>
  <c r="A374"/>
  <c r="A376"/>
  <c r="A389"/>
  <c r="A391"/>
  <c r="A393"/>
  <c r="A406"/>
  <c r="A408"/>
  <c r="A421"/>
  <c r="A423"/>
  <c r="A425"/>
  <c r="A438"/>
  <c r="A440"/>
  <c r="A474"/>
  <c r="A506"/>
  <c r="A525"/>
  <c r="A527"/>
  <c r="A529"/>
  <c r="A542"/>
  <c r="A544"/>
  <c r="A557"/>
  <c r="A559"/>
  <c r="A561"/>
  <c r="A572"/>
  <c r="A576"/>
  <c r="A591"/>
  <c r="A593"/>
  <c r="A597"/>
  <c r="A620"/>
  <c r="A624"/>
  <c r="A626"/>
  <c r="K351" i="24"/>
  <c r="K390"/>
  <c r="K460"/>
  <c r="K471"/>
  <c r="K549"/>
  <c r="K705"/>
  <c r="K713"/>
  <c r="K730"/>
  <c r="K831"/>
  <c r="K855"/>
  <c r="G9" i="26"/>
  <c r="I186" i="24" s="1"/>
  <c r="J186" s="1"/>
  <c r="A230" i="23"/>
  <c r="A232"/>
  <c r="A234"/>
  <c r="A261"/>
  <c r="A263"/>
  <c r="A265"/>
  <c r="A276"/>
  <c r="A294"/>
  <c r="A296"/>
  <c r="A298"/>
  <c r="A317"/>
  <c r="A319"/>
  <c r="A321"/>
  <c r="A334"/>
  <c r="A336"/>
  <c r="A349"/>
  <c r="A351"/>
  <c r="A353"/>
  <c r="A453"/>
  <c r="A455"/>
  <c r="A457"/>
  <c r="A470"/>
  <c r="A472"/>
  <c r="A485"/>
  <c r="A487"/>
  <c r="A489"/>
  <c r="A502"/>
  <c r="A504"/>
  <c r="A589"/>
  <c r="A616"/>
  <c r="A618"/>
  <c r="J31" i="24"/>
  <c r="J47"/>
  <c r="K420"/>
  <c r="K430"/>
  <c r="K442"/>
  <c r="K783"/>
  <c r="A222" i="23"/>
  <c r="A224"/>
  <c r="A226"/>
  <c r="A253"/>
  <c r="A255"/>
  <c r="A257"/>
  <c r="A286"/>
  <c r="A288"/>
  <c r="A290"/>
  <c r="A330"/>
  <c r="A366"/>
  <c r="A368"/>
  <c r="A381"/>
  <c r="A383"/>
  <c r="A385"/>
  <c r="A398"/>
  <c r="A400"/>
  <c r="A413"/>
  <c r="A415"/>
  <c r="A417"/>
  <c r="A430"/>
  <c r="A432"/>
  <c r="A466"/>
  <c r="A498"/>
  <c r="A517"/>
  <c r="A519"/>
  <c r="A521"/>
  <c r="A534"/>
  <c r="A536"/>
  <c r="A549"/>
  <c r="A551"/>
  <c r="A553"/>
  <c r="A564"/>
  <c r="A568"/>
  <c r="A583"/>
  <c r="A585"/>
  <c r="A602"/>
  <c r="A604"/>
  <c r="A608"/>
  <c r="A629"/>
  <c r="K340" i="24"/>
  <c r="K492"/>
  <c r="K494"/>
  <c r="K737"/>
  <c r="K753"/>
  <c r="K772"/>
  <c r="K781"/>
  <c r="A181" i="23"/>
  <c r="A183"/>
  <c r="A185"/>
  <c r="A196"/>
  <c r="A214"/>
  <c r="A216"/>
  <c r="A218"/>
  <c r="A245"/>
  <c r="A247"/>
  <c r="A249"/>
  <c r="A260"/>
  <c r="A278"/>
  <c r="A280"/>
  <c r="A282"/>
  <c r="A309"/>
  <c r="A311"/>
  <c r="A313"/>
  <c r="A326"/>
  <c r="A328"/>
  <c r="A341"/>
  <c r="A343"/>
  <c r="A345"/>
  <c r="A362"/>
  <c r="A394"/>
  <c r="A426"/>
  <c r="A445"/>
  <c r="A447"/>
  <c r="A449"/>
  <c r="A462"/>
  <c r="A464"/>
  <c r="A477"/>
  <c r="A479"/>
  <c r="A481"/>
  <c r="A494"/>
  <c r="A496"/>
  <c r="A509"/>
  <c r="A511"/>
  <c r="A513"/>
  <c r="A530"/>
  <c r="A562"/>
  <c r="A581"/>
  <c r="A594"/>
  <c r="A596"/>
  <c r="A600"/>
  <c r="A631"/>
  <c r="A633"/>
  <c r="A635"/>
  <c r="J45" i="24"/>
  <c r="K360"/>
  <c r="K370"/>
  <c r="K452"/>
  <c r="K525"/>
  <c r="K843"/>
  <c r="A206" i="23"/>
  <c r="A208"/>
  <c r="A210"/>
  <c r="A237"/>
  <c r="A239"/>
  <c r="A241"/>
  <c r="A252"/>
  <c r="A270"/>
  <c r="A272"/>
  <c r="A274"/>
  <c r="A301"/>
  <c r="A303"/>
  <c r="A305"/>
  <c r="A358"/>
  <c r="A360"/>
  <c r="A373"/>
  <c r="A375"/>
  <c r="A377"/>
  <c r="A390"/>
  <c r="A392"/>
  <c r="A405"/>
  <c r="A407"/>
  <c r="A409"/>
  <c r="A422"/>
  <c r="A424"/>
  <c r="A437"/>
  <c r="A439"/>
  <c r="A441"/>
  <c r="A516"/>
  <c r="A611"/>
  <c r="K13" i="24"/>
  <c r="K421"/>
  <c r="K470"/>
  <c r="K575"/>
  <c r="K586"/>
  <c r="K619"/>
  <c r="K832"/>
  <c r="K856"/>
  <c r="A198" i="23"/>
  <c r="A200"/>
  <c r="A202"/>
  <c r="A229"/>
  <c r="A231"/>
  <c r="A233"/>
  <c r="A244"/>
  <c r="A262"/>
  <c r="A264"/>
  <c r="A266"/>
  <c r="A293"/>
  <c r="A295"/>
  <c r="A297"/>
  <c r="A308"/>
  <c r="A318"/>
  <c r="A320"/>
  <c r="A322"/>
  <c r="A333"/>
  <c r="A335"/>
  <c r="A337"/>
  <c r="A350"/>
  <c r="A352"/>
  <c r="A386"/>
  <c r="A418"/>
  <c r="A444"/>
  <c r="A454"/>
  <c r="A456"/>
  <c r="A469"/>
  <c r="A471"/>
  <c r="A473"/>
  <c r="A486"/>
  <c r="A488"/>
  <c r="A501"/>
  <c r="A503"/>
  <c r="A505"/>
  <c r="A522"/>
  <c r="A554"/>
  <c r="A573"/>
  <c r="A586"/>
  <c r="A603"/>
  <c r="A615"/>
  <c r="A617"/>
  <c r="A619"/>
  <c r="A621"/>
  <c r="K483" i="24"/>
  <c r="K514"/>
  <c r="K561"/>
  <c r="K882"/>
  <c r="A236" i="23"/>
  <c r="A300"/>
  <c r="A346"/>
  <c r="A450"/>
  <c r="A482"/>
  <c r="A514"/>
  <c r="A580"/>
  <c r="A595"/>
  <c r="K864" i="24"/>
  <c r="K872"/>
  <c r="G18" i="26"/>
  <c r="G26"/>
  <c r="G17"/>
  <c r="G25"/>
  <c r="G8"/>
  <c r="I114" i="24" s="1"/>
  <c r="J114" s="1"/>
  <c r="G16" i="26"/>
  <c r="G24"/>
  <c r="G7"/>
  <c r="I80" i="24" s="1"/>
  <c r="J80" s="1"/>
  <c r="K80" s="1"/>
  <c r="G15" i="26"/>
  <c r="G23"/>
  <c r="G6"/>
  <c r="I185" i="24" s="1"/>
  <c r="J185" s="1"/>
  <c r="K185" s="1"/>
  <c r="G14" i="26"/>
  <c r="G22"/>
  <c r="G5"/>
  <c r="G13"/>
  <c r="G21"/>
  <c r="G12"/>
  <c r="G20"/>
  <c r="G11"/>
  <c r="B7" i="25"/>
  <c r="N8"/>
  <c r="H116" i="24"/>
  <c r="G314"/>
  <c r="K401"/>
  <c r="K493"/>
  <c r="M57"/>
  <c r="A54"/>
  <c r="L54" s="1"/>
  <c r="D54" s="1"/>
  <c r="G305"/>
  <c r="K186"/>
  <c r="G329"/>
  <c r="H329" s="1"/>
  <c r="H82"/>
  <c r="K12"/>
  <c r="K400"/>
  <c r="H151"/>
  <c r="K501"/>
  <c r="K504" s="1"/>
  <c r="H504"/>
  <c r="F74" i="23" s="1"/>
  <c r="H74" s="1"/>
  <c r="H28" i="24"/>
  <c r="H30"/>
  <c r="K30" s="1"/>
  <c r="H31"/>
  <c r="K738"/>
  <c r="K782"/>
  <c r="K791"/>
  <c r="K823"/>
  <c r="K550"/>
  <c r="K611"/>
  <c r="K706"/>
  <c r="F305"/>
  <c r="A38"/>
  <c r="L50" s="1"/>
  <c r="D50" s="1"/>
  <c r="H281"/>
  <c r="F306"/>
  <c r="F307"/>
  <c r="K535"/>
  <c r="K544"/>
  <c r="K806"/>
  <c r="K714"/>
  <c r="K754"/>
  <c r="K798"/>
  <c r="H323"/>
  <c r="F56" i="23" s="1"/>
  <c r="H56" s="1"/>
  <c r="H282" i="24"/>
  <c r="K721"/>
  <c r="K746"/>
  <c r="K790"/>
  <c r="K822"/>
  <c r="K845"/>
  <c r="F316"/>
  <c r="J29"/>
  <c r="K29" s="1"/>
  <c r="H44"/>
  <c r="H45"/>
  <c r="H46"/>
  <c r="K46" s="1"/>
  <c r="H47"/>
  <c r="F314"/>
  <c r="K643"/>
  <c r="K815"/>
  <c r="K834"/>
  <c r="K853"/>
  <c r="K871"/>
  <c r="K883"/>
  <c r="H298"/>
  <c r="F315"/>
  <c r="H330"/>
  <c r="K604"/>
  <c r="K770"/>
  <c r="K807"/>
  <c r="K907"/>
  <c r="K722"/>
  <c r="D609" i="22"/>
  <c r="D7"/>
  <c r="C72"/>
  <c r="D247"/>
  <c r="C313"/>
  <c r="D490"/>
  <c r="D187"/>
  <c r="D428"/>
  <c r="D125"/>
  <c r="D367"/>
  <c r="K45" i="24" l="1"/>
  <c r="K47"/>
  <c r="K31"/>
  <c r="K114"/>
  <c r="I28"/>
  <c r="J28" s="1"/>
  <c r="K28" s="1"/>
  <c r="I44"/>
  <c r="J44" s="1"/>
  <c r="K44" s="1"/>
  <c r="I149"/>
  <c r="J149" s="1"/>
  <c r="I249"/>
  <c r="J249" s="1"/>
  <c r="K249" s="1"/>
  <c r="I150"/>
  <c r="J150" s="1"/>
  <c r="K150" s="1"/>
  <c r="I227"/>
  <c r="J227" s="1"/>
  <c r="K227" s="1"/>
  <c r="I115"/>
  <c r="J115" s="1"/>
  <c r="K115" s="1"/>
  <c r="I239"/>
  <c r="J239" s="1"/>
  <c r="K239" s="1"/>
  <c r="I205"/>
  <c r="J205" s="1"/>
  <c r="K205" s="1"/>
  <c r="I188"/>
  <c r="J188" s="1"/>
  <c r="K188" s="1"/>
  <c r="I81"/>
  <c r="J81" s="1"/>
  <c r="K81" s="1"/>
  <c r="I215"/>
  <c r="J215" s="1"/>
  <c r="K215" s="1"/>
  <c r="I226"/>
  <c r="J226" s="1"/>
  <c r="K226" s="1"/>
  <c r="I204"/>
  <c r="J204" s="1"/>
  <c r="K204" s="1"/>
  <c r="N9" i="25"/>
  <c r="B8"/>
  <c r="H306" i="24"/>
  <c r="H314"/>
  <c r="H307"/>
  <c r="H315"/>
  <c r="H316"/>
  <c r="H305"/>
  <c r="A57"/>
  <c r="L57" s="1"/>
  <c r="D57" s="1"/>
  <c r="M60"/>
  <c r="J116" l="1"/>
  <c r="J129" s="1"/>
  <c r="J151"/>
  <c r="K149"/>
  <c r="J82"/>
  <c r="B9" i="25"/>
  <c r="N10"/>
  <c r="A60" i="24"/>
  <c r="L60" s="1"/>
  <c r="D60" s="1"/>
  <c r="M63"/>
  <c r="J132" l="1"/>
  <c r="G28" i="23" s="1"/>
  <c r="H28" s="1"/>
  <c r="J144" i="24"/>
  <c r="K144" s="1"/>
  <c r="G24" i="23"/>
  <c r="K116" i="24"/>
  <c r="J126"/>
  <c r="J123"/>
  <c r="K123" s="1"/>
  <c r="J141"/>
  <c r="G31" i="23" s="1"/>
  <c r="H31" s="1"/>
  <c r="J138" i="24"/>
  <c r="J135"/>
  <c r="G33" i="23"/>
  <c r="J170" i="24"/>
  <c r="J179"/>
  <c r="J161"/>
  <c r="J164"/>
  <c r="J158"/>
  <c r="J176"/>
  <c r="J167"/>
  <c r="J173"/>
  <c r="K151"/>
  <c r="K141"/>
  <c r="K126"/>
  <c r="G26" i="23"/>
  <c r="H26" s="1"/>
  <c r="K129" i="24"/>
  <c r="G27" i="23"/>
  <c r="H27" s="1"/>
  <c r="G15"/>
  <c r="J106" i="24"/>
  <c r="J94"/>
  <c r="J103"/>
  <c r="J88"/>
  <c r="J100"/>
  <c r="J91"/>
  <c r="J109"/>
  <c r="J97"/>
  <c r="K82"/>
  <c r="G25" i="23"/>
  <c r="H25" s="1"/>
  <c r="N11" i="25"/>
  <c r="B10"/>
  <c r="A63" i="24"/>
  <c r="L63" s="1"/>
  <c r="D63" s="1"/>
  <c r="M66"/>
  <c r="K132" l="1"/>
  <c r="G32" i="23"/>
  <c r="H32" s="1"/>
  <c r="G29"/>
  <c r="H29" s="1"/>
  <c r="K135" i="24"/>
  <c r="G30" i="23"/>
  <c r="H30" s="1"/>
  <c r="K138" i="24"/>
  <c r="G34" i="23"/>
  <c r="H34" s="1"/>
  <c r="K158" i="24"/>
  <c r="K94"/>
  <c r="G18" i="23"/>
  <c r="H18" s="1"/>
  <c r="G36"/>
  <c r="H36" s="1"/>
  <c r="K164" i="24"/>
  <c r="G21" i="23"/>
  <c r="H21" s="1"/>
  <c r="K103" i="24"/>
  <c r="K179"/>
  <c r="G41" i="23"/>
  <c r="H41" s="1"/>
  <c r="K161" i="24"/>
  <c r="G35" i="23"/>
  <c r="H35" s="1"/>
  <c r="K109" i="24"/>
  <c r="G23" i="23"/>
  <c r="H23" s="1"/>
  <c r="K170" i="24"/>
  <c r="G38" i="23"/>
  <c r="H38" s="1"/>
  <c r="G22"/>
  <c r="H22" s="1"/>
  <c r="K106" i="24"/>
  <c r="K97"/>
  <c r="G19" i="23"/>
  <c r="H19" s="1"/>
  <c r="G17"/>
  <c r="H17" s="1"/>
  <c r="K91" i="24"/>
  <c r="G39" i="23"/>
  <c r="H39" s="1"/>
  <c r="K173" i="24"/>
  <c r="G20" i="23"/>
  <c r="H20" s="1"/>
  <c r="K100" i="24"/>
  <c r="K167"/>
  <c r="G37" i="23"/>
  <c r="H37" s="1"/>
  <c r="K88" i="24"/>
  <c r="G16" i="23"/>
  <c r="H16" s="1"/>
  <c r="K176" i="24"/>
  <c r="G40" i="23"/>
  <c r="H40" s="1"/>
  <c r="B11" i="25"/>
  <c r="N12"/>
  <c r="A66" i="24"/>
  <c r="L66" s="1"/>
  <c r="D66" s="1"/>
  <c r="M69"/>
  <c r="N13" i="25" l="1"/>
  <c r="B12"/>
  <c r="M72" i="24"/>
  <c r="A69"/>
  <c r="L69" s="1"/>
  <c r="D69" s="1"/>
  <c r="B13" i="25" l="1"/>
  <c r="N14"/>
  <c r="M75" i="24"/>
  <c r="A72"/>
  <c r="L72" s="1"/>
  <c r="D72" s="1"/>
  <c r="N15" i="25" l="1"/>
  <c r="B14"/>
  <c r="A75" i="24"/>
  <c r="L75" s="1"/>
  <c r="D75" s="1"/>
  <c r="M78"/>
  <c r="B15" i="25" l="1"/>
  <c r="N16"/>
  <c r="A78" i="24"/>
  <c r="L82" s="1"/>
  <c r="D82" s="1"/>
  <c r="M88"/>
  <c r="N17" i="25" l="1"/>
  <c r="B16"/>
  <c r="A88" i="24"/>
  <c r="L88" s="1"/>
  <c r="D88" s="1"/>
  <c r="M91"/>
  <c r="B17" i="25" l="1"/>
  <c r="N18"/>
  <c r="A91" i="24"/>
  <c r="L91" s="1"/>
  <c r="D91" s="1"/>
  <c r="M94"/>
  <c r="N19" i="25" l="1"/>
  <c r="B18"/>
  <c r="M97" i="24"/>
  <c r="A94"/>
  <c r="L94" s="1"/>
  <c r="D94" s="1"/>
  <c r="B19" i="25" l="1"/>
  <c r="N20"/>
  <c r="A97" i="24"/>
  <c r="L97" s="1"/>
  <c r="D97" s="1"/>
  <c r="M100"/>
  <c r="N21" i="25" l="1"/>
  <c r="B20"/>
  <c r="A100" i="24"/>
  <c r="L100" s="1"/>
  <c r="D100" s="1"/>
  <c r="M103"/>
  <c r="B21" i="25" l="1"/>
  <c r="N22"/>
  <c r="A103" i="24"/>
  <c r="L103" s="1"/>
  <c r="D103" s="1"/>
  <c r="M106"/>
  <c r="N23" i="25" l="1"/>
  <c r="B22"/>
  <c r="M109" i="24"/>
  <c r="A106"/>
  <c r="L106" s="1"/>
  <c r="D106" s="1"/>
  <c r="B23" i="25" l="1"/>
  <c r="N24"/>
  <c r="M112" i="24"/>
  <c r="A109"/>
  <c r="L109" s="1"/>
  <c r="D109" s="1"/>
  <c r="N25" i="25" l="1"/>
  <c r="B24"/>
  <c r="A112" i="24"/>
  <c r="L116" s="1"/>
  <c r="D116" s="1"/>
  <c r="M123"/>
  <c r="B25" i="25" l="1"/>
  <c r="N26"/>
  <c r="A123" i="24"/>
  <c r="L123" s="1"/>
  <c r="D123" s="1"/>
  <c r="M126"/>
  <c r="N27" i="25" l="1"/>
  <c r="B26"/>
  <c r="M129" i="24"/>
  <c r="A126"/>
  <c r="L126" s="1"/>
  <c r="D126" s="1"/>
  <c r="B27" i="25" l="1"/>
  <c r="N28"/>
  <c r="A129" i="24"/>
  <c r="L129" s="1"/>
  <c r="D129" s="1"/>
  <c r="M132"/>
  <c r="N29" i="25" l="1"/>
  <c r="B28"/>
  <c r="A132" i="24"/>
  <c r="L132" s="1"/>
  <c r="D132" s="1"/>
  <c r="M135"/>
  <c r="B29" i="25" l="1"/>
  <c r="N30"/>
  <c r="A135" i="24"/>
  <c r="L135" s="1"/>
  <c r="D135" s="1"/>
  <c r="M138"/>
  <c r="N31" i="25" l="1"/>
  <c r="B30"/>
  <c r="M141" i="24"/>
  <c r="A138"/>
  <c r="L138" s="1"/>
  <c r="D138" s="1"/>
  <c r="B31" i="25" l="1"/>
  <c r="N32"/>
  <c r="A141" i="24"/>
  <c r="L141" s="1"/>
  <c r="D141" s="1"/>
  <c r="M144"/>
  <c r="N33" i="25" l="1"/>
  <c r="B32"/>
  <c r="M147" i="24"/>
  <c r="A144"/>
  <c r="L144" s="1"/>
  <c r="D144" s="1"/>
  <c r="B33" i="25" l="1"/>
  <c r="N34"/>
  <c r="A147" i="24"/>
  <c r="L151" s="1"/>
  <c r="D151" s="1"/>
  <c r="M158"/>
  <c r="N35" i="25" l="1"/>
  <c r="B34"/>
  <c r="M161" i="24"/>
  <c r="A158"/>
  <c r="L158" s="1"/>
  <c r="D158" s="1"/>
  <c r="B35" i="25" l="1"/>
  <c r="N36"/>
  <c r="A161" i="24"/>
  <c r="L161" s="1"/>
  <c r="D161" s="1"/>
  <c r="M164"/>
  <c r="N37" i="25" l="1"/>
  <c r="B36"/>
  <c r="A164" i="24"/>
  <c r="L164" s="1"/>
  <c r="D164" s="1"/>
  <c r="M167"/>
  <c r="B37" i="25" l="1"/>
  <c r="N38"/>
  <c r="A167" i="24"/>
  <c r="L167" s="1"/>
  <c r="D167" s="1"/>
  <c r="M170"/>
  <c r="N39" i="25" l="1"/>
  <c r="B38"/>
  <c r="M173" i="24"/>
  <c r="A170"/>
  <c r="L170" s="1"/>
  <c r="D170" s="1"/>
  <c r="B39" i="25" l="1"/>
  <c r="N40"/>
  <c r="A173" i="24"/>
  <c r="L173" s="1"/>
  <c r="D173" s="1"/>
  <c r="M176"/>
  <c r="N41" i="25" l="1"/>
  <c r="B40"/>
  <c r="A176" i="24"/>
  <c r="L176" s="1"/>
  <c r="D176" s="1"/>
  <c r="M179"/>
  <c r="B41" i="25" l="1"/>
  <c r="N42"/>
  <c r="M182" i="24"/>
  <c r="A179"/>
  <c r="L179" s="1"/>
  <c r="D179" s="1"/>
  <c r="N43" i="25" l="1"/>
  <c r="B42"/>
  <c r="M196" i="24"/>
  <c r="A182"/>
  <c r="L189" s="1"/>
  <c r="D189" s="1"/>
  <c r="B43" i="25" l="1"/>
  <c r="N44"/>
  <c r="A196" i="24"/>
  <c r="L208" s="1"/>
  <c r="D208" s="1"/>
  <c r="M211"/>
  <c r="N45" i="25" l="1"/>
  <c r="B44"/>
  <c r="A211" i="24"/>
  <c r="L217" s="1"/>
  <c r="D217" s="1"/>
  <c r="M220"/>
  <c r="B45" i="25" l="1"/>
  <c r="N46"/>
  <c r="A220" i="24"/>
  <c r="L230" s="1"/>
  <c r="D230" s="1"/>
  <c r="M233"/>
  <c r="N47" i="25" l="1"/>
  <c r="B46"/>
  <c r="A233" i="24"/>
  <c r="L241" s="1"/>
  <c r="D241" s="1"/>
  <c r="M244"/>
  <c r="N48" i="25" l="1"/>
  <c r="B47"/>
  <c r="M254" i="24"/>
  <c r="A244"/>
  <c r="L251" s="1"/>
  <c r="D251" s="1"/>
  <c r="N49" i="25" l="1"/>
  <c r="B48"/>
  <c r="A254" i="24"/>
  <c r="L259" s="1"/>
  <c r="D259" s="1"/>
  <c r="M262"/>
  <c r="N50" i="25" l="1"/>
  <c r="B49"/>
  <c r="A262" i="24"/>
  <c r="L267" s="1"/>
  <c r="D267" s="1"/>
  <c r="M270"/>
  <c r="N51" i="25" l="1"/>
  <c r="B50"/>
  <c r="A270" i="24"/>
  <c r="L275" s="1"/>
  <c r="D275" s="1"/>
  <c r="M278"/>
  <c r="N52" i="25" l="1"/>
  <c r="B51"/>
  <c r="A278" i="24"/>
  <c r="L283" s="1"/>
  <c r="D283" s="1"/>
  <c r="M286"/>
  <c r="N53" i="25" l="1"/>
  <c r="B52"/>
  <c r="M294" i="24"/>
  <c r="A286"/>
  <c r="L291" s="1"/>
  <c r="D291" s="1"/>
  <c r="N54" i="25" l="1"/>
  <c r="B53"/>
  <c r="A294" i="24"/>
  <c r="L299" s="1"/>
  <c r="D299" s="1"/>
  <c r="M302"/>
  <c r="N55" i="25" l="1"/>
  <c r="B54"/>
  <c r="M311" i="24"/>
  <c r="A302"/>
  <c r="L308" s="1"/>
  <c r="D308" s="1"/>
  <c r="B55" i="25" l="1"/>
  <c r="N56"/>
  <c r="M320" i="24"/>
  <c r="A311"/>
  <c r="L317" s="1"/>
  <c r="D317" s="1"/>
  <c r="N57" i="25" l="1"/>
  <c r="B56"/>
  <c r="A320" i="24"/>
  <c r="L323" s="1"/>
  <c r="D323" s="1"/>
  <c r="M326"/>
  <c r="B57" i="25" l="1"/>
  <c r="N58"/>
  <c r="M334" i="24"/>
  <c r="A326"/>
  <c r="L331" s="1"/>
  <c r="D331" s="1"/>
  <c r="N59" i="25" l="1"/>
  <c r="B58"/>
  <c r="A334" i="24"/>
  <c r="L342" s="1"/>
  <c r="D342" s="1"/>
  <c r="M345"/>
  <c r="B59" i="25" l="1"/>
  <c r="N60"/>
  <c r="A345" i="24"/>
  <c r="L352" s="1"/>
  <c r="D352" s="1"/>
  <c r="M356"/>
  <c r="N61" i="25" l="1"/>
  <c r="B60"/>
  <c r="A356" i="24"/>
  <c r="L362" s="1"/>
  <c r="D362" s="1"/>
  <c r="M365"/>
  <c r="B61" i="25" l="1"/>
  <c r="N62"/>
  <c r="M375" i="24"/>
  <c r="A365"/>
  <c r="L372" s="1"/>
  <c r="D372" s="1"/>
  <c r="N63" i="25" l="1"/>
  <c r="B62"/>
  <c r="A375" i="24"/>
  <c r="L382" s="1"/>
  <c r="D382" s="1"/>
  <c r="M385"/>
  <c r="B63" i="25" l="1"/>
  <c r="N64"/>
  <c r="A385" i="24"/>
  <c r="L392" s="1"/>
  <c r="D392" s="1"/>
  <c r="M395"/>
  <c r="N65" i="25" l="1"/>
  <c r="B64"/>
  <c r="A395" i="24"/>
  <c r="L402" s="1"/>
  <c r="D402" s="1"/>
  <c r="M405"/>
  <c r="B65" i="25" l="1"/>
  <c r="N66"/>
  <c r="M415" i="24"/>
  <c r="A405"/>
  <c r="L412" s="1"/>
  <c r="D412" s="1"/>
  <c r="N67" i="25" l="1"/>
  <c r="B66"/>
  <c r="A415" i="24"/>
  <c r="L422" s="1"/>
  <c r="D422" s="1"/>
  <c r="M425"/>
  <c r="B67" i="25" l="1"/>
  <c r="N68"/>
  <c r="A425" i="24"/>
  <c r="L432" s="1"/>
  <c r="D432" s="1"/>
  <c r="M436"/>
  <c r="N69" i="25" l="1"/>
  <c r="B68"/>
  <c r="M447" i="24"/>
  <c r="A436"/>
  <c r="L443" s="1"/>
  <c r="D443" s="1"/>
  <c r="B69" i="25" l="1"/>
  <c r="N70"/>
  <c r="M457" i="24"/>
  <c r="A447"/>
  <c r="L454" s="1"/>
  <c r="D454" s="1"/>
  <c r="N71" i="25" l="1"/>
  <c r="B70"/>
  <c r="A457" i="24"/>
  <c r="L461" s="1"/>
  <c r="D461" s="1"/>
  <c r="M464"/>
  <c r="B71" i="25" l="1"/>
  <c r="N72"/>
  <c r="A464" i="24"/>
  <c r="L474" s="1"/>
  <c r="D474" s="1"/>
  <c r="M477"/>
  <c r="N73" i="25" l="1"/>
  <c r="B72"/>
  <c r="A477" i="24"/>
  <c r="L484" s="1"/>
  <c r="D484" s="1"/>
  <c r="M487"/>
  <c r="B73" i="25" l="1"/>
  <c r="N74"/>
  <c r="M499" i="24"/>
  <c r="A487"/>
  <c r="L496" s="1"/>
  <c r="D496" s="1"/>
  <c r="N75" i="25" l="1"/>
  <c r="B74"/>
  <c r="M507" i="24"/>
  <c r="A499"/>
  <c r="L504" s="1"/>
  <c r="D504" s="1"/>
  <c r="B75" i="25" l="1"/>
  <c r="N76"/>
  <c r="M519" i="24"/>
  <c r="A507"/>
  <c r="L516" s="1"/>
  <c r="D516" s="1"/>
  <c r="N77" i="25" l="1"/>
  <c r="B76"/>
  <c r="A519" i="24"/>
  <c r="L528" s="1"/>
  <c r="D528" s="1"/>
  <c r="M531"/>
  <c r="B77" i="25" l="1"/>
  <c r="N78"/>
  <c r="A531" i="24"/>
  <c r="L538" s="1"/>
  <c r="D538" s="1"/>
  <c r="M541"/>
  <c r="N79" i="25" l="1"/>
  <c r="B78"/>
  <c r="M554" i="24"/>
  <c r="A541"/>
  <c r="L551" s="1"/>
  <c r="D551" s="1"/>
  <c r="B79" i="25" l="1"/>
  <c r="N80"/>
  <c r="M566" i="24"/>
  <c r="A554"/>
  <c r="L563" s="1"/>
  <c r="D563" s="1"/>
  <c r="N81" i="25" l="1"/>
  <c r="B80"/>
  <c r="M581" i="24"/>
  <c r="A566"/>
  <c r="L578" s="1"/>
  <c r="D578" s="1"/>
  <c r="B81" i="25" l="1"/>
  <c r="N82"/>
  <c r="A581" i="24"/>
  <c r="L589" s="1"/>
  <c r="D589" s="1"/>
  <c r="M592"/>
  <c r="N83" i="25" l="1"/>
  <c r="B82"/>
  <c r="A592" i="24"/>
  <c r="L597" s="1"/>
  <c r="D597" s="1"/>
  <c r="M600"/>
  <c r="B83" i="25" l="1"/>
  <c r="N84"/>
  <c r="A600" i="24"/>
  <c r="L605" s="1"/>
  <c r="D605" s="1"/>
  <c r="M608"/>
  <c r="N85" i="25" l="1"/>
  <c r="B84"/>
  <c r="M616" i="24"/>
  <c r="A608"/>
  <c r="L613" s="1"/>
  <c r="D613" s="1"/>
  <c r="B85" i="25" l="1"/>
  <c r="N86"/>
  <c r="M624" i="24"/>
  <c r="A616"/>
  <c r="L621" s="1"/>
  <c r="D621" s="1"/>
  <c r="N87" i="25" l="1"/>
  <c r="B86"/>
  <c r="A624" i="24"/>
  <c r="L629" s="1"/>
  <c r="D629" s="1"/>
  <c r="M632"/>
  <c r="B87" i="25" l="1"/>
  <c r="N88"/>
  <c r="M640" i="24"/>
  <c r="A632"/>
  <c r="L637" s="1"/>
  <c r="D637" s="1"/>
  <c r="N89" i="25" l="1"/>
  <c r="B88"/>
  <c r="M648" i="24"/>
  <c r="A640"/>
  <c r="L645" s="1"/>
  <c r="D645" s="1"/>
  <c r="B89" i="25" l="1"/>
  <c r="N90"/>
  <c r="M656" i="24"/>
  <c r="A648"/>
  <c r="L653" s="1"/>
  <c r="D653" s="1"/>
  <c r="N91" i="25" l="1"/>
  <c r="B90"/>
  <c r="A656" i="24"/>
  <c r="L662" s="1"/>
  <c r="D662" s="1"/>
  <c r="M665"/>
  <c r="B91" i="25" l="1"/>
  <c r="N92"/>
  <c r="A665" i="24"/>
  <c r="L670" s="1"/>
  <c r="D670" s="1"/>
  <c r="M673"/>
  <c r="N93" i="25" l="1"/>
  <c r="B92"/>
  <c r="A673" i="24"/>
  <c r="L681" s="1"/>
  <c r="D681" s="1"/>
  <c r="M684"/>
  <c r="B93" i="25" l="1"/>
  <c r="N94"/>
  <c r="M693" i="24"/>
  <c r="A684"/>
  <c r="L690" s="1"/>
  <c r="D690" s="1"/>
  <c r="N95" i="25" l="1"/>
  <c r="B94"/>
  <c r="M702" i="24"/>
  <c r="A693"/>
  <c r="L699" s="1"/>
  <c r="D699" s="1"/>
  <c r="B95" i="25" l="1"/>
  <c r="N96"/>
  <c r="M710" i="24"/>
  <c r="A702"/>
  <c r="L707" s="1"/>
  <c r="D707" s="1"/>
  <c r="N97" i="25" l="1"/>
  <c r="B96"/>
  <c r="M718" i="24"/>
  <c r="A710"/>
  <c r="L715" s="1"/>
  <c r="D715" s="1"/>
  <c r="B97" i="25" l="1"/>
  <c r="N98"/>
  <c r="M726" i="24"/>
  <c r="A718"/>
  <c r="L723" s="1"/>
  <c r="D723" s="1"/>
  <c r="N99" i="25" l="1"/>
  <c r="B98"/>
  <c r="M734" i="24"/>
  <c r="A726"/>
  <c r="L731" s="1"/>
  <c r="D731" s="1"/>
  <c r="B99" i="25" l="1"/>
  <c r="N100"/>
  <c r="A734" i="24"/>
  <c r="L739" s="1"/>
  <c r="D739" s="1"/>
  <c r="M742"/>
  <c r="N101" i="25" l="1"/>
  <c r="B100"/>
  <c r="M750" i="24"/>
  <c r="A742"/>
  <c r="L747" s="1"/>
  <c r="D747" s="1"/>
  <c r="B101" i="25" l="1"/>
  <c r="N102"/>
  <c r="A750" i="24"/>
  <c r="L755" s="1"/>
  <c r="D755" s="1"/>
  <c r="M758"/>
  <c r="N103" i="25" l="1"/>
  <c r="B102"/>
  <c r="M766" i="24"/>
  <c r="A758"/>
  <c r="L763" s="1"/>
  <c r="D763" s="1"/>
  <c r="B103" i="25" l="1"/>
  <c r="N104"/>
  <c r="A766" i="24"/>
  <c r="L773" s="1"/>
  <c r="D773" s="1"/>
  <c r="M776"/>
  <c r="N105" i="25" l="1"/>
  <c r="B104"/>
  <c r="A776" i="24"/>
  <c r="L784" s="1"/>
  <c r="D784" s="1"/>
  <c r="M787"/>
  <c r="B105" i="25" l="1"/>
  <c r="N106"/>
  <c r="M795" i="24"/>
  <c r="A787"/>
  <c r="L792" s="1"/>
  <c r="D792" s="1"/>
  <c r="N107" i="25" l="1"/>
  <c r="B106"/>
  <c r="A795" i="24"/>
  <c r="L800" s="1"/>
  <c r="D800" s="1"/>
  <c r="M803"/>
  <c r="B107" i="25" l="1"/>
  <c r="N108"/>
  <c r="M811" i="24"/>
  <c r="A803"/>
  <c r="L808" s="1"/>
  <c r="D808" s="1"/>
  <c r="N109" i="25" l="1"/>
  <c r="B108"/>
  <c r="M819" i="24"/>
  <c r="A811"/>
  <c r="L816" s="1"/>
  <c r="D816" s="1"/>
  <c r="B109" i="25" l="1"/>
  <c r="N110"/>
  <c r="M827" i="24"/>
  <c r="A819"/>
  <c r="L824" s="1"/>
  <c r="D824" s="1"/>
  <c r="N111" i="25" l="1"/>
  <c r="B110"/>
  <c r="M838" i="24"/>
  <c r="A827"/>
  <c r="L835" s="1"/>
  <c r="D835" s="1"/>
  <c r="B111" i="25" l="1"/>
  <c r="N112"/>
  <c r="A838" i="24"/>
  <c r="L846" s="1"/>
  <c r="D846" s="1"/>
  <c r="M849"/>
  <c r="N113" i="25" l="1"/>
  <c r="B112"/>
  <c r="A849" i="24"/>
  <c r="L857" s="1"/>
  <c r="D857" s="1"/>
  <c r="M860"/>
  <c r="B113" i="25" l="1"/>
  <c r="N114"/>
  <c r="A860" i="24"/>
  <c r="L865" s="1"/>
  <c r="D865" s="1"/>
  <c r="M868"/>
  <c r="N115" i="25" l="1"/>
  <c r="B114"/>
  <c r="M876" i="24"/>
  <c r="A868"/>
  <c r="L873" s="1"/>
  <c r="D873" s="1"/>
  <c r="B115" i="25" l="1"/>
  <c r="N116"/>
  <c r="A876" i="24"/>
  <c r="L884" s="1"/>
  <c r="D884" s="1"/>
  <c r="M887"/>
  <c r="N117" i="25" l="1"/>
  <c r="B116"/>
  <c r="M896" i="24"/>
  <c r="A887"/>
  <c r="L893" s="1"/>
  <c r="D893" s="1"/>
  <c r="B117" i="25" l="1"/>
  <c r="N118"/>
  <c r="A896" i="24"/>
  <c r="L900" s="1"/>
  <c r="D900" s="1"/>
  <c r="M903"/>
  <c r="A903" s="1"/>
  <c r="L909" s="1"/>
  <c r="D909" s="1"/>
  <c r="N119" i="25" l="1"/>
  <c r="B118"/>
  <c r="B119" l="1"/>
  <c r="N120"/>
  <c r="N121" l="1"/>
  <c r="B120"/>
  <c r="B121" l="1"/>
  <c r="N122"/>
  <c r="N123" l="1"/>
  <c r="B122"/>
  <c r="B123" l="1"/>
  <c r="N124"/>
  <c r="N125" l="1"/>
  <c r="B124"/>
  <c r="B125" l="1"/>
  <c r="N126"/>
  <c r="N127" l="1"/>
  <c r="B126"/>
  <c r="B127" l="1"/>
  <c r="N128"/>
  <c r="N129" l="1"/>
  <c r="B128"/>
  <c r="B129" l="1"/>
  <c r="N130"/>
  <c r="N131" l="1"/>
  <c r="B130"/>
  <c r="B131" l="1"/>
  <c r="N132"/>
  <c r="N133" l="1"/>
  <c r="B132"/>
  <c r="B133" l="1"/>
  <c r="N134"/>
  <c r="N135" l="1"/>
  <c r="B134"/>
  <c r="B135" l="1"/>
  <c r="N136"/>
  <c r="N137" l="1"/>
  <c r="B136"/>
  <c r="B137" l="1"/>
  <c r="N138"/>
  <c r="N139" l="1"/>
  <c r="B138"/>
  <c r="B139" l="1"/>
  <c r="N140"/>
  <c r="B140" s="1"/>
  <c r="I473" i="5" l="1"/>
  <c r="G473"/>
  <c r="O496" i="4" l="1"/>
  <c r="E275" i="5" s="1"/>
  <c r="L930" i="7" l="1"/>
  <c r="M930" s="1"/>
  <c r="P930"/>
  <c r="Q930" s="1"/>
  <c r="A42" i="8"/>
  <c r="A23"/>
  <c r="V1109" i="7"/>
  <c r="V1110"/>
  <c r="V1111"/>
  <c r="V1112"/>
  <c r="V1113"/>
  <c r="L1114"/>
  <c r="L1116"/>
  <c r="L1117"/>
  <c r="M1117" s="1"/>
  <c r="L1118"/>
  <c r="V1131"/>
  <c r="V1132"/>
  <c r="V1133"/>
  <c r="V1134"/>
  <c r="V1135"/>
  <c r="V1136"/>
  <c r="V1137"/>
  <c r="V1138"/>
  <c r="V1139"/>
  <c r="V1140"/>
  <c r="V1154"/>
  <c r="V1155"/>
  <c r="V1156"/>
  <c r="V1157"/>
  <c r="V1158"/>
  <c r="V1159"/>
  <c r="A22" i="8"/>
  <c r="T1118" i="7" l="1"/>
  <c r="M1118"/>
  <c r="U1118" s="1"/>
  <c r="T1116"/>
  <c r="M1116"/>
  <c r="T1114"/>
  <c r="M1114"/>
  <c r="H1115" s="1"/>
  <c r="U930"/>
  <c r="T930"/>
  <c r="U1117"/>
  <c r="T1117"/>
  <c r="A41" i="8"/>
  <c r="A20"/>
  <c r="A21"/>
  <c r="K64"/>
  <c r="L64" s="1"/>
  <c r="K63"/>
  <c r="L63" s="1"/>
  <c r="G64"/>
  <c r="H64" s="1"/>
  <c r="G63"/>
  <c r="H63" s="1"/>
  <c r="A64"/>
  <c r="A63"/>
  <c r="A61"/>
  <c r="A60"/>
  <c r="A59"/>
  <c r="A58"/>
  <c r="A57"/>
  <c r="A55"/>
  <c r="A54"/>
  <c r="A53"/>
  <c r="A51"/>
  <c r="A50"/>
  <c r="A49"/>
  <c r="A48"/>
  <c r="A47"/>
  <c r="A46"/>
  <c r="A45"/>
  <c r="A44"/>
  <c r="I1451" i="7"/>
  <c r="H1407"/>
  <c r="Q1428"/>
  <c r="H1408"/>
  <c r="O60" i="8"/>
  <c r="P60" s="1"/>
  <c r="I1407" i="7" l="1"/>
  <c r="T1407"/>
  <c r="I1408"/>
  <c r="U1408" s="1"/>
  <c r="T1408"/>
  <c r="O61" i="8"/>
  <c r="I1115" i="7"/>
  <c r="U1115" s="1"/>
  <c r="H1119"/>
  <c r="T1115"/>
  <c r="U1116"/>
  <c r="U1114"/>
  <c r="K62" i="8"/>
  <c r="L62" s="1"/>
  <c r="G62"/>
  <c r="H62" s="1"/>
  <c r="V741" i="7"/>
  <c r="V719"/>
  <c r="V718"/>
  <c r="V699"/>
  <c r="V698"/>
  <c r="V697"/>
  <c r="V696"/>
  <c r="V695"/>
  <c r="V672"/>
  <c r="V653"/>
  <c r="V652"/>
  <c r="V651"/>
  <c r="V650"/>
  <c r="V649"/>
  <c r="V626"/>
  <c r="V605"/>
  <c r="V604"/>
  <c r="V603"/>
  <c r="V588"/>
  <c r="V587"/>
  <c r="V586"/>
  <c r="V585"/>
  <c r="V584"/>
  <c r="V583"/>
  <c r="V582"/>
  <c r="V581"/>
  <c r="V580"/>
  <c r="V557"/>
  <c r="V537"/>
  <c r="V536"/>
  <c r="V535"/>
  <c r="V534"/>
  <c r="V514"/>
  <c r="V513"/>
  <c r="V512"/>
  <c r="V511"/>
  <c r="V490"/>
  <c r="V489"/>
  <c r="V488"/>
  <c r="V1225"/>
  <c r="V1224"/>
  <c r="V1223"/>
  <c r="V1206"/>
  <c r="V1205"/>
  <c r="V1204"/>
  <c r="V1203"/>
  <c r="V1202"/>
  <c r="V1201"/>
  <c r="V1200"/>
  <c r="V1181"/>
  <c r="V1180"/>
  <c r="V1179"/>
  <c r="V1178"/>
  <c r="V471"/>
  <c r="V470"/>
  <c r="V469"/>
  <c r="V468"/>
  <c r="V467"/>
  <c r="V466"/>
  <c r="V351"/>
  <c r="V350"/>
  <c r="V295"/>
  <c r="V294"/>
  <c r="V293"/>
  <c r="V292"/>
  <c r="V289"/>
  <c r="V288"/>
  <c r="V287"/>
  <c r="V286"/>
  <c r="V285"/>
  <c r="V284"/>
  <c r="V283"/>
  <c r="V282"/>
  <c r="V281"/>
  <c r="V261"/>
  <c r="V260"/>
  <c r="V259"/>
  <c r="V258"/>
  <c r="V246"/>
  <c r="V245"/>
  <c r="V244"/>
  <c r="V243"/>
  <c r="V242"/>
  <c r="V241"/>
  <c r="V240"/>
  <c r="V239"/>
  <c r="V238"/>
  <c r="V237"/>
  <c r="V236"/>
  <c r="V235"/>
  <c r="V215"/>
  <c r="V214"/>
  <c r="V213"/>
  <c r="V212"/>
  <c r="V199"/>
  <c r="V198"/>
  <c r="V197"/>
  <c r="V196"/>
  <c r="V195"/>
  <c r="V194"/>
  <c r="V193"/>
  <c r="V192"/>
  <c r="V191"/>
  <c r="V190"/>
  <c r="V189"/>
  <c r="V169"/>
  <c r="V168"/>
  <c r="V167"/>
  <c r="V166"/>
  <c r="V146"/>
  <c r="V145"/>
  <c r="V144"/>
  <c r="V143"/>
  <c r="V127"/>
  <c r="V126"/>
  <c r="V125"/>
  <c r="V124"/>
  <c r="V123"/>
  <c r="V122"/>
  <c r="V121"/>
  <c r="V120"/>
  <c r="V97"/>
  <c r="V77"/>
  <c r="V76"/>
  <c r="V75"/>
  <c r="V74"/>
  <c r="V63"/>
  <c r="V62"/>
  <c r="V61"/>
  <c r="V60"/>
  <c r="V59"/>
  <c r="V58"/>
  <c r="V57"/>
  <c r="V56"/>
  <c r="V55"/>
  <c r="V54"/>
  <c r="V53"/>
  <c r="V52"/>
  <c r="V51"/>
  <c r="V31"/>
  <c r="V30"/>
  <c r="V28"/>
  <c r="V10"/>
  <c r="V9"/>
  <c r="V8"/>
  <c r="V7"/>
  <c r="V6"/>
  <c r="V948"/>
  <c r="V825"/>
  <c r="V823"/>
  <c r="V821"/>
  <c r="V819"/>
  <c r="V818"/>
  <c r="V817"/>
  <c r="V816"/>
  <c r="V815"/>
  <c r="V814"/>
  <c r="V813"/>
  <c r="V812"/>
  <c r="V811"/>
  <c r="V810"/>
  <c r="F868" i="5"/>
  <c r="F130" i="6" s="1"/>
  <c r="E866" i="5"/>
  <c r="F866" s="1"/>
  <c r="O444" i="4"/>
  <c r="G862" i="5"/>
  <c r="G867"/>
  <c r="H867" s="1"/>
  <c r="J867"/>
  <c r="J868" s="1"/>
  <c r="J130" i="6" s="1"/>
  <c r="F867" i="5"/>
  <c r="J866"/>
  <c r="H866"/>
  <c r="V789" i="7"/>
  <c r="V788"/>
  <c r="V787"/>
  <c r="V769"/>
  <c r="V768"/>
  <c r="V767"/>
  <c r="V766"/>
  <c r="V764"/>
  <c r="V765"/>
  <c r="O59" i="4"/>
  <c r="E563" i="5" s="1"/>
  <c r="G564"/>
  <c r="H868" l="1"/>
  <c r="H130" i="6" s="1"/>
  <c r="L810" i="7" s="1"/>
  <c r="P61" i="8"/>
  <c r="I17" i="21" s="1"/>
  <c r="I1428" i="7"/>
  <c r="U1428" s="1"/>
  <c r="U1407"/>
  <c r="T1119"/>
  <c r="I1119"/>
  <c r="U1119" s="1"/>
  <c r="H810"/>
  <c r="K867" i="5"/>
  <c r="L867"/>
  <c r="L866"/>
  <c r="K866"/>
  <c r="E675"/>
  <c r="G675"/>
  <c r="H675" s="1"/>
  <c r="L868" l="1"/>
  <c r="L130" i="6"/>
  <c r="K675" i="5"/>
  <c r="F675"/>
  <c r="L675" s="1"/>
  <c r="I677" s="1"/>
  <c r="E30" i="21"/>
  <c r="G30"/>
  <c r="L31" i="20"/>
  <c r="M31"/>
  <c r="M32"/>
  <c r="M30"/>
  <c r="M29"/>
  <c r="M6"/>
  <c r="N6"/>
  <c r="M7"/>
  <c r="M8"/>
  <c r="M9"/>
  <c r="M10"/>
  <c r="M11"/>
  <c r="M12"/>
  <c r="M13"/>
  <c r="M14"/>
  <c r="M15"/>
  <c r="M16"/>
  <c r="M17"/>
  <c r="M18"/>
  <c r="M19"/>
  <c r="M23"/>
  <c r="M24"/>
  <c r="M25"/>
  <c r="M26"/>
  <c r="M27"/>
  <c r="M28"/>
  <c r="M5"/>
  <c r="I6"/>
  <c r="I11"/>
  <c r="I30"/>
  <c r="I31"/>
  <c r="F31"/>
  <c r="L11"/>
  <c r="L6"/>
  <c r="F6"/>
  <c r="I32" i="5"/>
  <c r="J32" s="1"/>
  <c r="G32"/>
  <c r="H32" s="1"/>
  <c r="O30" i="4"/>
  <c r="E32" i="5" s="1"/>
  <c r="G33"/>
  <c r="H33" s="1"/>
  <c r="I33"/>
  <c r="J33" s="1"/>
  <c r="J34" s="1"/>
  <c r="J8" i="6" s="1"/>
  <c r="P8" i="7" s="1"/>
  <c r="E33" i="5"/>
  <c r="K677" l="1"/>
  <c r="J677"/>
  <c r="L677" s="1"/>
  <c r="T1338" i="7"/>
  <c r="U1338"/>
  <c r="T1339"/>
  <c r="O6" i="20"/>
  <c r="T1340" i="7"/>
  <c r="N31" i="20"/>
  <c r="O31" s="1"/>
  <c r="U1340" i="7"/>
  <c r="Q1359"/>
  <c r="O55" i="8" s="1"/>
  <c r="P55" s="1"/>
  <c r="P469" i="7"/>
  <c r="F32" i="5"/>
  <c r="K32"/>
  <c r="H34"/>
  <c r="H8" i="6" s="1"/>
  <c r="L469" i="7" s="1"/>
  <c r="K33" i="5"/>
  <c r="F33"/>
  <c r="U1339" i="7" l="1"/>
  <c r="M1359"/>
  <c r="L32" i="5"/>
  <c r="F34"/>
  <c r="F8" i="6" s="1"/>
  <c r="L8" i="7"/>
  <c r="L33" i="5"/>
  <c r="K55" i="8" l="1"/>
  <c r="L55" s="1"/>
  <c r="T1341" i="7"/>
  <c r="L8" i="6"/>
  <c r="H469" i="7"/>
  <c r="H8"/>
  <c r="T8" s="1"/>
  <c r="L34" i="5"/>
  <c r="I1359" i="7" l="1"/>
  <c r="G55" i="8" s="1"/>
  <c r="U1341" i="7"/>
  <c r="U1359" s="1"/>
  <c r="J42" i="6"/>
  <c r="L50" i="1"/>
  <c r="K50"/>
  <c r="I246" i="5"/>
  <c r="I658"/>
  <c r="Q1336" i="7"/>
  <c r="O54" i="8" s="1"/>
  <c r="P54" s="1"/>
  <c r="L1316" i="7"/>
  <c r="L1315"/>
  <c r="L1314"/>
  <c r="M1314" l="1"/>
  <c r="U1314" s="1"/>
  <c r="T1314"/>
  <c r="T1315"/>
  <c r="M1315"/>
  <c r="U1315" s="1"/>
  <c r="T1316"/>
  <c r="M1316"/>
  <c r="U1316" s="1"/>
  <c r="H55" i="8"/>
  <c r="T55" s="1"/>
  <c r="S55"/>
  <c r="L1313" i="7"/>
  <c r="H131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292"/>
  <c r="O539" i="4"/>
  <c r="H1311" i="7" s="1"/>
  <c r="O538" i="4"/>
  <c r="H1310" i="7" s="1"/>
  <c r="O537" i="4"/>
  <c r="H1309" i="7" s="1"/>
  <c r="O536" i="4"/>
  <c r="H1308" i="7" s="1"/>
  <c r="O535" i="4"/>
  <c r="H1307" i="7" s="1"/>
  <c r="O534" i="4"/>
  <c r="H1306" i="7" s="1"/>
  <c r="O533" i="4"/>
  <c r="H1305" i="7" s="1"/>
  <c r="O532" i="4"/>
  <c r="H1304" i="7" s="1"/>
  <c r="O531" i="4"/>
  <c r="H1303" i="7" s="1"/>
  <c r="O530" i="4"/>
  <c r="H1302" i="7" s="1"/>
  <c r="O529" i="4"/>
  <c r="H1301" i="7" s="1"/>
  <c r="O528" i="4"/>
  <c r="H1300" i="7" s="1"/>
  <c r="O527" i="4"/>
  <c r="H1299" i="7" s="1"/>
  <c r="O526" i="4"/>
  <c r="H1298" i="7" s="1"/>
  <c r="O525" i="4"/>
  <c r="H1297" i="7" s="1"/>
  <c r="O524" i="4"/>
  <c r="H1296" i="7" s="1"/>
  <c r="O523" i="4"/>
  <c r="H1295" i="7" s="1"/>
  <c r="O522" i="4"/>
  <c r="H1294" i="7" s="1"/>
  <c r="O521" i="4"/>
  <c r="H1293" i="7" s="1"/>
  <c r="O520" i="4"/>
  <c r="H1292" i="7" s="1"/>
  <c r="T1304" l="1"/>
  <c r="I1304"/>
  <c r="U1304" s="1"/>
  <c r="T1298"/>
  <c r="I1298"/>
  <c r="U1298" s="1"/>
  <c r="T1306"/>
  <c r="I1306"/>
  <c r="U1306" s="1"/>
  <c r="I1297"/>
  <c r="U1297" s="1"/>
  <c r="T1297"/>
  <c r="T1299"/>
  <c r="I1299"/>
  <c r="U1299" s="1"/>
  <c r="T1307"/>
  <c r="I1307"/>
  <c r="U1307" s="1"/>
  <c r="I1300"/>
  <c r="U1300" s="1"/>
  <c r="T1300"/>
  <c r="I1308"/>
  <c r="U1308" s="1"/>
  <c r="T1308"/>
  <c r="T1303"/>
  <c r="I1303"/>
  <c r="U1303" s="1"/>
  <c r="I1305"/>
  <c r="U1305" s="1"/>
  <c r="T1305"/>
  <c r="I1293"/>
  <c r="U1293" s="1"/>
  <c r="T1293"/>
  <c r="I1301"/>
  <c r="U1301" s="1"/>
  <c r="T1301"/>
  <c r="I1309"/>
  <c r="U1309" s="1"/>
  <c r="T1309"/>
  <c r="T1312"/>
  <c r="I1312"/>
  <c r="U1312" s="1"/>
  <c r="T1295"/>
  <c r="I1295"/>
  <c r="U1295" s="1"/>
  <c r="T1311"/>
  <c r="I1311"/>
  <c r="U1311" s="1"/>
  <c r="T1296"/>
  <c r="I1296"/>
  <c r="U1296" s="1"/>
  <c r="T1292"/>
  <c r="I1292"/>
  <c r="T1294"/>
  <c r="I1294"/>
  <c r="U1294" s="1"/>
  <c r="T1302"/>
  <c r="I1302"/>
  <c r="U1302" s="1"/>
  <c r="T1310"/>
  <c r="I1310"/>
  <c r="U1310" s="1"/>
  <c r="M1313"/>
  <c r="U1313" s="1"/>
  <c r="T1313"/>
  <c r="U1292" l="1"/>
  <c r="I1336"/>
  <c r="G54" i="8" s="1"/>
  <c r="M1336" i="7"/>
  <c r="K54" i="8" s="1"/>
  <c r="L54" s="1"/>
  <c r="G50" i="1" s="1"/>
  <c r="H50" s="1"/>
  <c r="U1336" i="7" l="1"/>
  <c r="H54" i="8"/>
  <c r="S54"/>
  <c r="T54" l="1"/>
  <c r="D50" i="1"/>
  <c r="E50" l="1"/>
  <c r="M50"/>
  <c r="N50" s="1"/>
  <c r="A36" i="8" l="1"/>
  <c r="B43" i="1" l="1"/>
  <c r="G106" i="16"/>
  <c r="G658" i="5" l="1"/>
  <c r="H658" s="1"/>
  <c r="I659" s="1"/>
  <c r="H659"/>
  <c r="F659"/>
  <c r="J658"/>
  <c r="F658"/>
  <c r="I657"/>
  <c r="J657" s="1"/>
  <c r="G657"/>
  <c r="H657" s="1"/>
  <c r="E657"/>
  <c r="F657" s="1"/>
  <c r="I656"/>
  <c r="J656" s="1"/>
  <c r="G656"/>
  <c r="H656" s="1"/>
  <c r="G345" i="16"/>
  <c r="L658" i="5" l="1"/>
  <c r="K657"/>
  <c r="K658"/>
  <c r="K659"/>
  <c r="J659"/>
  <c r="L659" s="1"/>
  <c r="L657"/>
  <c r="G359" i="15"/>
  <c r="N54" i="1"/>
  <c r="F5"/>
  <c r="I5"/>
  <c r="L53" l="1"/>
  <c r="L52"/>
  <c r="L51"/>
  <c r="L49"/>
  <c r="L46"/>
  <c r="L47"/>
  <c r="L48"/>
  <c r="L45"/>
  <c r="L41"/>
  <c r="L36"/>
  <c r="L31"/>
  <c r="L30"/>
  <c r="L29"/>
  <c r="L28"/>
  <c r="L27"/>
  <c r="L22"/>
  <c r="L23"/>
  <c r="L24"/>
  <c r="L25"/>
  <c r="L21"/>
  <c r="L17"/>
  <c r="L13"/>
  <c r="L10"/>
  <c r="F26"/>
  <c r="I26"/>
  <c r="C26"/>
  <c r="C5"/>
  <c r="C4" l="1"/>
  <c r="L26"/>
  <c r="F4"/>
  <c r="L5"/>
  <c r="I4"/>
  <c r="L4" l="1"/>
  <c r="Q4" s="1"/>
  <c r="L919" i="7" l="1"/>
  <c r="P919"/>
  <c r="L920"/>
  <c r="P920"/>
  <c r="L921"/>
  <c r="P921"/>
  <c r="L922"/>
  <c r="P922"/>
  <c r="L923"/>
  <c r="P923"/>
  <c r="L924"/>
  <c r="P924"/>
  <c r="L925"/>
  <c r="P925"/>
  <c r="L926"/>
  <c r="P926"/>
  <c r="L927"/>
  <c r="P927"/>
  <c r="L928"/>
  <c r="P928"/>
  <c r="L929"/>
  <c r="P929"/>
  <c r="A928"/>
  <c r="B928"/>
  <c r="A929"/>
  <c r="B929"/>
  <c r="A903"/>
  <c r="B903"/>
  <c r="A904"/>
  <c r="B904"/>
  <c r="A905"/>
  <c r="B905"/>
  <c r="A906"/>
  <c r="B906"/>
  <c r="A907"/>
  <c r="B907"/>
  <c r="A908"/>
  <c r="B908"/>
  <c r="A909"/>
  <c r="B909"/>
  <c r="A910"/>
  <c r="B910"/>
  <c r="A911"/>
  <c r="B911"/>
  <c r="A912"/>
  <c r="B912"/>
  <c r="A913"/>
  <c r="B913"/>
  <c r="A914"/>
  <c r="B914"/>
  <c r="A915"/>
  <c r="B915"/>
  <c r="A916"/>
  <c r="B916"/>
  <c r="A917"/>
  <c r="B917"/>
  <c r="A918"/>
  <c r="B918"/>
  <c r="A919"/>
  <c r="B919"/>
  <c r="A920"/>
  <c r="B920"/>
  <c r="A921"/>
  <c r="B921"/>
  <c r="A922"/>
  <c r="B922"/>
  <c r="A923"/>
  <c r="B923"/>
  <c r="A924"/>
  <c r="B924"/>
  <c r="A925"/>
  <c r="B925"/>
  <c r="A926"/>
  <c r="B926"/>
  <c r="A927"/>
  <c r="B927"/>
  <c r="B902"/>
  <c r="A902"/>
  <c r="O259" i="4"/>
  <c r="H902" i="7" s="1"/>
  <c r="O260" i="4"/>
  <c r="H903" i="7" s="1"/>
  <c r="O261" i="4"/>
  <c r="H904" i="7" s="1"/>
  <c r="O262" i="4"/>
  <c r="H905" i="7" s="1"/>
  <c r="O263" i="4"/>
  <c r="H906" i="7" s="1"/>
  <c r="O264" i="4"/>
  <c r="H907" i="7" s="1"/>
  <c r="O265" i="4"/>
  <c r="H908" i="7" s="1"/>
  <c r="O266" i="4"/>
  <c r="H909" i="7" s="1"/>
  <c r="O267" i="4"/>
  <c r="H910" i="7" s="1"/>
  <c r="O268" i="4"/>
  <c r="H911" i="7" s="1"/>
  <c r="O269" i="4"/>
  <c r="H912" i="7" s="1"/>
  <c r="O270" i="4"/>
  <c r="H913" i="7" s="1"/>
  <c r="O271" i="4"/>
  <c r="H914" i="7" s="1"/>
  <c r="O272" i="4"/>
  <c r="H915" i="7" s="1"/>
  <c r="O273" i="4"/>
  <c r="H916" i="7" s="1"/>
  <c r="O274" i="4"/>
  <c r="H917" i="7" s="1"/>
  <c r="O275" i="4"/>
  <c r="H918" i="7" s="1"/>
  <c r="O276" i="4"/>
  <c r="H919" i="7" s="1"/>
  <c r="O277" i="4"/>
  <c r="H920" i="7" s="1"/>
  <c r="O278" i="4"/>
  <c r="H921" i="7" s="1"/>
  <c r="O279" i="4"/>
  <c r="H922" i="7" s="1"/>
  <c r="O280" i="4"/>
  <c r="H923" i="7" s="1"/>
  <c r="O281" i="4"/>
  <c r="H924" i="7" s="1"/>
  <c r="O282" i="4"/>
  <c r="H925" i="7" s="1"/>
  <c r="O283" i="4"/>
  <c r="H926" i="7" s="1"/>
  <c r="O284" i="4"/>
  <c r="H927" i="7" s="1"/>
  <c r="O285" i="4"/>
  <c r="H928" i="7" s="1"/>
  <c r="O286" i="4"/>
  <c r="H929" i="7" s="1"/>
  <c r="B260" i="4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C259"/>
  <c r="D259"/>
  <c r="B259"/>
  <c r="G314" i="16"/>
  <c r="H314" s="1"/>
  <c r="E902" i="7" s="1"/>
  <c r="I902" s="1"/>
  <c r="G315" i="16"/>
  <c r="H315" s="1"/>
  <c r="E903" i="7" s="1"/>
  <c r="G316" i="16"/>
  <c r="H316" s="1"/>
  <c r="E904" i="7" s="1"/>
  <c r="I904" s="1"/>
  <c r="G318" i="16"/>
  <c r="H318" s="1"/>
  <c r="E906" i="7" s="1"/>
  <c r="G319" i="16"/>
  <c r="H319" s="1"/>
  <c r="E907" i="7" s="1"/>
  <c r="G320" i="16"/>
  <c r="H320" s="1"/>
  <c r="E908" i="7" s="1"/>
  <c r="I908" s="1"/>
  <c r="G321" i="16"/>
  <c r="H321" s="1"/>
  <c r="E909" i="7" s="1"/>
  <c r="G322" i="16"/>
  <c r="H322" s="1"/>
  <c r="E910" i="7" s="1"/>
  <c r="G323" i="16"/>
  <c r="H323" s="1"/>
  <c r="E911" i="7" s="1"/>
  <c r="G338" i="16"/>
  <c r="H338" s="1"/>
  <c r="E926" i="7" s="1"/>
  <c r="G334" i="16"/>
  <c r="H334" s="1"/>
  <c r="E922" i="7" s="1"/>
  <c r="G330" i="16"/>
  <c r="H330" s="1"/>
  <c r="E918" i="7" s="1"/>
  <c r="A882"/>
  <c r="B882"/>
  <c r="A883"/>
  <c r="B883"/>
  <c r="A884"/>
  <c r="B884"/>
  <c r="A885"/>
  <c r="B885"/>
  <c r="A886"/>
  <c r="B886"/>
  <c r="A887"/>
  <c r="B887"/>
  <c r="A888"/>
  <c r="B888"/>
  <c r="A889"/>
  <c r="B889"/>
  <c r="A890"/>
  <c r="B890"/>
  <c r="A891"/>
  <c r="B891"/>
  <c r="A892"/>
  <c r="B892"/>
  <c r="A893"/>
  <c r="B893"/>
  <c r="A894"/>
  <c r="B894"/>
  <c r="A895"/>
  <c r="B895"/>
  <c r="A896"/>
  <c r="B896"/>
  <c r="A897"/>
  <c r="B897"/>
  <c r="A898"/>
  <c r="B898"/>
  <c r="A899"/>
  <c r="B899"/>
  <c r="A900"/>
  <c r="B900"/>
  <c r="A901"/>
  <c r="B901"/>
  <c r="A881"/>
  <c r="B881"/>
  <c r="O238" i="4"/>
  <c r="H881" i="7" s="1"/>
  <c r="O239" i="4"/>
  <c r="H882" i="7" s="1"/>
  <c r="O240" i="4"/>
  <c r="H883" i="7" s="1"/>
  <c r="O241" i="4"/>
  <c r="H884" i="7" s="1"/>
  <c r="O242" i="4"/>
  <c r="H885" i="7" s="1"/>
  <c r="O243" i="4"/>
  <c r="H886" i="7" s="1"/>
  <c r="T886" s="1"/>
  <c r="O244" i="4"/>
  <c r="H887" i="7" s="1"/>
  <c r="O245" i="4"/>
  <c r="H888" i="7" s="1"/>
  <c r="O246" i="4"/>
  <c r="H889" i="7" s="1"/>
  <c r="T889" s="1"/>
  <c r="O247" i="4"/>
  <c r="H890" i="7" s="1"/>
  <c r="T890" s="1"/>
  <c r="O248" i="4"/>
  <c r="H891" i="7" s="1"/>
  <c r="O249" i="4"/>
  <c r="H892" i="7" s="1"/>
  <c r="O250" i="4"/>
  <c r="H893" i="7" s="1"/>
  <c r="T893" s="1"/>
  <c r="O251" i="4"/>
  <c r="H894" i="7" s="1"/>
  <c r="O252" i="4"/>
  <c r="H895" i="7" s="1"/>
  <c r="O253" i="4"/>
  <c r="H896" i="7" s="1"/>
  <c r="T896" s="1"/>
  <c r="O254" i="4"/>
  <c r="H897" i="7" s="1"/>
  <c r="O255" i="4"/>
  <c r="H898" i="7" s="1"/>
  <c r="O256" i="4"/>
  <c r="H899" i="7" s="1"/>
  <c r="T899" s="1"/>
  <c r="O257" i="4"/>
  <c r="H900" i="7" s="1"/>
  <c r="O258" i="4"/>
  <c r="H901" i="7" s="1"/>
  <c r="C239" i="4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38"/>
  <c r="G293" i="16"/>
  <c r="H293" s="1"/>
  <c r="E881" i="7" s="1"/>
  <c r="I881" s="1"/>
  <c r="G294" i="16"/>
  <c r="H294" s="1"/>
  <c r="E882" i="7" s="1"/>
  <c r="G295" i="16"/>
  <c r="H295" s="1"/>
  <c r="E883" i="7" s="1"/>
  <c r="G296" i="16"/>
  <c r="H296" s="1"/>
  <c r="E884" i="7" s="1"/>
  <c r="G297" i="16"/>
  <c r="H297" s="1"/>
  <c r="E885" i="7" s="1"/>
  <c r="G298" i="16"/>
  <c r="H298" s="1"/>
  <c r="E886" i="7" s="1"/>
  <c r="G299" i="16"/>
  <c r="H299" s="1"/>
  <c r="E887" i="7" s="1"/>
  <c r="G300" i="16"/>
  <c r="H300" s="1"/>
  <c r="E888" i="7" s="1"/>
  <c r="G301" i="16"/>
  <c r="H301" s="1"/>
  <c r="E889" i="7" s="1"/>
  <c r="G302" i="16"/>
  <c r="H302" s="1"/>
  <c r="E890" i="7" s="1"/>
  <c r="G303" i="16"/>
  <c r="H303" s="1"/>
  <c r="E891" i="7" s="1"/>
  <c r="G304" i="16"/>
  <c r="H304" s="1"/>
  <c r="E892" i="7" s="1"/>
  <c r="G305" i="16"/>
  <c r="H305" s="1"/>
  <c r="E893" i="7" s="1"/>
  <c r="G306" i="16"/>
  <c r="H306" s="1"/>
  <c r="E894" i="7" s="1"/>
  <c r="G307" i="16"/>
  <c r="H307" s="1"/>
  <c r="E895" i="7" s="1"/>
  <c r="G308" i="16"/>
  <c r="H308" s="1"/>
  <c r="E896" i="7" s="1"/>
  <c r="G309" i="16"/>
  <c r="H309" s="1"/>
  <c r="E897" i="7" s="1"/>
  <c r="G310" i="16"/>
  <c r="H310" s="1"/>
  <c r="E898" i="7" s="1"/>
  <c r="G311" i="16"/>
  <c r="H311" s="1"/>
  <c r="E899" i="7" s="1"/>
  <c r="G312" i="16"/>
  <c r="H312" s="1"/>
  <c r="E900" i="7" s="1"/>
  <c r="G313" i="16"/>
  <c r="H313" s="1"/>
  <c r="E901" i="7" s="1"/>
  <c r="I899" l="1"/>
  <c r="U899" s="1"/>
  <c r="I891"/>
  <c r="I883"/>
  <c r="I903"/>
  <c r="I926"/>
  <c r="I910"/>
  <c r="I906"/>
  <c r="I922"/>
  <c r="I895"/>
  <c r="U895" s="1"/>
  <c r="I887"/>
  <c r="U887" s="1"/>
  <c r="I882"/>
  <c r="U882" s="1"/>
  <c r="I886"/>
  <c r="U886" s="1"/>
  <c r="I894"/>
  <c r="I901"/>
  <c r="U901" s="1"/>
  <c r="I893"/>
  <c r="U893" s="1"/>
  <c r="I885"/>
  <c r="U885" s="1"/>
  <c r="I897"/>
  <c r="U897" s="1"/>
  <c r="I889"/>
  <c r="U889" s="1"/>
  <c r="I898"/>
  <c r="U898" s="1"/>
  <c r="I890"/>
  <c r="U890" s="1"/>
  <c r="I911"/>
  <c r="I888"/>
  <c r="U888" s="1"/>
  <c r="I896"/>
  <c r="U896" s="1"/>
  <c r="I909"/>
  <c r="I907"/>
  <c r="I900"/>
  <c r="U900" s="1"/>
  <c r="I892"/>
  <c r="U892" s="1"/>
  <c r="I884"/>
  <c r="U884" s="1"/>
  <c r="I918"/>
  <c r="M926"/>
  <c r="T927"/>
  <c r="T924"/>
  <c r="M922"/>
  <c r="T925"/>
  <c r="Q922"/>
  <c r="T922"/>
  <c r="Q926"/>
  <c r="T923"/>
  <c r="T926"/>
  <c r="T919"/>
  <c r="T928"/>
  <c r="T920"/>
  <c r="T929"/>
  <c r="T921"/>
  <c r="U891"/>
  <c r="U883"/>
  <c r="U881"/>
  <c r="U894"/>
  <c r="T883"/>
  <c r="T895"/>
  <c r="T892"/>
  <c r="T901"/>
  <c r="T898"/>
  <c r="T888"/>
  <c r="T885"/>
  <c r="T882"/>
  <c r="T897"/>
  <c r="T894"/>
  <c r="T891"/>
  <c r="T881"/>
  <c r="T900"/>
  <c r="T887"/>
  <c r="T884"/>
  <c r="U922" l="1"/>
  <c r="U926"/>
  <c r="T1392" l="1"/>
  <c r="I1392"/>
  <c r="U1392" s="1"/>
  <c r="O289" i="4"/>
  <c r="H953" i="7" s="1"/>
  <c r="C289" i="4"/>
  <c r="D289"/>
  <c r="B953" i="7"/>
  <c r="C953"/>
  <c r="G350" i="16"/>
  <c r="H350" s="1"/>
  <c r="E953" i="7" s="1"/>
  <c r="M953" l="1"/>
  <c r="I953"/>
  <c r="T953"/>
  <c r="U953" l="1"/>
  <c r="O139" i="4"/>
  <c r="H1387" i="7" s="1"/>
  <c r="T1387" s="1"/>
  <c r="O142" i="4"/>
  <c r="H1368" i="7" l="1"/>
  <c r="T1368" s="1"/>
  <c r="H1390"/>
  <c r="T1390" s="1"/>
  <c r="H1365"/>
  <c r="P1364"/>
  <c r="P1365"/>
  <c r="L1365"/>
  <c r="A1364"/>
  <c r="B1364"/>
  <c r="A1365"/>
  <c r="B1365"/>
  <c r="A1366"/>
  <c r="B1366"/>
  <c r="A1367"/>
  <c r="B1367"/>
  <c r="A1368"/>
  <c r="B1368"/>
  <c r="B1363"/>
  <c r="E1367"/>
  <c r="A1363"/>
  <c r="G491" i="16"/>
  <c r="H491" s="1"/>
  <c r="E1390" i="7" s="1"/>
  <c r="I1390" l="1"/>
  <c r="U1390" s="1"/>
  <c r="T1365"/>
  <c r="E1368"/>
  <c r="G487" i="16"/>
  <c r="H487" s="1"/>
  <c r="G245"/>
  <c r="G246"/>
  <c r="G247"/>
  <c r="G248"/>
  <c r="O421" i="4"/>
  <c r="H368" i="7" s="1"/>
  <c r="B367"/>
  <c r="I1368" l="1"/>
  <c r="U1368" s="1"/>
  <c r="E1386"/>
  <c r="E1364"/>
  <c r="G340" i="15"/>
  <c r="H340" s="1"/>
  <c r="G341"/>
  <c r="H341" s="1"/>
  <c r="G342"/>
  <c r="H342" s="1"/>
  <c r="G343"/>
  <c r="H343" s="1"/>
  <c r="G344"/>
  <c r="H344" s="1"/>
  <c r="G345"/>
  <c r="H345" s="1"/>
  <c r="G346"/>
  <c r="G347"/>
  <c r="G348"/>
  <c r="G349"/>
  <c r="G350"/>
  <c r="G351"/>
  <c r="G352"/>
  <c r="G353"/>
  <c r="G354"/>
  <c r="G355"/>
  <c r="O423" i="4"/>
  <c r="H448" i="7" s="1"/>
  <c r="C448"/>
  <c r="A448"/>
  <c r="B199"/>
  <c r="C199"/>
  <c r="A199"/>
  <c r="G314" i="15"/>
  <c r="H314" s="1"/>
  <c r="T448" i="7" l="1"/>
  <c r="I448"/>
  <c r="U448" s="1"/>
  <c r="G16" i="16"/>
  <c r="G15"/>
  <c r="G14"/>
  <c r="G13"/>
  <c r="G12"/>
  <c r="G12" i="15"/>
  <c r="H11" s="1"/>
  <c r="E1430" i="7" s="1"/>
  <c r="F275" i="5"/>
  <c r="G275"/>
  <c r="H275" s="1"/>
  <c r="I275"/>
  <c r="J275" s="1"/>
  <c r="A314" i="7"/>
  <c r="B314"/>
  <c r="C314"/>
  <c r="A315"/>
  <c r="B315"/>
  <c r="C315"/>
  <c r="A316"/>
  <c r="B316"/>
  <c r="C316"/>
  <c r="A317"/>
  <c r="B317"/>
  <c r="C317"/>
  <c r="A318"/>
  <c r="B318"/>
  <c r="C318"/>
  <c r="A319"/>
  <c r="B319"/>
  <c r="C319"/>
  <c r="A320"/>
  <c r="B320"/>
  <c r="C320"/>
  <c r="A321"/>
  <c r="B321"/>
  <c r="C321"/>
  <c r="A322"/>
  <c r="B322"/>
  <c r="C322"/>
  <c r="B313"/>
  <c r="C313"/>
  <c r="A313"/>
  <c r="G338" i="15"/>
  <c r="H338" s="1"/>
  <c r="E322" i="7" s="1"/>
  <c r="O110" i="4"/>
  <c r="H314" i="7" s="1"/>
  <c r="T314" s="1"/>
  <c r="O111" i="4"/>
  <c r="H315" i="7" s="1"/>
  <c r="T315" s="1"/>
  <c r="O113" i="4"/>
  <c r="H317" i="7" s="1"/>
  <c r="T317" s="1"/>
  <c r="O114" i="4"/>
  <c r="H318" i="7" s="1"/>
  <c r="T318" s="1"/>
  <c r="O115" i="4"/>
  <c r="H319" i="7" s="1"/>
  <c r="T319" s="1"/>
  <c r="O117" i="4"/>
  <c r="H321" i="7" s="1"/>
  <c r="T321" s="1"/>
  <c r="O109" i="4"/>
  <c r="H313" i="7" s="1"/>
  <c r="T313" s="1"/>
  <c r="O112" i="4"/>
  <c r="H316" i="7" s="1"/>
  <c r="T316" s="1"/>
  <c r="O116" i="4"/>
  <c r="H320" i="7" s="1"/>
  <c r="T320" s="1"/>
  <c r="O118" i="4"/>
  <c r="H322" i="7" s="1"/>
  <c r="T322" s="1"/>
  <c r="B110" i="4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C109"/>
  <c r="D109"/>
  <c r="B109"/>
  <c r="G329" i="15"/>
  <c r="H329" s="1"/>
  <c r="E313" i="7" s="1"/>
  <c r="G330" i="15"/>
  <c r="H330" s="1"/>
  <c r="E314" i="7" s="1"/>
  <c r="G331" i="15"/>
  <c r="H331" s="1"/>
  <c r="E315" i="7" s="1"/>
  <c r="G332" i="15"/>
  <c r="H332" s="1"/>
  <c r="E316" i="7" s="1"/>
  <c r="G333" i="15"/>
  <c r="H333" s="1"/>
  <c r="E317" i="7" s="1"/>
  <c r="G334" i="15"/>
  <c r="H334" s="1"/>
  <c r="E318" i="7" s="1"/>
  <c r="G335" i="15"/>
  <c r="H335" s="1"/>
  <c r="E319" i="7" s="1"/>
  <c r="G336" i="15"/>
  <c r="H336" s="1"/>
  <c r="E320" i="7" s="1"/>
  <c r="G337" i="15"/>
  <c r="H337" s="1"/>
  <c r="E321" i="7" s="1"/>
  <c r="I321" l="1"/>
  <c r="U321" s="1"/>
  <c r="I319"/>
  <c r="U319" s="1"/>
  <c r="I317"/>
  <c r="U317" s="1"/>
  <c r="I318"/>
  <c r="U318" s="1"/>
  <c r="I315"/>
  <c r="U315" s="1"/>
  <c r="I320"/>
  <c r="U320" s="1"/>
  <c r="I314"/>
  <c r="U314" s="1"/>
  <c r="I316"/>
  <c r="U316" s="1"/>
  <c r="I313"/>
  <c r="U313" s="1"/>
  <c r="I322"/>
  <c r="U322" s="1"/>
  <c r="H11" i="16"/>
  <c r="E1431" i="7" s="1"/>
  <c r="K275" i="5"/>
  <c r="L275"/>
  <c r="O220" i="4" l="1"/>
  <c r="H863" i="7" s="1"/>
  <c r="T863" s="1"/>
  <c r="O221" i="4"/>
  <c r="H864" i="7" s="1"/>
  <c r="O222" i="4"/>
  <c r="H865" i="7" s="1"/>
  <c r="T865" s="1"/>
  <c r="O223" i="4"/>
  <c r="H866" i="7" s="1"/>
  <c r="T866" s="1"/>
  <c r="O224" i="4"/>
  <c r="H867" i="7" s="1"/>
  <c r="O225" i="4"/>
  <c r="H868" i="7" s="1"/>
  <c r="T868" s="1"/>
  <c r="O226" i="4"/>
  <c r="H869" i="7" s="1"/>
  <c r="T869" s="1"/>
  <c r="O227" i="4"/>
  <c r="H870" i="7" s="1"/>
  <c r="T870" s="1"/>
  <c r="O228" i="4"/>
  <c r="H871" i="7" s="1"/>
  <c r="T871" s="1"/>
  <c r="O229" i="4"/>
  <c r="H872" i="7" s="1"/>
  <c r="T872" s="1"/>
  <c r="O230" i="4"/>
  <c r="H873" i="7" s="1"/>
  <c r="O231" i="4"/>
  <c r="H874" i="7" s="1"/>
  <c r="T874" s="1"/>
  <c r="O232" i="4"/>
  <c r="H875" i="7" s="1"/>
  <c r="T875" s="1"/>
  <c r="O233" i="4"/>
  <c r="H876" i="7" s="1"/>
  <c r="O234" i="4"/>
  <c r="H877" i="7" s="1"/>
  <c r="O235" i="4"/>
  <c r="H878" i="7" s="1"/>
  <c r="O236" i="4"/>
  <c r="H879" i="7" s="1"/>
  <c r="O237" i="4"/>
  <c r="H880" i="7" s="1"/>
  <c r="A863"/>
  <c r="B863"/>
  <c r="C863"/>
  <c r="A864"/>
  <c r="B864"/>
  <c r="C864"/>
  <c r="A865"/>
  <c r="B865"/>
  <c r="C865"/>
  <c r="A866"/>
  <c r="B866"/>
  <c r="C866"/>
  <c r="A867"/>
  <c r="B867"/>
  <c r="C867"/>
  <c r="A868"/>
  <c r="B868"/>
  <c r="C868"/>
  <c r="A869"/>
  <c r="B869"/>
  <c r="C869"/>
  <c r="A870"/>
  <c r="B870"/>
  <c r="C870"/>
  <c r="A871"/>
  <c r="B871"/>
  <c r="C871"/>
  <c r="A872"/>
  <c r="B872"/>
  <c r="C872"/>
  <c r="A873"/>
  <c r="B873"/>
  <c r="C873"/>
  <c r="A874"/>
  <c r="B874"/>
  <c r="C874"/>
  <c r="A875"/>
  <c r="B875"/>
  <c r="C875"/>
  <c r="A876"/>
  <c r="B876"/>
  <c r="C876"/>
  <c r="A877"/>
  <c r="B877"/>
  <c r="C877"/>
  <c r="A878"/>
  <c r="B878"/>
  <c r="C878"/>
  <c r="A879"/>
  <c r="B879"/>
  <c r="C879"/>
  <c r="A880"/>
  <c r="B880"/>
  <c r="C880"/>
  <c r="B221" i="4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C220"/>
  <c r="D220"/>
  <c r="B220"/>
  <c r="G278" i="16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77"/>
  <c r="H277" s="1"/>
  <c r="G276"/>
  <c r="H276" s="1"/>
  <c r="G275"/>
  <c r="H275" s="1"/>
  <c r="O213" i="4"/>
  <c r="T878" i="7" l="1"/>
  <c r="T877"/>
  <c r="T879"/>
  <c r="T880"/>
  <c r="E871"/>
  <c r="E864"/>
  <c r="E880"/>
  <c r="E870"/>
  <c r="E872"/>
  <c r="E863"/>
  <c r="E866"/>
  <c r="E876"/>
  <c r="E875"/>
  <c r="E869"/>
  <c r="E879"/>
  <c r="E868"/>
  <c r="E878"/>
  <c r="E874"/>
  <c r="E867"/>
  <c r="E877"/>
  <c r="E873"/>
  <c r="E865"/>
  <c r="T864"/>
  <c r="T867"/>
  <c r="T876"/>
  <c r="T873"/>
  <c r="I870" l="1"/>
  <c r="U870" s="1"/>
  <c r="I864"/>
  <c r="U864" s="1"/>
  <c r="I879"/>
  <c r="U879" s="1"/>
  <c r="I871"/>
  <c r="U871" s="1"/>
  <c r="I865"/>
  <c r="U865" s="1"/>
  <c r="I868"/>
  <c r="U868" s="1"/>
  <c r="I869"/>
  <c r="U869" s="1"/>
  <c r="I877"/>
  <c r="U877" s="1"/>
  <c r="I866"/>
  <c r="U866" s="1"/>
  <c r="I875"/>
  <c r="U875" s="1"/>
  <c r="I863"/>
  <c r="U863" s="1"/>
  <c r="I880"/>
  <c r="U880" s="1"/>
  <c r="I873"/>
  <c r="U873" s="1"/>
  <c r="I876"/>
  <c r="U876" s="1"/>
  <c r="I867"/>
  <c r="U867" s="1"/>
  <c r="I874"/>
  <c r="U874" s="1"/>
  <c r="I878"/>
  <c r="U878" s="1"/>
  <c r="I872"/>
  <c r="U872" s="1"/>
  <c r="C81" i="4"/>
  <c r="C82"/>
  <c r="C83"/>
  <c r="C80"/>
  <c r="G6" i="16" l="1"/>
  <c r="O552" i="4"/>
  <c r="H290" i="7" s="1"/>
  <c r="T290" s="1"/>
  <c r="O553" i="4"/>
  <c r="H291" i="7" s="1"/>
  <c r="T291" s="1"/>
  <c r="A862"/>
  <c r="B862"/>
  <c r="C862"/>
  <c r="A856"/>
  <c r="B856"/>
  <c r="C856"/>
  <c r="A857"/>
  <c r="B857"/>
  <c r="C857"/>
  <c r="A858"/>
  <c r="B858"/>
  <c r="C858"/>
  <c r="A859"/>
  <c r="B859"/>
  <c r="C859"/>
  <c r="A860"/>
  <c r="B860"/>
  <c r="C860"/>
  <c r="A861"/>
  <c r="B861"/>
  <c r="C861"/>
  <c r="A836"/>
  <c r="B836"/>
  <c r="C836"/>
  <c r="A837"/>
  <c r="B837"/>
  <c r="C837"/>
  <c r="A838"/>
  <c r="B838"/>
  <c r="C838"/>
  <c r="A839"/>
  <c r="B839"/>
  <c r="C839"/>
  <c r="A840"/>
  <c r="B840"/>
  <c r="C840"/>
  <c r="A841"/>
  <c r="B841"/>
  <c r="C841"/>
  <c r="A842"/>
  <c r="B842"/>
  <c r="C842"/>
  <c r="A843"/>
  <c r="B843"/>
  <c r="C843"/>
  <c r="A844"/>
  <c r="B844"/>
  <c r="C844"/>
  <c r="A845"/>
  <c r="B845"/>
  <c r="C845"/>
  <c r="A846"/>
  <c r="B846"/>
  <c r="C846"/>
  <c r="A847"/>
  <c r="B847"/>
  <c r="C847"/>
  <c r="A848"/>
  <c r="B848"/>
  <c r="C848"/>
  <c r="A849"/>
  <c r="B849"/>
  <c r="C849"/>
  <c r="A850"/>
  <c r="B850"/>
  <c r="C850"/>
  <c r="A851"/>
  <c r="B851"/>
  <c r="C851"/>
  <c r="A852"/>
  <c r="B852"/>
  <c r="C852"/>
  <c r="A853"/>
  <c r="B853"/>
  <c r="C853"/>
  <c r="A854"/>
  <c r="B854"/>
  <c r="C854"/>
  <c r="A855"/>
  <c r="B855"/>
  <c r="C855"/>
  <c r="B835"/>
  <c r="C835"/>
  <c r="A835"/>
  <c r="A307"/>
  <c r="B307"/>
  <c r="C307"/>
  <c r="A308"/>
  <c r="B308"/>
  <c r="C308"/>
  <c r="A309"/>
  <c r="B309"/>
  <c r="C309"/>
  <c r="A310"/>
  <c r="B310"/>
  <c r="C310"/>
  <c r="A311"/>
  <c r="B311"/>
  <c r="C311"/>
  <c r="A312"/>
  <c r="B312"/>
  <c r="C312"/>
  <c r="B306"/>
  <c r="C306"/>
  <c r="A306"/>
  <c r="O192" i="4"/>
  <c r="H835" i="7" s="1"/>
  <c r="T835" s="1"/>
  <c r="O193" i="4"/>
  <c r="H836" i="7" s="1"/>
  <c r="O194" i="4"/>
  <c r="H837" i="7" s="1"/>
  <c r="O195" i="4"/>
  <c r="H838" i="7" s="1"/>
  <c r="O196" i="4"/>
  <c r="H839" i="7" s="1"/>
  <c r="T839" s="1"/>
  <c r="O197" i="4"/>
  <c r="H840" i="7" s="1"/>
  <c r="O198" i="4"/>
  <c r="H841" i="7" s="1"/>
  <c r="O199" i="4"/>
  <c r="H842" i="7" s="1"/>
  <c r="T842" s="1"/>
  <c r="O200" i="4"/>
  <c r="H843" i="7" s="1"/>
  <c r="T843" s="1"/>
  <c r="O201" i="4"/>
  <c r="H844" i="7" s="1"/>
  <c r="O202" i="4"/>
  <c r="H845" i="7" s="1"/>
  <c r="O203" i="4"/>
  <c r="H846" i="7" s="1"/>
  <c r="O204" i="4"/>
  <c r="H847" i="7" s="1"/>
  <c r="T847" s="1"/>
  <c r="O205" i="4"/>
  <c r="H848" i="7" s="1"/>
  <c r="T848" s="1"/>
  <c r="O206" i="4"/>
  <c r="H849" i="7" s="1"/>
  <c r="O207" i="4"/>
  <c r="H850" i="7" s="1"/>
  <c r="T850" s="1"/>
  <c r="O208" i="4"/>
  <c r="H851" i="7" s="1"/>
  <c r="O209" i="4"/>
  <c r="H852" i="7" s="1"/>
  <c r="T852" s="1"/>
  <c r="O210" i="4"/>
  <c r="H853" i="7" s="1"/>
  <c r="T853" s="1"/>
  <c r="O211" i="4"/>
  <c r="H854" i="7" s="1"/>
  <c r="T854" s="1"/>
  <c r="O212" i="4"/>
  <c r="H855" i="7" s="1"/>
  <c r="H856"/>
  <c r="O214" i="4"/>
  <c r="H857" i="7" s="1"/>
  <c r="T857" s="1"/>
  <c r="O215" i="4"/>
  <c r="H858" i="7" s="1"/>
  <c r="O216" i="4"/>
  <c r="H859" i="7" s="1"/>
  <c r="T859" s="1"/>
  <c r="O217" i="4"/>
  <c r="H860" i="7" s="1"/>
  <c r="T860" s="1"/>
  <c r="O218" i="4"/>
  <c r="H861" i="7" s="1"/>
  <c r="O219" i="4"/>
  <c r="H862" i="7" s="1"/>
  <c r="O102" i="4"/>
  <c r="H306" i="7" s="1"/>
  <c r="T306" s="1"/>
  <c r="O103" i="4"/>
  <c r="H307" i="7" s="1"/>
  <c r="T307" s="1"/>
  <c r="O104" i="4"/>
  <c r="H308" i="7" s="1"/>
  <c r="T308" s="1"/>
  <c r="O105" i="4"/>
  <c r="H309" i="7" s="1"/>
  <c r="T309" s="1"/>
  <c r="O106" i="4"/>
  <c r="H310" i="7" s="1"/>
  <c r="T310" s="1"/>
  <c r="O107" i="4"/>
  <c r="H311" i="7" s="1"/>
  <c r="T311" s="1"/>
  <c r="O108" i="4"/>
  <c r="H312" i="7" s="1"/>
  <c r="T312" s="1"/>
  <c r="G274" i="16"/>
  <c r="H274" s="1"/>
  <c r="E862" i="7" s="1"/>
  <c r="I862" s="1"/>
  <c r="G273" i="16"/>
  <c r="H273" s="1"/>
  <c r="E861" i="7" s="1"/>
  <c r="G272" i="16"/>
  <c r="H272" s="1"/>
  <c r="E860" i="7" s="1"/>
  <c r="I860" s="1"/>
  <c r="G271" i="16"/>
  <c r="H271" s="1"/>
  <c r="E859" i="7" s="1"/>
  <c r="G270" i="16"/>
  <c r="H270" s="1"/>
  <c r="E858" i="7" s="1"/>
  <c r="G269" i="16"/>
  <c r="H269" s="1"/>
  <c r="E857" i="7" s="1"/>
  <c r="G268" i="16"/>
  <c r="H268" s="1"/>
  <c r="E856" i="7" s="1"/>
  <c r="G267" i="16"/>
  <c r="H267" s="1"/>
  <c r="E855" i="7" s="1"/>
  <c r="G266" i="16"/>
  <c r="H266" s="1"/>
  <c r="E854" i="7" s="1"/>
  <c r="I854" s="1"/>
  <c r="G265" i="16"/>
  <c r="H265" s="1"/>
  <c r="E853" i="7" s="1"/>
  <c r="G264" i="16"/>
  <c r="H264" s="1"/>
  <c r="E852" i="7" s="1"/>
  <c r="I852" s="1"/>
  <c r="G263" i="16"/>
  <c r="H263" s="1"/>
  <c r="E851" i="7" s="1"/>
  <c r="I851" s="1"/>
  <c r="G262" i="16"/>
  <c r="H262" s="1"/>
  <c r="E850" i="7" s="1"/>
  <c r="I850" s="1"/>
  <c r="G261" i="16"/>
  <c r="H261" s="1"/>
  <c r="E849" i="7" s="1"/>
  <c r="G260" i="16"/>
  <c r="H260" s="1"/>
  <c r="E848" i="7" s="1"/>
  <c r="G259" i="16"/>
  <c r="H259" s="1"/>
  <c r="E847" i="7" s="1"/>
  <c r="G258" i="16"/>
  <c r="H258" s="1"/>
  <c r="E846" i="7" s="1"/>
  <c r="G257" i="16"/>
  <c r="H257" s="1"/>
  <c r="E845" i="7" s="1"/>
  <c r="G256" i="16"/>
  <c r="H256" s="1"/>
  <c r="E844" i="7" s="1"/>
  <c r="I844" s="1"/>
  <c r="G255" i="16"/>
  <c r="H255" s="1"/>
  <c r="E843" i="7" s="1"/>
  <c r="G254" i="16"/>
  <c r="H254" s="1"/>
  <c r="E842" i="7" s="1"/>
  <c r="I842" s="1"/>
  <c r="G253" i="16"/>
  <c r="H253" s="1"/>
  <c r="E841" i="7" s="1"/>
  <c r="G252" i="16"/>
  <c r="H252" s="1"/>
  <c r="E840" i="7" s="1"/>
  <c r="G251" i="16"/>
  <c r="H251" s="1"/>
  <c r="E839" i="7" s="1"/>
  <c r="G250" i="16"/>
  <c r="H250" s="1"/>
  <c r="E838" i="7" s="1"/>
  <c r="I838" s="1"/>
  <c r="G249" i="16"/>
  <c r="H249" s="1"/>
  <c r="E837" i="7" s="1"/>
  <c r="H248" i="16"/>
  <c r="E836" i="7" s="1"/>
  <c r="I836" s="1"/>
  <c r="H247" i="16"/>
  <c r="E835" i="7" s="1"/>
  <c r="I835" s="1"/>
  <c r="G328" i="15"/>
  <c r="H328" s="1"/>
  <c r="E312" i="7" s="1"/>
  <c r="G327" i="15"/>
  <c r="H327" s="1"/>
  <c r="E311" i="7" s="1"/>
  <c r="G326" i="15"/>
  <c r="H326" s="1"/>
  <c r="E310" i="7" s="1"/>
  <c r="G325" i="15"/>
  <c r="H325" s="1"/>
  <c r="E309" i="7" s="1"/>
  <c r="G324" i="15"/>
  <c r="H324" s="1"/>
  <c r="E308" i="7" s="1"/>
  <c r="G323" i="15"/>
  <c r="H323" s="1"/>
  <c r="E307" i="7" s="1"/>
  <c r="G322" i="15"/>
  <c r="H322" s="1"/>
  <c r="E306" i="7" s="1"/>
  <c r="I837" l="1"/>
  <c r="U837" s="1"/>
  <c r="I845"/>
  <c r="U845" s="1"/>
  <c r="I853"/>
  <c r="U853" s="1"/>
  <c r="I861"/>
  <c r="U861" s="1"/>
  <c r="I311"/>
  <c r="U311" s="1"/>
  <c r="I312"/>
  <c r="U312" s="1"/>
  <c r="I846"/>
  <c r="U846" s="1"/>
  <c r="I858"/>
  <c r="U858" s="1"/>
  <c r="I843"/>
  <c r="U843" s="1"/>
  <c r="I859"/>
  <c r="U859" s="1"/>
  <c r="I307"/>
  <c r="U307" s="1"/>
  <c r="I306"/>
  <c r="U306" s="1"/>
  <c r="I839"/>
  <c r="U839" s="1"/>
  <c r="I841"/>
  <c r="U841" s="1"/>
  <c r="I849"/>
  <c r="I310"/>
  <c r="U310" s="1"/>
  <c r="I848"/>
  <c r="U848" s="1"/>
  <c r="I857"/>
  <c r="U857" s="1"/>
  <c r="I840"/>
  <c r="U840" s="1"/>
  <c r="I856"/>
  <c r="U856" s="1"/>
  <c r="I309"/>
  <c r="U309" s="1"/>
  <c r="I847"/>
  <c r="U847" s="1"/>
  <c r="I855"/>
  <c r="U855" s="1"/>
  <c r="I308"/>
  <c r="U308" s="1"/>
  <c r="U854"/>
  <c r="U860"/>
  <c r="U835"/>
  <c r="U844"/>
  <c r="U838"/>
  <c r="U851"/>
  <c r="U850"/>
  <c r="T856"/>
  <c r="U849"/>
  <c r="T838"/>
  <c r="U836"/>
  <c r="T851"/>
  <c r="T846"/>
  <c r="U842"/>
  <c r="T855"/>
  <c r="T837"/>
  <c r="U862"/>
  <c r="T862"/>
  <c r="T858"/>
  <c r="T845"/>
  <c r="T841"/>
  <c r="T836"/>
  <c r="U852"/>
  <c r="T861"/>
  <c r="T849"/>
  <c r="T844"/>
  <c r="T840"/>
  <c r="O551" i="4"/>
  <c r="E861" i="5" s="1"/>
  <c r="K861" s="1"/>
  <c r="O550" i="4"/>
  <c r="E637" i="5" s="1"/>
  <c r="K862"/>
  <c r="J862"/>
  <c r="H862"/>
  <c r="H863" s="1"/>
  <c r="F862"/>
  <c r="J861"/>
  <c r="H861"/>
  <c r="F857"/>
  <c r="F856"/>
  <c r="H857"/>
  <c r="H856"/>
  <c r="K857"/>
  <c r="J857"/>
  <c r="G855"/>
  <c r="H855" s="1"/>
  <c r="G854"/>
  <c r="H854" s="1"/>
  <c r="J855"/>
  <c r="F855"/>
  <c r="J854"/>
  <c r="F854"/>
  <c r="G848"/>
  <c r="H848" s="1"/>
  <c r="G847"/>
  <c r="G846"/>
  <c r="H846" s="1"/>
  <c r="I850"/>
  <c r="J850" s="1"/>
  <c r="H850"/>
  <c r="I849"/>
  <c r="J849" s="1"/>
  <c r="H849"/>
  <c r="I848"/>
  <c r="J848" s="1"/>
  <c r="F848"/>
  <c r="I847"/>
  <c r="J847" s="1"/>
  <c r="I846"/>
  <c r="J846" s="1"/>
  <c r="I845"/>
  <c r="J845" s="1"/>
  <c r="H845"/>
  <c r="I844"/>
  <c r="J844" s="1"/>
  <c r="H844"/>
  <c r="I843"/>
  <c r="J843" s="1"/>
  <c r="H843"/>
  <c r="I842"/>
  <c r="J842" s="1"/>
  <c r="H842"/>
  <c r="I841"/>
  <c r="J841" s="1"/>
  <c r="H841"/>
  <c r="J837"/>
  <c r="J836"/>
  <c r="J835"/>
  <c r="J834"/>
  <c r="J833"/>
  <c r="J832"/>
  <c r="J831"/>
  <c r="J830"/>
  <c r="G836"/>
  <c r="H836" s="1"/>
  <c r="G835"/>
  <c r="H835" s="1"/>
  <c r="G834"/>
  <c r="H834" s="1"/>
  <c r="G833"/>
  <c r="H833" s="1"/>
  <c r="H837"/>
  <c r="H832"/>
  <c r="H831"/>
  <c r="H830"/>
  <c r="O548" i="4"/>
  <c r="E835" i="5" s="1"/>
  <c r="O549" i="4"/>
  <c r="E836" i="5" s="1"/>
  <c r="F836" s="1"/>
  <c r="O547" i="4"/>
  <c r="E834" i="5" s="1"/>
  <c r="K834" s="1"/>
  <c r="O545" i="4"/>
  <c r="E832" i="5" s="1"/>
  <c r="K832" s="1"/>
  <c r="O546" i="4"/>
  <c r="E833" i="5" s="1"/>
  <c r="O544" i="4"/>
  <c r="E831" i="5" s="1"/>
  <c r="F831" s="1"/>
  <c r="O543" i="4"/>
  <c r="E830" i="5" s="1"/>
  <c r="K830" s="1"/>
  <c r="J825"/>
  <c r="J824"/>
  <c r="J823"/>
  <c r="H826"/>
  <c r="G825"/>
  <c r="H825" s="1"/>
  <c r="G824"/>
  <c r="H824" s="1"/>
  <c r="H823"/>
  <c r="F826"/>
  <c r="F825"/>
  <c r="F824"/>
  <c r="J819"/>
  <c r="J818"/>
  <c r="G818"/>
  <c r="H818" s="1"/>
  <c r="G819" s="1"/>
  <c r="F819"/>
  <c r="F818"/>
  <c r="J814"/>
  <c r="J811"/>
  <c r="J809"/>
  <c r="G811"/>
  <c r="H811" s="1"/>
  <c r="F814"/>
  <c r="F811"/>
  <c r="H809"/>
  <c r="O542" i="4"/>
  <c r="E809" i="5" s="1"/>
  <c r="F809" s="1"/>
  <c r="E810" s="1"/>
  <c r="J805"/>
  <c r="H805"/>
  <c r="F805"/>
  <c r="H804"/>
  <c r="J804"/>
  <c r="J803"/>
  <c r="J802"/>
  <c r="H803"/>
  <c r="H802"/>
  <c r="F804"/>
  <c r="O541" i="4"/>
  <c r="E802" i="5" s="1"/>
  <c r="K802" s="1"/>
  <c r="J815" l="1"/>
  <c r="F810"/>
  <c r="L810" s="1"/>
  <c r="K810"/>
  <c r="G814"/>
  <c r="H814" s="1"/>
  <c r="H815" s="1"/>
  <c r="J863"/>
  <c r="J129" i="6" s="1"/>
  <c r="H129"/>
  <c r="L821" i="7" s="1"/>
  <c r="J820" i="5"/>
  <c r="J124" i="6" s="1"/>
  <c r="J838" i="5"/>
  <c r="J126" i="6" s="1"/>
  <c r="J806" i="5"/>
  <c r="J122" i="6" s="1"/>
  <c r="K835" i="5"/>
  <c r="L831"/>
  <c r="F861"/>
  <c r="F863" s="1"/>
  <c r="L824"/>
  <c r="L825"/>
  <c r="F858"/>
  <c r="F128" i="6" s="1"/>
  <c r="H467" i="7" s="1"/>
  <c r="J123" i="6"/>
  <c r="I856" i="5"/>
  <c r="H858"/>
  <c r="H128" i="6" s="1"/>
  <c r="L467" i="7" s="1"/>
  <c r="K850" i="5"/>
  <c r="L862"/>
  <c r="L857"/>
  <c r="K847"/>
  <c r="H847"/>
  <c r="H851" s="1"/>
  <c r="H127" i="6" s="1"/>
  <c r="L245" i="7" s="1"/>
  <c r="K849" i="5"/>
  <c r="K846"/>
  <c r="K854"/>
  <c r="L855"/>
  <c r="K855"/>
  <c r="L854"/>
  <c r="L848"/>
  <c r="J851"/>
  <c r="J127" i="6" s="1"/>
  <c r="F849" i="5"/>
  <c r="L849" s="1"/>
  <c r="F847"/>
  <c r="F846"/>
  <c r="L846" s="1"/>
  <c r="F850"/>
  <c r="L850" s="1"/>
  <c r="K848"/>
  <c r="F830"/>
  <c r="L830" s="1"/>
  <c r="K831"/>
  <c r="K833"/>
  <c r="F833"/>
  <c r="L833" s="1"/>
  <c r="F835"/>
  <c r="L835" s="1"/>
  <c r="L836"/>
  <c r="H838"/>
  <c r="H126" i="6" s="1"/>
  <c r="L244" i="7" s="1"/>
  <c r="F832" i="5"/>
  <c r="L832" s="1"/>
  <c r="K836"/>
  <c r="F834"/>
  <c r="L834" s="1"/>
  <c r="H819"/>
  <c r="H820" s="1"/>
  <c r="H124" i="6" s="1"/>
  <c r="L169" i="7" s="1"/>
  <c r="K811" i="5"/>
  <c r="H827"/>
  <c r="H125" i="6" s="1"/>
  <c r="L192" i="7" s="1"/>
  <c r="K824" i="5"/>
  <c r="K805"/>
  <c r="K818"/>
  <c r="I826"/>
  <c r="K825"/>
  <c r="K809"/>
  <c r="F820"/>
  <c r="F124" i="6" s="1"/>
  <c r="H169" i="7" s="1"/>
  <c r="L818" i="5"/>
  <c r="L811"/>
  <c r="L809"/>
  <c r="H806"/>
  <c r="H122" i="6" s="1"/>
  <c r="L31" i="7" s="1"/>
  <c r="L804" i="5"/>
  <c r="E803"/>
  <c r="K803" s="1"/>
  <c r="F802"/>
  <c r="L802" s="1"/>
  <c r="L805"/>
  <c r="K804"/>
  <c r="T32" i="7"/>
  <c r="T33"/>
  <c r="M32"/>
  <c r="M33"/>
  <c r="M34"/>
  <c r="I32"/>
  <c r="I33"/>
  <c r="I34"/>
  <c r="O431" i="4"/>
  <c r="H822" i="7" s="1"/>
  <c r="F815" i="5" l="1"/>
  <c r="F123" i="6" s="1"/>
  <c r="H168" i="7" s="1"/>
  <c r="H123" i="6"/>
  <c r="L168" i="7" s="1"/>
  <c r="T169"/>
  <c r="U33"/>
  <c r="U32"/>
  <c r="L861" i="5"/>
  <c r="K856"/>
  <c r="J856"/>
  <c r="L847"/>
  <c r="L814"/>
  <c r="L815" s="1"/>
  <c r="K814"/>
  <c r="K819"/>
  <c r="L819"/>
  <c r="L820" s="1"/>
  <c r="L124" i="6"/>
  <c r="J826" i="5"/>
  <c r="K826"/>
  <c r="F803"/>
  <c r="L803" s="1"/>
  <c r="L806" s="1"/>
  <c r="T822" i="7"/>
  <c r="L1086"/>
  <c r="T1086" s="1"/>
  <c r="G480" i="16"/>
  <c r="H480" s="1"/>
  <c r="E1083" i="7" s="1"/>
  <c r="G481" i="16"/>
  <c r="H481" s="1"/>
  <c r="E1084" i="7" s="1"/>
  <c r="G482" i="16"/>
  <c r="H482" s="1"/>
  <c r="E1085" i="7" s="1"/>
  <c r="G483" i="16"/>
  <c r="H483" s="1"/>
  <c r="E1086" i="7" s="1"/>
  <c r="B1084"/>
  <c r="C1084"/>
  <c r="B1085"/>
  <c r="C1085"/>
  <c r="B1086"/>
  <c r="C1086"/>
  <c r="A1084"/>
  <c r="A1085"/>
  <c r="A1086"/>
  <c r="B1083"/>
  <c r="C1083"/>
  <c r="A1083"/>
  <c r="G241" i="16"/>
  <c r="H241" s="1"/>
  <c r="E823" i="7" s="1"/>
  <c r="Q247"/>
  <c r="U247" s="1"/>
  <c r="T247"/>
  <c r="G214" i="16"/>
  <c r="G112"/>
  <c r="G159"/>
  <c r="G162"/>
  <c r="G161"/>
  <c r="G160"/>
  <c r="G133"/>
  <c r="G137"/>
  <c r="H137" s="1"/>
  <c r="G131"/>
  <c r="G135"/>
  <c r="G134"/>
  <c r="G132"/>
  <c r="G130"/>
  <c r="G129"/>
  <c r="G128"/>
  <c r="G127"/>
  <c r="G126"/>
  <c r="G125"/>
  <c r="H6"/>
  <c r="E467" i="7" s="1"/>
  <c r="L123" i="6" l="1"/>
  <c r="T168" i="7"/>
  <c r="M1084"/>
  <c r="I467"/>
  <c r="M467"/>
  <c r="M1086"/>
  <c r="I1086"/>
  <c r="M1083"/>
  <c r="M1085"/>
  <c r="E822"/>
  <c r="F129" i="6"/>
  <c r="L863" i="5"/>
  <c r="J858"/>
  <c r="J128" i="6" s="1"/>
  <c r="L856" i="5"/>
  <c r="L858" s="1"/>
  <c r="F806"/>
  <c r="F122" i="6" s="1"/>
  <c r="H31" i="7" s="1"/>
  <c r="T31" s="1"/>
  <c r="L826" i="5"/>
  <c r="J827"/>
  <c r="J125" i="6" s="1"/>
  <c r="H135" i="16"/>
  <c r="E582" i="7" s="1"/>
  <c r="H162" i="16"/>
  <c r="E588" i="7" s="1"/>
  <c r="H131" i="16"/>
  <c r="E581" i="7" s="1"/>
  <c r="U1086" l="1"/>
  <c r="I822"/>
  <c r="M822"/>
  <c r="L129" i="6"/>
  <c r="H821" i="7"/>
  <c r="P467"/>
  <c r="Q467" s="1"/>
  <c r="L128" i="6"/>
  <c r="L122"/>
  <c r="P192" i="7"/>
  <c r="U822" l="1"/>
  <c r="T821"/>
  <c r="U467"/>
  <c r="T467"/>
  <c r="A168"/>
  <c r="B168"/>
  <c r="A169"/>
  <c r="B169"/>
  <c r="B167"/>
  <c r="A167"/>
  <c r="G188" i="15"/>
  <c r="G379"/>
  <c r="H379" s="1"/>
  <c r="E370" i="7" s="1"/>
  <c r="G380" i="15"/>
  <c r="H380" s="1"/>
  <c r="E371" i="7" s="1"/>
  <c r="G381" i="15"/>
  <c r="H381" s="1"/>
  <c r="E372" i="7" s="1"/>
  <c r="G300" i="15"/>
  <c r="H300" s="1"/>
  <c r="E298" i="7" s="1"/>
  <c r="G284" i="15"/>
  <c r="G285"/>
  <c r="G286"/>
  <c r="G287"/>
  <c r="G288"/>
  <c r="G289"/>
  <c r="G292"/>
  <c r="H292" s="1"/>
  <c r="E290" i="7" s="1"/>
  <c r="G293" i="15"/>
  <c r="H293" s="1"/>
  <c r="E291" i="7" s="1"/>
  <c r="G290" i="15"/>
  <c r="G291"/>
  <c r="G294"/>
  <c r="G295"/>
  <c r="G296"/>
  <c r="G297"/>
  <c r="G298"/>
  <c r="G283"/>
  <c r="G269"/>
  <c r="G273"/>
  <c r="H273" s="1"/>
  <c r="E245" i="7" s="1"/>
  <c r="G272" i="15"/>
  <c r="H272" s="1"/>
  <c r="E244" i="7" s="1"/>
  <c r="G271" i="15"/>
  <c r="H271" s="1"/>
  <c r="E243" i="7" s="1"/>
  <c r="G270" i="15"/>
  <c r="H270" s="1"/>
  <c r="E242" i="7" s="1"/>
  <c r="G265" i="15"/>
  <c r="H265" s="1"/>
  <c r="E237" i="7" s="1"/>
  <c r="G268" i="15"/>
  <c r="H268" s="1"/>
  <c r="E240" i="7" s="1"/>
  <c r="G264" i="15"/>
  <c r="H264" s="1"/>
  <c r="E236" i="7" s="1"/>
  <c r="G280" i="15"/>
  <c r="H280" s="1"/>
  <c r="E261" i="7" s="1"/>
  <c r="G209" i="15"/>
  <c r="H209" s="1"/>
  <c r="E169" i="7" s="1"/>
  <c r="G208" i="15"/>
  <c r="H208" s="1"/>
  <c r="E168" i="7" s="1"/>
  <c r="G207" i="15"/>
  <c r="H207" s="1"/>
  <c r="E167" i="7" s="1"/>
  <c r="G250" i="15"/>
  <c r="G252"/>
  <c r="G251"/>
  <c r="G249"/>
  <c r="G248"/>
  <c r="G247"/>
  <c r="G246"/>
  <c r="G245"/>
  <c r="G244"/>
  <c r="G243"/>
  <c r="G241"/>
  <c r="G240"/>
  <c r="G239"/>
  <c r="G238"/>
  <c r="G227"/>
  <c r="G226"/>
  <c r="G218"/>
  <c r="G197"/>
  <c r="G191"/>
  <c r="G185"/>
  <c r="G183"/>
  <c r="G178"/>
  <c r="G181"/>
  <c r="H181" s="1"/>
  <c r="E122" i="7" s="1"/>
  <c r="G180" i="15"/>
  <c r="H180" s="1"/>
  <c r="E121" i="7" s="1"/>
  <c r="G193" i="15"/>
  <c r="H193" s="1"/>
  <c r="E127" i="7" s="1"/>
  <c r="G160" i="15"/>
  <c r="G159"/>
  <c r="G158"/>
  <c r="G157"/>
  <c r="G152"/>
  <c r="G146"/>
  <c r="H146" s="1"/>
  <c r="E56" i="7" s="1"/>
  <c r="G141" i="15"/>
  <c r="G139"/>
  <c r="G135"/>
  <c r="H132"/>
  <c r="E31" i="7" s="1"/>
  <c r="G130" i="15"/>
  <c r="H130" s="1"/>
  <c r="E29" i="7" s="1"/>
  <c r="M169" l="1"/>
  <c r="I169"/>
  <c r="M245"/>
  <c r="Q245"/>
  <c r="Q236"/>
  <c r="M291"/>
  <c r="I291"/>
  <c r="Q291"/>
  <c r="I31"/>
  <c r="M31"/>
  <c r="Q240"/>
  <c r="M290"/>
  <c r="Q290"/>
  <c r="I290"/>
  <c r="Q261"/>
  <c r="M168"/>
  <c r="I168"/>
  <c r="M244"/>
  <c r="Q244"/>
  <c r="H252" i="15"/>
  <c r="E199" i="7" s="1"/>
  <c r="H248" i="15"/>
  <c r="E198" i="7" s="1"/>
  <c r="H160" i="15"/>
  <c r="E61" i="7" s="1"/>
  <c r="U168" l="1"/>
  <c r="U290"/>
  <c r="U169"/>
  <c r="U31"/>
  <c r="Q199"/>
  <c r="U291"/>
  <c r="G114" i="15"/>
  <c r="G50"/>
  <c r="G38"/>
  <c r="G111"/>
  <c r="G112"/>
  <c r="H112" l="1"/>
  <c r="E1154" i="7" s="1"/>
  <c r="O405" i="4"/>
  <c r="H1069" i="7" s="1"/>
  <c r="O406" i="4"/>
  <c r="H1070" i="7" s="1"/>
  <c r="O408" i="4"/>
  <c r="H1072" i="7" s="1"/>
  <c r="O412" i="4"/>
  <c r="H1076" i="7" s="1"/>
  <c r="O413" i="4"/>
  <c r="H1077" i="7" s="1"/>
  <c r="O414" i="4"/>
  <c r="H1078" i="7" s="1"/>
  <c r="O416" i="4"/>
  <c r="H1080" i="7" s="1"/>
  <c r="O418" i="4"/>
  <c r="H1082" i="7" s="1"/>
  <c r="O417" i="4"/>
  <c r="H1081" i="7" s="1"/>
  <c r="O415" i="4"/>
  <c r="H1079" i="7" s="1"/>
  <c r="O411" i="4"/>
  <c r="H1075" i="7" s="1"/>
  <c r="O410" i="4"/>
  <c r="H1074" i="7" s="1"/>
  <c r="O409" i="4"/>
  <c r="H1073" i="7" s="1"/>
  <c r="O407" i="4"/>
  <c r="H1071" i="7" s="1"/>
  <c r="O404" i="4"/>
  <c r="H1068" i="7" s="1"/>
  <c r="G478" i="16"/>
  <c r="H478" s="1"/>
  <c r="E1081" i="7" s="1"/>
  <c r="G477" i="16"/>
  <c r="H477" s="1"/>
  <c r="E1080" i="7" s="1"/>
  <c r="G476" i="16"/>
  <c r="H476" s="1"/>
  <c r="E1079" i="7" s="1"/>
  <c r="G479" i="16"/>
  <c r="H479" s="1"/>
  <c r="E1082" i="7" s="1"/>
  <c r="O358" i="4"/>
  <c r="H1022" i="7" s="1"/>
  <c r="O312" i="4"/>
  <c r="H976" i="7" s="1"/>
  <c r="O320" i="4"/>
  <c r="H984" i="7" s="1"/>
  <c r="O328" i="4"/>
  <c r="H992" i="7" s="1"/>
  <c r="O336" i="4"/>
  <c r="H1000" i="7" s="1"/>
  <c r="O344" i="4"/>
  <c r="H1008" i="7" s="1"/>
  <c r="O349" i="4"/>
  <c r="H1013" i="7" s="1"/>
  <c r="O348" i="4"/>
  <c r="H1012" i="7" s="1"/>
  <c r="O347" i="4"/>
  <c r="H1011" i="7" s="1"/>
  <c r="O346" i="4"/>
  <c r="H1010" i="7" s="1"/>
  <c r="O345" i="4"/>
  <c r="H1009" i="7" s="1"/>
  <c r="O343" i="4"/>
  <c r="H1007" i="7" s="1"/>
  <c r="O342" i="4"/>
  <c r="H1006" i="7" s="1"/>
  <c r="O341" i="4"/>
  <c r="H1005" i="7" s="1"/>
  <c r="O340" i="4"/>
  <c r="H1004" i="7" s="1"/>
  <c r="O339" i="4"/>
  <c r="H1003" i="7" s="1"/>
  <c r="O338" i="4"/>
  <c r="H1002" i="7" s="1"/>
  <c r="O337" i="4"/>
  <c r="H1001" i="7" s="1"/>
  <c r="O308" i="4"/>
  <c r="H972" i="7" s="1"/>
  <c r="O307" i="4"/>
  <c r="H971" i="7" s="1"/>
  <c r="O306" i="4"/>
  <c r="H970" i="7" s="1"/>
  <c r="O305" i="4"/>
  <c r="H969" i="7" s="1"/>
  <c r="O304" i="4"/>
  <c r="H968" i="7" s="1"/>
  <c r="O303" i="4"/>
  <c r="H967" i="7" s="1"/>
  <c r="O302" i="4"/>
  <c r="H966" i="7" s="1"/>
  <c r="O360" i="4"/>
  <c r="H1024" i="7" s="1"/>
  <c r="O359" i="4"/>
  <c r="H1023" i="7" s="1"/>
  <c r="O357" i="4"/>
  <c r="H1021" i="7" s="1"/>
  <c r="O356" i="4"/>
  <c r="H1020" i="7" s="1"/>
  <c r="O355" i="4"/>
  <c r="H1019" i="7" s="1"/>
  <c r="O354" i="4"/>
  <c r="H1018" i="7" s="1"/>
  <c r="O353" i="4"/>
  <c r="H1017" i="7" s="1"/>
  <c r="O352" i="4"/>
  <c r="H1016" i="7" s="1"/>
  <c r="O351" i="4"/>
  <c r="H1015" i="7" s="1"/>
  <c r="O350" i="4"/>
  <c r="H1014" i="7" s="1"/>
  <c r="O335" i="4"/>
  <c r="H999" i="7" s="1"/>
  <c r="O334" i="4"/>
  <c r="H998" i="7" s="1"/>
  <c r="O333" i="4"/>
  <c r="H997" i="7" s="1"/>
  <c r="O332" i="4"/>
  <c r="H996" i="7" s="1"/>
  <c r="O331" i="4"/>
  <c r="H995" i="7" s="1"/>
  <c r="O330" i="4"/>
  <c r="H994" i="7" s="1"/>
  <c r="O329" i="4"/>
  <c r="H993" i="7" s="1"/>
  <c r="O327" i="4"/>
  <c r="H991" i="7" s="1"/>
  <c r="O326" i="4"/>
  <c r="H990" i="7" s="1"/>
  <c r="O325" i="4"/>
  <c r="H989" i="7" s="1"/>
  <c r="O324" i="4"/>
  <c r="H988" i="7" s="1"/>
  <c r="O323" i="4"/>
  <c r="H987" i="7" s="1"/>
  <c r="O322" i="4"/>
  <c r="H986" i="7" s="1"/>
  <c r="O321" i="4"/>
  <c r="H985" i="7" s="1"/>
  <c r="O319" i="4"/>
  <c r="H983" i="7" s="1"/>
  <c r="O318" i="4"/>
  <c r="H982" i="7" s="1"/>
  <c r="O317" i="4"/>
  <c r="H981" i="7" s="1"/>
  <c r="O316" i="4"/>
  <c r="H980" i="7" s="1"/>
  <c r="O315" i="4"/>
  <c r="H979" i="7" s="1"/>
  <c r="O314" i="4"/>
  <c r="H978" i="7" s="1"/>
  <c r="O313" i="4"/>
  <c r="H977" i="7" s="1"/>
  <c r="O311" i="4"/>
  <c r="H975" i="7" s="1"/>
  <c r="O310" i="4"/>
  <c r="H974" i="7" s="1"/>
  <c r="O309" i="4"/>
  <c r="H973" i="7" s="1"/>
  <c r="O301" i="4"/>
  <c r="H965" i="7" s="1"/>
  <c r="O300" i="4"/>
  <c r="H964" i="7" s="1"/>
  <c r="O299" i="4"/>
  <c r="H963" i="7" s="1"/>
  <c r="O298" i="4"/>
  <c r="H962" i="7" s="1"/>
  <c r="O297" i="4"/>
  <c r="H961" i="7" s="1"/>
  <c r="O296" i="4"/>
  <c r="H960" i="7" s="1"/>
  <c r="O295" i="4"/>
  <c r="H959" i="7" s="1"/>
  <c r="O294" i="4"/>
  <c r="H958" i="7" s="1"/>
  <c r="O293" i="4"/>
  <c r="H957" i="7" s="1"/>
  <c r="O292" i="4"/>
  <c r="H956" i="7" s="1"/>
  <c r="O291" i="4"/>
  <c r="H955" i="7" s="1"/>
  <c r="G455" i="16"/>
  <c r="H455" s="1"/>
  <c r="E1058" i="7" s="1"/>
  <c r="G454" i="16"/>
  <c r="H454" s="1"/>
  <c r="E1057" i="7" s="1"/>
  <c r="G453" i="16"/>
  <c r="H453" s="1"/>
  <c r="E1056" i="7" s="1"/>
  <c r="G452" i="16"/>
  <c r="H452" s="1"/>
  <c r="E1055" i="7" s="1"/>
  <c r="G451" i="16"/>
  <c r="H451" s="1"/>
  <c r="E1054" i="7" s="1"/>
  <c r="G450" i="16"/>
  <c r="H450" s="1"/>
  <c r="E1053" i="7" s="1"/>
  <c r="G449" i="16"/>
  <c r="H449" s="1"/>
  <c r="E1052" i="7" s="1"/>
  <c r="G448" i="16"/>
  <c r="H448" s="1"/>
  <c r="E1051" i="7" s="1"/>
  <c r="G447" i="16"/>
  <c r="H447" s="1"/>
  <c r="E1050" i="7" s="1"/>
  <c r="G446" i="16"/>
  <c r="H446" s="1"/>
  <c r="E1049" i="7" s="1"/>
  <c r="G445" i="16"/>
  <c r="H445" s="1"/>
  <c r="E1048" i="7" s="1"/>
  <c r="G444" i="16"/>
  <c r="H444" s="1"/>
  <c r="E1047" i="7" s="1"/>
  <c r="G443" i="16"/>
  <c r="H443" s="1"/>
  <c r="E1046" i="7" s="1"/>
  <c r="G442" i="16"/>
  <c r="H442" s="1"/>
  <c r="E1045" i="7" s="1"/>
  <c r="G441" i="16"/>
  <c r="H441" s="1"/>
  <c r="E1044" i="7" s="1"/>
  <c r="G440" i="16"/>
  <c r="H440" s="1"/>
  <c r="E1043" i="7" s="1"/>
  <c r="G471" i="16"/>
  <c r="H471" s="1"/>
  <c r="E1074" i="7" s="1"/>
  <c r="G470" i="16"/>
  <c r="H470" s="1"/>
  <c r="E1073" i="7" s="1"/>
  <c r="G469" i="16"/>
  <c r="H469" s="1"/>
  <c r="E1072" i="7" s="1"/>
  <c r="G468" i="16"/>
  <c r="H468" s="1"/>
  <c r="E1071" i="7" s="1"/>
  <c r="G467" i="16"/>
  <c r="H467" s="1"/>
  <c r="E1070" i="7" s="1"/>
  <c r="G466" i="16"/>
  <c r="H466" s="1"/>
  <c r="E1069" i="7" s="1"/>
  <c r="G465" i="16"/>
  <c r="H465" s="1"/>
  <c r="E1068" i="7" s="1"/>
  <c r="G464" i="16"/>
  <c r="H464" s="1"/>
  <c r="E1067" i="7" s="1"/>
  <c r="G463" i="16"/>
  <c r="H463" s="1"/>
  <c r="E1066" i="7" s="1"/>
  <c r="G462" i="16"/>
  <c r="H462" s="1"/>
  <c r="E1065" i="7" s="1"/>
  <c r="G461" i="16"/>
  <c r="H461" s="1"/>
  <c r="E1064" i="7" s="1"/>
  <c r="G460" i="16"/>
  <c r="H460" s="1"/>
  <c r="E1063" i="7" s="1"/>
  <c r="G459" i="16"/>
  <c r="H459" s="1"/>
  <c r="E1062" i="7" s="1"/>
  <c r="G458" i="16"/>
  <c r="H458" s="1"/>
  <c r="E1061" i="7" s="1"/>
  <c r="G457" i="16"/>
  <c r="H457" s="1"/>
  <c r="E1060" i="7" s="1"/>
  <c r="G456" i="16"/>
  <c r="H456" s="1"/>
  <c r="E1059" i="7" s="1"/>
  <c r="H345" i="16"/>
  <c r="E948" i="7" s="1"/>
  <c r="G346" i="16"/>
  <c r="H346" s="1"/>
  <c r="E949" i="7" s="1"/>
  <c r="G347" i="16"/>
  <c r="H347" s="1"/>
  <c r="E950" i="7" s="1"/>
  <c r="G348" i="16"/>
  <c r="H348" s="1"/>
  <c r="E951" i="7" s="1"/>
  <c r="G349" i="16"/>
  <c r="H349" s="1"/>
  <c r="E952" i="7" s="1"/>
  <c r="G363" i="16"/>
  <c r="H363" s="1"/>
  <c r="E966" i="7" s="1"/>
  <c r="G364" i="16"/>
  <c r="H364" s="1"/>
  <c r="E967" i="7" s="1"/>
  <c r="G365" i="16"/>
  <c r="H365" s="1"/>
  <c r="E968" i="7" s="1"/>
  <c r="G366" i="16"/>
  <c r="H366" s="1"/>
  <c r="E969" i="7" s="1"/>
  <c r="G367" i="16"/>
  <c r="H367" s="1"/>
  <c r="E970" i="7" s="1"/>
  <c r="G368" i="16"/>
  <c r="H368" s="1"/>
  <c r="E971" i="7" s="1"/>
  <c r="G369" i="16"/>
  <c r="H369" s="1"/>
  <c r="E972" i="7" s="1"/>
  <c r="G370" i="16"/>
  <c r="H370" s="1"/>
  <c r="E973" i="7" s="1"/>
  <c r="G371" i="16"/>
  <c r="H371" s="1"/>
  <c r="E974" i="7" s="1"/>
  <c r="G372" i="16"/>
  <c r="H372" s="1"/>
  <c r="E975" i="7" s="1"/>
  <c r="G373" i="16"/>
  <c r="G374"/>
  <c r="H374" s="1"/>
  <c r="E977" i="7" s="1"/>
  <c r="G375" i="16"/>
  <c r="H375" s="1"/>
  <c r="E978" i="7" s="1"/>
  <c r="G376" i="16"/>
  <c r="H376" s="1"/>
  <c r="G377"/>
  <c r="H377" s="1"/>
  <c r="E980" i="7" s="1"/>
  <c r="G378" i="16"/>
  <c r="H378" s="1"/>
  <c r="E981" i="7" s="1"/>
  <c r="G379" i="16"/>
  <c r="H379" s="1"/>
  <c r="E982" i="7" s="1"/>
  <c r="G380" i="16"/>
  <c r="H380" s="1"/>
  <c r="E983" i="7" s="1"/>
  <c r="G381" i="16"/>
  <c r="H381" s="1"/>
  <c r="G382"/>
  <c r="H382" s="1"/>
  <c r="E985" i="7" s="1"/>
  <c r="G383" i="16"/>
  <c r="H383" s="1"/>
  <c r="E986" i="7" s="1"/>
  <c r="G384" i="16"/>
  <c r="H384" s="1"/>
  <c r="E987" i="7" s="1"/>
  <c r="G385" i="16"/>
  <c r="H385" s="1"/>
  <c r="E988" i="7" s="1"/>
  <c r="G386" i="16"/>
  <c r="H386" s="1"/>
  <c r="E989" i="7" s="1"/>
  <c r="G387" i="16"/>
  <c r="H387" s="1"/>
  <c r="E990" i="7" s="1"/>
  <c r="G388" i="16"/>
  <c r="H388" s="1"/>
  <c r="E991" i="7" s="1"/>
  <c r="G389" i="16"/>
  <c r="H389" s="1"/>
  <c r="E992" i="7" s="1"/>
  <c r="G390" i="16"/>
  <c r="H390" s="1"/>
  <c r="E993" i="7" s="1"/>
  <c r="G391" i="16"/>
  <c r="H391" s="1"/>
  <c r="E994" i="7" s="1"/>
  <c r="G392" i="16"/>
  <c r="H392" s="1"/>
  <c r="E995" i="7" s="1"/>
  <c r="G393" i="16"/>
  <c r="H393" s="1"/>
  <c r="E996" i="7" s="1"/>
  <c r="G394" i="16"/>
  <c r="H394" s="1"/>
  <c r="E997" i="7" s="1"/>
  <c r="G395" i="16"/>
  <c r="H395" s="1"/>
  <c r="E998" i="7" s="1"/>
  <c r="G396" i="16"/>
  <c r="H396" s="1"/>
  <c r="E999" i="7" s="1"/>
  <c r="G397" i="16"/>
  <c r="H397" s="1"/>
  <c r="E1000" i="7" s="1"/>
  <c r="G398" i="16"/>
  <c r="H398" s="1"/>
  <c r="E1001" i="7" s="1"/>
  <c r="G399" i="16"/>
  <c r="H399" s="1"/>
  <c r="E1002" i="7" s="1"/>
  <c r="G400" i="16"/>
  <c r="H400" s="1"/>
  <c r="E1003" i="7" s="1"/>
  <c r="G401" i="16"/>
  <c r="H401" s="1"/>
  <c r="E1004" i="7" s="1"/>
  <c r="G402" i="16"/>
  <c r="H402" s="1"/>
  <c r="E1005" i="7" s="1"/>
  <c r="G403" i="16"/>
  <c r="H403" s="1"/>
  <c r="E1006" i="7" s="1"/>
  <c r="G404" i="16"/>
  <c r="H404" s="1"/>
  <c r="E1007" i="7" s="1"/>
  <c r="G405" i="16"/>
  <c r="H405" s="1"/>
  <c r="E1008" i="7" s="1"/>
  <c r="G406" i="16"/>
  <c r="H406" s="1"/>
  <c r="E1009" i="7" s="1"/>
  <c r="G407" i="16"/>
  <c r="H407" s="1"/>
  <c r="E1010" i="7" s="1"/>
  <c r="G408" i="16"/>
  <c r="H408" s="1"/>
  <c r="E1011" i="7" s="1"/>
  <c r="G409" i="16"/>
  <c r="H409" s="1"/>
  <c r="E1012" i="7" s="1"/>
  <c r="G410" i="16"/>
  <c r="H410" s="1"/>
  <c r="E1013" i="7" s="1"/>
  <c r="G411" i="16"/>
  <c r="H411" s="1"/>
  <c r="E1014" i="7" s="1"/>
  <c r="G412" i="16"/>
  <c r="H412" s="1"/>
  <c r="E1015" i="7" s="1"/>
  <c r="G413" i="16"/>
  <c r="H413" s="1"/>
  <c r="E1016" i="7" s="1"/>
  <c r="G414" i="16"/>
  <c r="H414" s="1"/>
  <c r="E1017" i="7" s="1"/>
  <c r="G415" i="16"/>
  <c r="H415" s="1"/>
  <c r="E1018" i="7" s="1"/>
  <c r="G416" i="16"/>
  <c r="H416" s="1"/>
  <c r="E1019" i="7" s="1"/>
  <c r="G417" i="16"/>
  <c r="H417" s="1"/>
  <c r="E1020" i="7" s="1"/>
  <c r="G418" i="16"/>
  <c r="H418" s="1"/>
  <c r="E1021" i="7" s="1"/>
  <c r="G419" i="16"/>
  <c r="H419" s="1"/>
  <c r="E1022" i="7" s="1"/>
  <c r="G420" i="16"/>
  <c r="H420" s="1"/>
  <c r="E1023" i="7" s="1"/>
  <c r="G421" i="16"/>
  <c r="H421" s="1"/>
  <c r="E1024" i="7" s="1"/>
  <c r="G422" i="16"/>
  <c r="H422" s="1"/>
  <c r="E1025" i="7" s="1"/>
  <c r="G423" i="16"/>
  <c r="H423" s="1"/>
  <c r="E1026" i="7" s="1"/>
  <c r="G424" i="16"/>
  <c r="H424" s="1"/>
  <c r="E1027" i="7" s="1"/>
  <c r="G425" i="16"/>
  <c r="H425" s="1"/>
  <c r="E1028" i="7" s="1"/>
  <c r="G426" i="16"/>
  <c r="H426" s="1"/>
  <c r="E1029" i="7" s="1"/>
  <c r="G427" i="16"/>
  <c r="H427" s="1"/>
  <c r="E1030" i="7" s="1"/>
  <c r="G428" i="16"/>
  <c r="H428" s="1"/>
  <c r="E1031" i="7" s="1"/>
  <c r="G429" i="16"/>
  <c r="H429" s="1"/>
  <c r="E1032" i="7" s="1"/>
  <c r="G430" i="16"/>
  <c r="H430" s="1"/>
  <c r="E1033" i="7" s="1"/>
  <c r="G431" i="16"/>
  <c r="H431" s="1"/>
  <c r="E1034" i="7" s="1"/>
  <c r="G432" i="16"/>
  <c r="H432" s="1"/>
  <c r="E1035" i="7" s="1"/>
  <c r="G433" i="16"/>
  <c r="H433" s="1"/>
  <c r="E1036" i="7" s="1"/>
  <c r="G434" i="16"/>
  <c r="H434" s="1"/>
  <c r="E1037" i="7" s="1"/>
  <c r="G435" i="16"/>
  <c r="H435" s="1"/>
  <c r="E1038" i="7" s="1"/>
  <c r="G436" i="16"/>
  <c r="H436" s="1"/>
  <c r="E1039" i="7" s="1"/>
  <c r="G437" i="16"/>
  <c r="H437" s="1"/>
  <c r="E1040" i="7" s="1"/>
  <c r="G438" i="16"/>
  <c r="H438" s="1"/>
  <c r="E1041" i="7" s="1"/>
  <c r="G439" i="16"/>
  <c r="H439" s="1"/>
  <c r="E1042" i="7" s="1"/>
  <c r="G472" i="16"/>
  <c r="H472" s="1"/>
  <c r="E1075" i="7" s="1"/>
  <c r="G473" i="16"/>
  <c r="H473" s="1"/>
  <c r="E1076" i="7" s="1"/>
  <c r="G474" i="16"/>
  <c r="H474" s="1"/>
  <c r="E1077" i="7" s="1"/>
  <c r="G475" i="16"/>
  <c r="H475" s="1"/>
  <c r="E1078" i="7" s="1"/>
  <c r="H373" i="16"/>
  <c r="E976" i="7" s="1"/>
  <c r="G362" i="16"/>
  <c r="H362" s="1"/>
  <c r="E965" i="7" s="1"/>
  <c r="G361" i="16"/>
  <c r="H361" s="1"/>
  <c r="E964" i="7" s="1"/>
  <c r="G360" i="16"/>
  <c r="H360" s="1"/>
  <c r="E963" i="7" s="1"/>
  <c r="G359" i="16"/>
  <c r="H359" s="1"/>
  <c r="E962" i="7" s="1"/>
  <c r="G358" i="16"/>
  <c r="H358" s="1"/>
  <c r="E961" i="7" s="1"/>
  <c r="G352" i="16"/>
  <c r="H352" s="1"/>
  <c r="E955" i="7" s="1"/>
  <c r="G353" i="16"/>
  <c r="H353" s="1"/>
  <c r="E956" i="7" s="1"/>
  <c r="G354" i="16"/>
  <c r="H354" s="1"/>
  <c r="E957" i="7" s="1"/>
  <c r="G355" i="16"/>
  <c r="H355" s="1"/>
  <c r="E958" i="7" s="1"/>
  <c r="G356" i="16"/>
  <c r="H356" s="1"/>
  <c r="E959" i="7" s="1"/>
  <c r="G357" i="16"/>
  <c r="H357" s="1"/>
  <c r="E960" i="7" s="1"/>
  <c r="G351" i="16"/>
  <c r="H351" s="1"/>
  <c r="E954" i="7" s="1"/>
  <c r="G313" i="15"/>
  <c r="H313" s="1"/>
  <c r="G312"/>
  <c r="H312" s="1"/>
  <c r="G311"/>
  <c r="H311" s="1"/>
  <c r="G310"/>
  <c r="H310" s="1"/>
  <c r="P356" i="7"/>
  <c r="P357"/>
  <c r="P358"/>
  <c r="P359"/>
  <c r="L355"/>
  <c r="L356"/>
  <c r="L357"/>
  <c r="L358"/>
  <c r="O159" i="4"/>
  <c r="H386" i="7" s="1"/>
  <c r="T386" s="1"/>
  <c r="O167" i="4"/>
  <c r="H394" i="7" s="1"/>
  <c r="T394" s="1"/>
  <c r="O175" i="4"/>
  <c r="H402" i="7" s="1"/>
  <c r="T402" s="1"/>
  <c r="O176" i="4"/>
  <c r="H403" i="7" s="1"/>
  <c r="T403" s="1"/>
  <c r="O183" i="4"/>
  <c r="H410" i="7" s="1"/>
  <c r="T410" s="1"/>
  <c r="O184" i="4"/>
  <c r="H411" i="7" s="1"/>
  <c r="T411" s="1"/>
  <c r="O191" i="4"/>
  <c r="H418" i="7" s="1"/>
  <c r="T418" s="1"/>
  <c r="O190" i="4"/>
  <c r="H417" i="7" s="1"/>
  <c r="T417" s="1"/>
  <c r="O189" i="4"/>
  <c r="H416" i="7" s="1"/>
  <c r="T416" s="1"/>
  <c r="O188" i="4"/>
  <c r="H415" i="7" s="1"/>
  <c r="T415" s="1"/>
  <c r="O187" i="4"/>
  <c r="H414" i="7" s="1"/>
  <c r="T414" s="1"/>
  <c r="O186" i="4"/>
  <c r="H413" i="7" s="1"/>
  <c r="T413" s="1"/>
  <c r="O185" i="4"/>
  <c r="H412" i="7" s="1"/>
  <c r="T412" s="1"/>
  <c r="O182" i="4"/>
  <c r="H409" i="7" s="1"/>
  <c r="T409" s="1"/>
  <c r="O181" i="4"/>
  <c r="H408" i="7" s="1"/>
  <c r="T408" s="1"/>
  <c r="O180" i="4"/>
  <c r="H407" i="7" s="1"/>
  <c r="T407" s="1"/>
  <c r="O179" i="4"/>
  <c r="H406" i="7" s="1"/>
  <c r="T406" s="1"/>
  <c r="O178" i="4"/>
  <c r="H405" i="7" s="1"/>
  <c r="T405" s="1"/>
  <c r="O177" i="4"/>
  <c r="H404" i="7" s="1"/>
  <c r="T404" s="1"/>
  <c r="O174" i="4"/>
  <c r="H401" i="7" s="1"/>
  <c r="T401" s="1"/>
  <c r="O173" i="4"/>
  <c r="H400" i="7" s="1"/>
  <c r="T400" s="1"/>
  <c r="O172" i="4"/>
  <c r="H399" i="7" s="1"/>
  <c r="T399" s="1"/>
  <c r="O171" i="4"/>
  <c r="H398" i="7" s="1"/>
  <c r="T398" s="1"/>
  <c r="O170" i="4"/>
  <c r="H397" i="7" s="1"/>
  <c r="T397" s="1"/>
  <c r="O169" i="4"/>
  <c r="H396" i="7" s="1"/>
  <c r="T396" s="1"/>
  <c r="O168" i="4"/>
  <c r="H395" i="7" s="1"/>
  <c r="T395" s="1"/>
  <c r="O166" i="4"/>
  <c r="H393" i="7" s="1"/>
  <c r="T393" s="1"/>
  <c r="O165" i="4"/>
  <c r="H392" i="7" s="1"/>
  <c r="T392" s="1"/>
  <c r="O164" i="4"/>
  <c r="H391" i="7" s="1"/>
  <c r="T391" s="1"/>
  <c r="O163" i="4"/>
  <c r="H390" i="7" s="1"/>
  <c r="T390" s="1"/>
  <c r="O162" i="4"/>
  <c r="H389" i="7" s="1"/>
  <c r="T389" s="1"/>
  <c r="O161" i="4"/>
  <c r="H388" i="7" s="1"/>
  <c r="T388" s="1"/>
  <c r="O160" i="4"/>
  <c r="H387" i="7" s="1"/>
  <c r="T387" s="1"/>
  <c r="O158" i="4"/>
  <c r="H385" i="7" s="1"/>
  <c r="T385" s="1"/>
  <c r="O157" i="4"/>
  <c r="H384" i="7" s="1"/>
  <c r="T384" s="1"/>
  <c r="O156" i="4"/>
  <c r="H383" i="7" s="1"/>
  <c r="T383" s="1"/>
  <c r="O155" i="4"/>
  <c r="H382" i="7" s="1"/>
  <c r="T382" s="1"/>
  <c r="O154" i="4"/>
  <c r="H381" i="7" s="1"/>
  <c r="T381" s="1"/>
  <c r="G427" i="15"/>
  <c r="H427" s="1"/>
  <c r="E418" i="7" s="1"/>
  <c r="G426" i="15"/>
  <c r="H426" s="1"/>
  <c r="E417" i="7" s="1"/>
  <c r="G425" i="15"/>
  <c r="H425" s="1"/>
  <c r="E416" i="7" s="1"/>
  <c r="G424" i="15"/>
  <c r="H424" s="1"/>
  <c r="E415" i="7" s="1"/>
  <c r="G423" i="15"/>
  <c r="H423" s="1"/>
  <c r="E414" i="7" s="1"/>
  <c r="G417" i="15"/>
  <c r="H417" s="1"/>
  <c r="E408" i="7" s="1"/>
  <c r="G416" i="15"/>
  <c r="H416" s="1"/>
  <c r="E407" i="7" s="1"/>
  <c r="G415" i="15"/>
  <c r="H415" s="1"/>
  <c r="E406" i="7" s="1"/>
  <c r="G414" i="15"/>
  <c r="H414" s="1"/>
  <c r="E405" i="7" s="1"/>
  <c r="G413" i="15"/>
  <c r="H413" s="1"/>
  <c r="E404" i="7" s="1"/>
  <c r="G382" i="15"/>
  <c r="H382" s="1"/>
  <c r="E373" i="7" s="1"/>
  <c r="G383" i="15"/>
  <c r="H383" s="1"/>
  <c r="G384"/>
  <c r="H384" s="1"/>
  <c r="E375" i="7" s="1"/>
  <c r="G385" i="15"/>
  <c r="H385" s="1"/>
  <c r="E376" i="7" s="1"/>
  <c r="G386" i="15"/>
  <c r="H386" s="1"/>
  <c r="E377" i="7" s="1"/>
  <c r="G387" i="15"/>
  <c r="H387" s="1"/>
  <c r="E378" i="7" s="1"/>
  <c r="G388" i="15"/>
  <c r="H388" s="1"/>
  <c r="E379" i="7" s="1"/>
  <c r="G389" i="15"/>
  <c r="H389" s="1"/>
  <c r="E380" i="7" s="1"/>
  <c r="G390" i="15"/>
  <c r="H390" s="1"/>
  <c r="E381" i="7" s="1"/>
  <c r="G391" i="15"/>
  <c r="H391" s="1"/>
  <c r="E382" i="7" s="1"/>
  <c r="G392" i="15"/>
  <c r="H392" s="1"/>
  <c r="E383" i="7" s="1"/>
  <c r="G393" i="15"/>
  <c r="H393" s="1"/>
  <c r="E384" i="7" s="1"/>
  <c r="G394" i="15"/>
  <c r="H394" s="1"/>
  <c r="E385" i="7" s="1"/>
  <c r="G395" i="15"/>
  <c r="H395" s="1"/>
  <c r="E386" i="7" s="1"/>
  <c r="G396" i="15"/>
  <c r="H396" s="1"/>
  <c r="E387" i="7" s="1"/>
  <c r="G397" i="15"/>
  <c r="H397" s="1"/>
  <c r="E388" i="7" s="1"/>
  <c r="G398" i="15"/>
  <c r="H398" s="1"/>
  <c r="E389" i="7" s="1"/>
  <c r="G399" i="15"/>
  <c r="H399" s="1"/>
  <c r="E390" i="7" s="1"/>
  <c r="G400" i="15"/>
  <c r="H400" s="1"/>
  <c r="E391" i="7" s="1"/>
  <c r="G412" i="15"/>
  <c r="H412" s="1"/>
  <c r="E403" i="7" s="1"/>
  <c r="G418" i="15"/>
  <c r="H418" s="1"/>
  <c r="E409" i="7" s="1"/>
  <c r="G419" i="15"/>
  <c r="H419" s="1"/>
  <c r="E410" i="7" s="1"/>
  <c r="G401" i="15"/>
  <c r="H401" s="1"/>
  <c r="E392" i="7" s="1"/>
  <c r="G402" i="15"/>
  <c r="H402" s="1"/>
  <c r="E393" i="7" s="1"/>
  <c r="G403" i="15"/>
  <c r="H403" s="1"/>
  <c r="E394" i="7" s="1"/>
  <c r="G404" i="15"/>
  <c r="H404" s="1"/>
  <c r="E395" i="7" s="1"/>
  <c r="G405" i="15"/>
  <c r="H405" s="1"/>
  <c r="E396" i="7" s="1"/>
  <c r="G406" i="15"/>
  <c r="H406" s="1"/>
  <c r="E397" i="7" s="1"/>
  <c r="G407" i="15"/>
  <c r="H407" s="1"/>
  <c r="E398" i="7" s="1"/>
  <c r="G408" i="15"/>
  <c r="H408" s="1"/>
  <c r="E399" i="7" s="1"/>
  <c r="G409" i="15"/>
  <c r="H409" s="1"/>
  <c r="E400" i="7" s="1"/>
  <c r="G410" i="15"/>
  <c r="H410" s="1"/>
  <c r="E401" i="7" s="1"/>
  <c r="G411" i="15"/>
  <c r="H411" s="1"/>
  <c r="E402" i="7" s="1"/>
  <c r="G420" i="15"/>
  <c r="H420" s="1"/>
  <c r="E411" i="7" s="1"/>
  <c r="G421" i="15"/>
  <c r="H421" s="1"/>
  <c r="E412" i="7" s="1"/>
  <c r="G422" i="15"/>
  <c r="H422" s="1"/>
  <c r="E413" i="7" s="1"/>
  <c r="G428" i="15"/>
  <c r="H428" s="1"/>
  <c r="G429"/>
  <c r="G430"/>
  <c r="G431"/>
  <c r="G432"/>
  <c r="G433"/>
  <c r="G434"/>
  <c r="G367"/>
  <c r="H367" s="1"/>
  <c r="E358" i="7" s="1"/>
  <c r="G368" i="15"/>
  <c r="H368" s="1"/>
  <c r="E359" i="7" s="1"/>
  <c r="G26" i="15"/>
  <c r="G586" i="5"/>
  <c r="G246"/>
  <c r="H246" s="1"/>
  <c r="I247" s="1"/>
  <c r="H247"/>
  <c r="F247"/>
  <c r="J246"/>
  <c r="G394"/>
  <c r="H394" s="1"/>
  <c r="G393"/>
  <c r="H393" s="1"/>
  <c r="H395"/>
  <c r="F395"/>
  <c r="I394"/>
  <c r="J394" s="1"/>
  <c r="E394"/>
  <c r="F394" s="1"/>
  <c r="I393"/>
  <c r="J393" s="1"/>
  <c r="E393"/>
  <c r="F393" s="1"/>
  <c r="G373"/>
  <c r="G330"/>
  <c r="G342"/>
  <c r="G336"/>
  <c r="G218"/>
  <c r="H218" s="1"/>
  <c r="G217"/>
  <c r="H217" s="1"/>
  <c r="H219"/>
  <c r="F219"/>
  <c r="I218"/>
  <c r="J218" s="1"/>
  <c r="E218"/>
  <c r="F218" s="1"/>
  <c r="I217"/>
  <c r="J217" s="1"/>
  <c r="E217"/>
  <c r="F217" s="1"/>
  <c r="G181"/>
  <c r="G187"/>
  <c r="G193"/>
  <c r="G202"/>
  <c r="I400" i="7" l="1"/>
  <c r="M400"/>
  <c r="I392"/>
  <c r="M392"/>
  <c r="M387"/>
  <c r="I387"/>
  <c r="Q405"/>
  <c r="M405"/>
  <c r="I405"/>
  <c r="I418"/>
  <c r="M418"/>
  <c r="M956"/>
  <c r="I956"/>
  <c r="M1078"/>
  <c r="I1078"/>
  <c r="M1038"/>
  <c r="M1030"/>
  <c r="M1022"/>
  <c r="I1022"/>
  <c r="M1014"/>
  <c r="I1014"/>
  <c r="M1006"/>
  <c r="I1006"/>
  <c r="M998"/>
  <c r="I998"/>
  <c r="M990"/>
  <c r="I990"/>
  <c r="M982"/>
  <c r="I982"/>
  <c r="M974"/>
  <c r="I974"/>
  <c r="M966"/>
  <c r="I966"/>
  <c r="M1061"/>
  <c r="I1069"/>
  <c r="M1069"/>
  <c r="M1045"/>
  <c r="M1053"/>
  <c r="M399"/>
  <c r="I399"/>
  <c r="I410"/>
  <c r="M410"/>
  <c r="I386"/>
  <c r="M386"/>
  <c r="I406"/>
  <c r="M406"/>
  <c r="I955"/>
  <c r="M955"/>
  <c r="I1077"/>
  <c r="M1077"/>
  <c r="M1037"/>
  <c r="M1029"/>
  <c r="M1021"/>
  <c r="I1021"/>
  <c r="M1013"/>
  <c r="I1013"/>
  <c r="M1005"/>
  <c r="I1005"/>
  <c r="M997"/>
  <c r="I997"/>
  <c r="M989"/>
  <c r="I989"/>
  <c r="M981"/>
  <c r="I981"/>
  <c r="M973"/>
  <c r="I973"/>
  <c r="M952"/>
  <c r="M1062"/>
  <c r="M1070"/>
  <c r="I1070"/>
  <c r="M1046"/>
  <c r="M1054"/>
  <c r="M359"/>
  <c r="I398"/>
  <c r="M398"/>
  <c r="M409"/>
  <c r="I409"/>
  <c r="M385"/>
  <c r="I385"/>
  <c r="M407"/>
  <c r="I407"/>
  <c r="M961"/>
  <c r="I961"/>
  <c r="M1076"/>
  <c r="I1076"/>
  <c r="M1036"/>
  <c r="M1028"/>
  <c r="M1020"/>
  <c r="I1020"/>
  <c r="M1012"/>
  <c r="I1012"/>
  <c r="M1004"/>
  <c r="I1004"/>
  <c r="M996"/>
  <c r="I996"/>
  <c r="M988"/>
  <c r="I988"/>
  <c r="M980"/>
  <c r="I980"/>
  <c r="M972"/>
  <c r="I972"/>
  <c r="M951"/>
  <c r="M1063"/>
  <c r="I1071"/>
  <c r="M1071"/>
  <c r="M1047"/>
  <c r="M1055"/>
  <c r="M358"/>
  <c r="M413"/>
  <c r="I413"/>
  <c r="M397"/>
  <c r="I397"/>
  <c r="M403"/>
  <c r="I403"/>
  <c r="I384"/>
  <c r="M384"/>
  <c r="Q408"/>
  <c r="I408"/>
  <c r="M408"/>
  <c r="M954"/>
  <c r="M962"/>
  <c r="I962"/>
  <c r="I1075"/>
  <c r="M1075"/>
  <c r="M1035"/>
  <c r="M1027"/>
  <c r="Q1019"/>
  <c r="I1019"/>
  <c r="M1019"/>
  <c r="I1011"/>
  <c r="M1011"/>
  <c r="I1003"/>
  <c r="M1003"/>
  <c r="I995"/>
  <c r="M995"/>
  <c r="Q987"/>
  <c r="I987"/>
  <c r="M987"/>
  <c r="I971"/>
  <c r="M971"/>
  <c r="M950"/>
  <c r="M1064"/>
  <c r="M1072"/>
  <c r="I1072"/>
  <c r="M1048"/>
  <c r="M1056"/>
  <c r="Q412"/>
  <c r="I412"/>
  <c r="M412"/>
  <c r="Q396"/>
  <c r="I396"/>
  <c r="M396"/>
  <c r="M391"/>
  <c r="I391"/>
  <c r="M383"/>
  <c r="I383"/>
  <c r="I414"/>
  <c r="M414"/>
  <c r="M960"/>
  <c r="I960"/>
  <c r="I963"/>
  <c r="M963"/>
  <c r="M1042"/>
  <c r="M1034"/>
  <c r="M1026"/>
  <c r="M1018"/>
  <c r="I1018"/>
  <c r="M1010"/>
  <c r="I1010"/>
  <c r="M1002"/>
  <c r="I1002"/>
  <c r="M994"/>
  <c r="I994"/>
  <c r="M986"/>
  <c r="I986"/>
  <c r="M978"/>
  <c r="I978"/>
  <c r="M970"/>
  <c r="I970"/>
  <c r="M949"/>
  <c r="M1065"/>
  <c r="I1073"/>
  <c r="M1073"/>
  <c r="M1049"/>
  <c r="M1057"/>
  <c r="M1082"/>
  <c r="I1082"/>
  <c r="M411"/>
  <c r="I411"/>
  <c r="M395"/>
  <c r="I395"/>
  <c r="I390"/>
  <c r="M390"/>
  <c r="I382"/>
  <c r="M382"/>
  <c r="M415"/>
  <c r="I415"/>
  <c r="I959"/>
  <c r="M959"/>
  <c r="M964"/>
  <c r="I964"/>
  <c r="M1041"/>
  <c r="M1033"/>
  <c r="M1025"/>
  <c r="M1017"/>
  <c r="I1017"/>
  <c r="M1009"/>
  <c r="I1009"/>
  <c r="M1001"/>
  <c r="I1001"/>
  <c r="M993"/>
  <c r="I993"/>
  <c r="M985"/>
  <c r="I985"/>
  <c r="M977"/>
  <c r="I977"/>
  <c r="M969"/>
  <c r="I969"/>
  <c r="M1066"/>
  <c r="M1074"/>
  <c r="I1074"/>
  <c r="M1050"/>
  <c r="M1058"/>
  <c r="I1079"/>
  <c r="M1079"/>
  <c r="I402"/>
  <c r="M402"/>
  <c r="I394"/>
  <c r="M394"/>
  <c r="M389"/>
  <c r="I389"/>
  <c r="M381"/>
  <c r="I381"/>
  <c r="Q416"/>
  <c r="I416"/>
  <c r="M416"/>
  <c r="M958"/>
  <c r="I958"/>
  <c r="M965"/>
  <c r="I965"/>
  <c r="M1040"/>
  <c r="M1032"/>
  <c r="M1024"/>
  <c r="I1024"/>
  <c r="M1016"/>
  <c r="I1016"/>
  <c r="M1008"/>
  <c r="I1008"/>
  <c r="M1000"/>
  <c r="I1000"/>
  <c r="M992"/>
  <c r="I992"/>
  <c r="M968"/>
  <c r="I968"/>
  <c r="M1059"/>
  <c r="M1067"/>
  <c r="M1043"/>
  <c r="M1051"/>
  <c r="M1080"/>
  <c r="I1080"/>
  <c r="M401"/>
  <c r="I401"/>
  <c r="M393"/>
  <c r="I393"/>
  <c r="I388"/>
  <c r="M388"/>
  <c r="M380"/>
  <c r="I404"/>
  <c r="M404"/>
  <c r="M417"/>
  <c r="I417"/>
  <c r="M957"/>
  <c r="I957"/>
  <c r="M976"/>
  <c r="I976"/>
  <c r="M1039"/>
  <c r="M1031"/>
  <c r="I1023"/>
  <c r="M1023"/>
  <c r="I1015"/>
  <c r="M1015"/>
  <c r="I1007"/>
  <c r="M1007"/>
  <c r="I999"/>
  <c r="M999"/>
  <c r="I991"/>
  <c r="M991"/>
  <c r="I983"/>
  <c r="M983"/>
  <c r="I975"/>
  <c r="M975"/>
  <c r="I967"/>
  <c r="M967"/>
  <c r="M1060"/>
  <c r="M1068"/>
  <c r="I1068"/>
  <c r="M1044"/>
  <c r="M1052"/>
  <c r="I1081"/>
  <c r="M1081"/>
  <c r="T1012"/>
  <c r="E979"/>
  <c r="E984"/>
  <c r="T1017"/>
  <c r="Q1017"/>
  <c r="Q1009"/>
  <c r="Q1001"/>
  <c r="Q1013"/>
  <c r="Q989"/>
  <c r="T1011"/>
  <c r="T975"/>
  <c r="T981"/>
  <c r="Q1016"/>
  <c r="Q992"/>
  <c r="T980"/>
  <c r="T964"/>
  <c r="T995"/>
  <c r="T1020"/>
  <c r="T988"/>
  <c r="T999"/>
  <c r="T1014"/>
  <c r="T972"/>
  <c r="T1002"/>
  <c r="T1018"/>
  <c r="T989"/>
  <c r="T982"/>
  <c r="T986"/>
  <c r="T997"/>
  <c r="T1004"/>
  <c r="T996"/>
  <c r="Q1015"/>
  <c r="T979"/>
  <c r="T990"/>
  <c r="T994"/>
  <c r="T1001"/>
  <c r="T983"/>
  <c r="T987"/>
  <c r="T998"/>
  <c r="T1009"/>
  <c r="Q1000"/>
  <c r="Q993"/>
  <c r="Q985"/>
  <c r="T963"/>
  <c r="T967"/>
  <c r="T991"/>
  <c r="T1005"/>
  <c r="T1013"/>
  <c r="T971"/>
  <c r="T1021"/>
  <c r="T1003"/>
  <c r="T1007"/>
  <c r="T985"/>
  <c r="T993"/>
  <c r="Q1008"/>
  <c r="T1019"/>
  <c r="T1010"/>
  <c r="T1016"/>
  <c r="T1008"/>
  <c r="T1000"/>
  <c r="T992"/>
  <c r="T984"/>
  <c r="T1015"/>
  <c r="Q1005"/>
  <c r="T1006"/>
  <c r="Q986"/>
  <c r="Q994"/>
  <c r="Q991"/>
  <c r="Q1007"/>
  <c r="Q983"/>
  <c r="Q990"/>
  <c r="Q1014"/>
  <c r="Q1006"/>
  <c r="Q982"/>
  <c r="Q1018"/>
  <c r="Q1010"/>
  <c r="Q1002"/>
  <c r="Q999"/>
  <c r="Q997"/>
  <c r="Q981"/>
  <c r="Q1020"/>
  <c r="Q1012"/>
  <c r="Q1004"/>
  <c r="Q996"/>
  <c r="Q988"/>
  <c r="Q980"/>
  <c r="Q1011"/>
  <c r="Q1003"/>
  <c r="Q995"/>
  <c r="Q1037"/>
  <c r="Q1027"/>
  <c r="Q1030"/>
  <c r="Q1044"/>
  <c r="Q972"/>
  <c r="Q1021"/>
  <c r="Q1028"/>
  <c r="Q1031"/>
  <c r="Q1034"/>
  <c r="Q970"/>
  <c r="Q1038"/>
  <c r="Q1045"/>
  <c r="Q964"/>
  <c r="Q967"/>
  <c r="Q1022"/>
  <c r="Q1035"/>
  <c r="Q966"/>
  <c r="Q975"/>
  <c r="Q1039"/>
  <c r="Q962"/>
  <c r="Q971"/>
  <c r="Q974"/>
  <c r="Q1023"/>
  <c r="Q1026"/>
  <c r="Q1036"/>
  <c r="Q963"/>
  <c r="Q978"/>
  <c r="Q1047"/>
  <c r="Q965"/>
  <c r="Q1029"/>
  <c r="Q998"/>
  <c r="Q1046"/>
  <c r="Q1043"/>
  <c r="Q973"/>
  <c r="Q968"/>
  <c r="Q976"/>
  <c r="Q1042"/>
  <c r="Q1050"/>
  <c r="Q1024"/>
  <c r="Q1032"/>
  <c r="Q1040"/>
  <c r="Q1048"/>
  <c r="Q969"/>
  <c r="Q977"/>
  <c r="Q1025"/>
  <c r="Q1033"/>
  <c r="Q1041"/>
  <c r="Q1049"/>
  <c r="T969"/>
  <c r="T977"/>
  <c r="T978"/>
  <c r="T965"/>
  <c r="T973"/>
  <c r="T1023"/>
  <c r="T968"/>
  <c r="T976"/>
  <c r="T1024"/>
  <c r="Q400"/>
  <c r="T962"/>
  <c r="T966"/>
  <c r="T970"/>
  <c r="T974"/>
  <c r="T1022"/>
  <c r="Q406"/>
  <c r="Q407"/>
  <c r="Q417"/>
  <c r="Q401"/>
  <c r="Q414"/>
  <c r="Q415"/>
  <c r="Q398"/>
  <c r="Q409"/>
  <c r="Q404"/>
  <c r="Q399"/>
  <c r="Q397"/>
  <c r="Q413"/>
  <c r="Q410"/>
  <c r="Q418"/>
  <c r="Q402"/>
  <c r="Q411"/>
  <c r="Q395"/>
  <c r="Q403"/>
  <c r="K247" i="5"/>
  <c r="J247"/>
  <c r="L247" s="1"/>
  <c r="I395"/>
  <c r="J395" s="1"/>
  <c r="L395" s="1"/>
  <c r="L393"/>
  <c r="L394"/>
  <c r="K393"/>
  <c r="K394"/>
  <c r="I219"/>
  <c r="K219" s="1"/>
  <c r="K217"/>
  <c r="K218"/>
  <c r="L218"/>
  <c r="L217"/>
  <c r="G489" i="16"/>
  <c r="H489" s="1"/>
  <c r="E1366" i="7" s="1"/>
  <c r="G8" i="16"/>
  <c r="H8" s="1"/>
  <c r="E469" i="7" s="1"/>
  <c r="H297" i="15"/>
  <c r="E295" i="7" s="1"/>
  <c r="G9" i="15"/>
  <c r="H9" s="1"/>
  <c r="E9" i="7" s="1"/>
  <c r="G8" i="15"/>
  <c r="G7"/>
  <c r="G6"/>
  <c r="H6" s="1"/>
  <c r="U405" i="7" l="1"/>
  <c r="U412"/>
  <c r="U415"/>
  <c r="U411"/>
  <c r="U410"/>
  <c r="M469"/>
  <c r="Q469"/>
  <c r="I469"/>
  <c r="U413"/>
  <c r="U399"/>
  <c r="Q984"/>
  <c r="M984"/>
  <c r="I984"/>
  <c r="U402"/>
  <c r="U406"/>
  <c r="U409"/>
  <c r="U417"/>
  <c r="U418"/>
  <c r="U403"/>
  <c r="U407"/>
  <c r="Q979"/>
  <c r="I979"/>
  <c r="M979"/>
  <c r="U401"/>
  <c r="U395"/>
  <c r="U398"/>
  <c r="U404"/>
  <c r="U416"/>
  <c r="U414"/>
  <c r="U396"/>
  <c r="U408"/>
  <c r="U397"/>
  <c r="U400"/>
  <c r="U972"/>
  <c r="U998"/>
  <c r="U974"/>
  <c r="U1022"/>
  <c r="U1019"/>
  <c r="U978"/>
  <c r="U966"/>
  <c r="U965"/>
  <c r="U962"/>
  <c r="U1003"/>
  <c r="U983"/>
  <c r="U990"/>
  <c r="U991"/>
  <c r="U980"/>
  <c r="U970"/>
  <c r="U994"/>
  <c r="U982"/>
  <c r="U985"/>
  <c r="U997"/>
  <c r="U1012"/>
  <c r="U1004"/>
  <c r="U1011"/>
  <c r="U999"/>
  <c r="U1007"/>
  <c r="U986"/>
  <c r="U1005"/>
  <c r="U1008"/>
  <c r="U1018"/>
  <c r="U1017"/>
  <c r="U987"/>
  <c r="U996"/>
  <c r="U1010"/>
  <c r="U1014"/>
  <c r="U973"/>
  <c r="U964"/>
  <c r="U981"/>
  <c r="U1016"/>
  <c r="U1002"/>
  <c r="U988"/>
  <c r="U1006"/>
  <c r="U1021"/>
  <c r="U989"/>
  <c r="U1023"/>
  <c r="U977"/>
  <c r="U975"/>
  <c r="U1015"/>
  <c r="U995"/>
  <c r="U971"/>
  <c r="U1000"/>
  <c r="U1024"/>
  <c r="U1020"/>
  <c r="U967"/>
  <c r="U1013"/>
  <c r="U976"/>
  <c r="U968"/>
  <c r="U992"/>
  <c r="U1009"/>
  <c r="U969"/>
  <c r="U1001"/>
  <c r="U963"/>
  <c r="U993"/>
  <c r="K395" i="5"/>
  <c r="J219"/>
  <c r="L219" s="1"/>
  <c r="H8" i="15"/>
  <c r="E8" i="7" s="1"/>
  <c r="G5" i="16"/>
  <c r="H5" s="1"/>
  <c r="E466" i="7" s="1"/>
  <c r="H7" i="16"/>
  <c r="G9"/>
  <c r="H9" s="1"/>
  <c r="E470" i="7" s="1"/>
  <c r="G10" i="16"/>
  <c r="H10" s="1"/>
  <c r="E471" i="7" s="1"/>
  <c r="G20" i="16"/>
  <c r="G21"/>
  <c r="G22"/>
  <c r="G24"/>
  <c r="H24" s="1"/>
  <c r="E1179" i="7" s="1"/>
  <c r="G26" i="16"/>
  <c r="G27"/>
  <c r="G28"/>
  <c r="G30"/>
  <c r="G31"/>
  <c r="G34"/>
  <c r="H34" s="1"/>
  <c r="G36"/>
  <c r="G37"/>
  <c r="G38"/>
  <c r="G39"/>
  <c r="G41"/>
  <c r="G42"/>
  <c r="G43"/>
  <c r="G44"/>
  <c r="G45"/>
  <c r="G46"/>
  <c r="G47"/>
  <c r="G48"/>
  <c r="G49"/>
  <c r="G50"/>
  <c r="G51"/>
  <c r="G52"/>
  <c r="G53"/>
  <c r="G54"/>
  <c r="G75"/>
  <c r="H75" s="1"/>
  <c r="E1204" i="7" s="1"/>
  <c r="G56" i="16"/>
  <c r="G57"/>
  <c r="G58"/>
  <c r="G59"/>
  <c r="G60"/>
  <c r="G61"/>
  <c r="G62"/>
  <c r="G63"/>
  <c r="G64"/>
  <c r="G65"/>
  <c r="G66"/>
  <c r="G67"/>
  <c r="G68"/>
  <c r="G69"/>
  <c r="G70"/>
  <c r="G71"/>
  <c r="G72"/>
  <c r="G73"/>
  <c r="G77"/>
  <c r="G78"/>
  <c r="G80"/>
  <c r="G81"/>
  <c r="G82"/>
  <c r="G83"/>
  <c r="G84"/>
  <c r="G85"/>
  <c r="G86"/>
  <c r="G89"/>
  <c r="G90"/>
  <c r="G92"/>
  <c r="H92" s="1"/>
  <c r="E1224" i="7" s="1"/>
  <c r="G94" i="16"/>
  <c r="H94" s="1"/>
  <c r="E1225" i="7" s="1"/>
  <c r="H98" i="16"/>
  <c r="E488" i="7" s="1"/>
  <c r="H99" i="16"/>
  <c r="E489" i="7" s="1"/>
  <c r="H100" i="16"/>
  <c r="E490" i="7" s="1"/>
  <c r="G103" i="16"/>
  <c r="H103" s="1"/>
  <c r="E511" i="7" s="1"/>
  <c r="G104" i="16"/>
  <c r="H104" s="1"/>
  <c r="E512" i="7" s="1"/>
  <c r="G105" i="16"/>
  <c r="H105" s="1"/>
  <c r="E513" i="7" s="1"/>
  <c r="H106" i="16"/>
  <c r="E514" i="7" s="1"/>
  <c r="H109" i="16"/>
  <c r="E534" i="7" s="1"/>
  <c r="H110" i="16"/>
  <c r="E535" i="7" s="1"/>
  <c r="H111" i="16"/>
  <c r="E536" i="7" s="1"/>
  <c r="H112" i="16"/>
  <c r="E537" i="7" s="1"/>
  <c r="G116" i="16"/>
  <c r="G117"/>
  <c r="G118"/>
  <c r="G121"/>
  <c r="G122"/>
  <c r="G123"/>
  <c r="G124"/>
  <c r="G138"/>
  <c r="G139"/>
  <c r="G140"/>
  <c r="G141"/>
  <c r="G142"/>
  <c r="H142" s="1"/>
  <c r="E584" i="7" s="1"/>
  <c r="G144" i="16"/>
  <c r="G145"/>
  <c r="G146"/>
  <c r="G148"/>
  <c r="G149"/>
  <c r="G150"/>
  <c r="G151"/>
  <c r="G152"/>
  <c r="G154"/>
  <c r="G155"/>
  <c r="G156"/>
  <c r="G157"/>
  <c r="G158"/>
  <c r="G165"/>
  <c r="H165" s="1"/>
  <c r="E603" i="7" s="1"/>
  <c r="G166" i="16"/>
  <c r="H166" s="1"/>
  <c r="E604" i="7" s="1"/>
  <c r="G167" i="16"/>
  <c r="H167" s="1"/>
  <c r="E605" i="7" s="1"/>
  <c r="G171" i="16"/>
  <c r="G174"/>
  <c r="G175"/>
  <c r="G176"/>
  <c r="G178"/>
  <c r="H178" s="1"/>
  <c r="G179"/>
  <c r="H179" s="1"/>
  <c r="E652" i="7" s="1"/>
  <c r="G181" i="16"/>
  <c r="H181" s="1"/>
  <c r="E653" i="7" s="1"/>
  <c r="G182" i="16"/>
  <c r="H182" s="1"/>
  <c r="G187"/>
  <c r="H187" s="1"/>
  <c r="E672" i="7" s="1"/>
  <c r="G190" i="16"/>
  <c r="H190" s="1"/>
  <c r="E695" i="7" s="1"/>
  <c r="G191" i="16"/>
  <c r="H191" s="1"/>
  <c r="E696" i="7" s="1"/>
  <c r="G192" i="16"/>
  <c r="H192" s="1"/>
  <c r="E697" i="7" s="1"/>
  <c r="G193" i="16"/>
  <c r="H193" s="1"/>
  <c r="E698" i="7" s="1"/>
  <c r="G194" i="16"/>
  <c r="H194" s="1"/>
  <c r="E699" i="7" s="1"/>
  <c r="H197" i="16"/>
  <c r="E718" i="7" s="1"/>
  <c r="H198" i="16"/>
  <c r="E719" i="7" s="1"/>
  <c r="G202" i="16"/>
  <c r="G203"/>
  <c r="G207"/>
  <c r="G208"/>
  <c r="G209"/>
  <c r="H209" s="1"/>
  <c r="E765" i="7" s="1"/>
  <c r="G210" i="16"/>
  <c r="H210" s="1"/>
  <c r="E766" i="7" s="1"/>
  <c r="G211" i="16"/>
  <c r="G212"/>
  <c r="G213"/>
  <c r="G215"/>
  <c r="G216"/>
  <c r="G217"/>
  <c r="H217" s="1"/>
  <c r="E769" i="7" s="1"/>
  <c r="H220" i="16"/>
  <c r="E787" i="7" s="1"/>
  <c r="G221" i="16"/>
  <c r="H221" s="1"/>
  <c r="E788" i="7" s="1"/>
  <c r="G222" i="16"/>
  <c r="H222" s="1"/>
  <c r="E789" i="7" s="1"/>
  <c r="G225" i="16"/>
  <c r="H225" s="1"/>
  <c r="E810" i="7" s="1"/>
  <c r="G226" i="16"/>
  <c r="H226" s="1"/>
  <c r="E811" i="7" s="1"/>
  <c r="G227" i="16"/>
  <c r="H227" s="1"/>
  <c r="E812" i="7" s="1"/>
  <c r="G228" i="16"/>
  <c r="H228" s="1"/>
  <c r="E813" i="7" s="1"/>
  <c r="G229" i="16"/>
  <c r="H229" s="1"/>
  <c r="E814" i="7" s="1"/>
  <c r="G230" i="16"/>
  <c r="H230" s="1"/>
  <c r="E815" i="7" s="1"/>
  <c r="G231" i="16"/>
  <c r="H231" s="1"/>
  <c r="E816" i="7" s="1"/>
  <c r="G232" i="16"/>
  <c r="H232" s="1"/>
  <c r="E817" i="7" s="1"/>
  <c r="G233" i="16"/>
  <c r="H233" s="1"/>
  <c r="E818" i="7" s="1"/>
  <c r="G234" i="16"/>
  <c r="H234" s="1"/>
  <c r="E819" i="7" s="1"/>
  <c r="G235" i="16"/>
  <c r="H235" s="1"/>
  <c r="E820" i="7" s="1"/>
  <c r="G236" i="16"/>
  <c r="H236" s="1"/>
  <c r="E821" i="7" s="1"/>
  <c r="G237" i="16"/>
  <c r="H237" s="1"/>
  <c r="G238"/>
  <c r="H238" s="1"/>
  <c r="G239"/>
  <c r="H239" s="1"/>
  <c r="G240"/>
  <c r="H240" s="1"/>
  <c r="G242"/>
  <c r="H242" s="1"/>
  <c r="H245"/>
  <c r="E833" i="7" s="1"/>
  <c r="H246" i="16"/>
  <c r="E834" i="7" s="1"/>
  <c r="G317" i="16"/>
  <c r="H317" s="1"/>
  <c r="E905" i="7" s="1"/>
  <c r="I905" s="1"/>
  <c r="G324" i="16"/>
  <c r="H324" s="1"/>
  <c r="E912" i="7" s="1"/>
  <c r="I912" s="1"/>
  <c r="G325" i="16"/>
  <c r="H325" s="1"/>
  <c r="E913" i="7" s="1"/>
  <c r="I913" s="1"/>
  <c r="G326" i="16"/>
  <c r="H326" s="1"/>
  <c r="E914" i="7" s="1"/>
  <c r="I914" s="1"/>
  <c r="G327" i="16"/>
  <c r="H327" s="1"/>
  <c r="E915" i="7" s="1"/>
  <c r="I915" s="1"/>
  <c r="G328" i="16"/>
  <c r="H328" s="1"/>
  <c r="E916" i="7" s="1"/>
  <c r="I916" s="1"/>
  <c r="G329" i="16"/>
  <c r="H329" s="1"/>
  <c r="E917" i="7" s="1"/>
  <c r="I917" s="1"/>
  <c r="G331" i="16"/>
  <c r="H331" s="1"/>
  <c r="E919" i="7" s="1"/>
  <c r="I919" s="1"/>
  <c r="G332" i="16"/>
  <c r="H332" s="1"/>
  <c r="E920" i="7" s="1"/>
  <c r="I920" s="1"/>
  <c r="G333" i="16"/>
  <c r="H333" s="1"/>
  <c r="E921" i="7" s="1"/>
  <c r="I921" s="1"/>
  <c r="G335" i="16"/>
  <c r="H335" s="1"/>
  <c r="E923" i="7" s="1"/>
  <c r="I923" s="1"/>
  <c r="G336" i="16"/>
  <c r="H336" s="1"/>
  <c r="E924" i="7" s="1"/>
  <c r="I924" s="1"/>
  <c r="G337" i="16"/>
  <c r="H337" s="1"/>
  <c r="E925" i="7" s="1"/>
  <c r="I925" s="1"/>
  <c r="G339" i="16"/>
  <c r="H339" s="1"/>
  <c r="E927" i="7" s="1"/>
  <c r="I927" s="1"/>
  <c r="G340" i="16"/>
  <c r="H340" s="1"/>
  <c r="E928" i="7" s="1"/>
  <c r="I928" s="1"/>
  <c r="G341" i="16"/>
  <c r="H341" s="1"/>
  <c r="E929" i="7" s="1"/>
  <c r="I929" s="1"/>
  <c r="G486" i="16"/>
  <c r="H486" s="1"/>
  <c r="G488"/>
  <c r="H488" s="1"/>
  <c r="G5" i="15"/>
  <c r="H5" s="1"/>
  <c r="E6" i="7" s="1"/>
  <c r="G10" i="15"/>
  <c r="H10" s="1"/>
  <c r="E10" i="7" s="1"/>
  <c r="G27" i="15"/>
  <c r="G28"/>
  <c r="G29"/>
  <c r="G30"/>
  <c r="G35"/>
  <c r="G36"/>
  <c r="G32"/>
  <c r="G33"/>
  <c r="G39"/>
  <c r="G40"/>
  <c r="G41"/>
  <c r="G43"/>
  <c r="H43" s="1"/>
  <c r="G51"/>
  <c r="G53"/>
  <c r="H53" s="1"/>
  <c r="E1133" i="7" s="1"/>
  <c r="G46" i="15"/>
  <c r="G47"/>
  <c r="G48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4"/>
  <c r="H74" s="1"/>
  <c r="E1135" i="7" s="1"/>
  <c r="G76" i="15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7"/>
  <c r="G98"/>
  <c r="G99"/>
  <c r="G100"/>
  <c r="G101"/>
  <c r="G103"/>
  <c r="G104"/>
  <c r="G105"/>
  <c r="G106"/>
  <c r="H107"/>
  <c r="E1139" i="7" s="1"/>
  <c r="G108" i="15"/>
  <c r="H108" s="1"/>
  <c r="E1140" i="7" s="1"/>
  <c r="G113" i="15"/>
  <c r="G115"/>
  <c r="G116"/>
  <c r="G118"/>
  <c r="H118" s="1"/>
  <c r="E1156" i="7" s="1"/>
  <c r="G120" i="15"/>
  <c r="H121" s="1"/>
  <c r="E1157" i="7" s="1"/>
  <c r="G123" i="15"/>
  <c r="H123" s="1"/>
  <c r="E1158" i="7" s="1"/>
  <c r="H124" i="15"/>
  <c r="E1159" i="7" s="1"/>
  <c r="G129" i="15"/>
  <c r="H129" s="1"/>
  <c r="E28" i="7" s="1"/>
  <c r="G131" i="15"/>
  <c r="H131" s="1"/>
  <c r="E30" i="7" s="1"/>
  <c r="G136" i="15"/>
  <c r="G137"/>
  <c r="G140"/>
  <c r="H140" s="1"/>
  <c r="H141"/>
  <c r="E53" i="7" s="1"/>
  <c r="G143" i="15"/>
  <c r="H143" s="1"/>
  <c r="E54" i="7" s="1"/>
  <c r="G144" i="15"/>
  <c r="H144" s="1"/>
  <c r="E55" i="7" s="1"/>
  <c r="G148" i="15"/>
  <c r="H148" s="1"/>
  <c r="E57" i="7" s="1"/>
  <c r="G149" i="15"/>
  <c r="H149" s="1"/>
  <c r="E58" i="7" s="1"/>
  <c r="G150" i="15"/>
  <c r="H150" s="1"/>
  <c r="E59" i="7" s="1"/>
  <c r="G153" i="15"/>
  <c r="G154"/>
  <c r="G155"/>
  <c r="G162"/>
  <c r="H162" s="1"/>
  <c r="E62" i="7" s="1"/>
  <c r="G163" i="15"/>
  <c r="H163" s="1"/>
  <c r="E63" i="7" s="1"/>
  <c r="G166" i="15"/>
  <c r="H166" s="1"/>
  <c r="E74" i="7" s="1"/>
  <c r="H167" i="15"/>
  <c r="E75" i="7" s="1"/>
  <c r="H168" i="15"/>
  <c r="E76" i="7" s="1"/>
  <c r="G169" i="15"/>
  <c r="H169" s="1"/>
  <c r="E77" i="7" s="1"/>
  <c r="G174" i="15"/>
  <c r="G175"/>
  <c r="G179"/>
  <c r="G182"/>
  <c r="G186"/>
  <c r="G189"/>
  <c r="G192"/>
  <c r="G196"/>
  <c r="H198"/>
  <c r="E144" i="7" s="1"/>
  <c r="H199" i="15"/>
  <c r="E145" i="7" s="1"/>
  <c r="G200" i="15"/>
  <c r="H200" s="1"/>
  <c r="E146" i="7" s="1"/>
  <c r="G204" i="15"/>
  <c r="G205"/>
  <c r="G206"/>
  <c r="G212"/>
  <c r="G213"/>
  <c r="G214"/>
  <c r="G216"/>
  <c r="G217"/>
  <c r="G219"/>
  <c r="G221"/>
  <c r="G222"/>
  <c r="G224"/>
  <c r="G225"/>
  <c r="G229"/>
  <c r="H229" s="1"/>
  <c r="E193" i="7" s="1"/>
  <c r="G232" i="15"/>
  <c r="G230"/>
  <c r="H230" s="1"/>
  <c r="E194" i="7" s="1"/>
  <c r="G233" i="15"/>
  <c r="G234"/>
  <c r="G235"/>
  <c r="H235" s="1"/>
  <c r="E196" i="7" s="1"/>
  <c r="G236" i="15"/>
  <c r="G237"/>
  <c r="G255"/>
  <c r="G256"/>
  <c r="G257"/>
  <c r="H257" s="1"/>
  <c r="E213" i="7" s="1"/>
  <c r="G258" i="15"/>
  <c r="H258" s="1"/>
  <c r="E214" i="7" s="1"/>
  <c r="G259" i="15"/>
  <c r="H259" s="1"/>
  <c r="E215" i="7" s="1"/>
  <c r="G263" i="15"/>
  <c r="H263" s="1"/>
  <c r="E235" i="7" s="1"/>
  <c r="G266" i="15"/>
  <c r="H266" s="1"/>
  <c r="E238" i="7" s="1"/>
  <c r="G267" i="15"/>
  <c r="H267" s="1"/>
  <c r="E239" i="7" s="1"/>
  <c r="H269" i="15"/>
  <c r="E241" i="7" s="1"/>
  <c r="G274" i="15"/>
  <c r="H274" s="1"/>
  <c r="E246" i="7" s="1"/>
  <c r="G277" i="15"/>
  <c r="H277" s="1"/>
  <c r="E258" i="7" s="1"/>
  <c r="G278" i="15"/>
  <c r="H278" s="1"/>
  <c r="E259" i="7" s="1"/>
  <c r="G279" i="15"/>
  <c r="H279" s="1"/>
  <c r="E260" i="7" s="1"/>
  <c r="H283" i="15"/>
  <c r="E281" i="7" s="1"/>
  <c r="H284" i="15"/>
  <c r="E282" i="7" s="1"/>
  <c r="H285" i="15"/>
  <c r="E283" i="7" s="1"/>
  <c r="H286" i="15"/>
  <c r="E284" i="7" s="1"/>
  <c r="H287" i="15"/>
  <c r="E285" i="7" s="1"/>
  <c r="H288" i="15"/>
  <c r="E286" i="7" s="1"/>
  <c r="H289" i="15"/>
  <c r="E287" i="7" s="1"/>
  <c r="H290" i="15"/>
  <c r="E288" i="7" s="1"/>
  <c r="H291" i="15"/>
  <c r="E289" i="7" s="1"/>
  <c r="H294" i="15"/>
  <c r="E292" i="7" s="1"/>
  <c r="H295" i="15"/>
  <c r="E293" i="7" s="1"/>
  <c r="H296" i="15"/>
  <c r="E294" i="7" s="1"/>
  <c r="H298" i="15"/>
  <c r="E296" i="7" s="1"/>
  <c r="G299" i="15"/>
  <c r="H299" s="1"/>
  <c r="E297" i="7" s="1"/>
  <c r="G301" i="15"/>
  <c r="H301" s="1"/>
  <c r="E299" i="7" s="1"/>
  <c r="G302" i="15"/>
  <c r="G303"/>
  <c r="G304"/>
  <c r="G305"/>
  <c r="H308"/>
  <c r="H359"/>
  <c r="E350" i="7" s="1"/>
  <c r="G360" i="15"/>
  <c r="H360" s="1"/>
  <c r="E351" i="7" s="1"/>
  <c r="G309" i="15"/>
  <c r="H309" s="1"/>
  <c r="G361"/>
  <c r="H361" s="1"/>
  <c r="E352" i="7" s="1"/>
  <c r="G362" i="15"/>
  <c r="H362" s="1"/>
  <c r="E353" i="7" s="1"/>
  <c r="G363" i="15"/>
  <c r="H363" s="1"/>
  <c r="E354" i="7" s="1"/>
  <c r="G364" i="15"/>
  <c r="H364" s="1"/>
  <c r="E355" i="7" s="1"/>
  <c r="G365" i="15"/>
  <c r="H365" s="1"/>
  <c r="E356" i="7" s="1"/>
  <c r="G366" i="15"/>
  <c r="H366" s="1"/>
  <c r="E357" i="7" s="1"/>
  <c r="G369" i="15"/>
  <c r="H369" s="1"/>
  <c r="E360" i="7" s="1"/>
  <c r="G370" i="15"/>
  <c r="H370" s="1"/>
  <c r="E361" i="7" s="1"/>
  <c r="G371" i="15"/>
  <c r="H371" s="1"/>
  <c r="E362" i="7" s="1"/>
  <c r="G372" i="15"/>
  <c r="H372" s="1"/>
  <c r="E363" i="7" s="1"/>
  <c r="G373" i="15"/>
  <c r="H373" s="1"/>
  <c r="E364" i="7" s="1"/>
  <c r="G374" i="15"/>
  <c r="H374" s="1"/>
  <c r="E365" i="7" s="1"/>
  <c r="G375" i="15"/>
  <c r="H375" s="1"/>
  <c r="E366" i="7" s="1"/>
  <c r="G376" i="15"/>
  <c r="H376" s="1"/>
  <c r="E367" i="7" s="1"/>
  <c r="G377" i="15"/>
  <c r="H377" s="1"/>
  <c r="E368" i="7" s="1"/>
  <c r="G378" i="15"/>
  <c r="H378" s="1"/>
  <c r="E369" i="7" s="1"/>
  <c r="G315" i="15"/>
  <c r="H315" s="1"/>
  <c r="G316"/>
  <c r="H316" s="1"/>
  <c r="G317"/>
  <c r="H317" s="1"/>
  <c r="G318"/>
  <c r="H318" s="1"/>
  <c r="G320"/>
  <c r="H320" s="1"/>
  <c r="E304" i="7" s="1"/>
  <c r="G321" i="15"/>
  <c r="H321" s="1"/>
  <c r="E324" i="7"/>
  <c r="E325"/>
  <c r="E326"/>
  <c r="E327"/>
  <c r="G339" i="15"/>
  <c r="H339" s="1"/>
  <c r="E323" i="7" s="1"/>
  <c r="H346" i="15"/>
  <c r="E330" i="7" s="1"/>
  <c r="H347" i="15"/>
  <c r="E331" i="7" s="1"/>
  <c r="H348" i="15"/>
  <c r="E332" i="7" s="1"/>
  <c r="H349" i="15"/>
  <c r="E333" i="7" s="1"/>
  <c r="H350" i="15"/>
  <c r="E334" i="7" s="1"/>
  <c r="H351" i="15"/>
  <c r="E335" i="7" s="1"/>
  <c r="H352" i="15"/>
  <c r="E336" i="7" s="1"/>
  <c r="H353" i="15"/>
  <c r="E337" i="7" s="1"/>
  <c r="H354" i="15"/>
  <c r="E338" i="7" s="1"/>
  <c r="H355" i="15"/>
  <c r="E339" i="7" s="1"/>
  <c r="E328"/>
  <c r="E329"/>
  <c r="H431" i="15"/>
  <c r="M364" i="7" l="1"/>
  <c r="M821"/>
  <c r="I821"/>
  <c r="M355"/>
  <c r="M8"/>
  <c r="I8"/>
  <c r="M365"/>
  <c r="M363"/>
  <c r="M362"/>
  <c r="M369"/>
  <c r="M361"/>
  <c r="M810"/>
  <c r="I810"/>
  <c r="M360"/>
  <c r="I368"/>
  <c r="M357"/>
  <c r="I350"/>
  <c r="M366"/>
  <c r="M356"/>
  <c r="Q241"/>
  <c r="U979"/>
  <c r="U984"/>
  <c r="H127" i="16"/>
  <c r="Q927" i="7"/>
  <c r="M927"/>
  <c r="M925"/>
  <c r="Q925"/>
  <c r="Q924"/>
  <c r="M924"/>
  <c r="M923"/>
  <c r="Q923"/>
  <c r="Q921"/>
  <c r="M921"/>
  <c r="Q920"/>
  <c r="M920"/>
  <c r="M928"/>
  <c r="Q928"/>
  <c r="Q929"/>
  <c r="M929"/>
  <c r="Q919"/>
  <c r="M919"/>
  <c r="E1387"/>
  <c r="E1365"/>
  <c r="E1385"/>
  <c r="E1363"/>
  <c r="H234" i="15"/>
  <c r="E195" i="7" s="1"/>
  <c r="H141" i="16"/>
  <c r="E583" i="7" s="1"/>
  <c r="H183" i="15"/>
  <c r="E123" i="7" s="1"/>
  <c r="E825"/>
  <c r="E824"/>
  <c r="H203" i="16"/>
  <c r="E741" i="7" s="1"/>
  <c r="H213" i="16"/>
  <c r="E767" i="7" s="1"/>
  <c r="H219" i="15"/>
  <c r="E190" i="7" s="1"/>
  <c r="H31" i="16"/>
  <c r="H78"/>
  <c r="E1205" i="7" s="1"/>
  <c r="H208" i="16"/>
  <c r="E764" i="7" s="1"/>
  <c r="H174" i="16"/>
  <c r="E649" i="7" s="1"/>
  <c r="H90" i="16"/>
  <c r="E1223" i="7" s="1"/>
  <c r="H158" i="16"/>
  <c r="E587" i="7" s="1"/>
  <c r="H118" i="16"/>
  <c r="E557" i="7" s="1"/>
  <c r="H22" i="16"/>
  <c r="E1178" i="7" s="1"/>
  <c r="H216" i="16"/>
  <c r="E768" i="7" s="1"/>
  <c r="H28" i="16"/>
  <c r="E1180" i="7" s="1"/>
  <c r="H146" i="16"/>
  <c r="E585" i="7" s="1"/>
  <c r="H39" i="16"/>
  <c r="E1201" i="7" s="1"/>
  <c r="H152" i="16"/>
  <c r="E586" i="7" s="1"/>
  <c r="H86" i="16"/>
  <c r="H171"/>
  <c r="E626" i="7" s="1"/>
  <c r="H73" i="16"/>
  <c r="E1203" i="7" s="1"/>
  <c r="H54" i="16"/>
  <c r="E1202" i="7" s="1"/>
  <c r="H186" i="15"/>
  <c r="E124" i="7" s="1"/>
  <c r="H222" i="15"/>
  <c r="E191" i="7" s="1"/>
  <c r="H36" i="15"/>
  <c r="E1111" i="7" s="1"/>
  <c r="H197" i="15"/>
  <c r="E143" i="7" s="1"/>
  <c r="H189" i="15"/>
  <c r="E125" i="7" s="1"/>
  <c r="H106" i="15"/>
  <c r="H48"/>
  <c r="E1131" i="7" s="1"/>
  <c r="H179" i="15"/>
  <c r="E120" i="7" s="1"/>
  <c r="H175" i="15"/>
  <c r="E97" i="7" s="1"/>
  <c r="H51" i="15"/>
  <c r="H33"/>
  <c r="E1110" i="7" s="1"/>
  <c r="H155" i="15"/>
  <c r="E60" i="7" s="1"/>
  <c r="H137" i="15"/>
  <c r="E51" i="7" s="1"/>
  <c r="H95" i="15"/>
  <c r="E1136" i="7" s="1"/>
  <c r="H214" i="15"/>
  <c r="E189" i="7" s="1"/>
  <c r="H305" i="15"/>
  <c r="E300" i="7" s="1"/>
  <c r="H192" i="15"/>
  <c r="E126" i="7" s="1"/>
  <c r="H41" i="15"/>
  <c r="E1112" i="7" s="1"/>
  <c r="H256" i="15"/>
  <c r="E212" i="7" s="1"/>
  <c r="H206" i="15"/>
  <c r="E166" i="7" s="1"/>
  <c r="H101" i="15"/>
  <c r="E1137" i="7" s="1"/>
  <c r="H30" i="15"/>
  <c r="E1109" i="7" s="1"/>
  <c r="H72" i="15"/>
  <c r="E1134" i="7" s="1"/>
  <c r="H241" i="15"/>
  <c r="E197" i="7" s="1"/>
  <c r="H227" i="15"/>
  <c r="E192" i="7" s="1"/>
  <c r="E52"/>
  <c r="H116" i="15"/>
  <c r="E1155" i="7" s="1"/>
  <c r="H176" i="16"/>
  <c r="E651" i="7" s="1"/>
  <c r="H175" i="16"/>
  <c r="E650" i="7" s="1"/>
  <c r="Q192" l="1"/>
  <c r="M192"/>
  <c r="I1387"/>
  <c r="U1387" s="1"/>
  <c r="I1365"/>
  <c r="U1365" s="1"/>
  <c r="U929"/>
  <c r="U927"/>
  <c r="U925"/>
  <c r="U924"/>
  <c r="U921"/>
  <c r="U928"/>
  <c r="U923"/>
  <c r="U919"/>
  <c r="U920"/>
  <c r="U821"/>
  <c r="A40" i="8" l="1"/>
  <c r="A39"/>
  <c r="A38"/>
  <c r="A37"/>
  <c r="A35"/>
  <c r="A34"/>
  <c r="A33"/>
  <c r="A32"/>
  <c r="A31"/>
  <c r="A30"/>
  <c r="A29"/>
  <c r="A28"/>
  <c r="A27"/>
  <c r="A26"/>
  <c r="A25"/>
  <c r="A19"/>
  <c r="A18"/>
  <c r="A17"/>
  <c r="A16"/>
  <c r="A15"/>
  <c r="A14"/>
  <c r="A13"/>
  <c r="A12"/>
  <c r="A11"/>
  <c r="A10"/>
  <c r="A9"/>
  <c r="A8"/>
  <c r="G5" i="11"/>
  <c r="H5" s="1"/>
  <c r="J5"/>
  <c r="L5"/>
  <c r="G6"/>
  <c r="M6" s="1"/>
  <c r="J6"/>
  <c r="L6"/>
  <c r="G7"/>
  <c r="H7" s="1"/>
  <c r="J7"/>
  <c r="L7"/>
  <c r="G8"/>
  <c r="H8" s="1"/>
  <c r="J8"/>
  <c r="L8"/>
  <c r="H9"/>
  <c r="I9"/>
  <c r="M9" s="1"/>
  <c r="L9"/>
  <c r="H10"/>
  <c r="I10"/>
  <c r="J10" s="1"/>
  <c r="L10"/>
  <c r="J11"/>
  <c r="L11"/>
  <c r="G15"/>
  <c r="H15" s="1"/>
  <c r="J15"/>
  <c r="L15"/>
  <c r="G16"/>
  <c r="M16" s="1"/>
  <c r="J16"/>
  <c r="L16"/>
  <c r="G17"/>
  <c r="M17" s="1"/>
  <c r="J17"/>
  <c r="L17"/>
  <c r="G18"/>
  <c r="H18" s="1"/>
  <c r="J18"/>
  <c r="L18"/>
  <c r="G19"/>
  <c r="H19" s="1"/>
  <c r="J19"/>
  <c r="L19"/>
  <c r="G20"/>
  <c r="M20" s="1"/>
  <c r="J20"/>
  <c r="L20"/>
  <c r="G21"/>
  <c r="M21" s="1"/>
  <c r="J21"/>
  <c r="L21"/>
  <c r="G22"/>
  <c r="H22" s="1"/>
  <c r="J22"/>
  <c r="L22"/>
  <c r="G23"/>
  <c r="H23" s="1"/>
  <c r="J23"/>
  <c r="L23"/>
  <c r="G24"/>
  <c r="M24" s="1"/>
  <c r="J24"/>
  <c r="L24"/>
  <c r="G25"/>
  <c r="H25" s="1"/>
  <c r="J25"/>
  <c r="L25"/>
  <c r="J26"/>
  <c r="L26"/>
  <c r="H27"/>
  <c r="I27"/>
  <c r="J27" s="1"/>
  <c r="L27"/>
  <c r="H28"/>
  <c r="I28"/>
  <c r="M28" s="1"/>
  <c r="L28"/>
  <c r="J29"/>
  <c r="L29"/>
  <c r="G33"/>
  <c r="M33" s="1"/>
  <c r="J33"/>
  <c r="L33"/>
  <c r="G34"/>
  <c r="H34" s="1"/>
  <c r="J34"/>
  <c r="L34"/>
  <c r="G35"/>
  <c r="H35" s="1"/>
  <c r="J35"/>
  <c r="L35"/>
  <c r="G36"/>
  <c r="M36" s="1"/>
  <c r="J36"/>
  <c r="L36"/>
  <c r="G37"/>
  <c r="M37" s="1"/>
  <c r="J37"/>
  <c r="L37"/>
  <c r="G38"/>
  <c r="H38" s="1"/>
  <c r="J38"/>
  <c r="L38"/>
  <c r="G39"/>
  <c r="H39" s="1"/>
  <c r="J39"/>
  <c r="L39"/>
  <c r="G40"/>
  <c r="H40" s="1"/>
  <c r="J40"/>
  <c r="L40"/>
  <c r="G41"/>
  <c r="M41" s="1"/>
  <c r="J41"/>
  <c r="L41"/>
  <c r="G42"/>
  <c r="H42" s="1"/>
  <c r="J42"/>
  <c r="L42"/>
  <c r="G43"/>
  <c r="H43" s="1"/>
  <c r="J43"/>
  <c r="L43"/>
  <c r="J44"/>
  <c r="L44"/>
  <c r="H45"/>
  <c r="I45"/>
  <c r="M45" s="1"/>
  <c r="L45"/>
  <c r="H46"/>
  <c r="I46"/>
  <c r="M46" s="1"/>
  <c r="L46"/>
  <c r="J47"/>
  <c r="L47"/>
  <c r="G51"/>
  <c r="H51" s="1"/>
  <c r="J51"/>
  <c r="L51"/>
  <c r="G52"/>
  <c r="H52" s="1"/>
  <c r="J52"/>
  <c r="L52"/>
  <c r="G53"/>
  <c r="H53" s="1"/>
  <c r="J53"/>
  <c r="L53"/>
  <c r="G54"/>
  <c r="M54" s="1"/>
  <c r="J54"/>
  <c r="L54"/>
  <c r="G55"/>
  <c r="H55" s="1"/>
  <c r="J55"/>
  <c r="L55"/>
  <c r="G56"/>
  <c r="H56" s="1"/>
  <c r="J56"/>
  <c r="L56"/>
  <c r="G57"/>
  <c r="M57" s="1"/>
  <c r="J57"/>
  <c r="L57"/>
  <c r="G58"/>
  <c r="M58" s="1"/>
  <c r="J58"/>
  <c r="L58"/>
  <c r="G59"/>
  <c r="H59" s="1"/>
  <c r="J59"/>
  <c r="L59"/>
  <c r="G60"/>
  <c r="H60" s="1"/>
  <c r="J60"/>
  <c r="L60"/>
  <c r="G61"/>
  <c r="H61" s="1"/>
  <c r="J61"/>
  <c r="L61"/>
  <c r="G62"/>
  <c r="M62" s="1"/>
  <c r="J62"/>
  <c r="L62"/>
  <c r="G63"/>
  <c r="H63" s="1"/>
  <c r="J63"/>
  <c r="L63"/>
  <c r="J64"/>
  <c r="L64"/>
  <c r="H65"/>
  <c r="I65"/>
  <c r="J65" s="1"/>
  <c r="L65"/>
  <c r="H66"/>
  <c r="I66"/>
  <c r="M66" s="1"/>
  <c r="L66"/>
  <c r="J67"/>
  <c r="L67"/>
  <c r="G71"/>
  <c r="M71" s="1"/>
  <c r="J71"/>
  <c r="L71"/>
  <c r="G72"/>
  <c r="H72" s="1"/>
  <c r="J72"/>
  <c r="L72"/>
  <c r="J73"/>
  <c r="L73"/>
  <c r="H74"/>
  <c r="I74"/>
  <c r="J74" s="1"/>
  <c r="L74"/>
  <c r="H75"/>
  <c r="I75"/>
  <c r="M75" s="1"/>
  <c r="L75"/>
  <c r="J76"/>
  <c r="L76"/>
  <c r="G80"/>
  <c r="M80" s="1"/>
  <c r="J80"/>
  <c r="L80"/>
  <c r="G81"/>
  <c r="H81" s="1"/>
  <c r="J81"/>
  <c r="L81"/>
  <c r="J82"/>
  <c r="L82"/>
  <c r="H83"/>
  <c r="I83"/>
  <c r="M83" s="1"/>
  <c r="L83"/>
  <c r="H84"/>
  <c r="I84"/>
  <c r="J84" s="1"/>
  <c r="L84"/>
  <c r="J85"/>
  <c r="L85"/>
  <c r="O290" i="4"/>
  <c r="H954" i="7" s="1"/>
  <c r="I954" s="1"/>
  <c r="Q961"/>
  <c r="T1276" l="1"/>
  <c r="U1276"/>
  <c r="T1272"/>
  <c r="U1272"/>
  <c r="T1268"/>
  <c r="U1268"/>
  <c r="T1264"/>
  <c r="U1264"/>
  <c r="T1260"/>
  <c r="U1260"/>
  <c r="T1256"/>
  <c r="U1256"/>
  <c r="T1252"/>
  <c r="U1252"/>
  <c r="T1275"/>
  <c r="U1275"/>
  <c r="T1271"/>
  <c r="U1271"/>
  <c r="T1267"/>
  <c r="U1267"/>
  <c r="T1263"/>
  <c r="U1263"/>
  <c r="T1259"/>
  <c r="U1259"/>
  <c r="T1255"/>
  <c r="U1255"/>
  <c r="T1251"/>
  <c r="U1251"/>
  <c r="B11" i="1"/>
  <c r="B21"/>
  <c r="B32"/>
  <c r="B40"/>
  <c r="B6"/>
  <c r="B14"/>
  <c r="B22"/>
  <c r="B27"/>
  <c r="B37"/>
  <c r="B44"/>
  <c r="B7"/>
  <c r="B18"/>
  <c r="B23"/>
  <c r="B28"/>
  <c r="B42"/>
  <c r="B45"/>
  <c r="B49"/>
  <c r="B8"/>
  <c r="B12"/>
  <c r="B24"/>
  <c r="B29"/>
  <c r="B33"/>
  <c r="B46"/>
  <c r="B51"/>
  <c r="B9"/>
  <c r="B15"/>
  <c r="B30"/>
  <c r="B38"/>
  <c r="B47"/>
  <c r="B52"/>
  <c r="B10"/>
  <c r="B19"/>
  <c r="B25"/>
  <c r="B31"/>
  <c r="B34"/>
  <c r="B53"/>
  <c r="B13"/>
  <c r="B16"/>
  <c r="B36"/>
  <c r="B39"/>
  <c r="B48"/>
  <c r="B17"/>
  <c r="B20"/>
  <c r="B41"/>
  <c r="B35"/>
  <c r="L12" i="11"/>
  <c r="G4" i="10" s="1"/>
  <c r="L30" i="11"/>
  <c r="G5" i="10" s="1"/>
  <c r="N81" i="11"/>
  <c r="M61"/>
  <c r="M19"/>
  <c r="M18"/>
  <c r="M22"/>
  <c r="M40"/>
  <c r="L107"/>
  <c r="G9" i="10" s="1"/>
  <c r="J28" i="11"/>
  <c r="N28" s="1"/>
  <c r="N53"/>
  <c r="N34"/>
  <c r="H36"/>
  <c r="N36" s="1"/>
  <c r="M15"/>
  <c r="H17"/>
  <c r="N17" s="1"/>
  <c r="J75"/>
  <c r="G76" s="1"/>
  <c r="N59"/>
  <c r="M53"/>
  <c r="J9"/>
  <c r="N9" s="1"/>
  <c r="N7"/>
  <c r="N43"/>
  <c r="L48"/>
  <c r="G6" i="10" s="1"/>
  <c r="N23" i="11"/>
  <c r="N52"/>
  <c r="N72"/>
  <c r="N38"/>
  <c r="N63"/>
  <c r="L77"/>
  <c r="G8" i="10" s="1"/>
  <c r="N40" i="11"/>
  <c r="N18"/>
  <c r="N42"/>
  <c r="M39"/>
  <c r="N61"/>
  <c r="N56"/>
  <c r="N25"/>
  <c r="M84"/>
  <c r="N60"/>
  <c r="N55"/>
  <c r="N35"/>
  <c r="N22"/>
  <c r="N8"/>
  <c r="L68"/>
  <c r="G7" i="10" s="1"/>
  <c r="M52" i="11"/>
  <c r="M23"/>
  <c r="M56"/>
  <c r="N39"/>
  <c r="N19"/>
  <c r="T1274" i="7"/>
  <c r="U1254"/>
  <c r="U1266"/>
  <c r="U1278"/>
  <c r="U1273"/>
  <c r="U1261"/>
  <c r="U1253"/>
  <c r="T1270"/>
  <c r="T1265"/>
  <c r="U1277"/>
  <c r="U1250"/>
  <c r="U1262"/>
  <c r="U1257"/>
  <c r="U1274"/>
  <c r="T1258"/>
  <c r="T1253"/>
  <c r="U1270"/>
  <c r="U1258"/>
  <c r="U1279"/>
  <c r="U1265"/>
  <c r="T1257"/>
  <c r="T1250"/>
  <c r="T1277"/>
  <c r="T1273"/>
  <c r="U1269"/>
  <c r="T1261"/>
  <c r="T1278"/>
  <c r="J66" i="11"/>
  <c r="N66" s="1"/>
  <c r="H57"/>
  <c r="N57" s="1"/>
  <c r="J45"/>
  <c r="N45" s="1"/>
  <c r="M8"/>
  <c r="H21"/>
  <c r="N21" s="1"/>
  <c r="T1269" i="7"/>
  <c r="T1254"/>
  <c r="M60" i="11"/>
  <c r="J46"/>
  <c r="N46" s="1"/>
  <c r="M35"/>
  <c r="H6"/>
  <c r="N6" s="1"/>
  <c r="T1262" i="7"/>
  <c r="N84" i="11"/>
  <c r="M43"/>
  <c r="M7"/>
  <c r="T1266" i="7"/>
  <c r="J83" i="11"/>
  <c r="G85" s="1"/>
  <c r="H85" s="1"/>
  <c r="N85" s="1"/>
  <c r="N10"/>
  <c r="N74"/>
  <c r="N65"/>
  <c r="N27"/>
  <c r="N51"/>
  <c r="N5"/>
  <c r="M81"/>
  <c r="M72"/>
  <c r="M63"/>
  <c r="M59"/>
  <c r="M55"/>
  <c r="M51"/>
  <c r="M42"/>
  <c r="M38"/>
  <c r="M34"/>
  <c r="M25"/>
  <c r="H80"/>
  <c r="H71"/>
  <c r="H62"/>
  <c r="N62" s="1"/>
  <c r="H58"/>
  <c r="N58" s="1"/>
  <c r="H54"/>
  <c r="N54" s="1"/>
  <c r="H41"/>
  <c r="N41" s="1"/>
  <c r="H37"/>
  <c r="N37" s="1"/>
  <c r="H33"/>
  <c r="H24"/>
  <c r="N24" s="1"/>
  <c r="H20"/>
  <c r="N20" s="1"/>
  <c r="H16"/>
  <c r="N16" s="1"/>
  <c r="M5"/>
  <c r="N15"/>
  <c r="M27"/>
  <c r="M10"/>
  <c r="M74"/>
  <c r="M65"/>
  <c r="T961" i="7"/>
  <c r="U961"/>
  <c r="G67" i="11" l="1"/>
  <c r="H67" s="1"/>
  <c r="N67" s="1"/>
  <c r="Q1290" i="7"/>
  <c r="O53" i="8" s="1"/>
  <c r="P53" s="1"/>
  <c r="O52" s="1"/>
  <c r="J30" i="11"/>
  <c r="F5" i="10" s="1"/>
  <c r="D52" i="1"/>
  <c r="E52" s="1"/>
  <c r="D53"/>
  <c r="E53" s="1"/>
  <c r="J51"/>
  <c r="K51" s="1"/>
  <c r="G53"/>
  <c r="G52"/>
  <c r="J68" i="11"/>
  <c r="F7" i="10" s="1"/>
  <c r="G29" i="11"/>
  <c r="H29" s="1"/>
  <c r="N29" s="1"/>
  <c r="G11"/>
  <c r="H11" s="1"/>
  <c r="J12"/>
  <c r="F4" i="10" s="1"/>
  <c r="G26" i="11"/>
  <c r="H26" s="1"/>
  <c r="N75"/>
  <c r="J77"/>
  <c r="F8" i="10" s="1"/>
  <c r="T1279" i="7"/>
  <c r="M85" i="11"/>
  <c r="J48"/>
  <c r="F6" i="10" s="1"/>
  <c r="N83" i="11"/>
  <c r="G47"/>
  <c r="J107"/>
  <c r="F9" i="10" s="1"/>
  <c r="H76" i="11"/>
  <c r="N76" s="1"/>
  <c r="M76"/>
  <c r="G73"/>
  <c r="N71"/>
  <c r="N33"/>
  <c r="G44"/>
  <c r="G64"/>
  <c r="G82"/>
  <c r="N80"/>
  <c r="M67" l="1"/>
  <c r="M1290" i="7"/>
  <c r="M29" i="11"/>
  <c r="G51" i="1"/>
  <c r="J49"/>
  <c r="K49" s="1"/>
  <c r="D51"/>
  <c r="H53"/>
  <c r="H52"/>
  <c r="M11" i="11"/>
  <c r="M26"/>
  <c r="H47"/>
  <c r="N47" s="1"/>
  <c r="M47"/>
  <c r="H64"/>
  <c r="M64"/>
  <c r="M44"/>
  <c r="H44"/>
  <c r="N26"/>
  <c r="H30"/>
  <c r="N11"/>
  <c r="H12"/>
  <c r="H73"/>
  <c r="M73"/>
  <c r="H82"/>
  <c r="M82"/>
  <c r="K53" i="8" l="1"/>
  <c r="G49" i="1" s="1"/>
  <c r="H49" s="1"/>
  <c r="H51"/>
  <c r="E51"/>
  <c r="M51"/>
  <c r="N51" s="1"/>
  <c r="N30" i="11"/>
  <c r="E5" i="10"/>
  <c r="N44" i="11"/>
  <c r="H48"/>
  <c r="N82"/>
  <c r="H107"/>
  <c r="E4" i="10"/>
  <c r="H4" s="1"/>
  <c r="N12" i="11"/>
  <c r="N73"/>
  <c r="H77"/>
  <c r="N64"/>
  <c r="H68"/>
  <c r="L53" i="8" l="1"/>
  <c r="K52" s="1"/>
  <c r="L52" s="1"/>
  <c r="G7" i="21" s="1"/>
  <c r="K8" i="20" s="1"/>
  <c r="E7" i="10"/>
  <c r="N68" i="11"/>
  <c r="E8" i="10"/>
  <c r="H8" s="1"/>
  <c r="N77" i="11"/>
  <c r="H5" i="10"/>
  <c r="N107" i="11"/>
  <c r="E9" i="10"/>
  <c r="H9" s="1"/>
  <c r="N48" i="11"/>
  <c r="E6" i="10"/>
  <c r="T1247" i="7" l="1"/>
  <c r="I1290"/>
  <c r="H6" i="10"/>
  <c r="H7"/>
  <c r="K9" i="20" l="1"/>
  <c r="L9" s="1"/>
  <c r="K17"/>
  <c r="L17" s="1"/>
  <c r="K14"/>
  <c r="L14" s="1"/>
  <c r="K15"/>
  <c r="L15" s="1"/>
  <c r="L8"/>
  <c r="U1249" i="7"/>
  <c r="T1249"/>
  <c r="U1248"/>
  <c r="T1248"/>
  <c r="U1247"/>
  <c r="U1290" l="1"/>
  <c r="K10" i="20"/>
  <c r="K16"/>
  <c r="L16" s="1"/>
  <c r="G53" i="8"/>
  <c r="K13" i="20" l="1"/>
  <c r="L13" s="1"/>
  <c r="K12"/>
  <c r="L12" s="1"/>
  <c r="L10"/>
  <c r="D49" i="1" l="1"/>
  <c r="M49" s="1"/>
  <c r="N49" s="1"/>
  <c r="S53" i="8"/>
  <c r="H53"/>
  <c r="G52" l="1"/>
  <c r="S52" s="1"/>
  <c r="T53"/>
  <c r="E49" i="1"/>
  <c r="O87" i="4"/>
  <c r="H354" i="7" s="1"/>
  <c r="O88" i="4"/>
  <c r="H355" i="7" s="1"/>
  <c r="O89" i="4"/>
  <c r="H356" i="7" s="1"/>
  <c r="O90" i="4"/>
  <c r="H357" i="7" s="1"/>
  <c r="O91" i="4"/>
  <c r="H358" i="7" s="1"/>
  <c r="O92" i="4"/>
  <c r="H359" i="7" s="1"/>
  <c r="O93" i="4"/>
  <c r="H360" i="7" s="1"/>
  <c r="O94" i="4"/>
  <c r="H361" i="7" s="1"/>
  <c r="O95" i="4"/>
  <c r="O96"/>
  <c r="O97"/>
  <c r="H364" i="7" s="1"/>
  <c r="O98" i="4"/>
  <c r="H365" i="7" s="1"/>
  <c r="O99" i="4"/>
  <c r="H366" i="7" s="1"/>
  <c r="Q357"/>
  <c r="Q356"/>
  <c r="O83" i="4"/>
  <c r="H447" i="7" s="1"/>
  <c r="O82" i="4"/>
  <c r="H446" i="7" s="1"/>
  <c r="O81" i="4"/>
  <c r="H445" i="7" s="1"/>
  <c r="P447"/>
  <c r="Q447" s="1"/>
  <c r="L447"/>
  <c r="M447" s="1"/>
  <c r="P446"/>
  <c r="Q446" s="1"/>
  <c r="L446"/>
  <c r="M446" s="1"/>
  <c r="P445"/>
  <c r="Q445" s="1"/>
  <c r="L445"/>
  <c r="M445" s="1"/>
  <c r="T366" l="1"/>
  <c r="I366"/>
  <c r="U366" s="1"/>
  <c r="T365"/>
  <c r="I365"/>
  <c r="T356"/>
  <c r="I356"/>
  <c r="U356" s="1"/>
  <c r="I445"/>
  <c r="U445" s="1"/>
  <c r="T445"/>
  <c r="I355"/>
  <c r="T446"/>
  <c r="I446"/>
  <c r="U446" s="1"/>
  <c r="I354"/>
  <c r="I447"/>
  <c r="U447" s="1"/>
  <c r="T447"/>
  <c r="T361"/>
  <c r="I361"/>
  <c r="U361" s="1"/>
  <c r="T357"/>
  <c r="I357"/>
  <c r="U357" s="1"/>
  <c r="T360"/>
  <c r="I360"/>
  <c r="U360" s="1"/>
  <c r="T358"/>
  <c r="I358"/>
  <c r="U358" s="1"/>
  <c r="T364"/>
  <c r="I364"/>
  <c r="U364" s="1"/>
  <c r="T359"/>
  <c r="I359"/>
  <c r="U359" s="1"/>
  <c r="H52" i="8"/>
  <c r="H363" i="7"/>
  <c r="H362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960"/>
  <c r="Q959"/>
  <c r="Q958"/>
  <c r="Q957"/>
  <c r="Q956"/>
  <c r="Q955"/>
  <c r="Q954"/>
  <c r="Q952"/>
  <c r="Q951"/>
  <c r="Q950"/>
  <c r="Q949"/>
  <c r="P918"/>
  <c r="Q918" s="1"/>
  <c r="L918"/>
  <c r="M918" s="1"/>
  <c r="P917"/>
  <c r="Q917" s="1"/>
  <c r="L917"/>
  <c r="P916"/>
  <c r="Q916" s="1"/>
  <c r="L916"/>
  <c r="M916" s="1"/>
  <c r="P915"/>
  <c r="Q915" s="1"/>
  <c r="L915"/>
  <c r="M915" s="1"/>
  <c r="P914"/>
  <c r="Q914" s="1"/>
  <c r="L914"/>
  <c r="M914" s="1"/>
  <c r="P913"/>
  <c r="Q913" s="1"/>
  <c r="L913"/>
  <c r="M913" s="1"/>
  <c r="P912"/>
  <c r="Q912" s="1"/>
  <c r="L912"/>
  <c r="M912" s="1"/>
  <c r="P911"/>
  <c r="Q911" s="1"/>
  <c r="L911"/>
  <c r="M911" s="1"/>
  <c r="P910"/>
  <c r="Q910" s="1"/>
  <c r="L910"/>
  <c r="M910" s="1"/>
  <c r="P909"/>
  <c r="Q909" s="1"/>
  <c r="L909"/>
  <c r="M909" s="1"/>
  <c r="P908"/>
  <c r="Q908" s="1"/>
  <c r="L908"/>
  <c r="M908" s="1"/>
  <c r="P907"/>
  <c r="Q907" s="1"/>
  <c r="L907"/>
  <c r="M907" s="1"/>
  <c r="P906"/>
  <c r="Q906" s="1"/>
  <c r="L906"/>
  <c r="M906" s="1"/>
  <c r="P905"/>
  <c r="L905"/>
  <c r="M905" s="1"/>
  <c r="P904"/>
  <c r="Q904" s="1"/>
  <c r="L904"/>
  <c r="M904" s="1"/>
  <c r="P903"/>
  <c r="Q903" s="1"/>
  <c r="L903"/>
  <c r="M903" s="1"/>
  <c r="P902"/>
  <c r="Q902" s="1"/>
  <c r="L902"/>
  <c r="M902" s="1"/>
  <c r="P834"/>
  <c r="Q834" s="1"/>
  <c r="L834"/>
  <c r="M834" s="1"/>
  <c r="P833"/>
  <c r="Q833" s="1"/>
  <c r="L833"/>
  <c r="M833" s="1"/>
  <c r="P826"/>
  <c r="Q826" s="1"/>
  <c r="L826"/>
  <c r="M826" s="1"/>
  <c r="P824"/>
  <c r="Q824" s="1"/>
  <c r="L824"/>
  <c r="M824" s="1"/>
  <c r="P588"/>
  <c r="Q588" s="1"/>
  <c r="P1367"/>
  <c r="Q1367" s="1"/>
  <c r="L1367"/>
  <c r="M1367" s="1"/>
  <c r="P1366"/>
  <c r="Q1366" s="1"/>
  <c r="L1366"/>
  <c r="M1366" s="1"/>
  <c r="Q1364"/>
  <c r="M1364"/>
  <c r="Q1363"/>
  <c r="M1363"/>
  <c r="Q394"/>
  <c r="U394" s="1"/>
  <c r="Q392"/>
  <c r="U392" s="1"/>
  <c r="Q391"/>
  <c r="U391" s="1"/>
  <c r="Q390"/>
  <c r="U390" s="1"/>
  <c r="Q388"/>
  <c r="U388" s="1"/>
  <c r="Q387"/>
  <c r="U387" s="1"/>
  <c r="Q386"/>
  <c r="U386" s="1"/>
  <c r="Q384"/>
  <c r="U384" s="1"/>
  <c r="Q383"/>
  <c r="U383" s="1"/>
  <c r="Q382"/>
  <c r="U382" s="1"/>
  <c r="P380"/>
  <c r="Q380" s="1"/>
  <c r="P371"/>
  <c r="Q371" s="1"/>
  <c r="L371"/>
  <c r="M371" s="1"/>
  <c r="P375"/>
  <c r="Q375" s="1"/>
  <c r="L375"/>
  <c r="M375" s="1"/>
  <c r="P370"/>
  <c r="Q370" s="1"/>
  <c r="L370"/>
  <c r="M370" s="1"/>
  <c r="P372"/>
  <c r="Q372" s="1"/>
  <c r="L372"/>
  <c r="M372" s="1"/>
  <c r="P376"/>
  <c r="Q376" s="1"/>
  <c r="L376"/>
  <c r="M376" s="1"/>
  <c r="P374"/>
  <c r="Q374" s="1"/>
  <c r="L374"/>
  <c r="M374" s="1"/>
  <c r="P377"/>
  <c r="Q377" s="1"/>
  <c r="L377"/>
  <c r="M377" s="1"/>
  <c r="P378"/>
  <c r="Q378" s="1"/>
  <c r="L378"/>
  <c r="M378" s="1"/>
  <c r="P373"/>
  <c r="Q373" s="1"/>
  <c r="L373"/>
  <c r="M373" s="1"/>
  <c r="P379"/>
  <c r="Q379" s="1"/>
  <c r="L379"/>
  <c r="M379" s="1"/>
  <c r="P368"/>
  <c r="Q368" s="1"/>
  <c r="L368"/>
  <c r="P367"/>
  <c r="Q367" s="1"/>
  <c r="L367"/>
  <c r="M367" s="1"/>
  <c r="P355"/>
  <c r="Q355" s="1"/>
  <c r="P354"/>
  <c r="Q354" s="1"/>
  <c r="L354"/>
  <c r="M354" s="1"/>
  <c r="P353"/>
  <c r="Q353" s="1"/>
  <c r="L353"/>
  <c r="M353" s="1"/>
  <c r="P352"/>
  <c r="Q352" s="1"/>
  <c r="L352"/>
  <c r="M352" s="1"/>
  <c r="P340"/>
  <c r="Q340" s="1"/>
  <c r="L340"/>
  <c r="P329"/>
  <c r="Q329" s="1"/>
  <c r="L329"/>
  <c r="M329" s="1"/>
  <c r="Q328"/>
  <c r="L328"/>
  <c r="M328" s="1"/>
  <c r="P339"/>
  <c r="Q339" s="1"/>
  <c r="L339"/>
  <c r="M339" s="1"/>
  <c r="P338"/>
  <c r="Q338" s="1"/>
  <c r="L338"/>
  <c r="M338" s="1"/>
  <c r="P337"/>
  <c r="Q337" s="1"/>
  <c r="L337"/>
  <c r="M337" s="1"/>
  <c r="P336"/>
  <c r="Q336" s="1"/>
  <c r="L336"/>
  <c r="M336" s="1"/>
  <c r="P335"/>
  <c r="Q335" s="1"/>
  <c r="L335"/>
  <c r="M335" s="1"/>
  <c r="P334"/>
  <c r="Q334" s="1"/>
  <c r="L334"/>
  <c r="M334" s="1"/>
  <c r="P333"/>
  <c r="Q333" s="1"/>
  <c r="L333"/>
  <c r="M333" s="1"/>
  <c r="P332"/>
  <c r="Q332" s="1"/>
  <c r="L332"/>
  <c r="M332" s="1"/>
  <c r="P331"/>
  <c r="Q331" s="1"/>
  <c r="L331"/>
  <c r="M331" s="1"/>
  <c r="P330"/>
  <c r="Q330" s="1"/>
  <c r="L330"/>
  <c r="M330" s="1"/>
  <c r="Q323"/>
  <c r="M323"/>
  <c r="Q327"/>
  <c r="M327"/>
  <c r="Q326"/>
  <c r="M326"/>
  <c r="Q325"/>
  <c r="M325"/>
  <c r="Q324"/>
  <c r="P305"/>
  <c r="Q305" s="1"/>
  <c r="L305"/>
  <c r="M305" s="1"/>
  <c r="P304"/>
  <c r="Q304" s="1"/>
  <c r="L304"/>
  <c r="M304" s="1"/>
  <c r="P452"/>
  <c r="Q452" s="1"/>
  <c r="L452"/>
  <c r="M452" s="1"/>
  <c r="H452"/>
  <c r="P451"/>
  <c r="Q451" s="1"/>
  <c r="L451"/>
  <c r="M451" s="1"/>
  <c r="P450"/>
  <c r="Q450" s="1"/>
  <c r="L450"/>
  <c r="M450" s="1"/>
  <c r="P449"/>
  <c r="Q449" s="1"/>
  <c r="L449"/>
  <c r="M449" s="1"/>
  <c r="P444"/>
  <c r="Q444" s="1"/>
  <c r="L444"/>
  <c r="M444" s="1"/>
  <c r="P443"/>
  <c r="Q443" s="1"/>
  <c r="L443"/>
  <c r="M443" s="1"/>
  <c r="P442"/>
  <c r="Q442" s="1"/>
  <c r="L442"/>
  <c r="M442" s="1"/>
  <c r="P300"/>
  <c r="Q300" s="1"/>
  <c r="L300"/>
  <c r="M300" s="1"/>
  <c r="P298"/>
  <c r="Q298" s="1"/>
  <c r="L298"/>
  <c r="M298" s="1"/>
  <c r="P297"/>
  <c r="Q297" s="1"/>
  <c r="L297"/>
  <c r="M297" s="1"/>
  <c r="P299"/>
  <c r="Q299" s="1"/>
  <c r="L299"/>
  <c r="M299" s="1"/>
  <c r="P296"/>
  <c r="Q296" s="1"/>
  <c r="L296"/>
  <c r="M296" s="1"/>
  <c r="I798" i="5"/>
  <c r="J798" s="1"/>
  <c r="J799" s="1"/>
  <c r="J121" i="6" s="1"/>
  <c r="G798" i="5"/>
  <c r="H798" s="1"/>
  <c r="H799" s="1"/>
  <c r="H121" i="6" s="1"/>
  <c r="E798" i="5"/>
  <c r="I793"/>
  <c r="J793" s="1"/>
  <c r="G793"/>
  <c r="H793" s="1"/>
  <c r="E793"/>
  <c r="I792"/>
  <c r="J792" s="1"/>
  <c r="G792"/>
  <c r="H792" s="1"/>
  <c r="E792"/>
  <c r="F792" s="1"/>
  <c r="I787"/>
  <c r="J787" s="1"/>
  <c r="G787"/>
  <c r="H787" s="1"/>
  <c r="E787"/>
  <c r="F787" s="1"/>
  <c r="I786"/>
  <c r="J786" s="1"/>
  <c r="G786"/>
  <c r="H786" s="1"/>
  <c r="E786"/>
  <c r="F786" s="1"/>
  <c r="I782"/>
  <c r="J782" s="1"/>
  <c r="G782"/>
  <c r="H782" s="1"/>
  <c r="E782"/>
  <c r="F782" s="1"/>
  <c r="I781"/>
  <c r="J781" s="1"/>
  <c r="G781"/>
  <c r="H781" s="1"/>
  <c r="I777"/>
  <c r="J777" s="1"/>
  <c r="J778" s="1"/>
  <c r="J117" i="6" s="1"/>
  <c r="G777" i="5"/>
  <c r="H777" s="1"/>
  <c r="H778" s="1"/>
  <c r="H117" i="6" s="1"/>
  <c r="E777" i="5"/>
  <c r="F777" s="1"/>
  <c r="G773"/>
  <c r="H773" s="1"/>
  <c r="H774" s="1"/>
  <c r="H116" i="6" s="1"/>
  <c r="E773" i="5"/>
  <c r="F773" s="1"/>
  <c r="F774" s="1"/>
  <c r="F116" i="6" s="1"/>
  <c r="J768" i="5"/>
  <c r="F768"/>
  <c r="J767"/>
  <c r="H767"/>
  <c r="F767"/>
  <c r="J766"/>
  <c r="H766"/>
  <c r="F766"/>
  <c r="H765"/>
  <c r="F765"/>
  <c r="H764"/>
  <c r="F764"/>
  <c r="J762"/>
  <c r="H762"/>
  <c r="J761"/>
  <c r="H761"/>
  <c r="J760"/>
  <c r="H760"/>
  <c r="J755"/>
  <c r="H755"/>
  <c r="F755"/>
  <c r="J754"/>
  <c r="H754"/>
  <c r="J753"/>
  <c r="H753"/>
  <c r="F753"/>
  <c r="J752"/>
  <c r="H752"/>
  <c r="F752"/>
  <c r="H751"/>
  <c r="F751"/>
  <c r="J749"/>
  <c r="H749"/>
  <c r="J748"/>
  <c r="H748"/>
  <c r="J747"/>
  <c r="H747"/>
  <c r="I742"/>
  <c r="J742" s="1"/>
  <c r="G742"/>
  <c r="H742" s="1"/>
  <c r="E742"/>
  <c r="F742" s="1"/>
  <c r="I741"/>
  <c r="J741" s="1"/>
  <c r="G741"/>
  <c r="E741"/>
  <c r="F741" s="1"/>
  <c r="I740"/>
  <c r="J740" s="1"/>
  <c r="G740"/>
  <c r="H740" s="1"/>
  <c r="E740"/>
  <c r="I739"/>
  <c r="G739"/>
  <c r="H739" s="1"/>
  <c r="E739"/>
  <c r="F739" s="1"/>
  <c r="G738"/>
  <c r="H738" s="1"/>
  <c r="E738"/>
  <c r="F738" s="1"/>
  <c r="I736"/>
  <c r="J736" s="1"/>
  <c r="G736"/>
  <c r="H736" s="1"/>
  <c r="I735"/>
  <c r="J735" s="1"/>
  <c r="G735"/>
  <c r="H735" s="1"/>
  <c r="I734"/>
  <c r="J734" s="1"/>
  <c r="G734"/>
  <c r="H734" s="1"/>
  <c r="I729"/>
  <c r="J729" s="1"/>
  <c r="G729"/>
  <c r="H729" s="1"/>
  <c r="E729"/>
  <c r="F729" s="1"/>
  <c r="I728"/>
  <c r="J728" s="1"/>
  <c r="G728"/>
  <c r="H728" s="1"/>
  <c r="E728"/>
  <c r="I727"/>
  <c r="J727" s="1"/>
  <c r="G727"/>
  <c r="H727" s="1"/>
  <c r="E727"/>
  <c r="F727" s="1"/>
  <c r="I726"/>
  <c r="G726"/>
  <c r="H726" s="1"/>
  <c r="E726"/>
  <c r="F726" s="1"/>
  <c r="G725"/>
  <c r="H725" s="1"/>
  <c r="E725"/>
  <c r="F725" s="1"/>
  <c r="I723"/>
  <c r="J723" s="1"/>
  <c r="G723"/>
  <c r="H723" s="1"/>
  <c r="I722"/>
  <c r="J722" s="1"/>
  <c r="G722"/>
  <c r="H722" s="1"/>
  <c r="I721"/>
  <c r="J721" s="1"/>
  <c r="G721"/>
  <c r="H721" s="1"/>
  <c r="I707"/>
  <c r="J707" s="1"/>
  <c r="G707"/>
  <c r="H707" s="1"/>
  <c r="E707"/>
  <c r="F707" s="1"/>
  <c r="I706"/>
  <c r="J706" s="1"/>
  <c r="G706"/>
  <c r="H706" s="1"/>
  <c r="E706"/>
  <c r="F706" s="1"/>
  <c r="I705"/>
  <c r="J705" s="1"/>
  <c r="G705"/>
  <c r="H705" s="1"/>
  <c r="I704"/>
  <c r="J704" s="1"/>
  <c r="G704"/>
  <c r="H704" s="1"/>
  <c r="I700"/>
  <c r="J700" s="1"/>
  <c r="G700"/>
  <c r="H700" s="1"/>
  <c r="E700"/>
  <c r="F700" s="1"/>
  <c r="I699"/>
  <c r="J699" s="1"/>
  <c r="G699"/>
  <c r="H699" s="1"/>
  <c r="I698"/>
  <c r="J698" s="1"/>
  <c r="G698"/>
  <c r="H698" s="1"/>
  <c r="I696"/>
  <c r="J696" s="1"/>
  <c r="G696"/>
  <c r="H696" s="1"/>
  <c r="I695"/>
  <c r="J695" s="1"/>
  <c r="G695"/>
  <c r="H695" s="1"/>
  <c r="I694"/>
  <c r="J694" s="1"/>
  <c r="G694"/>
  <c r="H694" s="1"/>
  <c r="I693"/>
  <c r="J693" s="1"/>
  <c r="G693"/>
  <c r="H693" s="1"/>
  <c r="I692"/>
  <c r="G692"/>
  <c r="H692" s="1"/>
  <c r="E692"/>
  <c r="F692" s="1"/>
  <c r="I691"/>
  <c r="J691" s="1"/>
  <c r="G691"/>
  <c r="H691" s="1"/>
  <c r="E691"/>
  <c r="F691" s="1"/>
  <c r="I686"/>
  <c r="J686" s="1"/>
  <c r="G686"/>
  <c r="H686" s="1"/>
  <c r="E686"/>
  <c r="I685"/>
  <c r="J685" s="1"/>
  <c r="G685"/>
  <c r="H685" s="1"/>
  <c r="E685"/>
  <c r="F685" s="1"/>
  <c r="I681"/>
  <c r="J681" s="1"/>
  <c r="J682" s="1"/>
  <c r="J106" i="6" s="1"/>
  <c r="G681" i="5"/>
  <c r="H681" s="1"/>
  <c r="H682" s="1"/>
  <c r="H106" i="6" s="1"/>
  <c r="E681" i="5"/>
  <c r="F681" s="1"/>
  <c r="I673"/>
  <c r="J673" s="1"/>
  <c r="G673"/>
  <c r="H673" s="1"/>
  <c r="J669"/>
  <c r="J670" s="1"/>
  <c r="J104" i="6" s="1"/>
  <c r="H669" i="5"/>
  <c r="H670" s="1"/>
  <c r="H104" i="6" s="1"/>
  <c r="F669" i="5"/>
  <c r="F670" s="1"/>
  <c r="I665"/>
  <c r="J665" s="1"/>
  <c r="G665"/>
  <c r="H665" s="1"/>
  <c r="E665"/>
  <c r="F665" s="1"/>
  <c r="I664"/>
  <c r="J664" s="1"/>
  <c r="G664"/>
  <c r="E664"/>
  <c r="F664" s="1"/>
  <c r="I660"/>
  <c r="J660" s="1"/>
  <c r="J661" s="1"/>
  <c r="I652"/>
  <c r="J652" s="1"/>
  <c r="G652"/>
  <c r="H652" s="1"/>
  <c r="E652"/>
  <c r="F652" s="1"/>
  <c r="I651"/>
  <c r="G651"/>
  <c r="H651" s="1"/>
  <c r="E651"/>
  <c r="F651" s="1"/>
  <c r="I650"/>
  <c r="J650" s="1"/>
  <c r="G650"/>
  <c r="H650" s="1"/>
  <c r="E650"/>
  <c r="F650" s="1"/>
  <c r="I649"/>
  <c r="J649" s="1"/>
  <c r="G649"/>
  <c r="H649" s="1"/>
  <c r="I645"/>
  <c r="J645" s="1"/>
  <c r="G645"/>
  <c r="H645" s="1"/>
  <c r="E645"/>
  <c r="F645" s="1"/>
  <c r="I644"/>
  <c r="J644" s="1"/>
  <c r="G644"/>
  <c r="H644" s="1"/>
  <c r="E644"/>
  <c r="F644" s="1"/>
  <c r="I643"/>
  <c r="J643" s="1"/>
  <c r="G643"/>
  <c r="H643" s="1"/>
  <c r="E643"/>
  <c r="F643" s="1"/>
  <c r="I642"/>
  <c r="J642" s="1"/>
  <c r="G642"/>
  <c r="H642" s="1"/>
  <c r="I638"/>
  <c r="J638" s="1"/>
  <c r="G638"/>
  <c r="E638"/>
  <c r="F638" s="1"/>
  <c r="J637"/>
  <c r="H637"/>
  <c r="I633"/>
  <c r="J633" s="1"/>
  <c r="G633"/>
  <c r="H633" s="1"/>
  <c r="E633"/>
  <c r="F633" s="1"/>
  <c r="I632"/>
  <c r="J632" s="1"/>
  <c r="G632"/>
  <c r="H632" s="1"/>
  <c r="I628"/>
  <c r="J628" s="1"/>
  <c r="G628"/>
  <c r="H628" s="1"/>
  <c r="E628"/>
  <c r="I627"/>
  <c r="J627" s="1"/>
  <c r="G627"/>
  <c r="H627" s="1"/>
  <c r="I623"/>
  <c r="J623" s="1"/>
  <c r="G623"/>
  <c r="H623" s="1"/>
  <c r="E623"/>
  <c r="F623" s="1"/>
  <c r="I622"/>
  <c r="J622" s="1"/>
  <c r="G622"/>
  <c r="I618"/>
  <c r="J618" s="1"/>
  <c r="G618"/>
  <c r="H618" s="1"/>
  <c r="E618"/>
  <c r="F618" s="1"/>
  <c r="I617"/>
  <c r="J617" s="1"/>
  <c r="G617"/>
  <c r="I613"/>
  <c r="G613"/>
  <c r="H613" s="1"/>
  <c r="E613"/>
  <c r="F613" s="1"/>
  <c r="I612"/>
  <c r="J612" s="1"/>
  <c r="G612"/>
  <c r="H612" s="1"/>
  <c r="I608"/>
  <c r="J608" s="1"/>
  <c r="G608"/>
  <c r="H608" s="1"/>
  <c r="E608"/>
  <c r="F608" s="1"/>
  <c r="I607"/>
  <c r="J607" s="1"/>
  <c r="G607"/>
  <c r="H607" s="1"/>
  <c r="I603"/>
  <c r="J603" s="1"/>
  <c r="G603"/>
  <c r="H603" s="1"/>
  <c r="E603"/>
  <c r="F603" s="1"/>
  <c r="I602"/>
  <c r="J602" s="1"/>
  <c r="G602"/>
  <c r="H602" s="1"/>
  <c r="I598"/>
  <c r="J598" s="1"/>
  <c r="G598"/>
  <c r="E598"/>
  <c r="F598" s="1"/>
  <c r="I597"/>
  <c r="J597" s="1"/>
  <c r="G597"/>
  <c r="H597" s="1"/>
  <c r="I591"/>
  <c r="J591" s="1"/>
  <c r="G591"/>
  <c r="I585"/>
  <c r="J585" s="1"/>
  <c r="G585"/>
  <c r="H585" s="1"/>
  <c r="I586"/>
  <c r="J586" s="1"/>
  <c r="H586"/>
  <c r="E586"/>
  <c r="F586" s="1"/>
  <c r="I580"/>
  <c r="J580" s="1"/>
  <c r="G580"/>
  <c r="H580" s="1"/>
  <c r="E580"/>
  <c r="F580" s="1"/>
  <c r="I579"/>
  <c r="G579"/>
  <c r="H579" s="1"/>
  <c r="E579"/>
  <c r="F579" s="1"/>
  <c r="I578"/>
  <c r="J578" s="1"/>
  <c r="G578"/>
  <c r="H578" s="1"/>
  <c r="E578"/>
  <c r="F578" s="1"/>
  <c r="I577"/>
  <c r="J577" s="1"/>
  <c r="G577"/>
  <c r="H577" s="1"/>
  <c r="I576"/>
  <c r="G576"/>
  <c r="H576" s="1"/>
  <c r="I575"/>
  <c r="J575" s="1"/>
  <c r="G575"/>
  <c r="H575" s="1"/>
  <c r="I574"/>
  <c r="J574" s="1"/>
  <c r="G574"/>
  <c r="H574" s="1"/>
  <c r="I573"/>
  <c r="J573" s="1"/>
  <c r="G573"/>
  <c r="H573" s="1"/>
  <c r="I572"/>
  <c r="J572" s="1"/>
  <c r="G572"/>
  <c r="H572" s="1"/>
  <c r="I571"/>
  <c r="J571" s="1"/>
  <c r="G571"/>
  <c r="H571" s="1"/>
  <c r="I570"/>
  <c r="J570" s="1"/>
  <c r="G570"/>
  <c r="H570" s="1"/>
  <c r="I569"/>
  <c r="J569" s="1"/>
  <c r="G569"/>
  <c r="H569" s="1"/>
  <c r="E569"/>
  <c r="F569" s="1"/>
  <c r="I565"/>
  <c r="J565" s="1"/>
  <c r="G565"/>
  <c r="H565" s="1"/>
  <c r="E565"/>
  <c r="F565" s="1"/>
  <c r="I564"/>
  <c r="J564" s="1"/>
  <c r="H564"/>
  <c r="E564"/>
  <c r="F564" s="1"/>
  <c r="I563"/>
  <c r="J563" s="1"/>
  <c r="G563"/>
  <c r="H563" s="1"/>
  <c r="I558"/>
  <c r="J558" s="1"/>
  <c r="G558"/>
  <c r="H558" s="1"/>
  <c r="I552"/>
  <c r="J552" s="1"/>
  <c r="G552"/>
  <c r="H552" s="1"/>
  <c r="E553" s="1"/>
  <c r="F553" s="1"/>
  <c r="E552"/>
  <c r="I551"/>
  <c r="J551" s="1"/>
  <c r="G551"/>
  <c r="H551" s="1"/>
  <c r="I549"/>
  <c r="J549" s="1"/>
  <c r="G549"/>
  <c r="H549" s="1"/>
  <c r="I543"/>
  <c r="J543" s="1"/>
  <c r="G543"/>
  <c r="H543" s="1"/>
  <c r="E543"/>
  <c r="F543" s="1"/>
  <c r="I542"/>
  <c r="J542" s="1"/>
  <c r="G542"/>
  <c r="H542" s="1"/>
  <c r="I541"/>
  <c r="J541" s="1"/>
  <c r="G541"/>
  <c r="H541" s="1"/>
  <c r="E541"/>
  <c r="I536"/>
  <c r="J536" s="1"/>
  <c r="G536"/>
  <c r="H536" s="1"/>
  <c r="E536"/>
  <c r="F536" s="1"/>
  <c r="I534"/>
  <c r="J534" s="1"/>
  <c r="G534"/>
  <c r="E534"/>
  <c r="F534" s="1"/>
  <c r="I533"/>
  <c r="J533" s="1"/>
  <c r="G533"/>
  <c r="H533" s="1"/>
  <c r="E533"/>
  <c r="F533" s="1"/>
  <c r="I532"/>
  <c r="J532" s="1"/>
  <c r="G532"/>
  <c r="H532" s="1"/>
  <c r="I531"/>
  <c r="J531" s="1"/>
  <c r="G531"/>
  <c r="I530"/>
  <c r="J530" s="1"/>
  <c r="G530"/>
  <c r="H530" s="1"/>
  <c r="I529"/>
  <c r="J529" s="1"/>
  <c r="G529"/>
  <c r="H529" s="1"/>
  <c r="I528"/>
  <c r="J528" s="1"/>
  <c r="G528"/>
  <c r="H528" s="1"/>
  <c r="I527"/>
  <c r="J527" s="1"/>
  <c r="G527"/>
  <c r="E527"/>
  <c r="F527" s="1"/>
  <c r="I526"/>
  <c r="J526" s="1"/>
  <c r="G526"/>
  <c r="E526"/>
  <c r="F526" s="1"/>
  <c r="I525"/>
  <c r="J525" s="1"/>
  <c r="G525"/>
  <c r="H525" s="1"/>
  <c r="I524"/>
  <c r="J524" s="1"/>
  <c r="G524"/>
  <c r="E524"/>
  <c r="F524" s="1"/>
  <c r="I522"/>
  <c r="J522" s="1"/>
  <c r="G522"/>
  <c r="H522" s="1"/>
  <c r="I518"/>
  <c r="J518" s="1"/>
  <c r="G518"/>
  <c r="H518" s="1"/>
  <c r="E518"/>
  <c r="F518" s="1"/>
  <c r="I517"/>
  <c r="J517" s="1"/>
  <c r="G517"/>
  <c r="H517" s="1"/>
  <c r="E517"/>
  <c r="F517" s="1"/>
  <c r="I513"/>
  <c r="J513" s="1"/>
  <c r="G513"/>
  <c r="E513"/>
  <c r="F513" s="1"/>
  <c r="I512"/>
  <c r="J512" s="1"/>
  <c r="G512"/>
  <c r="H512" s="1"/>
  <c r="E512"/>
  <c r="I508"/>
  <c r="J508" s="1"/>
  <c r="G508"/>
  <c r="H508" s="1"/>
  <c r="I507"/>
  <c r="J507" s="1"/>
  <c r="G507"/>
  <c r="H507" s="1"/>
  <c r="E507"/>
  <c r="I503"/>
  <c r="J503" s="1"/>
  <c r="J504" s="1"/>
  <c r="J79" i="6" s="1"/>
  <c r="G503" i="5"/>
  <c r="H503" s="1"/>
  <c r="H504" s="1"/>
  <c r="H79" i="6" s="1"/>
  <c r="L350" i="7" s="1"/>
  <c r="E503" i="5"/>
  <c r="F503" s="1"/>
  <c r="F504" s="1"/>
  <c r="F79" i="6" s="1"/>
  <c r="I498" i="5"/>
  <c r="J498" s="1"/>
  <c r="G498"/>
  <c r="H498" s="1"/>
  <c r="I494"/>
  <c r="J494" s="1"/>
  <c r="G494"/>
  <c r="H494" s="1"/>
  <c r="E494"/>
  <c r="F494" s="1"/>
  <c r="I493"/>
  <c r="J493" s="1"/>
  <c r="G493"/>
  <c r="H493" s="1"/>
  <c r="I489"/>
  <c r="J489" s="1"/>
  <c r="G489"/>
  <c r="H489" s="1"/>
  <c r="E489"/>
  <c r="F489" s="1"/>
  <c r="I488"/>
  <c r="J488" s="1"/>
  <c r="G488"/>
  <c r="H488" s="1"/>
  <c r="I484"/>
  <c r="J484" s="1"/>
  <c r="G484"/>
  <c r="H484" s="1"/>
  <c r="E484"/>
  <c r="F484" s="1"/>
  <c r="I483"/>
  <c r="J483" s="1"/>
  <c r="G483"/>
  <c r="I479"/>
  <c r="J479" s="1"/>
  <c r="G479"/>
  <c r="H479" s="1"/>
  <c r="E479"/>
  <c r="F479" s="1"/>
  <c r="I478"/>
  <c r="J478" s="1"/>
  <c r="G478"/>
  <c r="H478" s="1"/>
  <c r="I474"/>
  <c r="J474" s="1"/>
  <c r="G474"/>
  <c r="H474" s="1"/>
  <c r="E474"/>
  <c r="J473"/>
  <c r="H473"/>
  <c r="I469"/>
  <c r="G469"/>
  <c r="H469" s="1"/>
  <c r="E469"/>
  <c r="F469" s="1"/>
  <c r="I468"/>
  <c r="J468" s="1"/>
  <c r="G468"/>
  <c r="H468" s="1"/>
  <c r="I464"/>
  <c r="G464"/>
  <c r="H464" s="1"/>
  <c r="E464"/>
  <c r="F464" s="1"/>
  <c r="I463"/>
  <c r="J463" s="1"/>
  <c r="G463"/>
  <c r="H463" s="1"/>
  <c r="I459"/>
  <c r="J459" s="1"/>
  <c r="G459"/>
  <c r="H459" s="1"/>
  <c r="E459"/>
  <c r="I458"/>
  <c r="J458" s="1"/>
  <c r="G458"/>
  <c r="H458" s="1"/>
  <c r="I454"/>
  <c r="J454" s="1"/>
  <c r="G454"/>
  <c r="E454"/>
  <c r="F454" s="1"/>
  <c r="I453"/>
  <c r="J453" s="1"/>
  <c r="G453"/>
  <c r="H453" s="1"/>
  <c r="I449"/>
  <c r="J449" s="1"/>
  <c r="G449"/>
  <c r="H449" s="1"/>
  <c r="E449"/>
  <c r="F449" s="1"/>
  <c r="I448"/>
  <c r="J448" s="1"/>
  <c r="G448"/>
  <c r="H448" s="1"/>
  <c r="I444"/>
  <c r="G444"/>
  <c r="H444" s="1"/>
  <c r="E444"/>
  <c r="F444" s="1"/>
  <c r="I443"/>
  <c r="J443" s="1"/>
  <c r="G443"/>
  <c r="H443" s="1"/>
  <c r="I439"/>
  <c r="J439" s="1"/>
  <c r="G439"/>
  <c r="H439" s="1"/>
  <c r="E439"/>
  <c r="I438"/>
  <c r="G438"/>
  <c r="H438" s="1"/>
  <c r="I434"/>
  <c r="J434" s="1"/>
  <c r="G434"/>
  <c r="H434" s="1"/>
  <c r="E434"/>
  <c r="I433"/>
  <c r="J433" s="1"/>
  <c r="G433"/>
  <c r="H433" s="1"/>
  <c r="I429"/>
  <c r="J429" s="1"/>
  <c r="G429"/>
  <c r="H429" s="1"/>
  <c r="E429"/>
  <c r="F429" s="1"/>
  <c r="I428"/>
  <c r="J428" s="1"/>
  <c r="G428"/>
  <c r="H428" s="1"/>
  <c r="I424"/>
  <c r="J424" s="1"/>
  <c r="G424"/>
  <c r="H424" s="1"/>
  <c r="E424"/>
  <c r="F424" s="1"/>
  <c r="I423"/>
  <c r="G423"/>
  <c r="H423" s="1"/>
  <c r="E423"/>
  <c r="F423" s="1"/>
  <c r="I422"/>
  <c r="J422" s="1"/>
  <c r="G422"/>
  <c r="H422" s="1"/>
  <c r="I417"/>
  <c r="J417" s="1"/>
  <c r="G417"/>
  <c r="H417" s="1"/>
  <c r="E417"/>
  <c r="F417" s="1"/>
  <c r="I415"/>
  <c r="J415" s="1"/>
  <c r="G415"/>
  <c r="H415" s="1"/>
  <c r="I416"/>
  <c r="J416" s="1"/>
  <c r="G416"/>
  <c r="H416" s="1"/>
  <c r="E416"/>
  <c r="F416" s="1"/>
  <c r="I411"/>
  <c r="G411"/>
  <c r="H411" s="1"/>
  <c r="I410"/>
  <c r="J410" s="1"/>
  <c r="G410"/>
  <c r="H410" s="1"/>
  <c r="I409"/>
  <c r="G409"/>
  <c r="H409" s="1"/>
  <c r="E409"/>
  <c r="F409" s="1"/>
  <c r="I408"/>
  <c r="J408" s="1"/>
  <c r="G408"/>
  <c r="H408" s="1"/>
  <c r="E408"/>
  <c r="F408" s="1"/>
  <c r="I407"/>
  <c r="J407" s="1"/>
  <c r="G407"/>
  <c r="H407" s="1"/>
  <c r="E407"/>
  <c r="I406"/>
  <c r="J406" s="1"/>
  <c r="G406"/>
  <c r="H406" s="1"/>
  <c r="I400"/>
  <c r="J400" s="1"/>
  <c r="G400"/>
  <c r="H400" s="1"/>
  <c r="E400"/>
  <c r="F400" s="1"/>
  <c r="I399"/>
  <c r="J399" s="1"/>
  <c r="G399"/>
  <c r="I392"/>
  <c r="G392"/>
  <c r="H392" s="1"/>
  <c r="H396" s="1"/>
  <c r="I388"/>
  <c r="J388" s="1"/>
  <c r="G388"/>
  <c r="H388" s="1"/>
  <c r="E388"/>
  <c r="F388" s="1"/>
  <c r="I387"/>
  <c r="J387" s="1"/>
  <c r="G387"/>
  <c r="H387" s="1"/>
  <c r="I386"/>
  <c r="J386" s="1"/>
  <c r="G386"/>
  <c r="H386" s="1"/>
  <c r="E386"/>
  <c r="F386" s="1"/>
  <c r="I385"/>
  <c r="G385"/>
  <c r="H385" s="1"/>
  <c r="E385"/>
  <c r="F385" s="1"/>
  <c r="I384"/>
  <c r="J384" s="1"/>
  <c r="G384"/>
  <c r="H384" s="1"/>
  <c r="E384"/>
  <c r="F384" s="1"/>
  <c r="I379"/>
  <c r="J379" s="1"/>
  <c r="G379"/>
  <c r="H379" s="1"/>
  <c r="E379"/>
  <c r="I377"/>
  <c r="J377" s="1"/>
  <c r="G377"/>
  <c r="H377" s="1"/>
  <c r="I378"/>
  <c r="G378"/>
  <c r="H378" s="1"/>
  <c r="E378"/>
  <c r="F378" s="1"/>
  <c r="I373"/>
  <c r="J373" s="1"/>
  <c r="H373"/>
  <c r="E373"/>
  <c r="I372"/>
  <c r="J372" s="1"/>
  <c r="G372"/>
  <c r="H372" s="1"/>
  <c r="I371"/>
  <c r="J371" s="1"/>
  <c r="G371"/>
  <c r="H371" s="1"/>
  <c r="I367"/>
  <c r="J367" s="1"/>
  <c r="G367"/>
  <c r="H367" s="1"/>
  <c r="I366"/>
  <c r="J366" s="1"/>
  <c r="G366"/>
  <c r="I365"/>
  <c r="J365" s="1"/>
  <c r="G365"/>
  <c r="H365" s="1"/>
  <c r="E365"/>
  <c r="F365" s="1"/>
  <c r="I364"/>
  <c r="J364" s="1"/>
  <c r="G364"/>
  <c r="H364" s="1"/>
  <c r="E364"/>
  <c r="F364" s="1"/>
  <c r="I363"/>
  <c r="J363" s="1"/>
  <c r="G363"/>
  <c r="E363"/>
  <c r="F363" s="1"/>
  <c r="I362"/>
  <c r="J362" s="1"/>
  <c r="G362"/>
  <c r="H362" s="1"/>
  <c r="I361"/>
  <c r="J361" s="1"/>
  <c r="G361"/>
  <c r="H361" s="1"/>
  <c r="I360"/>
  <c r="J360" s="1"/>
  <c r="G360"/>
  <c r="H360" s="1"/>
  <c r="I359"/>
  <c r="J359" s="1"/>
  <c r="G359"/>
  <c r="H359" s="1"/>
  <c r="I358"/>
  <c r="J358" s="1"/>
  <c r="G358"/>
  <c r="H358" s="1"/>
  <c r="I354"/>
  <c r="J354" s="1"/>
  <c r="G354"/>
  <c r="H354" s="1"/>
  <c r="I353"/>
  <c r="J353" s="1"/>
  <c r="G353"/>
  <c r="H353" s="1"/>
  <c r="I352"/>
  <c r="G352"/>
  <c r="H352" s="1"/>
  <c r="E352"/>
  <c r="F352" s="1"/>
  <c r="I351"/>
  <c r="J351" s="1"/>
  <c r="G351"/>
  <c r="H351" s="1"/>
  <c r="E351"/>
  <c r="F351" s="1"/>
  <c r="I350"/>
  <c r="J350" s="1"/>
  <c r="G350"/>
  <c r="H350" s="1"/>
  <c r="E350"/>
  <c r="F350" s="1"/>
  <c r="I349"/>
  <c r="J349" s="1"/>
  <c r="G349"/>
  <c r="H349" s="1"/>
  <c r="I342"/>
  <c r="J342" s="1"/>
  <c r="H342"/>
  <c r="E345" s="1"/>
  <c r="E342"/>
  <c r="F342" s="1"/>
  <c r="I341"/>
  <c r="J341" s="1"/>
  <c r="G341"/>
  <c r="H341" s="1"/>
  <c r="I340"/>
  <c r="J340" s="1"/>
  <c r="G340"/>
  <c r="H340" s="1"/>
  <c r="I336"/>
  <c r="J336" s="1"/>
  <c r="H336"/>
  <c r="E336"/>
  <c r="F336" s="1"/>
  <c r="I335"/>
  <c r="J335" s="1"/>
  <c r="G335"/>
  <c r="H335" s="1"/>
  <c r="I334"/>
  <c r="J334" s="1"/>
  <c r="G334"/>
  <c r="H334" s="1"/>
  <c r="I330"/>
  <c r="J330" s="1"/>
  <c r="H330"/>
  <c r="E330"/>
  <c r="F330" s="1"/>
  <c r="I329"/>
  <c r="J329" s="1"/>
  <c r="G329"/>
  <c r="H329" s="1"/>
  <c r="I328"/>
  <c r="J328" s="1"/>
  <c r="G328"/>
  <c r="H328" s="1"/>
  <c r="I324"/>
  <c r="J324" s="1"/>
  <c r="G324"/>
  <c r="H324" s="1"/>
  <c r="I323"/>
  <c r="J323" s="1"/>
  <c r="G323"/>
  <c r="H323" s="1"/>
  <c r="I320"/>
  <c r="J320" s="1"/>
  <c r="G320"/>
  <c r="H320" s="1"/>
  <c r="I319"/>
  <c r="J319" s="1"/>
  <c r="G319"/>
  <c r="I318"/>
  <c r="J318" s="1"/>
  <c r="G318"/>
  <c r="H318" s="1"/>
  <c r="I314"/>
  <c r="J314" s="1"/>
  <c r="G314"/>
  <c r="H314" s="1"/>
  <c r="E314"/>
  <c r="F314" s="1"/>
  <c r="I313"/>
  <c r="J313" s="1"/>
  <c r="G313"/>
  <c r="H313" s="1"/>
  <c r="E313"/>
  <c r="I312"/>
  <c r="J312" s="1"/>
  <c r="G312"/>
  <c r="H312" s="1"/>
  <c r="E312"/>
  <c r="I311"/>
  <c r="J311" s="1"/>
  <c r="G311"/>
  <c r="H311" s="1"/>
  <c r="I310"/>
  <c r="J310" s="1"/>
  <c r="G310"/>
  <c r="H310" s="1"/>
  <c r="I309"/>
  <c r="J309" s="1"/>
  <c r="G309"/>
  <c r="H309" s="1"/>
  <c r="I308"/>
  <c r="J308" s="1"/>
  <c r="G308"/>
  <c r="I304"/>
  <c r="J304" s="1"/>
  <c r="G304"/>
  <c r="H304" s="1"/>
  <c r="E304"/>
  <c r="F304" s="1"/>
  <c r="I303"/>
  <c r="J303" s="1"/>
  <c r="G303"/>
  <c r="E303"/>
  <c r="F303" s="1"/>
  <c r="I302"/>
  <c r="J302" s="1"/>
  <c r="G302"/>
  <c r="H302" s="1"/>
  <c r="I301"/>
  <c r="J301" s="1"/>
  <c r="G301"/>
  <c r="H301" s="1"/>
  <c r="I297"/>
  <c r="J297" s="1"/>
  <c r="G297"/>
  <c r="H297" s="1"/>
  <c r="E297"/>
  <c r="I296"/>
  <c r="J296" s="1"/>
  <c r="G296"/>
  <c r="H296" s="1"/>
  <c r="E296"/>
  <c r="I295"/>
  <c r="J295" s="1"/>
  <c r="G295"/>
  <c r="H295" s="1"/>
  <c r="E295"/>
  <c r="F295" s="1"/>
  <c r="I294"/>
  <c r="J294" s="1"/>
  <c r="G294"/>
  <c r="I293"/>
  <c r="J293" s="1"/>
  <c r="G293"/>
  <c r="H293" s="1"/>
  <c r="I287"/>
  <c r="J287" s="1"/>
  <c r="G287"/>
  <c r="H287" s="1"/>
  <c r="E289" s="1"/>
  <c r="F289" s="1"/>
  <c r="E287"/>
  <c r="F287" s="1"/>
  <c r="I286"/>
  <c r="J286" s="1"/>
  <c r="G286"/>
  <c r="H286" s="1"/>
  <c r="I285"/>
  <c r="J285" s="1"/>
  <c r="G285"/>
  <c r="H285" s="1"/>
  <c r="E285"/>
  <c r="F285" s="1"/>
  <c r="I284"/>
  <c r="J284" s="1"/>
  <c r="G284"/>
  <c r="H284" s="1"/>
  <c r="I280"/>
  <c r="J280" s="1"/>
  <c r="G280"/>
  <c r="H280" s="1"/>
  <c r="E280"/>
  <c r="F280" s="1"/>
  <c r="I279"/>
  <c r="J279" s="1"/>
  <c r="G279"/>
  <c r="H279" s="1"/>
  <c r="I278"/>
  <c r="J278" s="1"/>
  <c r="G278"/>
  <c r="H278" s="1"/>
  <c r="I276"/>
  <c r="J276" s="1"/>
  <c r="G276"/>
  <c r="H276" s="1"/>
  <c r="I274"/>
  <c r="J274" s="1"/>
  <c r="G274"/>
  <c r="H274" s="1"/>
  <c r="I273"/>
  <c r="J273" s="1"/>
  <c r="G273"/>
  <c r="H273" s="1"/>
  <c r="E273"/>
  <c r="I272"/>
  <c r="G272"/>
  <c r="H272" s="1"/>
  <c r="E272"/>
  <c r="F272" s="1"/>
  <c r="I271"/>
  <c r="J271" s="1"/>
  <c r="G271"/>
  <c r="H271" s="1"/>
  <c r="E271"/>
  <c r="F271" s="1"/>
  <c r="I265"/>
  <c r="J265" s="1"/>
  <c r="G265"/>
  <c r="E265"/>
  <c r="F265" s="1"/>
  <c r="I264"/>
  <c r="J264" s="1"/>
  <c r="G264"/>
  <c r="H264" s="1"/>
  <c r="I262"/>
  <c r="J262" s="1"/>
  <c r="G262"/>
  <c r="H262" s="1"/>
  <c r="I257"/>
  <c r="J257" s="1"/>
  <c r="G257"/>
  <c r="H257" s="1"/>
  <c r="E257"/>
  <c r="F257" s="1"/>
  <c r="I256"/>
  <c r="G256"/>
  <c r="H256" s="1"/>
  <c r="E256"/>
  <c r="F256" s="1"/>
  <c r="I255"/>
  <c r="J255" s="1"/>
  <c r="G255"/>
  <c r="I254"/>
  <c r="J254" s="1"/>
  <c r="G254"/>
  <c r="I253"/>
  <c r="G253"/>
  <c r="H253" s="1"/>
  <c r="I252"/>
  <c r="J252" s="1"/>
  <c r="G252"/>
  <c r="H252" s="1"/>
  <c r="I245"/>
  <c r="J245" s="1"/>
  <c r="G245"/>
  <c r="H245" s="1"/>
  <c r="I244"/>
  <c r="J244" s="1"/>
  <c r="G244"/>
  <c r="H244" s="1"/>
  <c r="I239"/>
  <c r="J239" s="1"/>
  <c r="G239"/>
  <c r="H239" s="1"/>
  <c r="E239"/>
  <c r="F239" s="1"/>
  <c r="I237"/>
  <c r="J237" s="1"/>
  <c r="G237"/>
  <c r="H237" s="1"/>
  <c r="I238"/>
  <c r="J238" s="1"/>
  <c r="G238"/>
  <c r="H238" s="1"/>
  <c r="E238"/>
  <c r="F238" s="1"/>
  <c r="I232"/>
  <c r="J232" s="1"/>
  <c r="G232"/>
  <c r="H232" s="1"/>
  <c r="E232"/>
  <c r="F232" s="1"/>
  <c r="I230"/>
  <c r="J230" s="1"/>
  <c r="G230"/>
  <c r="H230" s="1"/>
  <c r="I231"/>
  <c r="J231" s="1"/>
  <c r="G231"/>
  <c r="E231"/>
  <c r="F231" s="1"/>
  <c r="I225"/>
  <c r="J225" s="1"/>
  <c r="G225"/>
  <c r="H225" s="1"/>
  <c r="I224"/>
  <c r="J224" s="1"/>
  <c r="G224"/>
  <c r="H224" s="1"/>
  <c r="E224"/>
  <c r="F224" s="1"/>
  <c r="I223"/>
  <c r="J223" s="1"/>
  <c r="G223"/>
  <c r="H223" s="1"/>
  <c r="E223"/>
  <c r="F223" s="1"/>
  <c r="I216"/>
  <c r="J216" s="1"/>
  <c r="J220" s="1"/>
  <c r="G216"/>
  <c r="H216" s="1"/>
  <c r="H220" s="1"/>
  <c r="I211"/>
  <c r="G211"/>
  <c r="H211" s="1"/>
  <c r="E211"/>
  <c r="F211" s="1"/>
  <c r="I209"/>
  <c r="J209" s="1"/>
  <c r="G209"/>
  <c r="H209" s="1"/>
  <c r="I210"/>
  <c r="J210" s="1"/>
  <c r="G210"/>
  <c r="H210" s="1"/>
  <c r="E210"/>
  <c r="I202"/>
  <c r="J202" s="1"/>
  <c r="E202"/>
  <c r="F202" s="1"/>
  <c r="I201"/>
  <c r="J201" s="1"/>
  <c r="G201"/>
  <c r="H201" s="1"/>
  <c r="I200"/>
  <c r="J200" s="1"/>
  <c r="G200"/>
  <c r="H200" s="1"/>
  <c r="I193"/>
  <c r="J193" s="1"/>
  <c r="H193"/>
  <c r="E196" s="1"/>
  <c r="E193"/>
  <c r="F193" s="1"/>
  <c r="I192"/>
  <c r="J192" s="1"/>
  <c r="G192"/>
  <c r="H192" s="1"/>
  <c r="I191"/>
  <c r="J191" s="1"/>
  <c r="G191"/>
  <c r="H191" s="1"/>
  <c r="I187"/>
  <c r="J187" s="1"/>
  <c r="H187"/>
  <c r="E187"/>
  <c r="F187" s="1"/>
  <c r="I186"/>
  <c r="J186" s="1"/>
  <c r="G186"/>
  <c r="H186" s="1"/>
  <c r="I185"/>
  <c r="J185" s="1"/>
  <c r="G185"/>
  <c r="I181"/>
  <c r="J181" s="1"/>
  <c r="H181"/>
  <c r="E181"/>
  <c r="F181" s="1"/>
  <c r="I180"/>
  <c r="J180" s="1"/>
  <c r="G180"/>
  <c r="H180" s="1"/>
  <c r="I179"/>
  <c r="J179" s="1"/>
  <c r="G179"/>
  <c r="H179" s="1"/>
  <c r="I174"/>
  <c r="J174" s="1"/>
  <c r="G174"/>
  <c r="H174" s="1"/>
  <c r="I170"/>
  <c r="J170" s="1"/>
  <c r="G170"/>
  <c r="H170" s="1"/>
  <c r="I169"/>
  <c r="G169"/>
  <c r="H169" s="1"/>
  <c r="E169"/>
  <c r="F169" s="1"/>
  <c r="I168"/>
  <c r="J168" s="1"/>
  <c r="G168"/>
  <c r="H168" s="1"/>
  <c r="E168"/>
  <c r="F168" s="1"/>
  <c r="I167"/>
  <c r="J167" s="1"/>
  <c r="G167"/>
  <c r="H167" s="1"/>
  <c r="I166"/>
  <c r="J166" s="1"/>
  <c r="G166"/>
  <c r="H166" s="1"/>
  <c r="I165"/>
  <c r="J165" s="1"/>
  <c r="G165"/>
  <c r="I164"/>
  <c r="G164"/>
  <c r="H164" s="1"/>
  <c r="I163"/>
  <c r="J163" s="1"/>
  <c r="G163"/>
  <c r="H163" s="1"/>
  <c r="I159"/>
  <c r="J159" s="1"/>
  <c r="G159"/>
  <c r="H159" s="1"/>
  <c r="E159"/>
  <c r="F159" s="1"/>
  <c r="I153"/>
  <c r="J153" s="1"/>
  <c r="J154" s="1"/>
  <c r="J29" i="6" s="1"/>
  <c r="P1159" i="7" s="1"/>
  <c r="Q1159" s="1"/>
  <c r="G153" i="5"/>
  <c r="H153" s="1"/>
  <c r="H154" s="1"/>
  <c r="H29" i="6" s="1"/>
  <c r="L1159" i="7" s="1"/>
  <c r="M1159" s="1"/>
  <c r="E153" i="5"/>
  <c r="F153" s="1"/>
  <c r="F154" s="1"/>
  <c r="F29" i="6" s="1"/>
  <c r="H1159" i="7" s="1"/>
  <c r="I1159" s="1"/>
  <c r="I149" i="5"/>
  <c r="J149" s="1"/>
  <c r="G149"/>
  <c r="H149" s="1"/>
  <c r="I148"/>
  <c r="G148"/>
  <c r="H148" s="1"/>
  <c r="E148"/>
  <c r="F148" s="1"/>
  <c r="I147"/>
  <c r="J147" s="1"/>
  <c r="G147"/>
  <c r="E147"/>
  <c r="F147" s="1"/>
  <c r="I143"/>
  <c r="J143" s="1"/>
  <c r="G143"/>
  <c r="H143" s="1"/>
  <c r="I142"/>
  <c r="J142" s="1"/>
  <c r="G142"/>
  <c r="H142" s="1"/>
  <c r="E142"/>
  <c r="F142" s="1"/>
  <c r="I141"/>
  <c r="J141" s="1"/>
  <c r="G141"/>
  <c r="E141"/>
  <c r="F141" s="1"/>
  <c r="I131"/>
  <c r="J131" s="1"/>
  <c r="G131"/>
  <c r="H131" s="1"/>
  <c r="E131"/>
  <c r="F131" s="1"/>
  <c r="I129"/>
  <c r="J129" s="1"/>
  <c r="G129"/>
  <c r="H129" s="1"/>
  <c r="E129"/>
  <c r="I123"/>
  <c r="G123"/>
  <c r="H123" s="1"/>
  <c r="E123"/>
  <c r="F123" s="1"/>
  <c r="I121"/>
  <c r="J121" s="1"/>
  <c r="G121"/>
  <c r="H121" s="1"/>
  <c r="E121"/>
  <c r="F121" s="1"/>
  <c r="I117"/>
  <c r="J117" s="1"/>
  <c r="G117"/>
  <c r="H117" s="1"/>
  <c r="E117"/>
  <c r="F117" s="1"/>
  <c r="I116"/>
  <c r="J116" s="1"/>
  <c r="G116"/>
  <c r="H116" s="1"/>
  <c r="E116"/>
  <c r="I115"/>
  <c r="J115" s="1"/>
  <c r="G115"/>
  <c r="H115" s="1"/>
  <c r="E115"/>
  <c r="F115" s="1"/>
  <c r="I111"/>
  <c r="J111" s="1"/>
  <c r="G111"/>
  <c r="E111"/>
  <c r="F111" s="1"/>
  <c r="I110"/>
  <c r="J110" s="1"/>
  <c r="G110"/>
  <c r="E110"/>
  <c r="F110" s="1"/>
  <c r="I109"/>
  <c r="J109" s="1"/>
  <c r="G109"/>
  <c r="H109" s="1"/>
  <c r="E109"/>
  <c r="I105"/>
  <c r="J105" s="1"/>
  <c r="G105"/>
  <c r="H105" s="1"/>
  <c r="E105"/>
  <c r="F105" s="1"/>
  <c r="I104"/>
  <c r="J104" s="1"/>
  <c r="G104"/>
  <c r="H104" s="1"/>
  <c r="E104"/>
  <c r="F104" s="1"/>
  <c r="I103"/>
  <c r="J103" s="1"/>
  <c r="G103"/>
  <c r="H103" s="1"/>
  <c r="E103"/>
  <c r="I99"/>
  <c r="J99" s="1"/>
  <c r="G99"/>
  <c r="H99" s="1"/>
  <c r="I98"/>
  <c r="J98" s="1"/>
  <c r="G98"/>
  <c r="H98" s="1"/>
  <c r="E98"/>
  <c r="F98" s="1"/>
  <c r="I97"/>
  <c r="J97" s="1"/>
  <c r="G97"/>
  <c r="H97" s="1"/>
  <c r="E97"/>
  <c r="I93"/>
  <c r="J93" s="1"/>
  <c r="G93"/>
  <c r="H93" s="1"/>
  <c r="E93"/>
  <c r="F93" s="1"/>
  <c r="I92"/>
  <c r="J92" s="1"/>
  <c r="G92"/>
  <c r="H92" s="1"/>
  <c r="E92"/>
  <c r="F92" s="1"/>
  <c r="I88"/>
  <c r="J88" s="1"/>
  <c r="G88"/>
  <c r="E88"/>
  <c r="F88" s="1"/>
  <c r="I87"/>
  <c r="J87" s="1"/>
  <c r="G87"/>
  <c r="H87" s="1"/>
  <c r="E87"/>
  <c r="F87" s="1"/>
  <c r="I83"/>
  <c r="J83" s="1"/>
  <c r="G83"/>
  <c r="H83" s="1"/>
  <c r="E83"/>
  <c r="I82"/>
  <c r="G82"/>
  <c r="H82" s="1"/>
  <c r="E82"/>
  <c r="F82" s="1"/>
  <c r="I78"/>
  <c r="G78"/>
  <c r="H78" s="1"/>
  <c r="J77"/>
  <c r="H77"/>
  <c r="J76"/>
  <c r="H76"/>
  <c r="J71"/>
  <c r="H71"/>
  <c r="F71"/>
  <c r="J70"/>
  <c r="F70"/>
  <c r="I66"/>
  <c r="J66" s="1"/>
  <c r="G66"/>
  <c r="H66" s="1"/>
  <c r="I65"/>
  <c r="J65" s="1"/>
  <c r="G65"/>
  <c r="H65" s="1"/>
  <c r="E65"/>
  <c r="F65" s="1"/>
  <c r="I64"/>
  <c r="J64" s="1"/>
  <c r="G64"/>
  <c r="E64"/>
  <c r="F64" s="1"/>
  <c r="I60"/>
  <c r="J60" s="1"/>
  <c r="G60"/>
  <c r="I59"/>
  <c r="J59" s="1"/>
  <c r="G59"/>
  <c r="H59" s="1"/>
  <c r="E59"/>
  <c r="I58"/>
  <c r="G58"/>
  <c r="H58" s="1"/>
  <c r="E58"/>
  <c r="F58" s="1"/>
  <c r="I54"/>
  <c r="J54" s="1"/>
  <c r="G54"/>
  <c r="H54" s="1"/>
  <c r="E54"/>
  <c r="F54" s="1"/>
  <c r="I53"/>
  <c r="J53" s="1"/>
  <c r="G53"/>
  <c r="H53" s="1"/>
  <c r="E53"/>
  <c r="I49"/>
  <c r="J49" s="1"/>
  <c r="G49"/>
  <c r="H49" s="1"/>
  <c r="E49"/>
  <c r="F49" s="1"/>
  <c r="I48"/>
  <c r="G48"/>
  <c r="H48" s="1"/>
  <c r="E48"/>
  <c r="F48" s="1"/>
  <c r="I44"/>
  <c r="J44" s="1"/>
  <c r="G44"/>
  <c r="H44" s="1"/>
  <c r="I43"/>
  <c r="J43" s="1"/>
  <c r="G43"/>
  <c r="H43" s="1"/>
  <c r="E43"/>
  <c r="F43" s="1"/>
  <c r="I42"/>
  <c r="J42" s="1"/>
  <c r="G42"/>
  <c r="H42" s="1"/>
  <c r="E42"/>
  <c r="F42" s="1"/>
  <c r="I37"/>
  <c r="J37" s="1"/>
  <c r="G37"/>
  <c r="H37" s="1"/>
  <c r="E37"/>
  <c r="F37" s="1"/>
  <c r="F39" s="1"/>
  <c r="I28"/>
  <c r="J28" s="1"/>
  <c r="J29" s="1"/>
  <c r="J7" i="6" s="1"/>
  <c r="G28" i="5"/>
  <c r="H28" s="1"/>
  <c r="H29" s="1"/>
  <c r="H7" i="6" s="1"/>
  <c r="E28" i="5"/>
  <c r="F28" s="1"/>
  <c r="F29" s="1"/>
  <c r="I24"/>
  <c r="J24" s="1"/>
  <c r="G24"/>
  <c r="H24" s="1"/>
  <c r="E24"/>
  <c r="F24" s="1"/>
  <c r="I23"/>
  <c r="J23" s="1"/>
  <c r="G23"/>
  <c r="I22"/>
  <c r="J22" s="1"/>
  <c r="G22"/>
  <c r="I17"/>
  <c r="J17" s="1"/>
  <c r="G17"/>
  <c r="H17" s="1"/>
  <c r="E17"/>
  <c r="F17" s="1"/>
  <c r="I16"/>
  <c r="J16" s="1"/>
  <c r="G16"/>
  <c r="I15"/>
  <c r="J15" s="1"/>
  <c r="G15"/>
  <c r="H15" s="1"/>
  <c r="I14"/>
  <c r="J14" s="1"/>
  <c r="G14"/>
  <c r="H14" s="1"/>
  <c r="E14"/>
  <c r="F14" s="1"/>
  <c r="I13"/>
  <c r="J13" s="1"/>
  <c r="G13"/>
  <c r="E13"/>
  <c r="F13" s="1"/>
  <c r="I12"/>
  <c r="J12" s="1"/>
  <c r="G12"/>
  <c r="E12"/>
  <c r="F12" s="1"/>
  <c r="I11"/>
  <c r="J11" s="1"/>
  <c r="G11"/>
  <c r="H11" s="1"/>
  <c r="I10"/>
  <c r="J10" s="1"/>
  <c r="G10"/>
  <c r="H10" s="1"/>
  <c r="I9"/>
  <c r="J9" s="1"/>
  <c r="G9"/>
  <c r="H9" s="1"/>
  <c r="I5"/>
  <c r="G5"/>
  <c r="H5" s="1"/>
  <c r="H6" s="1"/>
  <c r="H4" i="6" s="1"/>
  <c r="E5" i="5"/>
  <c r="F5" s="1"/>
  <c r="F6" s="1"/>
  <c r="V554" i="4"/>
  <c r="O540"/>
  <c r="E225" i="5" s="1"/>
  <c r="F225" s="1"/>
  <c r="O519" i="4"/>
  <c r="O517"/>
  <c r="E642" i="5" s="1"/>
  <c r="F642" s="1"/>
  <c r="O516" i="4"/>
  <c r="E358" i="5" s="1"/>
  <c r="F358" s="1"/>
  <c r="O515" i="4"/>
  <c r="E693" i="5" s="1"/>
  <c r="O514" i="4"/>
  <c r="E696" i="5" s="1"/>
  <c r="F696" s="1"/>
  <c r="O513" i="4"/>
  <c r="E498" i="5" s="1"/>
  <c r="F498" s="1"/>
  <c r="O510" i="4"/>
  <c r="E694" i="5" s="1"/>
  <c r="O509" i="4"/>
  <c r="E695" i="5" s="1"/>
  <c r="O508" i="4"/>
  <c r="E549" i="5" s="1"/>
  <c r="F549" s="1"/>
  <c r="O507" i="4"/>
  <c r="E262" i="5" s="1"/>
  <c r="F262" s="1"/>
  <c r="O506" i="4"/>
  <c r="E673" i="5" s="1"/>
  <c r="O504" i="4"/>
  <c r="E284" i="5" s="1"/>
  <c r="O503" i="4"/>
  <c r="E311" i="5" s="1"/>
  <c r="F311" s="1"/>
  <c r="O502" i="4"/>
  <c r="E310" i="5" s="1"/>
  <c r="F310" s="1"/>
  <c r="O501" i="4"/>
  <c r="E309" i="5" s="1"/>
  <c r="O500" i="4"/>
  <c r="E308" i="5" s="1"/>
  <c r="F308" s="1"/>
  <c r="O499" i="4"/>
  <c r="E302" i="5" s="1"/>
  <c r="F302" s="1"/>
  <c r="O498" i="4"/>
  <c r="E301" i="5" s="1"/>
  <c r="F301" s="1"/>
  <c r="O497" i="4"/>
  <c r="O495"/>
  <c r="O494"/>
  <c r="O490"/>
  <c r="E253" i="5" s="1"/>
  <c r="F253" s="1"/>
  <c r="O489" i="4"/>
  <c r="E252" i="5" s="1"/>
  <c r="O488" i="4"/>
  <c r="E704" i="5" s="1"/>
  <c r="O487" i="4"/>
  <c r="E254" i="5" s="1"/>
  <c r="F254" s="1"/>
  <c r="O486" i="4"/>
  <c r="E23" i="5" s="1"/>
  <c r="F23" s="1"/>
  <c r="O485" i="4"/>
  <c r="O484"/>
  <c r="E522" i="5" s="1"/>
  <c r="F522" s="1"/>
  <c r="O483" i="4"/>
  <c r="H299" i="7" s="1"/>
  <c r="O482" i="4"/>
  <c r="H297" i="7" s="1"/>
  <c r="O481" i="4"/>
  <c r="H442" i="7" s="1"/>
  <c r="O480" i="4"/>
  <c r="H950" i="7" s="1"/>
  <c r="I950" s="1"/>
  <c r="O479" i="4"/>
  <c r="H949" i="7" s="1"/>
  <c r="I949" s="1"/>
  <c r="O478" i="4"/>
  <c r="O477"/>
  <c r="E166" i="5" s="1"/>
  <c r="O476" i="4"/>
  <c r="E781" i="5" s="1"/>
  <c r="O475" i="4"/>
  <c r="E165" i="5" s="1"/>
  <c r="F165" s="1"/>
  <c r="O474" i="4"/>
  <c r="E372" i="5" s="1"/>
  <c r="F372" s="1"/>
  <c r="O472" i="4"/>
  <c r="E16" i="5" s="1"/>
  <c r="F16" s="1"/>
  <c r="O471" i="4"/>
  <c r="E15" i="5" s="1"/>
  <c r="F15" s="1"/>
  <c r="O467" i="4"/>
  <c r="E11" i="5" s="1"/>
  <c r="F11" s="1"/>
  <c r="O466" i="4"/>
  <c r="E10" i="5" s="1"/>
  <c r="F10" s="1"/>
  <c r="O465" i="4"/>
  <c r="E9" i="5" s="1"/>
  <c r="F9" s="1"/>
  <c r="O464" i="4"/>
  <c r="E78" i="5" s="1"/>
  <c r="F78" s="1"/>
  <c r="O463" i="4"/>
  <c r="E411" i="5" s="1"/>
  <c r="F411" s="1"/>
  <c r="O462" i="4"/>
  <c r="E366" i="5" s="1"/>
  <c r="F366" s="1"/>
  <c r="O461" i="4"/>
  <c r="E170" i="5" s="1"/>
  <c r="O459" i="4"/>
  <c r="E99" i="5" s="1"/>
  <c r="F99" s="1"/>
  <c r="O458" i="4"/>
  <c r="E149" i="5" s="1"/>
  <c r="F149" s="1"/>
  <c r="O457" i="4"/>
  <c r="E143" i="5" s="1"/>
  <c r="F143" s="1"/>
  <c r="O455" i="4"/>
  <c r="E44" i="5" s="1"/>
  <c r="F44" s="1"/>
  <c r="O454" i="4"/>
  <c r="H824" i="7" s="1"/>
  <c r="I824" s="1"/>
  <c r="F637" i="5"/>
  <c r="O453" i="4"/>
  <c r="E468" i="5" s="1"/>
  <c r="F468" s="1"/>
  <c r="O452" i="4"/>
  <c r="E632" i="5" s="1"/>
  <c r="O451" i="4"/>
  <c r="E627" i="5" s="1"/>
  <c r="O450" i="4"/>
  <c r="E622" i="5" s="1"/>
  <c r="F622" s="1"/>
  <c r="O449" i="4"/>
  <c r="E617" i="5" s="1"/>
  <c r="F617" s="1"/>
  <c r="O448" i="4"/>
  <c r="E612" i="5" s="1"/>
  <c r="F612" s="1"/>
  <c r="O447" i="4"/>
  <c r="E607" i="5" s="1"/>
  <c r="F607" s="1"/>
  <c r="O446" i="4"/>
  <c r="E602" i="5" s="1"/>
  <c r="F602" s="1"/>
  <c r="O445" i="4"/>
  <c r="E597" i="5" s="1"/>
  <c r="F597" s="1"/>
  <c r="O443" i="4"/>
  <c r="E488" i="5" s="1"/>
  <c r="O442" i="4"/>
  <c r="E483" i="5" s="1"/>
  <c r="F483" s="1"/>
  <c r="O441" i="4"/>
  <c r="O440"/>
  <c r="E463" i="5" s="1"/>
  <c r="F463" s="1"/>
  <c r="O439" i="4"/>
  <c r="E458" i="5" s="1"/>
  <c r="O438" i="4"/>
  <c r="E493" i="5" s="1"/>
  <c r="O437" i="4"/>
  <c r="E453" i="5" s="1"/>
  <c r="F453" s="1"/>
  <c r="O436" i="4"/>
  <c r="E448" i="5" s="1"/>
  <c r="O435" i="4"/>
  <c r="E443" i="5" s="1"/>
  <c r="F443" s="1"/>
  <c r="O434" i="4"/>
  <c r="E438" i="5" s="1"/>
  <c r="F438" s="1"/>
  <c r="O433" i="4"/>
  <c r="E433" i="5" s="1"/>
  <c r="F433" s="1"/>
  <c r="O432" i="4"/>
  <c r="E428" i="5" s="1"/>
  <c r="O430" i="4"/>
  <c r="O429"/>
  <c r="H296" i="7" s="1"/>
  <c r="O428" i="4"/>
  <c r="E585" i="5" s="1"/>
  <c r="F585" s="1"/>
  <c r="O427" i="4"/>
  <c r="E422" i="5" s="1"/>
  <c r="O426" i="4"/>
  <c r="O425"/>
  <c r="O424"/>
  <c r="O422"/>
  <c r="H369" i="7" s="1"/>
  <c r="O420" i="4"/>
  <c r="H367" i="7" s="1"/>
  <c r="O419" i="4"/>
  <c r="H304" i="7" s="1"/>
  <c r="O403" i="4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H1041" i="7" s="1"/>
  <c r="I1041" s="1"/>
  <c r="O376" i="4"/>
  <c r="H1040" i="7" s="1"/>
  <c r="I1040" s="1"/>
  <c r="O375" i="4"/>
  <c r="H1039" i="7" s="1"/>
  <c r="I1039" s="1"/>
  <c r="O374" i="4"/>
  <c r="H1038" i="7" s="1"/>
  <c r="I1038" s="1"/>
  <c r="O373" i="4"/>
  <c r="H1037" i="7" s="1"/>
  <c r="I1037" s="1"/>
  <c r="O372" i="4"/>
  <c r="H1036" i="7" s="1"/>
  <c r="I1036" s="1"/>
  <c r="O371" i="4"/>
  <c r="H1035" i="7" s="1"/>
  <c r="I1035" s="1"/>
  <c r="O370" i="4"/>
  <c r="H1034" i="7" s="1"/>
  <c r="I1034" s="1"/>
  <c r="O369" i="4"/>
  <c r="H1033" i="7" s="1"/>
  <c r="I1033" s="1"/>
  <c r="O368" i="4"/>
  <c r="H1032" i="7" s="1"/>
  <c r="I1032" s="1"/>
  <c r="O367" i="4"/>
  <c r="H1031" i="7" s="1"/>
  <c r="I1031" s="1"/>
  <c r="O366" i="4"/>
  <c r="H1030" i="7" s="1"/>
  <c r="I1030" s="1"/>
  <c r="O365" i="4"/>
  <c r="O364"/>
  <c r="O363"/>
  <c r="O362"/>
  <c r="O361"/>
  <c r="O288"/>
  <c r="H952" i="7" s="1"/>
  <c r="I952" s="1"/>
  <c r="O287" i="4"/>
  <c r="H951" i="7" s="1"/>
  <c r="I951" s="1"/>
  <c r="O153" i="4"/>
  <c r="O144"/>
  <c r="H371" i="7" s="1"/>
  <c r="O148" i="4"/>
  <c r="O143"/>
  <c r="O145"/>
  <c r="H372" i="7" s="1"/>
  <c r="O149" i="4"/>
  <c r="H376" i="7" s="1"/>
  <c r="O147" i="4"/>
  <c r="H374" i="7" s="1"/>
  <c r="O150" i="4"/>
  <c r="H377" i="7" s="1"/>
  <c r="O151" i="4"/>
  <c r="H378" i="7" s="1"/>
  <c r="O146" i="4"/>
  <c r="H373" i="7" s="1"/>
  <c r="O152" i="4"/>
  <c r="H379" i="7" s="1"/>
  <c r="O138" i="4"/>
  <c r="O137"/>
  <c r="O141"/>
  <c r="H1389" i="7" s="1"/>
  <c r="I1389" s="1"/>
  <c r="O140" i="4"/>
  <c r="O125"/>
  <c r="H329" i="7" s="1"/>
  <c r="O124" i="4"/>
  <c r="O135"/>
  <c r="O134"/>
  <c r="O133"/>
  <c r="O132"/>
  <c r="O131"/>
  <c r="H335" i="7" s="1"/>
  <c r="O130" i="4"/>
  <c r="H334" i="7" s="1"/>
  <c r="O129" i="4"/>
  <c r="H333" i="7" s="1"/>
  <c r="O128" i="4"/>
  <c r="H332" i="7" s="1"/>
  <c r="O127" i="4"/>
  <c r="O126"/>
  <c r="H330" i="7" s="1"/>
  <c r="O119" i="4"/>
  <c r="H323" i="7" s="1"/>
  <c r="O123" i="4"/>
  <c r="H327" i="7" s="1"/>
  <c r="O122" i="4"/>
  <c r="H326" i="7" s="1"/>
  <c r="O121" i="4"/>
  <c r="H325" i="7" s="1"/>
  <c r="O120" i="4"/>
  <c r="O101"/>
  <c r="O100"/>
  <c r="H833" i="7" s="1"/>
  <c r="I833" s="1"/>
  <c r="O86" i="4"/>
  <c r="H353" i="7" s="1"/>
  <c r="O85" i="4"/>
  <c r="H352" i="7" s="1"/>
  <c r="O84" i="4"/>
  <c r="E163" i="5" s="1"/>
  <c r="F163" s="1"/>
  <c r="O80" i="4"/>
  <c r="H444" i="7" s="1"/>
  <c r="O79" i="4"/>
  <c r="H443" i="7" s="1"/>
  <c r="O77" i="4"/>
  <c r="E532" i="5" s="1"/>
  <c r="F532" s="1"/>
  <c r="O76" i="4"/>
  <c r="E531" i="5" s="1"/>
  <c r="F531" s="1"/>
  <c r="O75" i="4"/>
  <c r="E529" i="5" s="1"/>
  <c r="O74" i="4"/>
  <c r="E528" i="5" s="1"/>
  <c r="O71" i="4"/>
  <c r="E525" i="5" s="1"/>
  <c r="O69" i="4"/>
  <c r="E530" i="5" s="1"/>
  <c r="F530" s="1"/>
  <c r="O68" i="4"/>
  <c r="O67"/>
  <c r="O66"/>
  <c r="E191" i="5" s="1"/>
  <c r="O65" i="4"/>
  <c r="E185" i="5" s="1"/>
  <c r="F185" s="1"/>
  <c r="O64" i="4"/>
  <c r="E399" i="5" s="1"/>
  <c r="F399" s="1"/>
  <c r="O63" i="4"/>
  <c r="O62"/>
  <c r="E174" i="5" s="1"/>
  <c r="F174" s="1"/>
  <c r="O61" i="4"/>
  <c r="E591" i="5" s="1"/>
  <c r="F591" s="1"/>
  <c r="O60" i="4"/>
  <c r="E164" i="5" s="1"/>
  <c r="F164" s="1"/>
  <c r="O58" i="4"/>
  <c r="E293" i="5" s="1"/>
  <c r="O56" i="4"/>
  <c r="E656" i="5" s="1"/>
  <c r="O55" i="4"/>
  <c r="F563" i="5" s="1"/>
  <c r="O54" i="4"/>
  <c r="O53"/>
  <c r="E318" i="5" s="1"/>
  <c r="O52" i="4"/>
  <c r="O51"/>
  <c r="E359" i="5" s="1"/>
  <c r="F359" s="1"/>
  <c r="O50" i="4"/>
  <c r="O49"/>
  <c r="O48"/>
  <c r="O47"/>
  <c r="E22" i="5" s="1"/>
  <c r="F22" s="1"/>
  <c r="O46" i="4"/>
  <c r="E734" i="5" s="1"/>
  <c r="O45" i="4"/>
  <c r="O44"/>
  <c r="E167" i="5" s="1"/>
  <c r="F167" s="1"/>
  <c r="O43" i="4"/>
  <c r="O42"/>
  <c r="O41"/>
  <c r="E406" i="5" s="1"/>
  <c r="F406" s="1"/>
  <c r="O40" i="4"/>
  <c r="E323" i="5"/>
  <c r="F323" s="1"/>
  <c r="F392"/>
  <c r="O35" i="4"/>
  <c r="E216" i="5" s="1"/>
  <c r="O34" i="4"/>
  <c r="E558" i="5" s="1"/>
  <c r="F558" s="1"/>
  <c r="O33" i="4"/>
  <c r="E377" i="5" s="1"/>
  <c r="F377" s="1"/>
  <c r="O32" i="4"/>
  <c r="O31"/>
  <c r="O29"/>
  <c r="E294" i="5" s="1"/>
  <c r="F294" s="1"/>
  <c r="O27" i="4"/>
  <c r="E577" i="5" s="1"/>
  <c r="O26" i="4"/>
  <c r="E576" i="5" s="1"/>
  <c r="F576" s="1"/>
  <c r="O25" i="4"/>
  <c r="E575" i="5" s="1"/>
  <c r="F575" s="1"/>
  <c r="O24" i="4"/>
  <c r="E574" i="5" s="1"/>
  <c r="F574" s="1"/>
  <c r="O23" i="4"/>
  <c r="E573" i="5" s="1"/>
  <c r="O22" i="4"/>
  <c r="E572" i="5" s="1"/>
  <c r="O21" i="4"/>
  <c r="E571" i="5" s="1"/>
  <c r="F571" s="1"/>
  <c r="O20" i="4"/>
  <c r="E570" i="5" s="1"/>
  <c r="F570" s="1"/>
  <c r="I773"/>
  <c r="F794"/>
  <c r="H794"/>
  <c r="F769"/>
  <c r="H769"/>
  <c r="F756"/>
  <c r="H756"/>
  <c r="F743"/>
  <c r="H743"/>
  <c r="F730"/>
  <c r="H730"/>
  <c r="H697"/>
  <c r="J697"/>
  <c r="F687"/>
  <c r="H687"/>
  <c r="H674"/>
  <c r="J674"/>
  <c r="F587"/>
  <c r="H587"/>
  <c r="F581"/>
  <c r="H581"/>
  <c r="H553"/>
  <c r="J553"/>
  <c r="E550"/>
  <c r="F550" s="1"/>
  <c r="H550"/>
  <c r="J550"/>
  <c r="F545"/>
  <c r="H545"/>
  <c r="F544"/>
  <c r="J544"/>
  <c r="H537"/>
  <c r="J537"/>
  <c r="F418"/>
  <c r="H418"/>
  <c r="F380"/>
  <c r="H380"/>
  <c r="H289"/>
  <c r="J289"/>
  <c r="H277"/>
  <c r="J277"/>
  <c r="H267"/>
  <c r="J267"/>
  <c r="H263"/>
  <c r="J263"/>
  <c r="F240"/>
  <c r="H240"/>
  <c r="F233"/>
  <c r="H233"/>
  <c r="F226"/>
  <c r="H226"/>
  <c r="F212"/>
  <c r="H212"/>
  <c r="H202"/>
  <c r="E205" s="1"/>
  <c r="H132"/>
  <c r="J132"/>
  <c r="H124"/>
  <c r="J124"/>
  <c r="H72"/>
  <c r="J72"/>
  <c r="Q393" i="7"/>
  <c r="U393" s="1"/>
  <c r="Q389"/>
  <c r="U389" s="1"/>
  <c r="Q385"/>
  <c r="U385" s="1"/>
  <c r="Q381"/>
  <c r="U381" s="1"/>
  <c r="Q365"/>
  <c r="H290" i="5" l="1"/>
  <c r="H46" i="6" s="1"/>
  <c r="L127" i="7" s="1"/>
  <c r="M127" s="1"/>
  <c r="J290" i="5"/>
  <c r="H134"/>
  <c r="J134"/>
  <c r="H126"/>
  <c r="F403"/>
  <c r="J403"/>
  <c r="J60" i="6" s="1"/>
  <c r="H678" i="5"/>
  <c r="H105" i="6" s="1"/>
  <c r="E763" i="5"/>
  <c r="E899"/>
  <c r="E912"/>
  <c r="F912" s="1"/>
  <c r="F919" s="1"/>
  <c r="F136" i="6" s="1"/>
  <c r="E892" i="5" s="1"/>
  <c r="E750"/>
  <c r="G763"/>
  <c r="G912"/>
  <c r="G899"/>
  <c r="H899" s="1"/>
  <c r="H906" s="1"/>
  <c r="H135" i="6" s="1"/>
  <c r="G750" i="5"/>
  <c r="J678"/>
  <c r="J105" i="6" s="1"/>
  <c r="J298" i="5"/>
  <c r="J47" i="6" s="1"/>
  <c r="J268" i="5"/>
  <c r="H197"/>
  <c r="J206"/>
  <c r="J36" i="6" s="1"/>
  <c r="H206" i="5"/>
  <c r="J197"/>
  <c r="J35" i="6" s="1"/>
  <c r="P583" i="7" s="1"/>
  <c r="Q583" s="1"/>
  <c r="F205" i="5"/>
  <c r="L205" s="1"/>
  <c r="K205"/>
  <c r="F196"/>
  <c r="L196" s="1"/>
  <c r="K196"/>
  <c r="J555"/>
  <c r="J85" i="6" s="1"/>
  <c r="P490" i="7" s="1"/>
  <c r="Q490" s="1"/>
  <c r="H555" i="5"/>
  <c r="H85" i="6" s="1"/>
  <c r="J346" i="5"/>
  <c r="J53" i="6" s="1"/>
  <c r="H346" i="5"/>
  <c r="H53" i="6" s="1"/>
  <c r="M29" i="7" s="1"/>
  <c r="K345" i="5"/>
  <c r="F345"/>
  <c r="L345" s="1"/>
  <c r="J39"/>
  <c r="J9" i="6" s="1"/>
  <c r="P1109" i="7" s="1"/>
  <c r="Q1109" s="1"/>
  <c r="H39" i="5"/>
  <c r="H9" i="6" s="1"/>
  <c r="L1109" i="7" s="1"/>
  <c r="M1109" s="1"/>
  <c r="T444"/>
  <c r="I444"/>
  <c r="U444" s="1"/>
  <c r="T326"/>
  <c r="I326"/>
  <c r="U326" s="1"/>
  <c r="T335"/>
  <c r="I335"/>
  <c r="U335" s="1"/>
  <c r="T376"/>
  <c r="I376"/>
  <c r="U376" s="1"/>
  <c r="I442"/>
  <c r="U442" s="1"/>
  <c r="T442"/>
  <c r="T362"/>
  <c r="I362"/>
  <c r="U362" s="1"/>
  <c r="T325"/>
  <c r="I325"/>
  <c r="U325" s="1"/>
  <c r="T327"/>
  <c r="I327"/>
  <c r="U327" s="1"/>
  <c r="T372"/>
  <c r="I372"/>
  <c r="U372" s="1"/>
  <c r="T297"/>
  <c r="I297"/>
  <c r="U297" s="1"/>
  <c r="M350"/>
  <c r="T368"/>
  <c r="M368"/>
  <c r="U368" s="1"/>
  <c r="T363"/>
  <c r="I363"/>
  <c r="U363" s="1"/>
  <c r="U354"/>
  <c r="T352"/>
  <c r="I352"/>
  <c r="U352" s="1"/>
  <c r="T323"/>
  <c r="I323"/>
  <c r="U323" s="1"/>
  <c r="T299"/>
  <c r="I299"/>
  <c r="U299" s="1"/>
  <c r="T354"/>
  <c r="T353"/>
  <c r="I353"/>
  <c r="U353" s="1"/>
  <c r="T330"/>
  <c r="I330"/>
  <c r="U330" s="1"/>
  <c r="T379"/>
  <c r="I379"/>
  <c r="U379" s="1"/>
  <c r="T304"/>
  <c r="I304"/>
  <c r="U304" s="1"/>
  <c r="T296"/>
  <c r="I296"/>
  <c r="U296" s="1"/>
  <c r="U365"/>
  <c r="T334"/>
  <c r="I334"/>
  <c r="U334" s="1"/>
  <c r="T373"/>
  <c r="I373"/>
  <c r="U373" s="1"/>
  <c r="T371"/>
  <c r="I371"/>
  <c r="U371" s="1"/>
  <c r="T367"/>
  <c r="I367"/>
  <c r="U367" s="1"/>
  <c r="T332"/>
  <c r="I332"/>
  <c r="U332" s="1"/>
  <c r="T378"/>
  <c r="I378"/>
  <c r="U378" s="1"/>
  <c r="T369"/>
  <c r="I369"/>
  <c r="U369" s="1"/>
  <c r="U355"/>
  <c r="I443"/>
  <c r="U443" s="1"/>
  <c r="T443"/>
  <c r="I374"/>
  <c r="U374" s="1"/>
  <c r="T374"/>
  <c r="T333"/>
  <c r="I333"/>
  <c r="U333" s="1"/>
  <c r="T329"/>
  <c r="I329"/>
  <c r="U329" s="1"/>
  <c r="T377"/>
  <c r="I377"/>
  <c r="U377" s="1"/>
  <c r="T452"/>
  <c r="I452"/>
  <c r="U452" s="1"/>
  <c r="T340"/>
  <c r="M340"/>
  <c r="U340" s="1"/>
  <c r="T355"/>
  <c r="E478" i="5"/>
  <c r="F478" s="1"/>
  <c r="L478" s="1"/>
  <c r="E473"/>
  <c r="F473" s="1"/>
  <c r="L473" s="1"/>
  <c r="H1366" i="7"/>
  <c r="H1388"/>
  <c r="E823" i="5"/>
  <c r="F823" s="1"/>
  <c r="E209"/>
  <c r="F209" s="1"/>
  <c r="L209" s="1"/>
  <c r="T1159" i="7"/>
  <c r="U1159"/>
  <c r="E7" i="21"/>
  <c r="P52" i="8"/>
  <c r="I7" i="21" s="1"/>
  <c r="H834" i="7"/>
  <c r="H305"/>
  <c r="Q463"/>
  <c r="H566" i="5"/>
  <c r="H87" i="6" s="1"/>
  <c r="L626" i="7" s="1"/>
  <c r="M626" s="1"/>
  <c r="F566" i="5"/>
  <c r="H425"/>
  <c r="H63" i="6" s="1"/>
  <c r="E263" i="5"/>
  <c r="F263" s="1"/>
  <c r="L263" s="1"/>
  <c r="Q8" i="7"/>
  <c r="U8" s="1"/>
  <c r="F656" i="5"/>
  <c r="K656"/>
  <c r="E230"/>
  <c r="K230" s="1"/>
  <c r="E244"/>
  <c r="F244" s="1"/>
  <c r="L244" s="1"/>
  <c r="H1363" i="7"/>
  <c r="I1363" s="1"/>
  <c r="H1385"/>
  <c r="I1385" s="1"/>
  <c r="H1364"/>
  <c r="H1386"/>
  <c r="I1386" s="1"/>
  <c r="T1389"/>
  <c r="U1389"/>
  <c r="P1430"/>
  <c r="P1431"/>
  <c r="Q1431" s="1"/>
  <c r="H281" i="5"/>
  <c r="H45" i="6" s="1"/>
  <c r="G660" i="5" s="1"/>
  <c r="H660" s="1"/>
  <c r="H661" s="1"/>
  <c r="H102" i="6" s="1"/>
  <c r="M1451" i="7"/>
  <c r="H449"/>
  <c r="H1083"/>
  <c r="I1083" s="1"/>
  <c r="H450"/>
  <c r="H1084"/>
  <c r="I1084" s="1"/>
  <c r="H451"/>
  <c r="H1085"/>
  <c r="I1085" s="1"/>
  <c r="E320" i="5"/>
  <c r="K320" s="1"/>
  <c r="E841"/>
  <c r="E362"/>
  <c r="F362" s="1"/>
  <c r="L362" s="1"/>
  <c r="E845"/>
  <c r="K760"/>
  <c r="E843"/>
  <c r="E324"/>
  <c r="F324" s="1"/>
  <c r="L324" s="1"/>
  <c r="E837"/>
  <c r="E361"/>
  <c r="K361" s="1"/>
  <c r="E844"/>
  <c r="E319"/>
  <c r="F319" s="1"/>
  <c r="E842"/>
  <c r="H324" i="7"/>
  <c r="H337"/>
  <c r="H338"/>
  <c r="H331"/>
  <c r="H339"/>
  <c r="H370"/>
  <c r="H328"/>
  <c r="H375"/>
  <c r="H336"/>
  <c r="M324"/>
  <c r="H1054"/>
  <c r="H1029"/>
  <c r="I1029" s="1"/>
  <c r="T1037"/>
  <c r="U1037"/>
  <c r="U1071"/>
  <c r="H1045"/>
  <c r="I1045" s="1"/>
  <c r="U1079"/>
  <c r="H1053"/>
  <c r="T1031"/>
  <c r="U1031"/>
  <c r="U1039"/>
  <c r="T1039"/>
  <c r="U1073"/>
  <c r="H1047"/>
  <c r="I1047" s="1"/>
  <c r="U1081"/>
  <c r="H1055"/>
  <c r="U1038"/>
  <c r="T1038"/>
  <c r="T1032"/>
  <c r="U1032"/>
  <c r="T1040"/>
  <c r="U1040"/>
  <c r="U1074"/>
  <c r="H1048"/>
  <c r="I1048" s="1"/>
  <c r="H1025"/>
  <c r="I1025" s="1"/>
  <c r="T1033"/>
  <c r="U1033"/>
  <c r="U1041"/>
  <c r="T1041"/>
  <c r="U1075"/>
  <c r="H1049"/>
  <c r="I1049" s="1"/>
  <c r="H1046"/>
  <c r="I1046" s="1"/>
  <c r="H1026"/>
  <c r="I1026" s="1"/>
  <c r="U1034"/>
  <c r="T1034"/>
  <c r="U1068"/>
  <c r="H1042"/>
  <c r="I1042" s="1"/>
  <c r="H1050"/>
  <c r="I1050" s="1"/>
  <c r="H1027"/>
  <c r="I1027" s="1"/>
  <c r="T1035"/>
  <c r="U1035"/>
  <c r="U1069"/>
  <c r="H1043"/>
  <c r="I1043" s="1"/>
  <c r="U1077"/>
  <c r="H1051"/>
  <c r="U1030"/>
  <c r="T1030"/>
  <c r="H1028"/>
  <c r="I1028" s="1"/>
  <c r="U1036"/>
  <c r="T1036"/>
  <c r="U1070"/>
  <c r="H1044"/>
  <c r="I1044" s="1"/>
  <c r="U1078"/>
  <c r="H1052"/>
  <c r="H1062"/>
  <c r="H1063"/>
  <c r="H1061"/>
  <c r="H1056"/>
  <c r="H1064"/>
  <c r="H1057"/>
  <c r="H1065"/>
  <c r="H1058"/>
  <c r="H1066"/>
  <c r="H1059"/>
  <c r="H1067"/>
  <c r="H1060"/>
  <c r="H380"/>
  <c r="E328" i="5"/>
  <c r="F328" s="1"/>
  <c r="L328" s="1"/>
  <c r="E200"/>
  <c r="F200" s="1"/>
  <c r="K216"/>
  <c r="H248"/>
  <c r="H42" i="6" s="1"/>
  <c r="L59" i="7" s="1"/>
  <c r="M59" s="1"/>
  <c r="J248" i="5"/>
  <c r="I418"/>
  <c r="J418" s="1"/>
  <c r="J419" s="1"/>
  <c r="J62" i="6" s="1"/>
  <c r="I499" i="5" s="1"/>
  <c r="J499" s="1"/>
  <c r="J500" s="1"/>
  <c r="J78" i="6" s="1"/>
  <c r="K159" i="5"/>
  <c r="K83"/>
  <c r="K129"/>
  <c r="K444"/>
  <c r="K651"/>
  <c r="K525"/>
  <c r="K528"/>
  <c r="K493"/>
  <c r="K459"/>
  <c r="K518"/>
  <c r="K627"/>
  <c r="K23"/>
  <c r="K642"/>
  <c r="K428"/>
  <c r="K11"/>
  <c r="K726"/>
  <c r="K256"/>
  <c r="K272"/>
  <c r="K622"/>
  <c r="K148"/>
  <c r="K169"/>
  <c r="K211"/>
  <c r="K742"/>
  <c r="K48"/>
  <c r="K580"/>
  <c r="K740"/>
  <c r="K766"/>
  <c r="K782"/>
  <c r="E255"/>
  <c r="F255" s="1"/>
  <c r="E286"/>
  <c r="K286" s="1"/>
  <c r="F493"/>
  <c r="L493" s="1"/>
  <c r="E329"/>
  <c r="F329" s="1"/>
  <c r="E60"/>
  <c r="F60" s="1"/>
  <c r="H23"/>
  <c r="L23" s="1"/>
  <c r="K602"/>
  <c r="K170"/>
  <c r="K22"/>
  <c r="K76"/>
  <c r="K116"/>
  <c r="K210"/>
  <c r="K254"/>
  <c r="K273"/>
  <c r="J455"/>
  <c r="J69" i="6" s="1"/>
  <c r="K458" i="5"/>
  <c r="K37"/>
  <c r="K165"/>
  <c r="K617"/>
  <c r="K433"/>
  <c r="K530"/>
  <c r="K372"/>
  <c r="K411"/>
  <c r="K438"/>
  <c r="K296"/>
  <c r="K312"/>
  <c r="K439"/>
  <c r="K541"/>
  <c r="K628"/>
  <c r="K793"/>
  <c r="K543"/>
  <c r="K529"/>
  <c r="H795"/>
  <c r="H120" i="6" s="1"/>
  <c r="J211" i="5"/>
  <c r="L211" s="1"/>
  <c r="J148"/>
  <c r="J150" s="1"/>
  <c r="J28" i="6" s="1"/>
  <c r="P1158" i="7" s="1"/>
  <c r="Q1158" s="1"/>
  <c r="K574" i="5"/>
  <c r="K202"/>
  <c r="K536"/>
  <c r="J169"/>
  <c r="L169" s="1"/>
  <c r="J444"/>
  <c r="L444" s="1"/>
  <c r="K71"/>
  <c r="K224"/>
  <c r="K564"/>
  <c r="K142"/>
  <c r="J438"/>
  <c r="J440" s="1"/>
  <c r="J66" i="6" s="1"/>
  <c r="F529" i="5"/>
  <c r="L529" s="1"/>
  <c r="H622"/>
  <c r="H624" s="1"/>
  <c r="H96" i="6" s="1"/>
  <c r="L816" i="7" s="1"/>
  <c r="M816" s="1"/>
  <c r="K637" i="5"/>
  <c r="K99"/>
  <c r="K253"/>
  <c r="F455"/>
  <c r="F69" i="6" s="1"/>
  <c r="K570" i="5"/>
  <c r="K453"/>
  <c r="K685"/>
  <c r="K123"/>
  <c r="K238"/>
  <c r="K352"/>
  <c r="K385"/>
  <c r="K464"/>
  <c r="F296"/>
  <c r="L296" s="1"/>
  <c r="K388"/>
  <c r="K563"/>
  <c r="H50"/>
  <c r="H11" i="6" s="1"/>
  <c r="L1111" i="7" s="1"/>
  <c r="M1111" s="1"/>
  <c r="T1078"/>
  <c r="K5" i="5"/>
  <c r="K78"/>
  <c r="K308"/>
  <c r="K423"/>
  <c r="K454"/>
  <c r="K469"/>
  <c r="K513"/>
  <c r="K526"/>
  <c r="K729"/>
  <c r="K741"/>
  <c r="K17"/>
  <c r="K42"/>
  <c r="J48"/>
  <c r="L48" s="1"/>
  <c r="K65"/>
  <c r="K98"/>
  <c r="K193"/>
  <c r="J253"/>
  <c r="J256"/>
  <c r="L256" s="1"/>
  <c r="J272"/>
  <c r="J281" s="1"/>
  <c r="J45" i="6" s="1"/>
  <c r="K304" i="5"/>
  <c r="J411"/>
  <c r="L411" s="1"/>
  <c r="J624"/>
  <c r="J96" i="6" s="1"/>
  <c r="J651" i="5"/>
  <c r="L651" s="1"/>
  <c r="J726"/>
  <c r="L726" s="1"/>
  <c r="K752"/>
  <c r="H355"/>
  <c r="H54" i="6" s="1"/>
  <c r="K121" i="5"/>
  <c r="K378"/>
  <c r="K14"/>
  <c r="K92"/>
  <c r="K115"/>
  <c r="K149"/>
  <c r="K295"/>
  <c r="K301"/>
  <c r="K484"/>
  <c r="H526"/>
  <c r="L526" s="1"/>
  <c r="K533"/>
  <c r="K571"/>
  <c r="K586"/>
  <c r="H604"/>
  <c r="H92" i="6" s="1"/>
  <c r="H629" i="5"/>
  <c r="H97" i="6" s="1"/>
  <c r="L817" i="7" s="1"/>
  <c r="M817" s="1"/>
  <c r="K645" i="5"/>
  <c r="K792"/>
  <c r="F525"/>
  <c r="L525" s="1"/>
  <c r="F627"/>
  <c r="L627" s="1"/>
  <c r="K311"/>
  <c r="H440"/>
  <c r="H66" i="6" s="1"/>
  <c r="K575" i="5"/>
  <c r="K633"/>
  <c r="K665"/>
  <c r="K681"/>
  <c r="K13"/>
  <c r="K53"/>
  <c r="K64"/>
  <c r="K70"/>
  <c r="K103"/>
  <c r="K153"/>
  <c r="K185"/>
  <c r="K294"/>
  <c r="K297"/>
  <c r="K363"/>
  <c r="K366"/>
  <c r="K373"/>
  <c r="K449"/>
  <c r="K474"/>
  <c r="H519"/>
  <c r="H82" i="6" s="1"/>
  <c r="L1204" i="7" s="1"/>
  <c r="M1204" s="1"/>
  <c r="K527" i="5"/>
  <c r="K534"/>
  <c r="K598"/>
  <c r="J609"/>
  <c r="J93" i="6" s="1"/>
  <c r="H634" i="5"/>
  <c r="H98" i="6" s="1"/>
  <c r="L818" i="7" s="1"/>
  <c r="M818" s="1"/>
  <c r="K638" i="5"/>
  <c r="K686"/>
  <c r="K728"/>
  <c r="K110"/>
  <c r="K364"/>
  <c r="F439"/>
  <c r="F440" s="1"/>
  <c r="F66" i="6" s="1"/>
  <c r="F614" i="5"/>
  <c r="F94" i="6" s="1"/>
  <c r="H814" i="7" s="1"/>
  <c r="I814" s="1"/>
  <c r="K166" i="5"/>
  <c r="H100"/>
  <c r="H20" i="6" s="1"/>
  <c r="L1137" i="7" s="1"/>
  <c r="M1137" s="1"/>
  <c r="J188" i="5"/>
  <c r="J34" i="6" s="1"/>
  <c r="P122" i="7" s="1"/>
  <c r="Q122" s="1"/>
  <c r="H412" i="5"/>
  <c r="H61" i="6" s="1"/>
  <c r="H430" i="5"/>
  <c r="H64" i="6" s="1"/>
  <c r="L10" i="7" s="1"/>
  <c r="M10" s="1"/>
  <c r="J490" i="5"/>
  <c r="J76" i="6" s="1"/>
  <c r="J599" i="5"/>
  <c r="J91" i="6" s="1"/>
  <c r="K12" i="5"/>
  <c r="K49"/>
  <c r="F305"/>
  <c r="F48" i="6" s="1"/>
  <c r="F428" i="5"/>
  <c r="F430" s="1"/>
  <c r="J480"/>
  <c r="J74" i="6" s="1"/>
  <c r="K232" i="5"/>
  <c r="K265"/>
  <c r="K494"/>
  <c r="K416"/>
  <c r="H308"/>
  <c r="L308" s="1"/>
  <c r="F599"/>
  <c r="F91" i="6" s="1"/>
  <c r="H811" i="7" s="1"/>
  <c r="I811" s="1"/>
  <c r="T905"/>
  <c r="K387" i="5"/>
  <c r="F387"/>
  <c r="F77"/>
  <c r="L77" s="1"/>
  <c r="K77"/>
  <c r="H231"/>
  <c r="H234" s="1"/>
  <c r="H40" i="6" s="1"/>
  <c r="K231" i="5"/>
  <c r="F407"/>
  <c r="L407" s="1"/>
  <c r="K407"/>
  <c r="H524"/>
  <c r="L524" s="1"/>
  <c r="K524"/>
  <c r="H531"/>
  <c r="L531" s="1"/>
  <c r="K531"/>
  <c r="J692"/>
  <c r="J701" s="1"/>
  <c r="J108" i="6" s="1"/>
  <c r="K692" i="5"/>
  <c r="H399"/>
  <c r="K399"/>
  <c r="F129"/>
  <c r="L129" s="1"/>
  <c r="K168"/>
  <c r="K174"/>
  <c r="H185"/>
  <c r="H188" s="1"/>
  <c r="H34" i="6" s="1"/>
  <c r="L122" i="7" s="1"/>
  <c r="M122" s="1"/>
  <c r="K225" i="5"/>
  <c r="H255"/>
  <c r="K262"/>
  <c r="K350"/>
  <c r="F458"/>
  <c r="K468"/>
  <c r="K489"/>
  <c r="H534"/>
  <c r="E537" s="1"/>
  <c r="F537" s="1"/>
  <c r="L537" s="1"/>
  <c r="I687"/>
  <c r="J687" s="1"/>
  <c r="L687" s="1"/>
  <c r="I730"/>
  <c r="J730" s="1"/>
  <c r="L730" s="1"/>
  <c r="H16"/>
  <c r="L16" s="1"/>
  <c r="K16"/>
  <c r="H147"/>
  <c r="H150" s="1"/>
  <c r="H28" i="6" s="1"/>
  <c r="L1158" i="7" s="1"/>
  <c r="M1158" s="1"/>
  <c r="K147" i="5"/>
  <c r="H303"/>
  <c r="L303" s="1"/>
  <c r="K303"/>
  <c r="F313"/>
  <c r="L313" s="1"/>
  <c r="K313"/>
  <c r="F379"/>
  <c r="L379" s="1"/>
  <c r="K379"/>
  <c r="K434"/>
  <c r="F434"/>
  <c r="F435" s="1"/>
  <c r="F65" i="6" s="1"/>
  <c r="J613" i="5"/>
  <c r="J614" s="1"/>
  <c r="K613"/>
  <c r="F754"/>
  <c r="L754" s="1"/>
  <c r="K754"/>
  <c r="F507"/>
  <c r="L507" s="1"/>
  <c r="K507"/>
  <c r="F512"/>
  <c r="F514" s="1"/>
  <c r="K512"/>
  <c r="M463" i="7"/>
  <c r="K23" i="8" s="1"/>
  <c r="L23" s="1"/>
  <c r="K24" i="5"/>
  <c r="F53"/>
  <c r="F55" s="1"/>
  <c r="F103"/>
  <c r="L103" s="1"/>
  <c r="J123"/>
  <c r="L123" s="1"/>
  <c r="H165"/>
  <c r="L165" s="1"/>
  <c r="H294"/>
  <c r="H298" s="1"/>
  <c r="K498"/>
  <c r="K503"/>
  <c r="K532"/>
  <c r="K608"/>
  <c r="H617"/>
  <c r="H619" s="1"/>
  <c r="H95" i="6" s="1"/>
  <c r="L815" i="7" s="1"/>
  <c r="M815" s="1"/>
  <c r="K623" i="5"/>
  <c r="H638"/>
  <c r="H639" s="1"/>
  <c r="H99" i="6" s="1"/>
  <c r="L820" i="7" s="1"/>
  <c r="M820" s="1"/>
  <c r="K644" i="5"/>
  <c r="K650"/>
  <c r="Q905" i="7"/>
  <c r="U905" s="1"/>
  <c r="H13" i="5"/>
  <c r="L13" s="1"/>
  <c r="J566"/>
  <c r="J87" i="6" s="1"/>
  <c r="P626" i="7" s="1"/>
  <c r="K44" i="5"/>
  <c r="J45"/>
  <c r="J10" i="6" s="1"/>
  <c r="P1110" i="7" s="1"/>
  <c r="Q1110" s="1"/>
  <c r="K223" i="5"/>
  <c r="K271"/>
  <c r="K280"/>
  <c r="K377"/>
  <c r="J385"/>
  <c r="L385" s="1"/>
  <c r="K424"/>
  <c r="F474"/>
  <c r="K517"/>
  <c r="K569"/>
  <c r="F686"/>
  <c r="F688" s="1"/>
  <c r="F107" i="6" s="1"/>
  <c r="K787" i="5"/>
  <c r="F191"/>
  <c r="K191"/>
  <c r="F284"/>
  <c r="K284"/>
  <c r="H88"/>
  <c r="H89" s="1"/>
  <c r="H18" i="6" s="1"/>
  <c r="L1135" i="7" s="1"/>
  <c r="M1135" s="1"/>
  <c r="K88" i="5"/>
  <c r="K97"/>
  <c r="F97"/>
  <c r="L97" s="1"/>
  <c r="H111"/>
  <c r="L111" s="1"/>
  <c r="K111"/>
  <c r="H141"/>
  <c r="L141" s="1"/>
  <c r="K141"/>
  <c r="J164"/>
  <c r="L164" s="1"/>
  <c r="K164"/>
  <c r="J392"/>
  <c r="K392"/>
  <c r="J409"/>
  <c r="L409" s="1"/>
  <c r="K409"/>
  <c r="H483"/>
  <c r="L483" s="1"/>
  <c r="K483"/>
  <c r="J579"/>
  <c r="L579" s="1"/>
  <c r="K579"/>
  <c r="H664"/>
  <c r="H666" s="1"/>
  <c r="K664"/>
  <c r="J739"/>
  <c r="L739" s="1"/>
  <c r="K739"/>
  <c r="J765"/>
  <c r="L765" s="1"/>
  <c r="K765"/>
  <c r="K443"/>
  <c r="K607"/>
  <c r="K573"/>
  <c r="F573"/>
  <c r="L573" s="1"/>
  <c r="F293"/>
  <c r="K293"/>
  <c r="K59"/>
  <c r="F59"/>
  <c r="L59" s="1"/>
  <c r="K9"/>
  <c r="H64"/>
  <c r="L64" s="1"/>
  <c r="H70"/>
  <c r="E72" s="1"/>
  <c r="K117"/>
  <c r="L271"/>
  <c r="F297"/>
  <c r="L297" s="1"/>
  <c r="H319"/>
  <c r="L377"/>
  <c r="F459"/>
  <c r="L459" s="1"/>
  <c r="F728"/>
  <c r="L728" s="1"/>
  <c r="F740"/>
  <c r="L740" s="1"/>
  <c r="F572"/>
  <c r="L572" s="1"/>
  <c r="K572"/>
  <c r="J58"/>
  <c r="J61" s="1"/>
  <c r="J13" i="6" s="1"/>
  <c r="P1113" i="7" s="1"/>
  <c r="Q1113" s="1"/>
  <c r="K58" i="5"/>
  <c r="J82"/>
  <c r="L82" s="1"/>
  <c r="K82"/>
  <c r="J576"/>
  <c r="L576" s="1"/>
  <c r="K576"/>
  <c r="F373"/>
  <c r="L373" s="1"/>
  <c r="F109"/>
  <c r="L109" s="1"/>
  <c r="K109"/>
  <c r="F552"/>
  <c r="L552" s="1"/>
  <c r="K552"/>
  <c r="H591"/>
  <c r="L591" s="1"/>
  <c r="K591"/>
  <c r="J25"/>
  <c r="J6" i="6" s="1"/>
  <c r="F83" i="5"/>
  <c r="F84" s="1"/>
  <c r="K310"/>
  <c r="J352"/>
  <c r="L352" s="1"/>
  <c r="K359"/>
  <c r="H374"/>
  <c r="H56" i="6" s="1"/>
  <c r="K406" i="5"/>
  <c r="H435"/>
  <c r="H65" i="6" s="1"/>
  <c r="J485" i="5"/>
  <c r="J75" i="6" s="1"/>
  <c r="H527" i="5"/>
  <c r="L527" s="1"/>
  <c r="J629"/>
  <c r="J97" i="6" s="1"/>
  <c r="K707" i="5"/>
  <c r="H768"/>
  <c r="I769" s="1"/>
  <c r="J769" s="1"/>
  <c r="L769" s="1"/>
  <c r="K768"/>
  <c r="F798"/>
  <c r="F799" s="1"/>
  <c r="K798"/>
  <c r="H598"/>
  <c r="H599" s="1"/>
  <c r="H91" i="6" s="1"/>
  <c r="L811" i="7" s="1"/>
  <c r="M811" s="1"/>
  <c r="K105" i="5"/>
  <c r="K10"/>
  <c r="F166"/>
  <c r="L166" s="1"/>
  <c r="H363"/>
  <c r="H366"/>
  <c r="L366" s="1"/>
  <c r="K386"/>
  <c r="J450"/>
  <c r="J68" i="6" s="1"/>
  <c r="J464" i="5"/>
  <c r="J465" s="1"/>
  <c r="H614"/>
  <c r="H94" i="6" s="1"/>
  <c r="L814" i="7" s="1"/>
  <c r="M814" s="1"/>
  <c r="H79" i="5"/>
  <c r="H16" i="6" s="1"/>
  <c r="L1133" i="7" s="1"/>
  <c r="M1133" s="1"/>
  <c r="G544" i="5"/>
  <c r="H544" s="1"/>
  <c r="H546" s="1"/>
  <c r="H84" i="6" s="1"/>
  <c r="L489" i="7" s="1"/>
  <c r="M489" s="1"/>
  <c r="F619" i="5"/>
  <c r="F95" i="6" s="1"/>
  <c r="H815" i="7" s="1"/>
  <c r="I815" s="1"/>
  <c r="H22" i="5"/>
  <c r="L22" s="1"/>
  <c r="J67"/>
  <c r="J14" i="6" s="1"/>
  <c r="P1131" i="7" s="1"/>
  <c r="Q1131" s="1"/>
  <c r="H60" i="5"/>
  <c r="H61" s="1"/>
  <c r="H84"/>
  <c r="H17" i="6" s="1"/>
  <c r="L1134" i="7" s="1"/>
  <c r="M1134" s="1"/>
  <c r="K93" i="5"/>
  <c r="F116"/>
  <c r="F118" s="1"/>
  <c r="F23" i="6" s="1"/>
  <c r="H1140" i="7" s="1"/>
  <c r="I1140" s="1"/>
  <c r="J435" i="5"/>
  <c r="J65" i="6" s="1"/>
  <c r="F445" i="5"/>
  <c r="F67" i="6" s="1"/>
  <c r="K422" i="5"/>
  <c r="K632"/>
  <c r="K252"/>
  <c r="K309"/>
  <c r="F45"/>
  <c r="F10" i="6" s="1"/>
  <c r="H1110" i="7" s="1"/>
  <c r="I1110" s="1"/>
  <c r="J100" i="5"/>
  <c r="J20" i="6" s="1"/>
  <c r="H450" i="5"/>
  <c r="H68" i="6" s="1"/>
  <c r="H490" i="5"/>
  <c r="H76" i="6" s="1"/>
  <c r="J5" i="5"/>
  <c r="J6" s="1"/>
  <c r="J4" i="6" s="1"/>
  <c r="H12" i="5"/>
  <c r="L12" s="1"/>
  <c r="H45"/>
  <c r="H10" i="6" s="1"/>
  <c r="L1110" i="7" s="1"/>
  <c r="M1110" s="1"/>
  <c r="H381" i="5"/>
  <c r="H57" i="6" s="1"/>
  <c r="G724" i="5" s="1"/>
  <c r="H724" s="1"/>
  <c r="H731" s="1"/>
  <c r="H112" i="6" s="1"/>
  <c r="H465" i="5"/>
  <c r="H71" i="6" s="1"/>
  <c r="L819" i="7" s="1"/>
  <c r="M819" s="1"/>
  <c r="T1082"/>
  <c r="J78" i="5"/>
  <c r="J79" s="1"/>
  <c r="J144"/>
  <c r="J27" i="6" s="1"/>
  <c r="P1157" i="7" s="1"/>
  <c r="Q1157" s="1"/>
  <c r="F60" i="6"/>
  <c r="J604" i="5"/>
  <c r="J92" i="6" s="1"/>
  <c r="H688" i="5"/>
  <c r="H107" i="6" s="1"/>
  <c r="I756" i="5"/>
  <c r="J756" s="1"/>
  <c r="L756" s="1"/>
  <c r="T913" i="7"/>
  <c r="K696" i="5"/>
  <c r="T917" i="7"/>
  <c r="Q348"/>
  <c r="O21" i="8" s="1"/>
  <c r="P21" s="1"/>
  <c r="T914" i="7"/>
  <c r="U913"/>
  <c r="T833"/>
  <c r="T906"/>
  <c r="M917"/>
  <c r="U917" s="1"/>
  <c r="T957"/>
  <c r="T909"/>
  <c r="T952"/>
  <c r="T956"/>
  <c r="J430" i="5"/>
  <c r="J64" i="6" s="1"/>
  <c r="P10" i="7" s="1"/>
  <c r="Q10" s="1"/>
  <c r="F50" i="5"/>
  <c r="F11" i="6" s="1"/>
  <c r="H1111" i="7" s="1"/>
  <c r="I1111" s="1"/>
  <c r="H254" i="5"/>
  <c r="H265"/>
  <c r="E267" s="1"/>
  <c r="F267" s="1"/>
  <c r="L267" s="1"/>
  <c r="F273"/>
  <c r="L273" s="1"/>
  <c r="F312"/>
  <c r="L312" s="1"/>
  <c r="J378"/>
  <c r="L378" s="1"/>
  <c r="J423"/>
  <c r="J425" s="1"/>
  <c r="J63" i="6" s="1"/>
  <c r="H454" i="5"/>
  <c r="L454" s="1"/>
  <c r="J469"/>
  <c r="J470" s="1"/>
  <c r="J72" i="6" s="1"/>
  <c r="K479" i="5"/>
  <c r="H513"/>
  <c r="H514" s="1"/>
  <c r="H81" i="6" s="1"/>
  <c r="K603" i="5"/>
  <c r="F628"/>
  <c r="J708"/>
  <c r="J109" i="6" s="1"/>
  <c r="K727" i="5"/>
  <c r="H741"/>
  <c r="I743" s="1"/>
  <c r="K777"/>
  <c r="K54"/>
  <c r="F541"/>
  <c r="L541" s="1"/>
  <c r="K597"/>
  <c r="K767"/>
  <c r="F793"/>
  <c r="F795" s="1"/>
  <c r="F120" i="6" s="1"/>
  <c r="J25"/>
  <c r="P1155" i="7" s="1"/>
  <c r="Q1155" s="1"/>
  <c r="F210" i="5"/>
  <c r="L210" s="1"/>
  <c r="K15"/>
  <c r="K28"/>
  <c r="K43"/>
  <c r="J106"/>
  <c r="J21" i="6" s="1"/>
  <c r="P1138" i="7" s="1"/>
  <c r="Q1138" s="1"/>
  <c r="E132" i="5"/>
  <c r="F132" s="1"/>
  <c r="K143"/>
  <c r="K181"/>
  <c r="H227"/>
  <c r="H39" i="6" s="1"/>
  <c r="K285" i="5"/>
  <c r="K287"/>
  <c r="K302"/>
  <c r="K323"/>
  <c r="K330"/>
  <c r="K358"/>
  <c r="K408"/>
  <c r="K417"/>
  <c r="K429"/>
  <c r="K463"/>
  <c r="J519"/>
  <c r="J82" i="6" s="1"/>
  <c r="K522" i="5"/>
  <c r="K565"/>
  <c r="K578"/>
  <c r="K618"/>
  <c r="H646"/>
  <c r="H100" i="6" s="1"/>
  <c r="L823" i="7" s="1"/>
  <c r="M823" s="1"/>
  <c r="K652" i="5"/>
  <c r="K669"/>
  <c r="K786"/>
  <c r="I794"/>
  <c r="J794" s="1"/>
  <c r="L794" s="1"/>
  <c r="H25" i="6"/>
  <c r="L1155" i="7" s="1"/>
  <c r="M1155" s="1"/>
  <c r="H55" i="5"/>
  <c r="H12" i="6" s="1"/>
  <c r="L1112" i="7" s="1"/>
  <c r="M1112" s="1"/>
  <c r="H110" i="5"/>
  <c r="L110" s="1"/>
  <c r="K239"/>
  <c r="J46" i="6"/>
  <c r="J331" i="5"/>
  <c r="J51" i="6" s="1"/>
  <c r="K336" i="5"/>
  <c r="K342"/>
  <c r="H609"/>
  <c r="H93" i="6" s="1"/>
  <c r="L813" i="7" s="1"/>
  <c r="M813" s="1"/>
  <c r="F639" i="5"/>
  <c r="F99" i="6" s="1"/>
  <c r="H820" i="7" s="1"/>
  <c r="J666" i="5"/>
  <c r="J103" i="6" s="1"/>
  <c r="I18" i="5" s="1"/>
  <c r="J18" s="1"/>
  <c r="J19" s="1"/>
  <c r="J5" i="6" s="1"/>
  <c r="K700" i="5"/>
  <c r="K706"/>
  <c r="K753"/>
  <c r="K755"/>
  <c r="F94"/>
  <c r="F76"/>
  <c r="K257"/>
  <c r="K87"/>
  <c r="H24" i="6"/>
  <c r="L1154" i="7" s="1"/>
  <c r="M1154" s="1"/>
  <c r="K131" i="5"/>
  <c r="K163"/>
  <c r="K167"/>
  <c r="K187"/>
  <c r="L289"/>
  <c r="K314"/>
  <c r="K384"/>
  <c r="K400"/>
  <c r="H445"/>
  <c r="H67" i="6" s="1"/>
  <c r="J475" i="5"/>
  <c r="J73" i="6" s="1"/>
  <c r="H495" i="5"/>
  <c r="H77" i="6" s="1"/>
  <c r="K549" i="5"/>
  <c r="K558"/>
  <c r="J634"/>
  <c r="J98" i="6" s="1"/>
  <c r="K643" i="5"/>
  <c r="K691"/>
  <c r="L696"/>
  <c r="L753"/>
  <c r="L87"/>
  <c r="J89"/>
  <c r="J18" i="6" s="1"/>
  <c r="P1135" i="7" s="1"/>
  <c r="Q1135" s="1"/>
  <c r="J94" i="5"/>
  <c r="J19" i="6" s="1"/>
  <c r="P1136" i="7" s="1"/>
  <c r="Q1136" s="1"/>
  <c r="K104" i="5"/>
  <c r="K351"/>
  <c r="F465"/>
  <c r="F71" i="6" s="1"/>
  <c r="H819" i="7" s="1"/>
  <c r="I819" s="1"/>
  <c r="F470" i="5"/>
  <c r="F72" i="6" s="1"/>
  <c r="H475" i="5"/>
  <c r="H73" i="6" s="1"/>
  <c r="K612" i="5"/>
  <c r="F666"/>
  <c r="F103" i="6" s="1"/>
  <c r="J55" i="5"/>
  <c r="J12" i="6" s="1"/>
  <c r="P1112" i="7" s="1"/>
  <c r="Q1112" s="1"/>
  <c r="I581" i="5"/>
  <c r="J581" s="1"/>
  <c r="L581" s="1"/>
  <c r="U1082" i="7"/>
  <c r="T910"/>
  <c r="T902"/>
  <c r="T918"/>
  <c r="T954"/>
  <c r="T1068"/>
  <c r="T1072"/>
  <c r="T1080"/>
  <c r="T469"/>
  <c r="T949"/>
  <c r="T1075"/>
  <c r="T915"/>
  <c r="T824"/>
  <c r="T958"/>
  <c r="T907"/>
  <c r="T1069"/>
  <c r="T911"/>
  <c r="T955"/>
  <c r="T959"/>
  <c r="T912"/>
  <c r="T916"/>
  <c r="T950"/>
  <c r="T904"/>
  <c r="T908"/>
  <c r="T960"/>
  <c r="T951"/>
  <c r="J305" i="5"/>
  <c r="J48" i="6" s="1"/>
  <c r="P470" i="7"/>
  <c r="Q470" s="1"/>
  <c r="L43" i="5"/>
  <c r="F170"/>
  <c r="L170" s="1"/>
  <c r="H331"/>
  <c r="H51" i="6" s="1"/>
  <c r="F577" i="5"/>
  <c r="L577" s="1"/>
  <c r="K577"/>
  <c r="K318"/>
  <c r="F318"/>
  <c r="L318" s="1"/>
  <c r="K448"/>
  <c r="F448"/>
  <c r="F450" s="1"/>
  <c r="F68" i="6" s="1"/>
  <c r="K488" i="5"/>
  <c r="F488"/>
  <c r="F490" s="1"/>
  <c r="F76" i="6" s="1"/>
  <c r="K694" i="5"/>
  <c r="F694"/>
  <c r="L694" s="1"/>
  <c r="H241"/>
  <c r="H41" i="6" s="1"/>
  <c r="J337" i="5"/>
  <c r="J52" i="6" s="1"/>
  <c r="F422" i="5"/>
  <c r="L422" s="1"/>
  <c r="F632"/>
  <c r="F634" s="1"/>
  <c r="T903" i="7"/>
  <c r="L24" i="5"/>
  <c r="I240"/>
  <c r="J240" s="1"/>
  <c r="J241" s="1"/>
  <c r="J41" i="6" s="1"/>
  <c r="F528" i="5"/>
  <c r="L528" s="1"/>
  <c r="F604"/>
  <c r="F92" i="6" s="1"/>
  <c r="H36"/>
  <c r="I226" i="5"/>
  <c r="K226" s="1"/>
  <c r="F252"/>
  <c r="F309"/>
  <c r="L468"/>
  <c r="H470"/>
  <c r="H72" i="6" s="1"/>
  <c r="H94" i="5"/>
  <c r="H19" i="6" s="1"/>
  <c r="L1136" i="7" s="1"/>
  <c r="M1136" s="1"/>
  <c r="H106" i="5"/>
  <c r="H21" i="6" s="1"/>
  <c r="L1138" i="7" s="1"/>
  <c r="M1138" s="1"/>
  <c r="L117" i="5"/>
  <c r="L301"/>
  <c r="L550"/>
  <c r="L558"/>
  <c r="L578"/>
  <c r="J639"/>
  <c r="J99" i="6" s="1"/>
  <c r="K704" i="5"/>
  <c r="F704"/>
  <c r="L704" s="1"/>
  <c r="F695"/>
  <c r="L695" s="1"/>
  <c r="K695"/>
  <c r="H337"/>
  <c r="H52" i="6" s="1"/>
  <c r="J374" i="5"/>
  <c r="J56" i="6" s="1"/>
  <c r="L570" i="5"/>
  <c r="F734"/>
  <c r="L734" s="1"/>
  <c r="K734"/>
  <c r="J182"/>
  <c r="J33" i="6" s="1"/>
  <c r="L553" i="5"/>
  <c r="J112"/>
  <c r="J22" i="6" s="1"/>
  <c r="P1139" i="7" s="1"/>
  <c r="Q1139" s="1"/>
  <c r="L384" i="5"/>
  <c r="H480"/>
  <c r="H74" i="6" s="1"/>
  <c r="H509" i="5"/>
  <c r="H80" i="6" s="1"/>
  <c r="L351" i="7" s="1"/>
  <c r="M351" s="1"/>
  <c r="J773" i="5"/>
  <c r="J774" s="1"/>
  <c r="J116" i="6" s="1"/>
  <c r="K773" i="5"/>
  <c r="K781"/>
  <c r="F781"/>
  <c r="L781" s="1"/>
  <c r="F693"/>
  <c r="L693" s="1"/>
  <c r="K693"/>
  <c r="L104"/>
  <c r="H118"/>
  <c r="H23" i="6" s="1"/>
  <c r="L1140" i="7" s="1"/>
  <c r="M1140" s="1"/>
  <c r="I212" i="5"/>
  <c r="K212" s="1"/>
  <c r="H389"/>
  <c r="H58" i="6" s="1"/>
  <c r="L199" i="7" s="1"/>
  <c r="M199" s="1"/>
  <c r="H419" i="5"/>
  <c r="H62" i="6" s="1"/>
  <c r="J495" i="5"/>
  <c r="J77" i="6" s="1"/>
  <c r="J514" i="5"/>
  <c r="J81" i="6" s="1"/>
  <c r="H582" i="5"/>
  <c r="H88" i="6" s="1"/>
  <c r="L649" i="7" s="1"/>
  <c r="M649" s="1"/>
  <c r="K673" i="5"/>
  <c r="F673"/>
  <c r="J73"/>
  <c r="J15" i="6" s="1"/>
  <c r="P1132" i="7" s="1"/>
  <c r="Q1132" s="1"/>
  <c r="F144" i="5"/>
  <c r="F27" i="6" s="1"/>
  <c r="H1157" i="7" s="1"/>
  <c r="I1157" s="1"/>
  <c r="H35" i="6"/>
  <c r="L583" i="7" s="1"/>
  <c r="M583" s="1"/>
  <c r="L406" i="5"/>
  <c r="L429"/>
  <c r="H460"/>
  <c r="H70" i="6" s="1"/>
  <c r="L463" i="5"/>
  <c r="I545"/>
  <c r="K545" s="1"/>
  <c r="J619"/>
  <c r="J95" i="6" s="1"/>
  <c r="K762" i="5"/>
  <c r="F762"/>
  <c r="L762" s="1"/>
  <c r="J764"/>
  <c r="L764" s="1"/>
  <c r="K764"/>
  <c r="J509"/>
  <c r="J80" i="6" s="1"/>
  <c r="L607" i="5"/>
  <c r="J783"/>
  <c r="J118" i="6" s="1"/>
  <c r="H298" i="7"/>
  <c r="H826"/>
  <c r="I826" s="1"/>
  <c r="E186" i="5"/>
  <c r="E264"/>
  <c r="E279"/>
  <c r="E353"/>
  <c r="E508"/>
  <c r="E542"/>
  <c r="E649"/>
  <c r="E699"/>
  <c r="E723"/>
  <c r="E736"/>
  <c r="L706"/>
  <c r="H783"/>
  <c r="H118" i="6" s="1"/>
  <c r="E192" i="5"/>
  <c r="E237"/>
  <c r="E367"/>
  <c r="E551"/>
  <c r="E705"/>
  <c r="H1367" i="7"/>
  <c r="I1367" s="1"/>
  <c r="E201" i="5"/>
  <c r="E245"/>
  <c r="E276"/>
  <c r="E334"/>
  <c r="E721"/>
  <c r="L777"/>
  <c r="E340"/>
  <c r="E354"/>
  <c r="E410"/>
  <c r="E179"/>
  <c r="E349"/>
  <c r="E360"/>
  <c r="E371"/>
  <c r="E415"/>
  <c r="E66"/>
  <c r="E278"/>
  <c r="E335"/>
  <c r="E698"/>
  <c r="E722"/>
  <c r="I725"/>
  <c r="E735"/>
  <c r="I738"/>
  <c r="H300" i="7"/>
  <c r="H701" i="5"/>
  <c r="H108" i="6" s="1"/>
  <c r="F778" i="5"/>
  <c r="F117" i="6" s="1"/>
  <c r="L117" s="1"/>
  <c r="E341" i="5"/>
  <c r="K585"/>
  <c r="E180"/>
  <c r="E274"/>
  <c r="Q1405" i="7"/>
  <c r="M1405"/>
  <c r="K60" i="8" s="1"/>
  <c r="L60" s="1"/>
  <c r="U960" i="7"/>
  <c r="U959"/>
  <c r="U958"/>
  <c r="U957"/>
  <c r="U956"/>
  <c r="U955"/>
  <c r="U954"/>
  <c r="U952"/>
  <c r="U951"/>
  <c r="U950"/>
  <c r="U949"/>
  <c r="U918"/>
  <c r="U916"/>
  <c r="U915"/>
  <c r="U914"/>
  <c r="U912"/>
  <c r="U911"/>
  <c r="U910"/>
  <c r="U909"/>
  <c r="U908"/>
  <c r="U907"/>
  <c r="U906"/>
  <c r="U904"/>
  <c r="U903"/>
  <c r="U902"/>
  <c r="U833"/>
  <c r="U824"/>
  <c r="U469"/>
  <c r="Q1382"/>
  <c r="O58" i="8" s="1"/>
  <c r="P58" s="1"/>
  <c r="M1382" i="7"/>
  <c r="K58" i="8" s="1"/>
  <c r="L58" s="1"/>
  <c r="L792" i="5"/>
  <c r="L787"/>
  <c r="L786"/>
  <c r="L782"/>
  <c r="L767"/>
  <c r="L766"/>
  <c r="L755"/>
  <c r="L752"/>
  <c r="L742"/>
  <c r="L729"/>
  <c r="L727"/>
  <c r="L707"/>
  <c r="H708"/>
  <c r="H109" i="6" s="1"/>
  <c r="L700" i="5"/>
  <c r="L691"/>
  <c r="L685"/>
  <c r="L681"/>
  <c r="F682"/>
  <c r="L670"/>
  <c r="L669"/>
  <c r="F104" i="6"/>
  <c r="L665" i="5"/>
  <c r="J102" i="6"/>
  <c r="L652" i="5"/>
  <c r="L650"/>
  <c r="H653"/>
  <c r="H101" i="6" s="1"/>
  <c r="L645" i="5"/>
  <c r="L644"/>
  <c r="L643"/>
  <c r="J646"/>
  <c r="J100" i="6" s="1"/>
  <c r="L642" i="5"/>
  <c r="F646"/>
  <c r="L637"/>
  <c r="L633"/>
  <c r="L623"/>
  <c r="F624"/>
  <c r="L618"/>
  <c r="L612"/>
  <c r="L608"/>
  <c r="F609"/>
  <c r="L603"/>
  <c r="L602"/>
  <c r="L597"/>
  <c r="L585"/>
  <c r="H588"/>
  <c r="H89" i="6" s="1"/>
  <c r="F588" i="5"/>
  <c r="F89" i="6" s="1"/>
  <c r="I587" i="5"/>
  <c r="J587" s="1"/>
  <c r="L586"/>
  <c r="L580"/>
  <c r="L575"/>
  <c r="L574"/>
  <c r="L571"/>
  <c r="L569"/>
  <c r="L565"/>
  <c r="L564"/>
  <c r="L563"/>
  <c r="L549"/>
  <c r="L543"/>
  <c r="L536"/>
  <c r="L533"/>
  <c r="L532"/>
  <c r="L530"/>
  <c r="L522"/>
  <c r="L518"/>
  <c r="F519"/>
  <c r="L517"/>
  <c r="L503"/>
  <c r="L504"/>
  <c r="L498"/>
  <c r="L494"/>
  <c r="L489"/>
  <c r="L484"/>
  <c r="F485"/>
  <c r="L479"/>
  <c r="J460"/>
  <c r="J70" i="6" s="1"/>
  <c r="L453" i="5"/>
  <c r="L449"/>
  <c r="L443"/>
  <c r="L433"/>
  <c r="L424"/>
  <c r="L417"/>
  <c r="L416"/>
  <c r="L408"/>
  <c r="L400"/>
  <c r="L388"/>
  <c r="L386"/>
  <c r="I380"/>
  <c r="L372"/>
  <c r="K365"/>
  <c r="L365"/>
  <c r="L364"/>
  <c r="J368"/>
  <c r="J55" i="6" s="1"/>
  <c r="L359" i="5"/>
  <c r="L358"/>
  <c r="L351"/>
  <c r="L350"/>
  <c r="L342"/>
  <c r="L336"/>
  <c r="L330"/>
  <c r="L323"/>
  <c r="L314"/>
  <c r="J315"/>
  <c r="J49" i="6" s="1"/>
  <c r="L311" i="5"/>
  <c r="L310"/>
  <c r="L304"/>
  <c r="L302"/>
  <c r="L295"/>
  <c r="L287"/>
  <c r="L285"/>
  <c r="L280"/>
  <c r="L262"/>
  <c r="L257"/>
  <c r="L239"/>
  <c r="L238"/>
  <c r="L232"/>
  <c r="L225"/>
  <c r="F227"/>
  <c r="F39" i="6" s="1"/>
  <c r="L224" i="5"/>
  <c r="L223"/>
  <c r="H213"/>
  <c r="H37" i="6" s="1"/>
  <c r="L202" i="5"/>
  <c r="L193"/>
  <c r="L187"/>
  <c r="L181"/>
  <c r="H182"/>
  <c r="H33" i="6" s="1"/>
  <c r="L174" i="5"/>
  <c r="L168"/>
  <c r="L167"/>
  <c r="L163"/>
  <c r="L159"/>
  <c r="L154"/>
  <c r="L29" i="6"/>
  <c r="L153" i="5"/>
  <c r="L149"/>
  <c r="F150"/>
  <c r="F28" i="6" s="1"/>
  <c r="H1158" i="7" s="1"/>
  <c r="I1158" s="1"/>
  <c r="L143" i="5"/>
  <c r="L142"/>
  <c r="L131"/>
  <c r="E124"/>
  <c r="F124" s="1"/>
  <c r="L121"/>
  <c r="J118"/>
  <c r="J23" i="6" s="1"/>
  <c r="P1140" i="7" s="1"/>
  <c r="Q1140" s="1"/>
  <c r="L115" i="5"/>
  <c r="L105"/>
  <c r="L99"/>
  <c r="L98"/>
  <c r="L93"/>
  <c r="L92"/>
  <c r="F89"/>
  <c r="L71"/>
  <c r="L65"/>
  <c r="L54"/>
  <c r="L49"/>
  <c r="L44"/>
  <c r="L42"/>
  <c r="F9" i="6"/>
  <c r="L37" i="5"/>
  <c r="L29"/>
  <c r="F7" i="6"/>
  <c r="L28" i="5"/>
  <c r="F25"/>
  <c r="L17"/>
  <c r="L15"/>
  <c r="L14"/>
  <c r="L11"/>
  <c r="L10"/>
  <c r="L9"/>
  <c r="K553"/>
  <c r="K550"/>
  <c r="L79" i="6"/>
  <c r="K289" i="5"/>
  <c r="F4" i="6"/>
  <c r="L284" i="5" l="1"/>
  <c r="F290"/>
  <c r="L39"/>
  <c r="L132"/>
  <c r="F134"/>
  <c r="F480"/>
  <c r="F74" i="6" s="1"/>
  <c r="L74" s="1"/>
  <c r="J126" i="5"/>
  <c r="L124"/>
  <c r="F126"/>
  <c r="F24" i="6" s="1"/>
  <c r="H1154" i="7" s="1"/>
  <c r="I1154" s="1"/>
  <c r="H403" i="5"/>
  <c r="H60" i="6" s="1"/>
  <c r="L60" s="1"/>
  <c r="K478" i="5"/>
  <c r="H259"/>
  <c r="H43" i="6" s="1"/>
  <c r="L125" i="7" s="1"/>
  <c r="M125" s="1"/>
  <c r="G891" i="5"/>
  <c r="H891" s="1"/>
  <c r="F892"/>
  <c r="H912"/>
  <c r="F899"/>
  <c r="I912"/>
  <c r="J912" s="1"/>
  <c r="J919" s="1"/>
  <c r="J136" i="6" s="1"/>
  <c r="I899" i="5"/>
  <c r="J899" s="1"/>
  <c r="J906" s="1"/>
  <c r="J135" i="6" s="1"/>
  <c r="I891" i="5" s="1"/>
  <c r="J891" s="1"/>
  <c r="I750"/>
  <c r="I763"/>
  <c r="H47" i="6"/>
  <c r="L603" i="7" s="1"/>
  <c r="M603" s="1"/>
  <c r="J259" i="5"/>
  <c r="J43" i="6" s="1"/>
  <c r="P586" i="7" s="1"/>
  <c r="Q586" s="1"/>
  <c r="H268" i="5"/>
  <c r="H44" i="6" s="1"/>
  <c r="L514" i="7" s="1"/>
  <c r="M514" s="1"/>
  <c r="F259" i="5"/>
  <c r="F43" i="6" s="1"/>
  <c r="H283" i="7" s="1"/>
  <c r="L200" i="5"/>
  <c r="L191"/>
  <c r="F475"/>
  <c r="F73" i="6" s="1"/>
  <c r="L73" s="1"/>
  <c r="K473" i="5"/>
  <c r="P1178" i="7"/>
  <c r="Q1178" s="1"/>
  <c r="L1178"/>
  <c r="M1178" s="1"/>
  <c r="K823" i="5"/>
  <c r="M348" i="7"/>
  <c r="K21" i="8" s="1"/>
  <c r="L21" s="1"/>
  <c r="T820" i="7"/>
  <c r="I820"/>
  <c r="U820" s="1"/>
  <c r="K5" i="20"/>
  <c r="K7" s="1"/>
  <c r="K7" i="21"/>
  <c r="I1057" i="7"/>
  <c r="U1057" s="1"/>
  <c r="T1366"/>
  <c r="I1366"/>
  <c r="U1366" s="1"/>
  <c r="M946"/>
  <c r="K41" i="8" s="1"/>
  <c r="L41" s="1"/>
  <c r="T298" i="7"/>
  <c r="I298"/>
  <c r="U298" s="1"/>
  <c r="T380"/>
  <c r="I380"/>
  <c r="U380" s="1"/>
  <c r="I1064"/>
  <c r="U1064" s="1"/>
  <c r="T339"/>
  <c r="I339"/>
  <c r="U339" s="1"/>
  <c r="I449"/>
  <c r="U449" s="1"/>
  <c r="T449"/>
  <c r="I1364"/>
  <c r="U1364" s="1"/>
  <c r="T834"/>
  <c r="I834"/>
  <c r="I946" s="1"/>
  <c r="T300"/>
  <c r="I300"/>
  <c r="U300" s="1"/>
  <c r="I1060"/>
  <c r="U1060" s="1"/>
  <c r="I1056"/>
  <c r="U1056" s="1"/>
  <c r="T331"/>
  <c r="I331"/>
  <c r="U331" s="1"/>
  <c r="T370"/>
  <c r="I370"/>
  <c r="U370" s="1"/>
  <c r="I1067"/>
  <c r="U1067" s="1"/>
  <c r="I1061"/>
  <c r="U1061" s="1"/>
  <c r="I1054"/>
  <c r="U1054" s="1"/>
  <c r="T338"/>
  <c r="I338"/>
  <c r="U338" s="1"/>
  <c r="I1059"/>
  <c r="U1059" s="1"/>
  <c r="I1063"/>
  <c r="U1063" s="1"/>
  <c r="I1055"/>
  <c r="U1055" s="1"/>
  <c r="I1053"/>
  <c r="U1053" s="1"/>
  <c r="T337"/>
  <c r="I337"/>
  <c r="U337" s="1"/>
  <c r="I1066"/>
  <c r="U1066" s="1"/>
  <c r="T1062"/>
  <c r="I1062"/>
  <c r="U1062" s="1"/>
  <c r="T336"/>
  <c r="I336"/>
  <c r="U336" s="1"/>
  <c r="T324"/>
  <c r="I324"/>
  <c r="U324" s="1"/>
  <c r="I451"/>
  <c r="U451" s="1"/>
  <c r="T451"/>
  <c r="Q1430"/>
  <c r="O63" i="8" s="1"/>
  <c r="I1058" i="7"/>
  <c r="U1058" s="1"/>
  <c r="I1052"/>
  <c r="U1052" s="1"/>
  <c r="T375"/>
  <c r="I375"/>
  <c r="U375" s="1"/>
  <c r="I1065"/>
  <c r="U1065" s="1"/>
  <c r="I1051"/>
  <c r="U1051" s="1"/>
  <c r="T328"/>
  <c r="I328"/>
  <c r="U328" s="1"/>
  <c r="I450"/>
  <c r="U450" s="1"/>
  <c r="T450"/>
  <c r="I305"/>
  <c r="U305" s="1"/>
  <c r="T305"/>
  <c r="T1388"/>
  <c r="I1388"/>
  <c r="I1405" s="1"/>
  <c r="F230" i="5"/>
  <c r="L230" s="1"/>
  <c r="T52" i="8"/>
  <c r="L9" i="6"/>
  <c r="H1109" i="7"/>
  <c r="I1109" s="1"/>
  <c r="T1110"/>
  <c r="U1110"/>
  <c r="T1140"/>
  <c r="U1140"/>
  <c r="P1205"/>
  <c r="Q1205" s="1"/>
  <c r="P1137"/>
  <c r="Q1137" s="1"/>
  <c r="U1158"/>
  <c r="T1158"/>
  <c r="K263" i="5"/>
  <c r="L30" i="7"/>
  <c r="M30" s="1"/>
  <c r="L490"/>
  <c r="M490" s="1"/>
  <c r="K244" i="5"/>
  <c r="L237" i="7"/>
  <c r="M237" s="1"/>
  <c r="L121"/>
  <c r="M121" s="1"/>
  <c r="K319" i="5"/>
  <c r="T1364" i="7"/>
  <c r="P823"/>
  <c r="Q823" s="1"/>
  <c r="P948"/>
  <c r="Q948" s="1"/>
  <c r="L656" i="5"/>
  <c r="J23" i="1"/>
  <c r="K23" s="1"/>
  <c r="J25"/>
  <c r="K25" s="1"/>
  <c r="G23"/>
  <c r="H23" s="1"/>
  <c r="T1386" i="7"/>
  <c r="U1386"/>
  <c r="T1385"/>
  <c r="U1385"/>
  <c r="T1430"/>
  <c r="F760" i="5"/>
  <c r="L319"/>
  <c r="T1431" i="7"/>
  <c r="K324" i="5"/>
  <c r="F320"/>
  <c r="L320" s="1"/>
  <c r="K362"/>
  <c r="F361"/>
  <c r="L361" s="1"/>
  <c r="T1085" i="7"/>
  <c r="U1085"/>
  <c r="T1084"/>
  <c r="U1084"/>
  <c r="T1083"/>
  <c r="U1083"/>
  <c r="L588"/>
  <c r="M588" s="1"/>
  <c r="L261"/>
  <c r="M261" s="1"/>
  <c r="T1054"/>
  <c r="F843" i="5"/>
  <c r="L843" s="1"/>
  <c r="K843"/>
  <c r="F844"/>
  <c r="L844" s="1"/>
  <c r="K844"/>
  <c r="K845"/>
  <c r="F845"/>
  <c r="L845" s="1"/>
  <c r="F837"/>
  <c r="K837"/>
  <c r="F79"/>
  <c r="F16" i="6" s="1"/>
  <c r="H1133" i="7" s="1"/>
  <c r="I1133" s="1"/>
  <c r="F841" i="5"/>
  <c r="L841" s="1"/>
  <c r="K841"/>
  <c r="L399"/>
  <c r="L823"/>
  <c r="L827" s="1"/>
  <c r="F827"/>
  <c r="F125" i="6" s="1"/>
  <c r="K842" i="5"/>
  <c r="F842"/>
  <c r="K328"/>
  <c r="L799"/>
  <c r="F121" i="6"/>
  <c r="L121" s="1"/>
  <c r="L190" i="7"/>
  <c r="M190" s="1"/>
  <c r="L236"/>
  <c r="M236" s="1"/>
  <c r="H242"/>
  <c r="L242"/>
  <c r="M242" s="1"/>
  <c r="T1053"/>
  <c r="F331" i="5"/>
  <c r="F51" i="6" s="1"/>
  <c r="L51" s="1"/>
  <c r="U1072" i="7"/>
  <c r="U1080"/>
  <c r="T1055"/>
  <c r="T1058"/>
  <c r="T1052"/>
  <c r="T1065"/>
  <c r="J44" i="6"/>
  <c r="P653" i="7" s="1"/>
  <c r="Q653" s="1"/>
  <c r="P127"/>
  <c r="Q127" s="1"/>
  <c r="T1051"/>
  <c r="T1057"/>
  <c r="T1067"/>
  <c r="T1061"/>
  <c r="T1059"/>
  <c r="T1060"/>
  <c r="T1056"/>
  <c r="T1081"/>
  <c r="T1064"/>
  <c r="T1077"/>
  <c r="T1066"/>
  <c r="U1076"/>
  <c r="T1076"/>
  <c r="T1063"/>
  <c r="T1079"/>
  <c r="T1070"/>
  <c r="T1074"/>
  <c r="T1071"/>
  <c r="U1028"/>
  <c r="T1028"/>
  <c r="T1047"/>
  <c r="U1047"/>
  <c r="T1045"/>
  <c r="U1045"/>
  <c r="T1073"/>
  <c r="T1027"/>
  <c r="U1027"/>
  <c r="U1026"/>
  <c r="T1026"/>
  <c r="T1044"/>
  <c r="U1044"/>
  <c r="U1050"/>
  <c r="T1050"/>
  <c r="U1046"/>
  <c r="T1046"/>
  <c r="U1025"/>
  <c r="T1025"/>
  <c r="U1029"/>
  <c r="T1029"/>
  <c r="T1043"/>
  <c r="U1043"/>
  <c r="U1042"/>
  <c r="T1042"/>
  <c r="T1049"/>
  <c r="U1049"/>
  <c r="T1048"/>
  <c r="U1048"/>
  <c r="K200" i="5"/>
  <c r="H144"/>
  <c r="H27" i="6" s="1"/>
  <c r="L53" i="5"/>
  <c r="L512"/>
  <c r="L88"/>
  <c r="L116"/>
  <c r="J171"/>
  <c r="J31" i="6" s="1"/>
  <c r="L768" i="5"/>
  <c r="F381"/>
  <c r="F57" i="6" s="1"/>
  <c r="P59" i="7"/>
  <c r="Q59" s="1"/>
  <c r="K209" i="5"/>
  <c r="F216"/>
  <c r="F246"/>
  <c r="L246" s="1"/>
  <c r="K246"/>
  <c r="K687"/>
  <c r="P1179" i="7"/>
  <c r="Q1179" s="1"/>
  <c r="M647"/>
  <c r="K32" i="8" s="1"/>
  <c r="L439" i="5"/>
  <c r="L534"/>
  <c r="J688"/>
  <c r="J107" i="6" s="1"/>
  <c r="I559" i="5" s="1"/>
  <c r="J559" s="1"/>
  <c r="J560" s="1"/>
  <c r="J86" i="6" s="1"/>
  <c r="L428" i="5"/>
  <c r="L392"/>
  <c r="J396"/>
  <c r="J59" i="6" s="1"/>
  <c r="K537" i="5"/>
  <c r="L329"/>
  <c r="L272"/>
  <c r="G737"/>
  <c r="H737" s="1"/>
  <c r="H744" s="1"/>
  <c r="H113" i="6" s="1"/>
  <c r="G712" i="5" s="1"/>
  <c r="H712" s="1"/>
  <c r="L387"/>
  <c r="F286"/>
  <c r="L286" s="1"/>
  <c r="P58" i="7"/>
  <c r="Q58" s="1"/>
  <c r="L147" i="5"/>
  <c r="P811" i="7"/>
  <c r="Q811" s="1"/>
  <c r="J389" i="5"/>
  <c r="J58" i="6" s="1"/>
  <c r="L948" i="7"/>
  <c r="M948" s="1"/>
  <c r="M1106" s="1"/>
  <c r="P1201"/>
  <c r="Q1201" s="1"/>
  <c r="F106" i="5"/>
  <c r="F21" i="6" s="1"/>
  <c r="H1138" i="7" s="1"/>
  <c r="I1138" s="1"/>
  <c r="K730" i="5"/>
  <c r="L430"/>
  <c r="J50"/>
  <c r="J11" i="6" s="1"/>
  <c r="P1111" i="7" s="1"/>
  <c r="Q1111" s="1"/>
  <c r="Q1129" s="1"/>
  <c r="I233" i="5"/>
  <c r="J233" s="1"/>
  <c r="L233" s="1"/>
  <c r="L464"/>
  <c r="L692"/>
  <c r="F61"/>
  <c r="F13" i="6" s="1"/>
  <c r="H1113" i="7" s="1"/>
  <c r="I1113" s="1"/>
  <c r="K60" i="5"/>
  <c r="L231"/>
  <c r="L434"/>
  <c r="L470" i="7"/>
  <c r="M470" s="1"/>
  <c r="L255" i="5"/>
  <c r="L259" i="7"/>
  <c r="M259" s="1"/>
  <c r="P287"/>
  <c r="Q287" s="1"/>
  <c r="L513" i="5"/>
  <c r="Q351" i="7"/>
  <c r="L287"/>
  <c r="M287" s="1"/>
  <c r="P1206"/>
  <c r="Q1206" s="1"/>
  <c r="J445" i="5"/>
  <c r="J67" i="6" s="1"/>
  <c r="P284" i="7" s="1"/>
  <c r="Q284" s="1"/>
  <c r="F629" i="5"/>
  <c r="L629" s="1"/>
  <c r="P63" i="7"/>
  <c r="Q63" s="1"/>
  <c r="P191"/>
  <c r="Q191" s="1"/>
  <c r="K255" i="5"/>
  <c r="L622"/>
  <c r="L295" i="7"/>
  <c r="M295" s="1"/>
  <c r="G711" i="5"/>
  <c r="H711" s="1"/>
  <c r="P292" i="7"/>
  <c r="Q292" s="1"/>
  <c r="H368" i="5"/>
  <c r="H55" i="6" s="1"/>
  <c r="L191" i="7" s="1"/>
  <c r="M191" s="1"/>
  <c r="H750" i="5"/>
  <c r="H757" s="1"/>
  <c r="H114" i="6" s="1"/>
  <c r="H763" i="5"/>
  <c r="P818" i="7"/>
  <c r="Q818" s="1"/>
  <c r="H485" i="5"/>
  <c r="H75" i="6" s="1"/>
  <c r="L1224" i="7"/>
  <c r="M1224" s="1"/>
  <c r="P1224"/>
  <c r="Q1224" s="1"/>
  <c r="L292"/>
  <c r="M292" s="1"/>
  <c r="L284"/>
  <c r="M284" s="1"/>
  <c r="F495" i="5"/>
  <c r="F77" i="6" s="1"/>
  <c r="H466" i="7" s="1"/>
  <c r="I466" s="1"/>
  <c r="L1205"/>
  <c r="M1205" s="1"/>
  <c r="L1179"/>
  <c r="M1179" s="1"/>
  <c r="L363" i="5"/>
  <c r="P286" i="7"/>
  <c r="Q286" s="1"/>
  <c r="L598" i="5"/>
  <c r="K329"/>
  <c r="P814" i="7"/>
  <c r="Q814" s="1"/>
  <c r="L283"/>
  <c r="M283" s="1"/>
  <c r="L196"/>
  <c r="M196" s="1"/>
  <c r="P810"/>
  <c r="Q810" s="1"/>
  <c r="G137" i="5"/>
  <c r="H137" s="1"/>
  <c r="H138" s="1"/>
  <c r="H26" i="6" s="1"/>
  <c r="P295" i="7"/>
  <c r="Q295" s="1"/>
  <c r="P819"/>
  <c r="Q819" s="1"/>
  <c r="P466"/>
  <c r="Q466" s="1"/>
  <c r="P294"/>
  <c r="Q294" s="1"/>
  <c r="P815"/>
  <c r="Q815" s="1"/>
  <c r="G788" i="5"/>
  <c r="H788" s="1"/>
  <c r="H789" s="1"/>
  <c r="H119" i="6" s="1"/>
  <c r="E18" i="5"/>
  <c r="F18" s="1"/>
  <c r="P1203" i="7"/>
  <c r="Q1203" s="1"/>
  <c r="L812"/>
  <c r="M812" s="1"/>
  <c r="P281"/>
  <c r="Q281" s="1"/>
  <c r="P293"/>
  <c r="Q293" s="1"/>
  <c r="P471"/>
  <c r="Q471" s="1"/>
  <c r="L281"/>
  <c r="M281" s="1"/>
  <c r="G593" i="5"/>
  <c r="H593" s="1"/>
  <c r="I157"/>
  <c r="J157" s="1"/>
  <c r="G175"/>
  <c r="H175" s="1"/>
  <c r="H176" s="1"/>
  <c r="H32" i="6" s="1"/>
  <c r="G499" i="5"/>
  <c r="H499" s="1"/>
  <c r="H500" s="1"/>
  <c r="H78" i="6" s="1"/>
  <c r="L6" i="7"/>
  <c r="M6" s="1"/>
  <c r="L294"/>
  <c r="M294" s="1"/>
  <c r="P282"/>
  <c r="Q282" s="1"/>
  <c r="P285"/>
  <c r="Q285" s="1"/>
  <c r="L282"/>
  <c r="M282" s="1"/>
  <c r="L258"/>
  <c r="M258" s="1"/>
  <c r="I788" i="5"/>
  <c r="J788" s="1"/>
  <c r="J789" s="1"/>
  <c r="J119" i="6" s="1"/>
  <c r="L466" i="7"/>
  <c r="M466" s="1"/>
  <c r="L260"/>
  <c r="M260" s="1"/>
  <c r="L193"/>
  <c r="M193" s="1"/>
  <c r="L285"/>
  <c r="M285" s="1"/>
  <c r="I137" i="5"/>
  <c r="J137" s="1"/>
  <c r="J138" s="1"/>
  <c r="J26" i="6" s="1"/>
  <c r="F582" i="5"/>
  <c r="F88" i="6" s="1"/>
  <c r="H649" i="7" s="1"/>
  <c r="I649" s="1"/>
  <c r="J355" i="5"/>
  <c r="J54" i="6" s="1"/>
  <c r="F460" i="5"/>
  <c r="L460" s="1"/>
  <c r="L628"/>
  <c r="L185"/>
  <c r="F315"/>
  <c r="L60"/>
  <c r="L1223" i="7"/>
  <c r="M1223" s="1"/>
  <c r="L585"/>
  <c r="M585" s="1"/>
  <c r="L474" i="5"/>
  <c r="L423"/>
  <c r="J84"/>
  <c r="J17" i="6" s="1"/>
  <c r="L56" i="7"/>
  <c r="M56" s="1"/>
  <c r="L1180"/>
  <c r="M1180" s="1"/>
  <c r="L309" i="5"/>
  <c r="H455"/>
  <c r="H69" i="6" s="1"/>
  <c r="L286" i="7" s="1"/>
  <c r="M286" s="1"/>
  <c r="L124"/>
  <c r="M124" s="1"/>
  <c r="L76" i="5"/>
  <c r="L55"/>
  <c r="K418"/>
  <c r="L5"/>
  <c r="L6"/>
  <c r="K756"/>
  <c r="L134"/>
  <c r="L253"/>
  <c r="J653"/>
  <c r="J101" i="6" s="1"/>
  <c r="P825" i="7" s="1"/>
  <c r="Q825" s="1"/>
  <c r="L254" i="5"/>
  <c r="L664"/>
  <c r="L148"/>
  <c r="H171"/>
  <c r="H31" i="6" s="1"/>
  <c r="J582" i="5"/>
  <c r="J88" i="6" s="1"/>
  <c r="P6" i="7"/>
  <c r="Q6" s="1"/>
  <c r="K581" i="5"/>
  <c r="L793"/>
  <c r="K132"/>
  <c r="J412"/>
  <c r="J61" i="6" s="1"/>
  <c r="F17"/>
  <c r="H1134" i="7" s="1"/>
  <c r="I1134" s="1"/>
  <c r="L470" i="5"/>
  <c r="L58"/>
  <c r="L448"/>
  <c r="L83"/>
  <c r="F100"/>
  <c r="F20" i="6" s="1"/>
  <c r="L480" i="5"/>
  <c r="L604"/>
  <c r="L438"/>
  <c r="L458"/>
  <c r="F12" i="6"/>
  <c r="K794" i="5"/>
  <c r="F72"/>
  <c r="K72"/>
  <c r="J71" i="6"/>
  <c r="L465" i="5"/>
  <c r="J94" i="6"/>
  <c r="L614" i="5"/>
  <c r="L70"/>
  <c r="F112"/>
  <c r="L519"/>
  <c r="L613"/>
  <c r="L798"/>
  <c r="L435"/>
  <c r="J38" i="6"/>
  <c r="P55" i="7" s="1"/>
  <c r="Q55" s="1"/>
  <c r="H73" i="5"/>
  <c r="H15" i="6" s="1"/>
  <c r="J24"/>
  <c r="L440" i="5"/>
  <c r="L609"/>
  <c r="L741"/>
  <c r="P9" i="7"/>
  <c r="Q9" s="1"/>
  <c r="H305" i="5"/>
  <c r="K240"/>
  <c r="J226"/>
  <c r="J227" s="1"/>
  <c r="J39" i="6" s="1"/>
  <c r="P718" i="7" s="1"/>
  <c r="Q718" s="1"/>
  <c r="L599" i="5"/>
  <c r="L686"/>
  <c r="H13" i="6"/>
  <c r="L1113" i="7" s="1"/>
  <c r="L116" i="6"/>
  <c r="H25" i="5"/>
  <c r="H6" i="6" s="1"/>
  <c r="L9" i="7" s="1"/>
  <c r="M9" s="1"/>
  <c r="L45" i="5"/>
  <c r="L469"/>
  <c r="L490"/>
  <c r="P289" i="7"/>
  <c r="Q289" s="1"/>
  <c r="H315" i="5"/>
  <c r="H49" i="6" s="1"/>
  <c r="H38" s="1"/>
  <c r="L293" i="5"/>
  <c r="L638"/>
  <c r="H112"/>
  <c r="H22" i="6" s="1"/>
  <c r="L1139" i="7" s="1"/>
  <c r="M1139" s="1"/>
  <c r="L294" i="5"/>
  <c r="L78"/>
  <c r="F425"/>
  <c r="F63" i="6" s="1"/>
  <c r="L63" s="1"/>
  <c r="H103"/>
  <c r="G18" i="5" s="1"/>
  <c r="H18" s="1"/>
  <c r="H19" s="1"/>
  <c r="H5" i="6" s="1"/>
  <c r="L468" i="7" s="1"/>
  <c r="M468" s="1"/>
  <c r="L666" i="5"/>
  <c r="K743"/>
  <c r="J743"/>
  <c r="L743" s="1"/>
  <c r="J16" i="6"/>
  <c r="P1133" i="7" s="1"/>
  <c r="Q1133" s="1"/>
  <c r="J795" i="5"/>
  <c r="J120" i="6" s="1"/>
  <c r="I593" i="5" s="1"/>
  <c r="J593" s="1"/>
  <c r="Q946" i="7"/>
  <c r="O41" i="8" s="1"/>
  <c r="P41" s="1"/>
  <c r="L450" i="5"/>
  <c r="F213"/>
  <c r="F37" i="6" s="1"/>
  <c r="L514" i="5"/>
  <c r="L94"/>
  <c r="L617"/>
  <c r="H67"/>
  <c r="H14" i="6" s="1"/>
  <c r="L1131" i="7" s="1"/>
  <c r="M1131" s="1"/>
  <c r="L639" i="5"/>
  <c r="K544"/>
  <c r="F93" i="6"/>
  <c r="H813" i="7" s="1"/>
  <c r="I813" s="1"/>
  <c r="J212" i="5"/>
  <c r="L212" s="1"/>
  <c r="L544"/>
  <c r="L624"/>
  <c r="L634"/>
  <c r="K267"/>
  <c r="F19" i="6"/>
  <c r="F98"/>
  <c r="H818" i="7" s="1"/>
  <c r="I818" s="1"/>
  <c r="K124" i="5"/>
  <c r="L89"/>
  <c r="L252"/>
  <c r="P1180" i="7"/>
  <c r="Q1180" s="1"/>
  <c r="L240" i="5"/>
  <c r="L774"/>
  <c r="L773"/>
  <c r="L418"/>
  <c r="K769"/>
  <c r="L778"/>
  <c r="L632"/>
  <c r="F81" i="6"/>
  <c r="L81" s="1"/>
  <c r="L265" i="5"/>
  <c r="E697"/>
  <c r="F697" s="1"/>
  <c r="L697" s="1"/>
  <c r="L76" i="6"/>
  <c r="H604" i="7"/>
  <c r="I604" s="1"/>
  <c r="H144"/>
  <c r="H535"/>
  <c r="I535" s="1"/>
  <c r="H788"/>
  <c r="I788" s="1"/>
  <c r="H75"/>
  <c r="H213"/>
  <c r="H718"/>
  <c r="I718" s="1"/>
  <c r="P787"/>
  <c r="Q787" s="1"/>
  <c r="P603"/>
  <c r="Q603" s="1"/>
  <c r="P143"/>
  <c r="Q143" s="1"/>
  <c r="P534"/>
  <c r="Q534" s="1"/>
  <c r="P74"/>
  <c r="Q74" s="1"/>
  <c r="P212"/>
  <c r="Q212" s="1"/>
  <c r="L488" i="5"/>
  <c r="L7" i="6"/>
  <c r="L72"/>
  <c r="H289" i="7"/>
  <c r="L99" i="6"/>
  <c r="L66"/>
  <c r="L619" i="5"/>
  <c r="K274"/>
  <c r="F274"/>
  <c r="K748"/>
  <c r="F748"/>
  <c r="L748" s="1"/>
  <c r="F278"/>
  <c r="L278" s="1"/>
  <c r="K278"/>
  <c r="F276"/>
  <c r="L276" s="1"/>
  <c r="K276"/>
  <c r="F237"/>
  <c r="K237"/>
  <c r="K723"/>
  <c r="F723"/>
  <c r="L723" s="1"/>
  <c r="K279"/>
  <c r="F279"/>
  <c r="L279" s="1"/>
  <c r="L673"/>
  <c r="E674"/>
  <c r="L28" i="6"/>
  <c r="L4"/>
  <c r="L95"/>
  <c r="F735" i="5"/>
  <c r="L735" s="1"/>
  <c r="K735"/>
  <c r="K415"/>
  <c r="F415"/>
  <c r="K354"/>
  <c r="F354"/>
  <c r="L354" s="1"/>
  <c r="F201"/>
  <c r="F206" s="1"/>
  <c r="K201"/>
  <c r="F186"/>
  <c r="K186"/>
  <c r="F245"/>
  <c r="L245" s="1"/>
  <c r="K245"/>
  <c r="T1363" i="7"/>
  <c r="J725" i="5"/>
  <c r="L725" s="1"/>
  <c r="K725"/>
  <c r="F371"/>
  <c r="K371"/>
  <c r="K340"/>
  <c r="F340"/>
  <c r="F649"/>
  <c r="K649"/>
  <c r="U826" i="7"/>
  <c r="T826"/>
  <c r="L1203"/>
  <c r="M1203" s="1"/>
  <c r="H284"/>
  <c r="F180" i="5"/>
  <c r="L180" s="1"/>
  <c r="K180"/>
  <c r="J738"/>
  <c r="L738" s="1"/>
  <c r="K738"/>
  <c r="F410"/>
  <c r="K410"/>
  <c r="K192"/>
  <c r="F192"/>
  <c r="F197" s="1"/>
  <c r="K264"/>
  <c r="F264"/>
  <c r="F268" s="1"/>
  <c r="L68" i="6"/>
  <c r="H1178" i="7"/>
  <c r="I1178" s="1"/>
  <c r="H585"/>
  <c r="I585" s="1"/>
  <c r="H196"/>
  <c r="H56"/>
  <c r="H124"/>
  <c r="F722" i="5"/>
  <c r="L722" s="1"/>
  <c r="K722"/>
  <c r="F360"/>
  <c r="K360"/>
  <c r="T1367" i="7"/>
  <c r="U1367"/>
  <c r="F542" i="5"/>
  <c r="K542"/>
  <c r="F171"/>
  <c r="F31" i="6" s="1"/>
  <c r="L581" i="7"/>
  <c r="M581" s="1"/>
  <c r="L54"/>
  <c r="M54" s="1"/>
  <c r="L23" i="6"/>
  <c r="F783" i="5"/>
  <c r="F118" i="6" s="1"/>
  <c r="F698" i="5"/>
  <c r="L698" s="1"/>
  <c r="K698"/>
  <c r="F349"/>
  <c r="K349"/>
  <c r="F747"/>
  <c r="L747" s="1"/>
  <c r="K747"/>
  <c r="F705"/>
  <c r="K705"/>
  <c r="K508"/>
  <c r="F508"/>
  <c r="L74" i="7"/>
  <c r="M74" s="1"/>
  <c r="L241"/>
  <c r="M241" s="1"/>
  <c r="L62"/>
  <c r="M62" s="1"/>
  <c r="K66" i="5"/>
  <c r="F66"/>
  <c r="K699"/>
  <c r="F699"/>
  <c r="L699" s="1"/>
  <c r="L91" i="6"/>
  <c r="L10"/>
  <c r="H1179" i="7"/>
  <c r="I1179" s="1"/>
  <c r="J545" i="5"/>
  <c r="J546" s="1"/>
  <c r="J84" i="6" s="1"/>
  <c r="P489" i="7" s="1"/>
  <c r="Q489" s="1"/>
  <c r="F341" i="5"/>
  <c r="L341" s="1"/>
  <c r="K341"/>
  <c r="F761"/>
  <c r="L761" s="1"/>
  <c r="K761"/>
  <c r="K179"/>
  <c r="F179"/>
  <c r="K721"/>
  <c r="F721"/>
  <c r="L721" s="1"/>
  <c r="F551"/>
  <c r="F555" s="1"/>
  <c r="K551"/>
  <c r="F749"/>
  <c r="L749" s="1"/>
  <c r="K749"/>
  <c r="L289" i="7"/>
  <c r="M289" s="1"/>
  <c r="L65" i="6"/>
  <c r="L92"/>
  <c r="L104"/>
  <c r="P468" i="7"/>
  <c r="Q468" s="1"/>
  <c r="P7"/>
  <c r="Q7" s="1"/>
  <c r="J751" i="5"/>
  <c r="K751"/>
  <c r="K335"/>
  <c r="F335"/>
  <c r="L335" s="1"/>
  <c r="F334"/>
  <c r="K334"/>
  <c r="K367"/>
  <c r="F367"/>
  <c r="L367" s="1"/>
  <c r="F736"/>
  <c r="L736" s="1"/>
  <c r="K736"/>
  <c r="F353"/>
  <c r="L353" s="1"/>
  <c r="K353"/>
  <c r="L697" i="7"/>
  <c r="M697" s="1"/>
  <c r="L584"/>
  <c r="M584" s="1"/>
  <c r="L194"/>
  <c r="M194" s="1"/>
  <c r="L766"/>
  <c r="M766" s="1"/>
  <c r="L513"/>
  <c r="M513" s="1"/>
  <c r="L53"/>
  <c r="M53" s="1"/>
  <c r="L682" i="5"/>
  <c r="F106" i="6"/>
  <c r="L646" i="5"/>
  <c r="F100" i="6"/>
  <c r="H823" i="7" s="1"/>
  <c r="I823" s="1"/>
  <c r="F96" i="6"/>
  <c r="K587" i="5"/>
  <c r="L587"/>
  <c r="J588"/>
  <c r="F82" i="6"/>
  <c r="H1204" i="7" s="1"/>
  <c r="I1204" s="1"/>
  <c r="F75" i="6"/>
  <c r="F64"/>
  <c r="H470" i="7" s="1"/>
  <c r="I470" s="1"/>
  <c r="K380" i="5"/>
  <c r="J380"/>
  <c r="L150"/>
  <c r="L118"/>
  <c r="F18" i="6"/>
  <c r="H1135" i="7" s="1"/>
  <c r="I1135" s="1"/>
  <c r="F6" i="6"/>
  <c r="K18" i="20" l="1"/>
  <c r="K21"/>
  <c r="L21" s="1"/>
  <c r="L403" i="5"/>
  <c r="L787" i="7"/>
  <c r="M787" s="1"/>
  <c r="L534"/>
  <c r="M534" s="1"/>
  <c r="L143"/>
  <c r="M143" s="1"/>
  <c r="L212"/>
  <c r="M212" s="1"/>
  <c r="L246"/>
  <c r="M246" s="1"/>
  <c r="I892" i="5"/>
  <c r="J892" s="1"/>
  <c r="J893" s="1"/>
  <c r="J134" i="6" s="1"/>
  <c r="L899" i="5"/>
  <c r="F906"/>
  <c r="K899"/>
  <c r="L912"/>
  <c r="H919"/>
  <c r="K912"/>
  <c r="L475"/>
  <c r="J160"/>
  <c r="J30" i="6" s="1"/>
  <c r="P1181" i="7" s="1"/>
  <c r="Q1181" s="1"/>
  <c r="Q1198" s="1"/>
  <c r="O49" i="8" s="1"/>
  <c r="P49" s="1"/>
  <c r="F346" i="5"/>
  <c r="L5" i="20"/>
  <c r="U1388" i="7"/>
  <c r="U1405" s="1"/>
  <c r="P63" i="8"/>
  <c r="T63" s="1"/>
  <c r="J53" i="1"/>
  <c r="K53" s="1"/>
  <c r="U1430" i="7"/>
  <c r="F234" i="5"/>
  <c r="F40" i="6" s="1"/>
  <c r="I75" i="7"/>
  <c r="I144"/>
  <c r="I283"/>
  <c r="I124"/>
  <c r="T284"/>
  <c r="I284"/>
  <c r="U284" s="1"/>
  <c r="M1113"/>
  <c r="M1129" s="1"/>
  <c r="K45" i="8" s="1"/>
  <c r="L45" s="1"/>
  <c r="S63"/>
  <c r="T289" i="7"/>
  <c r="I289"/>
  <c r="U289" s="1"/>
  <c r="I56"/>
  <c r="I196"/>
  <c r="I213"/>
  <c r="I242"/>
  <c r="U834"/>
  <c r="U946" s="1"/>
  <c r="I1382"/>
  <c r="G58" i="8" s="1"/>
  <c r="G41"/>
  <c r="S41" s="1"/>
  <c r="T1111" i="7"/>
  <c r="H1180"/>
  <c r="I1180" s="1"/>
  <c r="U1180" s="1"/>
  <c r="H1112"/>
  <c r="I1112" s="1"/>
  <c r="L760" i="5"/>
  <c r="L288" i="7"/>
  <c r="M288" s="1"/>
  <c r="L1156"/>
  <c r="M1156" s="1"/>
  <c r="L825"/>
  <c r="L1132"/>
  <c r="P1225"/>
  <c r="Q1225" s="1"/>
  <c r="P1156"/>
  <c r="Q1156" s="1"/>
  <c r="L27" i="6"/>
  <c r="L1157" i="7"/>
  <c r="M1157" s="1"/>
  <c r="P260"/>
  <c r="Q260" s="1"/>
  <c r="P1134"/>
  <c r="Q1134" s="1"/>
  <c r="Q1152" s="1"/>
  <c r="U1133"/>
  <c r="T1133"/>
  <c r="T1109"/>
  <c r="T1113"/>
  <c r="T1135"/>
  <c r="U1135"/>
  <c r="L19" i="6"/>
  <c r="H1136" i="7"/>
  <c r="I1136" s="1"/>
  <c r="L20" i="6"/>
  <c r="H1137" i="7"/>
  <c r="I1137" s="1"/>
  <c r="P350"/>
  <c r="P1154"/>
  <c r="Q1154" s="1"/>
  <c r="H770" i="5"/>
  <c r="H115" i="6" s="1"/>
  <c r="G717" i="5" s="1"/>
  <c r="H717" s="1"/>
  <c r="U1138" i="7"/>
  <c r="T1138"/>
  <c r="U1111"/>
  <c r="K59" i="8"/>
  <c r="L59" s="1"/>
  <c r="G16" i="21" s="1"/>
  <c r="K42" i="8"/>
  <c r="L42" s="1"/>
  <c r="I463" i="7"/>
  <c r="G23" i="8" s="1"/>
  <c r="U463" i="7"/>
  <c r="U1431"/>
  <c r="O64" i="8"/>
  <c r="M53" i="1"/>
  <c r="N53" s="1"/>
  <c r="Q1451" i="7"/>
  <c r="H816"/>
  <c r="I816" s="1"/>
  <c r="L264" i="5"/>
  <c r="K19" i="20"/>
  <c r="L19" s="1"/>
  <c r="L7"/>
  <c r="Q486" i="7"/>
  <c r="O25" i="8" s="1"/>
  <c r="Q26" i="7"/>
  <c r="O8" i="8" s="1"/>
  <c r="P239" i="7"/>
  <c r="Q239" s="1"/>
  <c r="P582"/>
  <c r="Q582" s="1"/>
  <c r="J46" i="1"/>
  <c r="K46" s="1"/>
  <c r="G48"/>
  <c r="J48"/>
  <c r="D46"/>
  <c r="G46"/>
  <c r="H46" s="1"/>
  <c r="G25"/>
  <c r="H25" s="1"/>
  <c r="G22"/>
  <c r="H22" s="1"/>
  <c r="J22"/>
  <c r="K22" s="1"/>
  <c r="L32" i="8"/>
  <c r="G33" i="1"/>
  <c r="G47"/>
  <c r="H47" s="1"/>
  <c r="L331" i="5"/>
  <c r="L79"/>
  <c r="P126" i="7"/>
  <c r="Q126" s="1"/>
  <c r="P198"/>
  <c r="Q198" s="1"/>
  <c r="L837" i="5"/>
  <c r="L838" s="1"/>
  <c r="F838"/>
  <c r="F126" i="6" s="1"/>
  <c r="P587" i="7"/>
  <c r="Q587" s="1"/>
  <c r="H192"/>
  <c r="L125" i="6"/>
  <c r="U823" i="7"/>
  <c r="T823"/>
  <c r="L842" i="5"/>
  <c r="F851"/>
  <c r="P61" i="7"/>
  <c r="Q61" s="1"/>
  <c r="P768"/>
  <c r="Q768" s="1"/>
  <c r="P699"/>
  <c r="Q699" s="1"/>
  <c r="L61"/>
  <c r="M61" s="1"/>
  <c r="L240"/>
  <c r="M240" s="1"/>
  <c r="H121"/>
  <c r="H237"/>
  <c r="L144" i="5"/>
  <c r="L652" i="7"/>
  <c r="M652" s="1"/>
  <c r="L1200"/>
  <c r="M1200" s="1"/>
  <c r="L688" i="5"/>
  <c r="L197" i="7"/>
  <c r="M197" s="1"/>
  <c r="H698"/>
  <c r="I698" s="1"/>
  <c r="P56"/>
  <c r="Q56" s="1"/>
  <c r="P196"/>
  <c r="Q196" s="1"/>
  <c r="P190"/>
  <c r="Q190" s="1"/>
  <c r="L586"/>
  <c r="M586" s="1"/>
  <c r="H767"/>
  <c r="I767" s="1"/>
  <c r="H60"/>
  <c r="L698"/>
  <c r="M698" s="1"/>
  <c r="H197"/>
  <c r="H125"/>
  <c r="H586"/>
  <c r="I586" s="1"/>
  <c r="L60"/>
  <c r="M60" s="1"/>
  <c r="L767"/>
  <c r="M767" s="1"/>
  <c r="H652"/>
  <c r="I652" s="1"/>
  <c r="P124"/>
  <c r="Q124" s="1"/>
  <c r="L1201"/>
  <c r="M1201" s="1"/>
  <c r="P585"/>
  <c r="Q585" s="1"/>
  <c r="L106" i="5"/>
  <c r="F220"/>
  <c r="L216"/>
  <c r="P767" i="7"/>
  <c r="Q767" s="1"/>
  <c r="Q626"/>
  <c r="Q647" s="1"/>
  <c r="O32" i="8" s="1"/>
  <c r="P1202" i="7"/>
  <c r="Q1202" s="1"/>
  <c r="L107" i="6"/>
  <c r="L1225" i="7"/>
  <c r="U814"/>
  <c r="L293"/>
  <c r="M293" s="1"/>
  <c r="O45" i="8"/>
  <c r="P45" s="1"/>
  <c r="P812" i="7"/>
  <c r="Q812" s="1"/>
  <c r="G716" i="5"/>
  <c r="H716" s="1"/>
  <c r="J234"/>
  <c r="J40" i="6" s="1"/>
  <c r="P57" i="7" s="1"/>
  <c r="Q57" s="1"/>
  <c r="L61" i="5"/>
  <c r="F46" i="6"/>
  <c r="F97"/>
  <c r="I175" i="5"/>
  <c r="J175" s="1"/>
  <c r="J176" s="1"/>
  <c r="J32" i="6" s="1"/>
  <c r="P816" i="7" s="1"/>
  <c r="Q816" s="1"/>
  <c r="G157" i="5"/>
  <c r="H157" s="1"/>
  <c r="P788" i="7"/>
  <c r="Q788" s="1"/>
  <c r="L11" i="6"/>
  <c r="L50" i="5"/>
  <c r="F70" i="6"/>
  <c r="L70" s="1"/>
  <c r="H260" i="7"/>
  <c r="M279"/>
  <c r="K19" i="8" s="1"/>
  <c r="L582" i="5"/>
  <c r="L1206" i="7"/>
  <c r="M1206" s="1"/>
  <c r="F25" i="6"/>
  <c r="P288" i="7"/>
  <c r="Q288" s="1"/>
  <c r="K233" i="5"/>
  <c r="L67" i="6"/>
  <c r="L445" i="5"/>
  <c r="L112"/>
  <c r="L485"/>
  <c r="L100"/>
  <c r="L43" i="6"/>
  <c r="L227" i="5"/>
  <c r="H713"/>
  <c r="H110" i="6" s="1"/>
  <c r="G321" i="5" s="1"/>
  <c r="H321" s="1"/>
  <c r="L226"/>
  <c r="L495"/>
  <c r="H59" i="6"/>
  <c r="J213" i="5"/>
  <c r="J37" i="6" s="1"/>
  <c r="P237" i="7" s="1"/>
  <c r="Q237" s="1"/>
  <c r="F22" i="6"/>
  <c r="H1139" i="7" s="1"/>
  <c r="I1139" s="1"/>
  <c r="H282"/>
  <c r="L315" i="5"/>
  <c r="L55" i="7"/>
  <c r="M55" s="1"/>
  <c r="L120"/>
  <c r="M120" s="1"/>
  <c r="L17" i="6"/>
  <c r="L63" i="7"/>
  <c r="M63" s="1"/>
  <c r="F49" i="6"/>
  <c r="E559" i="5" s="1"/>
  <c r="L103" i="6"/>
  <c r="P1200" i="7"/>
  <c r="Q1200" s="1"/>
  <c r="L57"/>
  <c r="M57" s="1"/>
  <c r="H6"/>
  <c r="P259"/>
  <c r="Q259" s="1"/>
  <c r="L126" i="5"/>
  <c r="L58" i="7"/>
  <c r="M58" s="1"/>
  <c r="P604"/>
  <c r="Q604" s="1"/>
  <c r="P144"/>
  <c r="Q144" s="1"/>
  <c r="H581"/>
  <c r="I581" s="1"/>
  <c r="P213"/>
  <c r="Q213" s="1"/>
  <c r="H10"/>
  <c r="E788" i="5"/>
  <c r="F788" s="1"/>
  <c r="G559"/>
  <c r="H559" s="1"/>
  <c r="H560" s="1"/>
  <c r="H86" i="6" s="1"/>
  <c r="E737" i="5"/>
  <c r="F737" s="1"/>
  <c r="F744" s="1"/>
  <c r="F113" i="6" s="1"/>
  <c r="E724" i="5"/>
  <c r="F750"/>
  <c r="F757" s="1"/>
  <c r="P258" i="7"/>
  <c r="Q258" s="1"/>
  <c r="P53"/>
  <c r="Q53" s="1"/>
  <c r="P584"/>
  <c r="Q584" s="1"/>
  <c r="P194"/>
  <c r="Q194" s="1"/>
  <c r="P766"/>
  <c r="Q766" s="1"/>
  <c r="P513"/>
  <c r="Q513" s="1"/>
  <c r="P697"/>
  <c r="Q697" s="1"/>
  <c r="Q1106"/>
  <c r="E137" i="5"/>
  <c r="L39" i="6"/>
  <c r="P75" i="7"/>
  <c r="Q75" s="1"/>
  <c r="P283"/>
  <c r="Q283" s="1"/>
  <c r="P535"/>
  <c r="Q535" s="1"/>
  <c r="P514"/>
  <c r="Q514" s="1"/>
  <c r="P246"/>
  <c r="Q246" s="1"/>
  <c r="P62"/>
  <c r="Q62" s="1"/>
  <c r="L71" i="6"/>
  <c r="H812" i="7"/>
  <c r="I812" s="1"/>
  <c r="P813"/>
  <c r="Q813" s="1"/>
  <c r="I523" i="5"/>
  <c r="J523" s="1"/>
  <c r="L695" i="7"/>
  <c r="M695" s="1"/>
  <c r="P698"/>
  <c r="Q698" s="1"/>
  <c r="P197"/>
  <c r="Q197" s="1"/>
  <c r="P125"/>
  <c r="Q125" s="1"/>
  <c r="L580"/>
  <c r="M580" s="1"/>
  <c r="L189"/>
  <c r="M189" s="1"/>
  <c r="L511"/>
  <c r="M511" s="1"/>
  <c r="L235"/>
  <c r="M235" s="1"/>
  <c r="L650"/>
  <c r="M650" s="1"/>
  <c r="L51"/>
  <c r="M51" s="1"/>
  <c r="L764"/>
  <c r="M764" s="1"/>
  <c r="H1205"/>
  <c r="L259" i="5"/>
  <c r="P60" i="7"/>
  <c r="Q60" s="1"/>
  <c r="P652"/>
  <c r="Q652" s="1"/>
  <c r="L94" i="6"/>
  <c r="L84" i="5"/>
  <c r="L455"/>
  <c r="L545"/>
  <c r="L69" i="6"/>
  <c r="K697" i="5"/>
  <c r="L120" i="6"/>
  <c r="L471" i="7"/>
  <c r="L795" i="5"/>
  <c r="L25"/>
  <c r="L93" i="6"/>
  <c r="L7" i="7"/>
  <c r="L16" i="6"/>
  <c r="L12"/>
  <c r="L699" i="7"/>
  <c r="M699" s="1"/>
  <c r="L768"/>
  <c r="M768" s="1"/>
  <c r="L425" i="5"/>
  <c r="F701"/>
  <c r="F108" i="6" s="1"/>
  <c r="H1203" i="7"/>
  <c r="K18" i="5"/>
  <c r="L653" i="7"/>
  <c r="M653" s="1"/>
  <c r="H54"/>
  <c r="P1223"/>
  <c r="Q1223" s="1"/>
  <c r="H48" i="6"/>
  <c r="M440" i="7" s="1"/>
  <c r="L305" i="5"/>
  <c r="L198" i="7"/>
  <c r="M198" s="1"/>
  <c r="L587"/>
  <c r="M587" s="1"/>
  <c r="L126"/>
  <c r="M126" s="1"/>
  <c r="F73" i="5"/>
  <c r="L72"/>
  <c r="L98" i="6"/>
  <c r="L13"/>
  <c r="L783" i="5"/>
  <c r="L551"/>
  <c r="F355"/>
  <c r="L349"/>
  <c r="F412"/>
  <c r="L410"/>
  <c r="L649"/>
  <c r="F653"/>
  <c r="U1363" i="7"/>
  <c r="U1382" s="1"/>
  <c r="L237" i="5"/>
  <c r="F241"/>
  <c r="L201"/>
  <c r="F337"/>
  <c r="L334"/>
  <c r="L360"/>
  <c r="F368"/>
  <c r="L340"/>
  <c r="G60" i="8"/>
  <c r="F674" i="5"/>
  <c r="F678" s="1"/>
  <c r="K674"/>
  <c r="K678" s="1"/>
  <c r="L24" i="6"/>
  <c r="H1223" i="7"/>
  <c r="I1223" s="1"/>
  <c r="L82" i="6"/>
  <c r="I348" i="7"/>
  <c r="G21" i="8" s="1"/>
  <c r="U348" i="7"/>
  <c r="L415" i="5"/>
  <c r="F419"/>
  <c r="L751"/>
  <c r="L6" i="6"/>
  <c r="H471" i="7"/>
  <c r="I471" s="1"/>
  <c r="H9"/>
  <c r="L88" i="6"/>
  <c r="L75"/>
  <c r="L77"/>
  <c r="F389" i="5"/>
  <c r="F58" i="6" s="1"/>
  <c r="H199" i="7" s="1"/>
  <c r="F182" i="5"/>
  <c r="L179"/>
  <c r="L186"/>
  <c r="F188"/>
  <c r="L274"/>
  <c r="E277"/>
  <c r="T1178" i="7"/>
  <c r="L18" i="6"/>
  <c r="L171" i="5"/>
  <c r="F509"/>
  <c r="L508"/>
  <c r="F708"/>
  <c r="F109" i="6" s="1"/>
  <c r="L705" i="5"/>
  <c r="L371"/>
  <c r="F374"/>
  <c r="L21" i="6"/>
  <c r="H1206" i="7"/>
  <c r="I1206" s="1"/>
  <c r="L96" i="6"/>
  <c r="L66" i="5"/>
  <c r="F67"/>
  <c r="F546"/>
  <c r="L542"/>
  <c r="L192"/>
  <c r="T466" i="7"/>
  <c r="L31" i="6"/>
  <c r="L64"/>
  <c r="L100"/>
  <c r="U811" i="7"/>
  <c r="T811"/>
  <c r="T1179"/>
  <c r="U1179"/>
  <c r="U818"/>
  <c r="T818"/>
  <c r="U470"/>
  <c r="T470"/>
  <c r="L118" i="6"/>
  <c r="L106"/>
  <c r="L18" i="5"/>
  <c r="F19"/>
  <c r="J89" i="6"/>
  <c r="P242" i="7" s="1"/>
  <c r="Q242" s="1"/>
  <c r="L588" i="5"/>
  <c r="J381"/>
  <c r="L380"/>
  <c r="L906" l="1"/>
  <c r="F135" i="6"/>
  <c r="L919" i="5"/>
  <c r="H136" i="6"/>
  <c r="G158" i="5"/>
  <c r="J538"/>
  <c r="J83" i="6" s="1"/>
  <c r="U1451" i="7"/>
  <c r="T1180"/>
  <c r="T124"/>
  <c r="U1113"/>
  <c r="T237"/>
  <c r="I237"/>
  <c r="U237" s="1"/>
  <c r="Q350"/>
  <c r="T350"/>
  <c r="U283"/>
  <c r="U242"/>
  <c r="T242"/>
  <c r="T260"/>
  <c r="I260"/>
  <c r="U260" s="1"/>
  <c r="M1225"/>
  <c r="M1244" s="1"/>
  <c r="K51" i="8" s="1"/>
  <c r="L51" s="1"/>
  <c r="T197" i="7"/>
  <c r="I197"/>
  <c r="U197" s="1"/>
  <c r="M1132"/>
  <c r="M1152" s="1"/>
  <c r="K46" i="8" s="1"/>
  <c r="L46" s="1"/>
  <c r="U196" i="7"/>
  <c r="M471"/>
  <c r="M486" s="1"/>
  <c r="K25" i="8" s="1"/>
  <c r="M7" i="7"/>
  <c r="M26" s="1"/>
  <c r="K8" i="8" s="1"/>
  <c r="T125" i="7"/>
  <c r="I125"/>
  <c r="U125" s="1"/>
  <c r="I121"/>
  <c r="T283"/>
  <c r="T9"/>
  <c r="I9"/>
  <c r="U9" s="1"/>
  <c r="T10"/>
  <c r="I10"/>
  <c r="U10" s="1"/>
  <c r="T6"/>
  <c r="I6"/>
  <c r="U6" s="1"/>
  <c r="M825"/>
  <c r="M831" s="1"/>
  <c r="K40" i="8" s="1"/>
  <c r="L40" s="1"/>
  <c r="T196" i="7"/>
  <c r="T199"/>
  <c r="I199"/>
  <c r="U199" s="1"/>
  <c r="I1203"/>
  <c r="U1203" s="1"/>
  <c r="T60"/>
  <c r="I60"/>
  <c r="U60" s="1"/>
  <c r="T192"/>
  <c r="I192"/>
  <c r="U192" s="1"/>
  <c r="U56"/>
  <c r="I54"/>
  <c r="I1205"/>
  <c r="U1205" s="1"/>
  <c r="T282"/>
  <c r="I282"/>
  <c r="U282" s="1"/>
  <c r="T56"/>
  <c r="U124"/>
  <c r="Q1244"/>
  <c r="O51" i="8" s="1"/>
  <c r="P51" s="1"/>
  <c r="H41"/>
  <c r="T41" s="1"/>
  <c r="U1134" i="7"/>
  <c r="T1134"/>
  <c r="T1137"/>
  <c r="U1137"/>
  <c r="U1136"/>
  <c r="T1136"/>
  <c r="U1112"/>
  <c r="T1112"/>
  <c r="U1109"/>
  <c r="U1139"/>
  <c r="T1139"/>
  <c r="T1154"/>
  <c r="L25" i="6"/>
  <c r="H1155" i="7"/>
  <c r="I1155" s="1"/>
  <c r="H718" i="5"/>
  <c r="H111" i="6" s="1"/>
  <c r="G322" i="5" s="1"/>
  <c r="H322" s="1"/>
  <c r="H325" s="1"/>
  <c r="H50" i="6" s="1"/>
  <c r="L215" i="7" s="1"/>
  <c r="M215" s="1"/>
  <c r="U1154"/>
  <c r="U1157"/>
  <c r="T1157"/>
  <c r="O59" i="8"/>
  <c r="P59" s="1"/>
  <c r="I16" i="21" s="1"/>
  <c r="O42" i="8"/>
  <c r="P42" s="1"/>
  <c r="H23"/>
  <c r="T23" s="1"/>
  <c r="S23"/>
  <c r="K57"/>
  <c r="L57" s="1"/>
  <c r="G15" i="21" s="1"/>
  <c r="K22" i="8"/>
  <c r="L22" s="1"/>
  <c r="O57"/>
  <c r="P57" s="1"/>
  <c r="P64"/>
  <c r="S64"/>
  <c r="S21"/>
  <c r="H21"/>
  <c r="H60"/>
  <c r="T60" s="1"/>
  <c r="S60"/>
  <c r="H58"/>
  <c r="T58" s="1"/>
  <c r="S58"/>
  <c r="L97" i="6"/>
  <c r="H817" i="7"/>
  <c r="I817" s="1"/>
  <c r="L18" i="20"/>
  <c r="K23"/>
  <c r="D25" i="1"/>
  <c r="E25" s="1"/>
  <c r="J24"/>
  <c r="K24" s="1"/>
  <c r="D48"/>
  <c r="M48" s="1"/>
  <c r="N48" s="1"/>
  <c r="D23"/>
  <c r="M23" s="1"/>
  <c r="N23" s="1"/>
  <c r="G24"/>
  <c r="H24" s="1"/>
  <c r="J6"/>
  <c r="K6" s="1"/>
  <c r="J27"/>
  <c r="K27" s="1"/>
  <c r="H48"/>
  <c r="K48"/>
  <c r="L239" i="7"/>
  <c r="M239" s="1"/>
  <c r="L582"/>
  <c r="M46" i="1"/>
  <c r="N46" s="1"/>
  <c r="E46"/>
  <c r="G7"/>
  <c r="L19" i="8"/>
  <c r="G20" i="1"/>
  <c r="J47"/>
  <c r="K47" s="1"/>
  <c r="J28"/>
  <c r="G30"/>
  <c r="H30" s="1"/>
  <c r="P32" i="8"/>
  <c r="J33" i="1"/>
  <c r="J30"/>
  <c r="J7"/>
  <c r="G28"/>
  <c r="H28" s="1"/>
  <c r="P25" i="8"/>
  <c r="H244" i="7"/>
  <c r="L126" i="6"/>
  <c r="L851" i="5"/>
  <c r="F127" i="6"/>
  <c r="H63" i="7"/>
  <c r="H127"/>
  <c r="P817"/>
  <c r="Q817" s="1"/>
  <c r="Q831" s="1"/>
  <c r="O40" i="8" s="1"/>
  <c r="L37" i="6"/>
  <c r="P121" i="7"/>
  <c r="Q121" s="1"/>
  <c r="M1175"/>
  <c r="K47" i="8" s="1"/>
  <c r="L47" s="1"/>
  <c r="P581" i="7"/>
  <c r="L40" i="6"/>
  <c r="L234" i="5"/>
  <c r="M302" i="7"/>
  <c r="K20" i="8" s="1"/>
  <c r="L20" s="1"/>
  <c r="T586" i="7"/>
  <c r="U812"/>
  <c r="T812"/>
  <c r="U585"/>
  <c r="P54"/>
  <c r="Q54" s="1"/>
  <c r="T585"/>
  <c r="U586"/>
  <c r="L22" i="6"/>
  <c r="T767" i="7"/>
  <c r="U767"/>
  <c r="Q1175"/>
  <c r="O47" i="8" s="1"/>
  <c r="P47" s="1"/>
  <c r="L290" i="5"/>
  <c r="L46" i="6"/>
  <c r="H1224" i="7"/>
  <c r="H287"/>
  <c r="P649"/>
  <c r="Q649" s="1"/>
  <c r="T815"/>
  <c r="T814"/>
  <c r="K788" i="5"/>
  <c r="T810" i="7"/>
  <c r="Q302"/>
  <c r="O20" i="8" s="1"/>
  <c r="P20" s="1"/>
  <c r="L123" i="7"/>
  <c r="M123" s="1"/>
  <c r="L651"/>
  <c r="M651" s="1"/>
  <c r="L696"/>
  <c r="L238"/>
  <c r="M238" s="1"/>
  <c r="L52"/>
  <c r="H281"/>
  <c r="L512"/>
  <c r="M512" s="1"/>
  <c r="O46" i="8"/>
  <c r="P46" s="1"/>
  <c r="Q279" i="7"/>
  <c r="O19" i="8" s="1"/>
  <c r="H523" i="5"/>
  <c r="T1205" i="7"/>
  <c r="L765"/>
  <c r="M765" s="1"/>
  <c r="L195"/>
  <c r="M195" s="1"/>
  <c r="L213" i="5"/>
  <c r="F559"/>
  <c r="L559" s="1"/>
  <c r="K559"/>
  <c r="L49" i="6"/>
  <c r="L701" i="5"/>
  <c r="T652" i="7"/>
  <c r="U652"/>
  <c r="P719"/>
  <c r="Q719" s="1"/>
  <c r="Q739" s="1"/>
  <c r="O36" i="8" s="1"/>
  <c r="P214" i="7"/>
  <c r="Q214" s="1"/>
  <c r="P789"/>
  <c r="Q789" s="1"/>
  <c r="Q808" s="1"/>
  <c r="O39" i="8" s="1"/>
  <c r="P536" i="7"/>
  <c r="Q536" s="1"/>
  <c r="P605"/>
  <c r="Q605" s="1"/>
  <c r="Q624" s="1"/>
  <c r="O31" i="8" s="1"/>
  <c r="P145" i="7"/>
  <c r="Q145" s="1"/>
  <c r="P76"/>
  <c r="Q76" s="1"/>
  <c r="L1202"/>
  <c r="M1202" s="1"/>
  <c r="U698"/>
  <c r="F724" i="5"/>
  <c r="T698" i="7"/>
  <c r="K137" i="5"/>
  <c r="F137"/>
  <c r="F763"/>
  <c r="F770" s="1"/>
  <c r="P8" i="8"/>
  <c r="T1203" i="7"/>
  <c r="L73" i="5"/>
  <c r="F15" i="6"/>
  <c r="H1132" i="7" s="1"/>
  <c r="I1132" s="1"/>
  <c r="L144"/>
  <c r="L535"/>
  <c r="M535" s="1"/>
  <c r="L75"/>
  <c r="L718"/>
  <c r="M718" s="1"/>
  <c r="L213"/>
  <c r="L604"/>
  <c r="M604" s="1"/>
  <c r="L788"/>
  <c r="M788" s="1"/>
  <c r="L48" i="6"/>
  <c r="L374" i="5"/>
  <c r="F56" i="6"/>
  <c r="L67" i="5"/>
  <c r="F14" i="6"/>
  <c r="H1131" i="7" s="1"/>
  <c r="I1131" s="1"/>
  <c r="F53" i="6"/>
  <c r="L346" i="5"/>
  <c r="L241"/>
  <c r="F41" i="6"/>
  <c r="L708" i="5"/>
  <c r="T1223" i="7"/>
  <c r="F36" i="6"/>
  <c r="H286" i="7" s="1"/>
  <c r="L206" i="5"/>
  <c r="L412"/>
  <c r="F61" i="6"/>
  <c r="L89"/>
  <c r="E175" i="5"/>
  <c r="K175" s="1"/>
  <c r="L389"/>
  <c r="L674"/>
  <c r="F85" i="6"/>
  <c r="L555" i="5"/>
  <c r="U1206" i="7"/>
  <c r="T1206"/>
  <c r="L509" i="5"/>
  <c r="F80" i="6"/>
  <c r="H351" i="7" s="1"/>
  <c r="F277" i="5"/>
  <c r="F281" s="1"/>
  <c r="K277"/>
  <c r="F33" i="6"/>
  <c r="H285" i="7" s="1"/>
  <c r="L182" i="5"/>
  <c r="F35" i="6"/>
  <c r="L197" i="5"/>
  <c r="F84" i="6"/>
  <c r="H489" i="7" s="1"/>
  <c r="I489" s="1"/>
  <c r="L546" i="5"/>
  <c r="U1178" i="7"/>
  <c r="F34" i="6"/>
  <c r="L188" i="5"/>
  <c r="T471" i="7"/>
  <c r="L337" i="5"/>
  <c r="F52" i="6"/>
  <c r="H294" i="7" s="1"/>
  <c r="U810"/>
  <c r="U466"/>
  <c r="L566" i="5"/>
  <c r="F87" i="6"/>
  <c r="F62"/>
  <c r="E499" i="5" s="1"/>
  <c r="L419"/>
  <c r="F55" i="6"/>
  <c r="L368" i="5"/>
  <c r="L653"/>
  <c r="F101" i="6"/>
  <c r="L355" i="5"/>
  <c r="F54" i="6"/>
  <c r="H236" i="7" s="1"/>
  <c r="F789" i="5"/>
  <c r="L788"/>
  <c r="E712"/>
  <c r="F114" i="6"/>
  <c r="L108"/>
  <c r="F5"/>
  <c r="H57" i="7" s="1"/>
  <c r="L19" i="5"/>
  <c r="J57" i="6"/>
  <c r="L381" i="5"/>
  <c r="G892" l="1"/>
  <c r="L136" i="6"/>
  <c r="E891" i="5"/>
  <c r="L135" i="6"/>
  <c r="K158" i="5"/>
  <c r="H158"/>
  <c r="P488" i="7"/>
  <c r="Q488" s="1"/>
  <c r="P1204"/>
  <c r="Q1204" s="1"/>
  <c r="Q1221" s="1"/>
  <c r="O50" i="8" s="1"/>
  <c r="P50" s="1"/>
  <c r="O48" s="1"/>
  <c r="P48" s="1"/>
  <c r="H538" i="5"/>
  <c r="H83" i="6" s="1"/>
  <c r="O56" i="8"/>
  <c r="P56" s="1"/>
  <c r="U471" i="7"/>
  <c r="U121"/>
  <c r="T21" i="8"/>
  <c r="G6" i="1"/>
  <c r="H6" s="1"/>
  <c r="L8" i="8"/>
  <c r="L25"/>
  <c r="G27" i="1"/>
  <c r="H27" s="1"/>
  <c r="T236" i="7"/>
  <c r="I236"/>
  <c r="U236" s="1"/>
  <c r="T286"/>
  <c r="I286"/>
  <c r="U286" s="1"/>
  <c r="M75"/>
  <c r="U75" s="1"/>
  <c r="T75"/>
  <c r="T63"/>
  <c r="I63"/>
  <c r="U63" s="1"/>
  <c r="T121"/>
  <c r="M52"/>
  <c r="M72" s="1"/>
  <c r="K10" i="8" s="1"/>
  <c r="T127" i="7"/>
  <c r="I127"/>
  <c r="U127" s="1"/>
  <c r="T285"/>
  <c r="I285"/>
  <c r="U285" s="1"/>
  <c r="M696"/>
  <c r="M716" s="1"/>
  <c r="K35" i="8" s="1"/>
  <c r="L35" s="1"/>
  <c r="G45" i="1"/>
  <c r="H45" s="1"/>
  <c r="U54" i="7"/>
  <c r="T57"/>
  <c r="I57"/>
  <c r="U57" s="1"/>
  <c r="M144"/>
  <c r="U144" s="1"/>
  <c r="T144"/>
  <c r="Q581"/>
  <c r="U581" s="1"/>
  <c r="T54"/>
  <c r="Q440"/>
  <c r="O22" i="8" s="1"/>
  <c r="P22" s="1"/>
  <c r="U350" i="7"/>
  <c r="T351"/>
  <c r="I351"/>
  <c r="U351" s="1"/>
  <c r="T294"/>
  <c r="I294"/>
  <c r="U294" s="1"/>
  <c r="T244"/>
  <c r="I244"/>
  <c r="U244" s="1"/>
  <c r="T287"/>
  <c r="I287"/>
  <c r="U287" s="1"/>
  <c r="M213"/>
  <c r="U213" s="1"/>
  <c r="T213"/>
  <c r="T281"/>
  <c r="I281"/>
  <c r="U281" s="1"/>
  <c r="T1224"/>
  <c r="I1224"/>
  <c r="U1224" s="1"/>
  <c r="M582"/>
  <c r="M601" s="1"/>
  <c r="K30" i="8" s="1"/>
  <c r="U1129" i="7"/>
  <c r="I1129"/>
  <c r="G45" i="8" s="1"/>
  <c r="T1132" i="7"/>
  <c r="U1132"/>
  <c r="T1155"/>
  <c r="U1155"/>
  <c r="T1131"/>
  <c r="I15" i="21"/>
  <c r="I21" s="1"/>
  <c r="K44" i="8"/>
  <c r="L44" s="1"/>
  <c r="O44"/>
  <c r="P44" s="1"/>
  <c r="T64"/>
  <c r="O62"/>
  <c r="E593" i="5"/>
  <c r="K593" s="1"/>
  <c r="H626" i="7"/>
  <c r="I626" s="1"/>
  <c r="H30"/>
  <c r="H490"/>
  <c r="I490" s="1"/>
  <c r="L23" i="20"/>
  <c r="K24"/>
  <c r="M25" i="1"/>
  <c r="N25" s="1"/>
  <c r="E48"/>
  <c r="E23"/>
  <c r="H7"/>
  <c r="K7"/>
  <c r="P19" i="8"/>
  <c r="J20" i="1"/>
  <c r="J29"/>
  <c r="G9"/>
  <c r="H9" s="1"/>
  <c r="P40" i="8"/>
  <c r="J45" i="1"/>
  <c r="P39" i="8"/>
  <c r="J44" i="1"/>
  <c r="J21"/>
  <c r="K21" s="1"/>
  <c r="G8"/>
  <c r="H8" s="1"/>
  <c r="K30"/>
  <c r="K28"/>
  <c r="P31" i="8"/>
  <c r="J42" i="1"/>
  <c r="P36" i="8"/>
  <c r="J43" i="1"/>
  <c r="J8"/>
  <c r="K8" s="1"/>
  <c r="J9"/>
  <c r="K9" s="1"/>
  <c r="G21"/>
  <c r="H21" s="1"/>
  <c r="U817" i="7"/>
  <c r="T817"/>
  <c r="H245"/>
  <c r="L127" i="6"/>
  <c r="T581" i="7"/>
  <c r="H293"/>
  <c r="H583"/>
  <c r="I583" s="1"/>
  <c r="H295"/>
  <c r="M141"/>
  <c r="K13" i="8" s="1"/>
  <c r="H292" i="7"/>
  <c r="H122"/>
  <c r="U815"/>
  <c r="L77"/>
  <c r="M77" s="1"/>
  <c r="T649"/>
  <c r="M1221"/>
  <c r="K50" i="8" s="1"/>
  <c r="L50" s="1"/>
  <c r="L146" i="7"/>
  <c r="M146" s="1"/>
  <c r="L537"/>
  <c r="M537" s="1"/>
  <c r="H193"/>
  <c r="M532"/>
  <c r="K27" i="8" s="1"/>
  <c r="M210" i="7"/>
  <c r="K16" i="8" s="1"/>
  <c r="F560" i="5"/>
  <c r="F86" i="6" s="1"/>
  <c r="L605" i="7"/>
  <c r="M605" s="1"/>
  <c r="L536"/>
  <c r="M536" s="1"/>
  <c r="L214"/>
  <c r="M214" s="1"/>
  <c r="L719"/>
  <c r="M719" s="1"/>
  <c r="L145"/>
  <c r="M145" s="1"/>
  <c r="L789"/>
  <c r="M789" s="1"/>
  <c r="M808" s="1"/>
  <c r="F175" i="5"/>
  <c r="L175" s="1"/>
  <c r="L76" i="7"/>
  <c r="M76" s="1"/>
  <c r="K499" i="5"/>
  <c r="F499"/>
  <c r="F138"/>
  <c r="L137"/>
  <c r="I724"/>
  <c r="I737"/>
  <c r="U813" i="7"/>
  <c r="T813"/>
  <c r="F731" i="5"/>
  <c r="T604" i="7"/>
  <c r="L15" i="6"/>
  <c r="H1200" i="7"/>
  <c r="I1200" s="1"/>
  <c r="T535"/>
  <c r="T718"/>
  <c r="T788"/>
  <c r="F712" i="5"/>
  <c r="L57" i="6"/>
  <c r="P193" i="7"/>
  <c r="Q193" s="1"/>
  <c r="L54" i="6"/>
  <c r="H190" i="7"/>
  <c r="L678" i="5"/>
  <c r="F105" i="6"/>
  <c r="L101"/>
  <c r="H825" i="7"/>
  <c r="I825" s="1"/>
  <c r="H259"/>
  <c r="L62" i="6"/>
  <c r="L35"/>
  <c r="L53"/>
  <c r="L33"/>
  <c r="L61"/>
  <c r="L5"/>
  <c r="H468" i="7"/>
  <c r="I468" s="1"/>
  <c r="H7"/>
  <c r="L84" i="6"/>
  <c r="L14"/>
  <c r="H1201" i="7"/>
  <c r="I1201" s="1"/>
  <c r="L277" i="5"/>
  <c r="L109" i="6"/>
  <c r="L87"/>
  <c r="L52"/>
  <c r="U649" i="7"/>
  <c r="L41" i="6"/>
  <c r="H58" i="7"/>
  <c r="L80" i="6"/>
  <c r="H191" i="7"/>
  <c r="L55" i="6"/>
  <c r="H697" i="7"/>
  <c r="I697" s="1"/>
  <c r="H584"/>
  <c r="I584" s="1"/>
  <c r="H194"/>
  <c r="H513"/>
  <c r="I513" s="1"/>
  <c r="H53"/>
  <c r="H766"/>
  <c r="I766" s="1"/>
  <c r="L36" i="6"/>
  <c r="L34"/>
  <c r="L85"/>
  <c r="L58"/>
  <c r="U1223" i="7"/>
  <c r="L56" i="6"/>
  <c r="F119"/>
  <c r="H246" i="7" s="1"/>
  <c r="L789" i="5"/>
  <c r="E716"/>
  <c r="K891" l="1"/>
  <c r="F891"/>
  <c r="H892"/>
  <c r="K892"/>
  <c r="L158"/>
  <c r="H160"/>
  <c r="H30" i="6" s="1"/>
  <c r="F593" i="5"/>
  <c r="L593" s="1"/>
  <c r="L488" i="7"/>
  <c r="M488" s="1"/>
  <c r="M509" s="1"/>
  <c r="K26" i="8" s="1"/>
  <c r="L28" i="7"/>
  <c r="M28" s="1"/>
  <c r="M49" s="1"/>
  <c r="K9" i="8" s="1"/>
  <c r="L167" i="7"/>
  <c r="M167" s="1"/>
  <c r="L30" i="8"/>
  <c r="G37" i="1"/>
  <c r="T245" i="7"/>
  <c r="I245"/>
  <c r="U245" s="1"/>
  <c r="T191"/>
  <c r="I191"/>
  <c r="U191" s="1"/>
  <c r="T29"/>
  <c r="I29"/>
  <c r="U29" s="1"/>
  <c r="T190"/>
  <c r="I190"/>
  <c r="U190" s="1"/>
  <c r="T295"/>
  <c r="I295"/>
  <c r="U295" s="1"/>
  <c r="T30"/>
  <c r="I30"/>
  <c r="U30" s="1"/>
  <c r="T53"/>
  <c r="I53"/>
  <c r="U53" s="1"/>
  <c r="T293"/>
  <c r="I293"/>
  <c r="U293" s="1"/>
  <c r="G39" i="1"/>
  <c r="T246" i="7"/>
  <c r="I246"/>
  <c r="U246" s="1"/>
  <c r="T194"/>
  <c r="I194"/>
  <c r="U194" s="1"/>
  <c r="T7"/>
  <c r="I7"/>
  <c r="U7" s="1"/>
  <c r="T259"/>
  <c r="I259"/>
  <c r="U259" s="1"/>
  <c r="T292"/>
  <c r="I292"/>
  <c r="U292" s="1"/>
  <c r="T58"/>
  <c r="I58"/>
  <c r="U58" s="1"/>
  <c r="T193"/>
  <c r="I193"/>
  <c r="U193" s="1"/>
  <c r="T122"/>
  <c r="I122"/>
  <c r="U122" s="1"/>
  <c r="O43" i="8"/>
  <c r="P43" s="1"/>
  <c r="I6" i="21" s="1"/>
  <c r="I1152" i="7"/>
  <c r="U1131"/>
  <c r="U1152" s="1"/>
  <c r="P62" i="8"/>
  <c r="S62"/>
  <c r="J52" i="1"/>
  <c r="S45" i="8"/>
  <c r="H45"/>
  <c r="K25" i="20"/>
  <c r="L24"/>
  <c r="D22" i="1"/>
  <c r="M22" s="1"/>
  <c r="N22" s="1"/>
  <c r="G29"/>
  <c r="H29" s="1"/>
  <c r="K45"/>
  <c r="L27" i="8"/>
  <c r="G36" i="1"/>
  <c r="K29"/>
  <c r="D7"/>
  <c r="L16" i="8"/>
  <c r="G15" i="1"/>
  <c r="L10" i="8"/>
  <c r="G13" i="1"/>
  <c r="L13" i="8"/>
  <c r="G14" i="1"/>
  <c r="T583" i="7"/>
  <c r="U583"/>
  <c r="F176" i="5"/>
  <c r="L176" s="1"/>
  <c r="L560"/>
  <c r="F396"/>
  <c r="J724"/>
  <c r="K724"/>
  <c r="F115" i="6"/>
  <c r="E717" i="5" s="1"/>
  <c r="F717" s="1"/>
  <c r="H1202" i="7"/>
  <c r="I1202" s="1"/>
  <c r="J750" i="5"/>
  <c r="K750"/>
  <c r="J737"/>
  <c r="K737"/>
  <c r="L138"/>
  <c r="F26" i="6"/>
  <c r="H1156" i="7" s="1"/>
  <c r="I1156" s="1"/>
  <c r="F500" i="5"/>
  <c r="L499"/>
  <c r="F112" i="6"/>
  <c r="E711" i="5" s="1"/>
  <c r="F711" s="1"/>
  <c r="J763"/>
  <c r="K763"/>
  <c r="M233" i="7"/>
  <c r="K17" i="8" s="1"/>
  <c r="M164" i="7"/>
  <c r="K14" i="8" s="1"/>
  <c r="U1200" i="7"/>
  <c r="T1200"/>
  <c r="M739"/>
  <c r="K36" i="8" s="1"/>
  <c r="U718" i="7"/>
  <c r="M95"/>
  <c r="K11" i="8" s="1"/>
  <c r="K39"/>
  <c r="U788" i="7"/>
  <c r="U535"/>
  <c r="M555"/>
  <c r="K28" i="8" s="1"/>
  <c r="M624" i="7"/>
  <c r="K31" i="8" s="1"/>
  <c r="U604" i="7"/>
  <c r="T1201"/>
  <c r="F45" i="6"/>
  <c r="E660" i="5" s="1"/>
  <c r="L281"/>
  <c r="T468" i="7"/>
  <c r="T626"/>
  <c r="T584"/>
  <c r="U584"/>
  <c r="T825"/>
  <c r="E157" i="5"/>
  <c r="L105" i="6"/>
  <c r="U766" i="7"/>
  <c r="T766"/>
  <c r="L86" i="6"/>
  <c r="U490" i="7"/>
  <c r="T490"/>
  <c r="T697"/>
  <c r="U697"/>
  <c r="U513"/>
  <c r="T513"/>
  <c r="L119" i="6"/>
  <c r="F716" i="5"/>
  <c r="F248"/>
  <c r="H893" l="1"/>
  <c r="H134" i="6" s="1"/>
  <c r="L892" i="5"/>
  <c r="L891"/>
  <c r="F893"/>
  <c r="L1181" i="7"/>
  <c r="M1181" s="1"/>
  <c r="M1198" s="1"/>
  <c r="K49" i="8" s="1"/>
  <c r="L49" s="1"/>
  <c r="K48" s="1"/>
  <c r="L48" s="1"/>
  <c r="K43" s="1"/>
  <c r="L43" s="1"/>
  <c r="G6" i="21" s="1"/>
  <c r="H8" i="20" s="1"/>
  <c r="H17" s="1"/>
  <c r="I17" s="1"/>
  <c r="L97" i="7"/>
  <c r="M97" s="1"/>
  <c r="M118" s="1"/>
  <c r="K12" i="8" s="1"/>
  <c r="L741" i="7"/>
  <c r="M741" s="1"/>
  <c r="M762" s="1"/>
  <c r="K37" i="8" s="1"/>
  <c r="L672" i="7"/>
  <c r="M672" s="1"/>
  <c r="M693" s="1"/>
  <c r="K34" i="8" s="1"/>
  <c r="L166" i="7"/>
  <c r="M166" s="1"/>
  <c r="M187" s="1"/>
  <c r="K15" i="8" s="1"/>
  <c r="L557" i="7"/>
  <c r="M557" s="1"/>
  <c r="M578" s="1"/>
  <c r="K29" i="8" s="1"/>
  <c r="L9"/>
  <c r="G10" i="1"/>
  <c r="U1156" i="7"/>
  <c r="T1156"/>
  <c r="T45" i="8"/>
  <c r="M52" i="1"/>
  <c r="N52" s="1"/>
  <c r="K52"/>
  <c r="I24" i="21"/>
  <c r="T62" i="8"/>
  <c r="L25" i="20"/>
  <c r="K26"/>
  <c r="E22" i="1"/>
  <c r="G17"/>
  <c r="F660" i="5"/>
  <c r="K660"/>
  <c r="L14" i="8"/>
  <c r="G18" i="1"/>
  <c r="L31" i="8"/>
  <c r="G42" i="1"/>
  <c r="L39" i="8"/>
  <c r="G44" i="1"/>
  <c r="L36" i="8"/>
  <c r="G43" i="1"/>
  <c r="L17" i="8"/>
  <c r="G19" i="1"/>
  <c r="L26" i="8"/>
  <c r="G31" i="1"/>
  <c r="L28" i="8"/>
  <c r="G41" i="1"/>
  <c r="E7"/>
  <c r="M7" s="1"/>
  <c r="L7"/>
  <c r="H588" i="7"/>
  <c r="H261"/>
  <c r="F32" i="6"/>
  <c r="T816" i="7" s="1"/>
  <c r="H1225"/>
  <c r="I1225" s="1"/>
  <c r="L396" i="5"/>
  <c r="F59" i="6"/>
  <c r="L220" i="5"/>
  <c r="F38" i="6"/>
  <c r="U1202" i="7"/>
  <c r="T1202"/>
  <c r="H764"/>
  <c r="I764" s="1"/>
  <c r="H51"/>
  <c r="H695"/>
  <c r="I695" s="1"/>
  <c r="H650"/>
  <c r="I650" s="1"/>
  <c r="H580"/>
  <c r="I580" s="1"/>
  <c r="H189"/>
  <c r="H511"/>
  <c r="I511" s="1"/>
  <c r="H120"/>
  <c r="H235"/>
  <c r="J770" i="5"/>
  <c r="L763"/>
  <c r="L500"/>
  <c r="F78" i="6"/>
  <c r="J757" i="5"/>
  <c r="L750"/>
  <c r="L737"/>
  <c r="J744"/>
  <c r="H288" i="7"/>
  <c r="L26" i="6"/>
  <c r="J731" i="5"/>
  <c r="L724"/>
  <c r="L11" i="8"/>
  <c r="U468" i="7"/>
  <c r="U486" s="1"/>
  <c r="I486"/>
  <c r="G25" i="8" s="1"/>
  <c r="I647" i="7"/>
  <c r="G32" i="8" s="1"/>
  <c r="U626" i="7"/>
  <c r="U647" s="1"/>
  <c r="H241"/>
  <c r="H62"/>
  <c r="L45" i="6"/>
  <c r="U1201" i="7"/>
  <c r="U825"/>
  <c r="U440"/>
  <c r="I440"/>
  <c r="U26"/>
  <c r="I26"/>
  <c r="G8" i="8" s="1"/>
  <c r="K157" i="5"/>
  <c r="F157"/>
  <c r="F160" s="1"/>
  <c r="F718"/>
  <c r="F713"/>
  <c r="L248"/>
  <c r="F42" i="6"/>
  <c r="H258" i="7" s="1"/>
  <c r="H9" i="20" l="1"/>
  <c r="I9" s="1"/>
  <c r="H14"/>
  <c r="I14" s="1"/>
  <c r="I8"/>
  <c r="H15"/>
  <c r="I15" s="1"/>
  <c r="L893" i="5"/>
  <c r="F134" i="6"/>
  <c r="L134" s="1"/>
  <c r="G12" i="1"/>
  <c r="L15" i="8"/>
  <c r="L29"/>
  <c r="G32" i="1"/>
  <c r="G11"/>
  <c r="L12" i="8"/>
  <c r="G35" i="1"/>
  <c r="L37" i="8"/>
  <c r="G34" i="1"/>
  <c r="L34" i="8"/>
  <c r="I30" i="21"/>
  <c r="E20" i="20" s="1"/>
  <c r="K24" i="21"/>
  <c r="K30" s="1"/>
  <c r="T588" i="7"/>
  <c r="I588"/>
  <c r="U588" s="1"/>
  <c r="I120"/>
  <c r="I189"/>
  <c r="T62"/>
  <c r="I62"/>
  <c r="U62" s="1"/>
  <c r="T241"/>
  <c r="I241"/>
  <c r="U241" s="1"/>
  <c r="T288"/>
  <c r="I288"/>
  <c r="U288" s="1"/>
  <c r="I51"/>
  <c r="T261"/>
  <c r="I261"/>
  <c r="U261" s="1"/>
  <c r="T258"/>
  <c r="I258"/>
  <c r="U258" s="1"/>
  <c r="I235"/>
  <c r="G22" i="8"/>
  <c r="L26" i="20"/>
  <c r="K27"/>
  <c r="D33" i="1"/>
  <c r="D24"/>
  <c r="M24" s="1"/>
  <c r="N24" s="1"/>
  <c r="D27"/>
  <c r="E27" s="1"/>
  <c r="D6"/>
  <c r="L6" s="1"/>
  <c r="L660" i="5"/>
  <c r="F661"/>
  <c r="H239" i="7"/>
  <c r="H582"/>
  <c r="I582" s="1"/>
  <c r="H17" i="1"/>
  <c r="H41"/>
  <c r="N7"/>
  <c r="L32" i="6"/>
  <c r="U816" i="7"/>
  <c r="H55"/>
  <c r="T1225"/>
  <c r="L38" i="6"/>
  <c r="E523" i="5"/>
  <c r="L59" i="6"/>
  <c r="J113"/>
  <c r="L744" i="5"/>
  <c r="J114" i="6"/>
  <c r="L757" i="5"/>
  <c r="L78" i="6"/>
  <c r="J112"/>
  <c r="L731" i="5"/>
  <c r="J115" i="6"/>
  <c r="L770" i="5"/>
  <c r="L268"/>
  <c r="F44" i="6"/>
  <c r="H514" i="7" s="1"/>
  <c r="I514" s="1"/>
  <c r="H25" i="8"/>
  <c r="S25"/>
  <c r="L42" i="6"/>
  <c r="H59" i="7"/>
  <c r="L157" i="5"/>
  <c r="H8" i="8"/>
  <c r="S8"/>
  <c r="H32"/>
  <c r="T32" s="1"/>
  <c r="S32"/>
  <c r="F111" i="6"/>
  <c r="F110"/>
  <c r="N20" i="20" l="1"/>
  <c r="F20"/>
  <c r="H10"/>
  <c r="H16"/>
  <c r="I16" s="1"/>
  <c r="H31" i="1"/>
  <c r="H10"/>
  <c r="T239" i="7"/>
  <c r="I239"/>
  <c r="U239" s="1"/>
  <c r="T59"/>
  <c r="I59"/>
  <c r="U59" s="1"/>
  <c r="T55"/>
  <c r="I55"/>
  <c r="U55" s="1"/>
  <c r="H22" i="8"/>
  <c r="T22" s="1"/>
  <c r="S22"/>
  <c r="G57"/>
  <c r="K28" i="20"/>
  <c r="L28" s="1"/>
  <c r="L27"/>
  <c r="E24" i="1"/>
  <c r="M27"/>
  <c r="N27" s="1"/>
  <c r="E6"/>
  <c r="M6" s="1"/>
  <c r="N6" s="1"/>
  <c r="T514" i="7"/>
  <c r="U514"/>
  <c r="L661" i="5"/>
  <c r="F102" i="6"/>
  <c r="H240" i="7"/>
  <c r="U1175"/>
  <c r="I1175"/>
  <c r="G47" i="8" s="1"/>
  <c r="U1225" i="7"/>
  <c r="U1244" s="1"/>
  <c r="I1244"/>
  <c r="G51" i="8" s="1"/>
  <c r="T582" i="7"/>
  <c r="U582"/>
  <c r="F523" i="5"/>
  <c r="F538" s="1"/>
  <c r="K523"/>
  <c r="I279" i="7"/>
  <c r="G19" i="8" s="1"/>
  <c r="U279" i="7"/>
  <c r="I711" i="5"/>
  <c r="L112" i="6"/>
  <c r="H512" i="7"/>
  <c r="I512" s="1"/>
  <c r="H696"/>
  <c r="I696" s="1"/>
  <c r="H238"/>
  <c r="H52"/>
  <c r="H195"/>
  <c r="H123"/>
  <c r="H765"/>
  <c r="I765" s="1"/>
  <c r="H651"/>
  <c r="I651" s="1"/>
  <c r="I717" i="5"/>
  <c r="P189" i="7"/>
  <c r="P695"/>
  <c r="P511"/>
  <c r="P120"/>
  <c r="P580"/>
  <c r="P764"/>
  <c r="P51"/>
  <c r="P650"/>
  <c r="P235"/>
  <c r="L115" i="6"/>
  <c r="I716" i="5"/>
  <c r="L114" i="6"/>
  <c r="I712" i="5"/>
  <c r="P97" i="7"/>
  <c r="Q97" s="1"/>
  <c r="Q118" s="1"/>
  <c r="O12" i="8" s="1"/>
  <c r="P741" i="7"/>
  <c r="Q741" s="1"/>
  <c r="Q762" s="1"/>
  <c r="O37" i="8" s="1"/>
  <c r="P166" i="7"/>
  <c r="Q166" s="1"/>
  <c r="Q187" s="1"/>
  <c r="O15" i="8" s="1"/>
  <c r="P28" i="7"/>
  <c r="Q28" s="1"/>
  <c r="Q49" s="1"/>
  <c r="O9" i="8" s="1"/>
  <c r="P557" i="7"/>
  <c r="Q557" s="1"/>
  <c r="Q578" s="1"/>
  <c r="O29" i="8" s="1"/>
  <c r="P672" i="7"/>
  <c r="Q672" s="1"/>
  <c r="Q693" s="1"/>
  <c r="O34" i="8" s="1"/>
  <c r="L113" i="6"/>
  <c r="T8" i="8"/>
  <c r="T25"/>
  <c r="L44" i="6"/>
  <c r="H768" i="7"/>
  <c r="I768" s="1"/>
  <c r="H699"/>
  <c r="I699" s="1"/>
  <c r="H653"/>
  <c r="I653" s="1"/>
  <c r="H61"/>
  <c r="H587"/>
  <c r="I587" s="1"/>
  <c r="H126"/>
  <c r="H198"/>
  <c r="F30" i="6"/>
  <c r="H1181" i="7" s="1"/>
  <c r="I1181" s="1"/>
  <c r="L160" i="5"/>
  <c r="E322"/>
  <c r="E321"/>
  <c r="O20" i="20" l="1"/>
  <c r="E20" i="29"/>
  <c r="H12" i="20"/>
  <c r="H13"/>
  <c r="I13" s="1"/>
  <c r="I10"/>
  <c r="T198" i="7"/>
  <c r="I198"/>
  <c r="U198" s="1"/>
  <c r="Q189"/>
  <c r="U189" s="1"/>
  <c r="T189"/>
  <c r="T126"/>
  <c r="I126"/>
  <c r="U126" s="1"/>
  <c r="I123"/>
  <c r="Q120"/>
  <c r="U120" s="1"/>
  <c r="T120"/>
  <c r="I195"/>
  <c r="Q235"/>
  <c r="U235" s="1"/>
  <c r="T235"/>
  <c r="Q51"/>
  <c r="U51" s="1"/>
  <c r="T51"/>
  <c r="I52"/>
  <c r="T240"/>
  <c r="I240"/>
  <c r="U240" s="1"/>
  <c r="T61"/>
  <c r="I61"/>
  <c r="U61" s="1"/>
  <c r="I238"/>
  <c r="H51" i="8"/>
  <c r="T51" s="1"/>
  <c r="S51"/>
  <c r="H47"/>
  <c r="T47" s="1"/>
  <c r="S47"/>
  <c r="S57"/>
  <c r="H57"/>
  <c r="K29" i="20"/>
  <c r="I12"/>
  <c r="D20" i="1"/>
  <c r="J10"/>
  <c r="D30"/>
  <c r="E30" s="1"/>
  <c r="D9"/>
  <c r="L9" s="1"/>
  <c r="H948" i="7"/>
  <c r="I948" s="1"/>
  <c r="I1106" s="1"/>
  <c r="L102" i="6"/>
  <c r="P12" i="8"/>
  <c r="J11" i="1"/>
  <c r="P29" i="8"/>
  <c r="J32" i="1"/>
  <c r="P15" i="8"/>
  <c r="J12" i="1"/>
  <c r="P34" i="8"/>
  <c r="J34" i="1"/>
  <c r="P37" i="8"/>
  <c r="J35" i="1"/>
  <c r="G46" i="8"/>
  <c r="L523" i="5"/>
  <c r="Q695" i="7"/>
  <c r="T695"/>
  <c r="H19" i="8"/>
  <c r="T19" s="1"/>
  <c r="S19"/>
  <c r="J712" i="5"/>
  <c r="L712" s="1"/>
  <c r="K712"/>
  <c r="Q650" i="7"/>
  <c r="T650"/>
  <c r="J717" i="5"/>
  <c r="L717" s="1"/>
  <c r="K717"/>
  <c r="Q764" i="7"/>
  <c r="T764"/>
  <c r="J716" i="5"/>
  <c r="K716"/>
  <c r="Q580" i="7"/>
  <c r="T580"/>
  <c r="T1181"/>
  <c r="P9" i="8"/>
  <c r="J711" i="5"/>
  <c r="K711"/>
  <c r="I302" i="7"/>
  <c r="G20" i="8" s="1"/>
  <c r="Q511" i="7"/>
  <c r="T511"/>
  <c r="U302"/>
  <c r="T653"/>
  <c r="T699"/>
  <c r="T587"/>
  <c r="T768"/>
  <c r="L30" i="6"/>
  <c r="H166" i="7"/>
  <c r="H672"/>
  <c r="I672" s="1"/>
  <c r="I693" s="1"/>
  <c r="H557"/>
  <c r="I557" s="1"/>
  <c r="H97"/>
  <c r="H741"/>
  <c r="I741" s="1"/>
  <c r="F321" i="5"/>
  <c r="F322"/>
  <c r="T97" i="7" l="1"/>
  <c r="I97"/>
  <c r="U97" s="1"/>
  <c r="T166"/>
  <c r="I166"/>
  <c r="U166" s="1"/>
  <c r="E15" i="21"/>
  <c r="T57" i="8"/>
  <c r="H46"/>
  <c r="S46"/>
  <c r="S20"/>
  <c r="H20"/>
  <c r="I72" i="7"/>
  <c r="G10" i="8" s="1"/>
  <c r="L29" i="20"/>
  <c r="L34" s="1"/>
  <c r="E9" i="1"/>
  <c r="M9" s="1"/>
  <c r="N9" s="1"/>
  <c r="M30"/>
  <c r="N30" s="1"/>
  <c r="D21"/>
  <c r="E21" s="1"/>
  <c r="D8"/>
  <c r="T948" i="7"/>
  <c r="T819"/>
  <c r="K10" i="1"/>
  <c r="L538" i="5"/>
  <c r="F83" i="6"/>
  <c r="H488" i="7" s="1"/>
  <c r="I488" s="1"/>
  <c r="U511"/>
  <c r="U580"/>
  <c r="J718" i="5"/>
  <c r="L716"/>
  <c r="U1181" i="7"/>
  <c r="U1198" s="1"/>
  <c r="I1198"/>
  <c r="G49" i="8" s="1"/>
  <c r="I532" i="7"/>
  <c r="G27" i="8" s="1"/>
  <c r="U764" i="7"/>
  <c r="U650"/>
  <c r="J713" i="5"/>
  <c r="L711"/>
  <c r="U695" i="7"/>
  <c r="I141"/>
  <c r="G13" i="8" s="1"/>
  <c r="U768" i="7"/>
  <c r="U699"/>
  <c r="I716"/>
  <c r="G35" i="8" s="1"/>
  <c r="T557" i="7"/>
  <c r="T672"/>
  <c r="U587"/>
  <c r="I601"/>
  <c r="G30" i="8" s="1"/>
  <c r="U653" i="7"/>
  <c r="T741"/>
  <c r="I210"/>
  <c r="G16" i="8" s="1"/>
  <c r="F325" i="5"/>
  <c r="T20" i="8" l="1"/>
  <c r="S49"/>
  <c r="H49"/>
  <c r="T46"/>
  <c r="G44"/>
  <c r="K15" i="21"/>
  <c r="H28" i="7"/>
  <c r="M21" i="1"/>
  <c r="N21" s="1"/>
  <c r="D15"/>
  <c r="D39"/>
  <c r="D36"/>
  <c r="D14"/>
  <c r="D37"/>
  <c r="D13"/>
  <c r="L8"/>
  <c r="E8"/>
  <c r="M8" s="1"/>
  <c r="U819" i="7"/>
  <c r="U831" s="1"/>
  <c r="I831"/>
  <c r="G40" i="8" s="1"/>
  <c r="G42"/>
  <c r="U948" i="7"/>
  <c r="U1106" s="1"/>
  <c r="D28" i="1"/>
  <c r="E28" s="1"/>
  <c r="H167" i="7"/>
  <c r="H789"/>
  <c r="I789" s="1"/>
  <c r="H605"/>
  <c r="I605" s="1"/>
  <c r="H145"/>
  <c r="H719"/>
  <c r="I719" s="1"/>
  <c r="H536"/>
  <c r="I536" s="1"/>
  <c r="L83" i="6"/>
  <c r="H76" i="7"/>
  <c r="H214"/>
  <c r="H27" i="8"/>
  <c r="J110" i="6"/>
  <c r="L713" i="5"/>
  <c r="J111" i="6"/>
  <c r="L718" i="5"/>
  <c r="H10" i="8"/>
  <c r="U741" i="7"/>
  <c r="U762" s="1"/>
  <c r="I762"/>
  <c r="G37" i="8" s="1"/>
  <c r="H35"/>
  <c r="H30"/>
  <c r="H16"/>
  <c r="G34"/>
  <c r="U672" i="7"/>
  <c r="U693" s="1"/>
  <c r="U118"/>
  <c r="I118"/>
  <c r="G12" i="8" s="1"/>
  <c r="H13"/>
  <c r="U557" i="7"/>
  <c r="U578" s="1"/>
  <c r="I578"/>
  <c r="G29" i="8" s="1"/>
  <c r="F50" i="6"/>
  <c r="T28" i="7" l="1"/>
  <c r="I28"/>
  <c r="U28" s="1"/>
  <c r="T214"/>
  <c r="I214"/>
  <c r="U214" s="1"/>
  <c r="T167"/>
  <c r="I167"/>
  <c r="U167" s="1"/>
  <c r="T76"/>
  <c r="I76"/>
  <c r="U76" s="1"/>
  <c r="T145"/>
  <c r="I145"/>
  <c r="U145" s="1"/>
  <c r="S42" i="8"/>
  <c r="H42"/>
  <c r="T42" s="1"/>
  <c r="S44"/>
  <c r="H44"/>
  <c r="T49"/>
  <c r="U488" i="7"/>
  <c r="T488"/>
  <c r="D11" i="1"/>
  <c r="D34"/>
  <c r="D32"/>
  <c r="D35"/>
  <c r="N8"/>
  <c r="M28"/>
  <c r="N28" s="1"/>
  <c r="D47"/>
  <c r="S40" i="8"/>
  <c r="H40"/>
  <c r="T40" s="1"/>
  <c r="D45" i="1"/>
  <c r="T1204" i="7"/>
  <c r="U1204"/>
  <c r="U1221" s="1"/>
  <c r="I1221"/>
  <c r="G50" i="8" s="1"/>
  <c r="T536" i="7"/>
  <c r="U536"/>
  <c r="T719"/>
  <c r="T605"/>
  <c r="T789"/>
  <c r="I321" i="5"/>
  <c r="L110" i="6"/>
  <c r="I322" i="5"/>
  <c r="P238" i="7"/>
  <c r="P123"/>
  <c r="P512"/>
  <c r="P696"/>
  <c r="P765"/>
  <c r="P651"/>
  <c r="P195"/>
  <c r="P52"/>
  <c r="L111" i="6"/>
  <c r="H34" i="8"/>
  <c r="T34" s="1"/>
  <c r="S34"/>
  <c r="H37"/>
  <c r="T37" s="1"/>
  <c r="S37"/>
  <c r="S12"/>
  <c r="H12"/>
  <c r="T12" s="1"/>
  <c r="H146" i="7"/>
  <c r="H215"/>
  <c r="H77"/>
  <c r="H537"/>
  <c r="I537" s="1"/>
  <c r="S29" i="8"/>
  <c r="H29"/>
  <c r="T29" s="1"/>
  <c r="I215" i="7" l="1"/>
  <c r="Q52"/>
  <c r="U52" s="1"/>
  <c r="T52"/>
  <c r="Q123"/>
  <c r="U123" s="1"/>
  <c r="T123"/>
  <c r="Q195"/>
  <c r="U195" s="1"/>
  <c r="T195"/>
  <c r="I77"/>
  <c r="Q238"/>
  <c r="U238" s="1"/>
  <c r="T238"/>
  <c r="I146"/>
  <c r="G59" i="8"/>
  <c r="T44"/>
  <c r="S50"/>
  <c r="H50"/>
  <c r="G48" s="1"/>
  <c r="I49" i="7"/>
  <c r="G9" i="8" s="1"/>
  <c r="U49" i="7"/>
  <c r="M45" i="1"/>
  <c r="N45" s="1"/>
  <c r="E45"/>
  <c r="D29"/>
  <c r="E29" s="1"/>
  <c r="E47"/>
  <c r="M47"/>
  <c r="N47" s="1"/>
  <c r="U187" i="7"/>
  <c r="I187"/>
  <c r="G15" i="8" s="1"/>
  <c r="U719" i="7"/>
  <c r="U739" s="1"/>
  <c r="I739"/>
  <c r="G36" i="8" s="1"/>
  <c r="U789" i="7"/>
  <c r="U605"/>
  <c r="J321" i="5"/>
  <c r="K321"/>
  <c r="Q765" i="7"/>
  <c r="T765"/>
  <c r="Q651"/>
  <c r="T651"/>
  <c r="Q696"/>
  <c r="T696"/>
  <c r="Q512"/>
  <c r="T512"/>
  <c r="I509"/>
  <c r="G26" i="8" s="1"/>
  <c r="J322" i="5"/>
  <c r="L322" s="1"/>
  <c r="K322"/>
  <c r="T50" i="8" l="1"/>
  <c r="S59"/>
  <c r="H59"/>
  <c r="U72" i="7"/>
  <c r="Q72"/>
  <c r="O10" i="8" s="1"/>
  <c r="D10" i="1"/>
  <c r="S9" i="8"/>
  <c r="H9"/>
  <c r="D12" i="1"/>
  <c r="M29"/>
  <c r="N29" s="1"/>
  <c r="D31"/>
  <c r="E31" s="1"/>
  <c r="D43"/>
  <c r="H15" i="8"/>
  <c r="T15" s="1"/>
  <c r="S15"/>
  <c r="H36"/>
  <c r="T36" s="1"/>
  <c r="S36"/>
  <c r="U651" i="7"/>
  <c r="U765"/>
  <c r="Q601"/>
  <c r="O30" i="8" s="1"/>
  <c r="U601" i="7"/>
  <c r="U210"/>
  <c r="Q210"/>
  <c r="O16" i="8" s="1"/>
  <c r="Q532" i="7"/>
  <c r="O27" i="8" s="1"/>
  <c r="U512" i="7"/>
  <c r="U532" s="1"/>
  <c r="J325" i="5"/>
  <c r="L321"/>
  <c r="H26" i="8"/>
  <c r="U141" i="7"/>
  <c r="Q141"/>
  <c r="O13" i="8" s="1"/>
  <c r="Q716" i="7"/>
  <c r="O35" i="8" s="1"/>
  <c r="U696" i="7"/>
  <c r="U716" s="1"/>
  <c r="E16" i="21" l="1"/>
  <c r="T59" i="8"/>
  <c r="S48"/>
  <c r="H48"/>
  <c r="G43" s="1"/>
  <c r="M10" i="1"/>
  <c r="N10" s="1"/>
  <c r="T9" i="8"/>
  <c r="E10" i="1"/>
  <c r="J14"/>
  <c r="J37"/>
  <c r="J13"/>
  <c r="J36"/>
  <c r="J39"/>
  <c r="J15"/>
  <c r="J50" i="6"/>
  <c r="L325" i="5"/>
  <c r="P30" i="8"/>
  <c r="T30" s="1"/>
  <c r="S30"/>
  <c r="P35"/>
  <c r="T35" s="1"/>
  <c r="S35"/>
  <c r="P27"/>
  <c r="T27" s="1"/>
  <c r="S27"/>
  <c r="P13"/>
  <c r="T13" s="1"/>
  <c r="S13"/>
  <c r="P16"/>
  <c r="T16" s="1"/>
  <c r="S16"/>
  <c r="P10"/>
  <c r="S10"/>
  <c r="T48" l="1"/>
  <c r="K16" i="21"/>
  <c r="E30" i="20" s="1"/>
  <c r="T10" i="8"/>
  <c r="P537" i="7"/>
  <c r="Q537" s="1"/>
  <c r="P215"/>
  <c r="P77"/>
  <c r="P146"/>
  <c r="L50" i="6"/>
  <c r="Q77" i="7" l="1"/>
  <c r="U77" s="1"/>
  <c r="T77"/>
  <c r="Q146"/>
  <c r="U146" s="1"/>
  <c r="T146"/>
  <c r="Q215"/>
  <c r="U215" s="1"/>
  <c r="T215"/>
  <c r="S43" i="8"/>
  <c r="H43"/>
  <c r="T537" i="7"/>
  <c r="T489"/>
  <c r="T43" i="8" l="1"/>
  <c r="E6" i="21"/>
  <c r="K6" s="1"/>
  <c r="Q233" i="7"/>
  <c r="O17" i="8" s="1"/>
  <c r="Q555" i="7"/>
  <c r="O28" i="8" s="1"/>
  <c r="U537" i="7"/>
  <c r="Q95"/>
  <c r="O11" i="8" s="1"/>
  <c r="Q164" i="7"/>
  <c r="O14" i="8" s="1"/>
  <c r="Q509" i="7"/>
  <c r="O26" i="8" s="1"/>
  <c r="U489" i="7"/>
  <c r="U509" s="1"/>
  <c r="H5" i="20" l="1"/>
  <c r="J18" i="1"/>
  <c r="J41"/>
  <c r="K41" s="1"/>
  <c r="J17"/>
  <c r="J31"/>
  <c r="K31" s="1"/>
  <c r="J19"/>
  <c r="P11" i="8"/>
  <c r="P28"/>
  <c r="P17"/>
  <c r="P26"/>
  <c r="S26"/>
  <c r="P14"/>
  <c r="H7" i="20" l="1"/>
  <c r="I5"/>
  <c r="K17" i="1"/>
  <c r="M31"/>
  <c r="N31" s="1"/>
  <c r="T26" i="8"/>
  <c r="H18" i="20" l="1"/>
  <c r="H21"/>
  <c r="I21" s="1"/>
  <c r="I7"/>
  <c r="H19"/>
  <c r="I19" s="1"/>
  <c r="E592" i="5"/>
  <c r="F592" s="1"/>
  <c r="F594" s="1"/>
  <c r="F90" i="6" s="1"/>
  <c r="I592" i="5"/>
  <c r="J592" s="1"/>
  <c r="J594" s="1"/>
  <c r="J90" i="6" s="1"/>
  <c r="P243" i="7" s="1"/>
  <c r="G592" i="5"/>
  <c r="H592" s="1"/>
  <c r="H594" s="1"/>
  <c r="H90" i="6" s="1"/>
  <c r="L243" i="7" s="1"/>
  <c r="M243" l="1"/>
  <c r="M256" s="1"/>
  <c r="K18" i="8" s="1"/>
  <c r="Q243" i="7"/>
  <c r="Q256" s="1"/>
  <c r="O18" i="8" s="1"/>
  <c r="I18" i="20"/>
  <c r="H23"/>
  <c r="H769" i="7"/>
  <c r="I769" s="1"/>
  <c r="H243"/>
  <c r="M670"/>
  <c r="K33" i="8" s="1"/>
  <c r="L769" i="7"/>
  <c r="Q670"/>
  <c r="O33" i="8" s="1"/>
  <c r="P769" i="7"/>
  <c r="K592" i="5"/>
  <c r="L90" i="6"/>
  <c r="L592" i="5"/>
  <c r="L594"/>
  <c r="P18" i="8" l="1"/>
  <c r="O7" s="1"/>
  <c r="P7" s="1"/>
  <c r="J16" i="1"/>
  <c r="K13" s="1"/>
  <c r="K5" s="1"/>
  <c r="L18" i="8"/>
  <c r="K7" s="1"/>
  <c r="L7" s="1"/>
  <c r="G16" i="1"/>
  <c r="H13" s="1"/>
  <c r="H5" s="1"/>
  <c r="Q769" i="7"/>
  <c r="Q785" s="1"/>
  <c r="O38" i="8" s="1"/>
  <c r="T243" i="7"/>
  <c r="I243"/>
  <c r="U243" s="1"/>
  <c r="M769"/>
  <c r="M785" s="1"/>
  <c r="K38" i="8" s="1"/>
  <c r="H24" i="20"/>
  <c r="I23"/>
  <c r="J5" i="1"/>
  <c r="J38"/>
  <c r="G38"/>
  <c r="G5"/>
  <c r="P33" i="8"/>
  <c r="L33"/>
  <c r="T769" i="7"/>
  <c r="I785"/>
  <c r="G38" i="8" s="1"/>
  <c r="I256" i="7" l="1"/>
  <c r="G18" i="8" s="1"/>
  <c r="G40" i="1"/>
  <c r="H36" s="1"/>
  <c r="H26" s="1"/>
  <c r="H4" s="1"/>
  <c r="L38" i="8"/>
  <c r="K24" s="1"/>
  <c r="L24" s="1"/>
  <c r="J40" i="1"/>
  <c r="K36" s="1"/>
  <c r="K26" s="1"/>
  <c r="K4" s="1"/>
  <c r="P38" i="8"/>
  <c r="O24" s="1"/>
  <c r="P24" s="1"/>
  <c r="O6" s="1"/>
  <c r="H25" i="20"/>
  <c r="H26" s="1"/>
  <c r="I24"/>
  <c r="J26" i="1"/>
  <c r="J4" s="1"/>
  <c r="G26"/>
  <c r="G4" s="1"/>
  <c r="D40"/>
  <c r="U256" i="7"/>
  <c r="U769"/>
  <c r="U785" s="1"/>
  <c r="H38" i="8"/>
  <c r="S38"/>
  <c r="U670" i="7"/>
  <c r="I670"/>
  <c r="G33" i="8" s="1"/>
  <c r="P6" l="1"/>
  <c r="I25" i="20"/>
  <c r="K6" i="8"/>
  <c r="L6" s="1"/>
  <c r="T38"/>
  <c r="D16" i="1"/>
  <c r="D38"/>
  <c r="H18" i="8"/>
  <c r="S18"/>
  <c r="H33"/>
  <c r="S33"/>
  <c r="I5" i="21" l="1"/>
  <c r="I12" s="1"/>
  <c r="O5" i="8"/>
  <c r="P5" s="1"/>
  <c r="P66" s="1"/>
  <c r="I26" i="20"/>
  <c r="H27"/>
  <c r="G5" i="21"/>
  <c r="G12" s="1"/>
  <c r="T33" i="8"/>
  <c r="T18"/>
  <c r="M36" i="1"/>
  <c r="N36" s="1"/>
  <c r="E36"/>
  <c r="E26" s="1"/>
  <c r="N26" s="1"/>
  <c r="D26"/>
  <c r="M26" s="1"/>
  <c r="M13"/>
  <c r="N13" s="1"/>
  <c r="E13"/>
  <c r="E5" s="1"/>
  <c r="D5"/>
  <c r="E11" i="20" l="1"/>
  <c r="F11" s="1"/>
  <c r="E8"/>
  <c r="E15" s="1"/>
  <c r="F15" s="1"/>
  <c r="I27"/>
  <c r="H28"/>
  <c r="D4" i="1"/>
  <c r="M4" s="1"/>
  <c r="Q5" s="1"/>
  <c r="M5"/>
  <c r="N5"/>
  <c r="E4"/>
  <c r="N4" s="1"/>
  <c r="Q6" s="1"/>
  <c r="N11" i="20" l="1"/>
  <c r="O11" s="1"/>
  <c r="F8"/>
  <c r="E17"/>
  <c r="N17" s="1"/>
  <c r="E14"/>
  <c r="F14" s="1"/>
  <c r="N8"/>
  <c r="O8" s="1"/>
  <c r="E9"/>
  <c r="E10" s="1"/>
  <c r="N15"/>
  <c r="H29"/>
  <c r="I28"/>
  <c r="E12" l="1"/>
  <c r="F12" s="1"/>
  <c r="O15"/>
  <c r="E14" i="29"/>
  <c r="F14" s="1"/>
  <c r="O17" i="20"/>
  <c r="E16" i="29"/>
  <c r="F16" s="1"/>
  <c r="N9" i="20"/>
  <c r="E16"/>
  <c r="N16" s="1"/>
  <c r="F17"/>
  <c r="F10"/>
  <c r="N10"/>
  <c r="O10" s="1"/>
  <c r="E13"/>
  <c r="F13" s="1"/>
  <c r="F9"/>
  <c r="N14"/>
  <c r="I29"/>
  <c r="I34" s="1"/>
  <c r="H32"/>
  <c r="I32" s="1"/>
  <c r="N12" l="1"/>
  <c r="E11" i="29" s="1"/>
  <c r="F11" s="1"/>
  <c r="O16" i="20"/>
  <c r="E15" i="29"/>
  <c r="F15" s="1"/>
  <c r="O14" i="20"/>
  <c r="E13" i="29"/>
  <c r="F13" s="1"/>
  <c r="O9" i="20"/>
  <c r="E10" i="29"/>
  <c r="F16" i="20"/>
  <c r="N13"/>
  <c r="O12" l="1"/>
  <c r="O13"/>
  <c r="E12" i="29"/>
  <c r="F12" s="1"/>
  <c r="F10"/>
  <c r="Q3" i="1"/>
  <c r="F15" i="23" l="1"/>
  <c r="H15" s="1"/>
  <c r="F24"/>
  <c r="H24" s="1"/>
  <c r="F33"/>
  <c r="H33" s="1"/>
  <c r="L265" i="24" l="1"/>
  <c r="L289"/>
  <c r="L273"/>
  <c r="L281"/>
  <c r="L297"/>
  <c r="L316" l="1"/>
  <c r="L329" l="1"/>
  <c r="L688"/>
  <c r="L697"/>
  <c r="L307" l="1"/>
  <c r="L678"/>
  <c r="L891"/>
  <c r="J273" l="1"/>
  <c r="K273" s="1"/>
  <c r="J265"/>
  <c r="I297"/>
  <c r="J297" s="1"/>
  <c r="K297" s="1"/>
  <c r="I289"/>
  <c r="J289" s="1"/>
  <c r="K289" s="1"/>
  <c r="J281"/>
  <c r="G449" l="1"/>
  <c r="H449" s="1"/>
  <c r="H42"/>
  <c r="G469"/>
  <c r="H469" s="1"/>
  <c r="L201"/>
  <c r="I27"/>
  <c r="J27" s="1"/>
  <c r="G889"/>
  <c r="H889" s="1"/>
  <c r="L214"/>
  <c r="L427"/>
  <c r="G558"/>
  <c r="H558" s="1"/>
  <c r="L880"/>
  <c r="L203"/>
  <c r="I24"/>
  <c r="J24" s="1"/>
  <c r="G419"/>
  <c r="H419" s="1"/>
  <c r="L246"/>
  <c r="H23"/>
  <c r="I668"/>
  <c r="J668" s="1"/>
  <c r="L417"/>
  <c r="H256"/>
  <c r="G367"/>
  <c r="H367" s="1"/>
  <c r="L222"/>
  <c r="G313"/>
  <c r="H313" s="1"/>
  <c r="I678"/>
  <c r="J678" s="1"/>
  <c r="L881"/>
  <c r="I890"/>
  <c r="J890" s="1"/>
  <c r="G905"/>
  <c r="H905" s="1"/>
  <c r="G610"/>
  <c r="H610" s="1"/>
  <c r="G511"/>
  <c r="H511" s="1"/>
  <c r="I398"/>
  <c r="J398" s="1"/>
  <c r="G778"/>
  <c r="H778" s="1"/>
  <c r="I468"/>
  <c r="J468" s="1"/>
  <c r="G510"/>
  <c r="H510" s="1"/>
  <c r="H225"/>
  <c r="G698"/>
  <c r="H698" s="1"/>
  <c r="I25"/>
  <c r="J25" s="1"/>
  <c r="G870"/>
  <c r="H870" s="1"/>
  <c r="I688"/>
  <c r="J688" s="1"/>
  <c r="L679"/>
  <c r="I223"/>
  <c r="J223" s="1"/>
  <c r="G26"/>
  <c r="H26" s="1"/>
  <c r="G534"/>
  <c r="H534" s="1"/>
  <c r="L347"/>
  <c r="L878"/>
  <c r="L480"/>
  <c r="I760"/>
  <c r="J760" s="1"/>
  <c r="J763" s="1"/>
  <c r="G102" i="23" s="1"/>
  <c r="G768" i="24"/>
  <c r="H768" s="1"/>
  <c r="I696"/>
  <c r="J696" s="1"/>
  <c r="L338"/>
  <c r="L898"/>
  <c r="I583"/>
  <c r="J583" s="1"/>
  <c r="I397"/>
  <c r="J397" s="1"/>
  <c r="G557"/>
  <c r="H557" s="1"/>
  <c r="L524"/>
  <c r="L862"/>
  <c r="G568"/>
  <c r="H568" s="1"/>
  <c r="G399"/>
  <c r="H399" s="1"/>
  <c r="I467"/>
  <c r="J467" s="1"/>
  <c r="L667"/>
  <c r="I596"/>
  <c r="J596" s="1"/>
  <c r="I744"/>
  <c r="J744" s="1"/>
  <c r="J747" s="1"/>
  <c r="G100" i="23" s="1"/>
  <c r="I728" i="24"/>
  <c r="J728" s="1"/>
  <c r="J731" s="1"/>
  <c r="G98" i="23" s="1"/>
  <c r="L264" i="24"/>
  <c r="G602"/>
  <c r="H602" s="1"/>
  <c r="L595"/>
  <c r="I720"/>
  <c r="J720" s="1"/>
  <c r="J723" s="1"/>
  <c r="G97" i="23" s="1"/>
  <c r="I304" i="24"/>
  <c r="J304" s="1"/>
  <c r="L852"/>
  <c r="G408"/>
  <c r="H408" s="1"/>
  <c r="G466"/>
  <c r="H466" s="1"/>
  <c r="L348"/>
  <c r="I369"/>
  <c r="J369" s="1"/>
  <c r="G634"/>
  <c r="H634" s="1"/>
  <c r="L213"/>
  <c r="L840"/>
  <c r="G821"/>
  <c r="H821" s="1"/>
  <c r="G687"/>
  <c r="H687" s="1"/>
  <c r="L572"/>
  <c r="I618"/>
  <c r="J618" s="1"/>
  <c r="J621" s="1"/>
  <c r="G85" i="23" s="1"/>
  <c r="H288" i="24"/>
  <c r="I328"/>
  <c r="J328" s="1"/>
  <c r="L202"/>
  <c r="H41"/>
  <c r="G686"/>
  <c r="H686" s="1"/>
  <c r="G43"/>
  <c r="H43" s="1"/>
  <c r="G658"/>
  <c r="H658" s="1"/>
  <c r="I409"/>
  <c r="J409" s="1"/>
  <c r="I676"/>
  <c r="J676" s="1"/>
  <c r="G789"/>
  <c r="H789" s="1"/>
  <c r="I451"/>
  <c r="J451" s="1"/>
  <c r="L247"/>
  <c r="I523"/>
  <c r="J523" s="1"/>
  <c r="I569"/>
  <c r="J569" s="1"/>
  <c r="I489"/>
  <c r="J489" s="1"/>
  <c r="G752"/>
  <c r="H752" s="1"/>
  <c r="L282"/>
  <c r="L459"/>
  <c r="H40"/>
  <c r="G450"/>
  <c r="H450" s="1"/>
  <c r="L389"/>
  <c r="H236"/>
  <c r="L306"/>
  <c r="H200"/>
  <c r="L760"/>
  <c r="G862"/>
  <c r="H862" s="1"/>
  <c r="I829"/>
  <c r="J829" s="1"/>
  <c r="I198"/>
  <c r="J198" s="1"/>
  <c r="I851"/>
  <c r="J851" s="1"/>
  <c r="G369"/>
  <c r="H369" s="1"/>
  <c r="L198"/>
  <c r="I314"/>
  <c r="J314" s="1"/>
  <c r="K314" s="1"/>
  <c r="H27"/>
  <c r="K27" s="1"/>
  <c r="L736"/>
  <c r="L184"/>
  <c r="G409"/>
  <c r="H409" s="1"/>
  <c r="K409" s="1"/>
  <c r="L328"/>
  <c r="G417"/>
  <c r="H417" s="1"/>
  <c r="L10"/>
  <c r="I459"/>
  <c r="J459" s="1"/>
  <c r="J461" s="1"/>
  <c r="G70" i="23" s="1"/>
  <c r="I407" i="24"/>
  <c r="J407" s="1"/>
  <c r="I272"/>
  <c r="J272" s="1"/>
  <c r="H214"/>
  <c r="I862"/>
  <c r="J862" s="1"/>
  <c r="J865" s="1"/>
  <c r="G113" i="23" s="1"/>
  <c r="G479" i="24"/>
  <c r="H479" s="1"/>
  <c r="L349"/>
  <c r="I9"/>
  <c r="J9" s="1"/>
  <c r="L290"/>
  <c r="I418"/>
  <c r="J418" s="1"/>
  <c r="H202"/>
  <c r="L889"/>
  <c r="I698"/>
  <c r="J698" s="1"/>
  <c r="I533"/>
  <c r="J533" s="1"/>
  <c r="H266"/>
  <c r="G851"/>
  <c r="H851" s="1"/>
  <c r="L778"/>
  <c r="I534"/>
  <c r="J534" s="1"/>
  <c r="I736"/>
  <c r="J736" s="1"/>
  <c r="J739" s="1"/>
  <c r="G99" i="23" s="1"/>
  <c r="G650" i="24"/>
  <c r="H650" s="1"/>
  <c r="I697"/>
  <c r="J697" s="1"/>
  <c r="G379"/>
  <c r="H379" s="1"/>
  <c r="I336"/>
  <c r="J336" s="1"/>
  <c r="L330"/>
  <c r="L440"/>
  <c r="I438"/>
  <c r="J438" s="1"/>
  <c r="I557"/>
  <c r="J557" s="1"/>
  <c r="L378"/>
  <c r="I359"/>
  <c r="J359" s="1"/>
  <c r="G720"/>
  <c r="H720" s="1"/>
  <c r="G572"/>
  <c r="H572" s="1"/>
  <c r="G522"/>
  <c r="H522" s="1"/>
  <c r="I288"/>
  <c r="J288" s="1"/>
  <c r="I203"/>
  <c r="J203" s="1"/>
  <c r="L23"/>
  <c r="L626"/>
  <c r="L42"/>
  <c r="G696"/>
  <c r="H696" s="1"/>
  <c r="I408"/>
  <c r="J408" s="1"/>
  <c r="K408" s="1"/>
  <c r="G388"/>
  <c r="H388" s="1"/>
  <c r="L698"/>
  <c r="G878"/>
  <c r="H878" s="1"/>
  <c r="I510"/>
  <c r="J510" s="1"/>
  <c r="I870"/>
  <c r="J870" s="1"/>
  <c r="J873" s="1"/>
  <c r="G114" i="23" s="1"/>
  <c r="G296" i="24"/>
  <c r="H296" s="1"/>
  <c r="L805"/>
  <c r="I830"/>
  <c r="J830" s="1"/>
  <c r="I568"/>
  <c r="J568" s="1"/>
  <c r="I367"/>
  <c r="J367" s="1"/>
  <c r="L450"/>
  <c r="L359"/>
  <c r="L543"/>
  <c r="I306"/>
  <c r="J306" s="1"/>
  <c r="K306" s="1"/>
  <c r="L409"/>
  <c r="I184"/>
  <c r="J184" s="1"/>
  <c r="J189" s="1"/>
  <c r="G42" i="23" s="1"/>
  <c r="L728" i="24"/>
  <c r="I712"/>
  <c r="J712" s="1"/>
  <c r="J715" s="1"/>
  <c r="G96" i="23" s="1"/>
  <c r="H199" i="24"/>
  <c r="L280"/>
  <c r="J282"/>
  <c r="K282" s="1"/>
  <c r="L533"/>
  <c r="I841"/>
  <c r="J841" s="1"/>
  <c r="L892"/>
  <c r="G468"/>
  <c r="H468" s="1"/>
  <c r="K468" s="1"/>
  <c r="G337"/>
  <c r="H337" s="1"/>
  <c r="I329"/>
  <c r="J329" s="1"/>
  <c r="K329" s="1"/>
  <c r="I200"/>
  <c r="J200" s="1"/>
  <c r="I642"/>
  <c r="J642" s="1"/>
  <c r="J645" s="1"/>
  <c r="G88" i="23" s="1"/>
  <c r="I307" i="24"/>
  <c r="J307" s="1"/>
  <c r="K307" s="1"/>
  <c r="I572"/>
  <c r="J572" s="1"/>
  <c r="K572" s="1"/>
  <c r="G358"/>
  <c r="H358" s="1"/>
  <c r="I906"/>
  <c r="J906" s="1"/>
  <c r="I595"/>
  <c r="J595" s="1"/>
  <c r="I511"/>
  <c r="J511" s="1"/>
  <c r="L489"/>
  <c r="L199"/>
  <c r="L399"/>
  <c r="L225"/>
  <c r="H198"/>
  <c r="G570"/>
  <c r="H570" s="1"/>
  <c r="L429"/>
  <c r="L419"/>
  <c r="L40"/>
  <c r="I547"/>
  <c r="J547" s="1"/>
  <c r="I199"/>
  <c r="J199" s="1"/>
  <c r="I594"/>
  <c r="J594" s="1"/>
  <c r="L594"/>
  <c r="L479"/>
  <c r="L26"/>
  <c r="I889"/>
  <c r="J889" s="1"/>
  <c r="G328"/>
  <c r="H328" s="1"/>
  <c r="G813"/>
  <c r="H813" s="1"/>
  <c r="L377"/>
  <c r="H235"/>
  <c r="L491"/>
  <c r="L851"/>
  <c r="I439"/>
  <c r="J439" s="1"/>
  <c r="L521"/>
  <c r="I891"/>
  <c r="J891" s="1"/>
  <c r="G347"/>
  <c r="H347" s="1"/>
  <c r="L237"/>
  <c r="I524"/>
  <c r="J524" s="1"/>
  <c r="G349"/>
  <c r="H349" s="1"/>
  <c r="L490"/>
  <c r="L296"/>
  <c r="I558"/>
  <c r="J558" s="1"/>
  <c r="L696"/>
  <c r="I667"/>
  <c r="J667" s="1"/>
  <c r="L368"/>
  <c r="G439"/>
  <c r="H439" s="1"/>
  <c r="L418"/>
  <c r="L8"/>
  <c r="L573"/>
  <c r="I330"/>
  <c r="J330" s="1"/>
  <c r="K330" s="1"/>
  <c r="G304"/>
  <c r="H304" s="1"/>
  <c r="H308" s="1"/>
  <c r="F54" i="23" s="1"/>
  <c r="L469" i="24"/>
  <c r="I573"/>
  <c r="J573" s="1"/>
  <c r="G533"/>
  <c r="H533" s="1"/>
  <c r="G490"/>
  <c r="H490" s="1"/>
  <c r="I298"/>
  <c r="J298" s="1"/>
  <c r="K298" s="1"/>
  <c r="L397"/>
  <c r="I813"/>
  <c r="J813" s="1"/>
  <c r="J816" s="1"/>
  <c r="G108" i="23" s="1"/>
  <c r="I348" i="24"/>
  <c r="J348" s="1"/>
  <c r="I659"/>
  <c r="J659" s="1"/>
  <c r="L369"/>
  <c r="G512"/>
  <c r="H512" s="1"/>
  <c r="I658"/>
  <c r="J658" s="1"/>
  <c r="L634"/>
  <c r="I905"/>
  <c r="J905" s="1"/>
  <c r="G736"/>
  <c r="H736" s="1"/>
  <c r="I512"/>
  <c r="J512" s="1"/>
  <c r="H25"/>
  <c r="K25" s="1"/>
  <c r="G675"/>
  <c r="H675" s="1"/>
  <c r="L879"/>
  <c r="G830"/>
  <c r="H830" s="1"/>
  <c r="K830" s="1"/>
  <c r="I237"/>
  <c r="J237" s="1"/>
  <c r="G548"/>
  <c r="H548" s="1"/>
  <c r="G368"/>
  <c r="H368" s="1"/>
  <c r="L547"/>
  <c r="I224"/>
  <c r="J224" s="1"/>
  <c r="I23"/>
  <c r="J23" s="1"/>
  <c r="L779"/>
  <c r="L449"/>
  <c r="G389"/>
  <c r="H389" s="1"/>
  <c r="G407"/>
  <c r="H407" s="1"/>
  <c r="J266"/>
  <c r="G898"/>
  <c r="H898" s="1"/>
  <c r="I769"/>
  <c r="J769" s="1"/>
  <c r="L687"/>
  <c r="L466"/>
  <c r="G509"/>
  <c r="H509" s="1"/>
  <c r="I466"/>
  <c r="J466" s="1"/>
  <c r="I779"/>
  <c r="J779" s="1"/>
  <c r="I687"/>
  <c r="J687" s="1"/>
  <c r="K687" s="1"/>
  <c r="I898"/>
  <c r="J898" s="1"/>
  <c r="J900" s="1"/>
  <c r="G117" i="23" s="1"/>
  <c r="L830" i="24"/>
  <c r="H247"/>
  <c r="L367"/>
  <c r="I675"/>
  <c r="J675" s="1"/>
  <c r="I264"/>
  <c r="J264" s="1"/>
  <c r="G338"/>
  <c r="H338" s="1"/>
  <c r="G879"/>
  <c r="H879" s="1"/>
  <c r="H201"/>
  <c r="L313"/>
  <c r="G429"/>
  <c r="H429" s="1"/>
  <c r="I821"/>
  <c r="J821" s="1"/>
  <c r="J824" s="1"/>
  <c r="G109" i="23" s="1"/>
  <c r="G521" i="24"/>
  <c r="H521" s="1"/>
  <c r="H9"/>
  <c r="L428"/>
  <c r="G547"/>
  <c r="H547" s="1"/>
  <c r="J274"/>
  <c r="K274" s="1"/>
  <c r="I427"/>
  <c r="J427" s="1"/>
  <c r="G491"/>
  <c r="H491" s="1"/>
  <c r="L438"/>
  <c r="I778"/>
  <c r="J778" s="1"/>
  <c r="G489"/>
  <c r="H489" s="1"/>
  <c r="L509"/>
  <c r="I548"/>
  <c r="J548" s="1"/>
  <c r="L659"/>
  <c r="L15"/>
  <c r="G892"/>
  <c r="H892" s="1"/>
  <c r="L388"/>
  <c r="I225"/>
  <c r="J225" s="1"/>
  <c r="G585"/>
  <c r="H585" s="1"/>
  <c r="L7"/>
  <c r="I296"/>
  <c r="J296" s="1"/>
  <c r="J299" s="1"/>
  <c r="G53" i="23" s="1"/>
  <c r="L813" i="24"/>
  <c r="I428"/>
  <c r="J428" s="1"/>
  <c r="G769"/>
  <c r="H769" s="1"/>
  <c r="G805"/>
  <c r="H805" s="1"/>
  <c r="H280"/>
  <c r="I388"/>
  <c r="J388" s="1"/>
  <c r="I7"/>
  <c r="J7" s="1"/>
  <c r="L676"/>
  <c r="L512"/>
  <c r="G559"/>
  <c r="H559" s="1"/>
  <c r="I585"/>
  <c r="J585" s="1"/>
  <c r="G642"/>
  <c r="H642" s="1"/>
  <c r="L511"/>
  <c r="I879"/>
  <c r="J879" s="1"/>
  <c r="G626"/>
  <c r="H626" s="1"/>
  <c r="I280"/>
  <c r="J280" s="1"/>
  <c r="G543"/>
  <c r="H543" s="1"/>
  <c r="I650"/>
  <c r="J650" s="1"/>
  <c r="J653" s="1"/>
  <c r="G89" i="23" s="1"/>
  <c r="I41" i="24"/>
  <c r="J41" s="1"/>
  <c r="L305"/>
  <c r="L821"/>
  <c r="L610"/>
  <c r="I491"/>
  <c r="J491" s="1"/>
  <c r="L467"/>
  <c r="G459"/>
  <c r="H459" s="1"/>
  <c r="L379"/>
  <c r="I358"/>
  <c r="J358" s="1"/>
  <c r="J362" s="1"/>
  <c r="G60" i="23" s="1"/>
  <c r="I559" i="24"/>
  <c r="J559" s="1"/>
  <c r="G427"/>
  <c r="H427" s="1"/>
  <c r="G523"/>
  <c r="H523" s="1"/>
  <c r="K523" s="1"/>
  <c r="L596"/>
  <c r="G840"/>
  <c r="H840" s="1"/>
  <c r="I480"/>
  <c r="J480" s="1"/>
  <c r="G398"/>
  <c r="H398" s="1"/>
  <c r="K398" s="1"/>
  <c r="I349"/>
  <c r="J349" s="1"/>
  <c r="L570"/>
  <c r="G667"/>
  <c r="H667" s="1"/>
  <c r="L650"/>
  <c r="L451"/>
  <c r="G797"/>
  <c r="H797" s="1"/>
  <c r="I789"/>
  <c r="J789" s="1"/>
  <c r="J792" s="1"/>
  <c r="G105" i="23" s="1"/>
  <c r="L408" i="24"/>
  <c r="G387"/>
  <c r="H387" s="1"/>
  <c r="I222"/>
  <c r="J222" s="1"/>
  <c r="J230" s="1"/>
  <c r="G45" i="23" s="1"/>
  <c r="I229" i="24" s="1"/>
  <c r="J229" s="1"/>
  <c r="G397"/>
  <c r="H397" s="1"/>
  <c r="L236"/>
  <c r="L266"/>
  <c r="I387"/>
  <c r="J387" s="1"/>
  <c r="I704"/>
  <c r="J704" s="1"/>
  <c r="J707" s="1"/>
  <c r="G95" i="23" s="1"/>
  <c r="L789" i="24"/>
  <c r="L704"/>
  <c r="L744"/>
  <c r="I450"/>
  <c r="J450" s="1"/>
  <c r="I202"/>
  <c r="J202" s="1"/>
  <c r="L769"/>
  <c r="I509"/>
  <c r="J509" s="1"/>
  <c r="I347"/>
  <c r="J347" s="1"/>
  <c r="L27"/>
  <c r="I521"/>
  <c r="J521" s="1"/>
  <c r="G556"/>
  <c r="H556" s="1"/>
  <c r="G359"/>
  <c r="H359" s="1"/>
  <c r="K359" s="1"/>
  <c r="L336"/>
  <c r="L314"/>
  <c r="G595"/>
  <c r="H595" s="1"/>
  <c r="I610"/>
  <c r="J610" s="1"/>
  <c r="J613" s="1"/>
  <c r="G84" i="23" s="1"/>
  <c r="G744" i="24"/>
  <c r="H744" s="1"/>
  <c r="L337"/>
  <c r="G712"/>
  <c r="H712" s="1"/>
  <c r="L870"/>
  <c r="I338"/>
  <c r="J338" s="1"/>
  <c r="L689"/>
  <c r="I490"/>
  <c r="J490" s="1"/>
  <c r="I417"/>
  <c r="J417" s="1"/>
  <c r="L752"/>
  <c r="G852"/>
  <c r="H852" s="1"/>
  <c r="H213"/>
  <c r="H8"/>
  <c r="L602"/>
  <c r="I419"/>
  <c r="J419" s="1"/>
  <c r="L720"/>
  <c r="G10"/>
  <c r="H10" s="1"/>
  <c r="L41"/>
  <c r="H272"/>
  <c r="I368"/>
  <c r="J368" s="1"/>
  <c r="L557"/>
  <c r="I852"/>
  <c r="J852" s="1"/>
  <c r="I797"/>
  <c r="J797" s="1"/>
  <c r="J800" s="1"/>
  <c r="G106" i="23" s="1"/>
  <c r="I695" i="24"/>
  <c r="J695" s="1"/>
  <c r="G584"/>
  <c r="H584" s="1"/>
  <c r="G583"/>
  <c r="H583" s="1"/>
  <c r="G480"/>
  <c r="H480" s="1"/>
  <c r="I686"/>
  <c r="J686" s="1"/>
  <c r="I42"/>
  <c r="J42" s="1"/>
  <c r="I378"/>
  <c r="J378" s="1"/>
  <c r="G418"/>
  <c r="H418" s="1"/>
  <c r="K418" s="1"/>
  <c r="L304"/>
  <c r="G677"/>
  <c r="H677" s="1"/>
  <c r="I570"/>
  <c r="J570" s="1"/>
  <c r="I315"/>
  <c r="J315" s="1"/>
  <c r="K315" s="1"/>
  <c r="H222"/>
  <c r="L315"/>
  <c r="I449"/>
  <c r="J449" s="1"/>
  <c r="J454" s="1"/>
  <c r="G69" i="23" s="1"/>
  <c r="L642" i="24"/>
  <c r="H203"/>
  <c r="K203" s="1"/>
  <c r="L468"/>
  <c r="G569"/>
  <c r="H569" s="1"/>
  <c r="K569" s="1"/>
  <c r="I379"/>
  <c r="J379" s="1"/>
  <c r="I337"/>
  <c r="J337" s="1"/>
  <c r="L829"/>
  <c r="I256"/>
  <c r="J256" s="1"/>
  <c r="J259" s="1"/>
  <c r="G48" i="23" s="1"/>
  <c r="G890" i="24"/>
  <c r="H890" s="1"/>
  <c r="K890" s="1"/>
  <c r="G728"/>
  <c r="H728" s="1"/>
  <c r="G440"/>
  <c r="H440" s="1"/>
  <c r="I236"/>
  <c r="J236" s="1"/>
  <c r="I8"/>
  <c r="J8" s="1"/>
  <c r="I377"/>
  <c r="J377" s="1"/>
  <c r="L668"/>
  <c r="L398"/>
  <c r="I290"/>
  <c r="J290" s="1"/>
  <c r="K290" s="1"/>
  <c r="L797"/>
  <c r="G668"/>
  <c r="H668" s="1"/>
  <c r="K668" s="1"/>
  <c r="I305"/>
  <c r="J305" s="1"/>
  <c r="L695"/>
  <c r="G695"/>
  <c r="H695" s="1"/>
  <c r="L387"/>
  <c r="G524"/>
  <c r="H524" s="1"/>
  <c r="G829"/>
  <c r="H829" s="1"/>
  <c r="G428"/>
  <c r="H428" s="1"/>
  <c r="L25"/>
  <c r="G906"/>
  <c r="H906" s="1"/>
  <c r="L841"/>
  <c r="I479"/>
  <c r="J479" s="1"/>
  <c r="L906"/>
  <c r="I429"/>
  <c r="J429" s="1"/>
  <c r="G676"/>
  <c r="H676" s="1"/>
  <c r="K676" s="1"/>
  <c r="L235"/>
  <c r="G378"/>
  <c r="H378" s="1"/>
  <c r="L677"/>
  <c r="L43"/>
  <c r="L905"/>
  <c r="I389"/>
  <c r="J389" s="1"/>
  <c r="I313"/>
  <c r="J313" s="1"/>
  <c r="H264"/>
  <c r="L568"/>
  <c r="G618"/>
  <c r="H618" s="1"/>
  <c r="G336"/>
  <c r="H336" s="1"/>
  <c r="G571"/>
  <c r="H571" s="1"/>
  <c r="H246"/>
  <c r="I584"/>
  <c r="J584" s="1"/>
  <c r="I213"/>
  <c r="J213" s="1"/>
  <c r="H24"/>
  <c r="K24" s="1"/>
  <c r="L583"/>
  <c r="I399"/>
  <c r="J399" s="1"/>
  <c r="K399" s="1"/>
  <c r="L675"/>
  <c r="L407"/>
  <c r="L224"/>
  <c r="I201"/>
  <c r="J201" s="1"/>
  <c r="I43"/>
  <c r="J43" s="1"/>
  <c r="L686"/>
  <c r="L288"/>
  <c r="L768"/>
  <c r="L890"/>
  <c r="I10"/>
  <c r="J10" s="1"/>
  <c r="L548"/>
  <c r="L658"/>
  <c r="G348"/>
  <c r="H348" s="1"/>
  <c r="K348" s="1"/>
  <c r="I892"/>
  <c r="J892" s="1"/>
  <c r="L559"/>
  <c r="G659"/>
  <c r="H659" s="1"/>
  <c r="K659" s="1"/>
  <c r="H224"/>
  <c r="K224" s="1"/>
  <c r="I880"/>
  <c r="J880" s="1"/>
  <c r="I881"/>
  <c r="J881" s="1"/>
  <c r="G451"/>
  <c r="H451" s="1"/>
  <c r="K451" s="1"/>
  <c r="I626"/>
  <c r="J626" s="1"/>
  <c r="J629" s="1"/>
  <c r="G86" i="23" s="1"/>
  <c r="G841" i="24"/>
  <c r="H841" s="1"/>
  <c r="K841" s="1"/>
  <c r="G467"/>
  <c r="H467" s="1"/>
  <c r="K467" s="1"/>
  <c r="I677"/>
  <c r="J677" s="1"/>
  <c r="I522"/>
  <c r="J522" s="1"/>
  <c r="L510"/>
  <c r="I602"/>
  <c r="J602" s="1"/>
  <c r="J605" s="1"/>
  <c r="G83" i="23" s="1"/>
  <c r="L274" i="24"/>
  <c r="I214"/>
  <c r="J214" s="1"/>
  <c r="G760"/>
  <c r="H760" s="1"/>
  <c r="I556"/>
  <c r="J556" s="1"/>
  <c r="J563" s="1"/>
  <c r="L584"/>
  <c r="G573"/>
  <c r="H573" s="1"/>
  <c r="K573" s="1"/>
  <c r="I40"/>
  <c r="J40" s="1"/>
  <c r="L439"/>
  <c r="G679"/>
  <c r="H679" s="1"/>
  <c r="L585"/>
  <c r="I689"/>
  <c r="J689" s="1"/>
  <c r="I571"/>
  <c r="J571" s="1"/>
  <c r="L522"/>
  <c r="I246"/>
  <c r="J246" s="1"/>
  <c r="I805"/>
  <c r="J805" s="1"/>
  <c r="J808" s="1"/>
  <c r="G107" i="23" s="1"/>
  <c r="I440" i="24"/>
  <c r="J440" s="1"/>
  <c r="H184"/>
  <c r="I840"/>
  <c r="J840" s="1"/>
  <c r="J846" s="1"/>
  <c r="G111" i="23" s="1"/>
  <c r="I768" i="24"/>
  <c r="J768" s="1"/>
  <c r="J773" s="1"/>
  <c r="G103" i="23" s="1"/>
  <c r="H223" i="24"/>
  <c r="K223" s="1"/>
  <c r="L358"/>
  <c r="L618"/>
  <c r="G704"/>
  <c r="H704" s="1"/>
  <c r="L272"/>
  <c r="L256"/>
  <c r="L569"/>
  <c r="I26"/>
  <c r="J26" s="1"/>
  <c r="L556"/>
  <c r="L223"/>
  <c r="L523"/>
  <c r="L558"/>
  <c r="L298"/>
  <c r="L712"/>
  <c r="G779"/>
  <c r="H779" s="1"/>
  <c r="K779" s="1"/>
  <c r="G689"/>
  <c r="H689" s="1"/>
  <c r="K689" s="1"/>
  <c r="I247"/>
  <c r="J247" s="1"/>
  <c r="L534"/>
  <c r="I679"/>
  <c r="J679" s="1"/>
  <c r="I469"/>
  <c r="J469" s="1"/>
  <c r="K469" s="1"/>
  <c r="I634"/>
  <c r="J634" s="1"/>
  <c r="J637" s="1"/>
  <c r="G87" i="23" s="1"/>
  <c r="I235" i="24"/>
  <c r="J235" s="1"/>
  <c r="H237"/>
  <c r="K237" s="1"/>
  <c r="G377"/>
  <c r="H377" s="1"/>
  <c r="G438"/>
  <c r="H438" s="1"/>
  <c r="I752"/>
  <c r="J752" s="1"/>
  <c r="J755" s="1"/>
  <c r="G101" i="23" s="1"/>
  <c r="I543" i="24"/>
  <c r="J543" s="1"/>
  <c r="J551" s="1"/>
  <c r="L24"/>
  <c r="L200"/>
  <c r="L571"/>
  <c r="L9"/>
  <c r="J283"/>
  <c r="G51" i="23" s="1"/>
  <c r="K281" i="24"/>
  <c r="I316"/>
  <c r="J316" s="1"/>
  <c r="K316" s="1"/>
  <c r="G596"/>
  <c r="H596" s="1"/>
  <c r="I878"/>
  <c r="J878" s="1"/>
  <c r="G52" i="23"/>
  <c r="G881" i="24"/>
  <c r="H881" s="1"/>
  <c r="K378" l="1"/>
  <c r="K202"/>
  <c r="J241"/>
  <c r="G46" i="23" s="1"/>
  <c r="K769" i="24"/>
  <c r="K512"/>
  <c r="J412"/>
  <c r="G65" i="23" s="1"/>
  <c r="J484" i="24"/>
  <c r="G72" i="23" s="1"/>
  <c r="K510" i="24"/>
  <c r="J267"/>
  <c r="G49" i="23" s="1"/>
  <c r="K337" i="24"/>
  <c r="J372"/>
  <c r="G61" i="23" s="1"/>
  <c r="K559" i="24"/>
  <c r="J784"/>
  <c r="G104" i="23" s="1"/>
  <c r="K570" i="24"/>
  <c r="J662"/>
  <c r="G90" i="23" s="1"/>
  <c r="K490" i="24"/>
  <c r="K349"/>
  <c r="K892"/>
  <c r="K439"/>
  <c r="J352"/>
  <c r="G59" i="23" s="1"/>
  <c r="J496" i="24"/>
  <c r="J516"/>
  <c r="G515" s="1"/>
  <c r="H515" s="1"/>
  <c r="J670"/>
  <c r="G91" i="23" s="1"/>
  <c r="H291" i="24"/>
  <c r="K288"/>
  <c r="K568"/>
  <c r="G576"/>
  <c r="H576" s="1"/>
  <c r="K576" s="1"/>
  <c r="K23"/>
  <c r="H763"/>
  <c r="F102" i="23" s="1"/>
  <c r="H102" s="1"/>
  <c r="K760" i="24"/>
  <c r="K763" s="1"/>
  <c r="H731"/>
  <c r="F98" i="23" s="1"/>
  <c r="K728" i="24"/>
  <c r="K731" s="1"/>
  <c r="G495"/>
  <c r="H495" s="1"/>
  <c r="K495" s="1"/>
  <c r="G73" i="23"/>
  <c r="K521" i="24"/>
  <c r="K509"/>
  <c r="K878"/>
  <c r="K862"/>
  <c r="K865" s="1"/>
  <c r="H865"/>
  <c r="F113" i="23" s="1"/>
  <c r="H113" s="1"/>
  <c r="H792" i="24"/>
  <c r="F105" i="23" s="1"/>
  <c r="K789" i="24"/>
  <c r="K792" s="1"/>
  <c r="H637"/>
  <c r="F87" i="23" s="1"/>
  <c r="K634" i="24"/>
  <c r="K637" s="1"/>
  <c r="K449"/>
  <c r="H454"/>
  <c r="F69" i="23" s="1"/>
  <c r="H69" s="1"/>
  <c r="K26" i="24"/>
  <c r="K428"/>
  <c r="J699"/>
  <c r="G94" i="23" s="1"/>
  <c r="J681" i="24"/>
  <c r="G92" i="23" s="1"/>
  <c r="K595" i="24"/>
  <c r="K199"/>
  <c r="J443"/>
  <c r="G68" i="23" s="1"/>
  <c r="J275" i="24"/>
  <c r="G50" i="23" s="1"/>
  <c r="J331" i="24"/>
  <c r="G57" i="23" s="1"/>
  <c r="K534" i="24"/>
  <c r="K225"/>
  <c r="K558"/>
  <c r="K829"/>
  <c r="K835" s="1"/>
  <c r="H835"/>
  <c r="F110" i="23" s="1"/>
  <c r="H382" i="24"/>
  <c r="F62" i="23" s="1"/>
  <c r="K377" i="24"/>
  <c r="G562"/>
  <c r="H562" s="1"/>
  <c r="K562" s="1"/>
  <c r="G79" i="23"/>
  <c r="H621" i="24"/>
  <c r="F85" i="23" s="1"/>
  <c r="K618" i="24"/>
  <c r="K621" s="1"/>
  <c r="K387"/>
  <c r="H392"/>
  <c r="F63" i="23" s="1"/>
  <c r="K489" i="24"/>
  <c r="H496"/>
  <c r="F73" i="23" s="1"/>
  <c r="K40" i="24"/>
  <c r="H909"/>
  <c r="F118" i="23" s="1"/>
  <c r="K905" i="24"/>
  <c r="K440"/>
  <c r="K677"/>
  <c r="K584"/>
  <c r="K10"/>
  <c r="J422"/>
  <c r="G66" i="23" s="1"/>
  <c r="G594" i="24"/>
  <c r="H594" s="1"/>
  <c r="J474"/>
  <c r="K389"/>
  <c r="J909"/>
  <c r="G118" i="23" s="1"/>
  <c r="J893" i="24"/>
  <c r="G116" i="23" s="1"/>
  <c r="K214" i="24"/>
  <c r="J835"/>
  <c r="G110" i="23" s="1"/>
  <c r="K698" i="24"/>
  <c r="K42"/>
  <c r="G545"/>
  <c r="H545" s="1"/>
  <c r="K545" s="1"/>
  <c r="K543"/>
  <c r="K602"/>
  <c r="H605"/>
  <c r="K438"/>
  <c r="H443"/>
  <c r="F68" i="23" s="1"/>
  <c r="K336" i="24"/>
  <c r="J308"/>
  <c r="G54" i="23" s="1"/>
  <c r="H54" s="1"/>
  <c r="K305" i="24"/>
  <c r="K583"/>
  <c r="K744"/>
  <c r="K747" s="1"/>
  <c r="H747"/>
  <c r="F100" i="23" s="1"/>
  <c r="H645" i="24"/>
  <c r="F88" i="23" s="1"/>
  <c r="K642" i="24"/>
  <c r="K645" s="1"/>
  <c r="H808"/>
  <c r="F107" i="23" s="1"/>
  <c r="K805" i="24"/>
  <c r="K808" s="1"/>
  <c r="K407"/>
  <c r="H412"/>
  <c r="H739"/>
  <c r="F99" i="23" s="1"/>
  <c r="K736" i="24"/>
  <c r="K739" s="1"/>
  <c r="H331"/>
  <c r="F57" i="23" s="1"/>
  <c r="K328" i="24"/>
  <c r="K331" s="1"/>
  <c r="K650"/>
  <c r="K653" s="1"/>
  <c r="H653"/>
  <c r="F89" i="23" s="1"/>
  <c r="K610" i="24"/>
  <c r="K613" s="1"/>
  <c r="H613"/>
  <c r="F84" i="23" s="1"/>
  <c r="G258" i="24"/>
  <c r="H258" s="1"/>
  <c r="H259" s="1"/>
  <c r="K256"/>
  <c r="K906"/>
  <c r="K585"/>
  <c r="K338"/>
  <c r="K548"/>
  <c r="K450"/>
  <c r="K41"/>
  <c r="K304"/>
  <c r="J589"/>
  <c r="H275"/>
  <c r="K272"/>
  <c r="K397"/>
  <c r="K402" s="1"/>
  <c r="H402"/>
  <c r="F64" i="23" s="1"/>
  <c r="H670" i="24"/>
  <c r="F91" i="23" s="1"/>
  <c r="K667" i="24"/>
  <c r="K670" s="1"/>
  <c r="H432"/>
  <c r="F67" i="23" s="1"/>
  <c r="K427" i="24"/>
  <c r="K280"/>
  <c r="H283"/>
  <c r="K813"/>
  <c r="K816" s="1"/>
  <c r="H816"/>
  <c r="F108" i="23" s="1"/>
  <c r="H299" i="24"/>
  <c r="K296"/>
  <c r="K479"/>
  <c r="H484"/>
  <c r="F72" i="23" s="1"/>
  <c r="K686" i="24"/>
  <c r="H824"/>
  <c r="F109" i="23" s="1"/>
  <c r="H109" s="1"/>
  <c r="K821" i="24"/>
  <c r="K824" s="1"/>
  <c r="H873"/>
  <c r="F114" i="23" s="1"/>
  <c r="K870" i="24"/>
  <c r="K873" s="1"/>
  <c r="K367"/>
  <c r="H372"/>
  <c r="F61" i="23" s="1"/>
  <c r="J291" i="24"/>
  <c r="J251"/>
  <c r="K571"/>
  <c r="K480"/>
  <c r="K852"/>
  <c r="J528"/>
  <c r="K879"/>
  <c r="K368"/>
  <c r="K547"/>
  <c r="J857"/>
  <c r="G112" i="23" s="1"/>
  <c r="K596" i="24"/>
  <c r="J402"/>
  <c r="G64" i="23" s="1"/>
  <c r="K511" i="24"/>
  <c r="K459"/>
  <c r="H461"/>
  <c r="G546"/>
  <c r="H546" s="1"/>
  <c r="K546" s="1"/>
  <c r="G78" i="23"/>
  <c r="H707" i="24"/>
  <c r="F95" i="23" s="1"/>
  <c r="K704" i="24"/>
  <c r="K707" s="1"/>
  <c r="K695"/>
  <c r="G228"/>
  <c r="H228" s="1"/>
  <c r="H230" s="1"/>
  <c r="K222"/>
  <c r="K213"/>
  <c r="K712"/>
  <c r="K715" s="1"/>
  <c r="H715"/>
  <c r="F96" i="23" s="1"/>
  <c r="K556" i="24"/>
  <c r="H563"/>
  <c r="F79" i="23" s="1"/>
  <c r="K898" i="24"/>
  <c r="H352"/>
  <c r="K347"/>
  <c r="K720"/>
  <c r="K723" s="1"/>
  <c r="H723"/>
  <c r="F97" i="23" s="1"/>
  <c r="H422" i="24"/>
  <c r="K417"/>
  <c r="J50"/>
  <c r="G880"/>
  <c r="H880" s="1"/>
  <c r="H884" s="1"/>
  <c r="F115" i="23" s="1"/>
  <c r="J382" i="24"/>
  <c r="G62" i="23" s="1"/>
  <c r="J690" i="24"/>
  <c r="G93" i="23" s="1"/>
  <c r="J884" i="24"/>
  <c r="G115" i="23" s="1"/>
  <c r="J392" i="24"/>
  <c r="G63" i="23" s="1"/>
  <c r="K201" i="24"/>
  <c r="J208"/>
  <c r="K696"/>
  <c r="K379"/>
  <c r="J538"/>
  <c r="K369"/>
  <c r="K236"/>
  <c r="K43"/>
  <c r="K557"/>
  <c r="K419"/>
  <c r="K264"/>
  <c r="K246"/>
  <c r="K626"/>
  <c r="K629" s="1"/>
  <c r="H629"/>
  <c r="F86" i="23" s="1"/>
  <c r="K7" i="24"/>
  <c r="J17"/>
  <c r="K675"/>
  <c r="K235"/>
  <c r="H362"/>
  <c r="K358"/>
  <c r="H662"/>
  <c r="F90" i="23" s="1"/>
  <c r="K658" i="24"/>
  <c r="K662" s="1"/>
  <c r="K466"/>
  <c r="K778"/>
  <c r="K784" s="1"/>
  <c r="H784"/>
  <c r="F104" i="23" s="1"/>
  <c r="H317" i="24"/>
  <c r="F55" i="23" s="1"/>
  <c r="K313" i="24"/>
  <c r="K317" s="1"/>
  <c r="K889"/>
  <c r="K881"/>
  <c r="K8"/>
  <c r="J432"/>
  <c r="G67" i="23" s="1"/>
  <c r="J597" i="24"/>
  <c r="G82" i="23" s="1"/>
  <c r="J342" i="24"/>
  <c r="K266"/>
  <c r="K9"/>
  <c r="K184"/>
  <c r="H189"/>
  <c r="H800"/>
  <c r="F106" i="23" s="1"/>
  <c r="H106" s="1"/>
  <c r="K797" i="24"/>
  <c r="K800" s="1"/>
  <c r="H846"/>
  <c r="F111" i="23" s="1"/>
  <c r="K840" i="24"/>
  <c r="K846" s="1"/>
  <c r="K533"/>
  <c r="K198"/>
  <c r="G207"/>
  <c r="H207" s="1"/>
  <c r="K851"/>
  <c r="H857"/>
  <c r="F112" i="23" s="1"/>
  <c r="H755" i="24"/>
  <c r="F101" i="23" s="1"/>
  <c r="K752" i="24"/>
  <c r="K755" s="1"/>
  <c r="H773"/>
  <c r="F103" i="23" s="1"/>
  <c r="K768" i="24"/>
  <c r="K773" s="1"/>
  <c r="J217"/>
  <c r="K679"/>
  <c r="J317"/>
  <c r="G55" i="23" s="1"/>
  <c r="K491" i="24"/>
  <c r="K496" s="1"/>
  <c r="K429"/>
  <c r="K247"/>
  <c r="J34"/>
  <c r="K524"/>
  <c r="J578"/>
  <c r="K388"/>
  <c r="K522"/>
  <c r="K200"/>
  <c r="H265"/>
  <c r="K265" s="1"/>
  <c r="H112" i="23" l="1"/>
  <c r="H68"/>
  <c r="H115"/>
  <c r="G240" i="24"/>
  <c r="H240" s="1"/>
  <c r="K240" s="1"/>
  <c r="K241" s="1"/>
  <c r="K308"/>
  <c r="H73" i="23"/>
  <c r="H61"/>
  <c r="K515" i="24"/>
  <c r="H516"/>
  <c r="F75" i="23" s="1"/>
  <c r="G75"/>
  <c r="K857" i="24"/>
  <c r="K61" i="8"/>
  <c r="L61" s="1"/>
  <c r="F53" i="23"/>
  <c r="H53" s="1"/>
  <c r="K299" i="24"/>
  <c r="G216"/>
  <c r="H216" s="1"/>
  <c r="G44" i="23"/>
  <c r="H101"/>
  <c r="G341" i="24"/>
  <c r="H341" s="1"/>
  <c r="G58" i="23"/>
  <c r="K352" i="24"/>
  <c r="F59" i="23"/>
  <c r="H96"/>
  <c r="G527" i="24"/>
  <c r="H527" s="1"/>
  <c r="G76" i="23"/>
  <c r="H91"/>
  <c r="G588" i="24"/>
  <c r="H588" s="1"/>
  <c r="G81" i="23"/>
  <c r="H107"/>
  <c r="H105"/>
  <c r="H98"/>
  <c r="H55"/>
  <c r="H57"/>
  <c r="K551" i="24"/>
  <c r="G577"/>
  <c r="H577" s="1"/>
  <c r="G80" i="23"/>
  <c r="F42"/>
  <c r="H42" s="1"/>
  <c r="K189" i="24"/>
  <c r="K362"/>
  <c r="F60" i="23"/>
  <c r="K461" i="24"/>
  <c r="F70" i="23"/>
  <c r="K563" i="24"/>
  <c r="K372"/>
  <c r="K484"/>
  <c r="H551"/>
  <c r="F78" i="23" s="1"/>
  <c r="H64"/>
  <c r="H85"/>
  <c r="H86"/>
  <c r="G206" i="24"/>
  <c r="H206" s="1"/>
  <c r="H208" s="1"/>
  <c r="G43" i="23"/>
  <c r="G6"/>
  <c r="J51" i="24"/>
  <c r="H48"/>
  <c r="H72" i="23"/>
  <c r="H87"/>
  <c r="H79"/>
  <c r="H67"/>
  <c r="K516" i="24"/>
  <c r="H88" i="23"/>
  <c r="H90"/>
  <c r="H97"/>
  <c r="F65"/>
  <c r="H65" s="1"/>
  <c r="K412" i="24"/>
  <c r="K605"/>
  <c r="F83" i="23"/>
  <c r="H83" s="1"/>
  <c r="K880" i="24"/>
  <c r="K432"/>
  <c r="K392"/>
  <c r="H62" i="23"/>
  <c r="H84"/>
  <c r="H104"/>
  <c r="H114"/>
  <c r="K259" i="24"/>
  <c r="F48" i="23"/>
  <c r="J18" i="24"/>
  <c r="G4" i="23" s="1"/>
  <c r="H15" i="24"/>
  <c r="K422"/>
  <c r="F66" i="23"/>
  <c r="K230" i="24"/>
  <c r="F45" i="23"/>
  <c r="H95"/>
  <c r="G250" i="24"/>
  <c r="H250" s="1"/>
  <c r="G47" i="23"/>
  <c r="K275" i="24"/>
  <c r="F50" i="23"/>
  <c r="H89"/>
  <c r="H99"/>
  <c r="K594" i="24"/>
  <c r="H597"/>
  <c r="H267"/>
  <c r="K443"/>
  <c r="H118" i="23"/>
  <c r="H63"/>
  <c r="K382" i="24"/>
  <c r="H110" i="23"/>
  <c r="K454" i="24"/>
  <c r="H103" i="23"/>
  <c r="H108"/>
  <c r="G5"/>
  <c r="H32" i="24"/>
  <c r="J35"/>
  <c r="J69" s="1"/>
  <c r="G12" i="23" s="1"/>
  <c r="H111"/>
  <c r="G537" i="24"/>
  <c r="H537" s="1"/>
  <c r="G77" i="23"/>
  <c r="K283" i="24"/>
  <c r="F51" i="23"/>
  <c r="H100"/>
  <c r="G473" i="24"/>
  <c r="H473" s="1"/>
  <c r="G71" i="23"/>
  <c r="F52"/>
  <c r="K291" i="24"/>
  <c r="K909"/>
  <c r="K884"/>
  <c r="H75" i="23" l="1"/>
  <c r="H241" i="24"/>
  <c r="F46" i="23" s="1"/>
  <c r="H46" s="1"/>
  <c r="G17" i="21"/>
  <c r="G21" s="1"/>
  <c r="K56" i="8"/>
  <c r="H45" i="23"/>
  <c r="G229" i="24"/>
  <c r="H229" s="1"/>
  <c r="K229" s="1"/>
  <c r="G688"/>
  <c r="H688" s="1"/>
  <c r="G678"/>
  <c r="H678" s="1"/>
  <c r="G891"/>
  <c r="H891" s="1"/>
  <c r="G697"/>
  <c r="H697" s="1"/>
  <c r="K48"/>
  <c r="H50"/>
  <c r="H60" i="23"/>
  <c r="K597" i="24"/>
  <c r="F82" i="23"/>
  <c r="H82" s="1"/>
  <c r="K15" i="24"/>
  <c r="H17"/>
  <c r="K473"/>
  <c r="K474" s="1"/>
  <c r="H474"/>
  <c r="F71" i="23" s="1"/>
  <c r="K250" i="24"/>
  <c r="K251" s="1"/>
  <c r="H251"/>
  <c r="F47" i="23" s="1"/>
  <c r="H78"/>
  <c r="H70"/>
  <c r="K341" i="24"/>
  <c r="H342"/>
  <c r="H66" i="23"/>
  <c r="K577" i="24"/>
  <c r="K578" s="1"/>
  <c r="H578"/>
  <c r="F80" i="23" s="1"/>
  <c r="H80" s="1"/>
  <c r="K588" i="24"/>
  <c r="K589" s="1"/>
  <c r="H589"/>
  <c r="F81" i="23" s="1"/>
  <c r="H81" s="1"/>
  <c r="H52"/>
  <c r="K208" i="24"/>
  <c r="F43" i="23"/>
  <c r="K216" i="24"/>
  <c r="H217"/>
  <c r="H51" i="23"/>
  <c r="H50"/>
  <c r="K527" i="24"/>
  <c r="K528" s="1"/>
  <c r="H528"/>
  <c r="F76" i="23" s="1"/>
  <c r="K267" i="24"/>
  <c r="F49" i="23"/>
  <c r="K537" i="24"/>
  <c r="K538" s="1"/>
  <c r="H538"/>
  <c r="F77" i="23" s="1"/>
  <c r="H77" s="1"/>
  <c r="K32" i="24"/>
  <c r="H34"/>
  <c r="H48" i="23"/>
  <c r="J66" i="24"/>
  <c r="G11" i="23" s="1"/>
  <c r="J63" i="24"/>
  <c r="G10" i="23" s="1"/>
  <c r="J72" i="24"/>
  <c r="G13" i="23" s="1"/>
  <c r="J75" i="24"/>
  <c r="G14" i="23" s="1"/>
  <c r="J57" i="24"/>
  <c r="G8" i="23" s="1"/>
  <c r="J60" i="24"/>
  <c r="G9" i="23" s="1"/>
  <c r="J54" i="24"/>
  <c r="G7" i="23" s="1"/>
  <c r="H59"/>
  <c r="G899" i="24"/>
  <c r="H899" s="1"/>
  <c r="K342" l="1"/>
  <c r="F58" i="23"/>
  <c r="H71"/>
  <c r="K688" i="24"/>
  <c r="K690" s="1"/>
  <c r="H690"/>
  <c r="F93" i="23" s="1"/>
  <c r="H18" i="24"/>
  <c r="K17"/>
  <c r="K678"/>
  <c r="K681" s="1"/>
  <c r="H681"/>
  <c r="F92" i="23" s="1"/>
  <c r="F6"/>
  <c r="H6" s="1"/>
  <c r="K50" i="24"/>
  <c r="H51"/>
  <c r="F5" i="23"/>
  <c r="H5" s="1"/>
  <c r="H35" i="24"/>
  <c r="K34"/>
  <c r="H49" i="23"/>
  <c r="H43"/>
  <c r="K891" i="24"/>
  <c r="K893" s="1"/>
  <c r="H893"/>
  <c r="F116" i="23" s="1"/>
  <c r="K899" i="24"/>
  <c r="K900" s="1"/>
  <c r="H900"/>
  <c r="F117" i="23" s="1"/>
  <c r="H117" s="1"/>
  <c r="H76"/>
  <c r="K697" i="24"/>
  <c r="K699" s="1"/>
  <c r="H699"/>
  <c r="F94" i="23" s="1"/>
  <c r="H94" s="1"/>
  <c r="K217" i="24"/>
  <c r="F44" i="23"/>
  <c r="H47"/>
  <c r="K18" i="24" l="1"/>
  <c r="F4" i="23"/>
  <c r="H4" s="1"/>
  <c r="H93"/>
  <c r="H72" i="24"/>
  <c r="H75"/>
  <c r="H54"/>
  <c r="H57"/>
  <c r="K51"/>
  <c r="H63"/>
  <c r="H66"/>
  <c r="H60"/>
  <c r="H58" i="23"/>
  <c r="H116"/>
  <c r="G61" i="8"/>
  <c r="H44" i="23"/>
  <c r="K35" i="24"/>
  <c r="H69"/>
  <c r="H92" i="23"/>
  <c r="K60" i="24" l="1"/>
  <c r="F9" i="23"/>
  <c r="H9" s="1"/>
  <c r="K63" i="24"/>
  <c r="F10" i="23"/>
  <c r="H10" s="1"/>
  <c r="H61" i="8"/>
  <c r="G56" s="1"/>
  <c r="S61"/>
  <c r="K66" i="24"/>
  <c r="F11" i="23"/>
  <c r="H11" s="1"/>
  <c r="K72" i="24"/>
  <c r="F13" i="23"/>
  <c r="H13" s="1"/>
  <c r="K69" i="24"/>
  <c r="F12" i="23"/>
  <c r="H12" s="1"/>
  <c r="K75" i="24"/>
  <c r="F14" i="23"/>
  <c r="H14" s="1"/>
  <c r="K54" i="24"/>
  <c r="F7" i="23"/>
  <c r="H7" s="1"/>
  <c r="K57" i="24"/>
  <c r="F8" i="23"/>
  <c r="H8" s="1"/>
  <c r="L56" i="8" l="1"/>
  <c r="E17" i="21"/>
  <c r="E21" s="1"/>
  <c r="T61" i="8"/>
  <c r="K5" l="1"/>
  <c r="L5" s="1"/>
  <c r="L66" s="1"/>
  <c r="K17" i="21"/>
  <c r="K21" s="1"/>
  <c r="K30" i="20" l="1"/>
  <c r="K32" s="1"/>
  <c r="L30" l="1"/>
  <c r="L32"/>
  <c r="H56" i="8"/>
  <c r="S56"/>
  <c r="N30" i="20" l="1"/>
  <c r="O30" s="1"/>
  <c r="F30"/>
  <c r="T56" i="8"/>
  <c r="F883" i="5" l="1"/>
  <c r="K883"/>
  <c r="L883" l="1"/>
  <c r="F884"/>
  <c r="F132" i="6" l="1"/>
  <c r="L884" i="5"/>
  <c r="L132" i="6" l="1"/>
  <c r="F298" i="5" l="1"/>
  <c r="F47" i="6" l="1"/>
  <c r="L298" i="5"/>
  <c r="H534" i="7" l="1"/>
  <c r="L47" i="6"/>
  <c r="H143" i="7"/>
  <c r="H74"/>
  <c r="H787"/>
  <c r="H212"/>
  <c r="H603"/>
  <c r="T143" l="1"/>
  <c r="I143"/>
  <c r="I212"/>
  <c r="T212"/>
  <c r="T74"/>
  <c r="I74"/>
  <c r="I603"/>
  <c r="T603"/>
  <c r="I787"/>
  <c r="T787"/>
  <c r="I534"/>
  <c r="T534"/>
  <c r="U534" l="1"/>
  <c r="U555" s="1"/>
  <c r="I555"/>
  <c r="G28" i="8" s="1"/>
  <c r="U603" i="7"/>
  <c r="U624" s="1"/>
  <c r="I624"/>
  <c r="G31" i="8" s="1"/>
  <c r="U212" i="7"/>
  <c r="U233" s="1"/>
  <c r="I233"/>
  <c r="G17" i="8" s="1"/>
  <c r="U74" i="7"/>
  <c r="U95" s="1"/>
  <c r="I95"/>
  <c r="G11" i="8" s="1"/>
  <c r="U143" i="7"/>
  <c r="U164" s="1"/>
  <c r="I164"/>
  <c r="G14" i="8" s="1"/>
  <c r="U787" i="7"/>
  <c r="U808" s="1"/>
  <c r="I808"/>
  <c r="G39" i="8" s="1"/>
  <c r="H31" l="1"/>
  <c r="T31" s="1"/>
  <c r="D42" i="1"/>
  <c r="S31" i="8"/>
  <c r="D17" i="1"/>
  <c r="H11" i="8"/>
  <c r="S11"/>
  <c r="H14"/>
  <c r="T14" s="1"/>
  <c r="D18" i="1"/>
  <c r="S14" i="8"/>
  <c r="H17"/>
  <c r="T17" s="1"/>
  <c r="D19" i="1"/>
  <c r="S17" i="8"/>
  <c r="H28"/>
  <c r="D41" i="1"/>
  <c r="S28" i="8"/>
  <c r="H39"/>
  <c r="T39" s="1"/>
  <c r="D44" i="1"/>
  <c r="S39" i="8"/>
  <c r="E17" i="1" l="1"/>
  <c r="M17"/>
  <c r="N17" s="1"/>
  <c r="E41"/>
  <c r="M41"/>
  <c r="N41" s="1"/>
  <c r="T28" i="8"/>
  <c r="G24"/>
  <c r="T11"/>
  <c r="G7"/>
  <c r="S7" l="1"/>
  <c r="H7"/>
  <c r="S24"/>
  <c r="H24"/>
  <c r="T24" s="1"/>
  <c r="G6" l="1"/>
  <c r="T7"/>
  <c r="S6" l="1"/>
  <c r="H6"/>
  <c r="E5" i="21" l="1"/>
  <c r="T6" i="8"/>
  <c r="G5"/>
  <c r="H5" s="1"/>
  <c r="S5" l="1"/>
  <c r="T5"/>
  <c r="H66"/>
  <c r="E12" i="21"/>
  <c r="K5"/>
  <c r="K12" s="1"/>
  <c r="E5" i="20"/>
  <c r="N5" l="1"/>
  <c r="O5" s="1"/>
  <c r="F5"/>
  <c r="E7"/>
  <c r="E21" s="1"/>
  <c r="T66" i="8"/>
  <c r="Q2" i="1"/>
  <c r="F21" i="20" l="1"/>
  <c r="N21"/>
  <c r="E18"/>
  <c r="F7"/>
  <c r="E19"/>
  <c r="N7"/>
  <c r="O7" l="1"/>
  <c r="E8" i="29"/>
  <c r="F8" s="1"/>
  <c r="E19"/>
  <c r="F19" s="1"/>
  <c r="O21" i="20"/>
  <c r="N19"/>
  <c r="F19"/>
  <c r="E23"/>
  <c r="F18"/>
  <c r="N18"/>
  <c r="O18" l="1"/>
  <c r="E17" i="29"/>
  <c r="O19" i="20"/>
  <c r="E18" i="29"/>
  <c r="F18" s="1"/>
  <c r="N23" i="20"/>
  <c r="O23" s="1"/>
  <c r="F23"/>
  <c r="E24"/>
  <c r="F17" i="29" l="1"/>
  <c r="F24" i="20"/>
  <c r="E25"/>
  <c r="E26" s="1"/>
  <c r="N24"/>
  <c r="O24" s="1"/>
  <c r="F25" l="1"/>
  <c r="N25"/>
  <c r="O25" l="1"/>
  <c r="E23" i="29"/>
  <c r="E27" i="20"/>
  <c r="F26"/>
  <c r="N26"/>
  <c r="F23" i="29" l="1"/>
  <c r="O26" i="20"/>
  <c r="E24" i="29"/>
  <c r="F24" s="1"/>
  <c r="N27" i="20"/>
  <c r="O27" s="1"/>
  <c r="F27"/>
  <c r="E28"/>
  <c r="E29" l="1"/>
  <c r="N29" s="1"/>
  <c r="N28"/>
  <c r="E9" i="29"/>
  <c r="E25" s="1"/>
  <c r="F9"/>
  <c r="F25" s="1"/>
  <c r="F28" i="20"/>
  <c r="F29" l="1"/>
  <c r="F34" s="1"/>
  <c r="E32"/>
  <c r="F32" s="1"/>
  <c r="O29"/>
  <c r="O34" s="1"/>
  <c r="Q36"/>
  <c r="O28"/>
  <c r="E26" i="29"/>
  <c r="F26" s="1"/>
  <c r="F27" s="1"/>
  <c r="H27" s="1"/>
  <c r="N32" i="20" l="1"/>
  <c r="O32" s="1"/>
  <c r="E27" i="29"/>
</calcChain>
</file>

<file path=xl/sharedStrings.xml><?xml version="1.0" encoding="utf-8"?>
<sst xmlns="http://schemas.openxmlformats.org/spreadsheetml/2006/main" count="33805" uniqueCount="6843">
  <si>
    <t>공 종 별 집 계 표</t>
  </si>
  <si>
    <t>품      명</t>
  </si>
  <si>
    <t>규      격</t>
  </si>
  <si>
    <t>단위</t>
  </si>
  <si>
    <t>수량</t>
  </si>
  <si>
    <t>재  료  비</t>
  </si>
  <si>
    <t>단  가</t>
  </si>
  <si>
    <t>금  액</t>
  </si>
  <si>
    <t>노  무  비</t>
  </si>
  <si>
    <t>경      비</t>
  </si>
  <si>
    <t>합      계</t>
  </si>
  <si>
    <t>비  고</t>
  </si>
  <si>
    <t>공종코드</t>
  </si>
  <si>
    <t>변수</t>
  </si>
  <si>
    <t>상위공종</t>
  </si>
  <si>
    <t>공종구분</t>
  </si>
  <si>
    <t>공종레벨</t>
  </si>
  <si>
    <t>공종소계</t>
  </si>
  <si>
    <t>원가계산서 연결금액</t>
  </si>
  <si>
    <t>품목코드</t>
  </si>
  <si>
    <t>설정</t>
  </si>
  <si>
    <t>일위</t>
  </si>
  <si>
    <t>단산</t>
  </si>
  <si>
    <t>자재</t>
  </si>
  <si>
    <t>손료적용</t>
  </si>
  <si>
    <t>손료저장</t>
  </si>
  <si>
    <t>적용율</t>
  </si>
  <si>
    <t>JUK1</t>
  </si>
  <si>
    <t>JUK2</t>
  </si>
  <si>
    <t>JUK3</t>
  </si>
  <si>
    <t>JUK4</t>
  </si>
  <si>
    <t>JUK5</t>
  </si>
  <si>
    <t>JUK6</t>
  </si>
  <si>
    <t>JUK7</t>
  </si>
  <si>
    <t>JUK8</t>
  </si>
  <si>
    <t>JUK9</t>
  </si>
  <si>
    <t>JUK10</t>
  </si>
  <si>
    <t>JUK11</t>
  </si>
  <si>
    <t>JUK12</t>
  </si>
  <si>
    <t>JUK13</t>
  </si>
  <si>
    <t>JUK14</t>
  </si>
  <si>
    <t>JUK15</t>
  </si>
  <si>
    <t>JUK16</t>
  </si>
  <si>
    <t>JUK17</t>
  </si>
  <si>
    <t>JUK18</t>
  </si>
  <si>
    <t>JUK19</t>
  </si>
  <si>
    <t>JUK20</t>
  </si>
  <si>
    <t>자재구분</t>
  </si>
  <si>
    <t>공종+자재</t>
  </si>
  <si>
    <t>고유번호</t>
  </si>
  <si>
    <t>01  1층,2층 전시 인테리어 공사</t>
  </si>
  <si>
    <t/>
  </si>
  <si>
    <t>01</t>
  </si>
  <si>
    <t>0101  1 층 전 시 장</t>
  </si>
  <si>
    <t>0101</t>
  </si>
  <si>
    <t>010101  가  설  공  사</t>
  </si>
  <si>
    <t>010101</t>
  </si>
  <si>
    <t>먹매김</t>
  </si>
  <si>
    <t>일반</t>
  </si>
  <si>
    <t>M2</t>
  </si>
  <si>
    <t>5A1EE54A4D7D303675700E2065D180</t>
  </si>
  <si>
    <t>T</t>
  </si>
  <si>
    <t>F</t>
  </si>
  <si>
    <t>0101015A1EE54A4D7D303675700E2065D180</t>
  </si>
  <si>
    <t>강관 조립말비계(이동식)설치 및 해체</t>
  </si>
  <si>
    <t>높이 2m, 6개월</t>
  </si>
  <si>
    <t>대</t>
  </si>
  <si>
    <t>5A1EE54F32768623B5900B2B68B480</t>
  </si>
  <si>
    <t>0101015A1EE54F32768623B5900B2B68B480</t>
  </si>
  <si>
    <t>가설칸막이</t>
  </si>
  <si>
    <t>5A1E0525B671E408750823226F703A</t>
  </si>
  <si>
    <t>0101015A1E0525B671E408750823226F703A</t>
  </si>
  <si>
    <t>건축물 보양 - 석재면, 테라조면</t>
  </si>
  <si>
    <t>하드롱지 - 조달자원 대체</t>
  </si>
  <si>
    <t>5A1EE54A4D7D300915EA23206767EA</t>
  </si>
  <si>
    <t>0101015A1EE54A4D7D300915EA23206767EA</t>
  </si>
  <si>
    <t>건축물 현장정리</t>
  </si>
  <si>
    <t>목조</t>
  </si>
  <si>
    <t>5A1EE54A4E7FFAD3759A012761FE4B</t>
  </si>
  <si>
    <t>0101015A1EE54A4E7FFAD3759A012761FE4B</t>
  </si>
  <si>
    <t>방염비</t>
  </si>
  <si>
    <t>서류대행</t>
  </si>
  <si>
    <t>식</t>
  </si>
  <si>
    <t>5D5BC54ECA7F9E8025C2C92968EECB9BBD10D3</t>
  </si>
  <si>
    <t>0101015D5BC54ECA7F9E8025C2C92968EECB9BBD10D3</t>
  </si>
  <si>
    <t>[ 합           계 ]</t>
  </si>
  <si>
    <t>TOTAL</t>
  </si>
  <si>
    <t>010102  천 정 철 거 공 사</t>
  </si>
  <si>
    <t>010102</t>
  </si>
  <si>
    <t>천정 구조틀 철거</t>
  </si>
  <si>
    <t>M-BAR, 달대유</t>
  </si>
  <si>
    <t>5A1FE53B13748D3FC5D7172362D051</t>
  </si>
  <si>
    <t>0101025A1FE53B13748D3FC5D7172362D051</t>
  </si>
  <si>
    <t>각파이프 구조틀 철거, 천정</t>
  </si>
  <si>
    <t>기존</t>
  </si>
  <si>
    <t>5A1FE53B13748D75852A9B2D676793</t>
  </si>
  <si>
    <t>0101025A1FE53B13748D75852A9B2D676793</t>
  </si>
  <si>
    <t>알루미늄 천정</t>
  </si>
  <si>
    <t>AL TILE</t>
  </si>
  <si>
    <t>5A1FE53B13748D5AA5B50A2963B7DB</t>
  </si>
  <si>
    <t>0101025A1FE53B13748D5AA5B50A2963B7DB</t>
  </si>
  <si>
    <t>합판,판재 철거</t>
  </si>
  <si>
    <t>천정</t>
  </si>
  <si>
    <t>5A1FE53B13748D485551C6286B145A</t>
  </si>
  <si>
    <t>0101025A1FE53B13748D485551C6286B145A</t>
  </si>
  <si>
    <t>등박스 철거</t>
  </si>
  <si>
    <t>스틸</t>
  </si>
  <si>
    <t>5A1FE53B13748D75852A9B2D676795</t>
  </si>
  <si>
    <t>0101025A1FE53B13748D75852A9B2D676795</t>
  </si>
  <si>
    <t>010103  벽 체 철 거 공 사</t>
  </si>
  <si>
    <t>010103</t>
  </si>
  <si>
    <t>각파이프 구조틀 철거, 벽체</t>
  </si>
  <si>
    <t>5A1FE53B13748D75852A9B2D676796</t>
  </si>
  <si>
    <t>0101035A1FE53B13748D75852A9B2D676796</t>
  </si>
  <si>
    <t>조적벽철거</t>
  </si>
  <si>
    <t>1.0B</t>
  </si>
  <si>
    <t>5A1FE53B107F76CD2552982B6194D2</t>
  </si>
  <si>
    <t>0101035A1FE53B107F76CD2552982B6194D2</t>
  </si>
  <si>
    <t>창호필름 철거</t>
  </si>
  <si>
    <t>5A1FE53B13748D758529F4266D5753</t>
  </si>
  <si>
    <t>0101035A1FE53B13748D758529F4266D5753</t>
  </si>
  <si>
    <t>목조, 칸막이벽 철거</t>
  </si>
  <si>
    <t>해체재 재사용 안 함</t>
  </si>
  <si>
    <t>5A1FE53B13748D758529F4266D5757</t>
  </si>
  <si>
    <t>0101035A1FE53B13748D758529F4266D5757</t>
  </si>
  <si>
    <t>각파이프 구조틀 철거</t>
  </si>
  <si>
    <t>5A1FE53B13748D3FF5AC992A6054D4</t>
  </si>
  <si>
    <t>0101035A1FE53B13748D3FF5AC992A6054D4</t>
  </si>
  <si>
    <t>합판 철거(벽)</t>
  </si>
  <si>
    <t>5A1FE53B13748D5AA5B50A2963B7D9</t>
  </si>
  <si>
    <t>0101035A1FE53B13748D5AA5B50A2963B7D9</t>
  </si>
  <si>
    <t>철판벽 철거</t>
  </si>
  <si>
    <t>5A1FE53B13748D75852A9B2D676794</t>
  </si>
  <si>
    <t>0101035A1FE53B13748D75852A9B2D676794</t>
  </si>
  <si>
    <t>유리철거</t>
  </si>
  <si>
    <t>쇼케이스</t>
  </si>
  <si>
    <t>5A1FE53B13748D758529F4266D5756</t>
  </si>
  <si>
    <t>0101035A1FE53B13748D758529F4266D5756</t>
  </si>
  <si>
    <t>쇼케이스 철거</t>
  </si>
  <si>
    <t>600*600*1500</t>
  </si>
  <si>
    <t>개</t>
  </si>
  <si>
    <t>5A1FE53B13748D758529F4266D5755</t>
  </si>
  <si>
    <t>0101035A1FE53B13748D758529F4266D5755</t>
  </si>
  <si>
    <t>1200*600*1500</t>
  </si>
  <si>
    <t>5A1FE53B13748D758529F4266D5754</t>
  </si>
  <si>
    <t>0101035A1FE53B13748D758529F4266D5754</t>
  </si>
  <si>
    <t>010104  바 닥 철 거 공 사</t>
  </si>
  <si>
    <t>010104</t>
  </si>
  <si>
    <t>석재 철거</t>
  </si>
  <si>
    <t>휴게실 및 화장실</t>
  </si>
  <si>
    <t>5A1FE53B107F76CD2552982B6194D1</t>
  </si>
  <si>
    <t>0101045A1FE53B107F76CD2552982B6194D1</t>
  </si>
  <si>
    <t>몰탈까내기</t>
  </si>
  <si>
    <t>바닥</t>
  </si>
  <si>
    <t>5A1FE53B107F76CD2552982B6194D0</t>
  </si>
  <si>
    <t>0101045A1FE53B107F76CD2552982B6194D0</t>
  </si>
  <si>
    <t>비닐계타일 철거</t>
  </si>
  <si>
    <t>바닥 및 수장 부분</t>
  </si>
  <si>
    <t>5A1FE53B1A7F9F30E535032E699C6D</t>
  </si>
  <si>
    <t>0101045A1FE53B1A7F9F30E535032E699C6D</t>
  </si>
  <si>
    <t>비닐시트 철거</t>
  </si>
  <si>
    <t>5A1FE53B1A7F9F30E535032E699C6C</t>
  </si>
  <si>
    <t>0101045A1FE53B1A7F9F30E535032E699C6C</t>
  </si>
  <si>
    <t>우드플로링 철거</t>
  </si>
  <si>
    <t>5A1FE53B107F76CD25529925677878</t>
  </si>
  <si>
    <t>0101045A1FE53B107F76CD25529925677878</t>
  </si>
  <si>
    <t>쿠션철거</t>
  </si>
  <si>
    <t>5A1FE53B107F76CD2552992567787B</t>
  </si>
  <si>
    <t>0101045A1FE53B107F76CD2552992567787B</t>
  </si>
  <si>
    <t>010105</t>
  </si>
  <si>
    <t>수성페인트 뿜칠</t>
  </si>
  <si>
    <t>내부천장, 2회, 슬라브</t>
  </si>
  <si>
    <t>5A1E1515E872F768B5B093256120DC</t>
  </si>
  <si>
    <t>0101055A1E1515E872F768B5B093256120DC</t>
  </si>
  <si>
    <t>010106</t>
  </si>
  <si>
    <t>메탈 스터드</t>
  </si>
  <si>
    <t>100*35</t>
  </si>
  <si>
    <t>5A1E55B632746466355DA1246797AF</t>
  </si>
  <si>
    <t>0101065A1E55B632746466355DA1246797AF</t>
  </si>
  <si>
    <t>인슐레이션</t>
  </si>
  <si>
    <t>단열재, 24k 50mm</t>
  </si>
  <si>
    <t>5A1E052BD977BC4BD5C344246022EC</t>
  </si>
  <si>
    <t>방화석고보드붙이기</t>
  </si>
  <si>
    <t>12mm 1PLY</t>
  </si>
  <si>
    <t>5A1E052CE2718A72C553962C6E446D</t>
  </si>
  <si>
    <t>석고보드</t>
  </si>
  <si>
    <t>벽, 일반 12mm, 1PLY</t>
  </si>
  <si>
    <t>5A1E052CE2718A57F59E772E6FCF3D</t>
  </si>
  <si>
    <t>벽, 일반 12.5mm, 2PLY</t>
  </si>
  <si>
    <t>5A1E052CE2718A57F59E74216B913E</t>
  </si>
  <si>
    <t>0101065A1E052CE2718A57F59E74216B913E</t>
  </si>
  <si>
    <t>12mm 2PLY</t>
  </si>
  <si>
    <t>5A1E052CE2718A72C553962C6E446E</t>
  </si>
  <si>
    <t>0101065A1E052CE2718A72C553962C6E446E</t>
  </si>
  <si>
    <t>합판붙이기</t>
  </si>
  <si>
    <t>9MM, 1PLY</t>
  </si>
  <si>
    <t>5A1E052CE57ECC349590DA28614084</t>
  </si>
  <si>
    <t>0101065A1E052CE57ECC349590DA28614084</t>
  </si>
  <si>
    <t>MDF붙이기</t>
  </si>
  <si>
    <t>9mm 1PLY</t>
  </si>
  <si>
    <t>5A1E052CE076D9813563482F68685F</t>
  </si>
  <si>
    <t>0101065A1E052CE076D9813563482F68685F</t>
  </si>
  <si>
    <t>걸레받이 설치</t>
  </si>
  <si>
    <t>AL</t>
  </si>
  <si>
    <t>M</t>
  </si>
  <si>
    <t>5A1E052EAA705C0E25F82E24681FF5</t>
  </si>
  <si>
    <t>0101065A1E052EAA705C0E25F82E24681FF5</t>
  </si>
  <si>
    <t>목재틀짜기</t>
  </si>
  <si>
    <t>지정</t>
  </si>
  <si>
    <t>5A1E052CE57ECC349590DA28614086</t>
  </si>
  <si>
    <t>0101065A1E052CE57ECC349590DA28614086</t>
  </si>
  <si>
    <t>12MM, 1PLY</t>
  </si>
  <si>
    <t>5A1E052CE57ECC349590DA28614083</t>
  </si>
  <si>
    <t>0101065A1E052CE57ECC349590DA28614083</t>
  </si>
  <si>
    <t>목재 루버</t>
  </si>
  <si>
    <t>20*50</t>
  </si>
  <si>
    <t>5A1E052EAA7005CD257C802B6993A6</t>
  </si>
  <si>
    <t>0101065A1E052EAA7005CD257C802B6993A6</t>
  </si>
  <si>
    <t>바탕만들기 - 줄퍼티</t>
  </si>
  <si>
    <t>석고보드(GB)면</t>
  </si>
  <si>
    <t>5A1E15055C7F4005052E6E21622C53</t>
  </si>
  <si>
    <t>0101065A1E15055C7F4005052E6E21622C53</t>
  </si>
  <si>
    <t>수성페인트(로울러칠)</t>
  </si>
  <si>
    <t>내벽 3회. 2급</t>
  </si>
  <si>
    <t>5A1E1515E872F707958E0E2F60AF07</t>
  </si>
  <si>
    <t>0101065A1E1515E872F707958E0E2F60AF07</t>
  </si>
  <si>
    <t>5A1E15133A7F387B45CDBC2E6FE525</t>
  </si>
  <si>
    <t>0101065A1E15133A7F387B45CDBC2E6FE525</t>
  </si>
  <si>
    <t>에나멜페인트칠</t>
  </si>
  <si>
    <t>철재면</t>
  </si>
  <si>
    <t>5A1E1514C077D15285082E2B668897</t>
  </si>
  <si>
    <t>0101065A1E1514C077D15285082E2B668897</t>
  </si>
  <si>
    <t>010107</t>
  </si>
  <si>
    <t>미장</t>
  </si>
  <si>
    <t>5A1E85E48E7520D955E555236488A8</t>
  </si>
  <si>
    <t>0101075A1E85E48E7520D955E555236488A8</t>
  </si>
  <si>
    <t>셀프레벨링</t>
  </si>
  <si>
    <t>T=10</t>
  </si>
  <si>
    <t>5A1E85E48B79E44D354413246D526E</t>
  </si>
  <si>
    <t>0101075A1E85E48B79E44D354413246D526E</t>
  </si>
  <si>
    <t>칼라몰탈도장</t>
  </si>
  <si>
    <t>6MM</t>
  </si>
  <si>
    <t>5A8BF541FB74F77605CBD1206076A7</t>
  </si>
  <si>
    <t>0101075A8BF541FB74F77605CBD1206076A7</t>
  </si>
  <si>
    <t>스테인리스재료분리대</t>
  </si>
  <si>
    <t>바닥, W25*H20*1.5t</t>
  </si>
  <si>
    <t>5A1E052807789C9D556DF52A64BBCA</t>
  </si>
  <si>
    <t>0101075A1E052807789C9D556DF52A64BBCA</t>
  </si>
  <si>
    <t>010108</t>
  </si>
  <si>
    <t>0101085A1E1515E872F768B5B093256120DC</t>
  </si>
  <si>
    <t>010109</t>
  </si>
  <si>
    <t>0101095A1E55B632746466355DA1246797AF</t>
  </si>
  <si>
    <t>방수 석고보드 붙이기</t>
  </si>
  <si>
    <t>12mm, 1PLY</t>
  </si>
  <si>
    <t>5A1E052CE2718A605549CF266B479C</t>
  </si>
  <si>
    <t>벽, 일반 12.5mm, 1PLY</t>
  </si>
  <si>
    <t>5A1E052CE2718A57F59E74216B913F</t>
  </si>
  <si>
    <t>벽, 일반 9.5mm, 2PLY</t>
  </si>
  <si>
    <t>5A1E052CE2718A57F59E772E6FCF3A</t>
  </si>
  <si>
    <t>0101095A1E052CE2718A57F59E772E6FCF3A</t>
  </si>
  <si>
    <t>0101095A1E052CE2718A57F59E74216B913E</t>
  </si>
  <si>
    <t>0101095A1E052EAA705C0E25F82E24681FF5</t>
  </si>
  <si>
    <t>0101095A1E15055C7F4005052E6E21622C53</t>
  </si>
  <si>
    <t>0101095A1E1515E872F707958E0E2F60AF07</t>
  </si>
  <si>
    <t>010110</t>
  </si>
  <si>
    <t>0101105A1E85E48E7520D955E555236488A8</t>
  </si>
  <si>
    <t>0101105A1E85E48B79E44D354413246D526E</t>
  </si>
  <si>
    <t>0101105A8BF541FB74F77605CBD1206076A7</t>
  </si>
  <si>
    <t>0101105A1E052807789C9D556DF52A64BBCA</t>
  </si>
  <si>
    <t>010111</t>
  </si>
  <si>
    <t>0101115A1E1515E872F768B5B093256120DC</t>
  </si>
  <si>
    <t>010112</t>
  </si>
  <si>
    <t>0101125A1E55B632746466355DA1246797AF</t>
  </si>
  <si>
    <t>스틸 각파이프 구조물</t>
  </si>
  <si>
    <t>40*40</t>
  </si>
  <si>
    <t>5A1E55B632746466355DA1246797AA</t>
  </si>
  <si>
    <t>0101125A1E55B632746466355DA1246797AA</t>
  </si>
  <si>
    <t>철판붙이기</t>
  </si>
  <si>
    <t>1.6mm, Steel</t>
  </si>
  <si>
    <t>5A1E55B632746466355DA1246797A5</t>
  </si>
  <si>
    <t>0101125A1E55B632746466355DA1246797A5</t>
  </si>
  <si>
    <t>벽, 일반 9.5mm, 1PLY</t>
  </si>
  <si>
    <t>5A1E052CE2718A57F59E772E6FCF3C</t>
  </si>
  <si>
    <t>0101125A1E052CE57ECC349590DA28614084</t>
  </si>
  <si>
    <t>15MM, 1PLY</t>
  </si>
  <si>
    <t>5A1E052CE57ECC349590DA28614082</t>
  </si>
  <si>
    <t>0101125A1E052CE57ECC349590DA28614082</t>
  </si>
  <si>
    <t>0101125A1E052CE2718A72C553962C6E446E</t>
  </si>
  <si>
    <t>0101125A1E052CE2718A57F59E74216B913E</t>
  </si>
  <si>
    <t>0101125A1E052EAA705C0E25F82E24681FF5</t>
  </si>
  <si>
    <t>0101125A1E15055C7F4005052E6E21622C53</t>
  </si>
  <si>
    <t>0101125A1E1515E872F707958E0E2F60AF07</t>
  </si>
  <si>
    <t>5A1E15133A7F387B45CDBC2E6FE522</t>
  </si>
  <si>
    <t>010113</t>
  </si>
  <si>
    <t>0101135A1E85E48E7520D955E555236488A8</t>
  </si>
  <si>
    <t>0101135A1E85E48B79E44D354413246D526E</t>
  </si>
  <si>
    <t>0101135A8BF541FB74F77605CBD1206076A7</t>
  </si>
  <si>
    <t>0101135A1E052807789C9D556DF52A64BBCA</t>
  </si>
  <si>
    <t>010114</t>
  </si>
  <si>
    <t>0101145A1E55B632746466355DA1246797AF</t>
  </si>
  <si>
    <t>0101145A1E052CE2718A57F59E74216B913E</t>
  </si>
  <si>
    <t>합판붙이기(자작)</t>
  </si>
  <si>
    <t>5A1E052CE076D9813563482F68685C</t>
  </si>
  <si>
    <t>0101145A1E052CE076D9813563482F68685C</t>
  </si>
  <si>
    <t>0101145A1E15133A7F387B45CDBC2E6FE525</t>
  </si>
  <si>
    <t>단열필름</t>
  </si>
  <si>
    <t>5A1E1517967892B9A5097B266AC7E0</t>
  </si>
  <si>
    <t>0101145A1E1517967892B9A5097B266AC7E0</t>
  </si>
  <si>
    <t>010115</t>
  </si>
  <si>
    <t>각파이프 구조틀</t>
  </si>
  <si>
    <t>50*50</t>
  </si>
  <si>
    <t>5A1E55B632746466355DA1246797A8</t>
  </si>
  <si>
    <t>0101155A1E55B632746466355DA1246797A8</t>
  </si>
  <si>
    <t>12MM, 2PLY</t>
  </si>
  <si>
    <t>5A1E052CE57ECC349590DA28614087</t>
  </si>
  <si>
    <t>0101155A1E052CE57ECC349590DA28614087</t>
  </si>
  <si>
    <t>5A1E052EAE7FE58605FC6C2D6424CD</t>
  </si>
  <si>
    <t>0101155A1E052EAE7FE58605FC6C2D6424CD</t>
  </si>
  <si>
    <t>010116</t>
  </si>
  <si>
    <t>FSS-1</t>
  </si>
  <si>
    <t>3200*4500</t>
  </si>
  <si>
    <t>EA</t>
  </si>
  <si>
    <t>5A1E3562F677684B453932266DFDAD</t>
  </si>
  <si>
    <t>0101165A1E3562F677684B453932266DFDAD</t>
  </si>
  <si>
    <t>FSS-2</t>
  </si>
  <si>
    <t>2700*4500</t>
  </si>
  <si>
    <t>5A1E3562F677684B453932266DFDAE</t>
  </si>
  <si>
    <t>0101165A1E3562F677684B453932266DFDAE</t>
  </si>
  <si>
    <t>FSS-3</t>
  </si>
  <si>
    <t>1200*4500</t>
  </si>
  <si>
    <t>5A1E3562F677684B453932266DFDAF</t>
  </si>
  <si>
    <t>0101165A1E3562F677684B453932266DFDAF</t>
  </si>
  <si>
    <t>FSS-4</t>
  </si>
  <si>
    <t>4100*4500</t>
  </si>
  <si>
    <t>5A1E3562F677684B453932266DFDA8</t>
  </si>
  <si>
    <t>0101165A1E3562F677684B453932266DFDA8</t>
  </si>
  <si>
    <t>SH-1</t>
  </si>
  <si>
    <t>5A1E3562F677684B453932266DFDAA</t>
  </si>
  <si>
    <t>0101165A1E3562F677684B453932266DFDAA</t>
  </si>
  <si>
    <t>SH-2</t>
  </si>
  <si>
    <t>5A1E3562F677684B453932266DFDAB</t>
  </si>
  <si>
    <t>0101165A1E3562F677684B453932266DFDAB</t>
  </si>
  <si>
    <t>FSD-1</t>
  </si>
  <si>
    <t>900*2100</t>
  </si>
  <si>
    <t>5A1E3562F677684B453932266DFC86</t>
  </si>
  <si>
    <t>0101165A1E3562F677684B453932266DFC86</t>
  </si>
  <si>
    <t>SD-1</t>
  </si>
  <si>
    <t>5A1E3562F677684B453932266DFC84</t>
  </si>
  <si>
    <t>0101165A1E3562F677684B453932266DFC84</t>
  </si>
  <si>
    <t>SD-2</t>
  </si>
  <si>
    <t>1800*2500</t>
  </si>
  <si>
    <t>5A1E3562F677684B453932266DFF5F</t>
  </si>
  <si>
    <t>0101165A1E3562F677684B453932266DFF5F</t>
  </si>
  <si>
    <t>SSW-1</t>
  </si>
  <si>
    <t>5A1E3562F677684B453932266DFC85</t>
  </si>
  <si>
    <t>0101165A1E3562F677684B453932266DFC85</t>
  </si>
  <si>
    <t>SSW-2</t>
  </si>
  <si>
    <t>5A1E3562F677684B453932266DFC82</t>
  </si>
  <si>
    <t>0101165A1E3562F677684B453932266DFC82</t>
  </si>
  <si>
    <t>SSW-3</t>
  </si>
  <si>
    <t>5A1E3562F677684B453932266DFC83</t>
  </si>
  <si>
    <t>0101165A1E3562F677684B453932266DFC83</t>
  </si>
  <si>
    <t>SSW-4</t>
  </si>
  <si>
    <t>600*1500</t>
  </si>
  <si>
    <t>5A1E3562F677684B453932266DFC80</t>
  </si>
  <si>
    <t>0101165A1E3562F677684B453932266DFC80</t>
  </si>
  <si>
    <t>ATD-1</t>
  </si>
  <si>
    <t>4400*3600</t>
  </si>
  <si>
    <t>5A1E3562F677684B453932266DFDA5</t>
  </si>
  <si>
    <t>0101165A1E3562F677684B453932266DFDA5</t>
  </si>
  <si>
    <t>강화도어</t>
  </si>
  <si>
    <t>3100*1000</t>
  </si>
  <si>
    <t>시공비포함</t>
  </si>
  <si>
    <t>5D3F05E91E7E7FD9B56CEB226B3E33D2AE18AA</t>
  </si>
  <si>
    <t>0101165D3F05E91E7E7FD9B56CEB226B3E33D2AE18AA</t>
  </si>
  <si>
    <t>플로어힌지</t>
  </si>
  <si>
    <t>플로어힌지, KS4호, 150kg, 강화유리문(K-9400)</t>
  </si>
  <si>
    <t>조</t>
  </si>
  <si>
    <t>5D3F158ED37EEEBAE532BA226D55DA6AC565BE</t>
  </si>
  <si>
    <t>0101165D3F158ED37EEEBAE532BA226D55DA6AC565BE</t>
  </si>
  <si>
    <t>손잡이</t>
  </si>
  <si>
    <t>5D3F158ED37EEE733528322E60376B51EAD45F</t>
  </si>
  <si>
    <t>0101165D3F158ED37EEE733528322E60376B51EAD45F</t>
  </si>
  <si>
    <t>실린더</t>
  </si>
  <si>
    <t>5D3F158ED37EEE733528322E60376B51EAD45E</t>
  </si>
  <si>
    <t>0101165D3F158ED37EEE733528322E60376B51EAD45E</t>
  </si>
  <si>
    <t>강화유리</t>
  </si>
  <si>
    <t>강화유리, 투명, 12mm</t>
  </si>
  <si>
    <t>5D3F05E91E7E7FF495CFE225629D25278E1B39</t>
  </si>
  <si>
    <t>0101165D3F05E91E7E7FF495CFE225629D25278E1B39</t>
  </si>
  <si>
    <t>수밀코킹(실리콘)</t>
  </si>
  <si>
    <t>10㎜*10㎜</t>
  </si>
  <si>
    <t>5A1E75F83178F136A59FF228676614</t>
  </si>
  <si>
    <t>0101165A1E75F83178F136A59FF228676614</t>
  </si>
  <si>
    <t>010117</t>
  </si>
  <si>
    <t>5A1E55BC5D7F5C6CA5FC362A69031D</t>
  </si>
  <si>
    <t>전시차단봉</t>
  </si>
  <si>
    <t>2.2*0.3</t>
  </si>
  <si>
    <t>SET</t>
  </si>
  <si>
    <t>5D3F158ED37EEEBAE532BA226F02937E0BA921</t>
  </si>
  <si>
    <t>0101175D3F158ED37EEEBAE532BA226F02937E0BA921</t>
  </si>
  <si>
    <t>찬넬</t>
  </si>
  <si>
    <t>찬넬, 38*12*1.2mm</t>
  </si>
  <si>
    <t>5D3F05E91F78CB2C25FFA42B6139F33EAA87DD</t>
  </si>
  <si>
    <t>0101175D3F05E91F78CB2C25FFA42B6139F33EAA87DD</t>
  </si>
  <si>
    <t>찬넬고리</t>
  </si>
  <si>
    <t>5D3F05E91F78CB2C25FFA42B6139F33EAA87DC</t>
  </si>
  <si>
    <t>0101175D3F05E91F78CB2C25FFA42B6139F33EAA87DC</t>
  </si>
  <si>
    <t>스팟조명</t>
  </si>
  <si>
    <t>5D3F05E91F78CB2CB5D03D226B15A4E01FE0C9</t>
  </si>
  <si>
    <t>LED BAR</t>
  </si>
  <si>
    <t>5D3F05E91F78CB2CB5D03D226B15A4E01FE0CA</t>
  </si>
  <si>
    <t>0101175D3F05E91F78CB2CB5D03D226B15A4E01FE0CA</t>
  </si>
  <si>
    <t>SAMP</t>
  </si>
  <si>
    <t>60W</t>
  </si>
  <si>
    <t>5D3F05E91F78CB2CB5D03D226B15A4E01FE0CB</t>
  </si>
  <si>
    <t>0101175D3F05E91F78CB2CB5D03D226B15A4E01FE0CB</t>
  </si>
  <si>
    <t>내선전공</t>
  </si>
  <si>
    <t>일반공사 직종</t>
  </si>
  <si>
    <t>인</t>
  </si>
  <si>
    <t>5ACA9508F574DA1575031F276695A3A852E235</t>
  </si>
  <si>
    <t>0101175ACA9508F574DA1575031F276695A3A852E235</t>
  </si>
  <si>
    <t>010118</t>
  </si>
  <si>
    <t>네임텍(우드), 1층</t>
  </si>
  <si>
    <t>150*60</t>
  </si>
  <si>
    <t>5D3F05E91F78CB2C25FFA42B6139F3392B4C1E</t>
  </si>
  <si>
    <t>0101185D3F05E91F78CB2C25FFA42B6139F3392B4C1E</t>
  </si>
  <si>
    <t>네임텍</t>
  </si>
  <si>
    <t>120*80</t>
  </si>
  <si>
    <t>5D3F05E91F78CB2C25FFA42B6139F3392AA3E5</t>
  </si>
  <si>
    <t>0101185D3F05E91F78CB2C25FFA42B6139F3392AA3E5</t>
  </si>
  <si>
    <t>시트문자</t>
  </si>
  <si>
    <t>240*165</t>
  </si>
  <si>
    <t>5D3F05E91F78CB2C25FFA42B6139F3392AA3E6</t>
  </si>
  <si>
    <t>0101185D3F05E91F78CB2C25FFA42B6139F3392AA3E6</t>
  </si>
  <si>
    <t>5D3F05E91F78CB2C25FFA42B6139F3392AA3E7</t>
  </si>
  <si>
    <t>0101185D3F05E91F78CB2C25FFA42B6139F3392AA3E7</t>
  </si>
  <si>
    <t>370*270</t>
  </si>
  <si>
    <t>430*1200</t>
  </si>
  <si>
    <t>450*300</t>
  </si>
  <si>
    <t>490*300</t>
  </si>
  <si>
    <t>920*450</t>
  </si>
  <si>
    <t>1050*2090</t>
  </si>
  <si>
    <t>5D3F05E91F78CB2C25FFA42B6139F3392AA011</t>
  </si>
  <si>
    <t>5D3F05E91F78CB2C25FFA42B6139F3392AA012</t>
  </si>
  <si>
    <t>5D3F05E91F78CB2C25FFA42B6139F3392AA013</t>
  </si>
  <si>
    <t>0101185D3F05E91F78CB2C25FFA42B6139F3392AA013</t>
  </si>
  <si>
    <t>5D3F05E91F78CB2C25FFA42B6139F3392AA014</t>
  </si>
  <si>
    <t>0101185D3F05E91F78CB2C25FFA42B6139F3392AA014</t>
  </si>
  <si>
    <t>그래픽패널</t>
  </si>
  <si>
    <t>5D3F05E91F78CB2C25FFA42B6139F3392AA015</t>
  </si>
  <si>
    <t>0101185D3F05E91F78CB2C25FFA42B6139F3392AA015</t>
  </si>
  <si>
    <t>290*165</t>
  </si>
  <si>
    <t>5D3F05E91F78CB2C25FFA42B6139F3392AA016</t>
  </si>
  <si>
    <t>0101185D3F05E91F78CB2C25FFA42B6139F3392AA016</t>
  </si>
  <si>
    <t>290*600</t>
  </si>
  <si>
    <t>5D3F05E91F78CB2C25FFA42B6139F3392AA017</t>
  </si>
  <si>
    <t>0101185D3F05E91F78CB2C25FFA42B6139F3392AA017</t>
  </si>
  <si>
    <t>5D3F05E91F78CB2C25FFA42B6139F3392AA018</t>
  </si>
  <si>
    <t>0101185D3F05E91F78CB2C25FFA42B6139F3392AA018</t>
  </si>
  <si>
    <t>370*750</t>
  </si>
  <si>
    <t>5D3F05E91F78CB2C25FFA42B6139F3392AA019</t>
  </si>
  <si>
    <t>0101185D3F05E91F78CB2C25FFA42B6139F3392AA019</t>
  </si>
  <si>
    <t>430*450</t>
  </si>
  <si>
    <t>5D3F05E91F78CB2C25FFA42B6139F3392AA137</t>
  </si>
  <si>
    <t>0101185D3F05E91F78CB2C25FFA42B6139F3392AA137</t>
  </si>
  <si>
    <t>430*650</t>
  </si>
  <si>
    <t>5D3F05E91F78CB2C25FFA42B6139F3392AA136</t>
  </si>
  <si>
    <t>0101185D3F05E91F78CB2C25FFA42B6139F3392AA136</t>
  </si>
  <si>
    <t>5D3F05E91F78CB2C25FFA42B6139F3392AA135</t>
  </si>
  <si>
    <t>0101185D3F05E91F78CB2C25FFA42B6139F3392AA135</t>
  </si>
  <si>
    <t>500*600</t>
  </si>
  <si>
    <t>5D3F05E91F78CB2C25FFA42B6139F3392AA134</t>
  </si>
  <si>
    <t>0101185D3F05E91F78CB2C25FFA42B6139F3392AA134</t>
  </si>
  <si>
    <t>840*450</t>
  </si>
  <si>
    <t>5D3F05E91F78CB2C25FFA42B6139F3392AA133</t>
  </si>
  <si>
    <t>0101185D3F05E91F78CB2C25FFA42B6139F3392AA133</t>
  </si>
  <si>
    <t>1000*1200</t>
  </si>
  <si>
    <t>5D3F05E91F78CB2C25FFA42B6139F3392AA132</t>
  </si>
  <si>
    <t>0101185D3F05E91F78CB2C25FFA42B6139F3392AA132</t>
  </si>
  <si>
    <t>1200*600</t>
  </si>
  <si>
    <t>5D3F05E91F78CB2C25FFA42B6139F3392AA131</t>
  </si>
  <si>
    <t>0101185D3F05E91F78CB2C25FFA42B6139F3392AA131</t>
  </si>
  <si>
    <t>그래픽 설치</t>
  </si>
  <si>
    <t>인건비</t>
  </si>
  <si>
    <t>5D3F05E91F78CB2C25FFA42B6139F3392AA130</t>
  </si>
  <si>
    <t>0101185D3F05E91F78CB2C25FFA42B6139F3392AA130</t>
  </si>
  <si>
    <t>010119</t>
  </si>
  <si>
    <t>모듈 가구 재설치</t>
  </si>
  <si>
    <t>참여기증자실</t>
  </si>
  <si>
    <t>5A1E052EAD7D97E4453C60266256CA</t>
  </si>
  <si>
    <t>0101195A1E052EAD7D97E4453C60266256CA</t>
  </si>
  <si>
    <t>5A1E052EAD7D97E4453C60266256C9</t>
  </si>
  <si>
    <t>0101195A1E052EAD7D97E4453C60266256C9</t>
  </si>
  <si>
    <t>5D3F05E91F78CB2C25FFA42B6139F3392AA2DF</t>
  </si>
  <si>
    <t>0101195D3F05E91F78CB2C25FFA42B6139F3392AA2DF</t>
  </si>
  <si>
    <t>전시대(EX-109)</t>
  </si>
  <si>
    <t>5D3F05E91F78CB2C25FFA42B6139F3392AA2DE</t>
  </si>
  <si>
    <t>0101195D3F05E91F78CB2C25FFA42B6139F3392AA2DE</t>
  </si>
  <si>
    <t>전시대(EX-110)</t>
  </si>
  <si>
    <t>5D3F05E91F78CB2C25FFA42B6139F3392AA2D9</t>
  </si>
  <si>
    <t>0101195D3F05E91F78CB2C25FFA42B6139F3392AA2D9</t>
  </si>
  <si>
    <t>전시대(EX-111)</t>
  </si>
  <si>
    <t>5D3F05E91F78CB2C25FFA42B6139F3392AA2D8</t>
  </si>
  <si>
    <t>0101195D3F05E91F78CB2C25FFA42B6139F3392AA2D8</t>
  </si>
  <si>
    <t>5D3F05E91F78CB2C25FFA42B6139F3392AA2DB</t>
  </si>
  <si>
    <t>0101195D3F05E91F78CB2C25FFA42B6139F3392AA2DB</t>
  </si>
  <si>
    <t>책장, 1층</t>
  </si>
  <si>
    <t>5D3F05E91F78CB2C25FFA42B6139F3392B4C1F</t>
  </si>
  <si>
    <t>0101195D3F05E91F78CB2C25FFA42B6139F3392B4C1F</t>
  </si>
  <si>
    <t>책상, 1층</t>
  </si>
  <si>
    <t>1800*900*750</t>
  </si>
  <si>
    <t>5D3F05E91F78CB2C25FFA42B6139F3392B4C18</t>
  </si>
  <si>
    <t>0101195D3F05E91F78CB2C25FFA42B6139F3392B4C18</t>
  </si>
  <si>
    <t>유리액자</t>
  </si>
  <si>
    <t>600*780</t>
  </si>
  <si>
    <t>5D3F05E91F78CB2C25FFA42B6139F3392AA6BC</t>
  </si>
  <si>
    <t>370*460</t>
  </si>
  <si>
    <t>5D3F05E91F78CB2C25FFA42B6139F3392AA6BD</t>
  </si>
  <si>
    <t>0101195D3F05E91F78CB2C25FFA42B6139F3392AA6BD</t>
  </si>
  <si>
    <t>510*510</t>
  </si>
  <si>
    <t>5D3F05E91F78CB2C25FFA42B6139F3392AA6BE</t>
  </si>
  <si>
    <t>0101195D3F05E91F78CB2C25FFA42B6139F3392AA6BE</t>
  </si>
  <si>
    <t>500*610</t>
  </si>
  <si>
    <t>5D3F05E91F78CB2C25FFA42B6139F3392AA6BF</t>
  </si>
  <si>
    <t>0101195D3F05E91F78CB2C25FFA42B6139F3392AA6BF</t>
  </si>
  <si>
    <t>390*390</t>
  </si>
  <si>
    <t>5D3F05E91F78CB2C25FFA42B6139F3392AA6B0</t>
  </si>
  <si>
    <t>0101195D3F05E91F78CB2C25FFA42B6139F3392AA6B0</t>
  </si>
  <si>
    <t>450*330</t>
  </si>
  <si>
    <t>5D3F05E91F78CB2C25FFA42B6139F3392AA6B1</t>
  </si>
  <si>
    <t>0101195D3F05E91F78CB2C25FFA42B6139F3392AA6B1</t>
  </si>
  <si>
    <t>330*410</t>
  </si>
  <si>
    <t>5D3F05E91F78CB2C25FFA42B6139F3392AA75F</t>
  </si>
  <si>
    <t>0101195D3F05E91F78CB2C25FFA42B6139F3392AA75F</t>
  </si>
  <si>
    <t>330*270</t>
  </si>
  <si>
    <t>5D3F05E91F78CB2C25FFA42B6139F3392AA75E</t>
  </si>
  <si>
    <t>0101195D3F05E91F78CB2C25FFA42B6139F3392AA75E</t>
  </si>
  <si>
    <t>400*250</t>
  </si>
  <si>
    <t>5D3F05E91F78CB2C25FFA42B6139F3392AA75D</t>
  </si>
  <si>
    <t>0101195D3F05E91F78CB2C25FFA42B6139F3392AA75D</t>
  </si>
  <si>
    <t>330*390</t>
  </si>
  <si>
    <t>5D3F05E91F78CB2C25FFA42B6139F3392AA75C</t>
  </si>
  <si>
    <t>0101195D3F05E91F78CB2C25FFA42B6139F3392AA75C</t>
  </si>
  <si>
    <t>전시보조대 A</t>
  </si>
  <si>
    <t>5D3F05E91F78CB2C25FFA42B6139F3392AA75B</t>
  </si>
  <si>
    <t>0101195D3F05E91F78CB2C25FFA42B6139F3392AA75B</t>
  </si>
  <si>
    <t>전시보조대 D</t>
  </si>
  <si>
    <t>5D3F05E91F78CB2C25FFA42B6139F3392AA75A</t>
  </si>
  <si>
    <t>0101195D3F05E91F78CB2C25FFA42B6139F3392AA75A</t>
  </si>
  <si>
    <t>5D3F05E91F78CB2C25FFA42B6139F3392AA759</t>
  </si>
  <si>
    <t>0101195D3F05E91F78CB2C25FFA42B6139F3392AA759</t>
  </si>
  <si>
    <t>5D3F05E91F78CB2C25FFA42B6139F3392AA758</t>
  </si>
  <si>
    <t>0101195D3F05E91F78CB2C25FFA42B6139F3392AA758</t>
  </si>
  <si>
    <t>5D3F05E91F78CB2C25FFA42B6139F3392AA757</t>
  </si>
  <si>
    <t>0101195D3F05E91F78CB2C25FFA42B6139F3392AA757</t>
  </si>
  <si>
    <t>5D3F05E91F78CB2C25FFA42B6139F3392AA756</t>
  </si>
  <si>
    <t>0101195D3F05E91F78CB2C25FFA42B6139F3392AA756</t>
  </si>
  <si>
    <t>5D3F05E91F78CB2C25FFA42B6139F3392AA48B</t>
  </si>
  <si>
    <t>0101195D3F05E91F78CB2C25FFA42B6139F3392AA48B</t>
  </si>
  <si>
    <t>5D3F05E91F78CB2C25FFA42B6139F3392AA48A</t>
  </si>
  <si>
    <t>0101195D3F05E91F78CB2C25FFA42B6139F3392AA48A</t>
  </si>
  <si>
    <t>5D3F05E91F78CB2C25FFA42B6139F3392AA489</t>
  </si>
  <si>
    <t>0101195D3F05E91F78CB2C25FFA42B6139F3392AA489</t>
  </si>
  <si>
    <t>5D3F05E91F78CB2C25FFA42B6139F3392AA488</t>
  </si>
  <si>
    <t>0101195D3F05E91F78CB2C25FFA42B6139F3392AA488</t>
  </si>
  <si>
    <t>5D3F05E91F78CB2C25FFA42B6139F3392AA48F</t>
  </si>
  <si>
    <t>0101195D3F05E91F78CB2C25FFA42B6139F3392AA48F</t>
  </si>
  <si>
    <t>5D3F05E91F78CB2C25FFA42B6139F3392AA48E</t>
  </si>
  <si>
    <t>0101195D3F05E91F78CB2C25FFA42B6139F3392AA48E</t>
  </si>
  <si>
    <t>5D3F05E91F78CB2C25FFA42B6139F3392AA48D</t>
  </si>
  <si>
    <t>0101195D3F05E91F78CB2C25FFA42B6139F3392AA48D</t>
  </si>
  <si>
    <t>5D3F05E91F78CB2C25FFA42B6139F3392AA48C</t>
  </si>
  <si>
    <t>0101195D3F05E91F78CB2C25FFA42B6139F3392AA48C</t>
  </si>
  <si>
    <t>5D3F05E91F78CB2C25FFA42B6139F3392AA483</t>
  </si>
  <si>
    <t>0101195D3F05E91F78CB2C25FFA42B6139F3392AA483</t>
  </si>
  <si>
    <t>010120</t>
  </si>
  <si>
    <t>5D3F05E91F78CB2C25FFA42B6139F3392AA13E</t>
  </si>
  <si>
    <t>0101205D3F05E91F78CB2C25FFA42B6139F3392AA13E</t>
  </si>
  <si>
    <t>빔프로젝터</t>
  </si>
  <si>
    <t>5D3F05E91F78CB2C25FFA42B6139F3392AA6B8</t>
  </si>
  <si>
    <t>0101205D3F05E91F78CB2C25FFA42B6139F3392AA6B8</t>
  </si>
  <si>
    <t>브라켓 및 케이블</t>
  </si>
  <si>
    <t>전시실</t>
  </si>
  <si>
    <t>5D3F05E91F78CB2C25FFA42B6139F3392AA6B9</t>
  </si>
  <si>
    <t>0101205D3F05E91F78CB2C25FFA42B6139F3392AA6B9</t>
  </si>
  <si>
    <t>디지털액자</t>
  </si>
  <si>
    <t>20"</t>
  </si>
  <si>
    <t>5D3F05E91F78CB2C25FFA42B6139F3392AA6BA</t>
  </si>
  <si>
    <t>40"</t>
  </si>
  <si>
    <t>5D3F05E91F78CB2C25FFA42B6139F3392AA6BB</t>
  </si>
  <si>
    <t>TON</t>
  </si>
  <si>
    <t>5A1EE54A4E7FCD84D52C1A236597CC</t>
  </si>
  <si>
    <t>철강설</t>
  </si>
  <si>
    <t>철강설, 고철, 작업설부산물</t>
  </si>
  <si>
    <t>수집상차도</t>
  </si>
  <si>
    <t>5D1C25ECD8746E80054A682D681C7645DF3DA5</t>
  </si>
  <si>
    <t>0102  2 층 전 시 장</t>
  </si>
  <si>
    <t>0102</t>
  </si>
  <si>
    <t>010201  가  설  공  사</t>
  </si>
  <si>
    <t>010201</t>
  </si>
  <si>
    <t>0102015A1EE54F32768623B5900B2B68B480</t>
  </si>
  <si>
    <t>0102015A1E0525B671E408750823226F703A</t>
  </si>
  <si>
    <t>0102015A1EE54A4E7FFAD3759A012761FE4B</t>
  </si>
  <si>
    <t>0102015A1EE54A4D7D300915EA23206767EA</t>
  </si>
  <si>
    <t>010202  천 정 철 거 공 사</t>
  </si>
  <si>
    <t>010202</t>
  </si>
  <si>
    <t>0102025A1FE53B13748D3FC5D7172362D051</t>
  </si>
  <si>
    <t>0102025A1FE53B13748D75852A9B2D676793</t>
  </si>
  <si>
    <t>0102025A1FE53B13748D485551C6286B145A</t>
  </si>
  <si>
    <t>5A1FE53B13748D3FF5AC992A6054D7</t>
  </si>
  <si>
    <t>0102025A1FE53B13748D3FF5AC992A6054D7</t>
  </si>
  <si>
    <t>010203  벽 체 철 거 공 사</t>
  </si>
  <si>
    <t>010203</t>
  </si>
  <si>
    <t>0102035A1FE53B107F76CD2552982B6194D2</t>
  </si>
  <si>
    <t>0102035A1FE53B13748D75852A9B2D676796</t>
  </si>
  <si>
    <t>0102035A1FE53B13748D758529F4266D5757</t>
  </si>
  <si>
    <t>0102035A1FE53B13748D5AA5B50A2963B7D9</t>
  </si>
  <si>
    <t>흡음보드 철거</t>
  </si>
  <si>
    <t>5A1FE53B13748D5AA5B50A2963B7DA</t>
  </si>
  <si>
    <t>0102035A1FE53B13748D5AA5B50A2963B7DA</t>
  </si>
  <si>
    <t>0102035A1FE53B13748D75852A9B2D676794</t>
  </si>
  <si>
    <t>0102035A1FE53B13748D758529F4266D5756</t>
  </si>
  <si>
    <t>010204  바 닥 철 거 공 사</t>
  </si>
  <si>
    <t>010204</t>
  </si>
  <si>
    <t>0102045A1FE53B107F76CD2552982B6194D1</t>
  </si>
  <si>
    <t>0102045A1FE53B107F76CD2552982B6194D0</t>
  </si>
  <si>
    <t>0102045A1FE53B1A7F9F30E535032E699C6D</t>
  </si>
  <si>
    <t>010205</t>
  </si>
  <si>
    <t>경량철골천정틀</t>
  </si>
  <si>
    <t>M-BAR, H:1m미만. 달대유</t>
  </si>
  <si>
    <t>5A1E55B8FF7F150025C24F216C5D35</t>
  </si>
  <si>
    <t>0102055A1E55B8FF7F150025C24F216C5D35</t>
  </si>
  <si>
    <t>석고보드붙이기</t>
  </si>
  <si>
    <t>9mm, 2PLY</t>
  </si>
  <si>
    <t>5A1E052CE37214137589FB28664A35</t>
  </si>
  <si>
    <t>0102055A1E052CE37214137589FB28664A35</t>
  </si>
  <si>
    <t>비닐페인트</t>
  </si>
  <si>
    <t>5A1E1515E872F7B0756B732F646B4C</t>
  </si>
  <si>
    <t>0102055A1E1515E872F7B0756B732F646B4C</t>
  </si>
  <si>
    <t>010206</t>
  </si>
  <si>
    <t>0102065A1E55B632746466355DA1246797AF</t>
  </si>
  <si>
    <t>0102065A1E052CE2718A57F59E74216B913E</t>
  </si>
  <si>
    <t>0102065A1E052CE2718A72C553962C6E446E</t>
  </si>
  <si>
    <t>6mm 1PLY</t>
  </si>
  <si>
    <t>5A1E052CE076D9813563482F68685E</t>
  </si>
  <si>
    <t>0102065A1E052CE076D9813563482F68685E</t>
  </si>
  <si>
    <t>인테리어필름</t>
  </si>
  <si>
    <t>5D3F05E91D7C1F02152EDC2D68AB68FB3530BB</t>
  </si>
  <si>
    <t>0102065D3F05E91D7C1F02152EDC2D68AB68FB3530BB</t>
  </si>
  <si>
    <t>010207</t>
  </si>
  <si>
    <t>0102075A1E85E48E7520D955E555236488A8</t>
  </si>
  <si>
    <t>0102075A1E85E48B79E44D354413246D526E</t>
  </si>
  <si>
    <t>0102075A8BF541FB74F77605CBD1206076A7</t>
  </si>
  <si>
    <t>0102075A1E052807789C9D556DF52A64BBCA</t>
  </si>
  <si>
    <t>010208</t>
  </si>
  <si>
    <t>0102085A1E1515E872F768B5B093256120DC</t>
  </si>
  <si>
    <t>010209</t>
  </si>
  <si>
    <t>0102095A1E55B632746466355DA1246797AF</t>
  </si>
  <si>
    <t>0102095A1E55B632746466355DA1246797AA</t>
  </si>
  <si>
    <t>0102095A1E052CE57ECC349590DA28614084</t>
  </si>
  <si>
    <t>0102095A1E052BD977BC4BD5C344246022EC</t>
  </si>
  <si>
    <t>0102095A1E052CE2718A605549CF266B479C</t>
  </si>
  <si>
    <t>0102095A1E052EAA705C0E25F82E24681FF5</t>
  </si>
  <si>
    <t>0102095D3F05E91D7C1F02152EDC2D68AB68FB3530BB</t>
  </si>
  <si>
    <t>0102095A1E15055C7F4005052E6E21622C53</t>
  </si>
  <si>
    <t>0102095A1E1515E872F707958E0E2F60AF07</t>
  </si>
  <si>
    <t>010210</t>
  </si>
  <si>
    <t>0102105A1E85E48E7520D955E555236488A8</t>
  </si>
  <si>
    <t>0102105A1E85E48B79E44D354413246D526E</t>
  </si>
  <si>
    <t>0102105A8BF541FB74F77605CBD1206076A7</t>
  </si>
  <si>
    <t>010211</t>
  </si>
  <si>
    <t>회반죽 뿜칠</t>
  </si>
  <si>
    <t>슬라브</t>
  </si>
  <si>
    <t>5A1E659AB671FD40353D04256C6858</t>
  </si>
  <si>
    <t>0102115A1E659AB671FD40353D04256C6858</t>
  </si>
  <si>
    <t>010212</t>
  </si>
  <si>
    <t>드라이비트 뿜칠</t>
  </si>
  <si>
    <t>80MM 단열</t>
  </si>
  <si>
    <t>5A1E1515E872F76815B4982F626C28</t>
  </si>
  <si>
    <t>0102125A1E1515E872F76815B4982F626C28</t>
  </si>
  <si>
    <t>0102125A1E55B632746466355DA1246797AF</t>
  </si>
  <si>
    <t>0102125A1E052CE2718A57F59E74216B913E</t>
  </si>
  <si>
    <t>장식몰딩(자작)</t>
  </si>
  <si>
    <t>24*24</t>
  </si>
  <si>
    <t>5A1E05265972E08AD5B0FA2C68C182</t>
  </si>
  <si>
    <t>0102125A1E05265972E08AD5B0FA2C68C182</t>
  </si>
  <si>
    <t>0102125A1E15055C7F4005052E6E21622C53</t>
  </si>
  <si>
    <t>0102125A1E15133A7F387B45CDBC2E6FE525</t>
  </si>
  <si>
    <t>010213</t>
  </si>
  <si>
    <t>0102135A1E1515E872F768B5B093256120DC</t>
  </si>
  <si>
    <t>010214</t>
  </si>
  <si>
    <t>0102145A1E55B632746466355DA1246797AF</t>
  </si>
  <si>
    <t>0102145A1E052CE2718A57F59E74216B913E</t>
  </si>
  <si>
    <t>0102145A1E052CE2718A72C553962C6E446E</t>
  </si>
  <si>
    <t>0102145A1E052BD977BC4BD5C344246022EC</t>
  </si>
  <si>
    <t>0102145A1E15055C7F4005052E6E21622C53</t>
  </si>
  <si>
    <t>010215</t>
  </si>
  <si>
    <t>0102155A1E85E48B79E44D354413246D526E</t>
  </si>
  <si>
    <t>0102155A8BF541FB74F77605CBD1206076A7</t>
  </si>
  <si>
    <t>010216</t>
  </si>
  <si>
    <t>0102165A1E1515E872F768B5B093256120DC</t>
  </si>
  <si>
    <t>010217</t>
  </si>
  <si>
    <t>0102175A1E55B632746466355DA1246797AF</t>
  </si>
  <si>
    <t>0102175A1E052CE2718A57F59E74216B913E</t>
  </si>
  <si>
    <t>0102175A1E052CE2718A72C553962C6E446E</t>
  </si>
  <si>
    <t>0102175A1E15055C7F4005052E6E21622C53</t>
  </si>
  <si>
    <t>0102175A1E1515E872F707958E0E2F60AF07</t>
  </si>
  <si>
    <t>화강석붙이기</t>
  </si>
  <si>
    <t>30mm,지정석</t>
  </si>
  <si>
    <t>5A1E257F1777980DD5DC342A680EB0</t>
  </si>
  <si>
    <t>0102175A1E257F1777980DD5DC342A680EB0</t>
  </si>
  <si>
    <t>010218</t>
  </si>
  <si>
    <t>0102185A1E85E48E7520D955E555236488A8</t>
  </si>
  <si>
    <t>0102185A1E85E48B79E44D354413246D526E</t>
  </si>
  <si>
    <t>0102185A8BF541FB74F77605CBD1206076A7</t>
  </si>
  <si>
    <t>010219</t>
  </si>
  <si>
    <t>FSS-6</t>
  </si>
  <si>
    <t>5A1E3562F677684B453932266DFC81</t>
  </si>
  <si>
    <t>0102195A1E3562F677684B453932266DFC81</t>
  </si>
  <si>
    <t>FSS-7</t>
  </si>
  <si>
    <t>5A1E3562F677684B453932266DFC8E</t>
  </si>
  <si>
    <t>0102195A1E3562F677684B453932266DFC8E</t>
  </si>
  <si>
    <t>FSS-8</t>
  </si>
  <si>
    <t>5A1E3562F677684B453932266DFC8F</t>
  </si>
  <si>
    <t>0102195A1E3562F677684B453932266DFC8F</t>
  </si>
  <si>
    <t>FSS-9</t>
  </si>
  <si>
    <t>5A1E3562F677684B453932266DFF5A</t>
  </si>
  <si>
    <t>0102195A1E3562F677684B453932266DFF5A</t>
  </si>
  <si>
    <t>SH-4</t>
  </si>
  <si>
    <t>5A1E3562F677684B453932266DFF5B</t>
  </si>
  <si>
    <t>0102195A1E3562F677684B453932266DFF5B</t>
  </si>
  <si>
    <t>SH-5</t>
  </si>
  <si>
    <t>5A1E3562F677684B453932266DFF58</t>
  </si>
  <si>
    <t>0102195A1E3562F677684B453932266DFF58</t>
  </si>
  <si>
    <t>SH-6</t>
  </si>
  <si>
    <t>5A1E3562F677684B453932266DFF59</t>
  </si>
  <si>
    <t>0102195A1E3562F677684B453932266DFF59</t>
  </si>
  <si>
    <t>5A1E3562F677684B453932266DFF5E</t>
  </si>
  <si>
    <t>0102195A1E3562F677684B453932266DFF5E</t>
  </si>
  <si>
    <t>0102195A1E3562F677684B453932266DFF5F</t>
  </si>
  <si>
    <t>SSW-5</t>
  </si>
  <si>
    <t>5A1E3562F677684B453932266DFF5C</t>
  </si>
  <si>
    <t>0102195A1E3562F677684B453932266DFF5C</t>
  </si>
  <si>
    <t>0102195D3F05E91E7E7FF495CFE225629D25278E1B39</t>
  </si>
  <si>
    <t>유리끼우기 및 닦기</t>
  </si>
  <si>
    <t>10mm이상</t>
  </si>
  <si>
    <t>5A1E3564A27205E2156C47236F7F96</t>
  </si>
  <si>
    <t>0102195A1E3564A27205E2156C47236F7F96</t>
  </si>
  <si>
    <t>복층유리</t>
  </si>
  <si>
    <t>복층유리, 투명, 24mm렁</t>
  </si>
  <si>
    <t>5D3F05E91E7E7FF405EA7D286662BB1A7574AF</t>
  </si>
  <si>
    <t>복층유리 24mm</t>
  </si>
  <si>
    <t>5A1E356BD279816B75C45F26660BBF</t>
  </si>
  <si>
    <t>0102195A1E356BD279816B75C45F26660BBF</t>
  </si>
  <si>
    <t>0102195D3F158ED37EEE733528322E60376B51EAD45E</t>
  </si>
  <si>
    <t>010220</t>
  </si>
  <si>
    <t>5D3F05E91F78CB2C25FFA42B6139F3392AA3E4</t>
  </si>
  <si>
    <t>0102205D3F05E91F78CB2C25FFA42B6139F3392AA3E4</t>
  </si>
  <si>
    <t>0102205D3F05E91F78CB2C25FFA42B6139F3392AA3E5</t>
  </si>
  <si>
    <t>5D3F05E91F78CB2C25FFA42B6139F3392AA482</t>
  </si>
  <si>
    <t>0102205D3F05E91F78CB2C25FFA42B6139F3392AA482</t>
  </si>
  <si>
    <t>5D3F05E91F78CB2C25FFA42B6139F3392AA592</t>
  </si>
  <si>
    <t>0102205D3F05E91F78CB2C25FFA42B6139F3392AA592</t>
  </si>
  <si>
    <t>5D3F05E91F78CB2C25FFA42B6139F3392AA593</t>
  </si>
  <si>
    <t>0102205D3F05E91F78CB2C25FFA42B6139F3392AA593</t>
  </si>
  <si>
    <t>5D3F05E91F78CB2C25FFA42B6139F3392AA590</t>
  </si>
  <si>
    <t>0102205D3F05E91F78CB2C25FFA42B6139F3392AA590</t>
  </si>
  <si>
    <t>5D3F05E91F78CB2C25FFA42B6139F3392AA591</t>
  </si>
  <si>
    <t>0102205D3F05E91F78CB2C25FFA42B6139F3392AA591</t>
  </si>
  <si>
    <t>5D3F05E91F78CB2C25FFA42B6139F3392AA596</t>
  </si>
  <si>
    <t>0102205D3F05E91F78CB2C25FFA42B6139F3392AA596</t>
  </si>
  <si>
    <t>5D3F05E91F78CB2C25FFA42B6139F3392AA597</t>
  </si>
  <si>
    <t>0102205D3F05E91F78CB2C25FFA42B6139F3392AA597</t>
  </si>
  <si>
    <t>5D3F05E91F78CB2C25FFA42B6139F3392AA594</t>
  </si>
  <si>
    <t>0102205D3F05E91F78CB2C25FFA42B6139F3392AA594</t>
  </si>
  <si>
    <t>5D3F05E91F78CB2C25FFA42B6139F3392AA595</t>
  </si>
  <si>
    <t>0102205D3F05E91F78CB2C25FFA42B6139F3392AA595</t>
  </si>
  <si>
    <t>5D3F05E91F78CB2C25FFA42B6139F3392AA59A</t>
  </si>
  <si>
    <t>0102205D3F05E91F78CB2C25FFA42B6139F3392AA59A</t>
  </si>
  <si>
    <t>5D3F05E91F78CB2C25FFA42B6139F3392AA59B</t>
  </si>
  <si>
    <t>0102205D3F05E91F78CB2C25FFA42B6139F3392AA59B</t>
  </si>
  <si>
    <t>5D3F05E91F78CB2C25FFA42B6139F3392AAA13</t>
  </si>
  <si>
    <t>0102205D3F05E91F78CB2C25FFA42B6139F3392AAA13</t>
  </si>
  <si>
    <t>5D3F05E91F78CB2C25FFA42B6139F3392AAA12</t>
  </si>
  <si>
    <t>0102205D3F05E91F78CB2C25FFA42B6139F3392AAA12</t>
  </si>
  <si>
    <t>5D3F05E91F78CB2C25FFA42B6139F3392AAA11</t>
  </si>
  <si>
    <t>0102205D3F05E91F78CB2C25FFA42B6139F3392AAA11</t>
  </si>
  <si>
    <t>5D3F05E91F78CB2C25FFA42B6139F3392AAA10</t>
  </si>
  <si>
    <t>0102205D3F05E91F78CB2C25FFA42B6139F3392AAA10</t>
  </si>
  <si>
    <t>5D3F05E91F78CB2C25FFA42B6139F3392AAA17</t>
  </si>
  <si>
    <t>0102205D3F05E91F78CB2C25FFA42B6139F3392AAA17</t>
  </si>
  <si>
    <t>5D3F05E91F78CB2C25FFA42B6139F3392AAA16</t>
  </si>
  <si>
    <t>0102205D3F05E91F78CB2C25FFA42B6139F3392AAA16</t>
  </si>
  <si>
    <t>5D3F05E91F78CB2C25FFA42B6139F3392AAA15</t>
  </si>
  <si>
    <t>0102205D3F05E91F78CB2C25FFA42B6139F3392AAA15</t>
  </si>
  <si>
    <t>5D3F05E91F78CB2C25FFA42B6139F3392AAA14</t>
  </si>
  <si>
    <t>0102205D3F05E91F78CB2C25FFA42B6139F3392AAA14</t>
  </si>
  <si>
    <t>5D3F05E91F78CB2C25FFA42B6139F3392AAA1B</t>
  </si>
  <si>
    <t>0102205D3F05E91F78CB2C25FFA42B6139F3392AAA1B</t>
  </si>
  <si>
    <t>5D3F05E91F78CB2C25FFA42B6139F3392AAA1A</t>
  </si>
  <si>
    <t>0102205D3F05E91F78CB2C25FFA42B6139F3392AAA1A</t>
  </si>
  <si>
    <t>5D3F05E91F78CB2C25FFA42B6139F3392AAB3A</t>
  </si>
  <si>
    <t>0102205D3F05E91F78CB2C25FFA42B6139F3392AAB3A</t>
  </si>
  <si>
    <t>5D3F05E91F78CB2C25FFA42B6139F3392AAB3B</t>
  </si>
  <si>
    <t>0102205D3F05E91F78CB2C25FFA42B6139F3392AAB3B</t>
  </si>
  <si>
    <t>5D3F05E91F78CB2C25FFA42B6139F3392AAB38</t>
  </si>
  <si>
    <t>0102205D3F05E91F78CB2C25FFA42B6139F3392AAB38</t>
  </si>
  <si>
    <t>010221</t>
  </si>
  <si>
    <t>5A1E55B632746466355DA1246797AB</t>
  </si>
  <si>
    <t>0102215A1E55B632746466355DA1246797AB</t>
  </si>
  <si>
    <t>피아노경첩</t>
  </si>
  <si>
    <t>전시대</t>
  </si>
  <si>
    <t>5D3F158ED37EEEBAE532BA226F02937E0BA927</t>
  </si>
  <si>
    <t>0102215D3F158ED37EEEBAE532BA226F02937E0BA927</t>
  </si>
  <si>
    <t>매입기</t>
  </si>
  <si>
    <t>5D3F158ED37EEEBAE532BA226F02937E0BA920</t>
  </si>
  <si>
    <t>0102215D3F158ED37EEEBAE532BA226F02937E0BA920</t>
  </si>
  <si>
    <t>전시대 서랍</t>
  </si>
  <si>
    <t>700*80*600, 2층</t>
  </si>
  <si>
    <t>5D3F05E91F78CB2C25FFA42B6139F3392AAB39</t>
  </si>
  <si>
    <t>0102215D3F05E91F78CB2C25FFA42B6139F3392AAB39</t>
  </si>
  <si>
    <t>4000*4000*300, 2층</t>
  </si>
  <si>
    <t>5D3F05E91F78CB2C25FFA42B6139F3392AAB3E</t>
  </si>
  <si>
    <t>0102215D3F05E91F78CB2C25FFA42B6139F3392AAB3E</t>
  </si>
  <si>
    <t>벽면형 유리선반</t>
  </si>
  <si>
    <t>T10, 300*300</t>
  </si>
  <si>
    <t>5D3F05E91F78CB2C25FFA42B6139F3392AAB3F</t>
  </si>
  <si>
    <t>0102215D3F05E91F78CB2C25FFA42B6139F3392AAB3F</t>
  </si>
  <si>
    <t>T10, 400*300</t>
  </si>
  <si>
    <t>5D3F05E91F78CB2C25FFA42B6139F3392AAB3C</t>
  </si>
  <si>
    <t>0102215D3F05E91F78CB2C25FFA42B6139F3392AAB3C</t>
  </si>
  <si>
    <t>T10, 500*200</t>
  </si>
  <si>
    <t>5D3F05E91F78CB2C25FFA42B6139F3392AAB3D</t>
  </si>
  <si>
    <t>0102215D3F05E91F78CB2C25FFA42B6139F3392AAB3D</t>
  </si>
  <si>
    <t>T10, 700*200</t>
  </si>
  <si>
    <t>5D3F05E91F78CB2C25FFA42B6139F3392AAB32</t>
  </si>
  <si>
    <t>0102215D3F05E91F78CB2C25FFA42B6139F3392AAB32</t>
  </si>
  <si>
    <t>T10, 1050*200</t>
  </si>
  <si>
    <t>5D3F05E91F78CB2C25FFA42B6139F3392AAB33</t>
  </si>
  <si>
    <t>0102215D3F05E91F78CB2C25FFA42B6139F3392AAB33</t>
  </si>
  <si>
    <t>T10, 1350*200</t>
  </si>
  <si>
    <t>5D3F05E91F78CB2C25FFA42B6139F3392B4948</t>
  </si>
  <si>
    <t>0102215D3F05E91F78CB2C25FFA42B6139F3392B4948</t>
  </si>
  <si>
    <t>T10, 1200*200</t>
  </si>
  <si>
    <t>5D3F05E91F78CB2C25FFA42B6139F3392B4949</t>
  </si>
  <si>
    <t>0102215D3F05E91F78CB2C25FFA42B6139F3392B4949</t>
  </si>
  <si>
    <t>5D3F05E91F78CB2C25FFA42B6139F3392B494B</t>
  </si>
  <si>
    <t>0102215D3F05E91F78CB2C25FFA42B6139F3392B494B</t>
  </si>
  <si>
    <t>5D3F05E91F78CB2C25FFA42B6139F3392B494C</t>
  </si>
  <si>
    <t>0102215D3F05E91F78CB2C25FFA42B6139F3392B494C</t>
  </si>
  <si>
    <t>5D3F05E91F78CB2C25FFA42B6139F3392B494D</t>
  </si>
  <si>
    <t>0102215D3F05E91F78CB2C25FFA42B6139F3392B494D</t>
  </si>
  <si>
    <t>5D3F05E91F78CB2C25FFA42B6139F3392B494E</t>
  </si>
  <si>
    <t>0102215D3F05E91F78CB2C25FFA42B6139F3392B494E</t>
  </si>
  <si>
    <t>5D3F05E91F78CB2C25FFA42B6139F3392B494F</t>
  </si>
  <si>
    <t>0102215D3F05E91F78CB2C25FFA42B6139F3392B494F</t>
  </si>
  <si>
    <t>5D3F05E91F78CB2C25FFA42B6139F3392B4940</t>
  </si>
  <si>
    <t>0102215D3F05E91F78CB2C25FFA42B6139F3392B4940</t>
  </si>
  <si>
    <t>5D3F05E91F78CB2C25FFA42B6139F3392B4941</t>
  </si>
  <si>
    <t>0102215D3F05E91F78CB2C25FFA42B6139F3392B4941</t>
  </si>
  <si>
    <t>5D3F05E91F78CB2C25FFA42B6139F3392B48A1</t>
  </si>
  <si>
    <t>0102215D3F05E91F78CB2C25FFA42B6139F3392B48A1</t>
  </si>
  <si>
    <t>5D3F05E91F78CB2C25FFA42B6139F3392B48A0</t>
  </si>
  <si>
    <t>0102215D3F05E91F78CB2C25FFA42B6139F3392B48A0</t>
  </si>
  <si>
    <t>5D3F05E91F78CB2C25FFA42B6139F3392B48A3</t>
  </si>
  <si>
    <t>0102215D3F05E91F78CB2C25FFA42B6139F3392B48A3</t>
  </si>
  <si>
    <t>5D3F05E91F78CB2C25FFA42B6139F3392B48A2</t>
  </si>
  <si>
    <t>0102215D3F05E91F78CB2C25FFA42B6139F3392B48A2</t>
  </si>
  <si>
    <t>5D3F05E91F78CB2C25FFA42B6139F3392B48A5</t>
  </si>
  <si>
    <t>0102215D3F05E91F78CB2C25FFA42B6139F3392B48A5</t>
  </si>
  <si>
    <t>5D3F05E91F78CB2C25FFA42B6139F3392B48A4</t>
  </si>
  <si>
    <t>0102215D3F05E91F78CB2C25FFA42B6139F3392B48A4</t>
  </si>
  <si>
    <t>5D3F05E91F78CB2C25FFA42B6139F3392B48A7</t>
  </si>
  <si>
    <t>0102215D3F05E91F78CB2C25FFA42B6139F3392B48A7</t>
  </si>
  <si>
    <t>5D3F05E91F78CB2C25FFA42B6139F3392B48A6</t>
  </si>
  <si>
    <t>0102215D3F05E91F78CB2C25FFA42B6139F3392B48A6</t>
  </si>
  <si>
    <t>5D3F05E91F78CB2C25FFA42B6139F3392B48A9</t>
  </si>
  <si>
    <t>0102215D3F05E91F78CB2C25FFA42B6139F3392B48A9</t>
  </si>
  <si>
    <t>5D3F05E91F78CB2C25FFA42B6139F3392B48A8</t>
  </si>
  <si>
    <t>0102215D3F05E91F78CB2C25FFA42B6139F3392B48A8</t>
  </si>
  <si>
    <t>5D3F05E91F78CB2C25FFA42B6139F3392B4B75</t>
  </si>
  <si>
    <t>0102215D3F05E91F78CB2C25FFA42B6139F3392B4B75</t>
  </si>
  <si>
    <t>5D3F05E91F78CB2C25FFA42B6139F3392B4B74</t>
  </si>
  <si>
    <t>0102215D3F05E91F78CB2C25FFA42B6139F3392B4B74</t>
  </si>
  <si>
    <t>5D3F05E91F78CB2C25FFA42B6139F3392B4B77</t>
  </si>
  <si>
    <t>0102215D3F05E91F78CB2C25FFA42B6139F3392B4B77</t>
  </si>
  <si>
    <t>5D3F05E91F78CB2C25FFA42B6139F3392B4B76</t>
  </si>
  <si>
    <t>0102215D3F05E91F78CB2C25FFA42B6139F3392B4B76</t>
  </si>
  <si>
    <t>5D3F05E91F78CB2C25FFA42B6139F3392B4B71</t>
  </si>
  <si>
    <t>0102215D3F05E91F78CB2C25FFA42B6139F3392B4B71</t>
  </si>
  <si>
    <t>5D3F05E91F78CB2C25FFA42B6139F3392B4B70</t>
  </si>
  <si>
    <t>0102215D3F05E91F78CB2C25FFA42B6139F3392B4B70</t>
  </si>
  <si>
    <t>5D3F05E91F78CB2C25FFA42B6139F3392B4B73</t>
  </si>
  <si>
    <t>0102215D3F05E91F78CB2C25FFA42B6139F3392B4B73</t>
  </si>
  <si>
    <t>5D3F05E91F78CB2C25FFA42B6139F3392B4B72</t>
  </si>
  <si>
    <t>0102215D3F05E91F78CB2C25FFA42B6139F3392B4B72</t>
  </si>
  <si>
    <t>5D3F05E91F78CB2C25FFA42B6139F3392B4B7D</t>
  </si>
  <si>
    <t>0102215D3F05E91F78CB2C25FFA42B6139F3392B4B7D</t>
  </si>
  <si>
    <t>5D3F05E91F78CB2C25FFA42B6139F3392B4B7C</t>
  </si>
  <si>
    <t>0102215D3F05E91F78CB2C25FFA42B6139F3392B4B7C</t>
  </si>
  <si>
    <t>5D3F05E91F78CB2C25FFA42B6139F3392B4A6E</t>
  </si>
  <si>
    <t>0102215D3F05E91F78CB2C25FFA42B6139F3392B4A6E</t>
  </si>
  <si>
    <t>5D3F05E91F78CB2C25FFA42B6139F3392B4A6F</t>
  </si>
  <si>
    <t>0102215D3F05E91F78CB2C25FFA42B6139F3392B4A6F</t>
  </si>
  <si>
    <t>5D3F05E91F78CB2C25FFA42B6139F3392B4A6C</t>
  </si>
  <si>
    <t>0102215D3F05E91F78CB2C25FFA42B6139F3392B4A6C</t>
  </si>
  <si>
    <t>5D3F05E91F78CB2C25FFA42B6139F3392B4A6D</t>
  </si>
  <si>
    <t>0102215D3F05E91F78CB2C25FFA42B6139F3392B4A6D</t>
  </si>
  <si>
    <t>5D3F05E91F78CB2C25FFA42B6139F3392B4A6A</t>
  </si>
  <si>
    <t>0102215D3F05E91F78CB2C25FFA42B6139F3392B4A6A</t>
  </si>
  <si>
    <t>5D3F05E91F78CB2C25FFA42B6139F3392B4A6B</t>
  </si>
  <si>
    <t>5D3F05E91F78CB2C25FFA42B6139F3392B4A68</t>
  </si>
  <si>
    <t>5D3F05E91F78CB2C25FFA42B6139F3392B4A69</t>
  </si>
  <si>
    <t>5D3F05E91F78CB2C25FFA42B6139F3392B4A66</t>
  </si>
  <si>
    <t>5D3F05E91F78CB2C25FFA42B6139F3392B4A67</t>
  </si>
  <si>
    <t>5D3F05E91F78CB2C25FFA42B6139F3392B4D23</t>
  </si>
  <si>
    <t>5D3F05E91F78CB2C25FFA42B6139F3392B4D22</t>
  </si>
  <si>
    <t>5D3F05E91F78CB2C25FFA42B6139F3392B4D21</t>
  </si>
  <si>
    <t>5D3F05E91F78CB2C25FFA42B6139F3392B4D20</t>
  </si>
  <si>
    <t>5D3F05E91F78CB2C25FFA42B6139F3392B4D27</t>
  </si>
  <si>
    <t>5D3F05E91F78CB2C25FFA42B6139F3392B4D26</t>
  </si>
  <si>
    <t>010222</t>
  </si>
  <si>
    <t>FULL HD, 4000ANSI</t>
  </si>
  <si>
    <t>5D3F05E91F78CB2C25FFA42B6139F3392B4C1C</t>
  </si>
  <si>
    <t>0102225D3F05E91F78CB2C25FFA42B6139F3392B4C1C</t>
  </si>
  <si>
    <t>일 위 대 가 목 록</t>
  </si>
  <si>
    <t>코  드</t>
  </si>
  <si>
    <t>노 무 비</t>
  </si>
  <si>
    <t>경    비</t>
  </si>
  <si>
    <t>합    계</t>
  </si>
  <si>
    <t>번  호</t>
  </si>
  <si>
    <t>비      고</t>
  </si>
  <si>
    <t>노임계수</t>
  </si>
  <si>
    <t>할증</t>
  </si>
  <si>
    <t>품셈개요</t>
  </si>
  <si>
    <t>장비일위</t>
  </si>
  <si>
    <t>일위대가</t>
  </si>
  <si>
    <t>할증적용</t>
  </si>
  <si>
    <t>할증저장</t>
  </si>
  <si>
    <t>할증율</t>
  </si>
  <si>
    <t>HAL1</t>
  </si>
  <si>
    <t>HAL2</t>
  </si>
  <si>
    <t>HAL3</t>
  </si>
  <si>
    <t>일위대가+자재</t>
  </si>
  <si>
    <t>호표 1</t>
  </si>
  <si>
    <t>건축목공</t>
  </si>
  <si>
    <t>일반공사 즤종</t>
  </si>
  <si>
    <t>5ACA9508F574DA1575031F276695A3A852E7B1</t>
  </si>
  <si>
    <t>5A1EE54A4D7D303675700E2065D1805ACA9508F574DA1575031F276695A3A852E7B1</t>
  </si>
  <si>
    <t xml:space="preserve"> [ 합          계 ]</t>
  </si>
  <si>
    <t>강관 조립말비계(이동식)설치 및 해체  높이 2m, 6개월  대     ( 호표 2 )</t>
  </si>
  <si>
    <t>호표 2</t>
  </si>
  <si>
    <t>비계안정장치</t>
  </si>
  <si>
    <t>비계안정장치, 비계기본틀, 기둥, 1.2*1.7m</t>
  </si>
  <si>
    <t>5D3F05E9107093D85506E1276B1B992B81AF38</t>
  </si>
  <si>
    <t>5A1EE54F32768623B5900B2B68B4805D3F05E9107093D85506E1276B1B992B81AF38</t>
  </si>
  <si>
    <t>비계안정장치, 가새, 1.2*1.9m</t>
  </si>
  <si>
    <t>5D3F05E9107093D85506E1276B1B992B81AF36</t>
  </si>
  <si>
    <t>5A1EE54F32768623B5900B2B68B4805D3F05E9107093D85506E1276B1B992B81AF36</t>
  </si>
  <si>
    <t>비계안정장치, 수평띠장, 1829mm</t>
  </si>
  <si>
    <t>5D3F05E9107093D85506E1276B1B992B81A0B8</t>
  </si>
  <si>
    <t>5A1EE54F32768623B5900B2B68B4805D3F05E9107093D85506E1276B1B992B81A0B8</t>
  </si>
  <si>
    <t>비계안정장치, 손잡이기둥</t>
  </si>
  <si>
    <t>5D3F05E9107093D85506E1276B1B992B81A0BF</t>
  </si>
  <si>
    <t>5A1EE54F32768623B5900B2B68B4805D3F05E9107093D85506E1276B1B992B81A0BF</t>
  </si>
  <si>
    <t>비계안정장치, 손잡이, 1229mm</t>
  </si>
  <si>
    <t>5D3F05E9107093D85506E1276B1B992B81A0B9</t>
  </si>
  <si>
    <t>5A1EE54F32768623B5900B2B68B4805D3F05E9107093D85506E1276B1B992B81A0B9</t>
  </si>
  <si>
    <t>비계안정장치, 손잡이, 1829mm</t>
  </si>
  <si>
    <t>5D3F05E9107093D85506E1276B1B992B81A0BE</t>
  </si>
  <si>
    <t>5A1EE54F32768623B5900B2B68B4805D3F05E9107093D85506E1276B1B992B81A0BE</t>
  </si>
  <si>
    <t>비계안정장치, 바퀴</t>
  </si>
  <si>
    <t>5D3F05E9107093D85506E1276B1B992B81A0BC</t>
  </si>
  <si>
    <t>5A1EE54F32768623B5900B2B68B4805D3F05E9107093D85506E1276B1B992B81A0BC</t>
  </si>
  <si>
    <t>비계안정장치, 쟈키</t>
  </si>
  <si>
    <t>5D3F05E9107093D85506E1276B1B992B81A0BD</t>
  </si>
  <si>
    <t>5A1EE54F32768623B5900B2B68B4805D3F05E9107093D85506E1276B1B992B81A0BD</t>
  </si>
  <si>
    <t>비계안정장치, 발판, 40*200*2000</t>
  </si>
  <si>
    <t>장</t>
  </si>
  <si>
    <t>5D3F05E9107093D85506E127696ECB04546362</t>
  </si>
  <si>
    <t>5A1EE54F32768623B5900B2B68B4805D3F05E9107093D85506E127696ECB04546362</t>
  </si>
  <si>
    <t>높이 2m, 노무비</t>
  </si>
  <si>
    <t>5A1EE54F32768623B5900A2961ACE4</t>
  </si>
  <si>
    <t>5A1EE54F32768623B5900B2B68B4805A1EE54F32768623B5900A2961ACE4</t>
  </si>
  <si>
    <t>건축물 보양 - 석재면, 테라조면  하드롱지 - 조달자원 대체  M2     ( 호표 3 )</t>
  </si>
  <si>
    <t>호표 3</t>
  </si>
  <si>
    <t>공통자재</t>
  </si>
  <si>
    <t>하드롱지</t>
  </si>
  <si>
    <t>5D2EE5799D7582F4E545D52E689E26CD2EF25F</t>
  </si>
  <si>
    <t>5A1EE54A4D7D300915EA23206767EA5D2EE5799D7582F4E545D52E689E26CD2EF25F</t>
  </si>
  <si>
    <t>합성풀</t>
  </si>
  <si>
    <t>합성풀, 건설용</t>
  </si>
  <si>
    <t>kg</t>
  </si>
  <si>
    <t>5D3F158DCF74FB6055FE0429661BF28260462F</t>
  </si>
  <si>
    <t>5A1EE54A4D7D300915EA23206767EA5D3F158DCF74FB6055FE0429661BF28260462F</t>
  </si>
  <si>
    <t>보통인부</t>
  </si>
  <si>
    <t>5ACA9508F574DA1575031F276695A3A852E586</t>
  </si>
  <si>
    <t>5A1EE54A4D7D300915EA23206767EA5ACA9508F574DA1575031F276695A3A852E586</t>
  </si>
  <si>
    <t>건축물 현장정리  목조  M2     ( 호표 4 )</t>
  </si>
  <si>
    <t>호표 4</t>
  </si>
  <si>
    <t>5A1EE54A4E7FFAD3759A012761FE4B5ACA9508F574DA1575031F276695A3A852E586</t>
  </si>
  <si>
    <t>호표 5</t>
  </si>
  <si>
    <t>5A1FE53B13748D3FC5D7172362D0515ACA9508F574DA1575031F276695A3A852E586</t>
  </si>
  <si>
    <t>호표 6</t>
  </si>
  <si>
    <t>5A1FE53B13748D75852A9B2D6767935ACA9508F574DA1575031F276695A3A852E586</t>
  </si>
  <si>
    <t>용접공</t>
  </si>
  <si>
    <t>5ACA9508F574DA1575031F276695A3A852E4FC</t>
  </si>
  <si>
    <t>5A1FE53B13748D75852A9B2D6767935ACA9508F574DA1575031F276695A3A852E4FC</t>
  </si>
  <si>
    <t>기계손료,철거</t>
  </si>
  <si>
    <t>노무비의 5%</t>
  </si>
  <si>
    <t>5D3F05E9107093EAB504DB2F64F278C47FE547</t>
  </si>
  <si>
    <t>5A1FE53B13748D75852A9B2D6767935D3F05E9107093EAB504DB2F64F278C47FE547</t>
  </si>
  <si>
    <t>호표 7</t>
  </si>
  <si>
    <t>5A1FE53B13748D5AA5B50A2963B7DB5ACA9508F574DA1575031F276695A3A852E7B1</t>
  </si>
  <si>
    <t>5A1FE53B13748D5AA5B50A2963B7DB5ACA9508F574DA1575031F276695A3A852E586</t>
  </si>
  <si>
    <t>호표 8</t>
  </si>
  <si>
    <t>5A1FE53B13748D485551C6286B145A5ACA9508F574DA1575031F276695A3A852E7B1</t>
  </si>
  <si>
    <t>5A1FE53B13748D485551C6286B145A5ACA9508F574DA1575031F276695A3A852E586</t>
  </si>
  <si>
    <t>호표 9</t>
  </si>
  <si>
    <t>5A1FE53B13748D75852A9B2D6767955ACA9508F574DA1575031F276695A3A852E586</t>
  </si>
  <si>
    <t>5A1FE53B13748D75852A9B2D6767955ACA9508F574DA1575031F276695A3A852E4FC</t>
  </si>
  <si>
    <t>기계손료,등박스</t>
  </si>
  <si>
    <t>5D3F05E9107093EAB504DB2F64F278C47FEA33</t>
  </si>
  <si>
    <t>5A1FE53B13748D75852A9B2D6767955D3F05E9107093EAB504DB2F64F278C47FEA33</t>
  </si>
  <si>
    <t>호표 10</t>
  </si>
  <si>
    <t>5A1FE53B13748D75852A9B2D6767965ACA9508F574DA1575031F276695A3A852E586</t>
  </si>
  <si>
    <t>5A1FE53B13748D75852A9B2D6767965ACA9508F574DA1575031F276695A3A852E4FC</t>
  </si>
  <si>
    <t>5A1FE53B13748D75852A9B2D6767965D3F05E9107093EAB504DB2F64F278C47FE547</t>
  </si>
  <si>
    <t>호표 11</t>
  </si>
  <si>
    <t>할석공</t>
  </si>
  <si>
    <t>5ACA9508F574DA1575031F276695A3A852E4F9</t>
  </si>
  <si>
    <t>5A1FE53B107F76CD2552982B6194D25ACA9508F574DA1575031F276695A3A852E4F9</t>
  </si>
  <si>
    <t>5A1FE53B107F76CD2552982B6194D25ACA9508F574DA1575031F276695A3A852E586</t>
  </si>
  <si>
    <t>잡재료</t>
  </si>
  <si>
    <t>인력품의 5%</t>
  </si>
  <si>
    <t>5B064543A673B89465BAD4226A18001</t>
  </si>
  <si>
    <t>5A1FE53B107F76CD2552982B6194D25B064543A673B89465BAD4226A18001</t>
  </si>
  <si>
    <t>호표 12</t>
  </si>
  <si>
    <t>내장공</t>
  </si>
  <si>
    <t>5ACA9508F574DA1575031F276695A3A852E6AB</t>
  </si>
  <si>
    <t>5A1FE53B13748D758529F4266D57535ACA9508F574DA1575031F276695A3A852E6AB</t>
  </si>
  <si>
    <t>5A1FE53B13748D758529F4266D57535ACA9508F574DA1575031F276695A3A852E586</t>
  </si>
  <si>
    <t>기계손료,필름철거</t>
  </si>
  <si>
    <t>5D3F05E9107093EAB504DB2F64F278C47FEBDD</t>
  </si>
  <si>
    <t>5A1FE53B13748D758529F4266D57535D3F05E9107093EAB504DB2F64F278C47FEBDD</t>
  </si>
  <si>
    <t>호표 13</t>
  </si>
  <si>
    <t>5A1FE53B13748D758529F4266D57575ACA9508F574DA1575031F276695A3A852E7B1</t>
  </si>
  <si>
    <t>5A1FE53B13748D758529F4266D57575ACA9508F574DA1575031F276695A3A852E586</t>
  </si>
  <si>
    <t>호표 14</t>
  </si>
  <si>
    <t>5A1FE53B13748D3FF5AC992A6054D45ACA9508F574DA1575031F276695A3A852E7B1</t>
  </si>
  <si>
    <t>5A1FE53B13748D3FF5AC992A6054D45ACA9508F574DA1575031F276695A3A852E586</t>
  </si>
  <si>
    <t>호표 15</t>
  </si>
  <si>
    <t>5A1FE53B13748D5AA5B50A2963B7D95ACA9508F574DA1575031F276695A3A852E7B1</t>
  </si>
  <si>
    <t>5A1FE53B13748D5AA5B50A2963B7D95ACA9508F574DA1575031F276695A3A852E586</t>
  </si>
  <si>
    <t>호표 16</t>
  </si>
  <si>
    <t>5A1FE53B13748D75852A9B2D6767945ACA9508F574DA1575031F276695A3A852E586</t>
  </si>
  <si>
    <t>5A1FE53B13748D75852A9B2D6767945ACA9508F574DA1575031F276695A3A852E4FC</t>
  </si>
  <si>
    <t>5A1FE53B13748D75852A9B2D6767945D3F05E9107093EAB504DB2F64F278C47FEA33</t>
  </si>
  <si>
    <t>호표 17</t>
  </si>
  <si>
    <t>5A1FE53B13748D758529F4266D57565ACA9508F574DA1575031F276695A3A852E586</t>
  </si>
  <si>
    <t>유리공</t>
  </si>
  <si>
    <t>5ACA9508F574DA1575031F276695A3A852E7B7</t>
  </si>
  <si>
    <t>5A1FE53B13748D758529F4266D57565ACA9508F574DA1575031F276695A3A852E7B7</t>
  </si>
  <si>
    <t>기계손료,유리</t>
  </si>
  <si>
    <t>5D3F05E9107093EAB504DB2F64F278C47FE546</t>
  </si>
  <si>
    <t>5A1FE53B13748D758529F4266D57565D3F05E9107093EAB504DB2F64F278C47FE546</t>
  </si>
  <si>
    <t>호표 18</t>
  </si>
  <si>
    <t>5A1FE53B13748D758529F4266D57555ACA9508F574DA1575031F276695A3A852E586</t>
  </si>
  <si>
    <t>5A1FE53B13748D758529F4266D57555ACA9508F574DA1575031F276695A3A852E7B1</t>
  </si>
  <si>
    <t>기계손료,쇼케이스</t>
  </si>
  <si>
    <t>5D3F05E9107093EAB504DB2F64F278C47FEA32</t>
  </si>
  <si>
    <t>5A1FE53B13748D758529F4266D57555D3F05E9107093EAB504DB2F64F278C47FEA32</t>
  </si>
  <si>
    <t>호표 19</t>
  </si>
  <si>
    <t>5A1FE53B13748D758529F4266D57545ACA9508F574DA1575031F276695A3A852E586</t>
  </si>
  <si>
    <t>5A1FE53B13748D758529F4266D57545ACA9508F574DA1575031F276695A3A852E7B1</t>
  </si>
  <si>
    <t>5A1FE53B13748D758529F4266D57545D3F05E9107093EAB504DB2F64F278C47FEA32</t>
  </si>
  <si>
    <t>호표 20</t>
  </si>
  <si>
    <t>5A1FE53B107F76CD2552982B6194D15ACA9508F574DA1575031F276695A3A852E4F9</t>
  </si>
  <si>
    <t>5A1FE53B107F76CD2552982B6194D15ACA9508F574DA1575031F276695A3A852E586</t>
  </si>
  <si>
    <t>5A1FE53B107F76CD2552982B6194D15B064543A673B89465BAD4226A18001</t>
  </si>
  <si>
    <t>호표 21</t>
  </si>
  <si>
    <t>5A1FE53B107F76CD2552982B6194D05ACA9508F574DA1575031F276695A3A852E4F9</t>
  </si>
  <si>
    <t>5A1FE53B107F76CD2552982B6194D05ACA9508F574DA1575031F276695A3A852E586</t>
  </si>
  <si>
    <t>5A1FE53B107F76CD2552982B6194D05B064543A673B89465BAD4226A18001</t>
  </si>
  <si>
    <t>호표 22</t>
  </si>
  <si>
    <t>리노륨 철거</t>
  </si>
  <si>
    <t>5A1FE53B1A7F9F30E535032E6E1EA7</t>
  </si>
  <si>
    <t>5A1FE53B1A7F9F30E535032E699C6D5A1FE53B1A7F9F30E535032E6E1EA7</t>
  </si>
  <si>
    <t>호표 23</t>
  </si>
  <si>
    <t>5A1FE53B1A7F9F30E535032E699C6C5ACA9508F574DA1575031F276695A3A852E6AB</t>
  </si>
  <si>
    <t>5A1FE53B1A7F9F30E535032E699C6C5ACA9508F574DA1575031F276695A3A852E586</t>
  </si>
  <si>
    <t>기계손료,비닐시트</t>
  </si>
  <si>
    <t>5D3F05E9107093EAB504DB2F64F278C47FEA31</t>
  </si>
  <si>
    <t>5A1FE53B1A7F9F30E535032E699C6C5D3F05E9107093EAB504DB2F64F278C47FEA31</t>
  </si>
  <si>
    <t>호표 24</t>
  </si>
  <si>
    <t>5A1FE53B107F76CD255299256778785ACA9508F574DA1575031F276695A3A852E586</t>
  </si>
  <si>
    <t>5A1FE53B107F76CD255299256778785ACA9508F574DA1575031F276695A3A852E7B1</t>
  </si>
  <si>
    <t>기계손료,우드플로링</t>
  </si>
  <si>
    <t>5D3F05E9107093EAB504DB2F64F278C47FEA30</t>
  </si>
  <si>
    <t>5A1FE53B107F76CD255299256778785D3F05E9107093EAB504DB2F64F278C47FEA30</t>
  </si>
  <si>
    <t>호표 25</t>
  </si>
  <si>
    <t>5A1FE53B107F76CD2552992567787B5ACA9508F574DA1575031F276695A3A852E586</t>
  </si>
  <si>
    <t>호표 26</t>
  </si>
  <si>
    <t>내부, 2회, 친환경페인트(POP)</t>
  </si>
  <si>
    <t>5A1E1515E872F768552FE12A62A6CB</t>
  </si>
  <si>
    <t>5A1E1515E872F768B5B093256120DC5A1E1515E872F768552FE12A62A6CB</t>
  </si>
  <si>
    <t>도장공</t>
  </si>
  <si>
    <t>5ACA9508F574DA1575031F276695A3A852E7BB</t>
  </si>
  <si>
    <t>5A1E1515E872F768B5B093256120DC5ACA9508F574DA1575031F276695A3A852E7BB</t>
  </si>
  <si>
    <t>메탈 스터드(Metal Stud)</t>
  </si>
  <si>
    <t>100*35*0.8</t>
  </si>
  <si>
    <t>5D3F05E91F78CB2C25FFA42B6139F33EAB957A</t>
  </si>
  <si>
    <t>5A1E55B632746466355DA1246797AF5D3F05E91F78CB2C25FFA42B6139F33EAB957A</t>
  </si>
  <si>
    <t>메탈러너</t>
  </si>
  <si>
    <t>102*40*0.8</t>
  </si>
  <si>
    <t>5D3F05E91875F9BD158C172863CE87C845BB2E</t>
  </si>
  <si>
    <t>5A1E55B632746466355DA1246797AF5D3F05E91875F9BD158C172863CE87C845BB2E</t>
  </si>
  <si>
    <t>일반못</t>
  </si>
  <si>
    <t>일반못, 나사못, 철, 26mm</t>
  </si>
  <si>
    <t>5D3F158ED37EEEF0956354286FA63A124D7F15</t>
  </si>
  <si>
    <t>5A1E55B632746466355DA1246797AF5D3F158ED37EEEF0956354286FA63A124D7F15</t>
  </si>
  <si>
    <t>Hilti Pin</t>
  </si>
  <si>
    <t>DN-350</t>
  </si>
  <si>
    <t>5D3F158ED37EEEF0956354286FA40C1F0C7C2F</t>
  </si>
  <si>
    <t>5A1E55B632746466355DA1246797AF5D3F158ED37EEEF0956354286FA40C1F0C7C2F</t>
  </si>
  <si>
    <t>용접봉(연강용)</t>
  </si>
  <si>
    <t>3.2(KSE5016)</t>
  </si>
  <si>
    <t>5D2E95F5937B648745FEAE2968AB815FD5D389</t>
  </si>
  <si>
    <t>5A1E55B632746466355DA1246797AF5D2E95F5937B648745FEAE2968AB815FD5D389</t>
  </si>
  <si>
    <t>특별인부</t>
  </si>
  <si>
    <t>5ACA9508F574DA1575031F276695A3A852E587</t>
  </si>
  <si>
    <t>5A1E55B632746466355DA1246797AF5ACA9508F574DA1575031F276695A3A852E587</t>
  </si>
  <si>
    <t>5A1E55B632746466355DA1246797AF5ACA9508F574DA1575031F276695A3A852E586</t>
  </si>
  <si>
    <t>공구손료</t>
  </si>
  <si>
    <t>노무비의 3%</t>
  </si>
  <si>
    <t>5D3F05E9107093EAB504DB2F64F278C47FEA35</t>
  </si>
  <si>
    <t>5A1E55B632746466355DA1246797AF5D3F05E9107093EAB504DB2F64F278C47FEA35</t>
  </si>
  <si>
    <t>호표 28</t>
  </si>
  <si>
    <t>섬유단열재</t>
  </si>
  <si>
    <t>섬유단열재, Rigid board, 밀도300kg/㎥,50mm, 암면판</t>
  </si>
  <si>
    <t>5D3F05E91D7C1F020501AE206C72837F4742D6</t>
  </si>
  <si>
    <t>5A1E052BD977BC4BD5C344246022EC5D3F05E91D7C1F020501AE206C72837F4742D6</t>
  </si>
  <si>
    <t>암면판 - 벽(공간 설치)</t>
  </si>
  <si>
    <t>노무비, 두께 50mm 기준 - 16년 상 개정 삭제</t>
  </si>
  <si>
    <t>5A1E052BD977BC4BD5C34721649F17</t>
  </si>
  <si>
    <t>5A1E052BD977BC4BD5C344246022EC5A1E052BD977BC4BD5C34721649F17</t>
  </si>
  <si>
    <t>호표 29</t>
  </si>
  <si>
    <t>석고보드, 평보드, 방화, 12.5*900*1800mm(㎡)</t>
  </si>
  <si>
    <t>5D3F05E91F78CB13B563512168838006E5D3B2</t>
  </si>
  <si>
    <t>5A1E052CE2718A72C553962C6E446D5D3F05E91F78CB13B563512168838006E5D3B2</t>
  </si>
  <si>
    <t>일반못, 50mm</t>
  </si>
  <si>
    <t>5D3F158ED37EEEF0956354286FA63A124C5382</t>
  </si>
  <si>
    <t>5A1E052CE2718A72C553962C6E446D5D3F158ED37EEEF0956354286FA63A124C5382</t>
  </si>
  <si>
    <t>5A1E052CE2718A72C553962C6E446D5ACA9508F574DA1575031F276695A3A852E7B1</t>
  </si>
  <si>
    <t>호표 30</t>
  </si>
  <si>
    <t>석고보드, 평보드, 9.5*900*1800mm(㎡)</t>
  </si>
  <si>
    <t>5D3F05E91F78CB13B56352236FAE133044553C</t>
  </si>
  <si>
    <t>5A1E052CE2718A57F59E772E6FCF3D5D3F05E91F78CB13B56352236FAE133044553C</t>
  </si>
  <si>
    <t>5A1E052CE2718A57F59E772E6FCF3D5D3F158ED37EEEF0956354286FA63A124C5382</t>
  </si>
  <si>
    <t>5A1E052CE2718A57F59E772E6FCF3D5ACA9508F574DA1575031F276695A3A852E7B1</t>
  </si>
  <si>
    <t>호표 31</t>
  </si>
  <si>
    <t>석고보드, 평보드, 12.5*900*1800mm(㎡)</t>
  </si>
  <si>
    <t>5D3F05E91F78CB13B56352236FAE133044542A</t>
  </si>
  <si>
    <t>5A1E052CE2718A57F59E74216B913E5D3F05E91F78CB13B56352236FAE133044542A</t>
  </si>
  <si>
    <t>5A1E052CE2718A57F59E74216B913E5D3F158ED37EEEF0956354286FA63A124C5382</t>
  </si>
  <si>
    <t>5A1E052CE2718A57F59E74216B913E5ACA9508F574DA1575031F276695A3A852E7B1</t>
  </si>
  <si>
    <t>호표 32</t>
  </si>
  <si>
    <t>5A1E052CE2718A72C553962C6E446E5D3F05E91F78CB13B563512168838006E5D3B2</t>
  </si>
  <si>
    <t>5A1E052CE2718A72C553962C6E446E5D3F158ED37EEEF0956354286FA63A124C5382</t>
  </si>
  <si>
    <t>5A1E052CE2718A72C553962C6E446E5ACA9508F574DA1575031F276695A3A852E7B1</t>
  </si>
  <si>
    <t>호표 33</t>
  </si>
  <si>
    <t>5A1E052CE57ECC349590DA286140845ACA9508F574DA1575031F276695A3A852E7B1</t>
  </si>
  <si>
    <t>보통합판</t>
  </si>
  <si>
    <t>보통합판, 1급, 9.0*1220*2440mm</t>
  </si>
  <si>
    <t>5D1C25ECD37C4941057EB8226B664ADAFC030B</t>
  </si>
  <si>
    <t>5A1E052CE57ECC349590DA286140845D1C25ECD37C4941057EB8226B664ADAFC030B</t>
  </si>
  <si>
    <t>5A1E052CE57ECC349590DA286140845ACA9508F574DA1575031F276695A3A852E586</t>
  </si>
  <si>
    <t>인력품의 2%</t>
  </si>
  <si>
    <t>5A1E052CE57ECC349590DA286140845B064543A673B89465BAD4226A18001</t>
  </si>
  <si>
    <t>호표 34</t>
  </si>
  <si>
    <t>중밀도섬유판</t>
  </si>
  <si>
    <t>중밀도섬유판, 9.0*1220*2440mm</t>
  </si>
  <si>
    <t>5D1C25ECD37C4941057C8F2962CE70A590D7DC</t>
  </si>
  <si>
    <t>5A1E052CE076D9813563482F68685F5D1C25ECD37C4941057C8F2962CE70A590D7DC</t>
  </si>
  <si>
    <t>벽체합판 설치</t>
  </si>
  <si>
    <t>합판 별도</t>
  </si>
  <si>
    <t>5A1E052CE57ECC349590DA28614085</t>
  </si>
  <si>
    <t>호표 35</t>
  </si>
  <si>
    <t>5A1E052EAA705C0E25F82E24681FF55ACA9508F574DA1575031F276695A3A852E6AB</t>
  </si>
  <si>
    <t>5A1E052EAA705C0E25F82E24681FF55ACA9508F574DA1575031F276695A3A852E586</t>
  </si>
  <si>
    <t>AL몰딩 설치</t>
  </si>
  <si>
    <t>m</t>
  </si>
  <si>
    <t>5A1E55B8FB716C1AF534F32862CBC6</t>
  </si>
  <si>
    <t>5A1E052EAA705C0E25F82E24681FF55A1E55B8FB716C1AF534F32862CBC6</t>
  </si>
  <si>
    <t>5A1E052EAA705C0E25F82E24681FF55B064543A673B89465BAD4226A18001</t>
  </si>
  <si>
    <t>호표 36</t>
  </si>
  <si>
    <t>5A1E052CE57ECC349590DA286140865ACA9508F574DA1575031F276695A3A852E7B1</t>
  </si>
  <si>
    <t>각재</t>
  </si>
  <si>
    <t>5D3F05E91976683A558B9D286AF63D56030B26</t>
  </si>
  <si>
    <t>5A1E052CE57ECC349590DA286140865D3F05E91976683A558B9D286AF63D56030B26</t>
  </si>
  <si>
    <t>5A1E052CE57ECC349590DA286140865ACA9508F574DA1575031F276695A3A852E586</t>
  </si>
  <si>
    <t>5A1E052CE57ECC349590DA286140865B064543A673B89465BAD4226A18001</t>
  </si>
  <si>
    <t>호표 37</t>
  </si>
  <si>
    <t>5A1E052CE57ECC349590DA286140835ACA9508F574DA1575031F276695A3A852E7B1</t>
  </si>
  <si>
    <t>보통합판, 1급, 12*1220*2440mm</t>
  </si>
  <si>
    <t>5D1C25ECD37C4941057EB8226B664ADAFC0309</t>
  </si>
  <si>
    <t>5A1E052CE57ECC349590DA286140835D1C25ECD37C4941057EB8226B664ADAFC0309</t>
  </si>
  <si>
    <t>5A1E052CE57ECC349590DA286140835ACA9508F574DA1575031F276695A3A852E586</t>
  </si>
  <si>
    <t>5A1E052CE57ECC349590DA286140835B064543A673B89465BAD4226A18001</t>
  </si>
  <si>
    <t>호표 38</t>
  </si>
  <si>
    <t>판재</t>
  </si>
  <si>
    <t>판재, 라왕, 일반증기건조</t>
  </si>
  <si>
    <t>재</t>
  </si>
  <si>
    <t>5D3F05E91976683AC53778296BCDDE610BE282</t>
  </si>
  <si>
    <t>5A1E052EAA7005CD257C802B6993A65D3F05E91976683AC53778296BCDDE610BE282</t>
  </si>
  <si>
    <t>5A1E052EAA7005CD257C802B6993A65D3F158ED37EEEF0956354286FA63A124C5382</t>
  </si>
  <si>
    <t>클리어래커칠 - 15년 상 개정 삭제</t>
  </si>
  <si>
    <t>목재면 7회</t>
  </si>
  <si>
    <t>5A1E15133A7F0CBB757F6A256F9713</t>
  </si>
  <si>
    <t>호표 39</t>
  </si>
  <si>
    <t>F-Tape</t>
  </si>
  <si>
    <t>W:35~100mm</t>
  </si>
  <si>
    <t>5D3F158DCF74FB6055FAA9266578313D8F5254</t>
  </si>
  <si>
    <t>5A1E15055C7F4005052E6E21622C535D3F158DCF74FB6055FAA9266578313D8F5254</t>
  </si>
  <si>
    <t>휠러</t>
  </si>
  <si>
    <t>5D3F158DCF74FB6055FAA9266578313D8F5379</t>
  </si>
  <si>
    <t>5A1E15055C7F4005052E6E21622C535D3F158DCF74FB6055FAA9266578313D8F5379</t>
  </si>
  <si>
    <t>퍼티</t>
  </si>
  <si>
    <t>퍼티, #319퍼티, 회색</t>
  </si>
  <si>
    <t>L</t>
  </si>
  <si>
    <t>5D3F158DCF74FB6055FAA9266578313D8C9EA7</t>
  </si>
  <si>
    <t>5A1E15055C7F4005052E6E21622C535D3F158DCF74FB6055FAA9266578313D8C9EA7</t>
  </si>
  <si>
    <t>연마지</t>
  </si>
  <si>
    <t>연마지, #120~180, 230*280mm</t>
  </si>
  <si>
    <t>5D3F158EDC7C840F45497C23672F92A6C4F1E6</t>
  </si>
  <si>
    <t>5A1E15055C7F4005052E6E21622C535D3F158EDC7C840F45497C23672F92A6C4F1E6</t>
  </si>
  <si>
    <t>5A1E15055C7F4005052E6E21622C535ACA9508F574DA1575031F276695A3A852E7BB</t>
  </si>
  <si>
    <t>5A1E15055C7F4005052E6E21622C535ACA9508F574DA1575031F276695A3A852E586</t>
  </si>
  <si>
    <t>호표 40</t>
  </si>
  <si>
    <t>콘크리트·모르타르면 바탕만들기</t>
  </si>
  <si>
    <t>5A1E15055C7F400535E3FC2862749B</t>
  </si>
  <si>
    <t>수성페인트</t>
  </si>
  <si>
    <t>수성페인트, KSM6010-2종2급, 백색</t>
  </si>
  <si>
    <t>5D3F158DCE7A9E9BA55F962364B54B37E67570</t>
  </si>
  <si>
    <t>5A1E1515E872F707958E0E2F60AF075D3F158DCE7A9E9BA55F962364B54B37E67570</t>
  </si>
  <si>
    <t>소모재료비</t>
  </si>
  <si>
    <t>주재료비의 5%</t>
  </si>
  <si>
    <t>5A1E1515E872F707958E0E2F60AF075B064543A673B89465BAD4226A18001</t>
  </si>
  <si>
    <t>5A1E1515E872F707958E0E2F60AF075D3F158EDC7C840F45497C23672F92A6C4F1E6</t>
  </si>
  <si>
    <t>5A1E1515E872F707958E0E2F60AF075ACA9508F574DA1575031F276695A3A852E7BB</t>
  </si>
  <si>
    <t>5B064543A673B89465BAD4226A1B002</t>
  </si>
  <si>
    <t>5A1E1515E872F707958E0E2F60AF075B064543A673B89465BAD4226A1B002</t>
  </si>
  <si>
    <t>호표 41</t>
  </si>
  <si>
    <t>오일프라이머</t>
  </si>
  <si>
    <t>5D3F158DCF74FB6055FAA92665783132FE25CD</t>
  </si>
  <si>
    <t>5A1E15133A7F387B45CDBC2E6FE5255D3F158DCF74FB6055FAA92665783132FE25CD</t>
  </si>
  <si>
    <t>미네랄스피릿트</t>
  </si>
  <si>
    <t>5D3F158DCF74FB6055FAA92665783132FE2424</t>
  </si>
  <si>
    <t>5A1E15133A7F387B45CDBC2E6FE5255D3F158DCF74FB6055FAA92665783132FE2424</t>
  </si>
  <si>
    <t>오일사페사</t>
  </si>
  <si>
    <t>5D3F158DCF74FB6055FAA92665783132FE2B55</t>
  </si>
  <si>
    <t>5A1E15133A7F387B45CDBC2E6FE5255D3F158DCF74FB6055FAA92665783132FE2B55</t>
  </si>
  <si>
    <t>락카신너</t>
  </si>
  <si>
    <t>5D3F158DCF74FB6055FAA92665783132FFCB6F</t>
  </si>
  <si>
    <t>5A1E15133A7F387B45CDBC2E6FE5255D3F158DCF74FB6055FAA92665783132FFCB6F</t>
  </si>
  <si>
    <t>락카에나멜</t>
  </si>
  <si>
    <t>5D3F158DCF74FB6055FAA92665783132FC749D</t>
  </si>
  <si>
    <t>5A1E15133A7F387B45CDBC2E6FE5255D3F158DCF74FB6055FAA92665783132FC749D</t>
  </si>
  <si>
    <t>주재료비의 10%</t>
  </si>
  <si>
    <t>5A1E15133A7F387B45CDBC2E6FE5255B064543A673B89465BAD4226A18001</t>
  </si>
  <si>
    <t>5A1E15133A7F387B45CDBC2E6FE5255D3F158EDC7C840F45497C23672F92A6C4F1E6</t>
  </si>
  <si>
    <t>5A1E15133A7F387B45CDBC2E6FE5255D3F158DCF74FB6055FAA9266578313D8C9EA7</t>
  </si>
  <si>
    <t>5A1E15133A7F387B45CDBC2E6FE5255ACA9508F574DA1575031F276695A3A852E7BB</t>
  </si>
  <si>
    <t>호표 42</t>
  </si>
  <si>
    <t>에나멜페인트</t>
  </si>
  <si>
    <t>에나멜페인트, SB-EE-400, 에폭시수지, 에포마, 백색</t>
  </si>
  <si>
    <t>5D3F158DCE7A9E9BA55CDE2965AB3B6994BDAA</t>
  </si>
  <si>
    <t>5A1E1514C077D15285082E2B6688975D3F158DCE7A9E9BA55CDE2965AB3B6994BDAA</t>
  </si>
  <si>
    <t>에나멜페인트, SB.EP, 에폭시수지, 에포마, 프라이머</t>
  </si>
  <si>
    <t>5D3F158DCE7A9E9BA55CDE2965AB3B6994BF57</t>
  </si>
  <si>
    <t>5A1E1514C077D15285082E2B6688975D3F158DCE7A9E9BA55CDE2965AB3B6994BF57</t>
  </si>
  <si>
    <t>5A1E1514C077D15285082E2B6688975D3F158EDC7C840F45497C23672F92A6C4F1E6</t>
  </si>
  <si>
    <t>5A1E1514C077D15285082E2B6688975ACA9508F574DA1575031F276695A3A852E7BB</t>
  </si>
  <si>
    <t>5A1E1514C077D15285082E2B6688975B064543A673B89465BAD4226A18001</t>
  </si>
  <si>
    <t>호표 43</t>
  </si>
  <si>
    <t>시멘트</t>
  </si>
  <si>
    <t>시멘트, 분공장도</t>
  </si>
  <si>
    <t>5D3F05E91875F95B05567E26690CC1242E1FC2</t>
  </si>
  <si>
    <t>5A1E85E48E7520D955E555236488A85D3F05E91875F95B05567E26690CC1242E1FC2</t>
  </si>
  <si>
    <t>모래</t>
  </si>
  <si>
    <t>모래, 서울, 상차도</t>
  </si>
  <si>
    <t>M3</t>
  </si>
  <si>
    <t>5D1C25ECD077091BC56C9B296DB7CB29F3D53B</t>
  </si>
  <si>
    <t>5A1E85E48E7520D955E555236488A85D1C25ECD077091BC56C9B296DB7CB29F3D53B</t>
  </si>
  <si>
    <t>미장공</t>
  </si>
  <si>
    <t>5ACA9508F574DA1575031F276695A3A852E7B5</t>
  </si>
  <si>
    <t>5A1E85E48E7520D955E555236488A85ACA9508F574DA1575031F276695A3A852E7B5</t>
  </si>
  <si>
    <t>5A1E85E48E7520D955E555236488A85ACA9508F574DA1575031F276695A3A852E586</t>
  </si>
  <si>
    <t>호표 44</t>
  </si>
  <si>
    <t>프라이머</t>
  </si>
  <si>
    <t>P.S</t>
  </si>
  <si>
    <t>5D3F158DCF74CFB2E517CC2B6E971F4EA14685</t>
  </si>
  <si>
    <t>5A1E85E48B79E44D354413246D526E5D3F158DCF74CFB2E517CC2B6E971F4EA14685</t>
  </si>
  <si>
    <t>S/L재</t>
  </si>
  <si>
    <t>5D3F158DCF74CFB2E517CC2B6E971F4AC6F4A7</t>
  </si>
  <si>
    <t>5A1E85E48B79E44D354413246D526E5D3F158DCF74CFB2E517CC2B6E971F4AC6F4A7</t>
  </si>
  <si>
    <t>5A1E85E48B79E44D354413246D526E5ACA9508F574DA1575031F276695A3A852E7B5</t>
  </si>
  <si>
    <t>5A1E85E48B79E44D354413246D526E5ACA9508F574DA1575031F276695A3A852E586</t>
  </si>
  <si>
    <t>호표 45</t>
  </si>
  <si>
    <t>5D3F158DCF74CFB2E517CC2B6E971EA7358D6F</t>
  </si>
  <si>
    <t>5A8BF541FB74F77605CBD1206076A75D3F158DCF74CFB2E517CC2B6E971EA7358D6F</t>
  </si>
  <si>
    <t>weberfloor 6mm</t>
  </si>
  <si>
    <t>5D3F158DCF74CFB2E517CC2B6E971EA7358D6E</t>
  </si>
  <si>
    <t>5A8BF541FB74F77605CBD1206076A75D3F158DCF74CFB2E517CC2B6E971EA7358D6E</t>
  </si>
  <si>
    <t>sealer+wax</t>
  </si>
  <si>
    <t>5D3F158DCF74CFB2E517CC2B6E971EA7358E0E</t>
  </si>
  <si>
    <t>5A8BF541FB74F77605CBD1206076A75D3F158DCF74CFB2E517CC2B6E971EA7358E0E</t>
  </si>
  <si>
    <t>mixer/pump</t>
  </si>
  <si>
    <t>5D3F158DCF74CFB2E517CC2B6E971EA7358E0F</t>
  </si>
  <si>
    <t>5A8BF541FB74F77605CBD1206076A75D3F158DCF74CFB2E517CC2B6E971EA7358E0F</t>
  </si>
  <si>
    <t>5A8BF541FB74F77605CBD1206076A75ACA9508F574DA1575031F276695A3A852E7B5</t>
  </si>
  <si>
    <t>5A8BF541FB74F77605CBD1206076A75ACA9508F574DA1575031F276695A3A852E586</t>
  </si>
  <si>
    <t>5A8BF541FB74F77605CBD1206076A75ACA9508F574DA1575031F276695A3A852E587</t>
  </si>
  <si>
    <t>호표 46</t>
  </si>
  <si>
    <t>스테인리스강판</t>
  </si>
  <si>
    <t>스테인리스강판, STS304, 1.5mm</t>
  </si>
  <si>
    <t>5D3F05E919767AE115C9A827645607B50E91A8</t>
  </si>
  <si>
    <t>5A1E052807789C9D556DF52A64BBCA5D3F05E919767AE115C9A827645607B50E91A8</t>
  </si>
  <si>
    <t>일반구조용압연강판</t>
  </si>
  <si>
    <t>일반구조용압연강판, 2.3mm</t>
  </si>
  <si>
    <t>5D3F05E919767AE115C881266A890C82F5CA09</t>
  </si>
  <si>
    <t>5A1E052807789C9D556DF52A64BBCA5D3F05E919767AE115C881266A890C82F5CA09</t>
  </si>
  <si>
    <t>일반구조용압연강판, 1.6mm</t>
  </si>
  <si>
    <t>5D3F05E919767AE115C881266A890C82F5CA0E</t>
  </si>
  <si>
    <t>5A1E052807789C9D556DF52A64BBCA5D3F05E919767AE115C881266A890C82F5CA0E</t>
  </si>
  <si>
    <t>각종 잡철물 제작 설치</t>
  </si>
  <si>
    <t>스테인리스, 간단(강판의 가공설치)</t>
  </si>
  <si>
    <t>5A1E55BC58774D67D5A126216B116D</t>
  </si>
  <si>
    <t>5A1E052807789C9D556DF52A64BBCA5A1E55BC58774D67D5A126216B116D</t>
  </si>
  <si>
    <t>철재, 간단(강판의 가공설치)</t>
  </si>
  <si>
    <t>5A1E55BC58774D55A5707F2F6F91E7</t>
  </si>
  <si>
    <t>5A1E052807789C9D556DF52A64BBCA5A1E55BC58774D55A5707F2F6F91E7</t>
  </si>
  <si>
    <t>철강설, 스텐레스, 작업설부산물</t>
  </si>
  <si>
    <t>5D1C25ECD8746E80054A682D681C7645DF3C9C</t>
  </si>
  <si>
    <t>5A1E052807789C9D556DF52A64BBCA5D1C25ECD8746E80054A682D681C7645DF3C9C</t>
  </si>
  <si>
    <t>5D1C25ECD8746E80054A682D681C7645DF3DA6</t>
  </si>
  <si>
    <t>5A1E052807789C9D556DF52A64BBCA5D1C25ECD8746E80054A682D681C7645DF3DA6</t>
  </si>
  <si>
    <t>호표 47</t>
  </si>
  <si>
    <t>석고보드, 평보드, 방수, 12.5*900*1800mm(㎡)</t>
  </si>
  <si>
    <t>5D3F05E91F78CB13B563512168838006E5D60C</t>
  </si>
  <si>
    <t>5A1E052CE2718A605549CF266B479C5D3F05E91F78CB13B563512168838006E5D60C</t>
  </si>
  <si>
    <t>5A1E052CE2718A605549CF266B479C5D3F158ED37EEEF0956354286FA63A124C5382</t>
  </si>
  <si>
    <t>5A1E052CE2718A605549CF266B479C5ACA9508F574DA1575031F276695A3A852E7B1</t>
  </si>
  <si>
    <t>호표 48</t>
  </si>
  <si>
    <t>5A1E052CE2718A57F59E74216B913F5D3F05E91F78CB13B56352236FAE133044542A</t>
  </si>
  <si>
    <t>5A1E052CE2718A57F59E74216B913F5D3F158ED37EEEF0956354286FA63A124C5382</t>
  </si>
  <si>
    <t>5A1E052CE2718A57F59E74216B913F5ACA9508F574DA1575031F276695A3A852E7B1</t>
  </si>
  <si>
    <t>호표 49</t>
  </si>
  <si>
    <t>5A1E052CE2718A57F59E772E6FCF3A5D3F05E91F78CB13B56352236FAE133044553C</t>
  </si>
  <si>
    <t>5A1E052CE2718A57F59E772E6FCF3A5D3F158ED37EEEF0956354286FA63A124C5382</t>
  </si>
  <si>
    <t>5A1E052CE2718A57F59E772E6FCF3A5ACA9508F574DA1575031F276695A3A852E7B1</t>
  </si>
  <si>
    <t>호표 50</t>
  </si>
  <si>
    <t>스틸 각파이프</t>
  </si>
  <si>
    <t>규격별</t>
  </si>
  <si>
    <t>5D1C05215275A1C7E50102266584C8BF141BF7</t>
  </si>
  <si>
    <t>5A1E55B632746466355DA1246797AA5D1C05215275A1C7E50102266584C8BF141BF7</t>
  </si>
  <si>
    <t>철공</t>
  </si>
  <si>
    <t>5ACA9508F574DA1575031F276695A3A852E58D</t>
  </si>
  <si>
    <t>5A1E55B632746466355DA1246797AA5ACA9508F574DA1575031F276695A3A852E58D</t>
  </si>
  <si>
    <t>5A1E55B632746466355DA1246797AA5ACA9508F574DA1575031F276695A3A852E586</t>
  </si>
  <si>
    <t>5A1E55B632746466355DA1246797AA5ACA9508F574DA1575031F276695A3A852E4FC</t>
  </si>
  <si>
    <t>잡자재</t>
  </si>
  <si>
    <t>5D3F05E9107093EAB504DB2F64F278C47FEA34</t>
  </si>
  <si>
    <t>5A1E55B632746466355DA1246797AA5D3F05E9107093EAB504DB2F64F278C47FEA34</t>
  </si>
  <si>
    <t>5D3F05E9107093EAB504DB2F64F278C47FEA37</t>
  </si>
  <si>
    <t>5A1E55B632746466355DA1246797AA5D3F05E9107093EAB504DB2F64F278C47FEA37</t>
  </si>
  <si>
    <t>호표 51</t>
  </si>
  <si>
    <t>일반구조용각형강관</t>
  </si>
  <si>
    <t>일반구조용각형강관, 각형강관, 30*30*1.4mm</t>
  </si>
  <si>
    <t>5D4975536E774E1B85B7CA2B6836EDC6553BDC</t>
  </si>
  <si>
    <t>5A1E55B632746466355DA1246797A55D4975536E774E1B85B7CA2B6836EDC6553BDC</t>
  </si>
  <si>
    <t>합금화용융아연도금강판</t>
  </si>
  <si>
    <t>합금화용융아연도금강판, 갈바륨, 1.60mm</t>
  </si>
  <si>
    <t>5D3F05E919767AE115C881266A890C8D80D817</t>
  </si>
  <si>
    <t>5A1E55B632746466355DA1246797A55D3F05E919767AE115C881266A890C8D80D817</t>
  </si>
  <si>
    <t>5A1E55B632746466355DA1246797A55D2E95F5937B648745FEAE2968AB815FD5D389</t>
  </si>
  <si>
    <t>산소가스</t>
  </si>
  <si>
    <t>기체</t>
  </si>
  <si>
    <t>대기압상태기준</t>
  </si>
  <si>
    <t>5D1C15C7F17EED1195D154226DAA2647D9E100</t>
  </si>
  <si>
    <t>5A1E55B632746466355DA1246797A55D1C15C7F17EED1195D154226DAA2647D9E100</t>
  </si>
  <si>
    <t>아세틸렌가스</t>
  </si>
  <si>
    <t>아세틸렌가스, g</t>
  </si>
  <si>
    <t>g</t>
  </si>
  <si>
    <t>5D1C65493171BAF4655F5229660FBA2FC24DA5</t>
  </si>
  <si>
    <t>5A1E55B632746466355DA1246797A55D1C65493171BAF4655F5229660FBA2FC24DA5</t>
  </si>
  <si>
    <t>5A1E55B632746466355DA1246797A55ACA9508F574DA1575031F276695A3A852E58D</t>
  </si>
  <si>
    <t>5A1E55B632746466355DA1246797A55ACA9508F574DA1575031F276695A3A852E586</t>
  </si>
  <si>
    <t>5A1E55B632746466355DA1246797A55ACA9508F574DA1575031F276695A3A852E4FC</t>
  </si>
  <si>
    <t>5A1E55B632746466355DA1246797A55D3F05E9107093EAB504DB2F64F278C47FEA34</t>
  </si>
  <si>
    <t>5A1E55B632746466355DA1246797A55D3F05E9107093EAB504DB2F64F278C47FEA37</t>
  </si>
  <si>
    <t>호표 52</t>
  </si>
  <si>
    <t>5A1E052CE2718A57F59E772E6FCF3C5D3F05E91F78CB13B56352236FAE133044553C</t>
  </si>
  <si>
    <t>5A1E052CE2718A57F59E772E6FCF3C5D3F158ED37EEEF0956354286FA63A124C5382</t>
  </si>
  <si>
    <t>5A1E052CE2718A57F59E772E6FCF3C5ACA9508F574DA1575031F276695A3A852E7B1</t>
  </si>
  <si>
    <t>호표 53</t>
  </si>
  <si>
    <t>5A1E052CE57ECC349590DA286140825ACA9508F574DA1575031F276695A3A852E7B1</t>
  </si>
  <si>
    <t>보통합판, 1급, 15*1220*2440mm</t>
  </si>
  <si>
    <t>5D1C25ECD37C4941057EB8226B664ADAFC0307</t>
  </si>
  <si>
    <t>5A1E052CE57ECC349590DA286140825D1C25ECD37C4941057EB8226B664ADAFC0307</t>
  </si>
  <si>
    <t>5A1E052CE57ECC349590DA286140825ACA9508F574DA1575031F276695A3A852E586</t>
  </si>
  <si>
    <t>5A1E052CE57ECC349590DA286140825B064543A673B89465BAD4226A18001</t>
  </si>
  <si>
    <t>호표 54</t>
  </si>
  <si>
    <t>5A1E15133A7F387B45CDBC2E6FE5225D3F158DCF74FB6055FAA92665783132FE25CD</t>
  </si>
  <si>
    <t>5A1E15133A7F387B45CDBC2E6FE5225D3F158DCF74FB6055FAA92665783132FE2424</t>
  </si>
  <si>
    <t>5A1E15133A7F387B45CDBC2E6FE5225D3F158DCF74FB6055FAA92665783132FE2B55</t>
  </si>
  <si>
    <t>5A1E15133A7F387B45CDBC2E6FE5225D3F158DCF74FB6055FAA92665783132FC749D</t>
  </si>
  <si>
    <t>5A1E15133A7F387B45CDBC2E6FE5225ACA9508F574DA1575031F276695A3A852E7BB</t>
  </si>
  <si>
    <t>호표 55</t>
  </si>
  <si>
    <t>자작</t>
  </si>
  <si>
    <t>9MM</t>
  </si>
  <si>
    <t>5D1C25ECD37C4941057C8F2962C63CAB59E071</t>
  </si>
  <si>
    <t>5A1E052CE076D9813563482F68685C5D1C25ECD37C4941057C8F2962C63CAB59E071</t>
  </si>
  <si>
    <t>호표 56</t>
  </si>
  <si>
    <t>단열안전방범필름 - GB20/35 GS20/35</t>
  </si>
  <si>
    <t>0.15 4mi  UV99%차단 시선차단, 단열</t>
  </si>
  <si>
    <t>5D3F05E91D7C1F02152EDC2D69B98A3F508B4C</t>
  </si>
  <si>
    <t>5A1E1517967892B9A5097B266AC7E05D3F05E91D7C1F02152EDC2D69B98A3F508B4C</t>
  </si>
  <si>
    <t>5A1E1517967892B9A5097B266AC7E05ACA9508F574DA1575031F276695A3A852E587</t>
  </si>
  <si>
    <t>호표 57</t>
  </si>
  <si>
    <t>5A1E55B632746466355DA1246797A85D1C05215275A1C7E50102266584C8BF141BF7</t>
  </si>
  <si>
    <t>5A1E55B632746466355DA1246797A85ACA9508F574DA1575031F276695A3A852E58D</t>
  </si>
  <si>
    <t>5A1E55B632746466355DA1246797A85ACA9508F574DA1575031F276695A3A852E586</t>
  </si>
  <si>
    <t>5A1E55B632746466355DA1246797A85ACA9508F574DA1575031F276695A3A852E4FC</t>
  </si>
  <si>
    <t>5A1E55B632746466355DA1246797A85D3F05E9107093EAB504DB2F64F278C47FEA34</t>
  </si>
  <si>
    <t>5A1E55B632746466355DA1246797A85D3F05E9107093EAB504DB2F64F278C47FEA37</t>
  </si>
  <si>
    <t>호표 58</t>
  </si>
  <si>
    <t>5A1E052CE57ECC349590DA286140875ACA9508F574DA1575031F276695A3A852E7B1</t>
  </si>
  <si>
    <t>5A1E052CE57ECC349590DA286140875D1C25ECD37C4941057EB8226B664ADAFC0309</t>
  </si>
  <si>
    <t>5A1E052CE57ECC349590DA286140875ACA9508F574DA1575031F276695A3A852E586</t>
  </si>
  <si>
    <t>5A1E052CE57ECC349590DA286140875B064543A673B89465BAD4226A18001</t>
  </si>
  <si>
    <t>호표 59</t>
  </si>
  <si>
    <t>5D3F05E91F78CB3E85FCF724606098ACE596EA</t>
  </si>
  <si>
    <t>5A1E052EAE7FE58605FC6C2D6424CD5D3F05E91F78CB3E85FCF724606098ACE596EA</t>
  </si>
  <si>
    <t>에폭시접착제</t>
  </si>
  <si>
    <t>에폭시접착제, 석고용</t>
  </si>
  <si>
    <t>5D3F158DCF74FB6055F8FF2664806AD24E86DB</t>
  </si>
  <si>
    <t>5A1E052EAE7FE58605FC6C2D6424CD5ACA9508F574DA1575031F276695A3A852E7B1</t>
  </si>
  <si>
    <t>5A1E052EAE7FE58605FC6C2D6424CD5ACA9508F574DA1575031F276695A3A852E586</t>
  </si>
  <si>
    <t>호표 60</t>
  </si>
  <si>
    <t>5D3F05E91E7E7FF495C103286E26DF6E143386</t>
  </si>
  <si>
    <t>5A1E3562F677684B453932266DFDAD5D3F05E91E7E7FF495C103286E26DF6E143386</t>
  </si>
  <si>
    <t>5ACA9508F574DA1575031F276695A3A852EC37</t>
  </si>
  <si>
    <t>5A1E3562F677684B453932266DFDAD5ACA9508F574DA1575031F276695A3A852EC37</t>
  </si>
  <si>
    <t>호표 61</t>
  </si>
  <si>
    <t>5D3F05E91E7E7FF495C103286E26DF6E143387</t>
  </si>
  <si>
    <t>5A1E3562F677684B453932266DFDAE5D3F05E91E7E7FF495C103286E26DF6E143387</t>
  </si>
  <si>
    <t>5ACA9508F574DA1575031F276695A3A852EC30</t>
  </si>
  <si>
    <t>5A1E3562F677684B453932266DFDAE5ACA9508F574DA1575031F276695A3A852EC30</t>
  </si>
  <si>
    <t>호표 62</t>
  </si>
  <si>
    <t>5D3F05E91E7E7FF495C103286E26DF6E15C14E</t>
  </si>
  <si>
    <t>5A1E3562F677684B453932266DFDAF5D3F05E91E7E7FF495C103286E26DF6E15C14E</t>
  </si>
  <si>
    <t>5ACA9508F574DA1575031F276695A3A852EC31</t>
  </si>
  <si>
    <t>5A1E3562F677684B453932266DFDAF5ACA9508F574DA1575031F276695A3A852EC31</t>
  </si>
  <si>
    <t>호표 63</t>
  </si>
  <si>
    <t>5D3F05E91E7E7FF495C103286E26DF6E15C14F</t>
  </si>
  <si>
    <t>5A1E3562F677684B453932266DFDA85D3F05E91E7E7FF495C103286E26DF6E15C14F</t>
  </si>
  <si>
    <t>5ACA9508F574DA1575031F276695A3A852EC32</t>
  </si>
  <si>
    <t>5A1E3562F677684B453932266DFDA85ACA9508F574DA1575031F276695A3A852EC32</t>
  </si>
  <si>
    <t>호표 64</t>
  </si>
  <si>
    <t>5D3F05E91E7E7FF495C103286E26DF6E15C14D</t>
  </si>
  <si>
    <t>5A1E3562F677684B453932266DFDAA5D3F05E91E7E7FF495C103286E26DF6E15C14D</t>
  </si>
  <si>
    <t>5ACA9508F574DA1575031F276695A3A852EC3D</t>
  </si>
  <si>
    <t>5A1E3562F677684B453932266DFDAA5ACA9508F574DA1575031F276695A3A852EC3D</t>
  </si>
  <si>
    <t>호표 65</t>
  </si>
  <si>
    <t>5D3F05E91E7E7FF495C103286E26DF6E15C14A</t>
  </si>
  <si>
    <t>5A1E3562F677684B453932266DFDAB5D3F05E91E7E7FF495C103286E26DF6E15C14A</t>
  </si>
  <si>
    <t>5ACA9508F574DA1575031F276695A3A8538B68</t>
  </si>
  <si>
    <t>5A1E3562F677684B453932266DFDAB5ACA9508F574DA1575031F276695A3A8538B68</t>
  </si>
  <si>
    <t>호표 66</t>
  </si>
  <si>
    <t>5D3F05E91E7E7FF495C103286E26DF6E15C149</t>
  </si>
  <si>
    <t>5A1E3562F677684B453932266DFC865D3F05E91E7E7FF495C103286E26DF6E15C149</t>
  </si>
  <si>
    <t>5ACA9508F574DA1575031F276695A3A8538B6A</t>
  </si>
  <si>
    <t>5A1E3562F677684B453932266DFC865ACA9508F574DA1575031F276695A3A8538B6A</t>
  </si>
  <si>
    <t>호표 67</t>
  </si>
  <si>
    <t>5D3F05E91E7E7FF495C103286E26DF6E15C147</t>
  </si>
  <si>
    <t>5A1E3562F677684B453932266DFC845D3F05E91E7E7FF495C103286E26DF6E15C147</t>
  </si>
  <si>
    <t>5ACA9508F574DA1575031F276695A3A8538B6D</t>
  </si>
  <si>
    <t>5A1E3562F677684B453932266DFC845ACA9508F574DA1575031F276695A3A8538B6D</t>
  </si>
  <si>
    <t>호표 68</t>
  </si>
  <si>
    <t>5D3F05E91E7E7FF495C103286E26DF6E15C37E</t>
  </si>
  <si>
    <t>5A1E3562F677684B453932266DFF5F5D3F05E91E7E7FF495C103286E26DF6E15C37E</t>
  </si>
  <si>
    <t>5ACA9508F574DA1575031F276695A3A8538A46</t>
  </si>
  <si>
    <t>5A1E3562F677684B453932266DFF5F5ACA9508F574DA1575031F276695A3A8538A46</t>
  </si>
  <si>
    <t>호표 69</t>
  </si>
  <si>
    <t>5D3F05E91E7E7FF495C103286E26DF6E15C0A7</t>
  </si>
  <si>
    <t>5A1E3562F677684B453932266DFC855D3F05E91E7E7FF495C103286E26DF6E15C0A7</t>
  </si>
  <si>
    <t>5ACA9508F574DA1575031F276695A3A8538B6C</t>
  </si>
  <si>
    <t>5A1E3562F677684B453932266DFC855ACA9508F574DA1575031F276695A3A8538B6C</t>
  </si>
  <si>
    <t>호표 70</t>
  </si>
  <si>
    <t>5D3F05E91E7E7FF495C103286E26DF6E15C0A6</t>
  </si>
  <si>
    <t>5A1E3562F677684B453932266DFC825D3F05E91E7E7FF495C103286E26DF6E15C0A6</t>
  </si>
  <si>
    <t>5ACA9508F574DA1575031F276695A3A8538B6E</t>
  </si>
  <si>
    <t>5A1E3562F677684B453932266DFC825ACA9508F574DA1575031F276695A3A8538B6E</t>
  </si>
  <si>
    <t>호표 71</t>
  </si>
  <si>
    <t>5D3F05E91E7E7FF495C103286E26DF6E15C0A5</t>
  </si>
  <si>
    <t>5A1E3562F677684B453932266DFC835D3F05E91E7E7FF495C103286E26DF6E15C0A5</t>
  </si>
  <si>
    <t>5ACA9508F574DA1575031F276695A3A8538B6F</t>
  </si>
  <si>
    <t>5A1E3562F677684B453932266DFC835ACA9508F574DA1575031F276695A3A8538B6F</t>
  </si>
  <si>
    <t>호표 72</t>
  </si>
  <si>
    <t>5D3F05E91E7E7FF495C103286E26DF6E15C0A4</t>
  </si>
  <si>
    <t>5A1E3562F677684B453932266DFC805D3F05E91E7E7FF495C103286E26DF6E15C0A4</t>
  </si>
  <si>
    <t>5ACA9508F574DA1575031F276695A3A8538B60</t>
  </si>
  <si>
    <t>5A1E3562F677684B453932266DFC805ACA9508F574DA1575031F276695A3A8538B60</t>
  </si>
  <si>
    <t>호표 73</t>
  </si>
  <si>
    <t>5D3F05E91E7E7FF495C103286E26DF6E15C148</t>
  </si>
  <si>
    <t>5A1E3562F677684B453932266DFDA55D3F05E91E7E7FF495C103286E26DF6E15C148</t>
  </si>
  <si>
    <t>5ACA9508F574DA1575031F276695A3A8538B69</t>
  </si>
  <si>
    <t>5A1E3562F677684B453932266DFDA55ACA9508F574DA1575031F276695A3A8538B69</t>
  </si>
  <si>
    <t>호표 74</t>
  </si>
  <si>
    <t>실링재</t>
  </si>
  <si>
    <t>실링재, 실리콘, 비초산, 건축외장용, 비오염</t>
  </si>
  <si>
    <t>5D3F158DCE7A9EB67516E2206A27BDE3B34944</t>
  </si>
  <si>
    <t>5A1E75F83178F136A59FF2286766145D3F158DCE7A9EB67516E2206A27BDE3B34944</t>
  </si>
  <si>
    <t>수밀코킹</t>
  </si>
  <si>
    <t>재료비 별도</t>
  </si>
  <si>
    <t>5A1E75F8337B9B1845565A266CED2F</t>
  </si>
  <si>
    <t>5A1E75F83178F136A59FF2286766145A1E75F8337B9B1845565A266CED2F</t>
  </si>
  <si>
    <t>호표 76</t>
  </si>
  <si>
    <t>5A1E052EAD7D97E4453C60266256CA5ACA9508F574DA1575031F276695A3A852E6AB</t>
  </si>
  <si>
    <t>호표 77</t>
  </si>
  <si>
    <t>5A1E052EAD7D97E4453C60266256C95ACA9508F574DA1575031F276695A3A852E7B1</t>
  </si>
  <si>
    <t>5A1E052EAD7D97E4453C60266256C95D1C25ECD37C4941057C8F2962C63CAB59E071</t>
  </si>
  <si>
    <t>호표 78</t>
  </si>
  <si>
    <t>호표 79</t>
  </si>
  <si>
    <t>호표 80</t>
  </si>
  <si>
    <t>호표 81</t>
  </si>
  <si>
    <t>호표 82</t>
  </si>
  <si>
    <t>5A1FE53B13748D3FF5AC992A6054D75ACA9508F574DA1575031F276695A3A852E7B1</t>
  </si>
  <si>
    <t>5A1FE53B13748D3FF5AC992A6054D75ACA9508F574DA1575031F276695A3A852E586</t>
  </si>
  <si>
    <t>호표 83</t>
  </si>
  <si>
    <t>5A1FE53B13748D5AA5B50A2963B7DA5ACA9508F574DA1575031F276695A3A852E7B1</t>
  </si>
  <si>
    <t>5A1FE53B13748D5AA5B50A2963B7DA5ACA9508F574DA1575031F276695A3A852E586</t>
  </si>
  <si>
    <t>호표 84</t>
  </si>
  <si>
    <t>인서트</t>
  </si>
  <si>
    <t>인서트, 주물, ∮6mm</t>
  </si>
  <si>
    <t>5D3F158ED37EEE73352B862F6EC94210FBC8D6</t>
  </si>
  <si>
    <t>5A1E55B8FF7F150025C24F216C5D355D3F158ED37EEE73352B862F6EC94210FBC8D6</t>
  </si>
  <si>
    <t>인서트설치 - 16년 상 개정 삭제</t>
  </si>
  <si>
    <t>거푸집용</t>
  </si>
  <si>
    <t>5A1E55B8FE7EA7E635415A2D6203C4</t>
  </si>
  <si>
    <t>5A1E55B8FF7F150025C24F216C5D355A1E55B8FE7EA7E635415A2D6203C4</t>
  </si>
  <si>
    <t>경량철골천장틀</t>
  </si>
  <si>
    <t>경량철골천장틀, 달대볼트, 상6*1000mm</t>
  </si>
  <si>
    <t>5D3F05E91F78CB2C25FFA42B6139F33EAA8BBF</t>
  </si>
  <si>
    <t>5A1E55B8FF7F150025C24F216C5D355D3F05E91F78CB2C25FFA42B6139F33EAA8BBF</t>
  </si>
  <si>
    <t>경량철골천장틀, 캐링찬넬, 38*12*1.2mm</t>
  </si>
  <si>
    <t>5D3F05E91F78CB2C25FFA42B6139F33EAA88E4</t>
  </si>
  <si>
    <t>5A1E55B8FF7F150025C24F216C5D355D3F05E91F78CB2C25FFA42B6139F33EAA88E4</t>
  </si>
  <si>
    <t>경량철골천장틀, 마이너찬넬, 19*10*1.2mm</t>
  </si>
  <si>
    <t>5D3F05E91F78CB2C25FFA42B6139F33EAA88E5</t>
  </si>
  <si>
    <t>5A1E55B8FF7F150025C24F216C5D355D3F05E91F78CB2C25FFA42B6139F33EAA88E5</t>
  </si>
  <si>
    <t>경량철골천장틀, 행가및핀, 110*23*18*2.3mm</t>
  </si>
  <si>
    <t>5D3F05E91F78CB2C25FFA42B6139F33EAA88E6</t>
  </si>
  <si>
    <t>5A1E55B8FF7F150025C24F216C5D355D3F05E91F78CB2C25FFA42B6139F33EAA88E6</t>
  </si>
  <si>
    <t>경량철골천장틀, 찬넬크립, 37*30*10*1.2mm</t>
  </si>
  <si>
    <t>5D3F05E91F78CB2C25FFA42B6139F33EAA88E7</t>
  </si>
  <si>
    <t>5A1E55B8FF7F150025C24F216C5D355D3F05E91F78CB2C25FFA42B6139F33EAA88E7</t>
  </si>
  <si>
    <t>경량철골천장틀, 캐링조인트, 90*40*13*0.5mm</t>
  </si>
  <si>
    <t>5D3F05E91F78CB2C25FFA42B6139F33EAA88E0</t>
  </si>
  <si>
    <t>5A1E55B8FF7F150025C24F216C5D355D3F05E91F78CB2C25FFA42B6139F33EAA88E0</t>
  </si>
  <si>
    <t>경량철골천장틀, M-BAR더블, 50*19*0.5mm</t>
  </si>
  <si>
    <t>5D3F05E91F78CB2C25FFA42B6139F33EAA8C5B</t>
  </si>
  <si>
    <t>5A1E55B8FF7F150025C24F216C5D355D3F05E91F78CB2C25FFA42B6139F33EAA8C5B</t>
  </si>
  <si>
    <t>경량철골천장틀, BAR크립, 더블</t>
  </si>
  <si>
    <t>5D3F05E91F78CB2C25FFA42B6139F33EAA88E1</t>
  </si>
  <si>
    <t>5A1E55B8FF7F150025C24F216C5D355D3F05E91F78CB2C25FFA42B6139F33EAA88E1</t>
  </si>
  <si>
    <t>경량철골천장틀, BAR조인트, 더블</t>
  </si>
  <si>
    <t>5D3F05E91F78CB2C25FFA42B6139F33EAA88E3</t>
  </si>
  <si>
    <t>5A1E55B8FF7F150025C24F216C5D355D3F05E91F78CB2C25FFA42B6139F33EAA88E3</t>
  </si>
  <si>
    <t>경량철골천장틀, 피스, 3*16mm</t>
  </si>
  <si>
    <t>필요시 계상</t>
  </si>
  <si>
    <t>5D3F05E91F78CB2C25FFA42B6139F33EAA898D</t>
  </si>
  <si>
    <t>5A1E55B8FF7F150025C24F216C5D355D3F05E91F78CB2C25FFA42B6139F33EAA898D</t>
  </si>
  <si>
    <t>5A1E55B8FF7F150025C24F216C5D355ACA9508F574DA1575031F276695A3A852E587</t>
  </si>
  <si>
    <t>5A1E55B8FF7F150025C24F216C5D355ACA9508F574DA1575031F276695A3A852E586</t>
  </si>
  <si>
    <t>인력품의 3%</t>
  </si>
  <si>
    <t>5A1E55B8FF7F150025C24F216C5D355B064543A673B89465BAD4226A18001</t>
  </si>
  <si>
    <t>호표 85</t>
  </si>
  <si>
    <t>5A1E052CE37214137589FB28664A355ACA9508F574DA1575031F276695A3A852E6AB</t>
  </si>
  <si>
    <t>5A1E052CE37214137589FB28664A355D3F05E91F78CB13B56352236FAE133044542A</t>
  </si>
  <si>
    <t>5A1E052CE37214137589FB28664A355ACA9508F574DA1575031F276695A3A852E586</t>
  </si>
  <si>
    <t>노임할증</t>
  </si>
  <si>
    <t>인력품의 30%</t>
  </si>
  <si>
    <t>5A1E052CE37214137589FB28664A355B064543A673B89465BAD4226A1B002</t>
  </si>
  <si>
    <t>인력품의 1%</t>
  </si>
  <si>
    <t>5A1E052CE37214137589FB28664A355B064543A673B89465BAD4226A18001</t>
  </si>
  <si>
    <t>호표 86</t>
  </si>
  <si>
    <t>비닐</t>
  </si>
  <si>
    <t>5D3F158DCE7A9E9BA55E8F2C65D3F8D648FC59</t>
  </si>
  <si>
    <t>5A1E1515E872F7B0756B732F646B4C5D3F158DCE7A9E9BA55E8F2C65D3F8D648FC59</t>
  </si>
  <si>
    <t>5A1E1515E872F7B0756B732F646B4C5B064543A673B89465BAD4226A18001</t>
  </si>
  <si>
    <t>5A1E1515E872F7B0756B732F646B4C5D3F158EDC7C840F45497C23672F92A6C4F1E6</t>
  </si>
  <si>
    <t>5A1E1515E872F7B0756B732F646B4C5ACA9508F574DA1575031F276695A3A852E7BB</t>
  </si>
  <si>
    <t>5A1E1515E872F7B0756B732F646B4C5B064543A673B89465BAD4226A1B002</t>
  </si>
  <si>
    <t>호표 87</t>
  </si>
  <si>
    <t>중밀도섬유판, 6.0*1220*2440mm</t>
  </si>
  <si>
    <t>5D1C25ECD37C4941057C8F2962CE70A590D7DA</t>
  </si>
  <si>
    <t>5A1E052CE076D9813563482F68685E5D1C25ECD37C4941057C8F2962CE70A590D7DA</t>
  </si>
  <si>
    <t>5A1E052CE076D9813563482F68685E5A1E052CE57ECC349590DA28614085</t>
  </si>
  <si>
    <t>호표 88</t>
  </si>
  <si>
    <t>각재, 외송</t>
  </si>
  <si>
    <t>5D3F05E91976683A558B9D286AF63D56030DD9</t>
  </si>
  <si>
    <t>5A1E659AB671FD40353D04256C68585D3F05E91976683A558B9D286AF63D56030DD9</t>
  </si>
  <si>
    <t>5A1E659AB671FD40353D04256C68585ACA9508F574DA1575031F276695A3A852E7B1</t>
  </si>
  <si>
    <t>5A1E659AB671FD40353D04256C68585ACA9508F574DA1575031F276695A3A852E586</t>
  </si>
  <si>
    <t>호표 89</t>
  </si>
  <si>
    <t>5A1E1515E872F76815B4982F626C285ACA9508F574DA1575031F276695A3A852E7BB</t>
  </si>
  <si>
    <t>접착몰탈</t>
  </si>
  <si>
    <t>18L</t>
  </si>
  <si>
    <t>1.2/L</t>
  </si>
  <si>
    <t>5D1C35F5F6764A6F558D2B2462AE886DC16227</t>
  </si>
  <si>
    <t>5A1E1515E872F76815B4982F626C285D1C35F5F6764A6F558D2B2462AE886DC16227</t>
  </si>
  <si>
    <t>미장몰탈(메쉬)</t>
  </si>
  <si>
    <t>0.6/L</t>
  </si>
  <si>
    <t>5D1C35F5F6764A6F558D2B2462AE886DC16224</t>
  </si>
  <si>
    <t>5A1E1515E872F76815B4982F626C285D1C35F5F6764A6F558D2B2462AE886DC16224</t>
  </si>
  <si>
    <t>E.P.S단열판(0.15)</t>
  </si>
  <si>
    <t>0.72M2(50T)</t>
  </si>
  <si>
    <t>1.1/M2</t>
  </si>
  <si>
    <t>5D1C35F5F6764A6F558D2B2462AE886DC16225</t>
  </si>
  <si>
    <t>5A1E1515E872F76815B4982F626C285D1C35F5F6764A6F558D2B2462AE886DC16225</t>
  </si>
  <si>
    <t>유리섬유(메쉬)</t>
  </si>
  <si>
    <t>100M</t>
  </si>
  <si>
    <t>1.2/M2</t>
  </si>
  <si>
    <t>5D1C35F5F6764A6F558D2B2462AE886DC1622A</t>
  </si>
  <si>
    <t>5A1E1515E872F76815B4982F626C285D1C35F5F6764A6F558D2B2462AE886DC1622A</t>
  </si>
  <si>
    <t>표준마감(중도)</t>
  </si>
  <si>
    <t>1.8/M2</t>
  </si>
  <si>
    <t>5D1C35F5F6764A6F558D2B2462AE886DC1622B</t>
  </si>
  <si>
    <t>5A1E1515E872F76815B4982F626C285D1C35F5F6764A6F558D2B2462AE886DC1622B</t>
  </si>
  <si>
    <t>청테이프&amp;카바링</t>
  </si>
  <si>
    <t>5D1C35F5F6764A6F558D2B2462AE886DC2716B</t>
  </si>
  <si>
    <t>5A1E1515E872F76815B4982F626C285D1C35F5F6764A6F558D2B2462AE886DC2716B</t>
  </si>
  <si>
    <t>잡소모재</t>
  </si>
  <si>
    <t>5D1C35F5F6764A6F558D2B2462AE886DC27168</t>
  </si>
  <si>
    <t>5A1E1515E872F76815B4982F626C285D1C35F5F6764A6F558D2B2462AE886DC27168</t>
  </si>
  <si>
    <t>공과잡비</t>
  </si>
  <si>
    <t>5D1C35F5F6764A6F558D2B2462AE886DC27169</t>
  </si>
  <si>
    <t>5A1E1515E872F76815B4982F626C285D1C35F5F6764A6F558D2B2462AE886DC27169</t>
  </si>
  <si>
    <t>5A1E1515E872F76815B4982F626C285ACA9508F574DA1575031F276695A3A852E587</t>
  </si>
  <si>
    <t>5A1E1515E872F76815B4982F626C285ACA9508F574DA1575031F276695A3A852E586</t>
  </si>
  <si>
    <t>5A1E1515E872F76815B4982F626C285ACA9508F574DA1575031F276695A3A852E7B5</t>
  </si>
  <si>
    <t>인력품의 9%</t>
  </si>
  <si>
    <t>5A1E1515E872F76815B4982F626C285B064543A673B89465BAD4226A18001</t>
  </si>
  <si>
    <t>호표 90</t>
  </si>
  <si>
    <t>5A1E05265972E08AD5B0FA2C68C1825ACA9508F574DA1575031F276695A3A852E6AB</t>
  </si>
  <si>
    <t>장식몰딩</t>
  </si>
  <si>
    <t>24*24, 자작</t>
  </si>
  <si>
    <t>5D3F05E91F78CBDEC534862565CA06989C5013</t>
  </si>
  <si>
    <t>5A1E05265972E08AD5B0FA2C68C1825D3F05E91F78CBDEC534862565CA06989C5013</t>
  </si>
  <si>
    <t>인력품의 4%</t>
  </si>
  <si>
    <t>5A1E05265972E08AD5B0FA2C68C1825B064543A673B89465BAD4226A18001</t>
  </si>
  <si>
    <t>호표 91</t>
  </si>
  <si>
    <t>자연석판석</t>
  </si>
  <si>
    <t>자연석판석, 버너마감, 30mm, 황등석판재</t>
  </si>
  <si>
    <t>5D3F05E91A70ABC2A55026266D99E52DDFB489</t>
  </si>
  <si>
    <t>5A1E257F1777980DD5DC342A680EB05D3F05E91A70ABC2A55026266D99E52DDFB489</t>
  </si>
  <si>
    <t>모르타르비빔 - 돌붙임(벽)</t>
  </si>
  <si>
    <t>배합용적비 1:3, 시멘트, 모래 별도</t>
  </si>
  <si>
    <t>5A1E257F16751D0905D06F29644597</t>
  </si>
  <si>
    <t>5A1E257F1777980DD5DC342A680EB05A1E257F16751D0905D06F29644597</t>
  </si>
  <si>
    <t>동합금선(銅合金線)</t>
  </si>
  <si>
    <t>황동, ∮4.9∼3.0mm</t>
  </si>
  <si>
    <t>5D3F05E919764D1545DB332D62E98B61B54F58</t>
  </si>
  <si>
    <t>습식공법 - 화강석</t>
  </si>
  <si>
    <t>계단부, 자재 별도</t>
  </si>
  <si>
    <t>5A1E257F1777AA7E6583202C6D7506</t>
  </si>
  <si>
    <t>5A1E257F1777980DD5DC342A680EB05A1E257F1777AA7E6583202C6D7506</t>
  </si>
  <si>
    <t>호표 92</t>
  </si>
  <si>
    <t>5D3F05E91E7E7FF495C103286E26DF6E15C0A3</t>
  </si>
  <si>
    <t>5A1E3562F677684B453932266DFC815D3F05E91E7E7FF495C103286E26DF6E15C0A3</t>
  </si>
  <si>
    <t>5ACA9508F574DA1575031F276695A3A8538B61</t>
  </si>
  <si>
    <t>5A1E3562F677684B453932266DFC815ACA9508F574DA1575031F276695A3A8538B61</t>
  </si>
  <si>
    <t>호표 93</t>
  </si>
  <si>
    <t>5D3F05E91E7E7FF495C103286E26DF6E15C0A2</t>
  </si>
  <si>
    <t>5A1E3562F677684B453932266DFC8E5D3F05E91E7E7FF495C103286E26DF6E15C0A2</t>
  </si>
  <si>
    <t>5ACA9508F574DA1575031F276695A3A8538A41</t>
  </si>
  <si>
    <t>5A1E3562F677684B453932266DFC8E5ACA9508F574DA1575031F276695A3A8538A41</t>
  </si>
  <si>
    <t>호표 94</t>
  </si>
  <si>
    <t>5D3F05E91E7E7FF495C103286E26DF6E15C0A1</t>
  </si>
  <si>
    <t>5A1E3562F677684B453932266DFC8F5D3F05E91E7E7FF495C103286E26DF6E15C0A1</t>
  </si>
  <si>
    <t>5ACA9508F574DA1575031F276695A3A8538A40</t>
  </si>
  <si>
    <t>5A1E3562F677684B453932266DFC8F5ACA9508F574DA1575031F276695A3A8538A40</t>
  </si>
  <si>
    <t>호표 95</t>
  </si>
  <si>
    <t>5D3F05E91E7E7FF495C103286E26DF6E15C0A0</t>
  </si>
  <si>
    <t>5A1E3562F677684B453932266DFF5A5D3F05E91E7E7FF495C103286E26DF6E15C0A0</t>
  </si>
  <si>
    <t>5ACA9508F574DA1575031F276695A3A8538A43</t>
  </si>
  <si>
    <t>5A1E3562F677684B453932266DFF5A5ACA9508F574DA1575031F276695A3A8538A43</t>
  </si>
  <si>
    <t>호표 96</t>
  </si>
  <si>
    <t>5D3F05E91E7E7FF495C103286E26DF6E15C0AF</t>
  </si>
  <si>
    <t>5A1E3562F677684B453932266DFF5B5D3F05E91E7E7FF495C103286E26DF6E15C0AF</t>
  </si>
  <si>
    <t>5ACA9508F574DA1575031F276695A3A8538A42</t>
  </si>
  <si>
    <t>5A1E3562F677684B453932266DFF5B5ACA9508F574DA1575031F276695A3A8538A42</t>
  </si>
  <si>
    <t>호표 97</t>
  </si>
  <si>
    <t>5D3F05E91E7E7FF495C103286E26DF6E15C0AE</t>
  </si>
  <si>
    <t>5A1E3562F677684B453932266DFF585D3F05E91E7E7FF495C103286E26DF6E15C0AE</t>
  </si>
  <si>
    <t>5ACA9508F574DA1575031F276695A3A8538A45</t>
  </si>
  <si>
    <t>5A1E3562F677684B453932266DFF585ACA9508F574DA1575031F276695A3A8538A45</t>
  </si>
  <si>
    <t>호표 98</t>
  </si>
  <si>
    <t>5D3F05E91E7E7FF495C103286E26DF6E15C37C</t>
  </si>
  <si>
    <t>5A1E3562F677684B453932266DFF595D3F05E91E7E7FF495C103286E26DF6E15C37C</t>
  </si>
  <si>
    <t>5ACA9508F574DA1575031F276695A3A8538A44</t>
  </si>
  <si>
    <t>5A1E3562F677684B453932266DFF595ACA9508F574DA1575031F276695A3A8538A44</t>
  </si>
  <si>
    <t>호표 99</t>
  </si>
  <si>
    <t>5D3F05E91E7E7FF495C103286E26DF6E15C37D</t>
  </si>
  <si>
    <t>5A1E3562F677684B453932266DFF5E5D3F05E91E7E7FF495C103286E26DF6E15C37D</t>
  </si>
  <si>
    <t>5ACA9508F574DA1575031F276695A3A8538A47</t>
  </si>
  <si>
    <t>5A1E3562F677684B453932266DFF5E5ACA9508F574DA1575031F276695A3A8538A47</t>
  </si>
  <si>
    <t>호표 100</t>
  </si>
  <si>
    <t>5D3F05E91E7E7FF495C103286E26DF6E15C37F</t>
  </si>
  <si>
    <t>5A1E3562F677684B453932266DFF5C5D3F05E91E7E7FF495C103286E26DF6E15C37F</t>
  </si>
  <si>
    <t>5ACA9508F574DA1575031F276695A3A8538A49</t>
  </si>
  <si>
    <t>5A1E3562F677684B453932266DFF5C5ACA9508F574DA1575031F276695A3A8538A49</t>
  </si>
  <si>
    <t>호표 101</t>
  </si>
  <si>
    <t>넝마</t>
  </si>
  <si>
    <t>5D490522EC74E20D1561012C67BDB2A8FA7F09</t>
  </si>
  <si>
    <t>5A1E3564A27205E2156C47236F7F965D490522EC74E20D1561012C67BDB2A8FA7F09</t>
  </si>
  <si>
    <t>가루분</t>
  </si>
  <si>
    <t>5D490522EC74E20D1561012C67BDB2A8FA7F0A</t>
  </si>
  <si>
    <t>5A1E3564A27205E2156C47236F7F965D490522EC74E20D1561012C67BDB2A8FA7F0A</t>
  </si>
  <si>
    <t>5A1E3564A27205E2156C47236F7F965ACA9508F574DA1575031F276695A3A852E7B7</t>
  </si>
  <si>
    <t>5A1E3564A27205E2156C47236F7F965ACA9508F574DA1575031F276695A3A852E586</t>
  </si>
  <si>
    <t>호표 102</t>
  </si>
  <si>
    <t>5A1E356BD279816B75C45F26660BBF5D490522EC74E20D1561012C67BDB2A8FA7F09</t>
  </si>
  <si>
    <t>5A1E356BD279816B75C45F26660BBF5D490522EC74E20D1561012C67BDB2A8FA7F0A</t>
  </si>
  <si>
    <t>5A1E356BD279816B75C45F26660BBF5ACA9508F574DA1575031F276695A3A852E7B7</t>
  </si>
  <si>
    <t>5A1E356BD279816B75C45F26660BBF5ACA9508F574DA1575031F276695A3A852E586</t>
  </si>
  <si>
    <t>호표 103</t>
  </si>
  <si>
    <t>갈바프레임</t>
  </si>
  <si>
    <t>철판 1.6T</t>
  </si>
  <si>
    <t>5D3F05E919767AE115C881266A890C8D89CFD7</t>
  </si>
  <si>
    <t>5A1E55B632746466355DA1246797AB5ACA9508F574DA1575031F276695A3A852E58D</t>
  </si>
  <si>
    <t>호표 104</t>
  </si>
  <si>
    <t>비계공</t>
  </si>
  <si>
    <t>5ACA9508F574DA1575031F276695A3A852E582</t>
  </si>
  <si>
    <t>5A1EE54F32768623B5900A2961ACE45ACA9508F574DA1575031F276695A3A852E582</t>
  </si>
  <si>
    <t>5A1EE54F32768623B5900A2961ACE45ACA9508F574DA1575031F276695A3A852E586</t>
  </si>
  <si>
    <t>호표 105</t>
  </si>
  <si>
    <t>5A1FE53B1A7F9F30E535032E6E1EA75ACA9508F574DA1575031F276695A3A852E586</t>
  </si>
  <si>
    <t>호표 106</t>
  </si>
  <si>
    <t>수성페인트, 친환경(POP), 내부</t>
  </si>
  <si>
    <t>5D3F158DCE7A9E9BA55F9623666054A2750E54</t>
  </si>
  <si>
    <t>5A1E1515E872F768552FE12A62A6CB5D3F158DCE7A9E9BA55F9623666054A2750E54</t>
  </si>
  <si>
    <t>주재료비의 6%</t>
  </si>
  <si>
    <t>5A1E1515E872F768552FE12A62A6CB5B064543A673B89465BAD4226A18001</t>
  </si>
  <si>
    <t>호표 107</t>
  </si>
  <si>
    <t>조적공</t>
  </si>
  <si>
    <t>5ACA9508F574DA1575031F276695A3A852E7B3</t>
  </si>
  <si>
    <t>5A1E052BD977BC4BD5C34721649F175ACA9508F574DA1575031F276695A3A852E7B3</t>
  </si>
  <si>
    <t>호표 108</t>
  </si>
  <si>
    <t>5A1E052CE57ECC349590DA286140855ACA9508F574DA1575031F276695A3A852E7B1</t>
  </si>
  <si>
    <t>5A1E052CE57ECC349590DA286140855ACA9508F574DA1575031F276695A3A852E586</t>
  </si>
  <si>
    <t>5A1E052CE57ECC349590DA286140855B064543A673B89465BAD4226A18001</t>
  </si>
  <si>
    <t>호표 109</t>
  </si>
  <si>
    <t>래커</t>
  </si>
  <si>
    <t>래커, 래커우드필러</t>
  </si>
  <si>
    <t>5D3F158DCE7A9EB675117C246DD7BE86E6EA67</t>
  </si>
  <si>
    <t>5A1E15133A7F0CBB757F6A256F97135D3F158DCE7A9EB675117C246DD7BE86E6EA67</t>
  </si>
  <si>
    <t>래커, KSM5327, 래커우드실러</t>
  </si>
  <si>
    <t>5D3F158DCE7A9EB675117C246DD7BE86E6EA61</t>
  </si>
  <si>
    <t>5A1E15133A7F0CBB757F6A256F97135D3F158DCE7A9EB675117C246DD7BE86E6EA61</t>
  </si>
  <si>
    <t>시너</t>
  </si>
  <si>
    <t>시너, KSM6060, 3종</t>
  </si>
  <si>
    <t>5D3F158DCE7A9E438540EA216F4B8ADC6C7A9E</t>
  </si>
  <si>
    <t>5A1E15133A7F0CBB757F6A256F97135D3F158DCE7A9E438540EA216F4B8ADC6C7A9E</t>
  </si>
  <si>
    <t>래커, KSM5300, 래커샌딩실러</t>
  </si>
  <si>
    <t>5D3F158DCE7A9EB675117C246DD7BE86E6EA63</t>
  </si>
  <si>
    <t>5A1E15133A7F0CBB757F6A256F97135D3F158DCE7A9EB675117C246DD7BE86E6EA63</t>
  </si>
  <si>
    <t>래커, KSM5326, 투명래커, 상도용</t>
  </si>
  <si>
    <t>5D3F158DCE7A9EB675117C246DD7BE86E6EB02</t>
  </si>
  <si>
    <t>5A1E15133A7F0CBB757F6A256F97135D3F158DCE7A9EB675117C246DD7BE86E6EB02</t>
  </si>
  <si>
    <t>시너, KSM6060, 2종</t>
  </si>
  <si>
    <t>5D3F158DCE7A9E438540EA216F4B8ADD7A92CE</t>
  </si>
  <si>
    <t>5A1E15133A7F0CBB757F6A256F97135D3F158DCE7A9E438540EA216F4B8ADD7A92CE</t>
  </si>
  <si>
    <t>5A1E15133A7F0CBB757F6A256F97135B064543A673B89465BAD4226A18001</t>
  </si>
  <si>
    <t>퍼티, 319퍼티, 백색</t>
  </si>
  <si>
    <t>1L=1.55kg</t>
  </si>
  <si>
    <t>5D3F158DCF74FB6055FAA9266578313D8E4A5D</t>
  </si>
  <si>
    <t>5A1E15133A7F0CBB757F6A256F97135D3F158DCF74FB6055FAA9266578313D8E4A5D</t>
  </si>
  <si>
    <t>5A1E15133A7F0CBB757F6A256F97135D3F158EDC7C840F45497C23672F92A6C4F1E6</t>
  </si>
  <si>
    <t>5A1E15133A7F0CBB757F6A256F97135ACA9508F574DA1575031F276695A3A852E7BB</t>
  </si>
  <si>
    <t>호표 110</t>
  </si>
  <si>
    <t>5A1E15055C7F400535E3FC2862749B5D3F158DCF74FB6055FAA9266578313D8E4A5D</t>
  </si>
  <si>
    <t>5A1E15055C7F400535E3FC2862749B5D3F158EDC7C840F45497C23672F92A6C4F1E6</t>
  </si>
  <si>
    <t>5A1E15055C7F400535E3FC2862749B5ACA9508F574DA1575031F276695A3A852E7BB</t>
  </si>
  <si>
    <t>5A1E15055C7F400535E3FC2862749B5ACA9508F574DA1575031F276695A3A852E586</t>
  </si>
  <si>
    <t>호표 111</t>
  </si>
  <si>
    <t>각종 잡철물 제작</t>
  </si>
  <si>
    <t>5A1E55BC58774D67E54789236AA1C9</t>
  </si>
  <si>
    <t>5A1E55BC58774D67D5A126216B116D5A1E55BC58774D67E54789236AA1C9</t>
  </si>
  <si>
    <t>각종 잡철물 설치</t>
  </si>
  <si>
    <t>5A1E55BC58774D67E5478821639760</t>
  </si>
  <si>
    <t>5A1E55BC58774D67D5A126216B116D5A1E55BC58774D67E5478821639760</t>
  </si>
  <si>
    <t>호표 112</t>
  </si>
  <si>
    <t>5A1E55BC58774D55956B3B28640F6B</t>
  </si>
  <si>
    <t>5A1E55BC58774D55A5707F2F6F91E75A1E55BC58774D55956B3B28640F6B</t>
  </si>
  <si>
    <t>5A1E55BC58774D55956B3A2F6DBC04</t>
  </si>
  <si>
    <t>5A1E55BC58774D55A5707F2F6F91E75A1E55BC58774D55956B3A2F6DBC04</t>
  </si>
  <si>
    <t>호표 113</t>
  </si>
  <si>
    <t>스테인리스강용피복아크용접봉</t>
  </si>
  <si>
    <t>스테인리스강용피복아크용접봉, ∮3.2mm, AWSE309</t>
  </si>
  <si>
    <t>5D2E95F5937B648745FEAE2968AB815FD6F241</t>
  </si>
  <si>
    <t>5A1E55BC58774D67E54789236AA1C95D2E95F5937B648745FEAE2968AB815FD6F241</t>
  </si>
  <si>
    <t>5A1E55BC58774D67E54789236AA1C95D1C15C7F17EED1195D154226DAA2647D9E100</t>
  </si>
  <si>
    <t>아세틸렌가스, kg</t>
  </si>
  <si>
    <t>5D1C65493171BAF4655F5229660FBA2FC24DA6</t>
  </si>
  <si>
    <t>5A1E55BC58774D67E54789236AA1C95D1C65493171BAF4655F5229660FBA2FC24DA6</t>
  </si>
  <si>
    <t>용접기(교류)</t>
  </si>
  <si>
    <t>500Amp</t>
  </si>
  <si>
    <t>HR</t>
  </si>
  <si>
    <t>5D03C563A17F809D45B54E2E61CEA46328910FBD</t>
  </si>
  <si>
    <t>5A1E55BC58774D67E54789236AA1C95D03C563A17F809D45B54E2E61CEA46328910FBD</t>
  </si>
  <si>
    <t>일반경비, 전력</t>
  </si>
  <si>
    <t>kwh</t>
  </si>
  <si>
    <t>5A57A5B94B7A3B2FF56FF82760CEA69C6578CC</t>
  </si>
  <si>
    <t>5A1E55BC58774D67E54789236AA1C95A57A5B94B7A3B2FF56FF82760CEA69C6578CC</t>
  </si>
  <si>
    <t>철판공</t>
  </si>
  <si>
    <t>5ACA9508F574DA1575031F276695A3A852E4FE</t>
  </si>
  <si>
    <t>5A1E55BC58774D67E54789236AA1C95ACA9508F574DA1575031F276695A3A852E4FE</t>
  </si>
  <si>
    <t>5A1E55BC58774D67E54789236AA1C95ACA9508F574DA1575031F276695A3A852E586</t>
  </si>
  <si>
    <t>5A1E55BC58774D67E54789236AA1C95ACA9508F574DA1575031F276695A3A852E4FC</t>
  </si>
  <si>
    <t>5A1E55BC58774D67E54789236AA1C95ACA9508F574DA1575031F276695A3A852E587</t>
  </si>
  <si>
    <t>5A1E55BC58774D67E54789236AA1C95B064543A673B89465BAD4226A18001</t>
  </si>
  <si>
    <t>호표 114</t>
  </si>
  <si>
    <t>5A1E55BC58774D67E54788216397605D2E95F5937B648745FEAE2968AB815FD6F241</t>
  </si>
  <si>
    <t>5A1E55BC58774D67E54788216397605D1C15C7F17EED1195D154226DAA2647D9E100</t>
  </si>
  <si>
    <t>5A1E55BC58774D67E54788216397605D1C65493171BAF4655F5229660FBA2FC24DA6</t>
  </si>
  <si>
    <t>5A1E55BC58774D67E54788216397605D03C563A17F809D45B54E2E61CEA46328910FBD</t>
  </si>
  <si>
    <t>5A1E55BC58774D67E54788216397605A57A5B94B7A3B2FF56FF82760CEA69C6578CC</t>
  </si>
  <si>
    <t>5A1E55BC58774D67E54788216397605ACA9508F574DA1575031F276695A3A852E4FE</t>
  </si>
  <si>
    <t>5A1E55BC58774D67E54788216397605ACA9508F574DA1575031F276695A3A852E586</t>
  </si>
  <si>
    <t>5A1E55BC58774D67E54788216397605ACA9508F574DA1575031F276695A3A852E4FC</t>
  </si>
  <si>
    <t>5A1E55BC58774D67E54788216397605ACA9508F574DA1575031F276695A3A852E587</t>
  </si>
  <si>
    <t>5A1E55BC58774D67E54788216397605B064543A673B89465BAD4226A18001</t>
  </si>
  <si>
    <t>호표 115</t>
  </si>
  <si>
    <t>3.2(KSE4301)</t>
  </si>
  <si>
    <t>5D2E95F5937B648745FEAE2968AB815FD5DCEA</t>
  </si>
  <si>
    <t>5A1E55BC58774D55956B3B28640F6B5D2E95F5937B648745FEAE2968AB815FD5DCEA</t>
  </si>
  <si>
    <t>5A1E55BC58774D55956B3B28640F6B5D1C15C7F17EED1195D154226DAA2647D9E100</t>
  </si>
  <si>
    <t>5A1E55BC58774D55956B3B28640F6B5D1C65493171BAF4655F5229660FBA2FC24DA6</t>
  </si>
  <si>
    <t>5A1E55BC58774D55956B3B28640F6B5D03C563A17F809D45B54E2E61CEA46328910FBD</t>
  </si>
  <si>
    <t>5A1E55BC58774D55956B3B28640F6B5A57A5B94B7A3B2FF56FF82760CEA69C6578CC</t>
  </si>
  <si>
    <t>5A1E55BC58774D55956B3B28640F6B5ACA9508F574DA1575031F276695A3A852E4FE</t>
  </si>
  <si>
    <t>5A1E55BC58774D55956B3B28640F6B5ACA9508F574DA1575031F276695A3A852E586</t>
  </si>
  <si>
    <t>5A1E55BC58774D55956B3B28640F6B5ACA9508F574DA1575031F276695A3A852E4FC</t>
  </si>
  <si>
    <t>5A1E55BC58774D55956B3B28640F6B5ACA9508F574DA1575031F276695A3A852E587</t>
  </si>
  <si>
    <t>5A1E55BC58774D55956B3B28640F6B5B064543A673B89465BAD4226A18001</t>
  </si>
  <si>
    <t>호표 116</t>
  </si>
  <si>
    <t>5A1E55BC58774D55956B3A2F6DBC045D2E95F5937B648745FEAE2968AB815FD5DCEA</t>
  </si>
  <si>
    <t>5A1E55BC58774D55956B3A2F6DBC045D1C15C7F17EED1195D154226DAA2647D9E100</t>
  </si>
  <si>
    <t>5A1E55BC58774D55956B3A2F6DBC045D1C65493171BAF4655F5229660FBA2FC24DA6</t>
  </si>
  <si>
    <t>5A1E55BC58774D55956B3A2F6DBC045D03C563A17F809D45B54E2E61CEA46328910FBD</t>
  </si>
  <si>
    <t>5A1E55BC58774D55956B3A2F6DBC045A57A5B94B7A3B2FF56FF82760CEA69C6578CC</t>
  </si>
  <si>
    <t>5A1E55BC58774D55956B3A2F6DBC045ACA9508F574DA1575031F276695A3A852E4FE</t>
  </si>
  <si>
    <t>5A1E55BC58774D55956B3A2F6DBC045ACA9508F574DA1575031F276695A3A852E586</t>
  </si>
  <si>
    <t>5A1E55BC58774D55956B3A2F6DBC045ACA9508F574DA1575031F276695A3A852E4FC</t>
  </si>
  <si>
    <t>5A1E55BC58774D55956B3A2F6DBC045ACA9508F574DA1575031F276695A3A852E587</t>
  </si>
  <si>
    <t>5A1E55BC58774D55956B3A2F6DBC045B064543A673B89465BAD4226A18001</t>
  </si>
  <si>
    <t>호표 117</t>
  </si>
  <si>
    <t>A</t>
  </si>
  <si>
    <t>천원</t>
  </si>
  <si>
    <t>5D03C563A17F809D45B54E2E61CEA46328910F</t>
  </si>
  <si>
    <t>5D03C563A17F809D45B54E2E61CEA46328910FBD5D03C563A17F809D45B54E2E61CEA46328910F</t>
  </si>
  <si>
    <t>호표 118</t>
  </si>
  <si>
    <t>코킹공</t>
  </si>
  <si>
    <t>기타 직종</t>
  </si>
  <si>
    <t>5ACA9508F574DA157507FA2866B61F338B3814</t>
  </si>
  <si>
    <t>5A1E75F8337B9B1845565A266CED2F5ACA9508F574DA157507FA2866B61F338B3814</t>
  </si>
  <si>
    <t>호표 119</t>
  </si>
  <si>
    <t>일반못, 65mm</t>
  </si>
  <si>
    <t>5D3F158ED37EEEF0956354286FA40C1F0E2E6C</t>
  </si>
  <si>
    <t>5A1E55B8FE7EA7E635415A2D6203C45D3F158ED37EEEF0956354286FA40C1F0E2E6C</t>
  </si>
  <si>
    <t>형틀목공</t>
  </si>
  <si>
    <t>5ACA9508F574DA1575031F276695A3A852E583</t>
  </si>
  <si>
    <t>5A1E55B8FE7EA7E635415A2D6203C45ACA9508F574DA1575031F276695A3A852E583</t>
  </si>
  <si>
    <t>호표 120</t>
  </si>
  <si>
    <t>시멘트(별도)</t>
  </si>
  <si>
    <t>별도</t>
  </si>
  <si>
    <t>5D3F05E91875F95B05567E26690CC1242E1FC0</t>
  </si>
  <si>
    <t>5A1E257F16751D0905D06F296445975D3F05E91875F95B05567E26690CC1242E1FC0</t>
  </si>
  <si>
    <t>(별도)</t>
  </si>
  <si>
    <t>5D1C25ECD077091BC56C9B296DB7CB29F3D53A</t>
  </si>
  <si>
    <t>5A1E257F16751D0905D06F296445975D1C25ECD077091BC56C9B296DB7CB29F3D53A</t>
  </si>
  <si>
    <t>모르타르 배합</t>
  </si>
  <si>
    <t>모래채가름 포함</t>
  </si>
  <si>
    <t>5A1E85E48E75167CD59CEE2F640E55</t>
  </si>
  <si>
    <t>5A1E257F16751D0905D06F296445975A1E85E48E75167CD59CEE2F640E55</t>
  </si>
  <si>
    <t>호표 121</t>
  </si>
  <si>
    <t>석공</t>
  </si>
  <si>
    <t>5ACA9508F574DA1575031F276695A3A852E6A8</t>
  </si>
  <si>
    <t>5A1E257F1777AA7E6583202C6D75065ACA9508F574DA1575031F276695A3A852E6A8</t>
  </si>
  <si>
    <t>5A1E257F1777AA7E6583202C6D75065ACA9508F574DA1575031F276695A3A852E586</t>
  </si>
  <si>
    <t>5A1E257F1777AA7E6583202C6D75065B064543A673B89465BAD4226A18001</t>
  </si>
  <si>
    <t>호표 122</t>
  </si>
  <si>
    <t>5A1E85E48E75167CD59CEE2F640E555ACA9508F574DA1575031F276695A3A852E586</t>
  </si>
  <si>
    <t>단 가 대 비 표</t>
  </si>
  <si>
    <t>규격</t>
  </si>
  <si>
    <t>조달청가격</t>
  </si>
  <si>
    <t>PAGE</t>
  </si>
  <si>
    <t>거래가격</t>
  </si>
  <si>
    <t>유통물가</t>
  </si>
  <si>
    <t>조사가격1</t>
  </si>
  <si>
    <t>조사가격2</t>
  </si>
  <si>
    <t>적용단가</t>
  </si>
  <si>
    <t>품목구분</t>
  </si>
  <si>
    <t>노임구분</t>
  </si>
  <si>
    <t>소수점처리</t>
  </si>
  <si>
    <t>자재 2</t>
  </si>
  <si>
    <t>자재 3</t>
  </si>
  <si>
    <t>자재 4</t>
  </si>
  <si>
    <t>자재 5</t>
  </si>
  <si>
    <t>자재 6</t>
  </si>
  <si>
    <t>자재 7</t>
  </si>
  <si>
    <t>자재 8</t>
  </si>
  <si>
    <t>자재 9</t>
  </si>
  <si>
    <t>자재 10</t>
  </si>
  <si>
    <t>자재 11</t>
  </si>
  <si>
    <t>자재 12</t>
  </si>
  <si>
    <t>자재 13</t>
  </si>
  <si>
    <t>자재 14</t>
  </si>
  <si>
    <t>자재 15</t>
  </si>
  <si>
    <t>자재 16</t>
  </si>
  <si>
    <t>자재 17</t>
  </si>
  <si>
    <t>자재 18</t>
  </si>
  <si>
    <t>자재 19</t>
  </si>
  <si>
    <t>자재 20</t>
  </si>
  <si>
    <t>자재 21</t>
  </si>
  <si>
    <t>자재 22</t>
  </si>
  <si>
    <t>자재 23</t>
  </si>
  <si>
    <t>자재 24</t>
  </si>
  <si>
    <t>47</t>
  </si>
  <si>
    <t>자재 25</t>
  </si>
  <si>
    <t>653</t>
  </si>
  <si>
    <t>417</t>
  </si>
  <si>
    <t>자재 26</t>
  </si>
  <si>
    <t>자재 27</t>
  </si>
  <si>
    <t>자재 28</t>
  </si>
  <si>
    <t>654</t>
  </si>
  <si>
    <t>자재 29</t>
  </si>
  <si>
    <t>419</t>
  </si>
  <si>
    <t>자재 30</t>
  </si>
  <si>
    <t>자재 31</t>
  </si>
  <si>
    <t>1488</t>
  </si>
  <si>
    <t>1246</t>
  </si>
  <si>
    <t>자재 32</t>
  </si>
  <si>
    <t>자재 33</t>
  </si>
  <si>
    <t>자재 34</t>
  </si>
  <si>
    <t>1467</t>
  </si>
  <si>
    <t>1238</t>
  </si>
  <si>
    <t>자재 35</t>
  </si>
  <si>
    <t>자재 36</t>
  </si>
  <si>
    <t>자재 37</t>
  </si>
  <si>
    <t>자재 38</t>
  </si>
  <si>
    <t>1342</t>
  </si>
  <si>
    <t>자재 39</t>
  </si>
  <si>
    <t>1180</t>
  </si>
  <si>
    <t>자재 40</t>
  </si>
  <si>
    <t>자재 41</t>
  </si>
  <si>
    <t>676</t>
  </si>
  <si>
    <t>자재 42</t>
  </si>
  <si>
    <t>495</t>
  </si>
  <si>
    <t>자재 43</t>
  </si>
  <si>
    <t>62</t>
  </si>
  <si>
    <t>26</t>
  </si>
  <si>
    <t>자재 44</t>
  </si>
  <si>
    <t>자재 45</t>
  </si>
  <si>
    <t>65</t>
  </si>
  <si>
    <t>자재 46</t>
  </si>
  <si>
    <t>69</t>
  </si>
  <si>
    <t>30</t>
  </si>
  <si>
    <t>자재 47</t>
  </si>
  <si>
    <t>76</t>
  </si>
  <si>
    <t>36</t>
  </si>
  <si>
    <t>자재 48</t>
  </si>
  <si>
    <t>자재 49</t>
  </si>
  <si>
    <t>153</t>
  </si>
  <si>
    <t>73</t>
  </si>
  <si>
    <t>자재 50</t>
  </si>
  <si>
    <t>138</t>
  </si>
  <si>
    <t>자재 51</t>
  </si>
  <si>
    <t>자재 52</t>
  </si>
  <si>
    <t>자재 53</t>
  </si>
  <si>
    <t>129</t>
  </si>
  <si>
    <t>자재 54</t>
  </si>
  <si>
    <t>545</t>
  </si>
  <si>
    <t>375</t>
  </si>
  <si>
    <t>자재 55</t>
  </si>
  <si>
    <t>402</t>
  </si>
  <si>
    <t>자재 56</t>
  </si>
  <si>
    <t>645</t>
  </si>
  <si>
    <t>자재 57</t>
  </si>
  <si>
    <t>646</t>
  </si>
  <si>
    <t>자재 58</t>
  </si>
  <si>
    <t>658</t>
  </si>
  <si>
    <t>418</t>
  </si>
  <si>
    <t>자재 59</t>
  </si>
  <si>
    <t>자재 60</t>
  </si>
  <si>
    <t>659</t>
  </si>
  <si>
    <t>자재 61</t>
  </si>
  <si>
    <t>자재 62</t>
  </si>
  <si>
    <t>429</t>
  </si>
  <si>
    <t>자재 63</t>
  </si>
  <si>
    <t>자재 64</t>
  </si>
  <si>
    <t>151</t>
  </si>
  <si>
    <t>자재 65</t>
  </si>
  <si>
    <t>자재 66</t>
  </si>
  <si>
    <t>자재 67</t>
  </si>
  <si>
    <t>자재 68</t>
  </si>
  <si>
    <t>자재 69</t>
  </si>
  <si>
    <t>자재 70</t>
  </si>
  <si>
    <t>자재 71</t>
  </si>
  <si>
    <t>자재 72</t>
  </si>
  <si>
    <t>자재 73</t>
  </si>
  <si>
    <t>자재 74</t>
  </si>
  <si>
    <t>자재 75</t>
  </si>
  <si>
    <t>자재 76</t>
  </si>
  <si>
    <t>자재 77</t>
  </si>
  <si>
    <t>자재 78</t>
  </si>
  <si>
    <t>자재 79</t>
  </si>
  <si>
    <t>자재 83</t>
  </si>
  <si>
    <t>자재 84</t>
  </si>
  <si>
    <t>자재 89</t>
  </si>
  <si>
    <t>자재 90</t>
  </si>
  <si>
    <t>자재 91</t>
  </si>
  <si>
    <t>자재 92</t>
  </si>
  <si>
    <t>자재 93</t>
  </si>
  <si>
    <t>자재 98</t>
  </si>
  <si>
    <t>자재 99</t>
  </si>
  <si>
    <t>자재 100</t>
  </si>
  <si>
    <t>자재 101</t>
  </si>
  <si>
    <t>자재 102</t>
  </si>
  <si>
    <t>자재 103</t>
  </si>
  <si>
    <t>자재 104</t>
  </si>
  <si>
    <t>자재 105</t>
  </si>
  <si>
    <t>자재 106</t>
  </si>
  <si>
    <t>자재 107</t>
  </si>
  <si>
    <t>자재 108</t>
  </si>
  <si>
    <t>자재 109</t>
  </si>
  <si>
    <t>자재 110</t>
  </si>
  <si>
    <t>자재 113</t>
  </si>
  <si>
    <t>자재 114</t>
  </si>
  <si>
    <t>자재 115</t>
  </si>
  <si>
    <t>자재 116</t>
  </si>
  <si>
    <t>자재 117</t>
  </si>
  <si>
    <t>자재 118</t>
  </si>
  <si>
    <t>자재 119</t>
  </si>
  <si>
    <t>자재 120</t>
  </si>
  <si>
    <t>자재 121</t>
  </si>
  <si>
    <t>자재 122</t>
  </si>
  <si>
    <t>자재 123</t>
  </si>
  <si>
    <t>자재 124</t>
  </si>
  <si>
    <t>자재 125</t>
  </si>
  <si>
    <t>자재 126</t>
  </si>
  <si>
    <t>자재 127</t>
  </si>
  <si>
    <t>자재 149</t>
  </si>
  <si>
    <t>자재 150</t>
  </si>
  <si>
    <t>자재 151</t>
  </si>
  <si>
    <t>자재 152</t>
  </si>
  <si>
    <t>자재 153</t>
  </si>
  <si>
    <t>자재 154</t>
  </si>
  <si>
    <t>자재 155</t>
  </si>
  <si>
    <t>자재 156</t>
  </si>
  <si>
    <t>자재 157</t>
  </si>
  <si>
    <t>자재 158</t>
  </si>
  <si>
    <t>자재 159</t>
  </si>
  <si>
    <t>자재 160</t>
  </si>
  <si>
    <t>자재 161</t>
  </si>
  <si>
    <t>자재 162</t>
  </si>
  <si>
    <t>자재 163</t>
  </si>
  <si>
    <t>자재 164</t>
  </si>
  <si>
    <t>자재 165</t>
  </si>
  <si>
    <t>자재 166</t>
  </si>
  <si>
    <t>자재 167</t>
  </si>
  <si>
    <t>자재 168</t>
  </si>
  <si>
    <t>자재 169</t>
  </si>
  <si>
    <t>자재 170</t>
  </si>
  <si>
    <t>자재 171</t>
  </si>
  <si>
    <t>자재 172</t>
  </si>
  <si>
    <t>자재 173</t>
  </si>
  <si>
    <t>자재 174</t>
  </si>
  <si>
    <t>자재 176</t>
  </si>
  <si>
    <t>자재 177</t>
  </si>
  <si>
    <t>자재 178</t>
  </si>
  <si>
    <t>자재 179</t>
  </si>
  <si>
    <t>자재 180</t>
  </si>
  <si>
    <t>자재 181</t>
  </si>
  <si>
    <t>자재 182</t>
  </si>
  <si>
    <t>자재 183</t>
  </si>
  <si>
    <t>자재 184</t>
  </si>
  <si>
    <t>자재 185</t>
  </si>
  <si>
    <t>자재 186</t>
  </si>
  <si>
    <t>자재 187</t>
  </si>
  <si>
    <t>자재 188</t>
  </si>
  <si>
    <t>자재 189</t>
  </si>
  <si>
    <t>자재 190</t>
  </si>
  <si>
    <t>자재 191</t>
  </si>
  <si>
    <t>자재 192</t>
  </si>
  <si>
    <t>자재 193</t>
  </si>
  <si>
    <t>자재 194</t>
  </si>
  <si>
    <t>자재 195</t>
  </si>
  <si>
    <t>자재 196</t>
  </si>
  <si>
    <t>자재 197</t>
  </si>
  <si>
    <t>자재 198</t>
  </si>
  <si>
    <t>자재 199</t>
  </si>
  <si>
    <t>자재 200</t>
  </si>
  <si>
    <t>자재 201</t>
  </si>
  <si>
    <t>자재 202</t>
  </si>
  <si>
    <t>자재 203</t>
  </si>
  <si>
    <t>자재 204</t>
  </si>
  <si>
    <t>자재 205</t>
  </si>
  <si>
    <t>자재 206</t>
  </si>
  <si>
    <t>자재 207</t>
  </si>
  <si>
    <t>자재 208</t>
  </si>
  <si>
    <t>자재 209</t>
  </si>
  <si>
    <t>자재 210</t>
  </si>
  <si>
    <t>자재 211</t>
  </si>
  <si>
    <t>자재 212</t>
  </si>
  <si>
    <t>자재 213</t>
  </si>
  <si>
    <t>자재 214</t>
  </si>
  <si>
    <t>자재 215</t>
  </si>
  <si>
    <t>자재 216</t>
  </si>
  <si>
    <t>자재 217</t>
  </si>
  <si>
    <t>자재 218</t>
  </si>
  <si>
    <t>자재 223</t>
  </si>
  <si>
    <t>자재 224</t>
  </si>
  <si>
    <t>자재 225</t>
  </si>
  <si>
    <t>자재 226</t>
  </si>
  <si>
    <t>자재 227</t>
  </si>
  <si>
    <t>자재 228</t>
  </si>
  <si>
    <t>자재 229</t>
  </si>
  <si>
    <t>자재 230</t>
  </si>
  <si>
    <t>자재 231</t>
  </si>
  <si>
    <t>자재 232</t>
  </si>
  <si>
    <t>자재 233</t>
  </si>
  <si>
    <t>자재 234</t>
  </si>
  <si>
    <t>자재 235</t>
  </si>
  <si>
    <t>자재 236</t>
  </si>
  <si>
    <t>자재 237</t>
  </si>
  <si>
    <t>자재 238</t>
  </si>
  <si>
    <t>자재 239</t>
  </si>
  <si>
    <t>자재 240</t>
  </si>
  <si>
    <t>자재 241</t>
  </si>
  <si>
    <t>자재 242</t>
  </si>
  <si>
    <t>자재 243</t>
  </si>
  <si>
    <t>자재 244</t>
  </si>
  <si>
    <t>자재 245</t>
  </si>
  <si>
    <t>자재 246</t>
  </si>
  <si>
    <t>자재 247</t>
  </si>
  <si>
    <t>자재 248</t>
  </si>
  <si>
    <t>자재 249</t>
  </si>
  <si>
    <t>자재 250</t>
  </si>
  <si>
    <t>자재 251</t>
  </si>
  <si>
    <t>자재 252</t>
  </si>
  <si>
    <t>자재 253</t>
  </si>
  <si>
    <t>자재 254</t>
  </si>
  <si>
    <t>자재 255</t>
  </si>
  <si>
    <t>자재 256</t>
  </si>
  <si>
    <t>자재 257</t>
  </si>
  <si>
    <t>470</t>
  </si>
  <si>
    <t>자재 258</t>
  </si>
  <si>
    <t>자재 259</t>
  </si>
  <si>
    <t>자재 260</t>
  </si>
  <si>
    <t>35</t>
  </si>
  <si>
    <t>자재 261</t>
  </si>
  <si>
    <t>자재 262</t>
  </si>
  <si>
    <t>32</t>
  </si>
  <si>
    <t>자재 263</t>
  </si>
  <si>
    <t>자재 264</t>
  </si>
  <si>
    <t>자재 265</t>
  </si>
  <si>
    <t>109</t>
  </si>
  <si>
    <t>자재 266</t>
  </si>
  <si>
    <t>자재 267</t>
  </si>
  <si>
    <t>자재 268</t>
  </si>
  <si>
    <t>167</t>
  </si>
  <si>
    <t>자재 276</t>
  </si>
  <si>
    <t>자재 277</t>
  </si>
  <si>
    <t>91</t>
  </si>
  <si>
    <t>43</t>
  </si>
  <si>
    <t>자재 278</t>
  </si>
  <si>
    <t>56</t>
  </si>
  <si>
    <t>자재 279</t>
  </si>
  <si>
    <t>자재 280</t>
  </si>
  <si>
    <t>자재 281</t>
  </si>
  <si>
    <t>643</t>
  </si>
  <si>
    <t>465</t>
  </si>
  <si>
    <t>자재 282</t>
  </si>
  <si>
    <t>자재 283</t>
  </si>
  <si>
    <t>자재 284</t>
  </si>
  <si>
    <t>자재 285</t>
  </si>
  <si>
    <t>자재 286</t>
  </si>
  <si>
    <t>자재 287</t>
  </si>
  <si>
    <t>자재 288</t>
  </si>
  <si>
    <t>1353</t>
  </si>
  <si>
    <t>1216</t>
  </si>
  <si>
    <t>자재 289</t>
  </si>
  <si>
    <t>자재 290</t>
  </si>
  <si>
    <t>479</t>
  </si>
  <si>
    <t>자재 291</t>
  </si>
  <si>
    <t>607</t>
  </si>
  <si>
    <t>자재 292</t>
  </si>
  <si>
    <t>자재 293</t>
  </si>
  <si>
    <t>자재 294</t>
  </si>
  <si>
    <t>자재 295</t>
  </si>
  <si>
    <t>자재 296</t>
  </si>
  <si>
    <t>자재 297</t>
  </si>
  <si>
    <t>606</t>
  </si>
  <si>
    <t>480</t>
  </si>
  <si>
    <t>자재 298</t>
  </si>
  <si>
    <t>자재 299</t>
  </si>
  <si>
    <t>152</t>
  </si>
  <si>
    <t>자재 300</t>
  </si>
  <si>
    <t>자재 301</t>
  </si>
  <si>
    <t>자재 302</t>
  </si>
  <si>
    <t>자재 303</t>
  </si>
  <si>
    <t>자재 304</t>
  </si>
  <si>
    <t>자재 305</t>
  </si>
  <si>
    <t>자재 306</t>
  </si>
  <si>
    <t>604</t>
  </si>
  <si>
    <t>487</t>
  </si>
  <si>
    <t>자재 307</t>
  </si>
  <si>
    <t>자재 308</t>
  </si>
  <si>
    <t>605</t>
  </si>
  <si>
    <t>478</t>
  </si>
  <si>
    <t>자재 309</t>
  </si>
  <si>
    <t>602</t>
  </si>
  <si>
    <t>자재 310</t>
  </si>
  <si>
    <t>자재 311</t>
  </si>
  <si>
    <t>자재 312</t>
  </si>
  <si>
    <t>자재 313</t>
  </si>
  <si>
    <t>자재 314</t>
  </si>
  <si>
    <t>자재 315</t>
  </si>
  <si>
    <t>593</t>
  </si>
  <si>
    <t>자재 316</t>
  </si>
  <si>
    <t>476</t>
  </si>
  <si>
    <t>자재 317</t>
  </si>
  <si>
    <t>자재 318</t>
  </si>
  <si>
    <t>34</t>
  </si>
  <si>
    <t>자재 319</t>
  </si>
  <si>
    <t>1465</t>
  </si>
  <si>
    <t>자재 320</t>
  </si>
  <si>
    <t>자재 321</t>
  </si>
  <si>
    <t>자재 322</t>
  </si>
  <si>
    <t>C</t>
  </si>
  <si>
    <t>자재 328</t>
  </si>
  <si>
    <t>2</t>
  </si>
  <si>
    <t>자재 329</t>
  </si>
  <si>
    <t>1</t>
  </si>
  <si>
    <t>자재 330</t>
  </si>
  <si>
    <t>노임 1</t>
  </si>
  <si>
    <t>B</t>
  </si>
  <si>
    <t>노임 2</t>
  </si>
  <si>
    <t>노임 3</t>
  </si>
  <si>
    <t>노임 4</t>
  </si>
  <si>
    <t>노임 5</t>
  </si>
  <si>
    <t>노임 6</t>
  </si>
  <si>
    <t>노임 7</t>
  </si>
  <si>
    <t>노임 8</t>
  </si>
  <si>
    <t>노임 9</t>
  </si>
  <si>
    <t>노임 10</t>
  </si>
  <si>
    <t>노임 11</t>
  </si>
  <si>
    <t>노임 12</t>
  </si>
  <si>
    <t>노임 13</t>
  </si>
  <si>
    <t>노임 14</t>
  </si>
  <si>
    <t>노임 15</t>
  </si>
  <si>
    <t>노임 16</t>
  </si>
  <si>
    <t>노임 17</t>
  </si>
  <si>
    <t>노임 18</t>
  </si>
  <si>
    <t>노임 19</t>
  </si>
  <si>
    <t>노임 20</t>
  </si>
  <si>
    <t>노임 21</t>
  </si>
  <si>
    <t>노임 22</t>
  </si>
  <si>
    <t>노임 23</t>
  </si>
  <si>
    <t>노임 24</t>
  </si>
  <si>
    <t>노임 25</t>
  </si>
  <si>
    <t>노임 26</t>
  </si>
  <si>
    <t>노임 27</t>
  </si>
  <si>
    <t>노임 28</t>
  </si>
  <si>
    <t>노임 29</t>
  </si>
  <si>
    <t>노임 30</t>
  </si>
  <si>
    <t>노임 31</t>
  </si>
  <si>
    <t>노임 32</t>
  </si>
  <si>
    <t>노임 33</t>
  </si>
  <si>
    <t>노임 34</t>
  </si>
  <si>
    <t>노임 35</t>
  </si>
  <si>
    <t>노임 36</t>
  </si>
  <si>
    <t>노임 37</t>
  </si>
  <si>
    <t>노임 38</t>
  </si>
  <si>
    <t>노임 39</t>
  </si>
  <si>
    <t>노임 40</t>
  </si>
  <si>
    <t>A3</t>
  </si>
  <si>
    <t>일  반  관  리  비</t>
  </si>
  <si>
    <t>이              윤</t>
  </si>
  <si>
    <t>D9</t>
  </si>
  <si>
    <t>부  가  가  치  세</t>
  </si>
  <si>
    <t>이 Sheet는 수정하지 마십시요</t>
  </si>
  <si>
    <t>공사구분</t>
  </si>
  <si>
    <t>확정내역</t>
  </si>
  <si>
    <t>원내역</t>
  </si>
  <si>
    <t>자재단가적용</t>
  </si>
  <si>
    <t>경비단가적용</t>
  </si>
  <si>
    <t>품목코드형식</t>
  </si>
  <si>
    <t>XXXX-XXXXXXXXXXXXX</t>
  </si>
  <si>
    <t>내역금액소수점처리</t>
  </si>
  <si>
    <t>일위대가내역소수점처리</t>
  </si>
  <si>
    <t>단가명</t>
  </si>
  <si>
    <t>TTTTT</t>
  </si>
  <si>
    <t>환율</t>
  </si>
  <si>
    <t>시간당작업량</t>
  </si>
  <si>
    <t>R</t>
  </si>
  <si>
    <t>1회 사이클시간</t>
  </si>
  <si>
    <t>시간당 작업사이클</t>
  </si>
  <si>
    <t>일반변수</t>
  </si>
  <si>
    <t>시간당 노임산출 계수</t>
  </si>
  <si>
    <t>1/8*16/12*25/20</t>
  </si>
  <si>
    <t>재료비 할증 계수</t>
  </si>
  <si>
    <t>노무비 할증 계수</t>
  </si>
  <si>
    <t>경비 할증 계수</t>
  </si>
  <si>
    <t>내역,일위대가 품명,규격,단위 따로적용</t>
  </si>
  <si>
    <t>내역단가 소수점처리</t>
  </si>
  <si>
    <t>코드</t>
  </si>
  <si>
    <t>공종구분명</t>
  </si>
  <si>
    <t>원가비목코드</t>
  </si>
  <si>
    <t>작 업 부 산 물</t>
  </si>
  <si>
    <t>운    반    비</t>
  </si>
  <si>
    <t>C1</t>
  </si>
  <si>
    <t>관 급 자 재 비</t>
  </si>
  <si>
    <t>DJ</t>
  </si>
  <si>
    <t>사 급 자 재 비</t>
  </si>
  <si>
    <t>D3</t>
  </si>
  <si>
    <t>외    자    재</t>
  </si>
  <si>
    <t>...</t>
  </si>
  <si>
    <t>목재</t>
    <phoneticPr fontId="1" type="noConversion"/>
  </si>
  <si>
    <t>M</t>
    <phoneticPr fontId="1" type="noConversion"/>
  </si>
  <si>
    <t>전시대(EX-112)</t>
  </si>
  <si>
    <t>전시대(EX-113)</t>
  </si>
  <si>
    <t>금속공설치</t>
    <phoneticPr fontId="1" type="noConversion"/>
  </si>
  <si>
    <t>전시보조대(EX-306)</t>
    <phoneticPr fontId="1" type="noConversion"/>
  </si>
  <si>
    <t>1.1*0.3*0.75</t>
    <phoneticPr fontId="1" type="noConversion"/>
  </si>
  <si>
    <t>전시대(EX-316)</t>
  </si>
  <si>
    <t>전시대(EX-319)</t>
  </si>
  <si>
    <t>건설폐기물수집운반및수수료</t>
  </si>
  <si>
    <t>Kg</t>
  </si>
  <si>
    <t>고철</t>
  </si>
  <si>
    <t>인건비의 2%</t>
  </si>
  <si>
    <t>공구손료</t>
    <phoneticPr fontId="1" type="noConversion"/>
  </si>
  <si>
    <t>보온공</t>
  </si>
  <si>
    <t>노무비</t>
  </si>
  <si>
    <t>덕트공</t>
  </si>
  <si>
    <t>Z0000000001</t>
  </si>
  <si>
    <t>0201</t>
  </si>
  <si>
    <t>0.54%</t>
  </si>
  <si>
    <t>조달수수료</t>
  </si>
  <si>
    <t>TN190830001</t>
  </si>
  <si>
    <t>㎡</t>
  </si>
  <si>
    <t>13THK</t>
  </si>
  <si>
    <t>각형닥트보온(고무발포)</t>
  </si>
  <si>
    <t>PPS00000003</t>
  </si>
  <si>
    <t>56900017019</t>
  </si>
  <si>
    <t>56900017041</t>
  </si>
  <si>
    <t>MM846803832</t>
  </si>
  <si>
    <t>800 x 250</t>
  </si>
  <si>
    <t>V.D (STL)</t>
  </si>
  <si>
    <t>MM846803831</t>
  </si>
  <si>
    <t>450 x 300</t>
  </si>
  <si>
    <t>MM846803830</t>
  </si>
  <si>
    <t>450 x 250</t>
  </si>
  <si>
    <t>MM846803829</t>
  </si>
  <si>
    <t>400 x 300</t>
  </si>
  <si>
    <t>MM846803828</t>
  </si>
  <si>
    <t>400 x 250</t>
  </si>
  <si>
    <t>MM846803827</t>
  </si>
  <si>
    <t>350 x 300</t>
  </si>
  <si>
    <t>MM846803826</t>
  </si>
  <si>
    <t>300 x 300</t>
  </si>
  <si>
    <t>MM846803825</t>
  </si>
  <si>
    <t>300 x 250</t>
  </si>
  <si>
    <t>MM846803824</t>
  </si>
  <si>
    <t>250 x 250</t>
  </si>
  <si>
    <t>MM848876474</t>
  </si>
  <si>
    <t>1500 x 150</t>
  </si>
  <si>
    <t>REGISTER (STL)</t>
  </si>
  <si>
    <t>MM846803797</t>
  </si>
  <si>
    <t>700 x 300</t>
  </si>
  <si>
    <t>F.D (STL)</t>
  </si>
  <si>
    <t>MM846803796</t>
  </si>
  <si>
    <t>650 x 300</t>
  </si>
  <si>
    <t>MM846803794</t>
  </si>
  <si>
    <t>MM846803792</t>
  </si>
  <si>
    <t>MM846803791</t>
  </si>
  <si>
    <t>MM846803789</t>
  </si>
  <si>
    <t>1200 x 350</t>
  </si>
  <si>
    <t>36940227015</t>
  </si>
  <si>
    <t>FD/FVD 휴즈</t>
  </si>
  <si>
    <t>36940227004</t>
  </si>
  <si>
    <t>300x200</t>
  </si>
  <si>
    <t>점검구</t>
  </si>
  <si>
    <t>36940227001</t>
  </si>
  <si>
    <t>200x200</t>
  </si>
  <si>
    <t>41300247157</t>
  </si>
  <si>
    <t>원형, D250, AL</t>
  </si>
  <si>
    <t>디퓨져</t>
  </si>
  <si>
    <t>41300247155</t>
  </si>
  <si>
    <t>원형, D200, AL</t>
  </si>
  <si>
    <t>41400228707</t>
  </si>
  <si>
    <t>SPIRAL COUPLING, D250</t>
  </si>
  <si>
    <t>원형 덕트</t>
  </si>
  <si>
    <t>41400228705</t>
  </si>
  <si>
    <t>SPIRAL COUPLING, D200</t>
  </si>
  <si>
    <t>41400228508</t>
  </si>
  <si>
    <t>SPIRAL ELBOW, D250</t>
  </si>
  <si>
    <t>41400228506</t>
  </si>
  <si>
    <t>SPIRAL ELBOW, D200</t>
  </si>
  <si>
    <t>41400227657</t>
  </si>
  <si>
    <t>D250×0.5t, 공조용</t>
  </si>
  <si>
    <t>원형덕트(스파이럴)</t>
  </si>
  <si>
    <t>41400227655</t>
  </si>
  <si>
    <t>D200×0.5t, 공조용</t>
  </si>
  <si>
    <t>56941310030</t>
  </si>
  <si>
    <t>(0.8T)</t>
  </si>
  <si>
    <t>각형덕트제작및설치</t>
  </si>
  <si>
    <t>56941310020</t>
  </si>
  <si>
    <t>(0.6T)</t>
  </si>
  <si>
    <t>56941310010</t>
  </si>
  <si>
    <t>(0.5T)</t>
  </si>
  <si>
    <t>마지막열은 지우지 마시오</t>
  </si>
  <si>
    <t>End Of File(Ver 6.0)</t>
  </si>
  <si>
    <t>1회</t>
  </si>
  <si>
    <t>녹막이페인트칠</t>
  </si>
  <si>
    <t>56941422010</t>
  </si>
  <si>
    <t>함석면2회</t>
  </si>
  <si>
    <t>유성페인트칠</t>
  </si>
  <si>
    <t>56941420220</t>
  </si>
  <si>
    <t>각형덕트보온(고무발포)</t>
  </si>
  <si>
    <t>56940790470</t>
  </si>
  <si>
    <t>비고</t>
  </si>
  <si>
    <t>규       격</t>
  </si>
  <si>
    <t>품          명</t>
  </si>
  <si>
    <t>코    드</t>
  </si>
  <si>
    <t>[공사명]  경기도박물관 전시실 리뉴얼공사_기계설비</t>
  </si>
  <si>
    <t>A,B행과 마지막열은 지우지 마시오</t>
  </si>
  <si>
    <t>노무비의 2%</t>
  </si>
  <si>
    <t>56900017021</t>
  </si>
  <si>
    <t>주재료비의 3%</t>
  </si>
  <si>
    <t>PPS00000001</t>
  </si>
  <si>
    <t>KSM-6060,2종</t>
  </si>
  <si>
    <t>신너</t>
  </si>
  <si>
    <t>47303107022</t>
  </si>
  <si>
    <t>1종2류,갈색</t>
  </si>
  <si>
    <t>광명단(KSM6030)</t>
  </si>
  <si>
    <t>47303107001</t>
  </si>
  <si>
    <t>56941422010  녹막이페인트칠  1회  M2</t>
  </si>
  <si>
    <t>주재료비의 4%</t>
  </si>
  <si>
    <t>잡재료비</t>
  </si>
  <si>
    <t>1종1급,황색</t>
  </si>
  <si>
    <t>조합페인트(KSM6020)</t>
  </si>
  <si>
    <t>47303107002</t>
  </si>
  <si>
    <t>56941420220  유성페인트칠  함석면2회  M2</t>
  </si>
  <si>
    <t>주재료비의 2%</t>
  </si>
  <si>
    <t>소모잡자재</t>
  </si>
  <si>
    <t>13mm</t>
  </si>
  <si>
    <t>직결비스</t>
  </si>
  <si>
    <t>41400267002</t>
  </si>
  <si>
    <t>30x35x0.8t</t>
  </si>
  <si>
    <t>보강바</t>
  </si>
  <si>
    <t>41400267001</t>
  </si>
  <si>
    <t>KG</t>
  </si>
  <si>
    <t>비초산계</t>
  </si>
  <si>
    <t>콤파운드</t>
  </si>
  <si>
    <t>47303007006</t>
  </si>
  <si>
    <t>M10(3/8")</t>
  </si>
  <si>
    <t>스트롱앵커</t>
  </si>
  <si>
    <t>53060807023</t>
  </si>
  <si>
    <t>30W x 3t</t>
  </si>
  <si>
    <t>패킹재</t>
  </si>
  <si>
    <t>53300527204</t>
  </si>
  <si>
    <t>M10</t>
  </si>
  <si>
    <t>6각너트</t>
  </si>
  <si>
    <t>53100027801</t>
  </si>
  <si>
    <t>행가로드</t>
  </si>
  <si>
    <t>41400257001</t>
  </si>
  <si>
    <t>20x25x1.2</t>
  </si>
  <si>
    <t>행거레일</t>
  </si>
  <si>
    <t>41400247002</t>
  </si>
  <si>
    <t>20x25x1.0</t>
  </si>
  <si>
    <t>C크리트바</t>
  </si>
  <si>
    <t>41400237002</t>
  </si>
  <si>
    <t>M8x25</t>
  </si>
  <si>
    <t>볼트너트</t>
  </si>
  <si>
    <t>53060037133</t>
  </si>
  <si>
    <t>30폭x105길이x1.6t</t>
  </si>
  <si>
    <t>코너플레이트</t>
  </si>
  <si>
    <t>47305267001</t>
  </si>
  <si>
    <t>아연도강판 0.8T</t>
  </si>
  <si>
    <t>플랜지(FLANGE)</t>
  </si>
  <si>
    <t>47305257761</t>
  </si>
  <si>
    <t>0.8t(#22)</t>
  </si>
  <si>
    <t>아연도강판</t>
  </si>
  <si>
    <t>95150127407</t>
  </si>
  <si>
    <t>56941310030  각형덕트제작및설치  (0.8T)  M2</t>
  </si>
  <si>
    <t>아연도강판 0.6T</t>
  </si>
  <si>
    <t>47305257760</t>
  </si>
  <si>
    <t>0.6t(#24)</t>
  </si>
  <si>
    <t>95150127406</t>
  </si>
  <si>
    <t>56941310020  각형덕트제작및설치  (0.6T)  M2</t>
  </si>
  <si>
    <t>아연도강판 0.5T</t>
  </si>
  <si>
    <t>47305257759</t>
  </si>
  <si>
    <t>0.5t(#26)</t>
  </si>
  <si>
    <t>95150127405</t>
  </si>
  <si>
    <t>56941310010  각형덕트제작및설치  (0.5T)  M2</t>
  </si>
  <si>
    <t>56900017038</t>
  </si>
  <si>
    <t>본드(고무발포용)</t>
  </si>
  <si>
    <t>53300527126</t>
  </si>
  <si>
    <t>9TxH35</t>
  </si>
  <si>
    <t>ㄷ형에어로후렌지</t>
  </si>
  <si>
    <t>53300337094</t>
  </si>
  <si>
    <t>아크릴특수점착제</t>
  </si>
  <si>
    <t>53300337093</t>
  </si>
  <si>
    <t>고무발포, 13T(폭1.43M)</t>
  </si>
  <si>
    <t>덕트보온재</t>
  </si>
  <si>
    <t>45400077801</t>
  </si>
  <si>
    <t>56940790470  각형덕트보온(고무발포)  13THK  M2</t>
  </si>
  <si>
    <t>금액</t>
  </si>
  <si>
    <t>단가</t>
  </si>
  <si>
    <t>자재코드</t>
  </si>
  <si>
    <t>l-68</t>
  </si>
  <si>
    <t>l-747</t>
  </si>
  <si>
    <t>l-752</t>
  </si>
  <si>
    <t>963</t>
  </si>
  <si>
    <t>l-97</t>
  </si>
  <si>
    <t>90</t>
  </si>
  <si>
    <t>93</t>
  </si>
  <si>
    <t>87,90</t>
  </si>
  <si>
    <t>l-836</t>
  </si>
  <si>
    <t>68</t>
  </si>
  <si>
    <t>II-84</t>
  </si>
  <si>
    <t>632</t>
  </si>
  <si>
    <t>629</t>
  </si>
  <si>
    <t>631</t>
  </si>
  <si>
    <t>525</t>
  </si>
  <si>
    <t>I-749</t>
  </si>
  <si>
    <t>962</t>
  </si>
  <si>
    <t>96</t>
  </si>
  <si>
    <t>957</t>
  </si>
  <si>
    <t>953</t>
  </si>
  <si>
    <t>l-845</t>
  </si>
  <si>
    <t>l-844</t>
  </si>
  <si>
    <t>956</t>
  </si>
  <si>
    <t>l-843</t>
  </si>
  <si>
    <t>954</t>
  </si>
  <si>
    <t>l-835</t>
  </si>
  <si>
    <t>Page</t>
  </si>
  <si>
    <t>적 용 단 가</t>
  </si>
  <si>
    <t>조사가격</t>
  </si>
  <si>
    <t>물가정보</t>
  </si>
  <si>
    <t>물가자료</t>
  </si>
  <si>
    <t>가격정보</t>
  </si>
  <si>
    <t>EA</t>
    <phoneticPr fontId="1" type="noConversion"/>
  </si>
  <si>
    <t>0102115459536203A677247800110D0BED8550147CF0</t>
  </si>
  <si>
    <t>5459536203A677247800110D0BED8550147CF0</t>
  </si>
  <si>
    <t>0101125459536203A677247800110D0BED8550147CF0</t>
  </si>
  <si>
    <t>경 기 도 박 물 관</t>
    <phoneticPr fontId="16" type="noConversion"/>
  </si>
  <si>
    <t>공사명 : 경기도박물관 전시실 리뉴얼 디자인설계 용역 전시 공사</t>
    <phoneticPr fontId="1" type="noConversion"/>
  </si>
  <si>
    <t>공  사  내  역  서</t>
    <phoneticPr fontId="16" type="noConversion"/>
  </si>
  <si>
    <t xml:space="preserve">  공사명 :</t>
    <phoneticPr fontId="16" type="noConversion"/>
  </si>
  <si>
    <t>FULL HD, 4000ANSI</t>
    <phoneticPr fontId="1" type="noConversion"/>
  </si>
  <si>
    <t>EA</t>
    <phoneticPr fontId="1" type="noConversion"/>
  </si>
  <si>
    <t>EA</t>
    <phoneticPr fontId="1" type="noConversion"/>
  </si>
  <si>
    <t>M</t>
    <phoneticPr fontId="1" type="noConversion"/>
  </si>
  <si>
    <t>참여기증자실</t>
    <phoneticPr fontId="1" type="noConversion"/>
  </si>
  <si>
    <t>40"</t>
    <phoneticPr fontId="1" type="noConversion"/>
  </si>
  <si>
    <t>디지털액자</t>
    <phoneticPr fontId="1" type="noConversion"/>
  </si>
  <si>
    <t>20"</t>
    <phoneticPr fontId="1" type="noConversion"/>
  </si>
  <si>
    <t>1200x600</t>
    <phoneticPr fontId="1" type="noConversion"/>
  </si>
  <si>
    <t>그래픽패널</t>
    <phoneticPr fontId="1" type="noConversion"/>
  </si>
  <si>
    <t>1000x1200</t>
    <phoneticPr fontId="1" type="noConversion"/>
  </si>
  <si>
    <t>그래픽패널</t>
    <phoneticPr fontId="1" type="noConversion"/>
  </si>
  <si>
    <t>840x450</t>
    <phoneticPr fontId="1" type="noConversion"/>
  </si>
  <si>
    <t>500x600</t>
    <phoneticPr fontId="1" type="noConversion"/>
  </si>
  <si>
    <t>430x650</t>
    <phoneticPr fontId="1" type="noConversion"/>
  </si>
  <si>
    <t>430x450</t>
    <phoneticPr fontId="1" type="noConversion"/>
  </si>
  <si>
    <t>370x750</t>
    <phoneticPr fontId="1" type="noConversion"/>
  </si>
  <si>
    <t>370x270</t>
    <phoneticPr fontId="1" type="noConversion"/>
  </si>
  <si>
    <t>290x600</t>
    <phoneticPr fontId="1" type="noConversion"/>
  </si>
  <si>
    <t>290x165</t>
    <phoneticPr fontId="1" type="noConversion"/>
  </si>
  <si>
    <t>240x165</t>
    <phoneticPr fontId="1" type="noConversion"/>
  </si>
  <si>
    <t>2250x500</t>
    <phoneticPr fontId="1" type="noConversion"/>
  </si>
  <si>
    <t>시트문자</t>
    <phoneticPr fontId="1" type="noConversion"/>
  </si>
  <si>
    <t>1800x1300</t>
    <phoneticPr fontId="1" type="noConversion"/>
  </si>
  <si>
    <t>1100x2090</t>
    <phoneticPr fontId="1" type="noConversion"/>
  </si>
  <si>
    <t>내림경사로</t>
    <phoneticPr fontId="1" type="noConversion"/>
  </si>
  <si>
    <t>식</t>
    <phoneticPr fontId="1" type="noConversion"/>
  </si>
  <si>
    <t>920x450</t>
    <phoneticPr fontId="1" type="noConversion"/>
  </si>
  <si>
    <t>450x300</t>
    <phoneticPr fontId="1" type="noConversion"/>
  </si>
  <si>
    <t>430x1200</t>
    <phoneticPr fontId="1" type="noConversion"/>
  </si>
  <si>
    <t>300x600</t>
    <phoneticPr fontId="1" type="noConversion"/>
  </si>
  <si>
    <t>290x180</t>
    <phoneticPr fontId="1" type="noConversion"/>
  </si>
  <si>
    <t>120×80</t>
    <phoneticPr fontId="1" type="noConversion"/>
  </si>
  <si>
    <t>네임텍</t>
    <phoneticPr fontId="1" type="noConversion"/>
  </si>
  <si>
    <t>150*60</t>
    <phoneticPr fontId="1" type="noConversion"/>
  </si>
  <si>
    <t>인</t>
    <phoneticPr fontId="1" type="noConversion"/>
  </si>
  <si>
    <t>전기설치인건비</t>
    <phoneticPr fontId="1" type="noConversion"/>
  </si>
  <si>
    <t>전시대</t>
    <phoneticPr fontId="1" type="noConversion"/>
  </si>
  <si>
    <t>60W</t>
    <phoneticPr fontId="1" type="noConversion"/>
  </si>
  <si>
    <t>SAMP</t>
    <phoneticPr fontId="1" type="noConversion"/>
  </si>
  <si>
    <t>0.9+2.3+2.3+0.8+1.5+1.5+1.5+2.7+2.7+2.3+2.3+2.6+2.6</t>
    <phoneticPr fontId="1" type="noConversion"/>
  </si>
  <si>
    <t>LED Bar</t>
    <phoneticPr fontId="1" type="noConversion"/>
  </si>
  <si>
    <t>17+15</t>
    <phoneticPr fontId="1" type="noConversion"/>
  </si>
  <si>
    <t>스포트조명</t>
    <phoneticPr fontId="1" type="noConversion"/>
  </si>
  <si>
    <t>에튜데크실</t>
    <phoneticPr fontId="1" type="noConversion"/>
  </si>
  <si>
    <t xml:space="preserve">의자 </t>
    <phoneticPr fontId="1" type="noConversion"/>
  </si>
  <si>
    <t>1.8*0.9*.75</t>
    <phoneticPr fontId="1" type="noConversion"/>
  </si>
  <si>
    <t>책상</t>
    <phoneticPr fontId="1" type="noConversion"/>
  </si>
  <si>
    <t>책장</t>
    <phoneticPr fontId="1" type="noConversion"/>
  </si>
  <si>
    <t>상설전시장</t>
    <phoneticPr fontId="1" type="noConversion"/>
  </si>
  <si>
    <t>set</t>
    <phoneticPr fontId="1" type="noConversion"/>
  </si>
  <si>
    <t>상설전시장</t>
    <phoneticPr fontId="1" type="noConversion"/>
  </si>
  <si>
    <t>set</t>
    <phoneticPr fontId="1" type="noConversion"/>
  </si>
  <si>
    <t>전시대(EX-318)</t>
  </si>
  <si>
    <t>전시대(EX-317)</t>
  </si>
  <si>
    <t>1.1*0.3*0.75</t>
    <phoneticPr fontId="1" type="noConversion"/>
  </si>
  <si>
    <t>전시보조대(EX-306)</t>
    <phoneticPr fontId="1" type="noConversion"/>
  </si>
  <si>
    <t>1.4*0.5*0.42</t>
    <phoneticPr fontId="1" type="noConversion"/>
  </si>
  <si>
    <t>0.75*3.6*3.0</t>
    <phoneticPr fontId="1" type="noConversion"/>
  </si>
  <si>
    <t>전시대(EX-108)</t>
    <phoneticPr fontId="1" type="noConversion"/>
  </si>
  <si>
    <t>EX-304,5</t>
    <phoneticPr fontId="1" type="noConversion"/>
  </si>
  <si>
    <t>(23/0.15)*4.5</t>
    <phoneticPr fontId="1" type="noConversion"/>
  </si>
  <si>
    <t>전시 매입찬넬</t>
    <phoneticPr fontId="1" type="noConversion"/>
  </si>
  <si>
    <t>16*3</t>
    <phoneticPr fontId="1" type="noConversion"/>
  </si>
  <si>
    <t>자작합판</t>
    <phoneticPr fontId="1" type="noConversion"/>
  </si>
  <si>
    <t>금속공</t>
    <phoneticPr fontId="1" type="noConversion"/>
  </si>
  <si>
    <t>3+2</t>
    <phoneticPr fontId="1" type="noConversion"/>
  </si>
  <si>
    <t>2.2*0.3</t>
    <phoneticPr fontId="1" type="noConversion"/>
  </si>
  <si>
    <t>전시차단봉</t>
    <phoneticPr fontId="1" type="noConversion"/>
  </si>
  <si>
    <t>기타공사</t>
    <phoneticPr fontId="32" type="noConversion"/>
  </si>
  <si>
    <t>m</t>
    <phoneticPr fontId="1" type="noConversion"/>
  </si>
  <si>
    <t>ssw-3</t>
  </si>
  <si>
    <t>ssw-2</t>
  </si>
  <si>
    <t>ssw-1</t>
    <phoneticPr fontId="1" type="noConversion"/>
  </si>
  <si>
    <t>ATD-1</t>
    <phoneticPr fontId="1" type="noConversion"/>
  </si>
  <si>
    <t>0.6*1.5*4</t>
    <phoneticPr fontId="1" type="noConversion"/>
  </si>
  <si>
    <t>12mm</t>
    <phoneticPr fontId="1" type="noConversion"/>
  </si>
  <si>
    <t>강화유리</t>
    <phoneticPr fontId="1" type="noConversion"/>
  </si>
  <si>
    <t>(4.4*3.6)-(2*3)</t>
    <phoneticPr fontId="1" type="noConversion"/>
  </si>
  <si>
    <t>강화유리</t>
    <phoneticPr fontId="1" type="noConversion"/>
  </si>
  <si>
    <t>방화문용</t>
    <phoneticPr fontId="1" type="noConversion"/>
  </si>
  <si>
    <t>실린더</t>
    <phoneticPr fontId="1" type="noConversion"/>
  </si>
  <si>
    <t>손잡이</t>
    <phoneticPr fontId="1" type="noConversion"/>
  </si>
  <si>
    <t>3.0*1.0</t>
    <phoneticPr fontId="1" type="noConversion"/>
  </si>
  <si>
    <t>강화도어</t>
    <phoneticPr fontId="1" type="noConversion"/>
  </si>
  <si>
    <t>0.6*1.5</t>
    <phoneticPr fontId="1" type="noConversion"/>
  </si>
  <si>
    <t>철문</t>
    <phoneticPr fontId="1" type="noConversion"/>
  </si>
  <si>
    <t>창고-2</t>
    <phoneticPr fontId="1" type="noConversion"/>
  </si>
  <si>
    <t>창고</t>
    <phoneticPr fontId="1" type="noConversion"/>
  </si>
  <si>
    <t>0.9*2.1</t>
    <phoneticPr fontId="1" type="noConversion"/>
  </si>
  <si>
    <t>SD-1</t>
    <phoneticPr fontId="1" type="noConversion"/>
  </si>
  <si>
    <t>방화문</t>
    <phoneticPr fontId="1" type="noConversion"/>
  </si>
  <si>
    <t>소화약제실-1,2,3</t>
    <phoneticPr fontId="1" type="noConversion"/>
  </si>
  <si>
    <t>FSD-1</t>
    <phoneticPr fontId="1" type="noConversion"/>
  </si>
  <si>
    <t>자동문</t>
    <phoneticPr fontId="1" type="noConversion"/>
  </si>
  <si>
    <t>4.4*3.6</t>
    <phoneticPr fontId="1" type="noConversion"/>
  </si>
  <si>
    <t>스틸셔터</t>
    <phoneticPr fontId="1" type="noConversion"/>
  </si>
  <si>
    <t>상설전시실</t>
    <phoneticPr fontId="1" type="noConversion"/>
  </si>
  <si>
    <t>4.1*4.5</t>
    <phoneticPr fontId="1" type="noConversion"/>
  </si>
  <si>
    <t>스틸셔터</t>
    <phoneticPr fontId="1" type="noConversion"/>
  </si>
  <si>
    <t>기획전시실</t>
    <phoneticPr fontId="1" type="noConversion"/>
  </si>
  <si>
    <t>3.2*4.5</t>
    <phoneticPr fontId="1" type="noConversion"/>
  </si>
  <si>
    <t>SH-1</t>
    <phoneticPr fontId="1" type="noConversion"/>
  </si>
  <si>
    <t>방화셔터</t>
    <phoneticPr fontId="1" type="noConversion"/>
  </si>
  <si>
    <t>상설전시실</t>
    <phoneticPr fontId="1" type="noConversion"/>
  </si>
  <si>
    <t>내림계단</t>
    <phoneticPr fontId="1" type="noConversion"/>
  </si>
  <si>
    <t>1.2*4.5</t>
    <phoneticPr fontId="1" type="noConversion"/>
  </si>
  <si>
    <t>2.7*4.5</t>
    <phoneticPr fontId="1" type="noConversion"/>
  </si>
  <si>
    <t>FSS-1</t>
    <phoneticPr fontId="1" type="noConversion"/>
  </si>
  <si>
    <t xml:space="preserve"> </t>
    <phoneticPr fontId="1" type="noConversion"/>
  </si>
  <si>
    <t>창호 공사</t>
    <phoneticPr fontId="32" type="noConversion"/>
  </si>
  <si>
    <t>7.</t>
    <phoneticPr fontId="1" type="noConversion"/>
  </si>
  <si>
    <t>(8.1*3.8)+(3.5*16.5)</t>
    <phoneticPr fontId="1" type="noConversion"/>
  </si>
  <si>
    <t>합판 붙이기</t>
    <phoneticPr fontId="1" type="noConversion"/>
  </si>
  <si>
    <t>(8.1*3.8)+(3.5*16.5)</t>
    <phoneticPr fontId="1" type="noConversion"/>
  </si>
  <si>
    <t>50*50</t>
    <phoneticPr fontId="1" type="noConversion"/>
  </si>
  <si>
    <t>각파이프 틀짜기</t>
    <phoneticPr fontId="1" type="noConversion"/>
  </si>
  <si>
    <t>바닥 공사</t>
    <phoneticPr fontId="1" type="noConversion"/>
  </si>
  <si>
    <t>6-2</t>
    <phoneticPr fontId="1" type="noConversion"/>
  </si>
  <si>
    <t>29*9</t>
    <phoneticPr fontId="1" type="noConversion"/>
  </si>
  <si>
    <t>단열필름 붙이기</t>
    <phoneticPr fontId="1" type="noConversion"/>
  </si>
  <si>
    <t>투명락카</t>
    <phoneticPr fontId="1" type="noConversion"/>
  </si>
  <si>
    <t>2*2.5</t>
    <phoneticPr fontId="1" type="noConversion"/>
  </si>
  <si>
    <t>9mm 1PLY</t>
    <phoneticPr fontId="1" type="noConversion"/>
  </si>
  <si>
    <t>자작합판 붙이기</t>
    <phoneticPr fontId="1" type="noConversion"/>
  </si>
  <si>
    <t>석고보드 붙이기</t>
    <phoneticPr fontId="1" type="noConversion"/>
  </si>
  <si>
    <t>W100</t>
    <phoneticPr fontId="1" type="noConversion"/>
  </si>
  <si>
    <t>메탈스터드</t>
    <phoneticPr fontId="1" type="noConversion"/>
  </si>
  <si>
    <t>벽체공사</t>
    <phoneticPr fontId="1" type="noConversion"/>
  </si>
  <si>
    <t>6-1</t>
    <phoneticPr fontId="1" type="noConversion"/>
  </si>
  <si>
    <t>휴게 HALL</t>
    <phoneticPr fontId="1" type="noConversion"/>
  </si>
  <si>
    <t>6.</t>
    <phoneticPr fontId="1" type="noConversion"/>
  </si>
  <si>
    <t>재료분리대</t>
    <phoneticPr fontId="1" type="noConversion"/>
  </si>
  <si>
    <t>컴퓨터구적</t>
    <phoneticPr fontId="32" type="noConversion"/>
  </si>
  <si>
    <t>(1128.2+37.7+21.7+22.2)-562</t>
    <phoneticPr fontId="1" type="noConversion"/>
  </si>
  <si>
    <t>6mm</t>
    <phoneticPr fontId="1" type="noConversion"/>
  </si>
  <si>
    <t xml:space="preserve">칼라몰탈도장 </t>
    <phoneticPr fontId="1" type="noConversion"/>
  </si>
  <si>
    <t>15mm</t>
    <phoneticPr fontId="1" type="noConversion"/>
  </si>
  <si>
    <t>셀프레벨링</t>
    <phoneticPr fontId="1" type="noConversion"/>
  </si>
  <si>
    <t>3.3*9.4</t>
    <phoneticPr fontId="1" type="noConversion"/>
  </si>
  <si>
    <t>철거부위</t>
    <phoneticPr fontId="1" type="noConversion"/>
  </si>
  <si>
    <t>바닥</t>
    <phoneticPr fontId="32" type="noConversion"/>
  </si>
  <si>
    <t>미장</t>
    <phoneticPr fontId="32" type="noConversion"/>
  </si>
  <si>
    <t>((4.2+18.2)*2)</t>
    <phoneticPr fontId="1" type="noConversion"/>
  </si>
  <si>
    <t>5-3</t>
    <phoneticPr fontId="1" type="noConversion"/>
  </si>
  <si>
    <t>(3.3*3.7)+(3.3*1.9)+((0.9+3.3+1.9)*0.9)+(1.8*0.4)</t>
    <phoneticPr fontId="1" type="noConversion"/>
  </si>
  <si>
    <t>EX-314</t>
    <phoneticPr fontId="1" type="noConversion"/>
  </si>
  <si>
    <t>(16.3*1.2)+((1.2+11.1)*0.7)+(1.2*3.6)+(2.4*1.2*4)</t>
    <phoneticPr fontId="1" type="noConversion"/>
  </si>
  <si>
    <t>EX-306</t>
    <phoneticPr fontId="1" type="noConversion"/>
  </si>
  <si>
    <t>(15.5*3.6)+(5*0.8*2)+(0.9*0.8*2)+(2.9*0.8*2)+(0.9*0.8*2)+(1.7*0.8*8)</t>
    <phoneticPr fontId="1" type="noConversion"/>
  </si>
  <si>
    <t>EX-303</t>
    <phoneticPr fontId="1" type="noConversion"/>
  </si>
  <si>
    <t>(23*3.0)+(2.2*0.7*4)+(2.2*1*4)+(2.2*0.5*2)+(2*0.5*4)</t>
    <phoneticPr fontId="1" type="noConversion"/>
  </si>
  <si>
    <t>(2.2*0.5*2)+(0.7*0.5*2)</t>
  </si>
  <si>
    <t>((43.3+6)*5.8)+(20.8*2.5)+(0.6*7*2.5)</t>
    <phoneticPr fontId="1" type="noConversion"/>
  </si>
  <si>
    <t>전시실</t>
    <phoneticPr fontId="1" type="noConversion"/>
  </si>
  <si>
    <t>롤러 3회</t>
    <phoneticPr fontId="1" type="noConversion"/>
  </si>
  <si>
    <t>롤러 3회</t>
    <phoneticPr fontId="1" type="noConversion"/>
  </si>
  <si>
    <t>수성페인트</t>
    <phoneticPr fontId="1" type="noConversion"/>
  </si>
  <si>
    <t>수성페인트</t>
    <phoneticPr fontId="1" type="noConversion"/>
  </si>
  <si>
    <t>(7.6+7.1+(5.2*4)+(7.1+16+5.2+16)*5.8)+(9.6*2.2*2)-((0.9*2.1*4)+(4.4*3.6)+(4.9*2.9*2))</t>
    <phoneticPr fontId="1" type="noConversion"/>
  </si>
  <si>
    <t>부속실</t>
    <phoneticPr fontId="1" type="noConversion"/>
  </si>
  <si>
    <t>도장바탕처리</t>
    <phoneticPr fontId="1" type="noConversion"/>
  </si>
  <si>
    <t>((4.1+19+(0.6*8)+7.1)*2)+15.5+23</t>
    <phoneticPr fontId="1" type="noConversion"/>
  </si>
  <si>
    <t>12*30</t>
    <phoneticPr fontId="1" type="noConversion"/>
  </si>
  <si>
    <t>AL 걸레받이</t>
    <phoneticPr fontId="1" type="noConversion"/>
  </si>
  <si>
    <t>(15.5*5.8)</t>
    <phoneticPr fontId="1" type="noConversion"/>
  </si>
  <si>
    <t>전시대벽</t>
    <phoneticPr fontId="1" type="noConversion"/>
  </si>
  <si>
    <t>((4.1+19+(0.6*8))*5.8*2)-((4.4*3.6)+(4.9*2.9*2))</t>
    <phoneticPr fontId="1" type="noConversion"/>
  </si>
  <si>
    <t>전시벽</t>
    <phoneticPr fontId="1" type="noConversion"/>
  </si>
  <si>
    <t>((7.1+5.2+5.2)*5.8*2)+(1.4*2.5*2)-(0.9*2.1*4)</t>
    <phoneticPr fontId="1" type="noConversion"/>
  </si>
  <si>
    <t>소화약제실3,3</t>
    <phoneticPr fontId="1" type="noConversion"/>
  </si>
  <si>
    <t>12mm 2PLY</t>
    <phoneticPr fontId="1" type="noConversion"/>
  </si>
  <si>
    <t>방화 석고보드붙이기</t>
    <phoneticPr fontId="1" type="noConversion"/>
  </si>
  <si>
    <t>(23*7.5)+(7.6*5.8)</t>
    <phoneticPr fontId="1" type="noConversion"/>
  </si>
  <si>
    <t>12mm 1PLY</t>
    <phoneticPr fontId="1" type="noConversion"/>
  </si>
  <si>
    <t>23*4.5</t>
    <phoneticPr fontId="1" type="noConversion"/>
  </si>
  <si>
    <t>15mm 1PLY</t>
    <phoneticPr fontId="1" type="noConversion"/>
  </si>
  <si>
    <t>1.6mm Steel</t>
    <phoneticPr fontId="1" type="noConversion"/>
  </si>
  <si>
    <t>철판붙이기</t>
    <phoneticPr fontId="1" type="noConversion"/>
  </si>
  <si>
    <t>40*40</t>
    <phoneticPr fontId="1" type="noConversion"/>
  </si>
  <si>
    <t>각파이프틀짜기</t>
    <phoneticPr fontId="1" type="noConversion"/>
  </si>
  <si>
    <t>(23*7.5)+(2.2*0.7*4)+(2.2*1*4)+(2.2*0.5*2)+(2*0.5*4)</t>
    <phoneticPr fontId="1" type="noConversion"/>
  </si>
  <si>
    <t>(15.5*3.6)+(5*0.8*2)+(0.9*0.8*2)+(2.9*0.8*2)+(0.9*0.8*2)+(1.7*0.8*8)+(2.2*0.5*2)+(0.7*0.5*2)</t>
    <phoneticPr fontId="1" type="noConversion"/>
  </si>
  <si>
    <t>에듀테크실</t>
    <phoneticPr fontId="1" type="noConversion"/>
  </si>
  <si>
    <t>(23*7.5)</t>
    <phoneticPr fontId="1" type="noConversion"/>
  </si>
  <si>
    <t>((1.4*2.5)+((4.1+24+(0.6*8)+7.1+7.6+5.2)*5.8)-((4.4*3.6)+(4.9*2.9*2)+(0.9*2.1*2))</t>
    <phoneticPr fontId="1" type="noConversion"/>
  </si>
  <si>
    <t>5-2</t>
    <phoneticPr fontId="1" type="noConversion"/>
  </si>
  <si>
    <t>((0.6*10)*25)+((0.4*14)*20)</t>
    <phoneticPr fontId="1" type="noConversion"/>
  </si>
  <si>
    <t>보</t>
    <phoneticPr fontId="1" type="noConversion"/>
  </si>
  <si>
    <t>내부천장, 3회</t>
  </si>
  <si>
    <t>647.8*30%</t>
    <phoneticPr fontId="1" type="noConversion"/>
  </si>
  <si>
    <t>설비닥트</t>
    <phoneticPr fontId="1" type="noConversion"/>
  </si>
  <si>
    <t>내부천장, 2회</t>
    <phoneticPr fontId="1" type="noConversion"/>
  </si>
  <si>
    <t>스라브</t>
    <phoneticPr fontId="1" type="noConversion"/>
  </si>
  <si>
    <t>천정공사</t>
    <phoneticPr fontId="1" type="noConversion"/>
  </si>
  <si>
    <t>5-1</t>
    <phoneticPr fontId="1" type="noConversion"/>
  </si>
  <si>
    <t>상설전시실 및 부속실</t>
    <phoneticPr fontId="1" type="noConversion"/>
  </si>
  <si>
    <t>5.</t>
    <phoneticPr fontId="1" type="noConversion"/>
  </si>
  <si>
    <t>민속생활관</t>
    <phoneticPr fontId="1" type="noConversion"/>
  </si>
  <si>
    <t>4.3*2</t>
    <phoneticPr fontId="1" type="noConversion"/>
  </si>
  <si>
    <t>4-3</t>
    <phoneticPr fontId="1" type="noConversion"/>
  </si>
  <si>
    <t>(1.2+1.2+1.2+1.2+0.7+0.9+0.9+0.9+1.5)*3.6</t>
    <phoneticPr fontId="1" type="noConversion"/>
  </si>
  <si>
    <t>(1.2+1.2+1.2+1.2+0.7+0.9+0.9+0.9+1.5)</t>
    <phoneticPr fontId="1" type="noConversion"/>
  </si>
  <si>
    <t>12*30</t>
    <phoneticPr fontId="1" type="noConversion"/>
  </si>
  <si>
    <t>9mm 2PLY</t>
    <phoneticPr fontId="1" type="noConversion"/>
  </si>
  <si>
    <t>30.7*5.8</t>
    <phoneticPr fontId="1" type="noConversion"/>
  </si>
  <si>
    <t>4-2</t>
    <phoneticPr fontId="1" type="noConversion"/>
  </si>
  <si>
    <t>((0.6*10)*20)+((0.4*14*2)*13.2)</t>
    <phoneticPr fontId="1" type="noConversion"/>
  </si>
  <si>
    <t>562*30%</t>
    <phoneticPr fontId="1" type="noConversion"/>
  </si>
  <si>
    <t>4-1</t>
    <phoneticPr fontId="1" type="noConversion"/>
  </si>
  <si>
    <t>4.</t>
    <phoneticPr fontId="1" type="noConversion"/>
  </si>
  <si>
    <t>15.1*1.5</t>
    <phoneticPr fontId="1" type="noConversion"/>
  </si>
  <si>
    <t>3-3</t>
    <phoneticPr fontId="1" type="noConversion"/>
  </si>
  <si>
    <t>2.9*2.5*2.7</t>
    <phoneticPr fontId="1" type="noConversion"/>
  </si>
  <si>
    <t>출입문</t>
    <phoneticPr fontId="1" type="noConversion"/>
  </si>
  <si>
    <t>에나멜 페인트</t>
    <phoneticPr fontId="1" type="noConversion"/>
  </si>
  <si>
    <t>77*0.09</t>
    <phoneticPr fontId="1" type="noConversion"/>
  </si>
  <si>
    <t>(8.2+2.5+4+4)*3.6</t>
    <phoneticPr fontId="1" type="noConversion"/>
  </si>
  <si>
    <t>홀벽</t>
    <phoneticPr fontId="1" type="noConversion"/>
  </si>
  <si>
    <t>(6.2+1.8+2.2+2.1+4.9+2.2+5.6)*3.6</t>
    <phoneticPr fontId="1" type="noConversion"/>
  </si>
  <si>
    <t>0.9*3.6*4</t>
    <phoneticPr fontId="1" type="noConversion"/>
  </si>
  <si>
    <t>7*11</t>
    <phoneticPr fontId="1" type="noConversion"/>
  </si>
  <si>
    <t>기증자페널</t>
    <phoneticPr fontId="1" type="noConversion"/>
  </si>
  <si>
    <t>20*50</t>
    <phoneticPr fontId="1" type="noConversion"/>
  </si>
  <si>
    <t>7*1.4</t>
    <phoneticPr fontId="1" type="noConversion"/>
  </si>
  <si>
    <t>합판 붙이기</t>
    <phoneticPr fontId="1" type="noConversion"/>
  </si>
  <si>
    <t>목재틀짜기</t>
    <phoneticPr fontId="1" type="noConversion"/>
  </si>
  <si>
    <t>합판붙이기</t>
    <phoneticPr fontId="1" type="noConversion"/>
  </si>
  <si>
    <t>소화약제실1</t>
    <phoneticPr fontId="1" type="noConversion"/>
  </si>
  <si>
    <t>홀벽</t>
    <phoneticPr fontId="1" type="noConversion"/>
  </si>
  <si>
    <t>석고보드 붙이기</t>
    <phoneticPr fontId="1" type="noConversion"/>
  </si>
  <si>
    <t>(8.2+4)*3.6</t>
    <phoneticPr fontId="1" type="noConversion"/>
  </si>
  <si>
    <t>3-2</t>
    <phoneticPr fontId="1" type="noConversion"/>
  </si>
  <si>
    <t>3-1</t>
    <phoneticPr fontId="1" type="noConversion"/>
  </si>
  <si>
    <t xml:space="preserve"> 참여기증자실</t>
    <phoneticPr fontId="1" type="noConversion"/>
  </si>
  <si>
    <t>3.</t>
    <phoneticPr fontId="1" type="noConversion"/>
  </si>
  <si>
    <t>큐션철거</t>
    <phoneticPr fontId="1" type="noConversion"/>
  </si>
  <si>
    <t>11.5*16.2</t>
    <phoneticPr fontId="1" type="noConversion"/>
  </si>
  <si>
    <t>참여기증실</t>
    <phoneticPr fontId="1" type="noConversion"/>
  </si>
  <si>
    <t>우드플러링철거</t>
    <phoneticPr fontId="32" type="noConversion"/>
  </si>
  <si>
    <t>비닐쉬트 철거</t>
    <phoneticPr fontId="32" type="noConversion"/>
  </si>
  <si>
    <t>14.5*21.5</t>
    <phoneticPr fontId="1" type="noConversion"/>
  </si>
  <si>
    <t>서화실</t>
    <phoneticPr fontId="1" type="noConversion"/>
  </si>
  <si>
    <t>250-(4.9+4.9)</t>
    <phoneticPr fontId="1" type="noConversion"/>
  </si>
  <si>
    <t>비닐타일 철거</t>
    <phoneticPr fontId="32" type="noConversion"/>
  </si>
  <si>
    <t>몰탈까내기</t>
    <phoneticPr fontId="32" type="noConversion"/>
  </si>
  <si>
    <t>2.5*3</t>
    <phoneticPr fontId="1" type="noConversion"/>
  </si>
  <si>
    <t>석재 철거</t>
    <phoneticPr fontId="32" type="noConversion"/>
  </si>
  <si>
    <t>바닥철거</t>
    <phoneticPr fontId="32" type="noConversion"/>
  </si>
  <si>
    <t>2-1-3</t>
    <phoneticPr fontId="32" type="noConversion"/>
  </si>
  <si>
    <t>개소</t>
    <phoneticPr fontId="1" type="noConversion"/>
  </si>
  <si>
    <t>1200*600*1500</t>
    <phoneticPr fontId="1" type="noConversion"/>
  </si>
  <si>
    <t>쇼케이스</t>
    <phoneticPr fontId="1" type="noConversion"/>
  </si>
  <si>
    <t>600*600*1500</t>
    <phoneticPr fontId="1" type="noConversion"/>
  </si>
  <si>
    <t>((1.4+8.7+1.4)*1.5)+((2.4+1.2)*2*2.4*2)+(0.6*2.4*2)</t>
    <phoneticPr fontId="1" type="noConversion"/>
  </si>
  <si>
    <t>유리철거</t>
    <phoneticPr fontId="1" type="noConversion"/>
  </si>
  <si>
    <t>((4.1+4.5+1.9+1.2+4.4+4.5+4+3+5.1+1.8+0.9+1.8+4)*2)+(10.5*2.4)</t>
    <phoneticPr fontId="1" type="noConversion"/>
  </si>
  <si>
    <t>(0.9*1.5*2)+((4.2+4.1+3.5+2.1+3.2+4+2.3)*2.2)+(0.9*1.5*4)</t>
    <phoneticPr fontId="1" type="noConversion"/>
  </si>
  <si>
    <t>((8.9+5.7+2.5+0.7+1.8+0.7+3+2.5)*1.2)+(((2.2+0.9+0.7+0.7+0.7+3+3.4)(1.9)+(3.6*2.2))</t>
    <phoneticPr fontId="1" type="noConversion"/>
  </si>
  <si>
    <t>기둥</t>
    <phoneticPr fontId="1" type="noConversion"/>
  </si>
  <si>
    <t>0.9*3.14*4</t>
    <phoneticPr fontId="1" type="noConversion"/>
  </si>
  <si>
    <t xml:space="preserve">철판벽철거 </t>
    <phoneticPr fontId="1" type="noConversion"/>
  </si>
  <si>
    <t>디오라마</t>
    <phoneticPr fontId="1" type="noConversion"/>
  </si>
  <si>
    <t>((1.5+4.4)*2.4)+(1.5*4.4)</t>
    <phoneticPr fontId="1" type="noConversion"/>
  </si>
  <si>
    <t>입구</t>
    <phoneticPr fontId="1" type="noConversion"/>
  </si>
  <si>
    <t>((6.2+2+2.8)*2.2)+(6.2*2.2)</t>
    <phoneticPr fontId="1" type="noConversion"/>
  </si>
  <si>
    <t>(0.6*3.9)</t>
    <phoneticPr fontId="1" type="noConversion"/>
  </si>
  <si>
    <t>(0.6+0.6)*2.4</t>
    <phoneticPr fontId="1" type="noConversion"/>
  </si>
  <si>
    <t>((18.6+18.6+0.5+0.5)*2.1)+(6.6*4.1)+(6*2.5)+((11+3+7.9+7.9+9.4)*4.1</t>
    <phoneticPr fontId="1" type="noConversion"/>
  </si>
  <si>
    <t>벽</t>
    <phoneticPr fontId="32" type="noConversion"/>
  </si>
  <si>
    <t>합판외 판재류 철거</t>
    <phoneticPr fontId="32" type="noConversion"/>
  </si>
  <si>
    <t>(8.1*1.2)+((11.2+6+7.1+0.6+3.1+2.3)*4.1</t>
    <phoneticPr fontId="1" type="noConversion"/>
  </si>
  <si>
    <t>(8.5+3+3.8+4.1+18.5+28+8.7)*4.1</t>
    <phoneticPr fontId="1" type="noConversion"/>
  </si>
  <si>
    <t>좌대바닥</t>
    <phoneticPr fontId="1" type="noConversion"/>
  </si>
  <si>
    <t>((4.1+4.5+4.4+4.5+1.9+1.2)*1)+(10.5*1.5)+((4+1.5+1.5+5.1+1.8+1.8+0.9+0.9+4)*0.6)</t>
    <phoneticPr fontId="1" type="noConversion"/>
  </si>
  <si>
    <t>좌대천정</t>
    <phoneticPr fontId="1" type="noConversion"/>
  </si>
  <si>
    <t>벽</t>
    <phoneticPr fontId="32" type="noConversion"/>
  </si>
  <si>
    <t>중앙</t>
    <phoneticPr fontId="1" type="noConversion"/>
  </si>
  <si>
    <t>(3.4+4+4+0.7+0.7+5.2+1+1+1.4+1.46.2+6.2+0.6+2.9+0.6+0.6)*2.7</t>
    <phoneticPr fontId="1" type="noConversion"/>
  </si>
  <si>
    <t>(((1.6+13.2+(1*6))+((13+1.5+1.5)+(15.9+0.9+0.9+0.9+0.9+0.9))*4</t>
    <phoneticPr fontId="1" type="noConversion"/>
  </si>
  <si>
    <t>(11.4+4.9+0.4+4.8+14.3+2+3.6+13.7+18+4+0.4+4.2)*4</t>
    <phoneticPr fontId="1" type="noConversion"/>
  </si>
  <si>
    <t>4*4</t>
    <phoneticPr fontId="1" type="noConversion"/>
  </si>
  <si>
    <t>(2.4*0.8)+(4.4*1.3*2)+(2.4*0.9)+(3.5*1.3*2)+(2.1*1.3)+(2*0.9)+(4*1.3)+(2.3*1.3)</t>
    <phoneticPr fontId="1" type="noConversion"/>
  </si>
  <si>
    <t>(4+4)*2.4*2</t>
    <phoneticPr fontId="1" type="noConversion"/>
  </si>
  <si>
    <t>(10.5+2.4+0.9+0.9+1.3+1.6+1.3)*4</t>
    <phoneticPr fontId="1" type="noConversion"/>
  </si>
  <si>
    <t>(11.4+1.3+1.3+1.3+1.3+21.3+1.3)*4</t>
    <phoneticPr fontId="1" type="noConversion"/>
  </si>
  <si>
    <t>(2.2+4.3+2.2+4+16.5+13.6+3.8+1.8+14.5)*4</t>
    <phoneticPr fontId="1" type="noConversion"/>
  </si>
  <si>
    <t>(9.5+2.6+5.3+5.3+9.5+9.5+5.1+11.6+1.9+9.8)*3</t>
    <phoneticPr fontId="1" type="noConversion"/>
  </si>
  <si>
    <t>기획전시실입구</t>
    <phoneticPr fontId="1" type="noConversion"/>
  </si>
  <si>
    <t>(8.9+2.2+0.9+0.7+0.7+5.7+8.9+7.5+3+3)*0.8</t>
    <phoneticPr fontId="1" type="noConversion"/>
  </si>
  <si>
    <t>((15.1+15.1)+(0.3*34*2))*2.2</t>
    <phoneticPr fontId="1" type="noConversion"/>
  </si>
  <si>
    <t>(8.9+0.8+3.7+0.8+11.8+(0.8*5)+8.9+(0.8*2)+(0.8*7)+7.5+5.5+12.4)*2.5</t>
    <phoneticPr fontId="1" type="noConversion"/>
  </si>
  <si>
    <t>기획전시실</t>
    <phoneticPr fontId="1" type="noConversion"/>
  </si>
  <si>
    <t>합판외 판재류 철거</t>
    <phoneticPr fontId="32" type="noConversion"/>
  </si>
  <si>
    <t>중앙</t>
    <phoneticPr fontId="1" type="noConversion"/>
  </si>
  <si>
    <t>(16*4*2.4)+(14.3*2.4*2)</t>
    <phoneticPr fontId="1" type="noConversion"/>
  </si>
  <si>
    <t>민속생활관</t>
    <phoneticPr fontId="1" type="noConversion"/>
  </si>
  <si>
    <t xml:space="preserve"> 각파이프구조틀 철거</t>
    <phoneticPr fontId="32" type="noConversion"/>
  </si>
  <si>
    <t>((18.6+18.6+0.5+0.5)*2.1)+(6.6*4.1)+(6*2.5)+((11+3+7.9+7.9+9.4)*4.1</t>
    <phoneticPr fontId="1" type="noConversion"/>
  </si>
  <si>
    <t>30*30,@300*600</t>
    <phoneticPr fontId="32" type="noConversion"/>
  </si>
  <si>
    <t>일면벽체 목구조틀 철거</t>
    <phoneticPr fontId="32" type="noConversion"/>
  </si>
  <si>
    <t>(8.1*1.2)+((11.2+6+7.1+0.6+3.1+2.3)*4.1</t>
    <phoneticPr fontId="1" type="noConversion"/>
  </si>
  <si>
    <t>좌대바닥</t>
    <phoneticPr fontId="1" type="noConversion"/>
  </si>
  <si>
    <t>((4.1+4.5+4.4+4.5+1.9+1.2)*1)+(10.5*1.5)+((4+1.5+1.5+5.1+1.8+1.8+0.9+0.9+4)*0.6)</t>
    <phoneticPr fontId="1" type="noConversion"/>
  </si>
  <si>
    <t>서화실</t>
    <phoneticPr fontId="1" type="noConversion"/>
  </si>
  <si>
    <t>좌대천정</t>
    <phoneticPr fontId="1" type="noConversion"/>
  </si>
  <si>
    <t>(3.4+4+4+0.7+0.7+5.2+1+1+1.4+1.46.2+6.2+0.6+2.9+0.6+0.6)*2.7</t>
    <phoneticPr fontId="1" type="noConversion"/>
  </si>
  <si>
    <t>(((1.6+13.2+(1*6))+((13+1.5+1.5)+(15.9+0.9+0.9+0.9+0.9+0.9))*4</t>
    <phoneticPr fontId="1" type="noConversion"/>
  </si>
  <si>
    <t>4*4</t>
    <phoneticPr fontId="1" type="noConversion"/>
  </si>
  <si>
    <t>참여기증실</t>
    <phoneticPr fontId="1" type="noConversion"/>
  </si>
  <si>
    <t>(2.4*0.8)+(4.4*1.3*2)+(2.4*0.9)+(3.5*1.3*2)+(2.1*1.3)+(2*0.9)+(4*1.3)+(2.3*1.3)</t>
    <phoneticPr fontId="1" type="noConversion"/>
  </si>
  <si>
    <t>(4+4)*2.4*2</t>
    <phoneticPr fontId="1" type="noConversion"/>
  </si>
  <si>
    <t>(10.5+2.4+0.9+0.9+1.3+1.6+1.3)*4</t>
    <phoneticPr fontId="1" type="noConversion"/>
  </si>
  <si>
    <t>(11.4+1.3+1.3+1.3+1.3+21.3+1.3)*4</t>
    <phoneticPr fontId="1" type="noConversion"/>
  </si>
  <si>
    <t>(4.5+0.8+0.8+0.8+15.4+1.3+1.3+1.3+1.3+0.9+0.9+0.9)*4</t>
    <phoneticPr fontId="1" type="noConversion"/>
  </si>
  <si>
    <t>참여기증실</t>
    <phoneticPr fontId="1" type="noConversion"/>
  </si>
  <si>
    <t>30*30,@300*600</t>
    <phoneticPr fontId="32" type="noConversion"/>
  </si>
  <si>
    <t>일면벽체 목구조틀 철거</t>
    <phoneticPr fontId="32" type="noConversion"/>
  </si>
  <si>
    <t>기획전시실입구</t>
    <phoneticPr fontId="1" type="noConversion"/>
  </si>
  <si>
    <t>(8.9+2.2+0.9+0.7+0.7+5.7+8.9+7.5+3+3)*0.8</t>
    <phoneticPr fontId="1" type="noConversion"/>
  </si>
  <si>
    <t>30*30,@300*600</t>
    <phoneticPr fontId="32" type="noConversion"/>
  </si>
  <si>
    <t>((15.1+15.1)+(0.3*34*2))*2.2</t>
    <phoneticPr fontId="1" type="noConversion"/>
  </si>
  <si>
    <t>(8.9+0.8+3.7+0.8+11.8+(0.8*5)+8.9+(0.8*2)+(0.8*7)+7.5+5.5+12.4)*2.5</t>
    <phoneticPr fontId="1" type="noConversion"/>
  </si>
  <si>
    <t>일면벽체 목구조틀 철거</t>
    <phoneticPr fontId="32" type="noConversion"/>
  </si>
  <si>
    <t>(8.5+3+3.8+4.1+18.5+28+8.7)*4.1</t>
    <phoneticPr fontId="1" type="noConversion"/>
  </si>
  <si>
    <t>민속생활관</t>
    <phoneticPr fontId="1" type="noConversion"/>
  </si>
  <si>
    <t>50*50,@300</t>
    <phoneticPr fontId="32" type="noConversion"/>
  </si>
  <si>
    <t>일면벽체 각파이프구조틀 철거</t>
    <phoneticPr fontId="32" type="noConversion"/>
  </si>
  <si>
    <t>서화실</t>
    <phoneticPr fontId="1" type="noConversion"/>
  </si>
  <si>
    <t>일면벽체 각파이프구조틀 철거</t>
    <phoneticPr fontId="32" type="noConversion"/>
  </si>
  <si>
    <t>(2.2+4.3+2.2+4+16.5+13.6+3.8+1.8+14.5)*4</t>
    <phoneticPr fontId="1" type="noConversion"/>
  </si>
  <si>
    <t>휴게실</t>
    <phoneticPr fontId="1" type="noConversion"/>
  </si>
  <si>
    <t>창호필름철거</t>
    <phoneticPr fontId="1" type="noConversion"/>
  </si>
  <si>
    <t>1.8*2.5</t>
    <phoneticPr fontId="1" type="noConversion"/>
  </si>
  <si>
    <t>전시장</t>
    <phoneticPr fontId="1" type="noConversion"/>
  </si>
  <si>
    <t>조적철거</t>
    <phoneticPr fontId="1" type="noConversion"/>
  </si>
  <si>
    <t>벽체철거</t>
    <phoneticPr fontId="32" type="noConversion"/>
  </si>
  <si>
    <t>2-1-2</t>
    <phoneticPr fontId="32" type="noConversion"/>
  </si>
  <si>
    <t>5.4+12+5.4+12</t>
    <phoneticPr fontId="1" type="noConversion"/>
  </si>
  <si>
    <t>M</t>
    <phoneticPr fontId="32" type="noConversion"/>
  </si>
  <si>
    <t>등박스철거</t>
    <phoneticPr fontId="32" type="noConversion"/>
  </si>
  <si>
    <t>램프통로</t>
    <phoneticPr fontId="1" type="noConversion"/>
  </si>
  <si>
    <t>천정 2PLY(T=9)</t>
    <phoneticPr fontId="32" type="noConversion"/>
  </si>
  <si>
    <t>16.4*6*2</t>
    <phoneticPr fontId="1" type="noConversion"/>
  </si>
  <si>
    <t xml:space="preserve"> 각파이프구조틀 철거</t>
    <phoneticPr fontId="32" type="noConversion"/>
  </si>
  <si>
    <t>(21*4.2)+(15*1.8)</t>
    <phoneticPr fontId="1" type="noConversion"/>
  </si>
  <si>
    <t>(24+6)*1.2</t>
    <phoneticPr fontId="1" type="noConversion"/>
  </si>
  <si>
    <t>지하1층통로</t>
    <phoneticPr fontId="1" type="noConversion"/>
  </si>
  <si>
    <t>AL TILE천정 철거</t>
    <phoneticPr fontId="1" type="noConversion"/>
  </si>
  <si>
    <t>96.7*1.2</t>
    <phoneticPr fontId="1" type="noConversion"/>
  </si>
  <si>
    <t>사무동및 로비</t>
    <phoneticPr fontId="1" type="noConversion"/>
  </si>
  <si>
    <t>18*28</t>
    <phoneticPr fontId="1" type="noConversion"/>
  </si>
  <si>
    <t>지하1층</t>
    <phoneticPr fontId="1" type="noConversion"/>
  </si>
  <si>
    <t>M-bar 달대유</t>
    <phoneticPr fontId="32" type="noConversion"/>
  </si>
  <si>
    <t>천정 구조틀 철거</t>
    <phoneticPr fontId="32" type="noConversion"/>
  </si>
  <si>
    <t>천정철거</t>
    <phoneticPr fontId="32" type="noConversion"/>
  </si>
  <si>
    <t>2-1-1</t>
    <phoneticPr fontId="32" type="noConversion"/>
  </si>
  <si>
    <t>철거공사</t>
    <phoneticPr fontId="32" type="noConversion"/>
  </si>
  <si>
    <t>2-1</t>
    <phoneticPr fontId="32" type="noConversion"/>
  </si>
  <si>
    <t>2, 공통 공사</t>
    <phoneticPr fontId="1" type="noConversion"/>
  </si>
  <si>
    <t>6.5*4.2</t>
    <phoneticPr fontId="1" type="noConversion"/>
  </si>
  <si>
    <t>가설칸막이</t>
    <phoneticPr fontId="1" type="noConversion"/>
  </si>
  <si>
    <t>(8.5+2)*4.5</t>
    <phoneticPr fontId="1" type="noConversion"/>
  </si>
  <si>
    <t>231.5+19.8+1128.2+37.7+140.7+22.2+21.7</t>
    <phoneticPr fontId="1" type="noConversion"/>
  </si>
  <si>
    <t>건축물 현장보양</t>
    <phoneticPr fontId="1" type="noConversion"/>
  </si>
  <si>
    <t>1600/100*2</t>
    <phoneticPr fontId="1" type="noConversion"/>
  </si>
  <si>
    <t>대</t>
    <phoneticPr fontId="1" type="noConversion"/>
  </si>
  <si>
    <t>6개월,H= 2M*2단</t>
    <phoneticPr fontId="1" type="noConversion"/>
  </si>
  <si>
    <t>먹메김</t>
  </si>
  <si>
    <t>가설공사</t>
    <phoneticPr fontId="32" type="noConversion"/>
  </si>
  <si>
    <t>1</t>
    <phoneticPr fontId="32" type="noConversion"/>
  </si>
  <si>
    <t>비  고</t>
    <phoneticPr fontId="32" type="noConversion"/>
  </si>
  <si>
    <t>수량 계</t>
    <phoneticPr fontId="32" type="noConversion"/>
  </si>
  <si>
    <t>수량</t>
    <phoneticPr fontId="32" type="noConversion"/>
  </si>
  <si>
    <t>산  출  근  거</t>
    <phoneticPr fontId="32" type="noConversion"/>
  </si>
  <si>
    <t>위 치</t>
    <phoneticPr fontId="32" type="noConversion"/>
  </si>
  <si>
    <t>단위</t>
    <phoneticPr fontId="32" type="noConversion"/>
  </si>
  <si>
    <t>규      격</t>
    <phoneticPr fontId="32" type="noConversion"/>
  </si>
  <si>
    <t>품      명</t>
    <phoneticPr fontId="32" type="noConversion"/>
  </si>
  <si>
    <t>NO</t>
    <phoneticPr fontId="32" type="noConversion"/>
  </si>
  <si>
    <t>공사명 : 경기도박물관 전시실 리뉴얼 디자인설계 용역 전시 인테리어 공사 (1층)</t>
    <phoneticPr fontId="1" type="noConversion"/>
  </si>
  <si>
    <t>수량산출서</t>
    <phoneticPr fontId="16" type="noConversion"/>
  </si>
  <si>
    <t>M</t>
    <phoneticPr fontId="1" type="noConversion"/>
  </si>
  <si>
    <t>800×600</t>
    <phoneticPr fontId="1" type="noConversion"/>
  </si>
  <si>
    <t>600×600</t>
    <phoneticPr fontId="1" type="noConversion"/>
  </si>
  <si>
    <t>2400×600</t>
    <phoneticPr fontId="1" type="noConversion"/>
  </si>
  <si>
    <t>1500×600</t>
    <phoneticPr fontId="1" type="noConversion"/>
  </si>
  <si>
    <t>1300×900</t>
    <phoneticPr fontId="1" type="noConversion"/>
  </si>
  <si>
    <t>1050×1700</t>
    <phoneticPr fontId="1" type="noConversion"/>
  </si>
  <si>
    <t>1050×1050</t>
    <phoneticPr fontId="1" type="noConversion"/>
  </si>
  <si>
    <t>1000×1550</t>
    <phoneticPr fontId="1" type="noConversion"/>
  </si>
  <si>
    <t>1000×600</t>
    <phoneticPr fontId="1" type="noConversion"/>
  </si>
  <si>
    <t>900×1200</t>
    <phoneticPr fontId="1" type="noConversion"/>
  </si>
  <si>
    <t>900×900</t>
    <phoneticPr fontId="1" type="noConversion"/>
  </si>
  <si>
    <t>700×1050</t>
    <phoneticPr fontId="1" type="noConversion"/>
  </si>
  <si>
    <t>600×1200</t>
    <phoneticPr fontId="1" type="noConversion"/>
  </si>
  <si>
    <t>600×900</t>
    <phoneticPr fontId="1" type="noConversion"/>
  </si>
  <si>
    <t>600×250</t>
    <phoneticPr fontId="1" type="noConversion"/>
  </si>
  <si>
    <t>350×250</t>
    <phoneticPr fontId="1" type="noConversion"/>
  </si>
  <si>
    <t>800×1100</t>
    <phoneticPr fontId="1" type="noConversion"/>
  </si>
  <si>
    <t>750×1100</t>
    <phoneticPr fontId="1" type="noConversion"/>
  </si>
  <si>
    <t>11.2*3.2</t>
    <phoneticPr fontId="1" type="noConversion"/>
  </si>
  <si>
    <t>상설전시</t>
    <phoneticPr fontId="1" type="noConversion"/>
  </si>
  <si>
    <t>24mm</t>
    <phoneticPr fontId="1" type="noConversion"/>
  </si>
  <si>
    <t>복층 유리(로이)</t>
    <phoneticPr fontId="1" type="noConversion"/>
  </si>
  <si>
    <t>(0.6*1.1*2)+(0.6*0.9*7)</t>
    <phoneticPr fontId="1" type="noConversion"/>
  </si>
  <si>
    <t>매입기</t>
    <phoneticPr fontId="1" type="noConversion"/>
  </si>
  <si>
    <t>피아노정첩</t>
    <phoneticPr fontId="1" type="noConversion"/>
  </si>
  <si>
    <t>0.6*0.9</t>
    <phoneticPr fontId="1" type="noConversion"/>
  </si>
  <si>
    <t>ssw-6</t>
  </si>
  <si>
    <t>0.6*1.1</t>
    <phoneticPr fontId="1" type="noConversion"/>
  </si>
  <si>
    <t>ssw-5</t>
    <phoneticPr fontId="1" type="noConversion"/>
  </si>
  <si>
    <t>철문</t>
    <phoneticPr fontId="1" type="noConversion"/>
  </si>
  <si>
    <t>1.0*2.1</t>
    <phoneticPr fontId="1" type="noConversion"/>
  </si>
  <si>
    <t>방화문</t>
    <phoneticPr fontId="1" type="noConversion"/>
  </si>
  <si>
    <t>소화약재실</t>
    <phoneticPr fontId="1" type="noConversion"/>
  </si>
  <si>
    <t>2.9*4.5</t>
    <phoneticPr fontId="1" type="noConversion"/>
  </si>
  <si>
    <t>3*4.5</t>
    <phoneticPr fontId="1" type="noConversion"/>
  </si>
  <si>
    <t>7*4.5</t>
    <phoneticPr fontId="1" type="noConversion"/>
  </si>
  <si>
    <t>SH-4</t>
    <phoneticPr fontId="1" type="noConversion"/>
  </si>
  <si>
    <t>2.8*4.5</t>
    <phoneticPr fontId="1" type="noConversion"/>
  </si>
  <si>
    <t>3.3*4.5</t>
    <phoneticPr fontId="1" type="noConversion"/>
  </si>
  <si>
    <t>FSS-6</t>
    <phoneticPr fontId="1" type="noConversion"/>
  </si>
  <si>
    <t>FSS-5</t>
  </si>
  <si>
    <t>8</t>
    <phoneticPr fontId="32" type="noConversion"/>
  </si>
  <si>
    <t>컴퓨터구적</t>
    <phoneticPr fontId="32" type="noConversion"/>
  </si>
  <si>
    <t>6mm</t>
    <phoneticPr fontId="1" type="noConversion"/>
  </si>
  <si>
    <t xml:space="preserve">칼라몰탈도장 </t>
    <phoneticPr fontId="1" type="noConversion"/>
  </si>
  <si>
    <t>15mm</t>
    <phoneticPr fontId="1" type="noConversion"/>
  </si>
  <si>
    <t>셀프레벨링</t>
    <phoneticPr fontId="1" type="noConversion"/>
  </si>
  <si>
    <t>조적철거부위</t>
    <phoneticPr fontId="1" type="noConversion"/>
  </si>
  <si>
    <t>바닥</t>
    <phoneticPr fontId="32" type="noConversion"/>
  </si>
  <si>
    <t>미장</t>
    <phoneticPr fontId="32" type="noConversion"/>
  </si>
  <si>
    <t>바닥 공사</t>
    <phoneticPr fontId="1" type="noConversion"/>
  </si>
  <si>
    <t>7-3</t>
    <phoneticPr fontId="1" type="noConversion"/>
  </si>
  <si>
    <t>((2.2+1.3+2.1+0.2+1.3+4.5+3.5+1.5+0.4)*4.2)-(0.9*2.1)</t>
    <phoneticPr fontId="1" type="noConversion"/>
  </si>
  <si>
    <t>30mm 지정석</t>
    <phoneticPr fontId="1" type="noConversion"/>
  </si>
  <si>
    <t>화강석붙이기</t>
    <phoneticPr fontId="1" type="noConversion"/>
  </si>
  <si>
    <t>(3.6+2.8+3.2+3.2+1.5)*1.6</t>
    <phoneticPr fontId="1" type="noConversion"/>
  </si>
  <si>
    <t>롤러 3회</t>
    <phoneticPr fontId="1" type="noConversion"/>
  </si>
  <si>
    <t>수성페인트</t>
    <phoneticPr fontId="1" type="noConversion"/>
  </si>
  <si>
    <t>(2.2+1.3+2.1+0.2+1.3+4.5+3.5+3.2+1.5+0.4)*1.6</t>
    <phoneticPr fontId="1" type="noConversion"/>
  </si>
  <si>
    <t>(3.6+2.8+3.2+3.2+1.5)*1.6</t>
    <phoneticPr fontId="1" type="noConversion"/>
  </si>
  <si>
    <t>(4.3+3.2)*5.8</t>
    <phoneticPr fontId="1" type="noConversion"/>
  </si>
  <si>
    <t>(3.1*1.3*2)+((5.2+11)*5.8)-((3+3.2)*4.5)</t>
    <phoneticPr fontId="1" type="noConversion"/>
  </si>
  <si>
    <t>((1.3+2.1+2.1+1.3+4.3+4.3+4.3+3.2+1.6)*5.8)-(0.9*2.1*2)</t>
    <phoneticPr fontId="1" type="noConversion"/>
  </si>
  <si>
    <t>3.1*1.3</t>
    <phoneticPr fontId="1" type="noConversion"/>
  </si>
  <si>
    <t>((1.3+2.1+4.3+4.3+3.2+1.6)*5.8)-(0.9*2.1)</t>
    <phoneticPr fontId="1" type="noConversion"/>
  </si>
  <si>
    <t>7-2</t>
    <phoneticPr fontId="1" type="noConversion"/>
  </si>
  <si>
    <t>72.9*30%</t>
    <phoneticPr fontId="1" type="noConversion"/>
  </si>
  <si>
    <t>7-1</t>
    <phoneticPr fontId="1" type="noConversion"/>
  </si>
  <si>
    <t>휴게홀 / 창고4</t>
    <phoneticPr fontId="1" type="noConversion"/>
  </si>
  <si>
    <t>6-3</t>
    <phoneticPr fontId="1" type="noConversion"/>
  </si>
  <si>
    <t>((2.2+14.8+3.3+3+3+15.4)*5.8)-(0.9*2.1*3)</t>
    <phoneticPr fontId="1" type="noConversion"/>
  </si>
  <si>
    <t>((3+3+15.4)*5.8)-(0.9*2.1*3)</t>
    <phoneticPr fontId="1" type="noConversion"/>
  </si>
  <si>
    <t>(2.2+14.8+3.3)*5.8</t>
    <phoneticPr fontId="1" type="noConversion"/>
  </si>
  <si>
    <t>((2.2+14.8+3.3+3)*5.8)-(0.9*2.1)</t>
    <phoneticPr fontId="1" type="noConversion"/>
  </si>
  <si>
    <t>28.3*30%</t>
    <phoneticPr fontId="1" type="noConversion"/>
  </si>
  <si>
    <t>6457*0.072</t>
    <phoneticPr fontId="1" type="noConversion"/>
  </si>
  <si>
    <t>(42+9+3+0.3+1+0.3+9+0.3+1+0.3+9+0.3+1+0.3+9+0.3)*3.6</t>
    <phoneticPr fontId="1" type="noConversion"/>
  </si>
  <si>
    <t>((42+9+3+0.3+1+0.3+9+0.3+1+0.3+9+0.3+1+0.3+9+0.3)/0.048)*3.6</t>
    <phoneticPr fontId="1" type="noConversion"/>
  </si>
  <si>
    <t>24*24</t>
    <phoneticPr fontId="1" type="noConversion"/>
  </si>
  <si>
    <t>장식몰딩(자작)</t>
    <phoneticPr fontId="1" type="noConversion"/>
  </si>
  <si>
    <t>(42+9+3+0.3+1+0.3+9+0.3+1+0.3+9+0.3+1+0.3+9+0.3)*8.5*0.5</t>
    <phoneticPr fontId="1" type="noConversion"/>
  </si>
  <si>
    <t xml:space="preserve">80mm 단열 </t>
    <phoneticPr fontId="1" type="noConversion"/>
  </si>
  <si>
    <t>37.7+111.5</t>
    <phoneticPr fontId="1" type="noConversion"/>
  </si>
  <si>
    <t>슬라브</t>
    <phoneticPr fontId="1" type="noConversion"/>
  </si>
  <si>
    <t>회반죽 뿜칠</t>
    <phoneticPr fontId="1" type="noConversion"/>
  </si>
  <si>
    <t>1446.3-24.6</t>
    <phoneticPr fontId="1" type="noConversion"/>
  </si>
  <si>
    <t>(10+3+4.7+2+14.5+2+3.4+3.6+3.8+3.6+2.2+2.2+3.6+1.5+3.6+1.8+1.6+1+3.4+4.8)*2</t>
    <phoneticPr fontId="1" type="noConversion"/>
  </si>
  <si>
    <t>조적철거부위</t>
    <phoneticPr fontId="1" type="noConversion"/>
  </si>
  <si>
    <t>0.7*4*9*2.4</t>
    <phoneticPr fontId="1" type="noConversion"/>
  </si>
  <si>
    <t>(1+0.9+2.2+1.0+1.8+2+1.9+2+1.9+1.8+2.5+2.5+0.9+1.5+1+1.5+1+0.9+0.6+0.6+0.7+0.5+0.5)*3.6</t>
    <phoneticPr fontId="1" type="noConversion"/>
  </si>
  <si>
    <t>(19*3.4)+((15+1.3+1.3+1.6+2.1+2.1+0.6+0.3+2.3+2+0.6+0.6+0.6+2)*5.8)</t>
    <phoneticPr fontId="1" type="noConversion"/>
  </si>
  <si>
    <t>((1.1+15.2+80.7+14.5+12+1.3+1.3+11.3+0.6+12.3+0.642.9+6)*2.4)</t>
    <phoneticPr fontId="1" type="noConversion"/>
  </si>
  <si>
    <t>((1.1+3.2+3.1)*3.6*2)-(0.9*2.1*2)</t>
    <phoneticPr fontId="1" type="noConversion"/>
  </si>
  <si>
    <t>창고2</t>
    <phoneticPr fontId="1" type="noConversion"/>
  </si>
  <si>
    <t>0.7*4*9</t>
    <phoneticPr fontId="1" type="noConversion"/>
  </si>
  <si>
    <t>(1.1+1.3+1.3+1.6+2.1+2.1+0.6+0.6+0.3+2.3+2+0.6+0.6+0.6+2+42.9+6)</t>
    <phoneticPr fontId="1" type="noConversion"/>
  </si>
  <si>
    <t>(1.1+3.2+3.1)</t>
    <phoneticPr fontId="1" type="noConversion"/>
  </si>
  <si>
    <t>((15.2+12)*5.8)-((0.9*2.1)+(3*4.5))</t>
    <phoneticPr fontId="1" type="noConversion"/>
  </si>
  <si>
    <t>0.7*4*9*5.8</t>
    <phoneticPr fontId="1" type="noConversion"/>
  </si>
  <si>
    <t>((1.1+1.3+1.3+1.6+2.1+2.1+0.6+0.6+0.3+2.3+2+0.6+0.6+0.6+2+42.9+6)*5.8)</t>
    <phoneticPr fontId="1" type="noConversion"/>
  </si>
  <si>
    <t>(80.7+14.5+11.3+15+12.3)*5.8</t>
    <phoneticPr fontId="1" type="noConversion"/>
  </si>
  <si>
    <t>((1.1+15.2+80.7+14.5+12+1.3+1.3+11.3+15+1.6+2.1+2.1+0.6+12.3+0.6+0.3+2.3+2+0.6+0.6+0.6+2+42.9+6)*5.8)-((3*4.5)+(0.9*2.1))</t>
    <phoneticPr fontId="1" type="noConversion"/>
  </si>
  <si>
    <t>((1.1+3.2+3.1)*3.6)-(0.9*2.1)</t>
    <phoneticPr fontId="1" type="noConversion"/>
  </si>
  <si>
    <t>(13*10*2*5*0.6)+(21*9*0.6*2)</t>
    <phoneticPr fontId="1" type="noConversion"/>
  </si>
  <si>
    <t>전시장보</t>
    <phoneticPr fontId="1" type="noConversion"/>
  </si>
  <si>
    <t>(1446.3-24.6)*30%</t>
    <phoneticPr fontId="1" type="noConversion"/>
  </si>
  <si>
    <t>설비닥트</t>
    <phoneticPr fontId="1" type="noConversion"/>
  </si>
  <si>
    <t>내부천장, 2회</t>
    <phoneticPr fontId="1" type="noConversion"/>
  </si>
  <si>
    <t>1446.3-24.6</t>
    <phoneticPr fontId="1" type="noConversion"/>
  </si>
  <si>
    <t>스라브</t>
    <phoneticPr fontId="1" type="noConversion"/>
  </si>
  <si>
    <t>천정공사</t>
    <phoneticPr fontId="1" type="noConversion"/>
  </si>
  <si>
    <t>4-1</t>
    <phoneticPr fontId="1" type="noConversion"/>
  </si>
  <si>
    <t>상설전시실</t>
    <phoneticPr fontId="1" type="noConversion"/>
  </si>
  <si>
    <t>4.</t>
    <phoneticPr fontId="1" type="noConversion"/>
  </si>
  <si>
    <t>2.7+3.3</t>
    <phoneticPr fontId="1" type="noConversion"/>
  </si>
  <si>
    <t>재료분리대</t>
    <phoneticPr fontId="1" type="noConversion"/>
  </si>
  <si>
    <t>철거부위</t>
    <phoneticPr fontId="1" type="noConversion"/>
  </si>
  <si>
    <t>3-3</t>
    <phoneticPr fontId="1" type="noConversion"/>
  </si>
  <si>
    <t>12mm 2PLY</t>
    <phoneticPr fontId="1" type="noConversion"/>
  </si>
  <si>
    <t>방화 석고보드붙이기</t>
    <phoneticPr fontId="1" type="noConversion"/>
  </si>
  <si>
    <t>(3.6*5.8)+(7*2.3*2)</t>
    <phoneticPr fontId="1" type="noConversion"/>
  </si>
  <si>
    <t>석고보드 붙이기</t>
    <phoneticPr fontId="1" type="noConversion"/>
  </si>
  <si>
    <t>(3.6*5.8)+((2.7+3.3+7)*2.3)</t>
    <phoneticPr fontId="1" type="noConversion"/>
  </si>
  <si>
    <t>W100</t>
    <phoneticPr fontId="1" type="noConversion"/>
  </si>
  <si>
    <t>메탈스터드</t>
    <phoneticPr fontId="1" type="noConversion"/>
  </si>
  <si>
    <t>벽체공사</t>
    <phoneticPr fontId="1" type="noConversion"/>
  </si>
  <si>
    <t>3-2</t>
    <phoneticPr fontId="1" type="noConversion"/>
  </si>
  <si>
    <t xml:space="preserve">비닐페인트 </t>
    <phoneticPr fontId="1" type="noConversion"/>
  </si>
  <si>
    <t>9mm 2PLY</t>
    <phoneticPr fontId="1" type="noConversion"/>
  </si>
  <si>
    <t>석고보드붙이기</t>
    <phoneticPr fontId="1" type="noConversion"/>
  </si>
  <si>
    <t>M-bar</t>
    <phoneticPr fontId="1" type="noConversion"/>
  </si>
  <si>
    <t>경량철골천정틀</t>
    <phoneticPr fontId="1" type="noConversion"/>
  </si>
  <si>
    <t>3-1</t>
    <phoneticPr fontId="1" type="noConversion"/>
  </si>
  <si>
    <t>전 실</t>
    <phoneticPr fontId="1" type="noConversion"/>
  </si>
  <si>
    <t>3.</t>
    <phoneticPr fontId="1" type="noConversion"/>
  </si>
  <si>
    <t>1766.2-(141.1+(8.5*7)+(3.2*2.4*2)+(5.5*15.5)+(2.8*2.2)+(1.2*3.3))</t>
    <phoneticPr fontId="1" type="noConversion"/>
  </si>
  <si>
    <t>(5.5*15.5)+(2.8*2.2)+(3.5*3.8)+(1.2*3.3)</t>
    <phoneticPr fontId="1" type="noConversion"/>
  </si>
  <si>
    <t>휴게실 및 화장실</t>
    <phoneticPr fontId="32" type="noConversion"/>
  </si>
  <si>
    <t>석재  철거</t>
    <phoneticPr fontId="32" type="noConversion"/>
  </si>
  <si>
    <t>(8.5*7)+(3.2*2.4*2)</t>
    <phoneticPr fontId="1" type="noConversion"/>
  </si>
  <si>
    <t>영상실입구</t>
    <phoneticPr fontId="32" type="noConversion"/>
  </si>
  <si>
    <t>2-3</t>
    <phoneticPr fontId="32" type="noConversion"/>
  </si>
  <si>
    <t>(2*1)+(4*1)+(2*0.7*2)</t>
    <phoneticPr fontId="1" type="noConversion"/>
  </si>
  <si>
    <t>문헌자료실</t>
    <phoneticPr fontId="1" type="noConversion"/>
  </si>
  <si>
    <t>((9.9+9+9+1.7)*2.5</t>
    <phoneticPr fontId="1" type="noConversion"/>
  </si>
  <si>
    <t>(0.6*2.4*2)+((0.6+0.6+2.4)*2*2.4)</t>
    <phoneticPr fontId="1" type="noConversion"/>
  </si>
  <si>
    <t>고고 미술실2</t>
  </si>
  <si>
    <t>((9.5+10.4+4.1+2.7)*2)+((1.7+5)*1.2)</t>
    <phoneticPr fontId="1" type="noConversion"/>
  </si>
  <si>
    <t>((11.8+9.9)*1.1)+((9.6+6.4+4.2+6.8)*2)+((3.3+3.3+3.2+3.2+4.1+2.7)*2)+(18.5*0.9)</t>
    <phoneticPr fontId="1" type="noConversion"/>
  </si>
  <si>
    <t>고고 미술실1</t>
    <phoneticPr fontId="1" type="noConversion"/>
  </si>
  <si>
    <t>2.5*2*2.5</t>
    <phoneticPr fontId="1" type="noConversion"/>
  </si>
  <si>
    <t>영상실</t>
    <phoneticPr fontId="1" type="noConversion"/>
  </si>
  <si>
    <t>0.45*3.14*3*4</t>
    <phoneticPr fontId="1" type="noConversion"/>
  </si>
  <si>
    <t>0.6*4.2*3</t>
    <phoneticPr fontId="1" type="noConversion"/>
  </si>
  <si>
    <t>입구간판</t>
    <phoneticPr fontId="1" type="noConversion"/>
  </si>
  <si>
    <t>(1*0.8*24*2)+((0.8+1)*2*24)</t>
    <phoneticPr fontId="1" type="noConversion"/>
  </si>
  <si>
    <t>((9.9+9+9+1.7)*0.6)+(9.9*0.9*6)+(1.5*1.8*2)</t>
    <phoneticPr fontId="1" type="noConversion"/>
  </si>
  <si>
    <t>(14.6*3.8)+((9.9+0.9+0.9+10.+0.9+10+0.9+0.8+0.8+3.2+2+3.1)*3.1)</t>
    <phoneticPr fontId="1" type="noConversion"/>
  </si>
  <si>
    <t>(4.1*1.1)+(0.9*2.7)+(1.7*5)+(9.5*1.9)+(11.4*1.2)</t>
    <phoneticPr fontId="1" type="noConversion"/>
  </si>
  <si>
    <t>좌대벽</t>
    <phoneticPr fontId="1" type="noConversion"/>
  </si>
  <si>
    <t>((9.5+10.4+4.1+2.7)*1.5)+((1.7+5)*1.5)</t>
    <phoneticPr fontId="1" type="noConversion"/>
  </si>
  <si>
    <t>((3.4+1.1+1.1+1.1+4.6+4.1+2.3+2.3+4.1+4.6+1.8+1.9+12.2+1.9+1.2)*4</t>
    <phoneticPr fontId="1" type="noConversion"/>
  </si>
  <si>
    <t>(2.4*2.4*2)+(0.6*2.4*2)+(1.2*1.2*2)</t>
    <phoneticPr fontId="1" type="noConversion"/>
  </si>
  <si>
    <t>라운드벽</t>
    <phoneticPr fontId="1" type="noConversion"/>
  </si>
  <si>
    <t>(1*3.14*1.8*9)</t>
    <phoneticPr fontId="1" type="noConversion"/>
  </si>
  <si>
    <t>(11.8*1.9)+(9.9*2.5)+(9.6*1.2)+(1.8*6.5)+((2.7+3.2+3.2+3.3+3.3)*0.7)+(4.1*1.1)+(4*2)+(3.3*5)</t>
    <phoneticPr fontId="1" type="noConversion"/>
  </si>
  <si>
    <t>((11.8+9.9)*15)+((9.6+6.4+4.2+6.8)*1.5)+((3.3+3.3+3.2+3.2+4.1+2.7)*1.5)+(18.5*0.9)</t>
    <phoneticPr fontId="1" type="noConversion"/>
  </si>
  <si>
    <t>(1.2+1.9+1.9+1.2+0.3+0.6+2.5+3+1+2+0.9+0.9+2+2+1.2+9.6+1.2+1.8+1.1+1.8+6.5+1.7+0.2+1.2+1.1+1.1+1.1+1.1+1.1+5.5+6.7+1.5+0.9+9.5+1.2+3.2+3.2+2+2.9+2.9+2+0.7+0.7+1.8+1.8)*4</t>
    <phoneticPr fontId="1" type="noConversion"/>
  </si>
  <si>
    <t>((3+13.6+4.1+0.5+11.3+0.5+3.7+13.6+4.6)*4.5)+(11.8*4.2)</t>
    <phoneticPr fontId="1" type="noConversion"/>
  </si>
  <si>
    <t>1.1+10.9+15.3+2+1.8+3.6+33.8+19.8+6.8+4.8)*4.5</t>
    <phoneticPr fontId="1" type="noConversion"/>
  </si>
  <si>
    <t>(3.6+12.6+6+1.8+12.5+10.5)*4</t>
    <phoneticPr fontId="1" type="noConversion"/>
  </si>
  <si>
    <t>합판외 판재류 철거</t>
    <phoneticPr fontId="32" type="noConversion"/>
  </si>
  <si>
    <t>(10.5+8.6+0.2+0.2+14.3+1.9+3.6+12.5+3.6+4.2+3.6+12.5+3.6+3.6)*4</t>
    <phoneticPr fontId="1" type="noConversion"/>
  </si>
  <si>
    <t>(3+16.2+15.1+16.2+4.6)*4.5</t>
    <phoneticPr fontId="1" type="noConversion"/>
  </si>
  <si>
    <t>(3+13.6+4.1+0.5+11.3+0.5+3.7+13.6+4.6)*4.5</t>
    <phoneticPr fontId="1" type="noConversion"/>
  </si>
  <si>
    <t>흡음보드 철거</t>
    <phoneticPr fontId="32" type="noConversion"/>
  </si>
  <si>
    <t>일면각파이프구조틀 철거</t>
    <phoneticPr fontId="32" type="noConversion"/>
  </si>
  <si>
    <t>(4.7+2+14.5+2+3.4+3.6+3.8+3.6+3.6+1.5+3.6+0.8+1.6+1+3.4+4.8)*5.4)+(2.2*1.1)</t>
    <phoneticPr fontId="1" type="noConversion"/>
  </si>
  <si>
    <t>전시장경계벽</t>
    <phoneticPr fontId="1" type="noConversion"/>
  </si>
  <si>
    <t>2-2</t>
    <phoneticPr fontId="32" type="noConversion"/>
  </si>
  <si>
    <t>(1.5*3.14)+(3.3*3.14)</t>
    <phoneticPr fontId="1" type="noConversion"/>
  </si>
  <si>
    <t>고고 미술실</t>
    <phoneticPr fontId="1" type="noConversion"/>
  </si>
  <si>
    <t>등박스철거</t>
    <phoneticPr fontId="32" type="noConversion"/>
  </si>
  <si>
    <t>(5.6+13.+9+13)*3</t>
    <phoneticPr fontId="1" type="noConversion"/>
  </si>
  <si>
    <t>(10.5*9.2)+(11*6)+(4*9.2)</t>
    <phoneticPr fontId="1" type="noConversion"/>
  </si>
  <si>
    <t>공용홀</t>
    <phoneticPr fontId="1" type="noConversion"/>
  </si>
  <si>
    <t>(13.5*21.4)</t>
    <phoneticPr fontId="1" type="noConversion"/>
  </si>
  <si>
    <t>(13.5*25.4)+(13.5*21.4)</t>
    <phoneticPr fontId="1" type="noConversion"/>
  </si>
  <si>
    <t>6.8*9</t>
    <phoneticPr fontId="1" type="noConversion"/>
  </si>
  <si>
    <t>2</t>
    <phoneticPr fontId="32" type="noConversion"/>
  </si>
  <si>
    <t>((7.2+1.5)*4.2)</t>
    <phoneticPr fontId="1" type="noConversion"/>
  </si>
  <si>
    <t>가설칸막이</t>
    <phoneticPr fontId="1" type="noConversion"/>
  </si>
  <si>
    <t>컴퓨터구적</t>
    <phoneticPr fontId="32" type="noConversion"/>
  </si>
  <si>
    <t>1446.3+28.3+99+111.5</t>
    <phoneticPr fontId="1" type="noConversion"/>
  </si>
  <si>
    <t>건축물 현장보양</t>
    <phoneticPr fontId="1" type="noConversion"/>
  </si>
  <si>
    <t>컴퓨터구적</t>
    <phoneticPr fontId="32" type="noConversion"/>
  </si>
  <si>
    <t>1446.3+28.3+99+111.5</t>
    <phoneticPr fontId="1" type="noConversion"/>
  </si>
  <si>
    <t>6개월,H= 2M*2단</t>
    <phoneticPr fontId="1" type="noConversion"/>
  </si>
  <si>
    <t>가설공사</t>
    <phoneticPr fontId="32" type="noConversion"/>
  </si>
  <si>
    <t>1</t>
    <phoneticPr fontId="32" type="noConversion"/>
  </si>
  <si>
    <t>비  고</t>
    <phoneticPr fontId="32" type="noConversion"/>
  </si>
  <si>
    <t>수량 계</t>
    <phoneticPr fontId="32" type="noConversion"/>
  </si>
  <si>
    <t>수량</t>
    <phoneticPr fontId="32" type="noConversion"/>
  </si>
  <si>
    <t>산  출  근  거</t>
    <phoneticPr fontId="32" type="noConversion"/>
  </si>
  <si>
    <t>위 치</t>
    <phoneticPr fontId="32" type="noConversion"/>
  </si>
  <si>
    <t>단위</t>
    <phoneticPr fontId="32" type="noConversion"/>
  </si>
  <si>
    <t>규      격</t>
    <phoneticPr fontId="32" type="noConversion"/>
  </si>
  <si>
    <t>품      명</t>
    <phoneticPr fontId="32" type="noConversion"/>
  </si>
  <si>
    <t>NO</t>
    <phoneticPr fontId="32" type="noConversion"/>
  </si>
  <si>
    <t>공사명 : 경기도박물관 전시실 리뉴얼 디자인설계 용역 전시 인테리어 공사 (2층)</t>
    <phoneticPr fontId="1" type="noConversion"/>
  </si>
  <si>
    <t>수량산출서</t>
    <phoneticPr fontId="16" type="noConversion"/>
  </si>
  <si>
    <t>강관조립말비계</t>
    <phoneticPr fontId="1" type="noConversion"/>
  </si>
  <si>
    <t>방염</t>
    <phoneticPr fontId="1" type="noConversion"/>
  </si>
  <si>
    <t>서류대행</t>
    <phoneticPr fontId="1" type="noConversion"/>
  </si>
  <si>
    <t>식</t>
    <phoneticPr fontId="1" type="noConversion"/>
  </si>
  <si>
    <t>찬넬고리</t>
    <phoneticPr fontId="1" type="noConversion"/>
  </si>
  <si>
    <t>그래픽</t>
    <phoneticPr fontId="1" type="noConversion"/>
  </si>
  <si>
    <t>그래픽설치</t>
    <phoneticPr fontId="1" type="noConversion"/>
  </si>
  <si>
    <t>인</t>
    <phoneticPr fontId="1" type="noConversion"/>
  </si>
  <si>
    <t>전시대</t>
    <phoneticPr fontId="1" type="noConversion"/>
  </si>
  <si>
    <t>모듈 가구재설치</t>
    <phoneticPr fontId="1" type="noConversion"/>
  </si>
  <si>
    <t xml:space="preserve">모듈 가구선반 </t>
    <phoneticPr fontId="1" type="noConversion"/>
  </si>
  <si>
    <t>SET</t>
    <phoneticPr fontId="1" type="noConversion"/>
  </si>
  <si>
    <t>EA</t>
    <phoneticPr fontId="1" type="noConversion"/>
  </si>
  <si>
    <t>영상장비 하드웨어</t>
    <phoneticPr fontId="1" type="noConversion"/>
  </si>
  <si>
    <t>빔프로젝터</t>
    <phoneticPr fontId="1" type="noConversion"/>
  </si>
  <si>
    <t>FULL HD, 6500ANSI</t>
    <phoneticPr fontId="1" type="noConversion"/>
  </si>
  <si>
    <t>브라켓 및 케이블</t>
    <phoneticPr fontId="1" type="noConversion"/>
  </si>
  <si>
    <t>전시실</t>
    <phoneticPr fontId="1" type="noConversion"/>
  </si>
  <si>
    <t>디지털액자</t>
    <phoneticPr fontId="1" type="noConversion"/>
  </si>
  <si>
    <t>20"</t>
    <phoneticPr fontId="1" type="noConversion"/>
  </si>
  <si>
    <t>먹매김</t>
    <phoneticPr fontId="1" type="noConversion"/>
  </si>
  <si>
    <t>9</t>
    <phoneticPr fontId="1" type="noConversion"/>
  </si>
  <si>
    <t>그래픽 공사</t>
    <phoneticPr fontId="1" type="noConversion"/>
  </si>
  <si>
    <t>10</t>
    <phoneticPr fontId="32" type="noConversion"/>
  </si>
  <si>
    <t>전시대</t>
    <phoneticPr fontId="32" type="noConversion"/>
  </si>
  <si>
    <t>M</t>
    <phoneticPr fontId="1" type="noConversion"/>
  </si>
  <si>
    <t>피아노경첩</t>
    <phoneticPr fontId="1" type="noConversion"/>
  </si>
  <si>
    <t>매입기</t>
    <phoneticPr fontId="1" type="noConversion"/>
  </si>
  <si>
    <t>전시대 서랍</t>
    <phoneticPr fontId="1" type="noConversion"/>
  </si>
  <si>
    <t>700*80*600, 2층</t>
    <phoneticPr fontId="1" type="noConversion"/>
  </si>
  <si>
    <t>4000*4000*300, 2층</t>
    <phoneticPr fontId="1" type="noConversion"/>
  </si>
  <si>
    <t>벽면형 유리선반</t>
    <phoneticPr fontId="1" type="noConversion"/>
  </si>
  <si>
    <t>T10, 300*300</t>
    <phoneticPr fontId="1" type="noConversion"/>
  </si>
  <si>
    <t>T10, 400*300</t>
    <phoneticPr fontId="1" type="noConversion"/>
  </si>
  <si>
    <t>T10, 500*200</t>
    <phoneticPr fontId="1" type="noConversion"/>
  </si>
  <si>
    <t>T10, 700*200</t>
    <phoneticPr fontId="1" type="noConversion"/>
  </si>
  <si>
    <t>T10, 1050*200</t>
    <phoneticPr fontId="1" type="noConversion"/>
  </si>
  <si>
    <t>T10, 1350*200</t>
    <phoneticPr fontId="1" type="noConversion"/>
  </si>
  <si>
    <t>전시보조대 A, 2층</t>
    <phoneticPr fontId="1" type="noConversion"/>
  </si>
  <si>
    <t>전시보조대 B, 2층</t>
    <phoneticPr fontId="1" type="noConversion"/>
  </si>
  <si>
    <t>전시보조대 D, 2층</t>
    <phoneticPr fontId="1" type="noConversion"/>
  </si>
  <si>
    <t>전시보조대 E, 2층</t>
    <phoneticPr fontId="1" type="noConversion"/>
  </si>
  <si>
    <t>11</t>
    <phoneticPr fontId="1" type="noConversion"/>
  </si>
  <si>
    <t>터치모니터</t>
    <phoneticPr fontId="1" type="noConversion"/>
  </si>
  <si>
    <t>4000ANSI</t>
    <phoneticPr fontId="1" type="noConversion"/>
  </si>
  <si>
    <t>영상장비(하드웨어)</t>
    <phoneticPr fontId="1" type="noConversion"/>
  </si>
  <si>
    <t>석고보드, 평보드, 방화, 12.5*900*1800mm(㎡)</t>
    <phoneticPr fontId="1" type="noConversion"/>
  </si>
  <si>
    <t>석고보드, 평보드, 방수, 12.5*900*1800mm(㎡)</t>
    <phoneticPr fontId="1" type="noConversion"/>
  </si>
  <si>
    <t>특별인부</t>
    <phoneticPr fontId="1" type="noConversion"/>
  </si>
  <si>
    <t>특별인부</t>
    <phoneticPr fontId="1" type="noConversion"/>
  </si>
  <si>
    <t>건축목공</t>
    <phoneticPr fontId="1" type="noConversion"/>
  </si>
  <si>
    <t>235.1*30%</t>
    <phoneticPr fontId="1" type="noConversion"/>
  </si>
  <si>
    <t>전시대(EX-114)</t>
  </si>
  <si>
    <t>전시대(EX-115)</t>
  </si>
  <si>
    <t>1.4*0.7*1.41</t>
    <phoneticPr fontId="1" type="noConversion"/>
  </si>
  <si>
    <t>0.7*0.7*0.7</t>
    <phoneticPr fontId="1" type="noConversion"/>
  </si>
  <si>
    <t>0.7*0.7*0.8</t>
    <phoneticPr fontId="1" type="noConversion"/>
  </si>
  <si>
    <t>0.7*0.5*1.0</t>
    <phoneticPr fontId="1" type="noConversion"/>
  </si>
  <si>
    <t>0.7*0.7*0.9</t>
    <phoneticPr fontId="1" type="noConversion"/>
  </si>
  <si>
    <t>1.4*0.7*1.1</t>
    <phoneticPr fontId="1" type="noConversion"/>
  </si>
  <si>
    <t>L:2000</t>
    <phoneticPr fontId="1" type="noConversion"/>
  </si>
  <si>
    <t>L:3000</t>
    <phoneticPr fontId="1" type="noConversion"/>
  </si>
  <si>
    <t>2.0*2.0*1200</t>
    <phoneticPr fontId="1" type="noConversion"/>
  </si>
  <si>
    <t>2.0*2.0*1500</t>
    <phoneticPr fontId="1" type="noConversion"/>
  </si>
  <si>
    <t>전시대(EX-314)</t>
  </si>
  <si>
    <t>1.1*0.65*0.5</t>
    <phoneticPr fontId="1" type="noConversion"/>
  </si>
  <si>
    <t>전시대(EX-313)</t>
  </si>
  <si>
    <t>0.9*0.6*0.45</t>
    <phoneticPr fontId="1" type="noConversion"/>
  </si>
  <si>
    <t>1200*500*500</t>
    <phoneticPr fontId="1" type="noConversion"/>
  </si>
  <si>
    <t>1200*1000*500</t>
    <phoneticPr fontId="1" type="noConversion"/>
  </si>
  <si>
    <t>700*500*500</t>
    <phoneticPr fontId="1" type="noConversion"/>
  </si>
  <si>
    <t>1200*600*500</t>
    <phoneticPr fontId="1" type="noConversion"/>
  </si>
  <si>
    <t>350*350*500</t>
    <phoneticPr fontId="1" type="noConversion"/>
  </si>
  <si>
    <t>300*300*500</t>
    <phoneticPr fontId="1" type="noConversion"/>
  </si>
  <si>
    <t>200*200*500</t>
    <phoneticPr fontId="1" type="noConversion"/>
  </si>
  <si>
    <t>1400*400*200</t>
    <phoneticPr fontId="1" type="noConversion"/>
  </si>
  <si>
    <t>200*200*50</t>
    <phoneticPr fontId="1" type="noConversion"/>
  </si>
  <si>
    <t>200*200*200</t>
    <phoneticPr fontId="1" type="noConversion"/>
  </si>
  <si>
    <t>1300*700*1100</t>
    <phoneticPr fontId="1" type="noConversion"/>
  </si>
  <si>
    <t>100*100*50</t>
    <phoneticPr fontId="1" type="noConversion"/>
  </si>
  <si>
    <t>400*300</t>
    <phoneticPr fontId="1" type="noConversion"/>
  </si>
  <si>
    <t>2300*200</t>
    <phoneticPr fontId="1" type="noConversion"/>
  </si>
  <si>
    <t>1300*600</t>
    <phoneticPr fontId="1" type="noConversion"/>
  </si>
  <si>
    <t>300*300</t>
    <phoneticPr fontId="1" type="noConversion"/>
  </si>
  <si>
    <t>700*450</t>
    <phoneticPr fontId="1" type="noConversion"/>
  </si>
  <si>
    <t>2000*50</t>
    <phoneticPr fontId="1" type="noConversion"/>
  </si>
  <si>
    <t>900*500</t>
    <phoneticPr fontId="1" type="noConversion"/>
  </si>
  <si>
    <t>700*700</t>
    <phoneticPr fontId="1" type="noConversion"/>
  </si>
  <si>
    <t>400*250</t>
    <phoneticPr fontId="1" type="noConversion"/>
  </si>
  <si>
    <t>전시보조대 E</t>
    <phoneticPr fontId="1" type="noConversion"/>
  </si>
  <si>
    <t>300*300*120</t>
    <phoneticPr fontId="1" type="noConversion"/>
  </si>
  <si>
    <t>1000*1000*300</t>
    <phoneticPr fontId="1" type="noConversion"/>
  </si>
  <si>
    <t>전시패녈D</t>
    <phoneticPr fontId="1" type="noConversion"/>
  </si>
  <si>
    <t>300*250*100</t>
    <phoneticPr fontId="1" type="noConversion"/>
  </si>
  <si>
    <t>150*250*100</t>
    <phoneticPr fontId="1" type="noConversion"/>
  </si>
  <si>
    <t>1800*1400</t>
    <phoneticPr fontId="1" type="noConversion"/>
  </si>
  <si>
    <t>1100*2100</t>
    <phoneticPr fontId="1" type="noConversion"/>
  </si>
  <si>
    <t>1500*1000</t>
    <phoneticPr fontId="1" type="noConversion"/>
  </si>
  <si>
    <t>1250*2000</t>
    <phoneticPr fontId="1" type="noConversion"/>
  </si>
  <si>
    <t>1000*1400</t>
    <phoneticPr fontId="1" type="noConversion"/>
  </si>
  <si>
    <t>700*900</t>
    <phoneticPr fontId="1" type="noConversion"/>
  </si>
  <si>
    <t>2300*1400</t>
    <phoneticPr fontId="1" type="noConversion"/>
  </si>
  <si>
    <t>토기장 전시보조대 H</t>
    <phoneticPr fontId="1" type="noConversion"/>
  </si>
  <si>
    <t>대형옹 전시보조대 G</t>
    <phoneticPr fontId="1" type="noConversion"/>
  </si>
  <si>
    <t>3300*850*2000</t>
    <phoneticPr fontId="1" type="noConversion"/>
  </si>
  <si>
    <t>2100*650*2000</t>
    <phoneticPr fontId="1" type="noConversion"/>
  </si>
  <si>
    <t>300*300*150</t>
    <phoneticPr fontId="1" type="noConversion"/>
  </si>
  <si>
    <t>600*600*200</t>
    <phoneticPr fontId="1" type="noConversion"/>
  </si>
  <si>
    <t>150*150*100</t>
    <phoneticPr fontId="1" type="noConversion"/>
  </si>
  <si>
    <t>250*250*100</t>
    <phoneticPr fontId="1" type="noConversion"/>
  </si>
  <si>
    <t>디오라마 보조대 I</t>
    <phoneticPr fontId="1" type="noConversion"/>
  </si>
  <si>
    <t>R350*100</t>
    <phoneticPr fontId="1" type="noConversion"/>
  </si>
  <si>
    <t>T10, 1750*200</t>
    <phoneticPr fontId="1" type="noConversion"/>
  </si>
  <si>
    <t>100*100*100</t>
    <phoneticPr fontId="1" type="noConversion"/>
  </si>
  <si>
    <t>7700*600*300</t>
    <phoneticPr fontId="1" type="noConversion"/>
  </si>
  <si>
    <t>5700*600*300</t>
    <phoneticPr fontId="1" type="noConversion"/>
  </si>
  <si>
    <t>2000*600*300</t>
    <phoneticPr fontId="1" type="noConversion"/>
  </si>
  <si>
    <t>650*600*300</t>
    <phoneticPr fontId="1" type="noConversion"/>
  </si>
  <si>
    <t>1500*600*300</t>
    <phoneticPr fontId="1" type="noConversion"/>
  </si>
  <si>
    <t>5400*600*300</t>
    <phoneticPr fontId="1" type="noConversion"/>
  </si>
  <si>
    <t>600*600*300</t>
    <phoneticPr fontId="1" type="noConversion"/>
  </si>
  <si>
    <t>3300*600*500</t>
    <phoneticPr fontId="1" type="noConversion"/>
  </si>
  <si>
    <t>1200*500*50</t>
    <phoneticPr fontId="1" type="noConversion"/>
  </si>
  <si>
    <t>500*400*50</t>
    <phoneticPr fontId="1" type="noConversion"/>
  </si>
  <si>
    <t>300*300*100</t>
    <phoneticPr fontId="1" type="noConversion"/>
  </si>
  <si>
    <t>3600*450*600</t>
    <phoneticPr fontId="1" type="noConversion"/>
  </si>
  <si>
    <t>3600*450*300</t>
    <phoneticPr fontId="1" type="noConversion"/>
  </si>
  <si>
    <t>300*300*500</t>
    <phoneticPr fontId="1" type="noConversion"/>
  </si>
  <si>
    <t>450*300*350</t>
    <phoneticPr fontId="1" type="noConversion"/>
  </si>
  <si>
    <t>900*600*300</t>
    <phoneticPr fontId="1" type="noConversion"/>
  </si>
  <si>
    <t>4500*600*300</t>
    <phoneticPr fontId="1" type="noConversion"/>
  </si>
  <si>
    <t>3300*600*300</t>
    <phoneticPr fontId="1" type="noConversion"/>
  </si>
  <si>
    <t>500*500*650</t>
    <phoneticPr fontId="1" type="noConversion"/>
  </si>
  <si>
    <t>500*500*800</t>
    <phoneticPr fontId="1" type="noConversion"/>
  </si>
  <si>
    <t>1400*1400*200</t>
    <phoneticPr fontId="1" type="noConversion"/>
  </si>
  <si>
    <t>1100*800*160</t>
    <phoneticPr fontId="1" type="noConversion"/>
  </si>
  <si>
    <t>1500*700*340</t>
    <phoneticPr fontId="1" type="noConversion"/>
  </si>
  <si>
    <t>400*400*640</t>
    <phoneticPr fontId="1" type="noConversion"/>
  </si>
  <si>
    <t>400*400*540</t>
    <phoneticPr fontId="1" type="noConversion"/>
  </si>
  <si>
    <t>400*400*740</t>
    <phoneticPr fontId="1" type="noConversion"/>
  </si>
  <si>
    <t>1400*1400*200</t>
    <phoneticPr fontId="1" type="noConversion"/>
  </si>
  <si>
    <t>600*600*100</t>
    <phoneticPr fontId="1" type="noConversion"/>
  </si>
  <si>
    <t>2000*700*340</t>
    <phoneticPr fontId="1" type="noConversion"/>
  </si>
  <si>
    <t>480*200</t>
    <phoneticPr fontId="1" type="noConversion"/>
  </si>
  <si>
    <t>650*350</t>
    <phoneticPr fontId="1" type="noConversion"/>
  </si>
  <si>
    <t>200*200</t>
    <phoneticPr fontId="1" type="noConversion"/>
  </si>
  <si>
    <t>500*250</t>
    <phoneticPr fontId="1" type="noConversion"/>
  </si>
  <si>
    <t>630*300</t>
    <phoneticPr fontId="1" type="noConversion"/>
  </si>
  <si>
    <t>1250*500</t>
    <phoneticPr fontId="1" type="noConversion"/>
  </si>
  <si>
    <t>400*300</t>
    <phoneticPr fontId="1" type="noConversion"/>
  </si>
  <si>
    <t>280*130</t>
    <phoneticPr fontId="1" type="noConversion"/>
  </si>
  <si>
    <t>470*180</t>
    <phoneticPr fontId="1" type="noConversion"/>
  </si>
  <si>
    <t>290*190</t>
    <phoneticPr fontId="1" type="noConversion"/>
  </si>
  <si>
    <t>190*140</t>
    <phoneticPr fontId="1" type="noConversion"/>
  </si>
  <si>
    <t>1200*380</t>
    <phoneticPr fontId="1" type="noConversion"/>
  </si>
  <si>
    <t>1200*400</t>
    <phoneticPr fontId="1" type="noConversion"/>
  </si>
  <si>
    <t>2000*750</t>
    <phoneticPr fontId="1" type="noConversion"/>
  </si>
  <si>
    <t>180*120</t>
    <phoneticPr fontId="1" type="noConversion"/>
  </si>
  <si>
    <t>250*280</t>
    <phoneticPr fontId="1" type="noConversion"/>
  </si>
  <si>
    <t>550*300</t>
    <phoneticPr fontId="1" type="noConversion"/>
  </si>
  <si>
    <t>800*450</t>
    <phoneticPr fontId="1" type="noConversion"/>
  </si>
  <si>
    <t>300*300</t>
    <phoneticPr fontId="1" type="noConversion"/>
  </si>
  <si>
    <t>500*500</t>
    <phoneticPr fontId="1" type="noConversion"/>
  </si>
  <si>
    <t>300*300</t>
    <phoneticPr fontId="1" type="noConversion"/>
  </si>
  <si>
    <t>650*300</t>
    <phoneticPr fontId="1" type="noConversion"/>
  </si>
  <si>
    <t>400*640</t>
    <phoneticPr fontId="1" type="noConversion"/>
  </si>
  <si>
    <t>380*400</t>
    <phoneticPr fontId="1" type="noConversion"/>
  </si>
  <si>
    <t>980*490</t>
    <phoneticPr fontId="1" type="noConversion"/>
  </si>
  <si>
    <t>전시보조대 E, 2층</t>
    <phoneticPr fontId="1" type="noConversion"/>
  </si>
  <si>
    <t>820*440*160</t>
    <phoneticPr fontId="1" type="noConversion"/>
  </si>
  <si>
    <t>430*350*130</t>
    <phoneticPr fontId="1" type="noConversion"/>
  </si>
  <si>
    <t>1650*420*150</t>
    <phoneticPr fontId="1" type="noConversion"/>
  </si>
  <si>
    <t>480*370*140</t>
    <phoneticPr fontId="1" type="noConversion"/>
  </si>
  <si>
    <t>910*590*200</t>
    <phoneticPr fontId="1" type="noConversion"/>
  </si>
  <si>
    <t>540*320*130</t>
    <phoneticPr fontId="1" type="noConversion"/>
  </si>
  <si>
    <t>600*600*600</t>
    <phoneticPr fontId="1" type="noConversion"/>
  </si>
  <si>
    <t>800*600*600</t>
    <phoneticPr fontId="1" type="noConversion"/>
  </si>
  <si>
    <t>600*400*150</t>
    <phoneticPr fontId="1" type="noConversion"/>
  </si>
  <si>
    <t>500*400*150</t>
    <phoneticPr fontId="1" type="noConversion"/>
  </si>
  <si>
    <t>800*400*150</t>
    <phoneticPr fontId="1" type="noConversion"/>
  </si>
  <si>
    <t>5300*400*150</t>
    <phoneticPr fontId="1" type="noConversion"/>
  </si>
  <si>
    <t>3200*500*170</t>
    <phoneticPr fontId="1" type="noConversion"/>
  </si>
  <si>
    <t>2900*480*170</t>
    <phoneticPr fontId="1" type="noConversion"/>
  </si>
  <si>
    <t>600*480*170</t>
    <phoneticPr fontId="1" type="noConversion"/>
  </si>
  <si>
    <t>600*500*170</t>
    <phoneticPr fontId="1" type="noConversion"/>
  </si>
  <si>
    <t>1800*700*230</t>
    <phoneticPr fontId="1" type="noConversion"/>
  </si>
  <si>
    <t>550*450*160</t>
    <phoneticPr fontId="1" type="noConversion"/>
  </si>
  <si>
    <t>600*450*160</t>
    <phoneticPr fontId="1" type="noConversion"/>
  </si>
  <si>
    <t>730*650*200</t>
    <phoneticPr fontId="1" type="noConversion"/>
  </si>
  <si>
    <t>620*460*170</t>
    <phoneticPr fontId="1" type="noConversion"/>
  </si>
  <si>
    <t>460*490*170</t>
    <phoneticPr fontId="1" type="noConversion"/>
  </si>
  <si>
    <t>570*430*160</t>
    <phoneticPr fontId="1" type="noConversion"/>
  </si>
  <si>
    <t>680*380*150</t>
    <phoneticPr fontId="1" type="noConversion"/>
  </si>
  <si>
    <t>790*600*200</t>
    <phoneticPr fontId="1" type="noConversion"/>
  </si>
  <si>
    <t>470*310*130</t>
    <phoneticPr fontId="1" type="noConversion"/>
  </si>
  <si>
    <t>전시패널D , 2층</t>
    <phoneticPr fontId="1" type="noConversion"/>
  </si>
  <si>
    <t>730*1240</t>
    <phoneticPr fontId="1" type="noConversion"/>
  </si>
  <si>
    <t>430*520</t>
    <phoneticPr fontId="1" type="noConversion"/>
  </si>
  <si>
    <t>860*680</t>
    <phoneticPr fontId="1" type="noConversion"/>
  </si>
  <si>
    <t>200*250</t>
    <phoneticPr fontId="1" type="noConversion"/>
  </si>
  <si>
    <t>200*900</t>
    <phoneticPr fontId="1" type="noConversion"/>
  </si>
  <si>
    <t>850*1560</t>
    <phoneticPr fontId="1" type="noConversion"/>
  </si>
  <si>
    <t>900*1300</t>
    <phoneticPr fontId="1" type="noConversion"/>
  </si>
  <si>
    <t>1250*600</t>
    <phoneticPr fontId="1" type="noConversion"/>
  </si>
  <si>
    <t>690*1140</t>
    <phoneticPr fontId="1" type="noConversion"/>
  </si>
  <si>
    <t>730*1560</t>
    <phoneticPr fontId="1" type="noConversion"/>
  </si>
  <si>
    <t>1320*570</t>
    <phoneticPr fontId="1" type="noConversion"/>
  </si>
  <si>
    <t>280*370</t>
    <phoneticPr fontId="1" type="noConversion"/>
  </si>
  <si>
    <t>800*1850</t>
    <phoneticPr fontId="1" type="noConversion"/>
  </si>
  <si>
    <t>500*500</t>
    <phoneticPr fontId="1" type="noConversion"/>
  </si>
  <si>
    <t>800*500</t>
    <phoneticPr fontId="1" type="noConversion"/>
  </si>
  <si>
    <t>1500*800</t>
    <phoneticPr fontId="1" type="noConversion"/>
  </si>
  <si>
    <t>800*600</t>
    <phoneticPr fontId="1" type="noConversion"/>
  </si>
  <si>
    <t>800*800</t>
    <phoneticPr fontId="1" type="noConversion"/>
  </si>
  <si>
    <t>1050*880</t>
    <phoneticPr fontId="1" type="noConversion"/>
  </si>
  <si>
    <t>440*320</t>
    <phoneticPr fontId="1" type="noConversion"/>
  </si>
  <si>
    <t>1080*1850</t>
    <phoneticPr fontId="1" type="noConversion"/>
  </si>
  <si>
    <t>1250*1750</t>
    <phoneticPr fontId="1" type="noConversion"/>
  </si>
  <si>
    <t>850*1010</t>
    <phoneticPr fontId="1" type="noConversion"/>
  </si>
  <si>
    <t>3000*500</t>
    <phoneticPr fontId="1" type="noConversion"/>
  </si>
  <si>
    <t>4520*1460</t>
    <phoneticPr fontId="1" type="noConversion"/>
  </si>
  <si>
    <t>2400*1700</t>
    <phoneticPr fontId="1" type="noConversion"/>
  </si>
  <si>
    <t>1650*1070</t>
    <phoneticPr fontId="1" type="noConversion"/>
  </si>
  <si>
    <t>2600*590</t>
    <phoneticPr fontId="1" type="noConversion"/>
  </si>
  <si>
    <t>승자총통보조대F</t>
    <phoneticPr fontId="1" type="noConversion"/>
  </si>
  <si>
    <t>300*300*270</t>
    <phoneticPr fontId="1" type="noConversion"/>
  </si>
  <si>
    <t>300*300*620</t>
    <phoneticPr fontId="1" type="noConversion"/>
  </si>
  <si>
    <t>300*300*470</t>
    <phoneticPr fontId="1" type="noConversion"/>
  </si>
  <si>
    <t>300*300*320</t>
    <phoneticPr fontId="1" type="noConversion"/>
  </si>
  <si>
    <t>전시패널A , 2층</t>
    <phoneticPr fontId="1" type="noConversion"/>
  </si>
  <si>
    <t>전시패널B , 2층</t>
    <phoneticPr fontId="1" type="noConversion"/>
  </si>
  <si>
    <t>전시패널C , 2층</t>
    <phoneticPr fontId="1" type="noConversion"/>
  </si>
  <si>
    <t>와이어</t>
    <phoneticPr fontId="1" type="noConversion"/>
  </si>
  <si>
    <t>1500*2617</t>
    <phoneticPr fontId="1" type="noConversion"/>
  </si>
  <si>
    <t>4000*2617</t>
    <phoneticPr fontId="1" type="noConversion"/>
  </si>
  <si>
    <t>1300*900</t>
    <phoneticPr fontId="1" type="noConversion"/>
  </si>
  <si>
    <t>1000*1100</t>
    <phoneticPr fontId="1" type="noConversion"/>
  </si>
  <si>
    <t>보조대타입 C</t>
    <phoneticPr fontId="1" type="noConversion"/>
  </si>
  <si>
    <t>500*500*800</t>
    <phoneticPr fontId="1" type="noConversion"/>
  </si>
  <si>
    <t>80*30</t>
    <phoneticPr fontId="1" type="noConversion"/>
  </si>
  <si>
    <t>(3.6+4.0+3.6+14.5)*5.4</t>
    <phoneticPr fontId="1" type="noConversion"/>
  </si>
  <si>
    <t>(5.2*2.9)+(2.2*2.9)</t>
    <phoneticPr fontId="1" type="noConversion"/>
  </si>
  <si>
    <t>(3.6+3.6+4+14.6)*2</t>
    <phoneticPr fontId="1" type="noConversion"/>
  </si>
  <si>
    <t>마이텍스</t>
  </si>
  <si>
    <t>M-BAR</t>
  </si>
  <si>
    <t>알루미늄 천정 재설치</t>
  </si>
  <si>
    <t>M-BAR,</t>
    <phoneticPr fontId="1" type="noConversion"/>
  </si>
  <si>
    <t>석고보드붙이기</t>
    <phoneticPr fontId="1" type="noConversion"/>
  </si>
  <si>
    <t>9mm 2PLY</t>
    <phoneticPr fontId="1" type="noConversion"/>
  </si>
  <si>
    <t>비닐페인트</t>
    <phoneticPr fontId="1" type="noConversion"/>
  </si>
  <si>
    <t>점검구</t>
    <phoneticPr fontId="1" type="noConversion"/>
  </si>
  <si>
    <t>450*450</t>
    <phoneticPr fontId="1" type="noConversion"/>
  </si>
  <si>
    <t>EA</t>
    <phoneticPr fontId="1" type="noConversion"/>
  </si>
  <si>
    <t>소호약제실1</t>
    <phoneticPr fontId="1" type="noConversion"/>
  </si>
  <si>
    <t>((9.3+1.5+1.5)*4.5)</t>
    <phoneticPr fontId="1" type="noConversion"/>
  </si>
  <si>
    <t>((9.3+1.5+1.5+9.3)*4.5)-(0.9*2.1)</t>
    <phoneticPr fontId="1" type="noConversion"/>
  </si>
  <si>
    <t>(9.3*4.5*2)-(0.9*2.1*2)</t>
    <phoneticPr fontId="1" type="noConversion"/>
  </si>
  <si>
    <t>(0.9*4)+9.3</t>
    <phoneticPr fontId="1" type="noConversion"/>
  </si>
  <si>
    <t>장식몰딩</t>
    <phoneticPr fontId="1" type="noConversion"/>
  </si>
  <si>
    <t>장식몰딩</t>
    <phoneticPr fontId="1" type="noConversion"/>
  </si>
  <si>
    <t>((8.9+7+1.6+5.1+1.1+13.2+9.3+9.3+9.3+7.9+1.1+5+1.4+12.6)*4.5)-((2.9*2.5)+((4.5+5+5)*3.3))</t>
    <phoneticPr fontId="1" type="noConversion"/>
  </si>
  <si>
    <t>목재</t>
    <phoneticPr fontId="1" type="noConversion"/>
  </si>
  <si>
    <t>(16+0.4+4.2+7.3+15.5+30.7+15.4+4.2+4.2+4.5+4.5+2+(0.7*4*3))*5.8</t>
    <phoneticPr fontId="1" type="noConversion"/>
  </si>
  <si>
    <t>(16+0.4+4.2+7.3+15.5+15.4+4.2+4.2+4.5+4.5+2+(0.7*4*3))*5.8</t>
    <phoneticPr fontId="1" type="noConversion"/>
  </si>
  <si>
    <t>(16+0.4+4.2+7.3+15.5+30.7+15.4+4.2+4.2+4.5+4.5+2+(0.7*4*3))</t>
    <phoneticPr fontId="1" type="noConversion"/>
  </si>
  <si>
    <t>(3.6+3.6+4+14.6)*2</t>
    <phoneticPr fontId="1" type="noConversion"/>
  </si>
  <si>
    <t>EX-313</t>
  </si>
  <si>
    <t>(11*1.4)+((1.4+11+1.4)*0.8)+((0.9*0.5*4*2)</t>
    <phoneticPr fontId="1" type="noConversion"/>
  </si>
  <si>
    <t>7.1*2.2</t>
    <phoneticPr fontId="1" type="noConversion"/>
  </si>
  <si>
    <t>오염방지코팅</t>
    <phoneticPr fontId="1" type="noConversion"/>
  </si>
  <si>
    <t>외부창</t>
    <phoneticPr fontId="1" type="noConversion"/>
  </si>
  <si>
    <t>지하1층 수장고</t>
    <phoneticPr fontId="1" type="noConversion"/>
  </si>
  <si>
    <t>지하1층 1층</t>
    <phoneticPr fontId="1" type="noConversion"/>
  </si>
  <si>
    <t>설비전기 배관작업용</t>
    <phoneticPr fontId="1" type="noConversion"/>
  </si>
  <si>
    <t>24mm 1PLY</t>
    <phoneticPr fontId="1" type="noConversion"/>
  </si>
  <si>
    <t>합판 붙이기(자작)</t>
    <phoneticPr fontId="1" type="noConversion"/>
  </si>
  <si>
    <t>9.2*1.2*2</t>
    <phoneticPr fontId="1" type="noConversion"/>
  </si>
  <si>
    <t>9mm 1PLY</t>
    <phoneticPr fontId="1" type="noConversion"/>
  </si>
  <si>
    <t>계단난간</t>
    <phoneticPr fontId="1" type="noConversion"/>
  </si>
  <si>
    <t>기존벽연장</t>
    <phoneticPr fontId="1" type="noConversion"/>
  </si>
  <si>
    <t>9.2*1.2</t>
    <phoneticPr fontId="1" type="noConversion"/>
  </si>
  <si>
    <t>(9.2+0.4)*1.2</t>
    <phoneticPr fontId="1" type="noConversion"/>
  </si>
  <si>
    <t>(9.6/0.048)*1.2</t>
    <phoneticPr fontId="1" type="noConversion"/>
  </si>
  <si>
    <t>9.2*1.2</t>
    <phoneticPr fontId="1" type="noConversion"/>
  </si>
  <si>
    <t>난간대</t>
    <phoneticPr fontId="1" type="noConversion"/>
  </si>
  <si>
    <t>파이프 D 32</t>
    <phoneticPr fontId="1" type="noConversion"/>
  </si>
  <si>
    <t xml:space="preserve">3mm 열연강판 </t>
    <phoneticPr fontId="1" type="noConversion"/>
  </si>
  <si>
    <t>난간두겁 (D:450)</t>
    <phoneticPr fontId="1" type="noConversion"/>
  </si>
  <si>
    <t>(13.1*2.5)+(240*0.072)+(9.2*0.45)</t>
    <phoneticPr fontId="1" type="noConversion"/>
  </si>
  <si>
    <t>WD-1</t>
    <phoneticPr fontId="1" type="noConversion"/>
  </si>
  <si>
    <t>WD-2</t>
  </si>
  <si>
    <t>창고</t>
    <phoneticPr fontId="1" type="noConversion"/>
  </si>
  <si>
    <t>1.8*2.1</t>
    <phoneticPr fontId="1" type="noConversion"/>
  </si>
  <si>
    <t>0.9*2.5</t>
    <phoneticPr fontId="1" type="noConversion"/>
  </si>
  <si>
    <t>4.8*2.8</t>
    <phoneticPr fontId="1" type="noConversion"/>
  </si>
  <si>
    <t>6.2*3.6</t>
    <phoneticPr fontId="1" type="noConversion"/>
  </si>
  <si>
    <t>목재문용</t>
    <phoneticPr fontId="1" type="noConversion"/>
  </si>
  <si>
    <t>(6.2*3.6)-(1*3)</t>
    <phoneticPr fontId="1" type="noConversion"/>
  </si>
  <si>
    <t>4.8*2.8*2</t>
    <phoneticPr fontId="1" type="noConversion"/>
  </si>
  <si>
    <t>지하수장고</t>
    <phoneticPr fontId="1" type="noConversion"/>
  </si>
  <si>
    <t>지하1층, 로비</t>
    <phoneticPr fontId="1" type="noConversion"/>
  </si>
  <si>
    <t>석고보드붙이기</t>
    <phoneticPr fontId="1" type="noConversion"/>
  </si>
  <si>
    <t>9MM, 2PLY</t>
    <phoneticPr fontId="1" type="noConversion"/>
  </si>
  <si>
    <t>SSW-1</t>
    <phoneticPr fontId="1" type="noConversion"/>
  </si>
  <si>
    <t>6200*3600</t>
    <phoneticPr fontId="1" type="noConversion"/>
  </si>
  <si>
    <t>4800*2800</t>
    <phoneticPr fontId="1" type="noConversion"/>
  </si>
  <si>
    <t>방화문용</t>
    <phoneticPr fontId="1" type="noConversion"/>
  </si>
  <si>
    <t>목재용</t>
    <phoneticPr fontId="1" type="noConversion"/>
  </si>
  <si>
    <t>m3</t>
    <phoneticPr fontId="1" type="noConversion"/>
  </si>
  <si>
    <t>내림계단</t>
    <phoneticPr fontId="1" type="noConversion"/>
  </si>
  <si>
    <t>강관쌍줄비계</t>
    <phoneticPr fontId="32" type="noConversion"/>
  </si>
  <si>
    <t>((20+1.5+15+4.7+5.6+5.6+5.6+5.6+1.2+2.5+2.4+7.8)*3.0)+(3*0.7*2)+(3*0.6*2)+(0.6*0.7)+(0.3*3*2)+(2.4*0.7)+(0.7*-3)</t>
    <phoneticPr fontId="1" type="noConversion"/>
  </si>
  <si>
    <t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t>
    <phoneticPr fontId="1" type="noConversion"/>
  </si>
  <si>
    <t>((1.1+.5)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*0.5</t>
    <phoneticPr fontId="1" type="noConversion"/>
  </si>
  <si>
    <t>자작합판붙이기</t>
    <phoneticPr fontId="1" type="noConversion"/>
  </si>
  <si>
    <t>2.5*3</t>
    <phoneticPr fontId="1" type="noConversion"/>
  </si>
  <si>
    <t>자작합판붙이기</t>
    <phoneticPr fontId="1" type="noConversion"/>
  </si>
  <si>
    <t>벽, 일반 12mm, 2PLY</t>
    <phoneticPr fontId="1" type="noConversion"/>
  </si>
  <si>
    <t xml:space="preserve">드라이비트 </t>
    <phoneticPr fontId="1" type="noConversion"/>
  </si>
  <si>
    <t>드라이비트</t>
    <phoneticPr fontId="1" type="noConversion"/>
  </si>
  <si>
    <t>강화저철분유리유리, 투명, 8mm</t>
    <phoneticPr fontId="1" type="noConversion"/>
  </si>
  <si>
    <t>10mm미만</t>
    <phoneticPr fontId="1" type="noConversion"/>
  </si>
  <si>
    <t>((1.1+.5)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</t>
    <phoneticPr fontId="1" type="noConversion"/>
  </si>
  <si>
    <t>강화저철분유리</t>
  </si>
  <si>
    <t>강화저철분유리</t>
    <phoneticPr fontId="1" type="noConversion"/>
  </si>
  <si>
    <t>강화저철분유리, 투명, 8mm</t>
    <phoneticPr fontId="1" type="noConversion"/>
  </si>
  <si>
    <t>석고보드 붙이기</t>
    <phoneticPr fontId="1" type="noConversion"/>
  </si>
  <si>
    <t>점검구</t>
    <phoneticPr fontId="1" type="noConversion"/>
  </si>
  <si>
    <t>450*450</t>
    <phoneticPr fontId="1" type="noConversion"/>
  </si>
  <si>
    <t>EA</t>
    <phoneticPr fontId="1" type="noConversion"/>
  </si>
  <si>
    <t>잡재료</t>
    <phoneticPr fontId="1" type="noConversion"/>
  </si>
  <si>
    <t>내장공</t>
    <phoneticPr fontId="1" type="noConversion"/>
  </si>
  <si>
    <t>일반공사 직종</t>
    <phoneticPr fontId="1" type="noConversion"/>
  </si>
  <si>
    <t>주재료비의 3%</t>
    <phoneticPr fontId="1" type="noConversion"/>
  </si>
  <si>
    <t>AL(백색), 450*450mm</t>
    <phoneticPr fontId="1" type="noConversion"/>
  </si>
  <si>
    <t>조</t>
    <phoneticPr fontId="1" type="noConversion"/>
  </si>
  <si>
    <t>식</t>
    <phoneticPr fontId="1" type="noConversion"/>
  </si>
  <si>
    <t>인</t>
    <phoneticPr fontId="1" type="noConversion"/>
  </si>
  <si>
    <t>점검구</t>
    <phoneticPr fontId="1" type="noConversion"/>
  </si>
  <si>
    <t>EA</t>
    <phoneticPr fontId="1" type="noConversion"/>
  </si>
  <si>
    <t>보통인부</t>
    <phoneticPr fontId="1" type="noConversion"/>
  </si>
  <si>
    <t>마이텍스</t>
    <phoneticPr fontId="1" type="noConversion"/>
  </si>
  <si>
    <t>M-BAR</t>
    <phoneticPr fontId="1" type="noConversion"/>
  </si>
  <si>
    <t>불연천장재</t>
    <phoneticPr fontId="1" type="noConversion"/>
  </si>
  <si>
    <t>특별인부</t>
    <phoneticPr fontId="1" type="noConversion"/>
  </si>
  <si>
    <t>공구손료</t>
    <phoneticPr fontId="1" type="noConversion"/>
  </si>
  <si>
    <t>노무비의 3%</t>
    <phoneticPr fontId="1" type="noConversion"/>
  </si>
  <si>
    <t>일반공사 직종</t>
    <phoneticPr fontId="1" type="noConversion"/>
  </si>
  <si>
    <t>불연천장재, 마이텍스, 12*300*600mm, 나사, 타카</t>
    <phoneticPr fontId="1" type="noConversion"/>
  </si>
  <si>
    <t>불연천장재</t>
    <phoneticPr fontId="1" type="noConversion"/>
  </si>
  <si>
    <t>불연천장재, 마이텍스, 12*300*600mm, 나사, 타카</t>
    <phoneticPr fontId="1" type="noConversion"/>
  </si>
  <si>
    <t>M2</t>
    <phoneticPr fontId="1" type="noConversion"/>
  </si>
  <si>
    <t>인</t>
    <phoneticPr fontId="1" type="noConversion"/>
  </si>
  <si>
    <t>호표 124</t>
  </si>
  <si>
    <t>특별인부</t>
    <phoneticPr fontId="1" type="noConversion"/>
  </si>
  <si>
    <t>공구손료</t>
    <phoneticPr fontId="1" type="noConversion"/>
  </si>
  <si>
    <t>일반공사 직종</t>
    <phoneticPr fontId="1" type="noConversion"/>
  </si>
  <si>
    <t>인</t>
    <phoneticPr fontId="1" type="noConversion"/>
  </si>
  <si>
    <t>알루미늄 천정 재설치</t>
    <phoneticPr fontId="1" type="noConversion"/>
  </si>
  <si>
    <t>AL TILE</t>
    <phoneticPr fontId="1" type="noConversion"/>
  </si>
  <si>
    <t>호표 125</t>
  </si>
  <si>
    <t>합판붙이기</t>
    <phoneticPr fontId="1" type="noConversion"/>
  </si>
  <si>
    <t>9MM, 2PLY</t>
    <phoneticPr fontId="1" type="noConversion"/>
  </si>
  <si>
    <t>M2</t>
    <phoneticPr fontId="1" type="noConversion"/>
  </si>
  <si>
    <t>건축목공</t>
    <phoneticPr fontId="1" type="noConversion"/>
  </si>
  <si>
    <t>보통합판</t>
    <phoneticPr fontId="1" type="noConversion"/>
  </si>
  <si>
    <t>보통인부</t>
    <phoneticPr fontId="1" type="noConversion"/>
  </si>
  <si>
    <t>일반공사 직종</t>
    <phoneticPr fontId="1" type="noConversion"/>
  </si>
  <si>
    <t>보통합판, 1급, 9.0*1220*2440mm</t>
    <phoneticPr fontId="1" type="noConversion"/>
  </si>
  <si>
    <t>공구손료</t>
    <phoneticPr fontId="1" type="noConversion"/>
  </si>
  <si>
    <t>인력품의 2%</t>
    <phoneticPr fontId="1" type="noConversion"/>
  </si>
  <si>
    <t>난간대</t>
    <phoneticPr fontId="1" type="noConversion"/>
  </si>
  <si>
    <t>파이프 D 32</t>
    <phoneticPr fontId="1" type="noConversion"/>
  </si>
  <si>
    <t>파이프 D 32</t>
    <phoneticPr fontId="1" type="noConversion"/>
  </si>
  <si>
    <t>M</t>
    <phoneticPr fontId="1" type="noConversion"/>
  </si>
  <si>
    <t>일반구조용탄소강관</t>
    <phoneticPr fontId="1" type="noConversion"/>
  </si>
  <si>
    <t>세트앵커</t>
    <phoneticPr fontId="1" type="noConversion"/>
  </si>
  <si>
    <t>일반구조용탄소강관, 열연, ∮50.8*1.4mm</t>
    <phoneticPr fontId="1" type="noConversion"/>
  </si>
  <si>
    <t>일반구조용탄소강관, 열연, ∮25.4*1.4mm</t>
    <phoneticPr fontId="1" type="noConversion"/>
  </si>
  <si>
    <t>세트앵커, M10*L75mm</t>
    <phoneticPr fontId="1" type="noConversion"/>
  </si>
  <si>
    <t>스틸 CAP</t>
    <phoneticPr fontId="1" type="noConversion"/>
  </si>
  <si>
    <t>용접식난간 설치</t>
    <phoneticPr fontId="1" type="noConversion"/>
  </si>
  <si>
    <t>녹막이페인트 붓칠</t>
    <phoneticPr fontId="1" type="noConversion"/>
  </si>
  <si>
    <t>D60*1.4t</t>
    <phoneticPr fontId="1" type="noConversion"/>
  </si>
  <si>
    <t>주자재 제작설치, 철제 난간</t>
  </si>
  <si>
    <t>주자재 제작설치, 철제 난간</t>
    <phoneticPr fontId="1" type="noConversion"/>
  </si>
  <si>
    <t>철재면, 1회, 2종</t>
    <phoneticPr fontId="1" type="noConversion"/>
  </si>
  <si>
    <t>일반구조용탄소강관</t>
    <phoneticPr fontId="1" type="noConversion"/>
  </si>
  <si>
    <t>일반구조용탄소강관, 열연, ∮50.8*1.4mm</t>
    <phoneticPr fontId="1" type="noConversion"/>
  </si>
  <si>
    <t>M</t>
    <phoneticPr fontId="1" type="noConversion"/>
  </si>
  <si>
    <t>일반구조용탄소강관, 열연, ∮25.4*1.4mm</t>
    <phoneticPr fontId="1" type="noConversion"/>
  </si>
  <si>
    <t xml:space="preserve">M </t>
    <phoneticPr fontId="1" type="noConversion"/>
  </si>
  <si>
    <t>세트앵커</t>
    <phoneticPr fontId="1" type="noConversion"/>
  </si>
  <si>
    <t>세트앵커, M10*L75mm</t>
    <phoneticPr fontId="1" type="noConversion"/>
  </si>
  <si>
    <t>개</t>
    <phoneticPr fontId="1" type="noConversion"/>
  </si>
  <si>
    <t>스틸 CAP</t>
    <phoneticPr fontId="1" type="noConversion"/>
  </si>
  <si>
    <t>D60*1.4t</t>
    <phoneticPr fontId="1" type="noConversion"/>
  </si>
  <si>
    <t>용접식난간 설치</t>
    <phoneticPr fontId="1" type="noConversion"/>
  </si>
  <si>
    <t>kg</t>
    <phoneticPr fontId="1" type="noConversion"/>
  </si>
  <si>
    <t>녹막이페인트 붓칠</t>
    <phoneticPr fontId="1" type="noConversion"/>
  </si>
  <si>
    <t>철재면, 1회, 2종</t>
    <phoneticPr fontId="1" type="noConversion"/>
  </si>
  <si>
    <t>M2</t>
    <phoneticPr fontId="1" type="noConversion"/>
  </si>
  <si>
    <t>유성페인트 붓칠</t>
    <phoneticPr fontId="1" type="noConversion"/>
  </si>
  <si>
    <t>철재면, 2회, 1급</t>
    <phoneticPr fontId="1" type="noConversion"/>
  </si>
  <si>
    <t>유성페인트 붓칠</t>
    <phoneticPr fontId="1" type="noConversion"/>
  </si>
  <si>
    <t>철재면, 2회, 1급</t>
    <phoneticPr fontId="1" type="noConversion"/>
  </si>
  <si>
    <t>철강설</t>
    <phoneticPr fontId="1" type="noConversion"/>
  </si>
  <si>
    <t>철강설, 고철, 작업부산물</t>
    <phoneticPr fontId="1" type="noConversion"/>
  </si>
  <si>
    <t>kg</t>
    <phoneticPr fontId="1" type="noConversion"/>
  </si>
  <si>
    <t>개</t>
    <phoneticPr fontId="1" type="noConversion"/>
  </si>
  <si>
    <t>난간두겁</t>
    <phoneticPr fontId="1" type="noConversion"/>
  </si>
  <si>
    <t xml:space="preserve">3mm 열연강판 </t>
    <phoneticPr fontId="1" type="noConversion"/>
  </si>
  <si>
    <t xml:space="preserve">3mm 열연강판 </t>
    <phoneticPr fontId="1" type="noConversion"/>
  </si>
  <si>
    <t>WD-1</t>
    <phoneticPr fontId="1" type="noConversion"/>
  </si>
  <si>
    <t>WD-2</t>
    <phoneticPr fontId="1" type="noConversion"/>
  </si>
  <si>
    <t>900*2100</t>
    <phoneticPr fontId="1" type="noConversion"/>
  </si>
  <si>
    <t>EA</t>
    <phoneticPr fontId="1" type="noConversion"/>
  </si>
  <si>
    <t>일반구조용압연강판, 3mm</t>
    <phoneticPr fontId="1" type="noConversion"/>
  </si>
  <si>
    <t>10M 초과~20M 이하</t>
    <phoneticPr fontId="1" type="noConversion"/>
  </si>
  <si>
    <t>강관비계 쌍줄</t>
    <phoneticPr fontId="1" type="noConversion"/>
  </si>
  <si>
    <t>강관쌍줄비계</t>
    <phoneticPr fontId="1" type="noConversion"/>
  </si>
  <si>
    <t>10M 초과~20M 이하</t>
    <phoneticPr fontId="1" type="noConversion"/>
  </si>
  <si>
    <t>비계공</t>
    <phoneticPr fontId="1" type="noConversion"/>
  </si>
  <si>
    <t>보통인부</t>
    <phoneticPr fontId="1" type="noConversion"/>
  </si>
  <si>
    <t>일반공사 직종</t>
    <phoneticPr fontId="1" type="noConversion"/>
  </si>
  <si>
    <t>기계손료</t>
    <phoneticPr fontId="1" type="noConversion"/>
  </si>
  <si>
    <t>식</t>
    <phoneticPr fontId="1" type="noConversion"/>
  </si>
  <si>
    <t>노무비의 5%</t>
    <phoneticPr fontId="1" type="noConversion"/>
  </si>
  <si>
    <t>SSW-6</t>
    <phoneticPr fontId="1" type="noConversion"/>
  </si>
  <si>
    <t>0.6*0.9</t>
    <phoneticPr fontId="1" type="noConversion"/>
  </si>
  <si>
    <t xml:space="preserve">SSW-6 </t>
    <phoneticPr fontId="1" type="noConversion"/>
  </si>
  <si>
    <t>기증 모두의..</t>
    <phoneticPr fontId="1" type="noConversion"/>
  </si>
  <si>
    <t>참여기증자실</t>
    <phoneticPr fontId="1" type="noConversion"/>
  </si>
  <si>
    <t>소중한 문화..</t>
    <phoneticPr fontId="1" type="noConversion"/>
  </si>
  <si>
    <t>PROL..</t>
    <phoneticPr fontId="1" type="noConversion"/>
  </si>
  <si>
    <t>선사 고대</t>
    <phoneticPr fontId="1" type="noConversion"/>
  </si>
  <si>
    <t>상설전시실</t>
    <phoneticPr fontId="1" type="noConversion"/>
  </si>
  <si>
    <t>한성백제..</t>
    <phoneticPr fontId="1" type="noConversion"/>
  </si>
  <si>
    <t>삼국 그리고..</t>
    <phoneticPr fontId="1" type="noConversion"/>
  </si>
  <si>
    <t>EPIL..</t>
    <phoneticPr fontId="1" type="noConversion"/>
  </si>
  <si>
    <t>아크릴 문자(5mm)</t>
    <phoneticPr fontId="1" type="noConversion"/>
  </si>
  <si>
    <t>천하의중심..</t>
    <phoneticPr fontId="1" type="noConversion"/>
  </si>
  <si>
    <t>set</t>
    <phoneticPr fontId="1" type="noConversion"/>
  </si>
  <si>
    <t>고려의건국</t>
    <phoneticPr fontId="1" type="noConversion"/>
  </si>
  <si>
    <t>경기..</t>
    <phoneticPr fontId="1" type="noConversion"/>
  </si>
  <si>
    <t>코리아..</t>
    <phoneticPr fontId="1" type="noConversion"/>
  </si>
  <si>
    <t>외국과의..</t>
    <phoneticPr fontId="1" type="noConversion"/>
  </si>
  <si>
    <t>고려의쌂</t>
    <phoneticPr fontId="1" type="noConversion"/>
  </si>
  <si>
    <t>불교문화</t>
    <phoneticPr fontId="1" type="noConversion"/>
  </si>
  <si>
    <t>장례문화</t>
    <phoneticPr fontId="1" type="noConversion"/>
  </si>
  <si>
    <t>고려인의생활</t>
    <phoneticPr fontId="1" type="noConversion"/>
  </si>
  <si>
    <t>경기에..</t>
    <phoneticPr fontId="1" type="noConversion"/>
  </si>
  <si>
    <t>사통팔달</t>
    <phoneticPr fontId="1" type="noConversion"/>
  </si>
  <si>
    <t>삼남의..</t>
    <phoneticPr fontId="1" type="noConversion"/>
  </si>
  <si>
    <t>경기스타일</t>
    <phoneticPr fontId="1" type="noConversion"/>
  </si>
  <si>
    <t>청자의시작</t>
    <phoneticPr fontId="1" type="noConversion"/>
  </si>
  <si>
    <t>새로움이..</t>
    <phoneticPr fontId="1" type="noConversion"/>
  </si>
  <si>
    <t>set</t>
    <phoneticPr fontId="1" type="noConversion"/>
  </si>
  <si>
    <t>대장경</t>
    <phoneticPr fontId="1" type="noConversion"/>
  </si>
  <si>
    <t>아크릴 문자(5mm)</t>
    <phoneticPr fontId="1" type="noConversion"/>
  </si>
  <si>
    <t>ㅇㅇㅇㅇ</t>
    <phoneticPr fontId="1" type="noConversion"/>
  </si>
  <si>
    <t>개혁의중심</t>
    <phoneticPr fontId="1" type="noConversion"/>
  </si>
  <si>
    <t>set</t>
    <phoneticPr fontId="1" type="noConversion"/>
  </si>
  <si>
    <t>아크릴 문자(5mm)</t>
    <phoneticPr fontId="1" type="noConversion"/>
  </si>
  <si>
    <t>새로운왕조</t>
    <phoneticPr fontId="1" type="noConversion"/>
  </si>
  <si>
    <t>또다른..</t>
    <phoneticPr fontId="1" type="noConversion"/>
  </si>
  <si>
    <t>set</t>
    <phoneticPr fontId="1" type="noConversion"/>
  </si>
  <si>
    <t>아크릴 문자(5mm)</t>
    <phoneticPr fontId="1" type="noConversion"/>
  </si>
  <si>
    <t>대동법의</t>
    <phoneticPr fontId="1" type="noConversion"/>
  </si>
  <si>
    <t>예술로..</t>
    <phoneticPr fontId="1" type="noConversion"/>
  </si>
  <si>
    <t>set</t>
    <phoneticPr fontId="1" type="noConversion"/>
  </si>
  <si>
    <t>상설전시실</t>
    <phoneticPr fontId="1" type="noConversion"/>
  </si>
  <si>
    <t>아크릴 문자(5mm)</t>
    <phoneticPr fontId="1" type="noConversion"/>
  </si>
  <si>
    <t>ㅇㅇㅇㅇ</t>
    <phoneticPr fontId="1" type="noConversion"/>
  </si>
  <si>
    <t>set</t>
    <phoneticPr fontId="1" type="noConversion"/>
  </si>
  <si>
    <t>상설전시실</t>
    <phoneticPr fontId="1" type="noConversion"/>
  </si>
  <si>
    <t>초상 영원</t>
    <phoneticPr fontId="1" type="noConversion"/>
  </si>
  <si>
    <t>이상향릉</t>
    <phoneticPr fontId="1" type="noConversion"/>
  </si>
  <si>
    <t>기증 모두의..</t>
  </si>
  <si>
    <t>set</t>
  </si>
  <si>
    <t>소중한 문화..</t>
  </si>
  <si>
    <t>PROL..</t>
  </si>
  <si>
    <t>선사 고대</t>
  </si>
  <si>
    <t>한성백제..</t>
  </si>
  <si>
    <t>삼국 그리고..</t>
  </si>
  <si>
    <t>EPIL..</t>
  </si>
  <si>
    <t>아크릴 문자(5mm)</t>
  </si>
  <si>
    <t>천하의중심..</t>
  </si>
  <si>
    <t>고려의건국</t>
  </si>
  <si>
    <t>경기..</t>
  </si>
  <si>
    <t>코리아..</t>
  </si>
  <si>
    <t>외국과의..</t>
  </si>
  <si>
    <t>고려의쌂</t>
  </si>
  <si>
    <t>불교문화</t>
  </si>
  <si>
    <t>장례문화</t>
  </si>
  <si>
    <t>고려인의생활</t>
  </si>
  <si>
    <t>경기에..</t>
  </si>
  <si>
    <t>사통팔달</t>
  </si>
  <si>
    <t>삼남의..</t>
  </si>
  <si>
    <t>경기스타일</t>
  </si>
  <si>
    <t>청자의시작</t>
  </si>
  <si>
    <t>새로움이..</t>
  </si>
  <si>
    <t>대장경</t>
  </si>
  <si>
    <t>ㅇㅇㅇㅇ</t>
  </si>
  <si>
    <t>개혁의중심</t>
  </si>
  <si>
    <t>새로운왕조</t>
  </si>
  <si>
    <t>또다른..</t>
  </si>
  <si>
    <t>대동법의</t>
  </si>
  <si>
    <t>예술로..</t>
  </si>
  <si>
    <t>초상 영원</t>
  </si>
  <si>
    <t>이상향릉</t>
  </si>
  <si>
    <t>2019년  10월</t>
    <phoneticPr fontId="16" type="noConversion"/>
  </si>
  <si>
    <t xml:space="preserve">경기도박물관 전시실 리뉴얼 디자인설계 용역 </t>
    <phoneticPr fontId="16" type="noConversion"/>
  </si>
  <si>
    <t>1800*2500</t>
    <phoneticPr fontId="1" type="noConversion"/>
  </si>
  <si>
    <t>75*4.5*1.3</t>
    <phoneticPr fontId="1" type="noConversion"/>
  </si>
  <si>
    <t>평판150 링250</t>
    <phoneticPr fontId="1" type="noConversion"/>
  </si>
  <si>
    <t>평판200 링300</t>
    <phoneticPr fontId="1" type="noConversion"/>
  </si>
  <si>
    <t>평판300 링400</t>
    <phoneticPr fontId="1" type="noConversion"/>
  </si>
  <si>
    <t>평판335 링430</t>
    <phoneticPr fontId="1" type="noConversion"/>
  </si>
  <si>
    <t>국제항구</t>
    <phoneticPr fontId="1" type="noConversion"/>
  </si>
  <si>
    <t>경기선혜</t>
    <phoneticPr fontId="1" type="noConversion"/>
  </si>
  <si>
    <t>백자의제작</t>
    <phoneticPr fontId="1" type="noConversion"/>
  </si>
  <si>
    <t>수도방위..</t>
    <phoneticPr fontId="1" type="noConversion"/>
  </si>
  <si>
    <t>임진왜란과..</t>
    <phoneticPr fontId="1" type="noConversion"/>
  </si>
  <si>
    <t>병자호란..</t>
    <phoneticPr fontId="1" type="noConversion"/>
  </si>
  <si>
    <t>왕실백자</t>
    <phoneticPr fontId="1" type="noConversion"/>
  </si>
  <si>
    <t>천진난만..</t>
    <phoneticPr fontId="1" type="noConversion"/>
  </si>
  <si>
    <t>경기관찰..</t>
    <phoneticPr fontId="1" type="noConversion"/>
  </si>
  <si>
    <t>수도방위체제..</t>
    <phoneticPr fontId="1" type="noConversion"/>
  </si>
  <si>
    <t>조선의 문화</t>
    <phoneticPr fontId="1" type="noConversion"/>
  </si>
  <si>
    <t>이끌다</t>
    <phoneticPr fontId="1" type="noConversion"/>
  </si>
  <si>
    <t>학문과사상</t>
    <phoneticPr fontId="1" type="noConversion"/>
  </si>
  <si>
    <t>경기도의 서화</t>
    <phoneticPr fontId="1" type="noConversion"/>
  </si>
  <si>
    <t>경기관찰사</t>
    <phoneticPr fontId="1" type="noConversion"/>
  </si>
  <si>
    <t>부임하다</t>
    <phoneticPr fontId="1" type="noConversion"/>
  </si>
  <si>
    <t>경기를 다스리다</t>
    <phoneticPr fontId="1" type="noConversion"/>
  </si>
  <si>
    <t>고려의중심..</t>
    <phoneticPr fontId="1" type="noConversion"/>
  </si>
  <si>
    <t xml:space="preserve">남한산성 </t>
    <phoneticPr fontId="1" type="noConversion"/>
  </si>
  <si>
    <t>고구려의</t>
    <phoneticPr fontId="1" type="noConversion"/>
  </si>
  <si>
    <t>한성백제의</t>
    <phoneticPr fontId="1" type="noConversion"/>
  </si>
  <si>
    <t>간석기</t>
    <phoneticPr fontId="1" type="noConversion"/>
  </si>
  <si>
    <t>뗀석기</t>
    <phoneticPr fontId="1" type="noConversion"/>
  </si>
  <si>
    <t>선사, 고대</t>
    <phoneticPr fontId="1" type="noConversion"/>
  </si>
  <si>
    <t>선사,고대 경기</t>
    <phoneticPr fontId="1" type="noConversion"/>
  </si>
  <si>
    <t>A</t>
    <phoneticPr fontId="1" type="noConversion"/>
  </si>
  <si>
    <t>C</t>
    <phoneticPr fontId="1" type="noConversion"/>
  </si>
  <si>
    <t>아크릴 문자(5mm)</t>
    <phoneticPr fontId="1" type="noConversion"/>
  </si>
  <si>
    <t>D</t>
    <phoneticPr fontId="1" type="noConversion"/>
  </si>
  <si>
    <t>투명락카(방염)</t>
    <phoneticPr fontId="1" type="noConversion"/>
  </si>
  <si>
    <t>투명락카(방염)</t>
    <phoneticPr fontId="1" type="noConversion"/>
  </si>
  <si>
    <t>투명락카(방염)</t>
    <phoneticPr fontId="1" type="noConversion"/>
  </si>
  <si>
    <t>투명락카(방염)</t>
    <phoneticPr fontId="1" type="noConversion"/>
  </si>
  <si>
    <t>투명락카(방염)</t>
    <phoneticPr fontId="1" type="noConversion"/>
  </si>
  <si>
    <t>투명락카(방염)</t>
    <phoneticPr fontId="1" type="noConversion"/>
  </si>
  <si>
    <t>방염도료</t>
    <phoneticPr fontId="1" type="noConversion"/>
  </si>
  <si>
    <t>휴게홀</t>
    <phoneticPr fontId="1" type="noConversion"/>
  </si>
  <si>
    <t>M2</t>
    <phoneticPr fontId="1" type="noConversion"/>
  </si>
  <si>
    <t xml:space="preserve">상설전시장 </t>
    <phoneticPr fontId="1" type="noConversion"/>
  </si>
  <si>
    <t>내림계단</t>
    <phoneticPr fontId="1" type="noConversion"/>
  </si>
  <si>
    <t>알류미늄그릴</t>
    <phoneticPr fontId="1" type="noConversion"/>
  </si>
  <si>
    <t>150*1500</t>
    <phoneticPr fontId="1" type="noConversion"/>
  </si>
  <si>
    <t>1800*700</t>
    <phoneticPr fontId="1" type="noConversion"/>
  </si>
  <si>
    <t>900x500</t>
    <phoneticPr fontId="1" type="noConversion"/>
  </si>
  <si>
    <t>1200*900</t>
    <phoneticPr fontId="1" type="noConversion"/>
  </si>
  <si>
    <t>500x300</t>
    <phoneticPr fontId="1" type="noConversion"/>
  </si>
  <si>
    <t>490x300</t>
    <phoneticPr fontId="1" type="noConversion"/>
  </si>
  <si>
    <t>0.8*0.6*2.1</t>
    <phoneticPr fontId="1" type="noConversion"/>
  </si>
  <si>
    <t>800*600*2100</t>
    <phoneticPr fontId="1" type="noConversion"/>
  </si>
  <si>
    <t>환기그릴</t>
    <phoneticPr fontId="1" type="noConversion"/>
  </si>
  <si>
    <t>150*1500</t>
    <phoneticPr fontId="1" type="noConversion"/>
  </si>
  <si>
    <t>의자</t>
    <phoneticPr fontId="1" type="noConversion"/>
  </si>
  <si>
    <t>LED라이트패널</t>
    <phoneticPr fontId="1" type="noConversion"/>
  </si>
  <si>
    <t>750×1050</t>
    <phoneticPr fontId="1" type="noConversion"/>
  </si>
  <si>
    <t>EA</t>
    <phoneticPr fontId="1" type="noConversion"/>
  </si>
  <si>
    <t>LED라이트패널</t>
  </si>
  <si>
    <t>750×1050</t>
  </si>
  <si>
    <t>터치모니터</t>
    <phoneticPr fontId="1" type="noConversion"/>
  </si>
  <si>
    <t>EA</t>
    <phoneticPr fontId="1" type="noConversion"/>
  </si>
  <si>
    <t>전시실</t>
    <phoneticPr fontId="1" type="noConversion"/>
  </si>
  <si>
    <t>1500*400*450</t>
    <phoneticPr fontId="1" type="noConversion"/>
  </si>
  <si>
    <t>벤취의자</t>
    <phoneticPr fontId="1" type="noConversion"/>
  </si>
  <si>
    <t>600×700</t>
    <phoneticPr fontId="1" type="noConversion"/>
  </si>
  <si>
    <t>600×900</t>
    <phoneticPr fontId="1" type="noConversion"/>
  </si>
  <si>
    <t>650×850</t>
    <phoneticPr fontId="1" type="noConversion"/>
  </si>
  <si>
    <t>1050x2090</t>
    <phoneticPr fontId="1" type="noConversion"/>
  </si>
  <si>
    <t>240x165</t>
    <phoneticPr fontId="1" type="noConversion"/>
  </si>
  <si>
    <t>490x300</t>
    <phoneticPr fontId="1" type="noConversion"/>
  </si>
  <si>
    <t>950×250</t>
    <phoneticPr fontId="1" type="noConversion"/>
  </si>
  <si>
    <t>1100×1100</t>
    <phoneticPr fontId="1" type="noConversion"/>
  </si>
  <si>
    <t>1200x1990</t>
    <phoneticPr fontId="1" type="noConversion"/>
  </si>
  <si>
    <t>EA</t>
    <phoneticPr fontId="1" type="noConversion"/>
  </si>
  <si>
    <t>240x165</t>
    <phoneticPr fontId="1" type="noConversion"/>
  </si>
  <si>
    <t>290x165</t>
    <phoneticPr fontId="1" type="noConversion"/>
  </si>
  <si>
    <t>370x270</t>
    <phoneticPr fontId="1" type="noConversion"/>
  </si>
  <si>
    <t>370x750</t>
    <phoneticPr fontId="1" type="noConversion"/>
  </si>
  <si>
    <t>430x450</t>
    <phoneticPr fontId="1" type="noConversion"/>
  </si>
  <si>
    <t>490x300</t>
    <phoneticPr fontId="1" type="noConversion"/>
  </si>
  <si>
    <t>500x600</t>
    <phoneticPr fontId="1" type="noConversion"/>
  </si>
  <si>
    <t>840*450</t>
    <phoneticPr fontId="1" type="noConversion"/>
  </si>
  <si>
    <t>1000*1200</t>
    <phoneticPr fontId="1" type="noConversion"/>
  </si>
  <si>
    <t>1200*600</t>
    <phoneticPr fontId="1" type="noConversion"/>
  </si>
  <si>
    <t>010106  벽 체 공 사</t>
  </si>
  <si>
    <t>010107  바 닥 공 사</t>
  </si>
  <si>
    <t>010108  창 호 공 사</t>
  </si>
  <si>
    <t>010109  기 타 공 사</t>
  </si>
  <si>
    <t>010110  그 래 픽</t>
  </si>
  <si>
    <t>010111  전 시 대 (현장)</t>
  </si>
  <si>
    <t>010112  영 상 장 비(하 드 웨 어)</t>
  </si>
  <si>
    <t>010205  천 정 공 사</t>
  </si>
  <si>
    <t>010206  벽 체 공 사</t>
  </si>
  <si>
    <t>010207  바 닥 공 사</t>
  </si>
  <si>
    <t>010208  창 호 공 사</t>
  </si>
  <si>
    <t>010209  그 래 픽</t>
  </si>
  <si>
    <t>010210  전 시 대 (현 장)</t>
  </si>
  <si>
    <t>010211  영 상 장 비(하 드 웨 어)</t>
  </si>
  <si>
    <t>010201  가  설  공  사</t>
    <phoneticPr fontId="1" type="noConversion"/>
  </si>
  <si>
    <t>변경전</t>
    <phoneticPr fontId="1" type="noConversion"/>
  </si>
  <si>
    <t>변경후</t>
    <phoneticPr fontId="1" type="noConversion"/>
  </si>
  <si>
    <t>9월 25일 비교표</t>
    <phoneticPr fontId="1" type="noConversion"/>
  </si>
  <si>
    <t>비 교 표</t>
    <phoneticPr fontId="1" type="noConversion"/>
  </si>
  <si>
    <t>오염방지코팅</t>
    <phoneticPr fontId="1" type="noConversion"/>
  </si>
  <si>
    <t>코팅도료</t>
    <phoneticPr fontId="1" type="noConversion"/>
  </si>
  <si>
    <t>전시대 자작 FRAME</t>
    <phoneticPr fontId="1" type="noConversion"/>
  </si>
  <si>
    <t>전시대 자작 FRAME</t>
    <phoneticPr fontId="1" type="noConversion"/>
  </si>
  <si>
    <t>전시대 자작 FRAME</t>
    <phoneticPr fontId="1" type="noConversion"/>
  </si>
  <si>
    <t>자작20*50</t>
    <phoneticPr fontId="1" type="noConversion"/>
  </si>
  <si>
    <t>자작</t>
    <phoneticPr fontId="1" type="noConversion"/>
  </si>
  <si>
    <t>M</t>
    <phoneticPr fontId="1" type="noConversion"/>
  </si>
  <si>
    <t>자작</t>
    <phoneticPr fontId="1" type="noConversion"/>
  </si>
  <si>
    <t>20*50</t>
    <phoneticPr fontId="1" type="noConversion"/>
  </si>
  <si>
    <t>투명락카(방염)</t>
    <phoneticPr fontId="1" type="noConversion"/>
  </si>
  <si>
    <t>(2.7+3.3)*2.3*2</t>
    <phoneticPr fontId="1" type="noConversion"/>
  </si>
  <si>
    <t>(3.6*5.8)+(7*2.3*2)+((2.7+3.3)*2.3*2)</t>
    <phoneticPr fontId="1" type="noConversion"/>
  </si>
  <si>
    <t>기존 방화문</t>
    <phoneticPr fontId="1" type="noConversion"/>
  </si>
  <si>
    <t>9MM, 1PLY</t>
    <phoneticPr fontId="1" type="noConversion"/>
  </si>
  <si>
    <t>9mm 1PLY</t>
    <phoneticPr fontId="1" type="noConversion"/>
  </si>
  <si>
    <t>9MM, 1PLY</t>
    <phoneticPr fontId="1" type="noConversion"/>
  </si>
  <si>
    <t>9MM</t>
    <phoneticPr fontId="1" type="noConversion"/>
  </si>
  <si>
    <t>9MM</t>
    <phoneticPr fontId="1" type="noConversion"/>
  </si>
  <si>
    <t xml:space="preserve">010105  천 정 공 사             </t>
    <phoneticPr fontId="1" type="noConversion"/>
  </si>
  <si>
    <t>변경전</t>
    <phoneticPr fontId="1" type="noConversion"/>
  </si>
  <si>
    <t>변경후</t>
    <phoneticPr fontId="1" type="noConversion"/>
  </si>
  <si>
    <t>자작합판</t>
    <phoneticPr fontId="1" type="noConversion"/>
  </si>
  <si>
    <t>계</t>
  </si>
  <si>
    <t>집진휠타(PreFilter)</t>
  </si>
  <si>
    <t>594*594*20t</t>
  </si>
  <si>
    <t>집진휠타(MediumFilter)</t>
  </si>
  <si>
    <t>594*594*560t</t>
  </si>
  <si>
    <t>집진휠타(HEPAFilter)</t>
  </si>
  <si>
    <t>610*610*292t</t>
  </si>
  <si>
    <t>로봇청소용 브러쉬</t>
  </si>
  <si>
    <t>각형</t>
  </si>
  <si>
    <t>원형</t>
  </si>
  <si>
    <t>만능로봇장치형</t>
  </si>
  <si>
    <t>비닐(보양작업용)</t>
  </si>
  <si>
    <t>1800*183*0.03t</t>
  </si>
  <si>
    <t>보  루</t>
  </si>
  <si>
    <t>면직물(넝마)</t>
  </si>
  <si>
    <t>알미늄테이프</t>
  </si>
  <si>
    <t>500*1500</t>
  </si>
  <si>
    <t>방진작업복(일체용)</t>
  </si>
  <si>
    <t>1회용</t>
  </si>
  <si>
    <t>방진마스크</t>
  </si>
  <si>
    <t>3M-8701</t>
  </si>
  <si>
    <t>반코팅장갑</t>
  </si>
  <si>
    <t>적색</t>
  </si>
  <si>
    <t>세척제</t>
  </si>
  <si>
    <t>PB-1/약알칼리</t>
  </si>
  <si>
    <t>살균소독제</t>
  </si>
  <si>
    <t>뉴트라Q</t>
  </si>
  <si>
    <t>MARVEL(마블)</t>
  </si>
  <si>
    <t>무공해(USA)</t>
  </si>
  <si>
    <t>작업구설치및복구자재</t>
  </si>
  <si>
    <t>400*400외</t>
  </si>
  <si>
    <t>피스/베터리</t>
  </si>
  <si>
    <t>천정작업용</t>
  </si>
  <si>
    <t>실리콘</t>
  </si>
  <si>
    <t>무초산</t>
  </si>
  <si>
    <t>고무장갑</t>
  </si>
  <si>
    <t>공업용, 10호</t>
  </si>
  <si>
    <t>기타재료비</t>
  </si>
  <si>
    <t>재료비의 2%</t>
  </si>
  <si>
    <t>현장소장</t>
  </si>
  <si>
    <t>기계설비공</t>
  </si>
  <si>
    <t>무선안테나공</t>
  </si>
  <si>
    <t>R/L</t>
  </si>
  <si>
    <t>벌</t>
  </si>
  <si>
    <t>컬레</t>
  </si>
  <si>
    <t>말</t>
  </si>
  <si>
    <t>GL</t>
  </si>
  <si>
    <t>켤레</t>
  </si>
  <si>
    <t>현장소장</t>
    <phoneticPr fontId="1" type="noConversion"/>
  </si>
  <si>
    <t>덕트공</t>
    <phoneticPr fontId="1" type="noConversion"/>
  </si>
  <si>
    <t>기계설비공</t>
    <phoneticPr fontId="1" type="noConversion"/>
  </si>
  <si>
    <t>무선안테나공</t>
    <phoneticPr fontId="1" type="noConversion"/>
  </si>
  <si>
    <t>010301  공조덕트설치공사</t>
    <phoneticPr fontId="1" type="noConversion"/>
  </si>
  <si>
    <t>010501  고무발포보온재</t>
    <phoneticPr fontId="1" type="noConversion"/>
  </si>
  <si>
    <t>010701  기 계 설 비 철 거 공 사</t>
    <phoneticPr fontId="1" type="noConversion"/>
  </si>
  <si>
    <t>호표 123</t>
  </si>
  <si>
    <t>자재 1</t>
    <phoneticPr fontId="1" type="noConversion"/>
  </si>
  <si>
    <t>자재 80</t>
  </si>
  <si>
    <t>자재 81</t>
  </si>
  <si>
    <t>자재 82</t>
  </si>
  <si>
    <t>자재 85</t>
  </si>
  <si>
    <t>자재 86</t>
  </si>
  <si>
    <t>자재 87</t>
  </si>
  <si>
    <t>자재 88</t>
  </si>
  <si>
    <t>자재 94</t>
  </si>
  <si>
    <t>자재 95</t>
  </si>
  <si>
    <t>자재 96</t>
  </si>
  <si>
    <t>자재 97</t>
  </si>
  <si>
    <t>자재 111</t>
  </si>
  <si>
    <t>자재 112</t>
  </si>
  <si>
    <t>자재 128</t>
  </si>
  <si>
    <t>자재 129</t>
  </si>
  <si>
    <t>자재 130</t>
  </si>
  <si>
    <t>자재 131</t>
  </si>
  <si>
    <t>자재 132</t>
  </si>
  <si>
    <t>자재 133</t>
  </si>
  <si>
    <t>자재 134</t>
  </si>
  <si>
    <t>자재 135</t>
  </si>
  <si>
    <t>자재 136</t>
  </si>
  <si>
    <t>자재 137</t>
  </si>
  <si>
    <t>자재 138</t>
  </si>
  <si>
    <t>자재 139</t>
  </si>
  <si>
    <t>자재 140</t>
  </si>
  <si>
    <t>자재 141</t>
  </si>
  <si>
    <t>자재 142</t>
  </si>
  <si>
    <t>자재 143</t>
  </si>
  <si>
    <t>자재 144</t>
  </si>
  <si>
    <t>자재 145</t>
  </si>
  <si>
    <t>자재 146</t>
  </si>
  <si>
    <t>자재 147</t>
  </si>
  <si>
    <t>자재 148</t>
  </si>
  <si>
    <t>자재 175</t>
  </si>
  <si>
    <t>자재 219</t>
  </si>
  <si>
    <t>자재 220</t>
  </si>
  <si>
    <t>자재 221</t>
  </si>
  <si>
    <t>자재 222</t>
  </si>
  <si>
    <t>자재 323</t>
  </si>
  <si>
    <t>자재 324</t>
  </si>
  <si>
    <t>자재 325</t>
  </si>
  <si>
    <t>자재 326</t>
  </si>
  <si>
    <t>자재 327</t>
  </si>
  <si>
    <t>자재 331</t>
  </si>
  <si>
    <t>자재 332</t>
  </si>
  <si>
    <t>자재 333</t>
  </si>
  <si>
    <t>자재 334</t>
  </si>
  <si>
    <t>자재 335</t>
  </si>
  <si>
    <t>자재 336</t>
  </si>
  <si>
    <t>자재 337</t>
  </si>
  <si>
    <t>자재 338</t>
  </si>
  <si>
    <t>자재 339</t>
  </si>
  <si>
    <t>자재 340</t>
  </si>
  <si>
    <t>자재 341</t>
  </si>
  <si>
    <t>자재 342</t>
  </si>
  <si>
    <t>자재 343</t>
  </si>
  <si>
    <t>자재 344</t>
  </si>
  <si>
    <t>자재 345</t>
  </si>
  <si>
    <t>자재 346</t>
  </si>
  <si>
    <t>자재 347</t>
  </si>
  <si>
    <t>자재 348</t>
  </si>
  <si>
    <t>자재 349</t>
  </si>
  <si>
    <t>자재 350</t>
  </si>
  <si>
    <t>자재 351</t>
  </si>
  <si>
    <t>자재 352</t>
  </si>
  <si>
    <t>자재 353</t>
  </si>
  <si>
    <t>자재 354</t>
  </si>
  <si>
    <t>자재 355</t>
  </si>
  <si>
    <t>자재 356</t>
  </si>
  <si>
    <t>자재 357</t>
  </si>
  <si>
    <t>자재 358</t>
  </si>
  <si>
    <t>자재 359</t>
  </si>
  <si>
    <t>자재 360</t>
  </si>
  <si>
    <t>자재 361</t>
  </si>
  <si>
    <t>자재 362</t>
  </si>
  <si>
    <t>자재 363</t>
  </si>
  <si>
    <t>자재 364</t>
  </si>
  <si>
    <t>자재 365</t>
  </si>
  <si>
    <t>자재 366</t>
  </si>
  <si>
    <t>자재 367</t>
  </si>
  <si>
    <t>자재 368</t>
  </si>
  <si>
    <t>자재 369</t>
  </si>
  <si>
    <t>자재 370</t>
  </si>
  <si>
    <t>자재 371</t>
  </si>
  <si>
    <t>자재 372</t>
  </si>
  <si>
    <t>자재 373</t>
  </si>
  <si>
    <t>자재 374</t>
  </si>
  <si>
    <t>자재 375</t>
  </si>
  <si>
    <t>자재 376</t>
  </si>
  <si>
    <t>자재 377</t>
  </si>
  <si>
    <t>자재 378</t>
  </si>
  <si>
    <t>자재 379</t>
  </si>
  <si>
    <t>자재 380</t>
  </si>
  <si>
    <t>자재 381</t>
  </si>
  <si>
    <t>자재 382</t>
  </si>
  <si>
    <t>자재 383</t>
  </si>
  <si>
    <t>자재 384</t>
  </si>
  <si>
    <t>자재 385</t>
  </si>
  <si>
    <t>자재 386</t>
  </si>
  <si>
    <t>자재 387</t>
  </si>
  <si>
    <t>자재 388</t>
  </si>
  <si>
    <t>자재 389</t>
  </si>
  <si>
    <t>자재 390</t>
  </si>
  <si>
    <t>자재 391</t>
  </si>
  <si>
    <t>자재 392</t>
  </si>
  <si>
    <t>자재 393</t>
  </si>
  <si>
    <t>자재 394</t>
  </si>
  <si>
    <t>자재 395</t>
  </si>
  <si>
    <t>자재 396</t>
  </si>
  <si>
    <t>자재 397</t>
  </si>
  <si>
    <t>자재 398</t>
  </si>
  <si>
    <t>자재 399</t>
  </si>
  <si>
    <t>자재 400</t>
  </si>
  <si>
    <t>자재 401</t>
  </si>
  <si>
    <t>자재 402</t>
  </si>
  <si>
    <t>자재 403</t>
  </si>
  <si>
    <t>자재 404</t>
  </si>
  <si>
    <t>자재 407</t>
  </si>
  <si>
    <t>자재 408</t>
  </si>
  <si>
    <t>자재 409</t>
  </si>
  <si>
    <t>자재 410</t>
  </si>
  <si>
    <t>자재 411</t>
  </si>
  <si>
    <t>자재 412</t>
  </si>
  <si>
    <t>자재 413</t>
  </si>
  <si>
    <t>자재 414</t>
  </si>
  <si>
    <t>자재 415</t>
  </si>
  <si>
    <t>자재 416</t>
  </si>
  <si>
    <t>자재 417</t>
  </si>
  <si>
    <t>자재 418</t>
  </si>
  <si>
    <t>자재 419</t>
  </si>
  <si>
    <t>자재 420</t>
  </si>
  <si>
    <t>자재 421</t>
  </si>
  <si>
    <t>자재 422</t>
  </si>
  <si>
    <t>자재 423</t>
  </si>
  <si>
    <t>자재 424</t>
  </si>
  <si>
    <t>자재 425</t>
  </si>
  <si>
    <t>자재 426</t>
  </si>
  <si>
    <t>자재 427</t>
  </si>
  <si>
    <t>자재 428</t>
  </si>
  <si>
    <t>자재 430</t>
  </si>
  <si>
    <t>자재 431</t>
  </si>
  <si>
    <t>자재 432</t>
  </si>
  <si>
    <t>자재 433</t>
  </si>
  <si>
    <t>자재 434</t>
  </si>
  <si>
    <t>자재 435</t>
  </si>
  <si>
    <t>자재 436</t>
  </si>
  <si>
    <t>자재 437</t>
  </si>
  <si>
    <t>자재 438</t>
  </si>
  <si>
    <t>자재 439</t>
  </si>
  <si>
    <t>자재 440</t>
  </si>
  <si>
    <t>자재 441</t>
  </si>
  <si>
    <t>자재 442</t>
  </si>
  <si>
    <t>자재 443</t>
  </si>
  <si>
    <t>자재 444</t>
  </si>
  <si>
    <t>자재 445</t>
  </si>
  <si>
    <t>자재 446</t>
  </si>
  <si>
    <t>자재 447</t>
  </si>
  <si>
    <t>자재 448</t>
  </si>
  <si>
    <t>자재 449</t>
  </si>
  <si>
    <t>자재 450</t>
  </si>
  <si>
    <t>자재 451</t>
  </si>
  <si>
    <t>자재 452</t>
  </si>
  <si>
    <t>자재 453</t>
  </si>
  <si>
    <t>자재 454</t>
  </si>
  <si>
    <t>자재 455</t>
  </si>
  <si>
    <t>자재 456</t>
  </si>
  <si>
    <t>자재 457</t>
  </si>
  <si>
    <t>자재 458</t>
  </si>
  <si>
    <t>자재 459</t>
  </si>
  <si>
    <t>자재 460</t>
  </si>
  <si>
    <t>자재 461</t>
  </si>
  <si>
    <t>자재 462</t>
  </si>
  <si>
    <t>자재 463</t>
  </si>
  <si>
    <t>자재 464</t>
  </si>
  <si>
    <t>자재 465</t>
  </si>
  <si>
    <t>자재 466</t>
  </si>
  <si>
    <t>자재 467</t>
  </si>
  <si>
    <t>자재 468</t>
  </si>
  <si>
    <t>자재 469</t>
  </si>
  <si>
    <t>자재 470</t>
  </si>
  <si>
    <t>자재 471</t>
  </si>
  <si>
    <t>자재 472</t>
  </si>
  <si>
    <t>자재 473</t>
  </si>
  <si>
    <t>자재 474</t>
  </si>
  <si>
    <t>자재 475</t>
  </si>
  <si>
    <t>자재 476</t>
  </si>
  <si>
    <t>자재 477</t>
  </si>
  <si>
    <t>자재 478</t>
  </si>
  <si>
    <t>자재 479</t>
  </si>
  <si>
    <t>자재 480</t>
  </si>
  <si>
    <t>자재 481</t>
  </si>
  <si>
    <t>자재 482</t>
  </si>
  <si>
    <t>자재 483</t>
  </si>
  <si>
    <t>자재 484</t>
  </si>
  <si>
    <t>자재 485</t>
  </si>
  <si>
    <t>자재 486</t>
  </si>
  <si>
    <t>자재 487</t>
  </si>
  <si>
    <t>자재 488</t>
  </si>
  <si>
    <t>자재 489</t>
  </si>
  <si>
    <t>자재 490</t>
  </si>
  <si>
    <t>자재 491</t>
  </si>
  <si>
    <t>자재 492</t>
  </si>
  <si>
    <t>자재 493</t>
  </si>
  <si>
    <t>자재 494</t>
  </si>
  <si>
    <t>자재 495</t>
  </si>
  <si>
    <t>자재 496</t>
  </si>
  <si>
    <t>자재 497</t>
  </si>
  <si>
    <t>자재 498</t>
  </si>
  <si>
    <t>자재 499</t>
  </si>
  <si>
    <t>자재 500</t>
  </si>
  <si>
    <t>자재 501</t>
  </si>
  <si>
    <t>자재 502</t>
  </si>
  <si>
    <t>자재 503</t>
  </si>
  <si>
    <t>자재 504</t>
  </si>
  <si>
    <t>자재 505</t>
  </si>
  <si>
    <t>자재 506</t>
  </si>
  <si>
    <t>자재 507</t>
  </si>
  <si>
    <t>자재 508</t>
  </si>
  <si>
    <t>자재 509</t>
  </si>
  <si>
    <t>자재 510</t>
  </si>
  <si>
    <t>자재 511</t>
  </si>
  <si>
    <t>자재 512</t>
  </si>
  <si>
    <t>자재 513</t>
  </si>
  <si>
    <t>자재 514</t>
  </si>
  <si>
    <t>자재 515</t>
  </si>
  <si>
    <t>자재 516</t>
  </si>
  <si>
    <t>자재 517</t>
  </si>
  <si>
    <t>자재 518</t>
  </si>
  <si>
    <t>자재 519</t>
  </si>
  <si>
    <t>자재 520</t>
  </si>
  <si>
    <t>자재 521</t>
  </si>
  <si>
    <t>자재 522</t>
  </si>
  <si>
    <t>자재 523</t>
  </si>
  <si>
    <t>자재 524</t>
  </si>
  <si>
    <t>자재 525</t>
  </si>
  <si>
    <t>자재 526</t>
  </si>
  <si>
    <t>자재 527</t>
  </si>
  <si>
    <t>자재 528</t>
  </si>
  <si>
    <t>자재 529</t>
  </si>
  <si>
    <t>자재 530</t>
  </si>
  <si>
    <t>자재 531</t>
  </si>
  <si>
    <t>자재 532</t>
  </si>
  <si>
    <t>자재 533</t>
  </si>
  <si>
    <t>자재 534</t>
  </si>
  <si>
    <t>노임 41</t>
  </si>
  <si>
    <t>노임 42</t>
  </si>
  <si>
    <t>노임 43</t>
  </si>
  <si>
    <t>노임 44</t>
  </si>
  <si>
    <t>노임 45</t>
  </si>
  <si>
    <t>강화저철분유리</t>
    <phoneticPr fontId="1" type="noConversion"/>
  </si>
  <si>
    <t>8mm</t>
    <phoneticPr fontId="1" type="noConversion"/>
  </si>
  <si>
    <t>상설전시</t>
    <phoneticPr fontId="1" type="noConversion"/>
  </si>
  <si>
    <t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t>
    <phoneticPr fontId="1" type="noConversion"/>
  </si>
  <si>
    <t>11</t>
  </si>
  <si>
    <t>1.기계설비공사::1-1.공조덕트설치공사</t>
  </si>
  <si>
    <t>번호</t>
  </si>
  <si>
    <t>명칭</t>
  </si>
  <si>
    <t>지 급</t>
  </si>
  <si>
    <t>1층-보</t>
  </si>
  <si>
    <t>2층-보</t>
  </si>
  <si>
    <t>할증(%)</t>
  </si>
  <si>
    <t>소 계</t>
  </si>
  <si>
    <t>1층**</t>
  </si>
  <si>
    <t>2층**</t>
  </si>
  <si>
    <t>온**</t>
  </si>
  <si>
    <t>각형닥트제작설치(기계.할증)</t>
  </si>
  <si>
    <t>㎡'</t>
  </si>
  <si>
    <t>공조덕트(스파이럴)</t>
  </si>
  <si>
    <t>D200×0.5t, 공조용, Al강판</t>
  </si>
  <si>
    <t>Ｍ</t>
  </si>
  <si>
    <t>D250×0.5t, 공조용, Al강판</t>
  </si>
  <si>
    <t>공조 덕트</t>
  </si>
  <si>
    <t>디퓨저</t>
  </si>
  <si>
    <t>1.기계설비공사::1-1.공조덕트설치공사::1층 **</t>
  </si>
  <si>
    <t>번호</t>
    <phoneticPr fontId="16" type="noConversion"/>
  </si>
  <si>
    <t>공종코드</t>
    <phoneticPr fontId="16" type="noConversion"/>
  </si>
  <si>
    <t>구분</t>
    <phoneticPr fontId="16" type="noConversion"/>
  </si>
  <si>
    <t>산 출 목 록</t>
    <phoneticPr fontId="16" type="noConversion"/>
  </si>
  <si>
    <t>산 출 수 식</t>
    <phoneticPr fontId="16" type="noConversion"/>
  </si>
  <si>
    <t>수식계</t>
    <phoneticPr fontId="16" type="noConversion"/>
  </si>
  <si>
    <t>코드</t>
    <phoneticPr fontId="16" type="noConversion"/>
  </si>
  <si>
    <t>명칭</t>
    <phoneticPr fontId="16" type="noConversion"/>
  </si>
  <si>
    <t>규격</t>
    <phoneticPr fontId="16" type="noConversion"/>
  </si>
  <si>
    <t>단위</t>
    <phoneticPr fontId="16" type="noConversion"/>
  </si>
  <si>
    <t>단위수식</t>
    <phoneticPr fontId="16" type="noConversion"/>
  </si>
  <si>
    <t>단위계</t>
    <phoneticPr fontId="16" type="noConversion"/>
  </si>
  <si>
    <t>계</t>
    <phoneticPr fontId="16" type="noConversion"/>
  </si>
  <si>
    <t>P01</t>
  </si>
  <si>
    <t>기증유물실</t>
  </si>
  <si>
    <t>실선</t>
  </si>
  <si>
    <t>SA</t>
  </si>
  <si>
    <t>각형닥트제작설치(기계.할) (0.5T)</t>
  </si>
  <si>
    <t>{51}노출보온덕트;400*250</t>
  </si>
  <si>
    <t>2+6</t>
  </si>
  <si>
    <t>8</t>
  </si>
  <si>
    <t>10.4</t>
  </si>
  <si>
    <t>각형닥트보온(고무발포) 13THK</t>
  </si>
  <si>
    <t>RA</t>
  </si>
  <si>
    <t>{51}노출덕트;300*150</t>
  </si>
  <si>
    <t>1*3+1*6</t>
  </si>
  <si>
    <t>9</t>
  </si>
  <si>
    <t>8.1</t>
  </si>
  <si>
    <t>$$V.D (STL) 각형 + 400 + 250</t>
  </si>
  <si>
    <t>V.D (STL) 각형;400*250</t>
  </si>
  <si>
    <t>기획전시실</t>
  </si>
  <si>
    <t>각형닥트제작설치(기계.할) (0.6T)</t>
  </si>
  <si>
    <t>{51}노출보온덕트;750*300</t>
  </si>
  <si>
    <t>1.5+1.5+6.5</t>
  </si>
  <si>
    <t>9.5</t>
  </si>
  <si>
    <t>19.95</t>
  </si>
  <si>
    <t>{51}노출보온덕트;350*300</t>
  </si>
  <si>
    <t>5.5+7.5+2.5+2</t>
  </si>
  <si>
    <t>17.5</t>
  </si>
  <si>
    <t>22.75</t>
  </si>
  <si>
    <t>{51}노출보온덕트;300*250</t>
  </si>
  <si>
    <t>1+1+1.5*2+1.5*2</t>
  </si>
  <si>
    <t>8.8</t>
  </si>
  <si>
    <t>{51}노출보온덕트;300*150</t>
  </si>
  <si>
    <t>1.5*2+1+1+1.5*2+1+1+1.5*2+1*2+1.5*2</t>
  </si>
  <si>
    <t>18</t>
  </si>
  <si>
    <t>16.2</t>
  </si>
  <si>
    <t>1.5*3+1</t>
  </si>
  <si>
    <t>5.5</t>
  </si>
  <si>
    <t>4.95</t>
  </si>
  <si>
    <t>{51}노출보온덕트;250*250</t>
  </si>
  <si>
    <t>1*2+0.5+1.5+2.5+2+3*2+3+1+1.5+0.5*3+1</t>
  </si>
  <si>
    <t>22.5</t>
  </si>
  <si>
    <t>각형닥트제작설치(기계.할) (0.8T)</t>
  </si>
  <si>
    <t>{51}노출덕트;1100*300</t>
  </si>
  <si>
    <t>2+4+2.5</t>
  </si>
  <si>
    <t>8.5</t>
  </si>
  <si>
    <t>23.8</t>
  </si>
  <si>
    <t>{51}노출덕트;700*300</t>
  </si>
  <si>
    <t>3.5+1+4</t>
  </si>
  <si>
    <t>17</t>
  </si>
  <si>
    <t>{51}노출덕트;400*300</t>
  </si>
  <si>
    <t>0.5+5+1.5+11+3</t>
  </si>
  <si>
    <t>21</t>
  </si>
  <si>
    <t>29.4</t>
  </si>
  <si>
    <t>{51}노출덕트;300*300</t>
  </si>
  <si>
    <t>0.5+3+1.5+0.5+4.5+3+4+1.5+0.5+3+2+0.5</t>
  </si>
  <si>
    <t>24.5</t>
  </si>
  <si>
    <t>2.5+2+0.5+4.5+0.5+3.5+1.5</t>
  </si>
  <si>
    <t>15</t>
  </si>
  <si>
    <t>3+0.5+1.5+0.5+1.5+0.5+2+0.5+2</t>
  </si>
  <si>
    <t>12</t>
  </si>
  <si>
    <t>14.4</t>
  </si>
  <si>
    <t>{51}노출덕트;300*200</t>
  </si>
  <si>
    <t>3+0.5+2+0.5+2</t>
  </si>
  <si>
    <t>2+1+3+2.5+0.5*2+1+0.5+1+1.5+0.5+1+1.5</t>
  </si>
  <si>
    <t>16.5</t>
  </si>
  <si>
    <t>14.85</t>
  </si>
  <si>
    <t>10+13+7+8+3*5+1+3+3*4+2+0.5</t>
  </si>
  <si>
    <t>71.5</t>
  </si>
  <si>
    <t>100.1</t>
  </si>
  <si>
    <t>$$V.D (STL) 각형 + 250 + 250</t>
  </si>
  <si>
    <t>V.D (STL) 각형;250*250</t>
  </si>
  <si>
    <t>2+2+2</t>
  </si>
  <si>
    <t>6</t>
  </si>
  <si>
    <t>$$V.D (STL) 각형 + 300 + 250</t>
  </si>
  <si>
    <t>V.D (STL) 각형;300*250</t>
  </si>
  <si>
    <t>$$V.D (STL) 각형 + 350 + 300</t>
  </si>
  <si>
    <t>V.D (STL) 각형;350*300</t>
  </si>
  <si>
    <t>2+1</t>
  </si>
  <si>
    <t>3</t>
  </si>
  <si>
    <t>$$V.D (STL) 각형 + 800 + 250</t>
  </si>
  <si>
    <t>V.D (STL) 각형;800*250</t>
  </si>
  <si>
    <t>디퓨저 원형, D200, AL</t>
  </si>
  <si>
    <t>원형디퓨쟈 AL     (보온)     ND200</t>
  </si>
  <si>
    <t>10+18+18+20</t>
  </si>
  <si>
    <t>66</t>
  </si>
  <si>
    <t>스파이럴덕트D200×0.5t, 공조용, Al강판</t>
  </si>
  <si>
    <t>1.5</t>
  </si>
  <si>
    <t>99</t>
  </si>
  <si>
    <t>뒷 장으로 연결▶</t>
  </si>
  <si>
    <t>0.68*1.5</t>
  </si>
  <si>
    <t>1.02</t>
  </si>
  <si>
    <t>67.32</t>
  </si>
  <si>
    <t>공종명Line</t>
  </si>
  <si>
    <t>◀앞 장에서 연결</t>
  </si>
  <si>
    <t>132</t>
  </si>
  <si>
    <t>디퓨저 원형, D250, AL</t>
  </si>
  <si>
    <t>원형디퓨쟈 AL     (보온)     ND250</t>
  </si>
  <si>
    <t>18+4+4+4</t>
  </si>
  <si>
    <t>스파이럴덕트D250×0.5t, 공조용, Al강판</t>
  </si>
  <si>
    <t>45</t>
  </si>
  <si>
    <t>0.84*1.5</t>
  </si>
  <si>
    <t>1.26</t>
  </si>
  <si>
    <t>37.8</t>
  </si>
  <si>
    <t>60</t>
  </si>
  <si>
    <t>원형디퓨쟈 AL    (비보온)    ND200</t>
  </si>
  <si>
    <t>4+6+4+10</t>
  </si>
  <si>
    <t>24</t>
  </si>
  <si>
    <t>48</t>
  </si>
  <si>
    <t>원형디퓨쟈 AL    (비보온)    ND250</t>
  </si>
  <si>
    <t>15+11+11</t>
  </si>
  <si>
    <t>37</t>
  </si>
  <si>
    <t>55.5</t>
  </si>
  <si>
    <t>74</t>
  </si>
  <si>
    <t>$$REGISTER (STL) + 1500 + 150</t>
  </si>
  <si>
    <t>REGISTER (STL);1500*150</t>
  </si>
  <si>
    <t>4</t>
  </si>
  <si>
    <t>1.기계설비공사::1-1.공조덕트설치공사::2층 **</t>
  </si>
  <si>
    <t>P02</t>
  </si>
  <si>
    <t>중,하</t>
  </si>
  <si>
    <t>{51}노출보온덕트;450*300</t>
  </si>
  <si>
    <t>8.25</t>
  </si>
  <si>
    <t>2.6</t>
  </si>
  <si>
    <t>1*2+1*2+3+3.5+2+1+1*4+2+1.5+2*2+1.5+1</t>
  </si>
  <si>
    <t>27.5</t>
  </si>
  <si>
    <t>1*5+2.5+3+1.5+1+1.5*2+1*6+2*4</t>
  </si>
  <si>
    <t>{51}노출덕트;600*350</t>
  </si>
  <si>
    <t>5</t>
  </si>
  <si>
    <t>{51}노출덕트;550*300</t>
  </si>
  <si>
    <t>3.4</t>
  </si>
  <si>
    <t>{51}노출덕트;450*300</t>
  </si>
  <si>
    <t>3.5</t>
  </si>
  <si>
    <t>5.25</t>
  </si>
  <si>
    <t>{51}노출덕트;450*250</t>
  </si>
  <si>
    <t>4.5+2.5</t>
  </si>
  <si>
    <t>7</t>
  </si>
  <si>
    <t>9.8</t>
  </si>
  <si>
    <t>2.8</t>
  </si>
  <si>
    <t>{51}노출덕트;350*300</t>
  </si>
  <si>
    <t>0.5+3+0.5+3.5</t>
  </si>
  <si>
    <t>7.5</t>
  </si>
  <si>
    <t>9.75</t>
  </si>
  <si>
    <t>{51}노출덕트;350*250</t>
  </si>
  <si>
    <t>4.8</t>
  </si>
  <si>
    <t>{51}노출덕트;350*150</t>
  </si>
  <si>
    <t>1.5+1+1.5+2+1*3+2.5+2.5+1.5*2+1.5+1+2+1</t>
  </si>
  <si>
    <t>1.5+1+2.5+1+1.5+1.5+1.5+1+2.5*2+1+2+2.5</t>
  </si>
  <si>
    <t>22</t>
  </si>
  <si>
    <t>2.5+2+4.5+1+1.5</t>
  </si>
  <si>
    <t>11.5</t>
  </si>
  <si>
    <t>13.8</t>
  </si>
  <si>
    <t>1*3+1+2+1.5+1+1.5+1+1+1+1.5*2+2.5+1+2.5</t>
  </si>
  <si>
    <t>14+2+5+16+8</t>
  </si>
  <si>
    <t>$$V.D (STL) 각형 + 300 + 300</t>
  </si>
  <si>
    <t>V.D (STL) 각형;300*300</t>
  </si>
  <si>
    <t>$$V.D (STL) 각형 + 400 + 300</t>
  </si>
  <si>
    <t>V.D (STL) 각형;400*300</t>
  </si>
  <si>
    <t>$$V.D (STL) 각형 + 450 + 250</t>
  </si>
  <si>
    <t>V.D (STL) 각형;450*250</t>
  </si>
  <si>
    <t>상</t>
  </si>
  <si>
    <t>{51}노출보온덕트;650*300</t>
  </si>
  <si>
    <t>5.5+3.5+7.5+4</t>
  </si>
  <si>
    <t>20.5</t>
  </si>
  <si>
    <t>38.95</t>
  </si>
  <si>
    <t>{51}노출보온덕트;450*250</t>
  </si>
  <si>
    <t>1.5+1.5</t>
  </si>
  <si>
    <t>4.2</t>
  </si>
  <si>
    <t>{51}노출보온덕트;400*300</t>
  </si>
  <si>
    <t>0.5+2.5+0.5+2+0.5+2+0.5+2.5</t>
  </si>
  <si>
    <t>12.1</t>
  </si>
  <si>
    <t>1+2.5</t>
  </si>
  <si>
    <t>3.15</t>
  </si>
  <si>
    <t>3+4.5+3+3.5*3+2+2+2+0.5+2+0.5+2.5+0.5+2</t>
  </si>
  <si>
    <t>0.5+1.5+1.5+1.5</t>
  </si>
  <si>
    <t>1+1+3.5+2.5</t>
  </si>
  <si>
    <t>16</t>
  </si>
  <si>
    <t>3.5+9.5+2+1.5</t>
  </si>
  <si>
    <t>23.1</t>
  </si>
  <si>
    <t>2+2</t>
  </si>
  <si>
    <t>0.5+6.5+0.5+3+5+3.5+2.5+1+1+1+1</t>
  </si>
  <si>
    <t>25.5</t>
  </si>
  <si>
    <t>30.6</t>
  </si>
  <si>
    <t>2+1.5+1.5+1</t>
  </si>
  <si>
    <t>1*3</t>
  </si>
  <si>
    <t>$$F.D/STL (1000이하) + 250 + 250</t>
  </si>
  <si>
    <t>F.D/STL (1000이하);250*250</t>
  </si>
  <si>
    <t>점검구 200x200</t>
  </si>
  <si>
    <t>$$F.D/STL (1000이하) + 300 + 300</t>
  </si>
  <si>
    <t>F.D/STL (1000이하);300*300</t>
  </si>
  <si>
    <t>1+1</t>
  </si>
  <si>
    <t>$$F.D/STL (1000이하) + 450 + 300</t>
  </si>
  <si>
    <t>F.D/STL (1000이하);450*300</t>
  </si>
  <si>
    <t>$$F.D/STL (1000이하) + 650 + 300</t>
  </si>
  <si>
    <t>F.D/STL (1000이하);650*300</t>
  </si>
  <si>
    <t>$$F.D/STL (1000이하) + 700 + 300</t>
  </si>
  <si>
    <t>F.D/STL (1000이하);700*300</t>
  </si>
  <si>
    <t>$$F.D/STL (1000이상) + 1200 + 350</t>
  </si>
  <si>
    <t>F.D/STL (1000이상);1200*350</t>
  </si>
  <si>
    <t>점검구 300x200</t>
  </si>
  <si>
    <t>6+1+2</t>
  </si>
  <si>
    <t>1+1+3</t>
  </si>
  <si>
    <t>$$V.D (STL) 각형 + 450 + 300</t>
  </si>
  <si>
    <t>V.D (STL) 각형;450*300</t>
  </si>
  <si>
    <t>44+32+16+22+13</t>
  </si>
  <si>
    <t>127</t>
  </si>
  <si>
    <t>190.5</t>
  </si>
  <si>
    <t>129.54</t>
  </si>
  <si>
    <t>254</t>
  </si>
  <si>
    <t>25+16+16+12+11</t>
  </si>
  <si>
    <t>80</t>
  </si>
  <si>
    <t>120</t>
  </si>
  <si>
    <t>160</t>
  </si>
  <si>
    <t>1.기계설비공사::1-1.공조덕트설치공사::1층-보온 **</t>
  </si>
  <si>
    <t>점선</t>
  </si>
  <si>
    <t>{51}노출보온덕트;1000*400</t>
  </si>
  <si>
    <t>{51}노출보온덕트;1000*300</t>
  </si>
  <si>
    <t>5.2</t>
  </si>
  <si>
    <t>{51}노출보온덕트;800*300</t>
  </si>
  <si>
    <t>4.5</t>
  </si>
  <si>
    <t>9.9</t>
  </si>
  <si>
    <t>{51}노출보온덕트;550*300</t>
  </si>
  <si>
    <t>1.5+4</t>
  </si>
  <si>
    <t>9.35</t>
  </si>
  <si>
    <t>5+5.5+4+6.5+5+5.5*2</t>
  </si>
  <si>
    <t>48.1</t>
  </si>
  <si>
    <t>{51}노출보온덕트;1300*300</t>
  </si>
  <si>
    <t>1.5+3.5+6.5</t>
  </si>
  <si>
    <t>36.8</t>
  </si>
  <si>
    <t>{51}노출보온덕트;1100*300</t>
  </si>
  <si>
    <t>7.5+2+7.5+2.5</t>
  </si>
  <si>
    <t>19.5</t>
  </si>
  <si>
    <t>54.6</t>
  </si>
  <si>
    <t>2.5+3</t>
  </si>
  <si>
    <t>14.3</t>
  </si>
  <si>
    <t>4+4</t>
  </si>
  <si>
    <t>16.8</t>
  </si>
  <si>
    <t>{51}노출보온덕트;700*300</t>
  </si>
  <si>
    <t>4+2.5</t>
  </si>
  <si>
    <t>6.5</t>
  </si>
  <si>
    <t>12.35</t>
  </si>
  <si>
    <t>{51}노출보온덕트;600*300</t>
  </si>
  <si>
    <t>5+5.5+6+6</t>
  </si>
  <si>
    <t>40.5</t>
  </si>
  <si>
    <t>5.95</t>
  </si>
  <si>
    <t>4.5+2+3+5+3+8.5+2.5+4</t>
  </si>
  <si>
    <t>32.5</t>
  </si>
  <si>
    <t>48.75</t>
  </si>
  <si>
    <t>2+2.5+3.5+3.5</t>
  </si>
  <si>
    <t>14.95</t>
  </si>
  <si>
    <t>3.5+1+0.5+1.5+0.5+0.5+1*2+1+1.5+1+1.5</t>
  </si>
  <si>
    <t>14.5</t>
  </si>
  <si>
    <t>0.5+1*2+1*2+0.5+1.5+1+1.5</t>
  </si>
  <si>
    <t>1.기계설비공사::1-1.공조덕트설치공사::2층-보온 **</t>
  </si>
  <si>
    <t>{51}노출보온덕트;1600*400</t>
  </si>
  <si>
    <t>8+3</t>
  </si>
  <si>
    <t>44</t>
  </si>
  <si>
    <t>{51}노출보온덕트;1500*400</t>
  </si>
  <si>
    <t>26.6</t>
  </si>
  <si>
    <t>{51}노출보온덕트;1500*350</t>
  </si>
  <si>
    <t>1+5.5</t>
  </si>
  <si>
    <t>24.05</t>
  </si>
  <si>
    <t>{51}노출보온덕트;1400*350</t>
  </si>
  <si>
    <t>33.25</t>
  </si>
  <si>
    <t>{51}노출보온덕트;1400*300</t>
  </si>
  <si>
    <t>3.5+12</t>
  </si>
  <si>
    <t>15.5</t>
  </si>
  <si>
    <t>52.7</t>
  </si>
  <si>
    <t>{51}노출보온덕트;1200*350</t>
  </si>
  <si>
    <t>13.95</t>
  </si>
  <si>
    <t>{51}노출보온덕트;1000*350</t>
  </si>
  <si>
    <t>10.5+7.5+9</t>
  </si>
  <si>
    <t>27</t>
  </si>
  <si>
    <t>72.9</t>
  </si>
  <si>
    <t>4+5.5+4.5+10.5</t>
  </si>
  <si>
    <t>63.7</t>
  </si>
  <si>
    <t>{51}노출보온덕트;750*350</t>
  </si>
  <si>
    <t>1+9.5+6.5</t>
  </si>
  <si>
    <t>37.4</t>
  </si>
  <si>
    <t>4.5+9</t>
  </si>
  <si>
    <t>13.5</t>
  </si>
  <si>
    <t>28.35</t>
  </si>
  <si>
    <t>4.5+6.5</t>
  </si>
  <si>
    <t>20.9</t>
  </si>
  <si>
    <t>4+7.5+6+7.5+15.5+4.5+9</t>
  </si>
  <si>
    <t>54</t>
  </si>
  <si>
    <t>91.8</t>
  </si>
  <si>
    <t>4+7.5</t>
  </si>
  <si>
    <t>17.25</t>
  </si>
  <si>
    <t>2.5+13+9</t>
  </si>
  <si>
    <t>31.85</t>
  </si>
  <si>
    <t>2+2.5+2.5+2+1.5+2+2+2.5</t>
  </si>
  <si>
    <t>{51}노출보온덕트;1300*350</t>
  </si>
  <si>
    <t>21.45</t>
  </si>
  <si>
    <t>1.5+7.5</t>
  </si>
  <si>
    <t>27.9</t>
  </si>
  <si>
    <t>5.6</t>
  </si>
  <si>
    <t>{51}노출보온덕트;950*300</t>
  </si>
  <si>
    <t>4+3</t>
  </si>
  <si>
    <t>{51}노출보온덕트;850*300</t>
  </si>
  <si>
    <t>19.55</t>
  </si>
  <si>
    <t>5.5+2</t>
  </si>
  <si>
    <t>15.75</t>
  </si>
  <si>
    <t>{51}노출보온덕트;700*400</t>
  </si>
  <si>
    <t>4.4</t>
  </si>
  <si>
    <t>010401 공조덕트청소</t>
    <phoneticPr fontId="1" type="noConversion"/>
  </si>
  <si>
    <t>010601  전 기 소 방 철 거 공 사</t>
    <phoneticPr fontId="1" type="noConversion"/>
  </si>
  <si>
    <t>M-BAR, H:1m미만. 달대유</t>
    <phoneticPr fontId="1" type="noConversion"/>
  </si>
  <si>
    <t>M-BAR, H:1m미만. 달대유</t>
    <phoneticPr fontId="1" type="noConversion"/>
  </si>
  <si>
    <t>가설칸막이</t>
    <phoneticPr fontId="1" type="noConversion"/>
  </si>
  <si>
    <t>합판 외</t>
    <phoneticPr fontId="1" type="noConversion"/>
  </si>
  <si>
    <t>가설칸막이 합판  M2     ( 호표 5 )</t>
    <phoneticPr fontId="1" type="noConversion"/>
  </si>
  <si>
    <t>천정 구조틀 철거  M-BAR, 달대유  M2     ( 호표 6 )</t>
    <phoneticPr fontId="1" type="noConversion"/>
  </si>
  <si>
    <t>합판</t>
    <phoneticPr fontId="1" type="noConversion"/>
  </si>
  <si>
    <t>4.8*1200*2400</t>
    <phoneticPr fontId="1" type="noConversion"/>
  </si>
  <si>
    <t>M2</t>
    <phoneticPr fontId="1" type="noConversion"/>
  </si>
  <si>
    <t xml:space="preserve">합판 </t>
    <phoneticPr fontId="1" type="noConversion"/>
  </si>
  <si>
    <t>합판</t>
    <phoneticPr fontId="1" type="noConversion"/>
  </si>
  <si>
    <t>각파이프 구조틀 철거, 천정  기존  M2     ( 호표 7 )</t>
    <phoneticPr fontId="1" type="noConversion"/>
  </si>
  <si>
    <t>알루미늄 천정  AL TILE  M2     ( 호표 8 )</t>
    <phoneticPr fontId="1" type="noConversion"/>
  </si>
  <si>
    <t>합판,판재 철거  천정  M2     ( 호표 9 )</t>
    <phoneticPr fontId="1" type="noConversion"/>
  </si>
  <si>
    <t>등박스 철거  스틸  M2     ( 호표 10 )</t>
    <phoneticPr fontId="1" type="noConversion"/>
  </si>
  <si>
    <t>각파이프 구조틀 철거, 벽체  기존  M2     ( 호표 11 )</t>
    <phoneticPr fontId="1" type="noConversion"/>
  </si>
  <si>
    <t>조적벽철거  1.0B  M2     ( 호표 12 )</t>
    <phoneticPr fontId="1" type="noConversion"/>
  </si>
  <si>
    <t>창호필름 철거    M2     ( 호표 13 )</t>
    <phoneticPr fontId="1" type="noConversion"/>
  </si>
  <si>
    <t>목조, 칸막이벽 철거  해체재 재사용 안 함  M2     ( 호표 14 )</t>
    <phoneticPr fontId="1" type="noConversion"/>
  </si>
  <si>
    <t>각파이프 구조틀 철거  기존  M2     ( 호표 15 )</t>
    <phoneticPr fontId="1" type="noConversion"/>
  </si>
  <si>
    <t>합판 철거(벽)  기존  M2     ( 호표 16 )</t>
    <phoneticPr fontId="1" type="noConversion"/>
  </si>
  <si>
    <t>철판벽 철거  기존  M2     ( 호표 17 )</t>
    <phoneticPr fontId="1" type="noConversion"/>
  </si>
  <si>
    <t>유리철거  쇼케이스  M2     ( 호표 18 )</t>
    <phoneticPr fontId="1" type="noConversion"/>
  </si>
  <si>
    <t>쇼케이스 철거  600*600*1500  개     ( 호표 19 )</t>
    <phoneticPr fontId="1" type="noConversion"/>
  </si>
  <si>
    <t>쇼케이스 철거  1200*600*1500  개     ( 호표 20 )</t>
    <phoneticPr fontId="1" type="noConversion"/>
  </si>
  <si>
    <t>석재 철거  휴게실 및 화장실  M2     ( 호표 21 )</t>
    <phoneticPr fontId="1" type="noConversion"/>
  </si>
  <si>
    <t>몰탈까내기  바닥  M2     ( 호표 22 )</t>
    <phoneticPr fontId="1" type="noConversion"/>
  </si>
  <si>
    <t>비닐계타일 철거  바닥 및 수장 부분  M2     ( 호표 23 )</t>
    <phoneticPr fontId="1" type="noConversion"/>
  </si>
  <si>
    <t>비닐시트 철거  바닥 및 수장 부분  M2     ( 호표 24 )</t>
    <phoneticPr fontId="1" type="noConversion"/>
  </si>
  <si>
    <t>우드플로링 철거  기존  M2     ( 호표 25 )</t>
    <phoneticPr fontId="1" type="noConversion"/>
  </si>
  <si>
    <t>쿠션철거  기존  M2     ( 호표 26 )</t>
    <phoneticPr fontId="1" type="noConversion"/>
  </si>
  <si>
    <t>수성페인트 뿜칠  내부천장, 2회, 슬라브  M2     ( 호표 27 )</t>
    <phoneticPr fontId="1" type="noConversion"/>
  </si>
  <si>
    <t>메탈 스터드  100*35  M2     ( 호표 28 )</t>
    <phoneticPr fontId="1" type="noConversion"/>
  </si>
  <si>
    <t>인슐레이션  단열재, 24k 50mm  M2     ( 호표 29 )</t>
    <phoneticPr fontId="1" type="noConversion"/>
  </si>
  <si>
    <t>방화석고보드붙이기  12mm 1PLY  M2     ( 호표 30 )</t>
    <phoneticPr fontId="1" type="noConversion"/>
  </si>
  <si>
    <t>석고보드  벽, 일반 12mm, 1PLY  M2     ( 호표 31 )</t>
    <phoneticPr fontId="1" type="noConversion"/>
  </si>
  <si>
    <t>석고보드  벽, 일반 12.5mm, 2PLY  M2     ( 호표 32 )</t>
    <phoneticPr fontId="1" type="noConversion"/>
  </si>
  <si>
    <t>방화석고보드붙이기  12mm 2PLY  M2     ( 호표 33 )</t>
    <phoneticPr fontId="1" type="noConversion"/>
  </si>
  <si>
    <t>합판붙이기  9MM, 1PLY  M2     ( 호표 34 )</t>
    <phoneticPr fontId="1" type="noConversion"/>
  </si>
  <si>
    <t>MDF붙이기  9mm 1PLY  M2     ( 호표 35 )</t>
    <phoneticPr fontId="1" type="noConversion"/>
  </si>
  <si>
    <t>걸레받이 설치  AL  M     ( 호표 36 )</t>
    <phoneticPr fontId="1" type="noConversion"/>
  </si>
  <si>
    <t>목재틀짜기  지정  M2     ( 호표 37 )</t>
    <phoneticPr fontId="1" type="noConversion"/>
  </si>
  <si>
    <t>합판붙이기  12MM, 1PLY  M2     ( 호표 38 )</t>
    <phoneticPr fontId="1" type="noConversion"/>
  </si>
  <si>
    <t>장식몰딩  20*50  M     ( 호표 39 )</t>
    <phoneticPr fontId="1" type="noConversion"/>
  </si>
  <si>
    <t>바탕만들기 - 줄퍼티  석고보드(GB)면  M2     ( 호표 40 )</t>
    <phoneticPr fontId="1" type="noConversion"/>
  </si>
  <si>
    <t>투명락카(방염) M2     ( 호표 42 )</t>
    <phoneticPr fontId="1" type="noConversion"/>
  </si>
  <si>
    <t>에나멜페인트칠  철재면  M2     ( 호표 43 )</t>
    <phoneticPr fontId="1" type="noConversion"/>
  </si>
  <si>
    <t>미장  바닥  M2     ( 호표 44 )</t>
    <phoneticPr fontId="1" type="noConversion"/>
  </si>
  <si>
    <t>셀프레벨링  T=15  M2     ( 호표 45 )</t>
    <phoneticPr fontId="1" type="noConversion"/>
  </si>
  <si>
    <t>칼라몰탈도장  6MM  M2     ( 호표 46 )</t>
    <phoneticPr fontId="1" type="noConversion"/>
  </si>
  <si>
    <t>스테인리스재료분리대  바닥, W25*H20*1.5t  M     ( 호표 47 )</t>
    <phoneticPr fontId="1" type="noConversion"/>
  </si>
  <si>
    <t>방수 석고보드 붙이기  12mm, 1PLY  M2     ( 호표 48 )</t>
    <phoneticPr fontId="1" type="noConversion"/>
  </si>
  <si>
    <t>석고보드  벽, 일반 12.5mm, 1PLY  M2     ( 호표 49 )</t>
    <phoneticPr fontId="1" type="noConversion"/>
  </si>
  <si>
    <t>석고보드  벽, 일반 9.5mm, 2PLY  M2     ( 호표 50 )</t>
    <phoneticPr fontId="1" type="noConversion"/>
  </si>
  <si>
    <t>철판붙이기  1.6mm, Steel  M2     ( 호표 52 )</t>
    <phoneticPr fontId="1" type="noConversion"/>
  </si>
  <si>
    <t>석고보드  벽, 일반 9.5mm, 1PLY  M2     ( 호표 53 )</t>
    <phoneticPr fontId="1" type="noConversion"/>
  </si>
  <si>
    <t>합판붙이기  15MM, 1PLY  M2     ( 호표 54 )</t>
    <phoneticPr fontId="1" type="noConversion"/>
  </si>
  <si>
    <t>오염방지코팅  지정  M2     ( 호표 55 )</t>
    <phoneticPr fontId="1" type="noConversion"/>
  </si>
  <si>
    <t>합판붙이기(자작)  9MM, 1PLY  M2     ( 호표 56 )</t>
    <phoneticPr fontId="1" type="noConversion"/>
  </si>
  <si>
    <t>단열필름  지정  M2     ( 호표 57 )</t>
    <phoneticPr fontId="1" type="noConversion"/>
  </si>
  <si>
    <t>각파이프 구조틀  50*50  M2     ( 호표 58 )</t>
    <phoneticPr fontId="1" type="noConversion"/>
  </si>
  <si>
    <t>합판붙이기  12MM, 2PLY  M2     ( 호표 59 )</t>
    <phoneticPr fontId="1" type="noConversion"/>
  </si>
  <si>
    <t>수밀코킹(실리콘)  10㎜*10㎜  M     ( 호표 75 )</t>
    <phoneticPr fontId="1" type="noConversion"/>
  </si>
  <si>
    <t>모듈 가구 재설치  참여기증자실  인     ( 호표 76 )</t>
    <phoneticPr fontId="1" type="noConversion"/>
  </si>
  <si>
    <t>모둘 가구 선반  참여기증자실  EA     ( 호표 77 )</t>
    <phoneticPr fontId="1" type="noConversion"/>
  </si>
  <si>
    <t>등박스 철거  기존  M     ( 호표 78 )</t>
    <phoneticPr fontId="1" type="noConversion"/>
  </si>
  <si>
    <t>흡음보드 철거  기존  M2     ( 호표 79 )</t>
    <phoneticPr fontId="1" type="noConversion"/>
  </si>
  <si>
    <t>경량철골천정틀  M-BAR, H:1m미만. 달대유  M2     ( 호표 80 )</t>
    <phoneticPr fontId="1" type="noConversion"/>
  </si>
  <si>
    <t>석고보드붙이기  9mm, 2PLY  M2     ( 호표 81 )</t>
    <phoneticPr fontId="1" type="noConversion"/>
  </si>
  <si>
    <t>비닐페인트  지정  M2     ( 호표 82 )</t>
    <phoneticPr fontId="1" type="noConversion"/>
  </si>
  <si>
    <t>MDF붙이기  6mm 1PLY  M2     ( 호표 83 )</t>
    <phoneticPr fontId="1" type="noConversion"/>
  </si>
  <si>
    <t>회반죽 뿜칠  슬라브  M2     ( 호표 84 )</t>
    <phoneticPr fontId="1" type="noConversion"/>
  </si>
  <si>
    <t>드라이비트 뿜칠  80MM 단열  M2     ( 호표 85 )</t>
    <phoneticPr fontId="1" type="noConversion"/>
  </si>
  <si>
    <t>장식몰딩(자작)  24*24  M     ( 호표 86 )</t>
    <phoneticPr fontId="1" type="noConversion"/>
  </si>
  <si>
    <t>화강석붙이기  30mm,지정석  M2     ( 호표 87 )</t>
    <phoneticPr fontId="1" type="noConversion"/>
  </si>
  <si>
    <t>유리끼우기 및 닦기  10mm이상  M2     ( 호표 97 )</t>
    <phoneticPr fontId="1" type="noConversion"/>
  </si>
  <si>
    <t>유리끼우기 및 닦기  복층유리 24mm  M2     ( 호표 98 )</t>
    <phoneticPr fontId="1" type="noConversion"/>
  </si>
  <si>
    <t>전시대 FRAME  20*50  M     ( 호표 99 )</t>
    <phoneticPr fontId="1" type="noConversion"/>
  </si>
  <si>
    <t>강관 조립말비계(이동식)설치 및 해체  높이 2m, 노무비  대     ( 호표 100 )</t>
    <phoneticPr fontId="1" type="noConversion"/>
  </si>
  <si>
    <t>리노륨 철거  바닥 및 수장 부분  M2     ( 호표 101 )</t>
    <phoneticPr fontId="1" type="noConversion"/>
  </si>
  <si>
    <t>수성페인트 뿜칠  내부, 2회, 친환경페인트(POP)  M2     ( 호표 102 )</t>
    <phoneticPr fontId="1" type="noConversion"/>
  </si>
  <si>
    <t>암면판 - 벽(공간 설치)  노무비, 두께 50mm 기준 - 16년 상 개정 삭제  M2     ( 호표 103 )</t>
    <phoneticPr fontId="1" type="noConversion"/>
  </si>
  <si>
    <t>벽체합판 설치  합판 별도  M2     ( 호표 104 )</t>
    <phoneticPr fontId="1" type="noConversion"/>
  </si>
  <si>
    <t>클리어래커칠 - 15년 상 개정 삭제  목재면 7회  M2     ( 호표 105 )</t>
    <phoneticPr fontId="1" type="noConversion"/>
  </si>
  <si>
    <t>콘크리트·모르타르면 바탕만들기    M2     ( 호표 106 )</t>
    <phoneticPr fontId="1" type="noConversion"/>
  </si>
  <si>
    <t>각종 잡철물 제작 설치  스테인리스, 간단(강판의 가공설치)  kg     ( 호표 107 )</t>
    <phoneticPr fontId="1" type="noConversion"/>
  </si>
  <si>
    <t>각종 잡철물 제작 설치  철재, 간단(강판의 가공설치)  kg     ( 호표 108 )</t>
    <phoneticPr fontId="1" type="noConversion"/>
  </si>
  <si>
    <t>각종 잡철물 제작  스테인리스, 간단(강판의 가공설치)  kg     ( 호표 109 )</t>
    <phoneticPr fontId="1" type="noConversion"/>
  </si>
  <si>
    <t>각종 잡철물 설치  스테인리스, 간단(강판의 가공설치)  kg     ( 호표 110 )</t>
    <phoneticPr fontId="1" type="noConversion"/>
  </si>
  <si>
    <t>각종 잡철물 제작  철재, 간단(강판의 가공설치)  kg     ( 호표 111 )</t>
    <phoneticPr fontId="1" type="noConversion"/>
  </si>
  <si>
    <t>각종 잡철물 설치  철재, 간단(강판의 가공설치)  kg     ( 호표 112 )</t>
    <phoneticPr fontId="1" type="noConversion"/>
  </si>
  <si>
    <t>용접기(교류)  500Amp  HR     ( 호표 113 )</t>
    <phoneticPr fontId="1" type="noConversion"/>
  </si>
  <si>
    <t>수밀코킹  재료비 별도  M     ( 호표 114 )</t>
    <phoneticPr fontId="1" type="noConversion"/>
  </si>
  <si>
    <t>인서트설치 - 16년 상 개정 삭제  거푸집용  개     ( 호표 115 )</t>
    <phoneticPr fontId="1" type="noConversion"/>
  </si>
  <si>
    <t>모르타르비빔 - 돌붙임(벽)  배합용적비 1:3, 시멘트, 모래 별도  M3     ( 호표 116 )</t>
    <phoneticPr fontId="1" type="noConversion"/>
  </si>
  <si>
    <t>습식공법 - 화강석  계단부, 자재 별도  M2     ( 호표 117 )</t>
    <phoneticPr fontId="1" type="noConversion"/>
  </si>
  <si>
    <t>모르타르 배합  모래채가름 포함  M3     ( 호표 118 )</t>
    <phoneticPr fontId="1" type="noConversion"/>
  </si>
  <si>
    <t>점검구 EA (호표 119 )</t>
    <phoneticPr fontId="1" type="noConversion"/>
  </si>
  <si>
    <t>알루미늄 천정 재설치 (호표 121)</t>
    <phoneticPr fontId="1" type="noConversion"/>
  </si>
  <si>
    <t>합판붙이기 9MM, 2PLY (호표 122)</t>
    <phoneticPr fontId="1" type="noConversion"/>
  </si>
  <si>
    <t>난간대, 파이프 D 32 (호표 123)</t>
    <phoneticPr fontId="1" type="noConversion"/>
  </si>
  <si>
    <t>난간두겁     ( 호표 124 )</t>
    <phoneticPr fontId="1" type="noConversion"/>
  </si>
  <si>
    <t>호표 75</t>
  </si>
  <si>
    <t>각파이프틀짜기</t>
    <phoneticPr fontId="1" type="noConversion"/>
  </si>
  <si>
    <t>자작합판</t>
    <phoneticPr fontId="1" type="noConversion"/>
  </si>
  <si>
    <t>0.75*3.6*3.0</t>
    <phoneticPr fontId="1" type="noConversion"/>
  </si>
  <si>
    <t>1.4*0.7*1.41</t>
    <phoneticPr fontId="1" type="noConversion"/>
  </si>
  <si>
    <t>0.7*0.7*0.7</t>
    <phoneticPr fontId="1" type="noConversion"/>
  </si>
  <si>
    <t>0.7*0.7*0.8</t>
    <phoneticPr fontId="1" type="noConversion"/>
  </si>
  <si>
    <t>0.7*0.5*1.0</t>
    <phoneticPr fontId="1" type="noConversion"/>
  </si>
  <si>
    <t>0.7*0.7*0.9</t>
    <phoneticPr fontId="1" type="noConversion"/>
  </si>
  <si>
    <t>1.4*0.7*1.1</t>
    <phoneticPr fontId="1" type="noConversion"/>
  </si>
  <si>
    <t>1.4*0.5*0.42</t>
    <phoneticPr fontId="1" type="noConversion"/>
  </si>
  <si>
    <t>1.1*0.3*0.75</t>
    <phoneticPr fontId="1" type="noConversion"/>
  </si>
  <si>
    <t>0.9*0.6*0.45</t>
    <phoneticPr fontId="1" type="noConversion"/>
  </si>
  <si>
    <t>1.1*0.65*0.5</t>
    <phoneticPr fontId="1" type="noConversion"/>
  </si>
  <si>
    <t>L:2000</t>
    <phoneticPr fontId="1" type="noConversion"/>
  </si>
  <si>
    <t>L:3000</t>
    <phoneticPr fontId="1" type="noConversion"/>
  </si>
  <si>
    <t>2.0*2.0*1200</t>
    <phoneticPr fontId="1" type="noConversion"/>
  </si>
  <si>
    <t>2.0*2.0*1500</t>
    <phoneticPr fontId="1" type="noConversion"/>
  </si>
  <si>
    <t>1.8*0.9*.75</t>
    <phoneticPr fontId="1" type="noConversion"/>
  </si>
  <si>
    <t>330*270</t>
    <phoneticPr fontId="1" type="noConversion"/>
  </si>
  <si>
    <t>330*390</t>
    <phoneticPr fontId="1" type="noConversion"/>
  </si>
  <si>
    <t>330*410</t>
    <phoneticPr fontId="1" type="noConversion"/>
  </si>
  <si>
    <t>370*460</t>
    <phoneticPr fontId="1" type="noConversion"/>
  </si>
  <si>
    <t>390*390</t>
    <phoneticPr fontId="1" type="noConversion"/>
  </si>
  <si>
    <t>400*250</t>
    <phoneticPr fontId="1" type="noConversion"/>
  </si>
  <si>
    <t>450*330</t>
    <phoneticPr fontId="1" type="noConversion"/>
  </si>
  <si>
    <t>500*610</t>
    <phoneticPr fontId="1" type="noConversion"/>
  </si>
  <si>
    <t>510*510</t>
    <phoneticPr fontId="1" type="noConversion"/>
  </si>
  <si>
    <t>600*780</t>
    <phoneticPr fontId="1" type="noConversion"/>
  </si>
  <si>
    <t>1200*500*500</t>
    <phoneticPr fontId="1" type="noConversion"/>
  </si>
  <si>
    <t>1200*1000*500</t>
    <phoneticPr fontId="1" type="noConversion"/>
  </si>
  <si>
    <t>700*500*500</t>
    <phoneticPr fontId="1" type="noConversion"/>
  </si>
  <si>
    <t>1200*600*500</t>
    <phoneticPr fontId="1" type="noConversion"/>
  </si>
  <si>
    <t>350*350*500</t>
    <phoneticPr fontId="1" type="noConversion"/>
  </si>
  <si>
    <t>300*300*500</t>
    <phoneticPr fontId="1" type="noConversion"/>
  </si>
  <si>
    <t>200*200*500</t>
    <phoneticPr fontId="1" type="noConversion"/>
  </si>
  <si>
    <t>1400*400*200</t>
    <phoneticPr fontId="1" type="noConversion"/>
  </si>
  <si>
    <t>200*200*50</t>
    <phoneticPr fontId="1" type="noConversion"/>
  </si>
  <si>
    <t>200*200*200</t>
    <phoneticPr fontId="1" type="noConversion"/>
  </si>
  <si>
    <t>1300*700*1100</t>
    <phoneticPr fontId="1" type="noConversion"/>
  </si>
  <si>
    <t>100*100*50</t>
    <phoneticPr fontId="1" type="noConversion"/>
  </si>
  <si>
    <t>400*300</t>
    <phoneticPr fontId="1" type="noConversion"/>
  </si>
  <si>
    <t>2300*200</t>
    <phoneticPr fontId="1" type="noConversion"/>
  </si>
  <si>
    <t>1300*600</t>
    <phoneticPr fontId="1" type="noConversion"/>
  </si>
  <si>
    <t>300*300</t>
    <phoneticPr fontId="1" type="noConversion"/>
  </si>
  <si>
    <t>700*450</t>
    <phoneticPr fontId="1" type="noConversion"/>
  </si>
  <si>
    <t>2000*50</t>
    <phoneticPr fontId="1" type="noConversion"/>
  </si>
  <si>
    <t>900*500</t>
    <phoneticPr fontId="1" type="noConversion"/>
  </si>
  <si>
    <t>700*700</t>
    <phoneticPr fontId="1" type="noConversion"/>
  </si>
  <si>
    <t>300*300*120</t>
    <phoneticPr fontId="1" type="noConversion"/>
  </si>
  <si>
    <t>1000*1000*300</t>
    <phoneticPr fontId="1" type="noConversion"/>
  </si>
  <si>
    <t>300*250*100</t>
    <phoneticPr fontId="1" type="noConversion"/>
  </si>
  <si>
    <t>150*250*100</t>
    <phoneticPr fontId="1" type="noConversion"/>
  </si>
  <si>
    <t>1800*1400</t>
    <phoneticPr fontId="1" type="noConversion"/>
  </si>
  <si>
    <t>1100*2100</t>
    <phoneticPr fontId="1" type="noConversion"/>
  </si>
  <si>
    <t>1500*1000</t>
    <phoneticPr fontId="1" type="noConversion"/>
  </si>
  <si>
    <t>1250*2000</t>
    <phoneticPr fontId="1" type="noConversion"/>
  </si>
  <si>
    <t>1000*1400</t>
    <phoneticPr fontId="1" type="noConversion"/>
  </si>
  <si>
    <t>700*900</t>
    <phoneticPr fontId="1" type="noConversion"/>
  </si>
  <si>
    <t>2300*1400</t>
    <phoneticPr fontId="1" type="noConversion"/>
  </si>
  <si>
    <t>3300*850*2000</t>
    <phoneticPr fontId="1" type="noConversion"/>
  </si>
  <si>
    <t>2100*650*2000</t>
    <phoneticPr fontId="1" type="noConversion"/>
  </si>
  <si>
    <t>300*300*150</t>
    <phoneticPr fontId="1" type="noConversion"/>
  </si>
  <si>
    <t>600*600*200</t>
    <phoneticPr fontId="1" type="noConversion"/>
  </si>
  <si>
    <t>150*150*100</t>
    <phoneticPr fontId="1" type="noConversion"/>
  </si>
  <si>
    <t>250*250*100</t>
    <phoneticPr fontId="1" type="noConversion"/>
  </si>
  <si>
    <t>R350*100</t>
    <phoneticPr fontId="1" type="noConversion"/>
  </si>
  <si>
    <t>공  사  원  가  계  산  서</t>
    <phoneticPr fontId="48" type="noConversion"/>
  </si>
  <si>
    <t>비 목</t>
    <phoneticPr fontId="49" type="noConversion"/>
  </si>
  <si>
    <t>구    분</t>
    <phoneticPr fontId="48" type="noConversion"/>
  </si>
  <si>
    <t>건축</t>
    <phoneticPr fontId="16" type="noConversion"/>
  </si>
  <si>
    <t>기계설비</t>
    <phoneticPr fontId="16" type="noConversion"/>
  </si>
  <si>
    <t>합  계</t>
    <phoneticPr fontId="16" type="noConversion"/>
  </si>
  <si>
    <t>구        성        비</t>
    <phoneticPr fontId="49" type="noConversion"/>
  </si>
  <si>
    <t>비고</t>
    <phoneticPr fontId="48" type="noConversion"/>
  </si>
  <si>
    <t>공사비요욜</t>
    <phoneticPr fontId="48" type="noConversion"/>
  </si>
  <si>
    <t>순  공  사  원  가</t>
    <phoneticPr fontId="49" type="noConversion"/>
  </si>
  <si>
    <t>직접재료비</t>
    <phoneticPr fontId="48" type="noConversion"/>
  </si>
  <si>
    <t>비</t>
    <phoneticPr fontId="48" type="noConversion"/>
  </si>
  <si>
    <t>작업설,부산물등(△)</t>
    <phoneticPr fontId="48" type="noConversion"/>
  </si>
  <si>
    <t>비</t>
    <phoneticPr fontId="16" type="noConversion"/>
  </si>
  <si>
    <t>[소계]</t>
    <phoneticPr fontId="48" type="noConversion"/>
  </si>
  <si>
    <t>노</t>
  </si>
  <si>
    <t>직접노무비</t>
    <phoneticPr fontId="48" type="noConversion"/>
  </si>
  <si>
    <t>무</t>
  </si>
  <si>
    <t>간접노무비</t>
    <phoneticPr fontId="48" type="noConversion"/>
  </si>
  <si>
    <t xml:space="preserve">                  직접노무비  x  7.90%</t>
    <phoneticPr fontId="49" type="noConversion"/>
  </si>
  <si>
    <t>비</t>
  </si>
  <si>
    <t>산출경비</t>
    <phoneticPr fontId="16" type="noConversion"/>
  </si>
  <si>
    <t>산재보험료</t>
    <phoneticPr fontId="48" type="noConversion"/>
  </si>
  <si>
    <t>고용보험료</t>
    <phoneticPr fontId="16" type="noConversion"/>
  </si>
  <si>
    <t xml:space="preserve">                      노무비  x  0.87%</t>
    <phoneticPr fontId="49" type="noConversion"/>
  </si>
  <si>
    <t>국민건강보험료</t>
    <phoneticPr fontId="16" type="noConversion"/>
  </si>
  <si>
    <t>국민연금보험료</t>
    <phoneticPr fontId="16" type="noConversion"/>
  </si>
  <si>
    <t xml:space="preserve">                  직접노무비  x  4.5%</t>
    <phoneticPr fontId="49" type="noConversion"/>
  </si>
  <si>
    <t>노인장기요양보험료</t>
    <phoneticPr fontId="16" type="noConversion"/>
  </si>
  <si>
    <t>퇴직공제부금비</t>
    <phoneticPr fontId="49" type="noConversion"/>
  </si>
  <si>
    <t xml:space="preserve">                  직접노무비  x  2.30%</t>
    <phoneticPr fontId="49" type="noConversion"/>
  </si>
  <si>
    <t>산업안전보건관리비</t>
    <phoneticPr fontId="49" type="noConversion"/>
  </si>
  <si>
    <t>기타경비</t>
    <phoneticPr fontId="48" type="noConversion"/>
  </si>
  <si>
    <t>계</t>
    <phoneticPr fontId="49" type="noConversion"/>
  </si>
  <si>
    <t xml:space="preserve">                          계  x   6.0%</t>
    <phoneticPr fontId="49" type="noConversion"/>
  </si>
  <si>
    <t xml:space="preserve">    (노무비+경비+일반관리비)  x  15.0%</t>
    <phoneticPr fontId="49" type="noConversion"/>
  </si>
  <si>
    <t>공   급   가    액</t>
  </si>
  <si>
    <t xml:space="preserve">                    공급가액  x  10.00%</t>
    <phoneticPr fontId="49" type="noConversion"/>
  </si>
  <si>
    <t>합계</t>
    <phoneticPr fontId="49" type="noConversion"/>
  </si>
  <si>
    <t>[총   공   사   비]</t>
    <phoneticPr fontId="49" type="noConversion"/>
  </si>
  <si>
    <t>건축조정율</t>
    <phoneticPr fontId="48" type="noConversion"/>
  </si>
  <si>
    <t>기계조정율</t>
    <phoneticPr fontId="48" type="noConversion"/>
  </si>
  <si>
    <t>합계조정율</t>
    <phoneticPr fontId="48" type="noConversion"/>
  </si>
  <si>
    <t xml:space="preserve"> 순 공 사 비 집 계 표 </t>
    <phoneticPr fontId="16" type="noConversion"/>
  </si>
  <si>
    <t>공     종</t>
    <phoneticPr fontId="16" type="noConversion"/>
  </si>
  <si>
    <t>수량</t>
    <phoneticPr fontId="16" type="noConversion"/>
  </si>
  <si>
    <t>단위</t>
    <phoneticPr fontId="16" type="noConversion"/>
  </si>
  <si>
    <t>비고</t>
    <phoneticPr fontId="16" type="noConversion"/>
  </si>
  <si>
    <t xml:space="preserve">    1. 순공사비</t>
    <phoneticPr fontId="16" type="noConversion"/>
  </si>
  <si>
    <t>1.  건축공사</t>
    <phoneticPr fontId="16" type="noConversion"/>
  </si>
  <si>
    <t>식</t>
    <phoneticPr fontId="16" type="noConversion"/>
  </si>
  <si>
    <t>계</t>
    <phoneticPr fontId="16" type="noConversion"/>
  </si>
  <si>
    <t>시설분담금(기계)</t>
    <phoneticPr fontId="48" type="noConversion"/>
  </si>
  <si>
    <t>철거</t>
    <phoneticPr fontId="16" type="noConversion"/>
  </si>
  <si>
    <t>2.  철거공사</t>
    <phoneticPr fontId="16" type="noConversion"/>
  </si>
  <si>
    <t>3.  기계공사</t>
    <phoneticPr fontId="16" type="noConversion"/>
  </si>
  <si>
    <t xml:space="preserve">    2. 관급자재대</t>
    <phoneticPr fontId="16" type="noConversion"/>
  </si>
  <si>
    <t>노무비</t>
    <phoneticPr fontId="1" type="noConversion"/>
  </si>
  <si>
    <t>내선전공</t>
    <phoneticPr fontId="1" type="noConversion"/>
  </si>
  <si>
    <t>노무비의 3%</t>
    <phoneticPr fontId="1" type="noConversion"/>
  </si>
  <si>
    <t>보통인부</t>
    <phoneticPr fontId="1" type="noConversion"/>
  </si>
  <si>
    <t>배관공</t>
    <phoneticPr fontId="1" type="noConversion"/>
  </si>
  <si>
    <t>보온공</t>
    <phoneticPr fontId="1" type="noConversion"/>
  </si>
  <si>
    <t>인건비의 2%</t>
    <phoneticPr fontId="1" type="noConversion"/>
  </si>
  <si>
    <t>인</t>
    <phoneticPr fontId="1" type="noConversion"/>
  </si>
  <si>
    <t>식</t>
    <phoneticPr fontId="1" type="noConversion"/>
  </si>
  <si>
    <t>배관공</t>
    <phoneticPr fontId="1" type="noConversion"/>
  </si>
  <si>
    <t>보온공</t>
    <phoneticPr fontId="1" type="noConversion"/>
  </si>
  <si>
    <t xml:space="preserve">   (재료비+직노) x 1.86% + 5,349천원 </t>
    <phoneticPr fontId="49" type="noConversion"/>
  </si>
  <si>
    <t xml:space="preserve">                      노무비  x  3.75%</t>
    <phoneticPr fontId="49" type="noConversion"/>
  </si>
  <si>
    <t xml:space="preserve">                  직접노무비  x  3.23%</t>
    <phoneticPr fontId="49" type="noConversion"/>
  </si>
  <si>
    <t xml:space="preserve">                  건강보험료  x  8.51%</t>
    <phoneticPr fontId="49" type="noConversion"/>
  </si>
  <si>
    <t xml:space="preserve">             (재료비+노무비)  x  5.8%</t>
    <phoneticPr fontId="49" type="noConversion"/>
  </si>
  <si>
    <t>3.  고무발포보온재</t>
    <phoneticPr fontId="16" type="noConversion"/>
  </si>
  <si>
    <t xml:space="preserve">    3. 방염비</t>
    <phoneticPr fontId="16" type="noConversion"/>
  </si>
  <si>
    <t>1. 방염비</t>
    <phoneticPr fontId="1" type="noConversion"/>
  </si>
  <si>
    <t>관급자재비</t>
    <phoneticPr fontId="49" type="noConversion"/>
  </si>
  <si>
    <t>도장공</t>
    <phoneticPr fontId="1" type="noConversion"/>
  </si>
  <si>
    <t>일반공사 직종</t>
    <phoneticPr fontId="1" type="noConversion"/>
  </si>
  <si>
    <t>일반공사 직종</t>
    <phoneticPr fontId="1" type="noConversion"/>
  </si>
  <si>
    <t>인</t>
    <phoneticPr fontId="1" type="noConversion"/>
  </si>
  <si>
    <t xml:space="preserve">3. 기 계 공 사 </t>
    <phoneticPr fontId="1" type="noConversion"/>
  </si>
  <si>
    <t>1. 건 축 공 사</t>
    <phoneticPr fontId="1" type="noConversion"/>
  </si>
  <si>
    <t xml:space="preserve">2. 철 거 공 사 </t>
    <phoneticPr fontId="1" type="noConversion"/>
  </si>
  <si>
    <t>4. 관 급 공 사</t>
    <phoneticPr fontId="1" type="noConversion"/>
  </si>
  <si>
    <t>5. 방 염 비</t>
    <phoneticPr fontId="1" type="noConversion"/>
  </si>
  <si>
    <t>9mm, 2PLY</t>
    <phoneticPr fontId="1" type="noConversion"/>
  </si>
  <si>
    <t>호표 27</t>
    <phoneticPr fontId="1" type="noConversion"/>
  </si>
  <si>
    <t>합판붙이기  24mm  M2     ( 호표 60 )</t>
    <phoneticPr fontId="1" type="noConversion"/>
  </si>
  <si>
    <t>합판</t>
    <phoneticPr fontId="1" type="noConversion"/>
  </si>
  <si>
    <t>24*1200*2400</t>
    <phoneticPr fontId="1" type="noConversion"/>
  </si>
  <si>
    <t>매</t>
    <phoneticPr fontId="1" type="noConversion"/>
  </si>
  <si>
    <t xml:space="preserve">보통합판, 1급, 24*1220*2440mm </t>
    <phoneticPr fontId="1" type="noConversion"/>
  </si>
  <si>
    <t>도장공</t>
    <phoneticPr fontId="1" type="noConversion"/>
  </si>
  <si>
    <t>회반죽</t>
    <phoneticPr fontId="1" type="noConversion"/>
  </si>
  <si>
    <t>회반죽</t>
    <phoneticPr fontId="1" type="noConversion"/>
  </si>
  <si>
    <t>M2</t>
    <phoneticPr fontId="1" type="noConversion"/>
  </si>
  <si>
    <t>스타코</t>
    <phoneticPr fontId="1" type="noConversion"/>
  </si>
  <si>
    <t>스타코</t>
    <phoneticPr fontId="1" type="noConversion"/>
  </si>
  <si>
    <t>일반공사 직종</t>
    <phoneticPr fontId="1" type="noConversion"/>
  </si>
  <si>
    <t>FSS-5</t>
    <phoneticPr fontId="1" type="noConversion"/>
  </si>
  <si>
    <t>2.7*4.5</t>
    <phoneticPr fontId="1" type="noConversion"/>
  </si>
  <si>
    <t xml:space="preserve">FSS-5 </t>
    <phoneticPr fontId="1" type="noConversion"/>
  </si>
  <si>
    <t>FSS-5</t>
    <phoneticPr fontId="1" type="noConversion"/>
  </si>
  <si>
    <t>SSW-6</t>
    <phoneticPr fontId="1" type="noConversion"/>
  </si>
  <si>
    <t>WD-1</t>
    <phoneticPr fontId="1" type="noConversion"/>
  </si>
  <si>
    <t>WD-2</t>
    <phoneticPr fontId="1" type="noConversion"/>
  </si>
  <si>
    <t>FSS-6  EA     ( 호표 88 )</t>
    <phoneticPr fontId="1" type="noConversion"/>
  </si>
  <si>
    <t>FSS-7  EA     ( 호표 89 )</t>
    <phoneticPr fontId="1" type="noConversion"/>
  </si>
  <si>
    <t>FSS-8   EA     ( 호표 90 )</t>
    <phoneticPr fontId="1" type="noConversion"/>
  </si>
  <si>
    <t>FSS-9  EA     ( 호표 91 )</t>
    <phoneticPr fontId="1" type="noConversion"/>
  </si>
  <si>
    <t>SH-4  EA     ( 호표 92 )</t>
    <phoneticPr fontId="1" type="noConversion"/>
  </si>
  <si>
    <t>SH-5    EA     ( 호표 93 )</t>
    <phoneticPr fontId="1" type="noConversion"/>
  </si>
  <si>
    <t>SH-6   EA     ( 호표 94 )</t>
    <phoneticPr fontId="1" type="noConversion"/>
  </si>
  <si>
    <t>FSD-1  EA     ( 호표 95 )</t>
    <phoneticPr fontId="1" type="noConversion"/>
  </si>
  <si>
    <t>SSW-5  EA     ( 호표 96 )</t>
    <phoneticPr fontId="1" type="noConversion"/>
  </si>
  <si>
    <t>모듈 가구 선반</t>
    <phoneticPr fontId="1" type="noConversion"/>
  </si>
  <si>
    <t>모듈 가구 선반</t>
    <phoneticPr fontId="1" type="noConversion"/>
  </si>
  <si>
    <t>0401 1층 전시장</t>
    <phoneticPr fontId="1" type="noConversion"/>
  </si>
  <si>
    <t>0402 2층 전시장</t>
    <phoneticPr fontId="1" type="noConversion"/>
  </si>
  <si>
    <t>010102  천 정 공 사(참여기증자실)</t>
    <phoneticPr fontId="1" type="noConversion"/>
  </si>
  <si>
    <t>010103  벽 체 공 사(참여기증자실)</t>
    <phoneticPr fontId="1" type="noConversion"/>
  </si>
  <si>
    <t>010104  바 닥 공 사(참여기증자실)</t>
    <phoneticPr fontId="1" type="noConversion"/>
  </si>
  <si>
    <t>010105  천 정 공 사(기획전시실)</t>
    <phoneticPr fontId="1" type="noConversion"/>
  </si>
  <si>
    <t>010106  벽 체 공 사(기획전시실)</t>
    <phoneticPr fontId="1" type="noConversion"/>
  </si>
  <si>
    <t>010107  바 닥 공 사(기획전시실)</t>
    <phoneticPr fontId="1" type="noConversion"/>
  </si>
  <si>
    <t>010108  천 정 공 사(상설전시실 및 부속실)</t>
    <phoneticPr fontId="1" type="noConversion"/>
  </si>
  <si>
    <t>010109  벽 체 공 사(상설전시실 및 부속실)</t>
    <phoneticPr fontId="1" type="noConversion"/>
  </si>
  <si>
    <t>010110  바 닥 공 사(상설전시실 및 부속실)</t>
    <phoneticPr fontId="1" type="noConversion"/>
  </si>
  <si>
    <t>010111  벽 체 공 사(휴게 HALL)</t>
    <phoneticPr fontId="1" type="noConversion"/>
  </si>
  <si>
    <t>010112  바 닥 공 사(휴게 HALL)</t>
    <phoneticPr fontId="1" type="noConversion"/>
  </si>
  <si>
    <t>010113  창 호 공 사</t>
    <phoneticPr fontId="1" type="noConversion"/>
  </si>
  <si>
    <t>010202  천 정 공 사(전실)</t>
    <phoneticPr fontId="1" type="noConversion"/>
  </si>
  <si>
    <t>010203  벽 체 공 사(전실)</t>
    <phoneticPr fontId="1" type="noConversion"/>
  </si>
  <si>
    <t>010204  바 닥 공 사(전실)</t>
    <phoneticPr fontId="1" type="noConversion"/>
  </si>
  <si>
    <t>010205  천 정 공 사(상설전시실)</t>
    <phoneticPr fontId="1" type="noConversion"/>
  </si>
  <si>
    <t>010206  벽 체 공 사(상설전시실)</t>
    <phoneticPr fontId="1" type="noConversion"/>
  </si>
  <si>
    <t>010207  바 닥 공 사(상설전시실)</t>
    <phoneticPr fontId="1" type="noConversion"/>
  </si>
  <si>
    <t>010208  천 정 공 사(내림경사로)</t>
    <phoneticPr fontId="1" type="noConversion"/>
  </si>
  <si>
    <t>010209  벽 체 공 사(내림경사로)</t>
    <phoneticPr fontId="1" type="noConversion"/>
  </si>
  <si>
    <t>010210  천 정 공 사(부속실)</t>
    <phoneticPr fontId="1" type="noConversion"/>
  </si>
  <si>
    <t>010211  벽 체 공 사(부속실)</t>
    <phoneticPr fontId="1" type="noConversion"/>
  </si>
  <si>
    <t>010212  바 닥 공 사(부속실)</t>
    <phoneticPr fontId="1" type="noConversion"/>
  </si>
  <si>
    <t>010213  천 정 공 사(휴게홀/창고4)</t>
    <phoneticPr fontId="1" type="noConversion"/>
  </si>
  <si>
    <t>010214  벽 체 공 사(휴게홀/창고4)</t>
    <phoneticPr fontId="1" type="noConversion"/>
  </si>
  <si>
    <t>010215  바 닥 공 사(휴게홀/창고4)</t>
    <phoneticPr fontId="1" type="noConversion"/>
  </si>
  <si>
    <t>010216  창 호 공 사</t>
    <phoneticPr fontId="1" type="noConversion"/>
  </si>
  <si>
    <t>020101  천 정 철 거 공 사</t>
    <phoneticPr fontId="1" type="noConversion"/>
  </si>
  <si>
    <t>020102  벽 체 철 거 공 사</t>
    <phoneticPr fontId="1" type="noConversion"/>
  </si>
  <si>
    <t>020103  바 닥 철 거 공 사</t>
    <phoneticPr fontId="1" type="noConversion"/>
  </si>
  <si>
    <t>020201  천 정 철 거 공 사</t>
    <phoneticPr fontId="1" type="noConversion"/>
  </si>
  <si>
    <t>020202  벽 체 철 거 공 사</t>
    <phoneticPr fontId="1" type="noConversion"/>
  </si>
  <si>
    <t>020203  바 닥 철 거 공 사</t>
    <phoneticPr fontId="1" type="noConversion"/>
  </si>
  <si>
    <t>0403  고 무 발 포 보 온 재(관급)</t>
    <phoneticPr fontId="1" type="noConversion"/>
  </si>
  <si>
    <t>와이어</t>
    <phoneticPr fontId="1" type="noConversion"/>
  </si>
  <si>
    <t>EA</t>
    <phoneticPr fontId="1" type="noConversion"/>
  </si>
  <si>
    <t>보조대타입 C</t>
    <phoneticPr fontId="1" type="noConversion"/>
  </si>
  <si>
    <t>0501 1층 방염비</t>
    <phoneticPr fontId="1" type="noConversion"/>
  </si>
  <si>
    <t>M2</t>
    <phoneticPr fontId="1" type="noConversion"/>
  </si>
  <si>
    <t>0502 2층 방염비</t>
    <phoneticPr fontId="1" type="noConversion"/>
  </si>
  <si>
    <t>각형닥트보온(고무발포)</t>
    <phoneticPr fontId="1" type="noConversion"/>
  </si>
  <si>
    <t>㎡</t>
    <phoneticPr fontId="1" type="noConversion"/>
  </si>
  <si>
    <t>조달수수료</t>
    <phoneticPr fontId="1" type="noConversion"/>
  </si>
  <si>
    <t xml:space="preserve">경기도박물관 전시실 리뉴얼 디자인설계 용역 </t>
    <phoneticPr fontId="1" type="noConversion"/>
  </si>
  <si>
    <t>1.  1층 전시장</t>
    <phoneticPr fontId="16" type="noConversion"/>
  </si>
  <si>
    <t>2.  2층 전시장</t>
    <phoneticPr fontId="16" type="noConversion"/>
  </si>
  <si>
    <t>0101 1 층 전 시 장</t>
    <phoneticPr fontId="1" type="noConversion"/>
  </si>
  <si>
    <t>0102 2 층 전 시 장</t>
    <phoneticPr fontId="1" type="noConversion"/>
  </si>
  <si>
    <t>0201 1 층 철 거 공 사</t>
    <phoneticPr fontId="1" type="noConversion"/>
  </si>
  <si>
    <t>0202 2 층 철 거 공 사</t>
    <phoneticPr fontId="1" type="noConversion"/>
  </si>
  <si>
    <t>0301. 기 계 공 사</t>
    <phoneticPr fontId="1" type="noConversion"/>
  </si>
  <si>
    <t>030101  공 조 덕 트 설 치 공 사</t>
    <phoneticPr fontId="1" type="noConversion"/>
  </si>
  <si>
    <t>030102 공 조 덕 트 청 소</t>
    <phoneticPr fontId="1" type="noConversion"/>
  </si>
  <si>
    <t>030103  기 계 설 비 철 거 공 사</t>
    <phoneticPr fontId="1" type="noConversion"/>
  </si>
  <si>
    <t>4. 관 급 공 사</t>
    <phoneticPr fontId="1" type="noConversion"/>
  </si>
  <si>
    <t>5.방염비</t>
    <phoneticPr fontId="1" type="noConversion"/>
  </si>
  <si>
    <t>디지털액자</t>
    <phoneticPr fontId="1" type="noConversion"/>
  </si>
  <si>
    <t>40"</t>
    <phoneticPr fontId="1" type="noConversion"/>
  </si>
  <si>
    <t>13THK</t>
    <phoneticPr fontId="1" type="noConversion"/>
  </si>
  <si>
    <t>0.54%</t>
    <phoneticPr fontId="1" type="noConversion"/>
  </si>
  <si>
    <t>FSS-1     EA     ( 호표 61 )</t>
    <phoneticPr fontId="1" type="noConversion"/>
  </si>
  <si>
    <t>FSS-2     EA     ( 호표 62 )</t>
    <phoneticPr fontId="1" type="noConversion"/>
  </si>
  <si>
    <t>FSS-3     EA     ( 호표 63 )</t>
    <phoneticPr fontId="1" type="noConversion"/>
  </si>
  <si>
    <t>FSS-4     EA     ( 호표 64 )</t>
    <phoneticPr fontId="1" type="noConversion"/>
  </si>
  <si>
    <t>SH-1     EA     ( 호표 65 )</t>
    <phoneticPr fontId="1" type="noConversion"/>
  </si>
  <si>
    <t>SH-2     EA     ( 호표 66 )</t>
    <phoneticPr fontId="1" type="noConversion"/>
  </si>
  <si>
    <t>FSD-1     EA     ( 호표 67 )</t>
    <phoneticPr fontId="1" type="noConversion"/>
  </si>
  <si>
    <t>SD-1     EA     ( 호표 68 )</t>
    <phoneticPr fontId="1" type="noConversion"/>
  </si>
  <si>
    <t>SD-2     EA     ( 호표 69 )</t>
    <phoneticPr fontId="1" type="noConversion"/>
  </si>
  <si>
    <t>SSW-1     EA     ( 호표 70 )</t>
    <phoneticPr fontId="1" type="noConversion"/>
  </si>
  <si>
    <t>SSW-2     EA     ( 호표 71 )</t>
    <phoneticPr fontId="1" type="noConversion"/>
  </si>
  <si>
    <t>SSW-3     EA     ( 호표 72 )</t>
    <phoneticPr fontId="1" type="noConversion"/>
  </si>
  <si>
    <t>SSW-4    EA     ( 호표 73 )</t>
    <phoneticPr fontId="1" type="noConversion"/>
  </si>
  <si>
    <t>ATD-1     EA     ( 호표 74 )</t>
    <phoneticPr fontId="1" type="noConversion"/>
  </si>
  <si>
    <t>합판</t>
    <phoneticPr fontId="1" type="noConversion"/>
  </si>
  <si>
    <t>합판</t>
    <phoneticPr fontId="1" type="noConversion"/>
  </si>
  <si>
    <t>010114  그 래 픽</t>
    <phoneticPr fontId="1" type="noConversion"/>
  </si>
  <si>
    <t>010115  전 시 대</t>
    <phoneticPr fontId="1" type="noConversion"/>
  </si>
  <si>
    <t>010217  그 래 픽</t>
    <phoneticPr fontId="1" type="noConversion"/>
  </si>
  <si>
    <t>010218  전 시 대</t>
    <phoneticPr fontId="1" type="noConversion"/>
  </si>
  <si>
    <t>010116  기 타 공 사</t>
    <phoneticPr fontId="1" type="noConversion"/>
  </si>
  <si>
    <t>150*1500</t>
    <phoneticPr fontId="1" type="noConversion"/>
  </si>
  <si>
    <t>평판335 링430</t>
    <phoneticPr fontId="1" type="noConversion"/>
  </si>
  <si>
    <t>평판300 링400</t>
    <phoneticPr fontId="1" type="noConversion"/>
  </si>
  <si>
    <t>평판200 링300</t>
    <phoneticPr fontId="1" type="noConversion"/>
  </si>
  <si>
    <t>평판150 링250</t>
    <phoneticPr fontId="1" type="noConversion"/>
  </si>
  <si>
    <t>040101  영 상 장 비(하 드 웨 어)</t>
    <phoneticPr fontId="1" type="noConversion"/>
  </si>
  <si>
    <t>040201  영 상 장 비(하 드 웨 어)</t>
    <phoneticPr fontId="1" type="noConversion"/>
  </si>
  <si>
    <t>호표109</t>
    <phoneticPr fontId="1" type="noConversion"/>
  </si>
  <si>
    <t>호표112</t>
    <phoneticPr fontId="1" type="noConversion"/>
  </si>
  <si>
    <t>호표110</t>
    <phoneticPr fontId="1" type="noConversion"/>
  </si>
  <si>
    <t>호표112</t>
    <phoneticPr fontId="1" type="noConversion"/>
  </si>
  <si>
    <t>방염도료</t>
    <phoneticPr fontId="1" type="noConversion"/>
  </si>
  <si>
    <t>벤치의자</t>
    <phoneticPr fontId="1" type="noConversion"/>
  </si>
  <si>
    <t>벤치의자</t>
    <phoneticPr fontId="1" type="noConversion"/>
  </si>
  <si>
    <t>벽면형 유리선반</t>
    <phoneticPr fontId="1" type="noConversion"/>
  </si>
  <si>
    <t>T10, 1050*200</t>
    <phoneticPr fontId="1" type="noConversion"/>
  </si>
  <si>
    <t>EA</t>
    <phoneticPr fontId="1" type="noConversion"/>
  </si>
  <si>
    <t>T10, 1350*200</t>
    <phoneticPr fontId="1" type="noConversion"/>
  </si>
  <si>
    <t>T10, 1750*200</t>
    <phoneticPr fontId="1" type="noConversion"/>
  </si>
  <si>
    <t>전시보조대 A, 2층</t>
    <phoneticPr fontId="1" type="noConversion"/>
  </si>
  <si>
    <t>100*100*100</t>
    <phoneticPr fontId="1" type="noConversion"/>
  </si>
  <si>
    <t>7700*600*300</t>
    <phoneticPr fontId="1" type="noConversion"/>
  </si>
  <si>
    <t>5700*600*300</t>
    <phoneticPr fontId="1" type="noConversion"/>
  </si>
  <si>
    <t>2000*600*300</t>
    <phoneticPr fontId="1" type="noConversion"/>
  </si>
  <si>
    <t>650*600*300</t>
    <phoneticPr fontId="1" type="noConversion"/>
  </si>
  <si>
    <t>1500*600*300</t>
    <phoneticPr fontId="1" type="noConversion"/>
  </si>
  <si>
    <t>5400*600*300</t>
    <phoneticPr fontId="1" type="noConversion"/>
  </si>
  <si>
    <t>600*600*300</t>
    <phoneticPr fontId="1" type="noConversion"/>
  </si>
  <si>
    <t>3300*600*500</t>
    <phoneticPr fontId="1" type="noConversion"/>
  </si>
  <si>
    <t>1200*500*50</t>
    <phoneticPr fontId="1" type="noConversion"/>
  </si>
  <si>
    <t>500*400*50</t>
    <phoneticPr fontId="1" type="noConversion"/>
  </si>
  <si>
    <t>300*300*100</t>
    <phoneticPr fontId="1" type="noConversion"/>
  </si>
  <si>
    <t>3600*450*600</t>
    <phoneticPr fontId="1" type="noConversion"/>
  </si>
  <si>
    <t>3600*450*300</t>
    <phoneticPr fontId="1" type="noConversion"/>
  </si>
  <si>
    <t>300*300*500</t>
    <phoneticPr fontId="1" type="noConversion"/>
  </si>
  <si>
    <t>450*300*350</t>
    <phoneticPr fontId="1" type="noConversion"/>
  </si>
  <si>
    <t>900*600*300</t>
    <phoneticPr fontId="1" type="noConversion"/>
  </si>
  <si>
    <t>4500*600*300</t>
    <phoneticPr fontId="1" type="noConversion"/>
  </si>
  <si>
    <t>3300*600*300</t>
    <phoneticPr fontId="1" type="noConversion"/>
  </si>
  <si>
    <t>500*500*650</t>
    <phoneticPr fontId="1" type="noConversion"/>
  </si>
  <si>
    <t>500*500*800</t>
    <phoneticPr fontId="1" type="noConversion"/>
  </si>
  <si>
    <t>1400*1400*200</t>
    <phoneticPr fontId="1" type="noConversion"/>
  </si>
  <si>
    <t>1100*800*160</t>
    <phoneticPr fontId="1" type="noConversion"/>
  </si>
  <si>
    <t>1500*700*340</t>
    <phoneticPr fontId="1" type="noConversion"/>
  </si>
  <si>
    <t>400*400*640</t>
    <phoneticPr fontId="1" type="noConversion"/>
  </si>
  <si>
    <t>400*400*540</t>
    <phoneticPr fontId="1" type="noConversion"/>
  </si>
  <si>
    <t>400*400*740</t>
    <phoneticPr fontId="1" type="noConversion"/>
  </si>
  <si>
    <t>600*600*100</t>
    <phoneticPr fontId="1" type="noConversion"/>
  </si>
  <si>
    <t>전시보조대 B, 2층</t>
    <phoneticPr fontId="1" type="noConversion"/>
  </si>
  <si>
    <t>2000*700*340</t>
    <phoneticPr fontId="1" type="noConversion"/>
  </si>
  <si>
    <t>전시보조대 D, 2층</t>
    <phoneticPr fontId="1" type="noConversion"/>
  </si>
  <si>
    <t>480*200</t>
    <phoneticPr fontId="1" type="noConversion"/>
  </si>
  <si>
    <t>650*350</t>
    <phoneticPr fontId="1" type="noConversion"/>
  </si>
  <si>
    <t>200*200</t>
    <phoneticPr fontId="1" type="noConversion"/>
  </si>
  <si>
    <t>500*250</t>
    <phoneticPr fontId="1" type="noConversion"/>
  </si>
  <si>
    <t>630*300</t>
    <phoneticPr fontId="1" type="noConversion"/>
  </si>
  <si>
    <t>1250*500</t>
    <phoneticPr fontId="1" type="noConversion"/>
  </si>
  <si>
    <t>400*300</t>
    <phoneticPr fontId="1" type="noConversion"/>
  </si>
  <si>
    <t>280*130</t>
    <phoneticPr fontId="1" type="noConversion"/>
  </si>
  <si>
    <t>470*180</t>
    <phoneticPr fontId="1" type="noConversion"/>
  </si>
  <si>
    <t>290*190</t>
    <phoneticPr fontId="1" type="noConversion"/>
  </si>
  <si>
    <t>190*140</t>
    <phoneticPr fontId="1" type="noConversion"/>
  </si>
  <si>
    <t>1200*380</t>
    <phoneticPr fontId="1" type="noConversion"/>
  </si>
  <si>
    <t>1200*400</t>
    <phoneticPr fontId="1" type="noConversion"/>
  </si>
  <si>
    <t>2000*750</t>
    <phoneticPr fontId="1" type="noConversion"/>
  </si>
  <si>
    <t>180*120</t>
    <phoneticPr fontId="1" type="noConversion"/>
  </si>
  <si>
    <t>250*280</t>
    <phoneticPr fontId="1" type="noConversion"/>
  </si>
  <si>
    <t>550*300</t>
    <phoneticPr fontId="1" type="noConversion"/>
  </si>
  <si>
    <t>800*450</t>
    <phoneticPr fontId="1" type="noConversion"/>
  </si>
  <si>
    <t>300*300</t>
    <phoneticPr fontId="1" type="noConversion"/>
  </si>
  <si>
    <t>500*500</t>
    <phoneticPr fontId="1" type="noConversion"/>
  </si>
  <si>
    <t>650*300</t>
    <phoneticPr fontId="1" type="noConversion"/>
  </si>
  <si>
    <t>380*400</t>
    <phoneticPr fontId="1" type="noConversion"/>
  </si>
  <si>
    <t>980*490</t>
    <phoneticPr fontId="1" type="noConversion"/>
  </si>
  <si>
    <t>400*640</t>
    <phoneticPr fontId="1" type="noConversion"/>
  </si>
  <si>
    <t>전시보조대 E, 2층</t>
    <phoneticPr fontId="1" type="noConversion"/>
  </si>
  <si>
    <t>820*440*160</t>
    <phoneticPr fontId="1" type="noConversion"/>
  </si>
  <si>
    <t>430*350*130</t>
    <phoneticPr fontId="1" type="noConversion"/>
  </si>
  <si>
    <t>1650*420*150</t>
    <phoneticPr fontId="1" type="noConversion"/>
  </si>
  <si>
    <t>480*370*140</t>
    <phoneticPr fontId="1" type="noConversion"/>
  </si>
  <si>
    <t>910*590*200</t>
    <phoneticPr fontId="1" type="noConversion"/>
  </si>
  <si>
    <t>540*320*130</t>
    <phoneticPr fontId="1" type="noConversion"/>
  </si>
  <si>
    <t>600*600*600</t>
    <phoneticPr fontId="1" type="noConversion"/>
  </si>
  <si>
    <t>800*600*600</t>
    <phoneticPr fontId="1" type="noConversion"/>
  </si>
  <si>
    <t>600*400*150</t>
    <phoneticPr fontId="1" type="noConversion"/>
  </si>
  <si>
    <t>500*400*150</t>
    <phoneticPr fontId="1" type="noConversion"/>
  </si>
  <si>
    <t>800*400*150</t>
    <phoneticPr fontId="1" type="noConversion"/>
  </si>
  <si>
    <t>5300*400*150</t>
    <phoneticPr fontId="1" type="noConversion"/>
  </si>
  <si>
    <t>3200*500*170</t>
    <phoneticPr fontId="1" type="noConversion"/>
  </si>
  <si>
    <t>2900*480*170</t>
    <phoneticPr fontId="1" type="noConversion"/>
  </si>
  <si>
    <t>600*480*170</t>
    <phoneticPr fontId="1" type="noConversion"/>
  </si>
  <si>
    <t>600*500*170</t>
    <phoneticPr fontId="1" type="noConversion"/>
  </si>
  <si>
    <t>1800*700*230</t>
    <phoneticPr fontId="1" type="noConversion"/>
  </si>
  <si>
    <t>550*450*160</t>
    <phoneticPr fontId="1" type="noConversion"/>
  </si>
  <si>
    <t>600*450*160</t>
    <phoneticPr fontId="1" type="noConversion"/>
  </si>
  <si>
    <t>730*650*200</t>
    <phoneticPr fontId="1" type="noConversion"/>
  </si>
  <si>
    <t>620*460*170</t>
    <phoneticPr fontId="1" type="noConversion"/>
  </si>
  <si>
    <t>460*490*170</t>
    <phoneticPr fontId="1" type="noConversion"/>
  </si>
  <si>
    <t>570*430*160</t>
    <phoneticPr fontId="1" type="noConversion"/>
  </si>
  <si>
    <t>680*380*150</t>
    <phoneticPr fontId="1" type="noConversion"/>
  </si>
  <si>
    <t>790*600*200</t>
    <phoneticPr fontId="1" type="noConversion"/>
  </si>
  <si>
    <t>470*310*130</t>
    <phoneticPr fontId="1" type="noConversion"/>
  </si>
  <si>
    <t>전시패널D , 2층</t>
    <phoneticPr fontId="1" type="noConversion"/>
  </si>
  <si>
    <t>730*1240</t>
    <phoneticPr fontId="1" type="noConversion"/>
  </si>
  <si>
    <t>430*520</t>
    <phoneticPr fontId="1" type="noConversion"/>
  </si>
  <si>
    <t>860*680</t>
    <phoneticPr fontId="1" type="noConversion"/>
  </si>
  <si>
    <t>200*250</t>
    <phoneticPr fontId="1" type="noConversion"/>
  </si>
  <si>
    <t>200*900</t>
    <phoneticPr fontId="1" type="noConversion"/>
  </si>
  <si>
    <t>850*1560</t>
    <phoneticPr fontId="1" type="noConversion"/>
  </si>
  <si>
    <t>900*1300</t>
    <phoneticPr fontId="1" type="noConversion"/>
  </si>
  <si>
    <t>1250*600</t>
    <phoneticPr fontId="1" type="noConversion"/>
  </si>
  <si>
    <t>690*1140</t>
    <phoneticPr fontId="1" type="noConversion"/>
  </si>
  <si>
    <t>730*1560</t>
    <phoneticPr fontId="1" type="noConversion"/>
  </si>
  <si>
    <t>1320*570</t>
    <phoneticPr fontId="1" type="noConversion"/>
  </si>
  <si>
    <t>280*370</t>
    <phoneticPr fontId="1" type="noConversion"/>
  </si>
  <si>
    <t>800*1850</t>
    <phoneticPr fontId="1" type="noConversion"/>
  </si>
  <si>
    <t>800*500</t>
    <phoneticPr fontId="1" type="noConversion"/>
  </si>
  <si>
    <t>1500*800</t>
    <phoneticPr fontId="1" type="noConversion"/>
  </si>
  <si>
    <t>800*600</t>
    <phoneticPr fontId="1" type="noConversion"/>
  </si>
  <si>
    <t>800*800</t>
    <phoneticPr fontId="1" type="noConversion"/>
  </si>
  <si>
    <t>1050*880</t>
    <phoneticPr fontId="1" type="noConversion"/>
  </si>
  <si>
    <t>440*320</t>
    <phoneticPr fontId="1" type="noConversion"/>
  </si>
  <si>
    <t>1080*1850</t>
    <phoneticPr fontId="1" type="noConversion"/>
  </si>
  <si>
    <t>1250*1750</t>
    <phoneticPr fontId="1" type="noConversion"/>
  </si>
  <si>
    <t>850*1010</t>
    <phoneticPr fontId="1" type="noConversion"/>
  </si>
  <si>
    <t>3000*500</t>
    <phoneticPr fontId="1" type="noConversion"/>
  </si>
  <si>
    <t>4520*1460</t>
    <phoneticPr fontId="1" type="noConversion"/>
  </si>
  <si>
    <t>2400*1700</t>
    <phoneticPr fontId="1" type="noConversion"/>
  </si>
  <si>
    <t>1650*1070</t>
    <phoneticPr fontId="1" type="noConversion"/>
  </si>
  <si>
    <t>2600*590</t>
    <phoneticPr fontId="1" type="noConversion"/>
  </si>
  <si>
    <t>승자총통보조대F</t>
    <phoneticPr fontId="1" type="noConversion"/>
  </si>
  <si>
    <t>300*300*270</t>
    <phoneticPr fontId="1" type="noConversion"/>
  </si>
  <si>
    <t>300*300*620</t>
    <phoneticPr fontId="1" type="noConversion"/>
  </si>
  <si>
    <t>300*300*470</t>
    <phoneticPr fontId="1" type="noConversion"/>
  </si>
  <si>
    <t>300*300*320</t>
    <phoneticPr fontId="1" type="noConversion"/>
  </si>
  <si>
    <t>전시패널A , 2층</t>
    <phoneticPr fontId="1" type="noConversion"/>
  </si>
  <si>
    <t>1500*2617</t>
    <phoneticPr fontId="1" type="noConversion"/>
  </si>
  <si>
    <t>4000*2617</t>
    <phoneticPr fontId="1" type="noConversion"/>
  </si>
  <si>
    <t>전시패널B , 2층</t>
    <phoneticPr fontId="1" type="noConversion"/>
  </si>
  <si>
    <t>1300*900</t>
    <phoneticPr fontId="1" type="noConversion"/>
  </si>
  <si>
    <t>전시패널C , 2층</t>
    <phoneticPr fontId="1" type="noConversion"/>
  </si>
  <si>
    <t>1000*1100</t>
    <phoneticPr fontId="1" type="noConversion"/>
  </si>
  <si>
    <t>와이어</t>
    <phoneticPr fontId="1" type="noConversion"/>
  </si>
  <si>
    <t>보조대타입 C</t>
    <phoneticPr fontId="1" type="noConversion"/>
  </si>
  <si>
    <t>FSS-1</t>
    <phoneticPr fontId="1" type="noConversion"/>
  </si>
  <si>
    <t>FSS-2</t>
    <phoneticPr fontId="1" type="noConversion"/>
  </si>
  <si>
    <t>FSS-3</t>
    <phoneticPr fontId="1" type="noConversion"/>
  </si>
  <si>
    <t>FSS-4</t>
    <phoneticPr fontId="1" type="noConversion"/>
  </si>
  <si>
    <t>SH-1</t>
    <phoneticPr fontId="1" type="noConversion"/>
  </si>
  <si>
    <t>SH-2</t>
    <phoneticPr fontId="1" type="noConversion"/>
  </si>
  <si>
    <t>ATD-1</t>
    <phoneticPr fontId="1" type="noConversion"/>
  </si>
  <si>
    <t>FSD-1</t>
    <phoneticPr fontId="1" type="noConversion"/>
  </si>
  <si>
    <t>SD-1</t>
    <phoneticPr fontId="1" type="noConversion"/>
  </si>
  <si>
    <t>SSW-1</t>
    <phoneticPr fontId="1" type="noConversion"/>
  </si>
  <si>
    <t>SSW-2</t>
    <phoneticPr fontId="1" type="noConversion"/>
  </si>
  <si>
    <t>SSW-3</t>
    <phoneticPr fontId="1" type="noConversion"/>
  </si>
  <si>
    <t>FSS-5</t>
    <phoneticPr fontId="1" type="noConversion"/>
  </si>
  <si>
    <t>FSS-6</t>
    <phoneticPr fontId="1" type="noConversion"/>
  </si>
  <si>
    <t>FSS-7</t>
    <phoneticPr fontId="1" type="noConversion"/>
  </si>
  <si>
    <t>FSS-8</t>
    <phoneticPr fontId="1" type="noConversion"/>
  </si>
  <si>
    <t>FSS-9</t>
    <phoneticPr fontId="1" type="noConversion"/>
  </si>
  <si>
    <t>SH-4</t>
    <phoneticPr fontId="1" type="noConversion"/>
  </si>
  <si>
    <t>SH-5</t>
    <phoneticPr fontId="1" type="noConversion"/>
  </si>
  <si>
    <t>SH-6</t>
    <phoneticPr fontId="1" type="noConversion"/>
  </si>
  <si>
    <t xml:space="preserve">진 열 장 수 량 산 출 서  </t>
    <phoneticPr fontId="16" type="noConversion"/>
  </si>
  <si>
    <t>명     칭</t>
    <phoneticPr fontId="46" type="noConversion"/>
  </si>
  <si>
    <t>규     격</t>
    <phoneticPr fontId="46" type="noConversion"/>
  </si>
  <si>
    <t>산출근거</t>
    <phoneticPr fontId="16" type="noConversion"/>
  </si>
  <si>
    <t>진열장 제작</t>
    <phoneticPr fontId="16" type="noConversion"/>
  </si>
  <si>
    <t>L</t>
    <phoneticPr fontId="16" type="noConversion"/>
  </si>
  <si>
    <t>길이</t>
    <phoneticPr fontId="16" type="noConversion"/>
  </si>
  <si>
    <t>D</t>
    <phoneticPr fontId="16" type="noConversion"/>
  </si>
  <si>
    <t>너비</t>
    <phoneticPr fontId="16" type="noConversion"/>
  </si>
  <si>
    <t>H</t>
    <phoneticPr fontId="16" type="noConversion"/>
  </si>
  <si>
    <t>높이</t>
    <phoneticPr fontId="16" type="noConversion"/>
  </si>
  <si>
    <t>FH</t>
    <phoneticPr fontId="16" type="noConversion"/>
  </si>
  <si>
    <t>하부높이</t>
    <phoneticPr fontId="16" type="noConversion"/>
  </si>
  <si>
    <t>GH</t>
    <phoneticPr fontId="16" type="noConversion"/>
  </si>
  <si>
    <t>유리높이</t>
    <phoneticPr fontId="16" type="noConversion"/>
  </si>
  <si>
    <t>UH</t>
    <phoneticPr fontId="16" type="noConversion"/>
  </si>
  <si>
    <t>상부 높이</t>
    <phoneticPr fontId="16" type="noConversion"/>
  </si>
  <si>
    <t>- 구조틀</t>
  </si>
  <si>
    <t>각파이프(방청)</t>
    <phoneticPr fontId="16" type="noConversion"/>
  </si>
  <si>
    <t>50*50*1.4T</t>
    <phoneticPr fontId="16" type="noConversion"/>
  </si>
  <si>
    <t>M</t>
    <phoneticPr fontId="16" type="noConversion"/>
  </si>
  <si>
    <t>(H*11)+(L*20)+(D*26)+((UH-0.3)*5)+(FH-0.02*10)</t>
    <phoneticPr fontId="16" type="noConversion"/>
  </si>
  <si>
    <t>100*50*2.3T</t>
    <phoneticPr fontId="16" type="noConversion"/>
  </si>
  <si>
    <t>(L*4)+(H*2)</t>
    <phoneticPr fontId="16" type="noConversion"/>
  </si>
  <si>
    <t>- 잡철물</t>
    <phoneticPr fontId="16" type="noConversion"/>
  </si>
  <si>
    <t xml:space="preserve"> 상부</t>
    <phoneticPr fontId="16" type="noConversion"/>
  </si>
  <si>
    <t>갈바후레임제작설치</t>
    <phoneticPr fontId="16" type="noConversion"/>
  </si>
  <si>
    <t>1.6T</t>
    <phoneticPr fontId="16" type="noConversion"/>
  </si>
  <si>
    <t>M2</t>
    <phoneticPr fontId="16" type="noConversion"/>
  </si>
  <si>
    <t>(0.315*L)</t>
    <phoneticPr fontId="16" type="noConversion"/>
  </si>
  <si>
    <t>상부점검도어 몰딩</t>
    <phoneticPr fontId="16" type="noConversion"/>
  </si>
  <si>
    <t>(0.492*L)</t>
    <phoneticPr fontId="16" type="noConversion"/>
  </si>
  <si>
    <t>상부전면천장유리후레임</t>
    <phoneticPr fontId="16" type="noConversion"/>
  </si>
  <si>
    <t>(0.661*L)</t>
    <phoneticPr fontId="16" type="noConversion"/>
  </si>
  <si>
    <t>배면천장몰딩</t>
    <phoneticPr fontId="16" type="noConversion"/>
  </si>
  <si>
    <t>(0.205*L)</t>
    <phoneticPr fontId="16" type="noConversion"/>
  </si>
  <si>
    <t>그림걸이레일보강</t>
    <phoneticPr fontId="16" type="noConversion"/>
  </si>
  <si>
    <t>0.16*((L*2)+(UH*15))</t>
    <phoneticPr fontId="16" type="noConversion"/>
  </si>
  <si>
    <t>상부점검도어</t>
    <phoneticPr fontId="16" type="noConversion"/>
  </si>
  <si>
    <t>((0.28*H)*2)+((0.28*D)*6)</t>
    <phoneticPr fontId="16" type="noConversion"/>
  </si>
  <si>
    <t>배면 사이드 몰딩</t>
    <phoneticPr fontId="16" type="noConversion"/>
  </si>
  <si>
    <t>((D*0.52)*2)</t>
    <phoneticPr fontId="16" type="noConversion"/>
  </si>
  <si>
    <t>외부 측면 후레임</t>
    <phoneticPr fontId="16" type="noConversion"/>
  </si>
  <si>
    <t>((0.302*H)*2)</t>
    <phoneticPr fontId="16" type="noConversion"/>
  </si>
  <si>
    <t>측면 유리 몰딩</t>
    <phoneticPr fontId="16" type="noConversion"/>
  </si>
  <si>
    <t>알루미늄판취부</t>
  </si>
  <si>
    <t>4T*900*1800</t>
  </si>
  <si>
    <t>(UH*L)</t>
    <phoneticPr fontId="16" type="noConversion"/>
  </si>
  <si>
    <t>상부점검도어 커버</t>
    <phoneticPr fontId="16" type="noConversion"/>
  </si>
  <si>
    <t xml:space="preserve"> 하부</t>
    <phoneticPr fontId="16" type="noConversion"/>
  </si>
  <si>
    <t>1.6T</t>
  </si>
  <si>
    <t>(0.453*L)</t>
    <phoneticPr fontId="16" type="noConversion"/>
  </si>
  <si>
    <t>하부전면후레임</t>
    <phoneticPr fontId="16" type="noConversion"/>
  </si>
  <si>
    <t>(0.174*L)</t>
    <phoneticPr fontId="16" type="noConversion"/>
  </si>
  <si>
    <t>하부바닥받침몰딩</t>
    <phoneticPr fontId="16" type="noConversion"/>
  </si>
  <si>
    <t>(0.133*L)</t>
    <phoneticPr fontId="16" type="noConversion"/>
  </si>
  <si>
    <t>하부 걸레받이</t>
    <phoneticPr fontId="16" type="noConversion"/>
  </si>
  <si>
    <t>- SYSTEM 장치</t>
    <phoneticPr fontId="16" type="noConversion"/>
  </si>
  <si>
    <t>피아노경첩 제작설치</t>
    <phoneticPr fontId="16" type="noConversion"/>
  </si>
  <si>
    <t>L*2</t>
    <phoneticPr fontId="16" type="noConversion"/>
  </si>
  <si>
    <t>LOCK SET 제작설치</t>
    <phoneticPr fontId="16" type="noConversion"/>
  </si>
  <si>
    <t>시건장치</t>
    <phoneticPr fontId="16" type="noConversion"/>
  </si>
  <si>
    <t>set</t>
    <phoneticPr fontId="16" type="noConversion"/>
  </si>
  <si>
    <t>AL.패킹바 제작설치</t>
    <phoneticPr fontId="16" type="noConversion"/>
  </si>
  <si>
    <t>L*2</t>
    <phoneticPr fontId="48" type="noConversion"/>
  </si>
  <si>
    <t>밀폐패킹 설치</t>
    <phoneticPr fontId="16" type="noConversion"/>
  </si>
  <si>
    <t>대형</t>
    <phoneticPr fontId="16" type="noConversion"/>
  </si>
  <si>
    <t>(L*2)+((GH*2)</t>
    <phoneticPr fontId="16" type="noConversion"/>
  </si>
  <si>
    <t>AL.사출유리후렘 제작설치</t>
    <phoneticPr fontId="16" type="noConversion"/>
  </si>
  <si>
    <t>벽부장(상부)</t>
    <phoneticPr fontId="48" type="noConversion"/>
  </si>
  <si>
    <t>벽부장(하부)</t>
    <phoneticPr fontId="48" type="noConversion"/>
  </si>
  <si>
    <t>모터구동시스템 설치</t>
    <phoneticPr fontId="16" type="noConversion"/>
  </si>
  <si>
    <t>웜기어 전동실린더</t>
    <phoneticPr fontId="16" type="noConversion"/>
  </si>
  <si>
    <t>SET</t>
    <phoneticPr fontId="16" type="noConversion"/>
  </si>
  <si>
    <t>LM가이드시스템 가공 설치</t>
    <phoneticPr fontId="16" type="noConversion"/>
  </si>
  <si>
    <t>Ø25</t>
  </si>
  <si>
    <t>베어링레일및가공 설치</t>
    <phoneticPr fontId="16" type="noConversion"/>
  </si>
  <si>
    <t>22*42 2.3T 가공</t>
  </si>
  <si>
    <t>슬라이딩베어링 가공조립</t>
    <phoneticPr fontId="16" type="noConversion"/>
  </si>
  <si>
    <t>Ø26</t>
  </si>
  <si>
    <t>EA</t>
    <phoneticPr fontId="16" type="noConversion"/>
  </si>
  <si>
    <t>(L*13)*2</t>
    <phoneticPr fontId="16" type="noConversion"/>
  </si>
  <si>
    <t>베어링 붓싱가공조립</t>
    <phoneticPr fontId="16" type="noConversion"/>
  </si>
  <si>
    <t>#6200</t>
  </si>
  <si>
    <t>유압쇽업쇼바 제작설치</t>
    <phoneticPr fontId="16" type="noConversion"/>
  </si>
  <si>
    <t>20kg</t>
    <phoneticPr fontId="16" type="noConversion"/>
  </si>
  <si>
    <t>센터베어링및스톱파 가공조립</t>
    <phoneticPr fontId="16" type="noConversion"/>
  </si>
  <si>
    <t>독립형1단</t>
    <phoneticPr fontId="16" type="noConversion"/>
  </si>
  <si>
    <t>전후진 전동콘트롤 제작설치</t>
    <phoneticPr fontId="16" type="noConversion"/>
  </si>
  <si>
    <t>독립형</t>
    <phoneticPr fontId="16" type="noConversion"/>
  </si>
  <si>
    <t>- 수장공사</t>
    <phoneticPr fontId="16" type="noConversion"/>
  </si>
  <si>
    <t>내부도배</t>
  </si>
  <si>
    <t>세마직벽지</t>
  </si>
  <si>
    <t>(L*D)+((L+D+D)*3.6)+(L*0.6)</t>
    <phoneticPr fontId="16" type="noConversion"/>
  </si>
  <si>
    <t>바탕처리</t>
    <phoneticPr fontId="16" type="noConversion"/>
  </si>
  <si>
    <t>도배퍼티</t>
    <phoneticPr fontId="16" type="noConversion"/>
  </si>
  <si>
    <t>합판취부</t>
    <phoneticPr fontId="16" type="noConversion"/>
  </si>
  <si>
    <t>T11.5mm 2PLY</t>
    <phoneticPr fontId="16" type="noConversion"/>
  </si>
  <si>
    <t>((L*D))</t>
    <phoneticPr fontId="16" type="noConversion"/>
  </si>
  <si>
    <t>T8.5mm 1PLY</t>
    <phoneticPr fontId="16" type="noConversion"/>
  </si>
  <si>
    <t>(L*3.6)*2</t>
    <phoneticPr fontId="16" type="noConversion"/>
  </si>
  <si>
    <t>진열장석고보드취부</t>
    <phoneticPr fontId="16" type="noConversion"/>
  </si>
  <si>
    <t>T9.5mm*2PLY</t>
  </si>
  <si>
    <t>(L*0.6)</t>
    <phoneticPr fontId="16" type="noConversion"/>
  </si>
  <si>
    <t>우레탄칼라락카도장</t>
  </si>
  <si>
    <t>철재면기준</t>
  </si>
  <si>
    <t>3.624*L+0.16*((L*2)+(D*10))+((0.246*(H-0.5))*2+0.3*(D+D)+L*UH+0.18*(D+D+L)</t>
  </si>
  <si>
    <t>- 유리공사</t>
    <phoneticPr fontId="16" type="noConversion"/>
  </si>
  <si>
    <t>화이트 접합유리 끼우기</t>
  </si>
  <si>
    <t>T12.76mm (2,400*3,400기준)</t>
  </si>
  <si>
    <t>L*GH</t>
    <phoneticPr fontId="48" type="noConversion"/>
  </si>
  <si>
    <t>조명용아크릴 가공 설치</t>
    <phoneticPr fontId="16" type="noConversion"/>
  </si>
  <si>
    <t>T5mm</t>
    <phoneticPr fontId="16" type="noConversion"/>
  </si>
  <si>
    <t>m2</t>
    <phoneticPr fontId="16" type="noConversion"/>
  </si>
  <si>
    <t>L*0.15</t>
    <phoneticPr fontId="16" type="noConversion"/>
  </si>
  <si>
    <t>코킹</t>
  </si>
  <si>
    <t>(L*6)+(GH*6)</t>
    <phoneticPr fontId="16" type="noConversion"/>
  </si>
  <si>
    <t>면    취</t>
    <phoneticPr fontId="16" type="noConversion"/>
  </si>
  <si>
    <t>(L*4)+(GH*8)</t>
    <phoneticPr fontId="16" type="noConversion"/>
  </si>
  <si>
    <t>- 전기공사</t>
    <phoneticPr fontId="16" type="noConversion"/>
  </si>
  <si>
    <t>LED 포인트조명설치(벽부형)</t>
    <phoneticPr fontId="16" type="noConversion"/>
  </si>
  <si>
    <t>15W이하</t>
    <phoneticPr fontId="16" type="noConversion"/>
  </si>
  <si>
    <t>ea</t>
    <phoneticPr fontId="16" type="noConversion"/>
  </si>
  <si>
    <t>(L/0.4)</t>
    <phoneticPr fontId="16" type="noConversion"/>
  </si>
  <si>
    <t>LED bar조명설치</t>
    <phoneticPr fontId="16" type="noConversion"/>
  </si>
  <si>
    <t>30W이하</t>
    <phoneticPr fontId="16" type="noConversion"/>
  </si>
  <si>
    <t>LED 포인트조명 컨트롤제작설치</t>
    <phoneticPr fontId="16" type="noConversion"/>
  </si>
  <si>
    <t>컨트롤러(16채널)</t>
    <phoneticPr fontId="16" type="noConversion"/>
  </si>
  <si>
    <t>LED bar조명 컨트롤제작설치</t>
    <phoneticPr fontId="16" type="noConversion"/>
  </si>
  <si>
    <t>컨트롤러</t>
    <phoneticPr fontId="16" type="noConversion"/>
  </si>
  <si>
    <t>(L*D)+((L+D+D)*3.6)+(L*0.8)</t>
    <phoneticPr fontId="16" type="noConversion"/>
  </si>
  <si>
    <t>(L*0.8)</t>
    <phoneticPr fontId="16" type="noConversion"/>
  </si>
  <si>
    <t>(L*D)+((L+D+D)*3.6)+(L*0.7)</t>
    <phoneticPr fontId="16" type="noConversion"/>
  </si>
  <si>
    <t>(L*0.7)</t>
    <phoneticPr fontId="16" type="noConversion"/>
  </si>
  <si>
    <t>컨트롤러(24채널)</t>
    <phoneticPr fontId="16" type="noConversion"/>
  </si>
  <si>
    <t>40*40*1.4T</t>
    <phoneticPr fontId="16" type="noConversion"/>
  </si>
  <si>
    <t>((L*5)+(D*5))*2+(FH*16)+(2.57*4)*2+(3*7)</t>
    <phoneticPr fontId="16" type="noConversion"/>
  </si>
  <si>
    <t>석고보드 시공</t>
    <phoneticPr fontId="16" type="noConversion"/>
  </si>
  <si>
    <t>THK9.5mm 2PLY(벽체면)</t>
    <phoneticPr fontId="16" type="noConversion"/>
  </si>
  <si>
    <t>(0.76+1.8+0.76)*3</t>
    <phoneticPr fontId="16" type="noConversion"/>
  </si>
  <si>
    <t>친환경수성페인트</t>
  </si>
  <si>
    <t>벽체</t>
    <phoneticPr fontId="16" type="noConversion"/>
  </si>
  <si>
    <t>0.188*L</t>
    <phoneticPr fontId="16" type="noConversion"/>
  </si>
  <si>
    <t>0.151*L</t>
    <phoneticPr fontId="16" type="noConversion"/>
  </si>
  <si>
    <t>전면상부철판</t>
    <phoneticPr fontId="16" type="noConversion"/>
  </si>
  <si>
    <t>0.242*L</t>
    <phoneticPr fontId="16" type="noConversion"/>
  </si>
  <si>
    <t>상부레일구간</t>
    <phoneticPr fontId="16" type="noConversion"/>
  </si>
  <si>
    <t>(0.184*L)+(0.184*D)</t>
    <phoneticPr fontId="16" type="noConversion"/>
  </si>
  <si>
    <t>천정후레임배면,측면</t>
    <phoneticPr fontId="16" type="noConversion"/>
  </si>
  <si>
    <t>0.209*D</t>
    <phoneticPr fontId="16" type="noConversion"/>
  </si>
  <si>
    <t>천정옆판</t>
    <phoneticPr fontId="16" type="noConversion"/>
  </si>
  <si>
    <t>((L+0.2)*(D+0.2))</t>
    <phoneticPr fontId="16" type="noConversion"/>
  </si>
  <si>
    <t>상부문짝</t>
    <phoneticPr fontId="16" type="noConversion"/>
  </si>
  <si>
    <t>((0.393+0.422)*L)</t>
    <phoneticPr fontId="16" type="noConversion"/>
  </si>
  <si>
    <t>상부등박스</t>
    <phoneticPr fontId="16" type="noConversion"/>
  </si>
  <si>
    <t>(L+L+D+D)*0.212</t>
    <phoneticPr fontId="16" type="noConversion"/>
  </si>
  <si>
    <t>상부유리후레임</t>
    <phoneticPr fontId="16" type="noConversion"/>
  </si>
  <si>
    <t>하부유리후레임</t>
    <phoneticPr fontId="16" type="noConversion"/>
  </si>
  <si>
    <t>0.398*(L+L+D+D)</t>
    <phoneticPr fontId="16" type="noConversion"/>
  </si>
  <si>
    <t>하부바닥판테두리</t>
    <phoneticPr fontId="16" type="noConversion"/>
  </si>
  <si>
    <t>0.298*L</t>
    <phoneticPr fontId="16" type="noConversion"/>
  </si>
  <si>
    <t>하부레일구간전면</t>
    <phoneticPr fontId="16" type="noConversion"/>
  </si>
  <si>
    <t>0.161*(L+L+D+D)</t>
    <phoneticPr fontId="16" type="noConversion"/>
  </si>
  <si>
    <t>하부측판</t>
    <phoneticPr fontId="16" type="noConversion"/>
  </si>
  <si>
    <t>0.632*L</t>
    <phoneticPr fontId="16" type="noConversion"/>
  </si>
  <si>
    <t>하부바닥판</t>
    <phoneticPr fontId="16" type="noConversion"/>
  </si>
  <si>
    <t>(0.117*(L+L+L+D+D))</t>
    <phoneticPr fontId="16" type="noConversion"/>
  </si>
  <si>
    <t>하부보강판</t>
    <phoneticPr fontId="16" type="noConversion"/>
  </si>
  <si>
    <t>L*2*2</t>
    <phoneticPr fontId="48" type="noConversion"/>
  </si>
  <si>
    <t>소형</t>
    <phoneticPr fontId="16" type="noConversion"/>
  </si>
  <si>
    <t>((L*2)+((GH*2))*2</t>
    <phoneticPr fontId="16" type="noConversion"/>
  </si>
  <si>
    <t>독립장(상부)</t>
    <phoneticPr fontId="48" type="noConversion"/>
  </si>
  <si>
    <t>독립장(하부)</t>
    <phoneticPr fontId="48" type="noConversion"/>
  </si>
  <si>
    <t>(L*2)*2</t>
    <phoneticPr fontId="16" type="noConversion"/>
  </si>
  <si>
    <t>- 수장설치</t>
    <phoneticPr fontId="16" type="noConversion"/>
  </si>
  <si>
    <t>(L*D)+((0.8*4)*2.57)*2+(1.8*2.0)</t>
    <phoneticPr fontId="16" type="noConversion"/>
  </si>
  <si>
    <t>바탕처리</t>
  </si>
  <si>
    <t>- 유리설치</t>
    <phoneticPr fontId="16" type="noConversion"/>
  </si>
  <si>
    <t>(L+L+D)*(GH+0.22)</t>
    <phoneticPr fontId="16" type="noConversion"/>
  </si>
  <si>
    <t>코    킹</t>
    <phoneticPr fontId="16" type="noConversion"/>
  </si>
  <si>
    <t>((L*4)*2)+((D*4)*2)+((GH*5)*2)</t>
    <phoneticPr fontId="16" type="noConversion"/>
  </si>
  <si>
    <t>((L*4)*2)+((D*4)*2)+((GH*4)*4)</t>
    <phoneticPr fontId="16" type="noConversion"/>
  </si>
  <si>
    <t>- 조명 장치</t>
    <phoneticPr fontId="16" type="noConversion"/>
  </si>
  <si>
    <t>LED 포인트조명설치(독립장형)</t>
    <phoneticPr fontId="16" type="noConversion"/>
  </si>
  <si>
    <t>((L/0.4)*2)</t>
    <phoneticPr fontId="16" type="noConversion"/>
  </si>
  <si>
    <t>((L*5)+(D*5))*2+(FH*16)</t>
    <phoneticPr fontId="16" type="noConversion"/>
  </si>
  <si>
    <t>(0.184*L)+((0.184*D)*2)</t>
    <phoneticPr fontId="16" type="noConversion"/>
  </si>
  <si>
    <t>0.209*(D+D)</t>
    <phoneticPr fontId="16" type="noConversion"/>
  </si>
  <si>
    <t>L*2*2</t>
    <phoneticPr fontId="16" type="noConversion"/>
  </si>
  <si>
    <t>(L*2)*2</t>
    <phoneticPr fontId="48" type="noConversion"/>
  </si>
  <si>
    <t>((L*2)+(GH*2))*2</t>
    <phoneticPr fontId="16" type="noConversion"/>
  </si>
  <si>
    <t>L*D</t>
    <phoneticPr fontId="16" type="noConversion"/>
  </si>
  <si>
    <t>((L*D)*2)</t>
    <phoneticPr fontId="16" type="noConversion"/>
  </si>
  <si>
    <t>(L+L+D+D)*(GH+0.22)</t>
    <phoneticPr fontId="16" type="noConversion"/>
  </si>
  <si>
    <t>((L/0.4)*4)</t>
    <phoneticPr fontId="16" type="noConversion"/>
  </si>
  <si>
    <t>30*30*1.4T</t>
    <phoneticPr fontId="16" type="noConversion"/>
  </si>
  <si>
    <t>CASTER&amp;ADJUSTER 제작설치</t>
    <phoneticPr fontId="16" type="noConversion"/>
  </si>
  <si>
    <t>코아합판취부</t>
  </si>
  <si>
    <t>T18mm</t>
    <phoneticPr fontId="16" type="noConversion"/>
  </si>
  <si>
    <t>T10.76mm</t>
  </si>
  <si>
    <t>((L/0.3)*2)</t>
    <phoneticPr fontId="16" type="noConversion"/>
  </si>
  <si>
    <t>각파이프(방청)</t>
  </si>
  <si>
    <t>(4.2*8)+(0.9+0.9+1.2)*6</t>
    <phoneticPr fontId="48" type="noConversion"/>
  </si>
  <si>
    <t>- 잡철물</t>
  </si>
  <si>
    <t>(0.9+0.9+1.2)*4.2</t>
    <phoneticPr fontId="48" type="noConversion"/>
  </si>
  <si>
    <t>마감철판</t>
    <phoneticPr fontId="16" type="noConversion"/>
  </si>
  <si>
    <t>0.26*(3.5+3.5+0.9+0.8)</t>
    <phoneticPr fontId="48" type="noConversion"/>
  </si>
  <si>
    <t>유리프레임</t>
    <phoneticPr fontId="16" type="noConversion"/>
  </si>
  <si>
    <t>내부몰딩</t>
    <phoneticPr fontId="16" type="noConversion"/>
  </si>
  <si>
    <t>0.31*(1.2+1.2+1.8+1.8)</t>
    <phoneticPr fontId="48" type="noConversion"/>
  </si>
  <si>
    <t>유리프레임2</t>
    <phoneticPr fontId="16" type="noConversion"/>
  </si>
  <si>
    <t>0.37*1.2</t>
    <phoneticPr fontId="48" type="noConversion"/>
  </si>
  <si>
    <t>상부마감몰딩</t>
    <phoneticPr fontId="16" type="noConversion"/>
  </si>
  <si>
    <t>0.22*1.2</t>
    <phoneticPr fontId="48" type="noConversion"/>
  </si>
  <si>
    <t>하부마감판</t>
    <phoneticPr fontId="16" type="noConversion"/>
  </si>
  <si>
    <t>1.5*1.2</t>
    <phoneticPr fontId="48" type="noConversion"/>
  </si>
  <si>
    <t>배면판</t>
    <phoneticPr fontId="16" type="noConversion"/>
  </si>
  <si>
    <t>1.2*1.2</t>
    <phoneticPr fontId="16" type="noConversion"/>
  </si>
  <si>
    <t>외부마감판</t>
    <phoneticPr fontId="16" type="noConversion"/>
  </si>
  <si>
    <t>(0.3*1.8)</t>
    <phoneticPr fontId="48" type="noConversion"/>
  </si>
  <si>
    <t>측면판</t>
    <phoneticPr fontId="16" type="noConversion"/>
  </si>
  <si>
    <t>\</t>
    <phoneticPr fontId="16" type="noConversion"/>
  </si>
  <si>
    <t>- SYSTEM 장치</t>
  </si>
  <si>
    <t>1.2+3.5</t>
    <phoneticPr fontId="16" type="noConversion"/>
  </si>
  <si>
    <t>AL.패킹바 제작설치</t>
  </si>
  <si>
    <t>1.2+1.2+1.8+1.8+3.6+3.6+0.8+0.8</t>
    <phoneticPr fontId="48" type="noConversion"/>
  </si>
  <si>
    <t>밀폐패킹 설치</t>
  </si>
  <si>
    <t>소형</t>
  </si>
  <si>
    <t>- 수장공사</t>
  </si>
  <si>
    <t>T18mm</t>
  </si>
  <si>
    <t>3.6*0.8</t>
    <phoneticPr fontId="48" type="noConversion"/>
  </si>
  <si>
    <t>(3.6*0.8)+(12.*1.8)</t>
    <phoneticPr fontId="48" type="noConversion"/>
  </si>
  <si>
    <t>세마직벽지</t>
    <phoneticPr fontId="16" type="noConversion"/>
  </si>
  <si>
    <t>12.6+2.26+2.26+1.86+0.44+0.26+1.8+1.44+1.08</t>
    <phoneticPr fontId="16" type="noConversion"/>
  </si>
  <si>
    <t>철재면기준</t>
    <phoneticPr fontId="16" type="noConversion"/>
  </si>
  <si>
    <t>- 유리공사</t>
  </si>
  <si>
    <t>(3.6*0.8)+(3.6+3.6+0.8+0.8)*0.3+(1.05*1.55)</t>
    <phoneticPr fontId="48" type="noConversion"/>
  </si>
  <si>
    <t>(3.6*8)+(0.8*8)+(0.3*8)+(1.0*4)+(1.5*4)</t>
    <phoneticPr fontId="48" type="noConversion"/>
  </si>
  <si>
    <t>면    취</t>
  </si>
  <si>
    <t>(3.6*8)+(0.3*16)+(0.8*8)</t>
    <phoneticPr fontId="48" type="noConversion"/>
  </si>
  <si>
    <t>- 전기공사</t>
  </si>
  <si>
    <t>컨트롤러(8채널)</t>
    <phoneticPr fontId="16" type="noConversion"/>
  </si>
  <si>
    <r>
      <rPr>
        <b/>
        <sz val="18"/>
        <rFont val="맑은 고딕"/>
        <family val="3"/>
        <charset val="129"/>
      </rPr>
      <t>일</t>
    </r>
    <r>
      <rPr>
        <b/>
        <sz val="18"/>
        <rFont val="Arial"/>
        <family val="2"/>
      </rPr>
      <t xml:space="preserve"> </t>
    </r>
    <r>
      <rPr>
        <b/>
        <sz val="18"/>
        <rFont val="맑은 고딕"/>
        <family val="3"/>
        <charset val="129"/>
      </rPr>
      <t>위</t>
    </r>
    <r>
      <rPr>
        <b/>
        <sz val="18"/>
        <rFont val="Arial"/>
        <family val="2"/>
      </rPr>
      <t xml:space="preserve"> </t>
    </r>
    <r>
      <rPr>
        <b/>
        <sz val="18"/>
        <rFont val="맑은 고딕"/>
        <family val="3"/>
        <charset val="129"/>
      </rPr>
      <t>대</t>
    </r>
    <r>
      <rPr>
        <b/>
        <sz val="18"/>
        <rFont val="Arial"/>
        <family val="2"/>
      </rPr>
      <t xml:space="preserve"> </t>
    </r>
    <r>
      <rPr>
        <b/>
        <sz val="18"/>
        <rFont val="맑은 고딕"/>
        <family val="3"/>
        <charset val="129"/>
      </rPr>
      <t>가</t>
    </r>
    <r>
      <rPr>
        <b/>
        <sz val="18"/>
        <rFont val="Arial"/>
        <family val="2"/>
      </rPr>
      <t xml:space="preserve">  </t>
    </r>
    <r>
      <rPr>
        <b/>
        <sz val="18"/>
        <rFont val="맑은 고딕"/>
        <family val="3"/>
        <charset val="129"/>
      </rPr>
      <t>목</t>
    </r>
    <r>
      <rPr>
        <b/>
        <sz val="18"/>
        <rFont val="Arial"/>
        <family val="2"/>
      </rPr>
      <t xml:space="preserve"> </t>
    </r>
    <r>
      <rPr>
        <b/>
        <sz val="18"/>
        <rFont val="맑은 고딕"/>
        <family val="3"/>
        <charset val="129"/>
      </rPr>
      <t>록</t>
    </r>
    <r>
      <rPr>
        <b/>
        <sz val="18"/>
        <rFont val="Arial"/>
        <family val="2"/>
      </rPr>
      <t xml:space="preserve"> </t>
    </r>
    <r>
      <rPr>
        <b/>
        <sz val="18"/>
        <rFont val="맑은 고딕"/>
        <family val="3"/>
        <charset val="129"/>
      </rPr>
      <t>표</t>
    </r>
    <phoneticPr fontId="176" type="noConversion"/>
  </si>
  <si>
    <r>
      <rPr>
        <b/>
        <sz val="10"/>
        <rFont val="맑은 고딕"/>
        <family val="3"/>
        <charset val="129"/>
      </rPr>
      <t>구</t>
    </r>
    <r>
      <rPr>
        <b/>
        <sz val="10"/>
        <rFont val="Arial"/>
        <family val="2"/>
      </rPr>
      <t xml:space="preserve">   </t>
    </r>
    <r>
      <rPr>
        <b/>
        <sz val="10"/>
        <rFont val="맑은 고딕"/>
        <family val="3"/>
        <charset val="129"/>
      </rPr>
      <t>분</t>
    </r>
    <phoneticPr fontId="176" type="noConversion"/>
  </si>
  <si>
    <r>
      <rPr>
        <b/>
        <sz val="11"/>
        <rFont val="맑은 고딕"/>
        <family val="3"/>
        <charset val="129"/>
      </rPr>
      <t>번</t>
    </r>
    <r>
      <rPr>
        <b/>
        <sz val="11"/>
        <rFont val="Arial"/>
        <family val="2"/>
      </rPr>
      <t xml:space="preserve">  </t>
    </r>
    <r>
      <rPr>
        <b/>
        <sz val="11"/>
        <rFont val="맑은 고딕"/>
        <family val="3"/>
        <charset val="129"/>
      </rPr>
      <t>호</t>
    </r>
    <phoneticPr fontId="176" type="noConversion"/>
  </si>
  <si>
    <r>
      <rPr>
        <b/>
        <sz val="11"/>
        <rFont val="맑은 고딕"/>
        <family val="3"/>
        <charset val="129"/>
      </rPr>
      <t>명</t>
    </r>
    <r>
      <rPr>
        <b/>
        <sz val="11"/>
        <rFont val="Arial"/>
        <family val="2"/>
      </rPr>
      <t xml:space="preserve">      </t>
    </r>
    <r>
      <rPr>
        <b/>
        <sz val="11"/>
        <rFont val="맑은 고딕"/>
        <family val="3"/>
        <charset val="129"/>
      </rPr>
      <t>칭</t>
    </r>
    <phoneticPr fontId="176" type="noConversion"/>
  </si>
  <si>
    <r>
      <rPr>
        <b/>
        <sz val="11"/>
        <rFont val="맑은 고딕"/>
        <family val="3"/>
        <charset val="129"/>
      </rPr>
      <t>규</t>
    </r>
    <r>
      <rPr>
        <b/>
        <sz val="11"/>
        <rFont val="Arial"/>
        <family val="2"/>
      </rPr>
      <t xml:space="preserve">      </t>
    </r>
    <r>
      <rPr>
        <b/>
        <sz val="11"/>
        <rFont val="맑은 고딕"/>
        <family val="3"/>
        <charset val="129"/>
      </rPr>
      <t>격</t>
    </r>
    <phoneticPr fontId="176" type="noConversion"/>
  </si>
  <si>
    <r>
      <rPr>
        <b/>
        <sz val="11"/>
        <rFont val="맑은 고딕"/>
        <family val="3"/>
        <charset val="129"/>
      </rPr>
      <t>단</t>
    </r>
    <r>
      <rPr>
        <b/>
        <sz val="11"/>
        <rFont val="Arial"/>
        <family val="2"/>
      </rPr>
      <t xml:space="preserve"> </t>
    </r>
    <r>
      <rPr>
        <b/>
        <sz val="11"/>
        <rFont val="맑은 고딕"/>
        <family val="3"/>
        <charset val="129"/>
      </rPr>
      <t>위</t>
    </r>
    <phoneticPr fontId="176" type="noConversion"/>
  </si>
  <si>
    <r>
      <rPr>
        <b/>
        <sz val="11"/>
        <rFont val="맑은 고딕"/>
        <family val="3"/>
        <charset val="129"/>
      </rPr>
      <t>재</t>
    </r>
    <r>
      <rPr>
        <b/>
        <sz val="11"/>
        <rFont val="Arial"/>
        <family val="2"/>
      </rPr>
      <t xml:space="preserve"> </t>
    </r>
    <r>
      <rPr>
        <b/>
        <sz val="11"/>
        <rFont val="맑은 고딕"/>
        <family val="3"/>
        <charset val="129"/>
      </rPr>
      <t>료</t>
    </r>
    <r>
      <rPr>
        <b/>
        <sz val="11"/>
        <rFont val="Arial"/>
        <family val="2"/>
      </rPr>
      <t xml:space="preserve"> </t>
    </r>
    <r>
      <rPr>
        <b/>
        <sz val="11"/>
        <rFont val="맑은 고딕"/>
        <family val="3"/>
        <charset val="129"/>
      </rPr>
      <t>비</t>
    </r>
    <phoneticPr fontId="176" type="noConversion"/>
  </si>
  <si>
    <r>
      <rPr>
        <b/>
        <sz val="11"/>
        <rFont val="맑은 고딕"/>
        <family val="3"/>
        <charset val="129"/>
      </rPr>
      <t>노</t>
    </r>
    <r>
      <rPr>
        <b/>
        <sz val="11"/>
        <rFont val="Arial"/>
        <family val="2"/>
      </rPr>
      <t xml:space="preserve"> </t>
    </r>
    <r>
      <rPr>
        <b/>
        <sz val="11"/>
        <rFont val="맑은 고딕"/>
        <family val="3"/>
        <charset val="129"/>
      </rPr>
      <t>무</t>
    </r>
    <r>
      <rPr>
        <b/>
        <sz val="11"/>
        <rFont val="Arial"/>
        <family val="2"/>
      </rPr>
      <t xml:space="preserve"> </t>
    </r>
    <r>
      <rPr>
        <b/>
        <sz val="11"/>
        <rFont val="맑은 고딕"/>
        <family val="3"/>
        <charset val="129"/>
      </rPr>
      <t>비</t>
    </r>
    <phoneticPr fontId="176" type="noConversion"/>
  </si>
  <si>
    <r>
      <rPr>
        <b/>
        <sz val="11"/>
        <rFont val="맑은 고딕"/>
        <family val="3"/>
        <charset val="129"/>
      </rPr>
      <t>계</t>
    </r>
    <phoneticPr fontId="176" type="noConversion"/>
  </si>
  <si>
    <r>
      <rPr>
        <b/>
        <sz val="11"/>
        <rFont val="맑은 고딕"/>
        <family val="3"/>
        <charset val="129"/>
      </rPr>
      <t>비</t>
    </r>
    <r>
      <rPr>
        <b/>
        <sz val="11"/>
        <rFont val="Arial"/>
        <family val="2"/>
      </rPr>
      <t xml:space="preserve">  </t>
    </r>
    <r>
      <rPr>
        <b/>
        <sz val="11"/>
        <rFont val="맑은 고딕"/>
        <family val="3"/>
        <charset val="129"/>
      </rPr>
      <t>고</t>
    </r>
    <phoneticPr fontId="176" type="noConversion"/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</si>
  <si>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</t>
    </r>
    <r>
      <rPr>
        <sz val="11"/>
        <rFont val="맑은 고딕"/>
        <family val="3"/>
        <charset val="129"/>
      </rPr>
      <t>호표</t>
    </r>
    <phoneticPr fontId="176" type="noConversion"/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</si>
  <si>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</si>
  <si>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</si>
  <si>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</si>
  <si>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</si>
  <si>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</si>
  <si>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</si>
  <si>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</si>
  <si>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</si>
  <si>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</si>
  <si>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</si>
  <si>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</si>
  <si>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</si>
  <si>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</si>
  <si>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</si>
  <si>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</si>
  <si>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</si>
  <si>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</si>
  <si>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</si>
  <si>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</si>
  <si>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</si>
  <si>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</si>
  <si>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</si>
  <si>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</si>
  <si>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</si>
  <si>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</si>
  <si>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</si>
  <si>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</si>
  <si>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29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</si>
  <si>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</si>
  <si>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</si>
  <si>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</si>
  <si>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</si>
  <si>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</si>
  <si>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</si>
  <si>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</si>
  <si>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</si>
  <si>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</si>
  <si>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39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</si>
  <si>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</si>
  <si>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</si>
  <si>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</si>
  <si>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</si>
  <si>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</si>
  <si>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</si>
  <si>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</si>
  <si>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</si>
  <si>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</si>
  <si>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49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</si>
  <si>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</si>
  <si>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</si>
  <si>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</si>
  <si>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</si>
  <si>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</si>
  <si>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</si>
  <si>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</si>
  <si>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</si>
  <si>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</si>
  <si>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59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</si>
  <si>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</si>
  <si>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</si>
  <si>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</si>
  <si>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</si>
  <si>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</si>
  <si>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</si>
  <si>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</si>
  <si>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</si>
  <si>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</si>
  <si>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69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</si>
  <si>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</si>
  <si>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</si>
  <si>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</si>
  <si>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</si>
  <si>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</si>
  <si>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</si>
  <si>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</si>
  <si>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</si>
  <si>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</si>
  <si>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79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</si>
  <si>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</si>
  <si>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</si>
  <si>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</si>
  <si>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</si>
  <si>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</si>
  <si>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</si>
  <si>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</si>
  <si>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</si>
  <si>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</si>
  <si>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89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</si>
  <si>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</si>
  <si>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</si>
  <si>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</si>
  <si>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</si>
  <si>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</si>
  <si>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</si>
  <si>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</si>
  <si>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</si>
  <si>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</si>
  <si>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99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</si>
  <si>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</si>
  <si>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</si>
  <si>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</si>
  <si>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</si>
  <si>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</si>
  <si>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105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</si>
  <si>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106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</si>
  <si>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107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</si>
  <si>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108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</si>
  <si>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109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</si>
  <si>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110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</si>
  <si>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111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</si>
  <si>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112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</si>
  <si>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113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</si>
  <si>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114</t>
    </r>
    <r>
      <rPr>
        <sz val="11"/>
        <rFont val="맑은 고딕"/>
        <family val="3"/>
        <charset val="129"/>
      </rPr>
      <t>호표</t>
    </r>
    <r>
      <rPr>
        <sz val="10"/>
        <color indexed="8"/>
        <rFont val="굴림체"/>
        <family val="3"/>
        <charset val="129"/>
      </rPr>
      <t/>
    </r>
  </si>
  <si>
    <r>
      <rPr>
        <sz val="11"/>
        <rFont val="맑은 고딕"/>
        <family val="3"/>
        <charset val="129"/>
      </rPr>
      <t>제</t>
    </r>
    <r>
      <rPr>
        <sz val="11"/>
        <rFont val="Arial"/>
        <family val="2"/>
      </rPr>
      <t>115호표</t>
    </r>
    <r>
      <rPr>
        <sz val="10"/>
        <color indexed="8"/>
        <rFont val="굴림체"/>
        <family val="3"/>
        <charset val="129"/>
      </rPr>
      <t/>
    </r>
  </si>
  <si>
    <t>구   분</t>
    <phoneticPr fontId="176" type="noConversion"/>
  </si>
  <si>
    <t>번  호</t>
    <phoneticPr fontId="176" type="noConversion"/>
  </si>
  <si>
    <t>명      칭</t>
    <phoneticPr fontId="176" type="noConversion"/>
  </si>
  <si>
    <t>규      격</t>
    <phoneticPr fontId="176" type="noConversion"/>
  </si>
  <si>
    <t>단 위</t>
    <phoneticPr fontId="176" type="noConversion"/>
  </si>
  <si>
    <t>재 료 비</t>
    <phoneticPr fontId="176" type="noConversion"/>
  </si>
  <si>
    <t>비  고</t>
    <phoneticPr fontId="176" type="noConversion"/>
  </si>
  <si>
    <t>단가-1번</t>
    <phoneticPr fontId="16" type="noConversion"/>
  </si>
  <si>
    <t>단가-2번</t>
  </si>
  <si>
    <t>단가-3번</t>
  </si>
  <si>
    <t>단가-4번</t>
  </si>
  <si>
    <t>단가-5번</t>
  </si>
  <si>
    <t>단가-6번</t>
  </si>
  <si>
    <t>단가-7번</t>
  </si>
  <si>
    <t>단가-8번</t>
  </si>
  <si>
    <t>단가-9번</t>
  </si>
  <si>
    <t>단가-10번</t>
  </si>
  <si>
    <t>단가-11번</t>
  </si>
  <si>
    <t>단가-12번</t>
  </si>
  <si>
    <t>단가-13번</t>
  </si>
  <si>
    <t>단가-14번</t>
  </si>
  <si>
    <t>단가-15번</t>
  </si>
  <si>
    <t>단가-16번</t>
  </si>
  <si>
    <t>단가-17번</t>
  </si>
  <si>
    <t>단가-18번</t>
  </si>
  <si>
    <t>단가-19번</t>
  </si>
  <si>
    <t>단가-20번</t>
  </si>
  <si>
    <t>단가-21번</t>
  </si>
  <si>
    <t>단가-22번</t>
  </si>
  <si>
    <t>단가-23번</t>
  </si>
  <si>
    <t>단가-24번</t>
  </si>
  <si>
    <t>단가-25번</t>
  </si>
  <si>
    <t>단가-26번</t>
  </si>
  <si>
    <t>단가-27번</t>
  </si>
  <si>
    <t>단가-28번</t>
  </si>
  <si>
    <t>단가-29번</t>
  </si>
  <si>
    <t>단가-30번</t>
  </si>
  <si>
    <t>단가-31번</t>
  </si>
  <si>
    <t>단가-32번</t>
  </si>
  <si>
    <t>단가-33번</t>
  </si>
  <si>
    <t>단가-34번</t>
  </si>
  <si>
    <t>단가-35번</t>
  </si>
  <si>
    <t>단가-36번</t>
  </si>
  <si>
    <t>단가-37번</t>
  </si>
  <si>
    <t>단가-38번</t>
  </si>
  <si>
    <t>단가-39번</t>
  </si>
  <si>
    <t>단가-40번</t>
  </si>
  <si>
    <t>단가-41번</t>
  </si>
  <si>
    <t>단가-42번</t>
  </si>
  <si>
    <t>단가-43번</t>
  </si>
  <si>
    <t>단가-44번</t>
  </si>
  <si>
    <t>단가-45번</t>
  </si>
  <si>
    <t>단가-46번</t>
  </si>
  <si>
    <t>단가-47번</t>
  </si>
  <si>
    <t>단가-48번</t>
  </si>
  <si>
    <t>단가-49번</t>
  </si>
  <si>
    <t>단가-50번</t>
  </si>
  <si>
    <t>단가-51번</t>
  </si>
  <si>
    <t>단가-52번</t>
  </si>
  <si>
    <t>단가-53번</t>
  </si>
  <si>
    <t>단가-54번</t>
  </si>
  <si>
    <t>단가-55번</t>
  </si>
  <si>
    <t>단가-56번</t>
  </si>
  <si>
    <t>단가-57번</t>
  </si>
  <si>
    <t>단가-58번</t>
  </si>
  <si>
    <t>단가-59번</t>
  </si>
  <si>
    <t>단가-60번</t>
  </si>
  <si>
    <t>단가-61번</t>
  </si>
  <si>
    <t>단가-62번</t>
  </si>
  <si>
    <t>단가-63번</t>
  </si>
  <si>
    <t>단가-64번</t>
  </si>
  <si>
    <t>단가-65번</t>
  </si>
  <si>
    <t>단가-66번</t>
  </si>
  <si>
    <t>단가-67번</t>
  </si>
  <si>
    <t>단가-68번</t>
  </si>
  <si>
    <t>단가-69번</t>
  </si>
  <si>
    <t>단가-70번</t>
  </si>
  <si>
    <t>단가-71번</t>
  </si>
  <si>
    <t>단가-72번</t>
  </si>
  <si>
    <t>단가-73번</t>
  </si>
  <si>
    <t>단가-74번</t>
  </si>
  <si>
    <t>단가-75번</t>
  </si>
  <si>
    <t>단가-76번</t>
  </si>
  <si>
    <t>단가-77번</t>
  </si>
  <si>
    <t>단가-78번</t>
  </si>
  <si>
    <t>단가-79번</t>
  </si>
  <si>
    <t>단가-80번</t>
  </si>
  <si>
    <t>단가-81번</t>
  </si>
  <si>
    <t>단가-82번</t>
  </si>
  <si>
    <t>단가-83번</t>
  </si>
  <si>
    <t>단가-84번</t>
  </si>
  <si>
    <t>단가-85번</t>
  </si>
  <si>
    <t>단가-86번</t>
  </si>
  <si>
    <t>단가-87번</t>
  </si>
  <si>
    <t>단가-88번</t>
  </si>
  <si>
    <t>단가-89번</t>
  </si>
  <si>
    <t>단가-90번</t>
  </si>
  <si>
    <t>단가-91번</t>
  </si>
  <si>
    <t>단가-92번</t>
  </si>
  <si>
    <t>단가-93번</t>
  </si>
  <si>
    <t>단가-94번</t>
  </si>
  <si>
    <t>단가-95번</t>
  </si>
  <si>
    <t>단가-96번</t>
  </si>
  <si>
    <t>단가-97번</t>
  </si>
  <si>
    <t>단가-98번</t>
  </si>
  <si>
    <t>단가-99번</t>
  </si>
  <si>
    <t>단가-100번</t>
  </si>
  <si>
    <t>단가-101번</t>
  </si>
  <si>
    <t>단가-102번</t>
  </si>
  <si>
    <t>단가-103번</t>
  </si>
  <si>
    <t>단가-104번</t>
  </si>
  <si>
    <t>단가-105번</t>
  </si>
  <si>
    <t>단가-106번</t>
  </si>
  <si>
    <t>단가-107번</t>
  </si>
  <si>
    <t>단가-108번</t>
  </si>
  <si>
    <t>단가-109번</t>
  </si>
  <si>
    <t>단가-110번</t>
  </si>
  <si>
    <t>단가-111번</t>
  </si>
  <si>
    <t>단가-112번</t>
  </si>
  <si>
    <t>단가-113번</t>
  </si>
  <si>
    <t>단가-114번</t>
  </si>
  <si>
    <t>단가-115번</t>
  </si>
  <si>
    <t>단가-116번</t>
  </si>
  <si>
    <t>단가-117번</t>
  </si>
  <si>
    <t>단가-118번</t>
  </si>
  <si>
    <t>단가-119번</t>
  </si>
  <si>
    <t>단가-120번</t>
  </si>
  <si>
    <t>단가-121번</t>
  </si>
  <si>
    <t>단가-122번</t>
  </si>
  <si>
    <t>단가-123번</t>
  </si>
  <si>
    <t>단가-124번</t>
  </si>
  <si>
    <t>단가-125번</t>
  </si>
  <si>
    <t>단가-126번</t>
  </si>
  <si>
    <t>단가-127번</t>
  </si>
  <si>
    <t>단가-128번</t>
  </si>
  <si>
    <t>단가-129번</t>
  </si>
  <si>
    <t>단가-130번</t>
  </si>
  <si>
    <t>단가-131번</t>
  </si>
  <si>
    <t>단가-132번</t>
  </si>
  <si>
    <t>단가-133번</t>
  </si>
  <si>
    <t>단가-134번</t>
  </si>
  <si>
    <t>단가-135번</t>
  </si>
  <si>
    <t>단가-136번</t>
  </si>
  <si>
    <t>단가-137번</t>
  </si>
  <si>
    <t>단가-138번</t>
  </si>
  <si>
    <t>단가-139번</t>
  </si>
  <si>
    <t>단가-140번</t>
  </si>
  <si>
    <t>단가-141번</t>
  </si>
  <si>
    <t>단가-142번</t>
  </si>
  <si>
    <t>단가-143번</t>
  </si>
  <si>
    <t>단가-144번</t>
  </si>
  <si>
    <t>단가-145번</t>
  </si>
  <si>
    <t>단가-146번</t>
  </si>
  <si>
    <t>단가-147번</t>
  </si>
  <si>
    <t>단가-148번</t>
  </si>
  <si>
    <t>단가-149번</t>
  </si>
  <si>
    <t>단가-150번</t>
  </si>
  <si>
    <t>단가-151번</t>
  </si>
  <si>
    <t>단가-152번</t>
  </si>
  <si>
    <t>단가-153번</t>
  </si>
  <si>
    <t>단가-154번</t>
  </si>
  <si>
    <t>단가-155번</t>
  </si>
  <si>
    <t>단가-156번</t>
  </si>
  <si>
    <t>단가-157번</t>
  </si>
  <si>
    <t>단가-158번</t>
  </si>
  <si>
    <t>단가-159번</t>
  </si>
  <si>
    <t>단가-160번</t>
  </si>
  <si>
    <t>단가-161번</t>
  </si>
  <si>
    <t>단가-162번</t>
  </si>
  <si>
    <t>단가-163번</t>
  </si>
  <si>
    <t>단가-164번</t>
  </si>
  <si>
    <t>단가-165번</t>
  </si>
  <si>
    <t>단가-166번</t>
  </si>
  <si>
    <t>단가-167번</t>
  </si>
  <si>
    <t>단가-168번</t>
  </si>
  <si>
    <t>단가-169번</t>
  </si>
  <si>
    <t>단가-170번</t>
  </si>
  <si>
    <t>단가-171번</t>
  </si>
  <si>
    <t>단가-172번</t>
  </si>
  <si>
    <t>단가-173번</t>
  </si>
  <si>
    <t>단가-174번</t>
  </si>
  <si>
    <t>단가-175번</t>
  </si>
  <si>
    <t>단가-176번</t>
  </si>
  <si>
    <t>단가-177번</t>
  </si>
  <si>
    <t>단가-178번</t>
  </si>
  <si>
    <t>단가-179번</t>
  </si>
  <si>
    <t>단가-180번</t>
  </si>
  <si>
    <t>단가-181번</t>
  </si>
  <si>
    <t>단가-182번</t>
  </si>
  <si>
    <t>단가-183번</t>
  </si>
  <si>
    <t>단가-184번</t>
  </si>
  <si>
    <t>단가-185번</t>
  </si>
  <si>
    <t>단가-186번</t>
  </si>
  <si>
    <t>단가-187번</t>
  </si>
  <si>
    <t>단가-188번</t>
  </si>
  <si>
    <t>단가-189번</t>
  </si>
  <si>
    <t>단가-190번</t>
  </si>
  <si>
    <t>단가-191번</t>
  </si>
  <si>
    <t>단가-192번</t>
  </si>
  <si>
    <t>단가-193번</t>
  </si>
  <si>
    <t>단가-194번</t>
  </si>
  <si>
    <t>단가-195번</t>
  </si>
  <si>
    <t>단가-196번</t>
  </si>
  <si>
    <t>단가-197번</t>
  </si>
  <si>
    <t>단가-198번</t>
  </si>
  <si>
    <t>단가-199번</t>
  </si>
  <si>
    <t>단가-200번</t>
  </si>
  <si>
    <t>단가-201번</t>
  </si>
  <si>
    <t>단가-202번</t>
  </si>
  <si>
    <t>단가-203번</t>
  </si>
  <si>
    <t>단가-204번</t>
  </si>
  <si>
    <t>단가-205번</t>
  </si>
  <si>
    <t>단가-206번</t>
  </si>
  <si>
    <t>단가-207번</t>
  </si>
  <si>
    <t>단가-208번</t>
  </si>
  <si>
    <t>단가-209번</t>
  </si>
  <si>
    <t>단가-210번</t>
  </si>
  <si>
    <t>단가-211번</t>
  </si>
  <si>
    <t>단가-212번</t>
  </si>
  <si>
    <t>단가-213번</t>
  </si>
  <si>
    <t>단가-214번</t>
  </si>
  <si>
    <t>단가-215번</t>
  </si>
  <si>
    <t>단가-216번</t>
  </si>
  <si>
    <t>단가-217번</t>
  </si>
  <si>
    <t>단가-218번</t>
  </si>
  <si>
    <t>단가-219번</t>
  </si>
  <si>
    <t>단가-220번</t>
  </si>
  <si>
    <t>단가-221번</t>
  </si>
  <si>
    <t>단가-222번</t>
  </si>
  <si>
    <t>단가-223번</t>
  </si>
  <si>
    <t>단가-224번</t>
  </si>
  <si>
    <t>단가-225번</t>
  </si>
  <si>
    <t>단가-226번</t>
  </si>
  <si>
    <t>단가-227번</t>
  </si>
  <si>
    <t>단가-228번</t>
  </si>
  <si>
    <t>단가-229번</t>
  </si>
  <si>
    <t>단가-230번</t>
  </si>
  <si>
    <t>단가-231번</t>
  </si>
  <si>
    <t>단가-232번</t>
  </si>
  <si>
    <t>단가-233번</t>
  </si>
  <si>
    <t>단가-234번</t>
  </si>
  <si>
    <t>단가-235번</t>
  </si>
  <si>
    <t>단가-236번</t>
  </si>
  <si>
    <t>단가-237번</t>
  </si>
  <si>
    <t>단가-238번</t>
  </si>
  <si>
    <t>단가-239번</t>
  </si>
  <si>
    <t>단가-240번</t>
  </si>
  <si>
    <t>단가-241번</t>
  </si>
  <si>
    <t>단가-242번</t>
  </si>
  <si>
    <t>단가-243번</t>
  </si>
  <si>
    <t>단가-244번</t>
  </si>
  <si>
    <t>단가-245번</t>
  </si>
  <si>
    <t>단가-246번</t>
  </si>
  <si>
    <t>단가-247번</t>
  </si>
  <si>
    <t>단가-248번</t>
  </si>
  <si>
    <t>단가-249번</t>
  </si>
  <si>
    <t>단가-250번</t>
  </si>
  <si>
    <t>단가-251번</t>
  </si>
  <si>
    <t>단가-252번</t>
  </si>
  <si>
    <t>단가-253번</t>
  </si>
  <si>
    <t>단가-254번</t>
  </si>
  <si>
    <t>단가-255번</t>
  </si>
  <si>
    <t>단가-256번</t>
  </si>
  <si>
    <t>단가-257번</t>
  </si>
  <si>
    <t>단가-258번</t>
  </si>
  <si>
    <t>단가-259번</t>
  </si>
  <si>
    <t>단가-260번</t>
  </si>
  <si>
    <t>단가-261번</t>
  </si>
  <si>
    <t>단가-262번</t>
  </si>
  <si>
    <t>단가-263번</t>
  </si>
  <si>
    <t>단가-264번</t>
  </si>
  <si>
    <t>단가-265번</t>
  </si>
  <si>
    <t>단가-266번</t>
  </si>
  <si>
    <t>단가-267번</t>
  </si>
  <si>
    <t>단가-268번</t>
  </si>
  <si>
    <t>단가-269번</t>
  </si>
  <si>
    <t>단가-270번</t>
  </si>
  <si>
    <t>단가-271번</t>
  </si>
  <si>
    <t>단가-272번</t>
  </si>
  <si>
    <t>단가-273번</t>
  </si>
  <si>
    <t>단가-274번</t>
  </si>
  <si>
    <t>단가-275번</t>
  </si>
  <si>
    <t>단가-276번</t>
  </si>
  <si>
    <t>단가-277번</t>
  </si>
  <si>
    <t>단가-278번</t>
  </si>
  <si>
    <t>단가-279번</t>
  </si>
  <si>
    <t>단가-280번</t>
  </si>
  <si>
    <t>단가-281번</t>
  </si>
  <si>
    <t>단가-282번</t>
  </si>
  <si>
    <t>단가-283번</t>
  </si>
  <si>
    <t>단가-284번</t>
  </si>
  <si>
    <t>단가-285번</t>
  </si>
  <si>
    <t>단가-286번</t>
  </si>
  <si>
    <t>단가-287번</t>
  </si>
  <si>
    <t>단가-288번</t>
  </si>
  <si>
    <t>단가-289번</t>
  </si>
  <si>
    <t>단가-290번</t>
  </si>
  <si>
    <t>단가-291번</t>
  </si>
  <si>
    <t>단가-292번</t>
  </si>
  <si>
    <t>단가-293번</t>
  </si>
  <si>
    <t>단가-294번</t>
  </si>
  <si>
    <t>단가-295번</t>
  </si>
  <si>
    <t>단가-296번</t>
  </si>
  <si>
    <t>단가-297번</t>
  </si>
  <si>
    <t>단가-298번</t>
  </si>
  <si>
    <t>단가-299번</t>
  </si>
  <si>
    <t>단가-300번</t>
  </si>
  <si>
    <t>단가-301번</t>
  </si>
  <si>
    <t>단가-302번</t>
  </si>
  <si>
    <t>단가-303번</t>
  </si>
  <si>
    <t>단가-304번</t>
  </si>
  <si>
    <t>단가-305번</t>
  </si>
  <si>
    <t>단가-306번</t>
  </si>
  <si>
    <t>단가-307번</t>
  </si>
  <si>
    <t>단가-308번</t>
  </si>
  <si>
    <t>단가-309번</t>
  </si>
  <si>
    <t>단가-310번</t>
  </si>
  <si>
    <t>단가-311번</t>
  </si>
  <si>
    <t>단가-312번</t>
  </si>
  <si>
    <t>단가-313번</t>
  </si>
  <si>
    <t>단가-314번</t>
  </si>
  <si>
    <t>단가-315번</t>
  </si>
  <si>
    <t>단가-316번</t>
  </si>
  <si>
    <t>단가-317번</t>
  </si>
  <si>
    <t>단가-318번</t>
  </si>
  <si>
    <t>단가-319번</t>
  </si>
  <si>
    <t>단가-320번</t>
  </si>
  <si>
    <t>단가-321번</t>
  </si>
  <si>
    <t>단가-322번</t>
  </si>
  <si>
    <t>단가-323번</t>
  </si>
  <si>
    <t>단가-324번</t>
  </si>
  <si>
    <t>단가-325번</t>
  </si>
  <si>
    <t>단가-326번</t>
  </si>
  <si>
    <t>단가-327번</t>
  </si>
  <si>
    <t>단가-328번</t>
  </si>
  <si>
    <t>단가-329번</t>
  </si>
  <si>
    <t>단가-330번</t>
  </si>
  <si>
    <t>단가-331번</t>
  </si>
  <si>
    <t>단가-332번</t>
  </si>
  <si>
    <t>단가-333번</t>
  </si>
  <si>
    <t>단가-334번</t>
  </si>
  <si>
    <t>단가-335번</t>
  </si>
  <si>
    <t>단가-336번</t>
  </si>
  <si>
    <t>단가-337번</t>
  </si>
  <si>
    <t>단가-338번</t>
  </si>
  <si>
    <t>단가-339번</t>
  </si>
  <si>
    <t>단가-340번</t>
  </si>
  <si>
    <t>단가-341번</t>
  </si>
  <si>
    <t>단가-342번</t>
  </si>
  <si>
    <t>단가-343번</t>
  </si>
  <si>
    <t>단가-344번</t>
  </si>
  <si>
    <t>단가-345번</t>
  </si>
  <si>
    <t>단가-346번</t>
  </si>
  <si>
    <t>단가-347번</t>
  </si>
  <si>
    <t>단가-348번</t>
  </si>
  <si>
    <t>단가-349번</t>
  </si>
  <si>
    <t>단가-350번</t>
  </si>
  <si>
    <t>단가-351번</t>
  </si>
  <si>
    <t>단가-352번</t>
  </si>
  <si>
    <t>단가-353번</t>
  </si>
  <si>
    <t>단가-354번</t>
  </si>
  <si>
    <t>단가-355번</t>
  </si>
  <si>
    <t>단가-356번</t>
  </si>
  <si>
    <t>단가-357번</t>
  </si>
  <si>
    <t>단가-358번</t>
  </si>
  <si>
    <t>단가-359번</t>
  </si>
  <si>
    <t>단가-360번</t>
  </si>
  <si>
    <t>단가-361번</t>
  </si>
  <si>
    <t>단가-362번</t>
  </si>
  <si>
    <t>단가-363번</t>
  </si>
  <si>
    <t>단가-364번</t>
  </si>
  <si>
    <t>단가-365번</t>
  </si>
  <si>
    <t>단가-366번</t>
  </si>
  <si>
    <t>단가-367번</t>
  </si>
  <si>
    <t>단가-368번</t>
  </si>
  <si>
    <t>단가-369번</t>
  </si>
  <si>
    <t>단가-370번</t>
  </si>
  <si>
    <t>단가-371번</t>
  </si>
  <si>
    <t>단가-372번</t>
  </si>
  <si>
    <t>단가-373번</t>
  </si>
  <si>
    <t>단가-374번</t>
  </si>
  <si>
    <t>단가-375번</t>
  </si>
  <si>
    <t>단가-376번</t>
  </si>
  <si>
    <t>단가-377번</t>
  </si>
  <si>
    <t>단가-378번</t>
  </si>
  <si>
    <t>단가-379번</t>
  </si>
  <si>
    <t>단가-380번</t>
  </si>
  <si>
    <t>단가-381번</t>
  </si>
  <si>
    <t>단가-382번</t>
  </si>
  <si>
    <t>단가-383번</t>
  </si>
  <si>
    <t>단가-384번</t>
  </si>
  <si>
    <t>단가-385번</t>
  </si>
  <si>
    <t>단가-386번</t>
  </si>
  <si>
    <t>단가-387번</t>
  </si>
  <si>
    <t>단가-388번</t>
  </si>
  <si>
    <t>단가-389번</t>
  </si>
  <si>
    <t>단가-390번</t>
  </si>
  <si>
    <t>단가-391번</t>
  </si>
  <si>
    <t>단가-392번</t>
  </si>
  <si>
    <t>단가-393번</t>
  </si>
  <si>
    <t>단가-394번</t>
  </si>
  <si>
    <t>단가-395번</t>
  </si>
  <si>
    <t>단가-396번</t>
  </si>
  <si>
    <t>단가-397번</t>
  </si>
  <si>
    <t>단가-398번</t>
  </si>
  <si>
    <t>단가-399번</t>
  </si>
  <si>
    <t>단가-400번</t>
  </si>
  <si>
    <t>단가-401번</t>
  </si>
  <si>
    <t>단가-402번</t>
  </si>
  <si>
    <t>단가-403번</t>
  </si>
  <si>
    <t>단가-404번</t>
  </si>
  <si>
    <t>단가-405번</t>
  </si>
  <si>
    <t>단가-406번</t>
  </si>
  <si>
    <t>단가-407번</t>
  </si>
  <si>
    <t>단가-408번</t>
  </si>
  <si>
    <t>단가-409번</t>
  </si>
  <si>
    <t>단가-410번</t>
  </si>
  <si>
    <t>단가-411번</t>
  </si>
  <si>
    <t>단가-412번</t>
  </si>
  <si>
    <t>단가-413번</t>
  </si>
  <si>
    <t>단가-414번</t>
  </si>
  <si>
    <t>단가-415번</t>
  </si>
  <si>
    <t>단가-416번</t>
  </si>
  <si>
    <t>단가-417번</t>
  </si>
  <si>
    <t>단가-418번</t>
  </si>
  <si>
    <t>단가-419번</t>
  </si>
  <si>
    <t>단가-420번</t>
  </si>
  <si>
    <t>단가-421번</t>
  </si>
  <si>
    <t>단가-422번</t>
  </si>
  <si>
    <t>단가-423번</t>
  </si>
  <si>
    <t>단가-424번</t>
  </si>
  <si>
    <t>단가-425번</t>
  </si>
  <si>
    <t>단가-426번</t>
  </si>
  <si>
    <t>단가-427번</t>
  </si>
  <si>
    <t>단가-428번</t>
  </si>
  <si>
    <t>단가-429번</t>
  </si>
  <si>
    <t>단가-430번</t>
  </si>
  <si>
    <t>단가-431번</t>
  </si>
  <si>
    <t>단가-432번</t>
  </si>
  <si>
    <t>단가-433번</t>
  </si>
  <si>
    <t>단가-434번</t>
  </si>
  <si>
    <t>단가-435번</t>
  </si>
  <si>
    <t>단가-436번</t>
  </si>
  <si>
    <t>단가-437번</t>
  </si>
  <si>
    <t>단가-438번</t>
  </si>
  <si>
    <t>단가-439번</t>
  </si>
  <si>
    <t>단가-440번</t>
  </si>
  <si>
    <t>단가-441번</t>
  </si>
  <si>
    <t>단가-442번</t>
  </si>
  <si>
    <t>단가-443번</t>
  </si>
  <si>
    <t>단가-444번</t>
  </si>
  <si>
    <t>단가-445번</t>
  </si>
  <si>
    <t>단가-446번</t>
  </si>
  <si>
    <t>단가-447번</t>
  </si>
  <si>
    <t>단가-448번</t>
  </si>
  <si>
    <t>단가-449번</t>
  </si>
  <si>
    <t>단가-450번</t>
  </si>
  <si>
    <t>단가-451번</t>
  </si>
  <si>
    <t>단가-452번</t>
  </si>
  <si>
    <t>단가-453번</t>
  </si>
  <si>
    <t>단가-454번</t>
  </si>
  <si>
    <t>단가-455번</t>
  </si>
  <si>
    <t>단가-456번</t>
  </si>
  <si>
    <t>단가-457번</t>
  </si>
  <si>
    <t>단가-458번</t>
  </si>
  <si>
    <t>단가-459번</t>
  </si>
  <si>
    <t>단가-460번</t>
  </si>
  <si>
    <t>단가-461번</t>
  </si>
  <si>
    <t>단가-462번</t>
  </si>
  <si>
    <t>단가-463번</t>
  </si>
  <si>
    <t>단가-464번</t>
  </si>
  <si>
    <t>단가-465번</t>
  </si>
  <si>
    <t>단가-466번</t>
  </si>
  <si>
    <t>단가-467번</t>
  </si>
  <si>
    <t>단가-468번</t>
  </si>
  <si>
    <r>
      <rPr>
        <b/>
        <sz val="22"/>
        <rFont val="맑은 고딕"/>
        <family val="3"/>
        <charset val="129"/>
      </rPr>
      <t>일</t>
    </r>
    <r>
      <rPr>
        <b/>
        <sz val="22"/>
        <rFont val="Arial"/>
        <family val="2"/>
      </rPr>
      <t xml:space="preserve">  </t>
    </r>
    <r>
      <rPr>
        <b/>
        <sz val="22"/>
        <rFont val="맑은 고딕"/>
        <family val="3"/>
        <charset val="129"/>
      </rPr>
      <t>위</t>
    </r>
    <r>
      <rPr>
        <b/>
        <sz val="22"/>
        <rFont val="Arial"/>
        <family val="2"/>
      </rPr>
      <t xml:space="preserve">  </t>
    </r>
    <r>
      <rPr>
        <b/>
        <sz val="22"/>
        <rFont val="맑은 고딕"/>
        <family val="3"/>
        <charset val="129"/>
      </rPr>
      <t>대</t>
    </r>
    <r>
      <rPr>
        <b/>
        <sz val="22"/>
        <rFont val="Arial"/>
        <family val="2"/>
      </rPr>
      <t xml:space="preserve">  </t>
    </r>
    <r>
      <rPr>
        <b/>
        <sz val="22"/>
        <rFont val="맑은 고딕"/>
        <family val="3"/>
        <charset val="129"/>
      </rPr>
      <t>가</t>
    </r>
    <r>
      <rPr>
        <b/>
        <sz val="22"/>
        <rFont val="Arial"/>
        <family val="2"/>
      </rPr>
      <t xml:space="preserve">  </t>
    </r>
    <r>
      <rPr>
        <b/>
        <sz val="22"/>
        <rFont val="맑은 고딕"/>
        <family val="3"/>
        <charset val="129"/>
      </rPr>
      <t>표</t>
    </r>
    <phoneticPr fontId="16" type="noConversion"/>
  </si>
  <si>
    <r>
      <rPr>
        <b/>
        <sz val="11"/>
        <rFont val="맑은 고딕"/>
        <family val="3"/>
        <charset val="129"/>
      </rPr>
      <t>번호</t>
    </r>
  </si>
  <si>
    <r>
      <rPr>
        <b/>
        <sz val="11"/>
        <rFont val="맑은 고딕"/>
        <family val="3"/>
        <charset val="129"/>
      </rPr>
      <t>명</t>
    </r>
    <r>
      <rPr>
        <b/>
        <sz val="11"/>
        <rFont val="Arial"/>
        <family val="2"/>
      </rPr>
      <t xml:space="preserve">     </t>
    </r>
    <r>
      <rPr>
        <b/>
        <sz val="11"/>
        <rFont val="맑은 고딕"/>
        <family val="3"/>
        <charset val="129"/>
      </rPr>
      <t>칭</t>
    </r>
    <phoneticPr fontId="16" type="noConversion"/>
  </si>
  <si>
    <r>
      <rPr>
        <b/>
        <sz val="11"/>
        <rFont val="맑은 고딕"/>
        <family val="3"/>
        <charset val="129"/>
      </rPr>
      <t>규</t>
    </r>
    <r>
      <rPr>
        <b/>
        <sz val="11"/>
        <rFont val="Arial"/>
        <family val="2"/>
      </rPr>
      <t xml:space="preserve">    </t>
    </r>
    <r>
      <rPr>
        <b/>
        <sz val="11"/>
        <rFont val="맑은 고딕"/>
        <family val="3"/>
        <charset val="129"/>
      </rPr>
      <t>격</t>
    </r>
  </si>
  <si>
    <r>
      <rPr>
        <b/>
        <sz val="11"/>
        <rFont val="맑은 고딕"/>
        <family val="3"/>
        <charset val="129"/>
      </rPr>
      <t>구분</t>
    </r>
    <phoneticPr fontId="16" type="noConversion"/>
  </si>
  <si>
    <r>
      <rPr>
        <b/>
        <sz val="11"/>
        <rFont val="맑은 고딕"/>
        <family val="3"/>
        <charset val="129"/>
      </rPr>
      <t>단위</t>
    </r>
  </si>
  <si>
    <r>
      <rPr>
        <b/>
        <sz val="11"/>
        <rFont val="맑은 고딕"/>
        <family val="3"/>
        <charset val="129"/>
      </rPr>
      <t>수</t>
    </r>
    <r>
      <rPr>
        <b/>
        <sz val="11"/>
        <rFont val="Arial"/>
        <family val="2"/>
      </rPr>
      <t xml:space="preserve"> </t>
    </r>
    <r>
      <rPr>
        <b/>
        <sz val="11"/>
        <rFont val="맑은 고딕"/>
        <family val="3"/>
        <charset val="129"/>
      </rPr>
      <t>량</t>
    </r>
  </si>
  <si>
    <r>
      <rPr>
        <b/>
        <sz val="11"/>
        <rFont val="맑은 고딕"/>
        <family val="3"/>
        <charset val="129"/>
      </rPr>
      <t>재</t>
    </r>
    <r>
      <rPr>
        <b/>
        <sz val="11"/>
        <rFont val="Arial"/>
        <family val="2"/>
      </rPr>
      <t xml:space="preserve">  </t>
    </r>
    <r>
      <rPr>
        <b/>
        <sz val="11"/>
        <rFont val="맑은 고딕"/>
        <family val="3"/>
        <charset val="129"/>
      </rPr>
      <t>료</t>
    </r>
    <r>
      <rPr>
        <b/>
        <sz val="11"/>
        <rFont val="Arial"/>
        <family val="2"/>
      </rPr>
      <t xml:space="preserve">  </t>
    </r>
    <r>
      <rPr>
        <b/>
        <sz val="11"/>
        <rFont val="맑은 고딕"/>
        <family val="3"/>
        <charset val="129"/>
      </rPr>
      <t>비</t>
    </r>
    <phoneticPr fontId="176" type="noConversion"/>
  </si>
  <si>
    <r>
      <rPr>
        <b/>
        <sz val="11"/>
        <rFont val="맑은 고딕"/>
        <family val="3"/>
        <charset val="129"/>
      </rPr>
      <t>노</t>
    </r>
    <r>
      <rPr>
        <b/>
        <sz val="11"/>
        <rFont val="Arial"/>
        <family val="2"/>
      </rPr>
      <t xml:space="preserve">  </t>
    </r>
    <r>
      <rPr>
        <b/>
        <sz val="11"/>
        <rFont val="맑은 고딕"/>
        <family val="3"/>
        <charset val="129"/>
      </rPr>
      <t>무</t>
    </r>
    <r>
      <rPr>
        <b/>
        <sz val="11"/>
        <rFont val="Arial"/>
        <family val="2"/>
      </rPr>
      <t xml:space="preserve">  </t>
    </r>
    <r>
      <rPr>
        <b/>
        <sz val="11"/>
        <rFont val="맑은 고딕"/>
        <family val="3"/>
        <charset val="129"/>
      </rPr>
      <t>비</t>
    </r>
    <phoneticPr fontId="176" type="noConversion"/>
  </si>
  <si>
    <r>
      <rPr>
        <b/>
        <sz val="11"/>
        <rFont val="맑은 고딕"/>
        <family val="3"/>
        <charset val="129"/>
      </rPr>
      <t>계</t>
    </r>
  </si>
  <si>
    <r>
      <rPr>
        <b/>
        <sz val="11"/>
        <rFont val="맑은 고딕"/>
        <family val="3"/>
        <charset val="129"/>
      </rPr>
      <t>비</t>
    </r>
    <r>
      <rPr>
        <b/>
        <sz val="11"/>
        <rFont val="Arial"/>
        <family val="2"/>
      </rPr>
      <t xml:space="preserve">   </t>
    </r>
    <r>
      <rPr>
        <b/>
        <sz val="11"/>
        <rFont val="맑은 고딕"/>
        <family val="3"/>
        <charset val="129"/>
      </rPr>
      <t>고</t>
    </r>
  </si>
  <si>
    <r>
      <rPr>
        <b/>
        <sz val="11"/>
        <rFont val="맑은 고딕"/>
        <family val="3"/>
        <charset val="129"/>
      </rPr>
      <t>단</t>
    </r>
    <r>
      <rPr>
        <b/>
        <sz val="11"/>
        <rFont val="Arial"/>
        <family val="2"/>
      </rPr>
      <t xml:space="preserve">   </t>
    </r>
    <r>
      <rPr>
        <b/>
        <sz val="11"/>
        <rFont val="맑은 고딕"/>
        <family val="3"/>
        <charset val="129"/>
      </rPr>
      <t>가</t>
    </r>
  </si>
  <si>
    <r>
      <rPr>
        <b/>
        <sz val="11"/>
        <rFont val="맑은 고딕"/>
        <family val="3"/>
        <charset val="129"/>
      </rPr>
      <t>금</t>
    </r>
    <r>
      <rPr>
        <b/>
        <sz val="11"/>
        <rFont val="Arial"/>
        <family val="2"/>
      </rPr>
      <t xml:space="preserve">    </t>
    </r>
    <r>
      <rPr>
        <b/>
        <sz val="11"/>
        <rFont val="맑은 고딕"/>
        <family val="3"/>
        <charset val="129"/>
      </rPr>
      <t>액</t>
    </r>
  </si>
  <si>
    <r>
      <rPr>
        <sz val="11"/>
        <rFont val="맑은 고딕"/>
        <family val="3"/>
        <charset val="129"/>
      </rPr>
      <t>철구조물가공조립</t>
    </r>
  </si>
  <si>
    <r>
      <rPr>
        <sz val="11"/>
        <rFont val="맑은 고딕"/>
        <family val="3"/>
        <charset val="129"/>
      </rPr>
      <t>용접봉</t>
    </r>
  </si>
  <si>
    <t>2.6mm(CR-13)</t>
  </si>
  <si>
    <r>
      <rPr>
        <sz val="11"/>
        <rFont val="맑은 고딕"/>
        <family val="3"/>
        <charset val="129"/>
      </rPr>
      <t>산소</t>
    </r>
  </si>
  <si>
    <t>99%</t>
  </si>
  <si>
    <r>
      <rPr>
        <sz val="11"/>
        <rFont val="맑은 고딕"/>
        <family val="3"/>
        <charset val="129"/>
      </rPr>
      <t>아세틸렌</t>
    </r>
  </si>
  <si>
    <r>
      <rPr>
        <sz val="11"/>
        <rFont val="맑은 고딕"/>
        <family val="3"/>
        <charset val="129"/>
      </rPr>
      <t>전력소요량</t>
    </r>
  </si>
  <si>
    <t>KWH</t>
  </si>
  <si>
    <r>
      <rPr>
        <sz val="11"/>
        <rFont val="맑은 고딕"/>
        <family val="3"/>
        <charset val="129"/>
      </rPr>
      <t>철공</t>
    </r>
    <phoneticPr fontId="16" type="noConversion"/>
  </si>
  <si>
    <r>
      <rPr>
        <sz val="11"/>
        <rFont val="맑은 고딕"/>
        <family val="3"/>
        <charset val="129"/>
      </rPr>
      <t>인</t>
    </r>
    <phoneticPr fontId="16" type="noConversion"/>
  </si>
  <si>
    <r>
      <rPr>
        <sz val="11"/>
        <rFont val="맑은 고딕"/>
        <family val="3"/>
        <charset val="129"/>
      </rPr>
      <t>보통인부</t>
    </r>
    <phoneticPr fontId="16" type="noConversion"/>
  </si>
  <si>
    <r>
      <rPr>
        <sz val="11"/>
        <rFont val="맑은 고딕"/>
        <family val="3"/>
        <charset val="129"/>
      </rPr>
      <t>인</t>
    </r>
  </si>
  <si>
    <r>
      <rPr>
        <sz val="11"/>
        <rFont val="맑은 고딕"/>
        <family val="3"/>
        <charset val="129"/>
      </rPr>
      <t>용접공</t>
    </r>
    <phoneticPr fontId="16" type="noConversion"/>
  </si>
  <si>
    <r>
      <rPr>
        <sz val="11"/>
        <rFont val="맑은 고딕"/>
        <family val="3"/>
        <charset val="129"/>
      </rPr>
      <t>특별인부</t>
    </r>
    <phoneticPr fontId="16" type="noConversion"/>
  </si>
  <si>
    <r>
      <rPr>
        <sz val="11"/>
        <rFont val="맑은 고딕"/>
        <family val="3"/>
        <charset val="129"/>
      </rPr>
      <t>기구손료</t>
    </r>
  </si>
  <si>
    <r>
      <rPr>
        <sz val="11"/>
        <rFont val="맑은 고딕"/>
        <family val="3"/>
        <charset val="129"/>
      </rPr>
      <t>인건비의</t>
    </r>
    <r>
      <rPr>
        <sz val="11"/>
        <rFont val="Arial"/>
        <family val="2"/>
      </rPr>
      <t>3%</t>
    </r>
  </si>
  <si>
    <r>
      <rPr>
        <sz val="11"/>
        <rFont val="맑은 고딕"/>
        <family val="3"/>
        <charset val="129"/>
      </rPr>
      <t>식</t>
    </r>
  </si>
  <si>
    <r>
      <rPr>
        <sz val="11"/>
        <rFont val="맑은 고딕"/>
        <family val="3"/>
        <charset val="129"/>
      </rPr>
      <t>소계</t>
    </r>
    <r>
      <rPr>
        <sz val="11"/>
        <rFont val="Arial"/>
        <family val="2"/>
      </rPr>
      <t xml:space="preserve"> (TON</t>
    </r>
    <r>
      <rPr>
        <sz val="11"/>
        <rFont val="맑은 고딕"/>
        <family val="3"/>
        <charset val="129"/>
      </rPr>
      <t>당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단가</t>
    </r>
    <r>
      <rPr>
        <sz val="11"/>
        <rFont val="Arial"/>
        <family val="2"/>
      </rPr>
      <t>)</t>
    </r>
    <phoneticPr fontId="16" type="noConversion"/>
  </si>
  <si>
    <r>
      <t>KG</t>
    </r>
    <r>
      <rPr>
        <sz val="11"/>
        <rFont val="맑은 고딕"/>
        <family val="3"/>
        <charset val="129"/>
      </rPr>
      <t>당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단가</t>
    </r>
    <phoneticPr fontId="16" type="noConversion"/>
  </si>
  <si>
    <r>
      <rPr>
        <sz val="11"/>
        <rFont val="맑은 고딕"/>
        <family val="3"/>
        <charset val="129"/>
      </rPr>
      <t>잡철물제작설치</t>
    </r>
    <phoneticPr fontId="176" type="noConversion"/>
  </si>
  <si>
    <r>
      <rPr>
        <sz val="11"/>
        <rFont val="맑은 고딕"/>
        <family val="3"/>
        <charset val="129"/>
      </rPr>
      <t>보통기준</t>
    </r>
    <phoneticPr fontId="16" type="noConversion"/>
  </si>
  <si>
    <r>
      <rPr>
        <sz val="11"/>
        <rFont val="맑은 고딕"/>
        <family val="3"/>
        <charset val="129"/>
      </rPr>
      <t>용접기</t>
    </r>
    <phoneticPr fontId="16" type="noConversion"/>
  </si>
  <si>
    <r>
      <rPr>
        <sz val="11"/>
        <rFont val="맑은 고딕"/>
        <family val="3"/>
        <charset val="129"/>
      </rPr>
      <t>교류</t>
    </r>
    <r>
      <rPr>
        <sz val="11"/>
        <rFont val="Arial"/>
        <family val="2"/>
      </rPr>
      <t xml:space="preserve"> 500AMP</t>
    </r>
  </si>
  <si>
    <t>HR</t>
    <phoneticPr fontId="49" type="noConversion"/>
  </si>
  <si>
    <r>
      <rPr>
        <sz val="11"/>
        <rFont val="맑은 고딕"/>
        <family val="3"/>
        <charset val="129"/>
      </rPr>
      <t>절곡원</t>
    </r>
    <phoneticPr fontId="16" type="noConversion"/>
  </si>
  <si>
    <r>
      <rPr>
        <sz val="11"/>
        <rFont val="맑은 고딕"/>
        <family val="3"/>
        <charset val="129"/>
      </rPr>
      <t>인</t>
    </r>
    <phoneticPr fontId="16" type="noConversion"/>
  </si>
  <si>
    <r>
      <rPr>
        <sz val="11"/>
        <rFont val="맑은 고딕"/>
        <family val="3"/>
        <charset val="129"/>
      </rPr>
      <t>보통인부</t>
    </r>
    <phoneticPr fontId="16" type="noConversion"/>
  </si>
  <si>
    <r>
      <rPr>
        <sz val="11"/>
        <rFont val="맑은 고딕"/>
        <family val="3"/>
        <charset val="129"/>
      </rPr>
      <t>소계</t>
    </r>
    <r>
      <rPr>
        <sz val="11"/>
        <rFont val="Arial"/>
        <family val="2"/>
      </rPr>
      <t>(Ton</t>
    </r>
    <r>
      <rPr>
        <sz val="11"/>
        <rFont val="맑은 고딕"/>
        <family val="3"/>
        <charset val="129"/>
      </rPr>
      <t>당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단가</t>
    </r>
    <r>
      <rPr>
        <sz val="11"/>
        <rFont val="Arial"/>
        <family val="2"/>
      </rPr>
      <t>)</t>
    </r>
    <phoneticPr fontId="16" type="noConversion"/>
  </si>
  <si>
    <r>
      <t xml:space="preserve">KG </t>
    </r>
    <r>
      <rPr>
        <sz val="11"/>
        <rFont val="맑은 고딕"/>
        <family val="3"/>
        <charset val="129"/>
      </rPr>
      <t>당</t>
    </r>
    <r>
      <rPr>
        <sz val="11"/>
        <rFont val="Arial"/>
        <family val="2"/>
      </rPr>
      <t xml:space="preserve">  </t>
    </r>
    <r>
      <rPr>
        <sz val="11"/>
        <rFont val="맑은 고딕"/>
        <family val="3"/>
        <charset val="129"/>
      </rPr>
      <t>단가</t>
    </r>
    <phoneticPr fontId="16" type="noConversion"/>
  </si>
  <si>
    <r>
      <rPr>
        <sz val="11"/>
        <rFont val="맑은 고딕"/>
        <family val="3"/>
        <charset val="129"/>
      </rPr>
      <t>복잡기준</t>
    </r>
    <phoneticPr fontId="16" type="noConversion"/>
  </si>
  <si>
    <r>
      <rPr>
        <sz val="11"/>
        <rFont val="맑은 고딕"/>
        <family val="3"/>
        <charset val="129"/>
      </rPr>
      <t>잡철물설치</t>
    </r>
    <phoneticPr fontId="176" type="noConversion"/>
  </si>
  <si>
    <t>T1.2 GALV.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</si>
  <si>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T1.2mm = 7.75KG/M2</t>
    </r>
    <phoneticPr fontId="16" type="noConversion"/>
  </si>
  <si>
    <t>T1.5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</si>
  <si>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T1.5mm = 9.42KG/M2</t>
    </r>
    <phoneticPr fontId="16" type="noConversion"/>
  </si>
  <si>
    <t>T1.6 GALV.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</si>
  <si>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T1.6mm = 12.75KG/M2</t>
    </r>
    <phoneticPr fontId="16" type="noConversion"/>
  </si>
  <si>
    <t>T2.0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</si>
  <si>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T2.0mm = 15.71KG/M2</t>
    </r>
    <phoneticPr fontId="16" type="noConversion"/>
  </si>
  <si>
    <t>T2.3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</si>
  <si>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T2.3mm = 18.07KG/M2</t>
    </r>
    <phoneticPr fontId="16" type="noConversion"/>
  </si>
  <si>
    <t>T3.2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</si>
  <si>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T3.2mm = 25.13KG/M2</t>
    </r>
    <phoneticPr fontId="16" type="noConversion"/>
  </si>
  <si>
    <t>T4.0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</si>
  <si>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T4.0mm = 31.39KG/M2</t>
    </r>
    <phoneticPr fontId="16" type="noConversion"/>
  </si>
  <si>
    <t>T5.0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</si>
  <si>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T5.0mm = 39.39KG/M2</t>
    </r>
    <phoneticPr fontId="16" type="noConversion"/>
  </si>
  <si>
    <r>
      <rPr>
        <sz val="11"/>
        <rFont val="맑은 고딕"/>
        <family val="3"/>
        <charset val="129"/>
      </rPr>
      <t>절단가공</t>
    </r>
    <phoneticPr fontId="176" type="noConversion"/>
  </si>
  <si>
    <t>M</t>
    <phoneticPr fontId="16" type="noConversion"/>
  </si>
  <si>
    <r>
      <rPr>
        <sz val="11"/>
        <rFont val="맑은 고딕"/>
        <family val="3"/>
        <charset val="129"/>
      </rPr>
      <t>절단원</t>
    </r>
    <phoneticPr fontId="16" type="noConversion"/>
  </si>
  <si>
    <r>
      <rPr>
        <sz val="11"/>
        <rFont val="맑은 고딕"/>
        <family val="3"/>
        <charset val="129"/>
      </rPr>
      <t>소계</t>
    </r>
  </si>
  <si>
    <r>
      <t xml:space="preserve">* 4'*8' </t>
    </r>
    <r>
      <rPr>
        <sz val="11"/>
        <rFont val="맑은 고딕"/>
        <family val="3"/>
        <charset val="129"/>
      </rPr>
      <t>철판기준으로</t>
    </r>
    <r>
      <rPr>
        <sz val="11"/>
        <rFont val="Arial"/>
        <family val="2"/>
      </rPr>
      <t xml:space="preserve"> 3</t>
    </r>
    <r>
      <rPr>
        <sz val="11"/>
        <rFont val="맑은 고딕"/>
        <family val="3"/>
        <charset val="129"/>
      </rPr>
      <t>개소</t>
    </r>
    <r>
      <rPr>
        <sz val="11"/>
        <rFont val="Arial"/>
        <family val="2"/>
      </rPr>
      <t>*1.21+3</t>
    </r>
    <r>
      <rPr>
        <sz val="11"/>
        <rFont val="맑은 고딕"/>
        <family val="3"/>
        <charset val="129"/>
      </rPr>
      <t>개소</t>
    </r>
    <r>
      <rPr>
        <sz val="11"/>
        <rFont val="Arial"/>
        <family val="2"/>
      </rPr>
      <t xml:space="preserve">*2.42M= 10.89M  </t>
    </r>
    <r>
      <rPr>
        <sz val="11"/>
        <rFont val="맑은 고딕"/>
        <family val="3"/>
        <charset val="129"/>
      </rPr>
      <t>운반소요시간은</t>
    </r>
    <r>
      <rPr>
        <sz val="11"/>
        <rFont val="Arial"/>
        <family val="2"/>
      </rPr>
      <t xml:space="preserve"> 2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+ </t>
    </r>
    <r>
      <rPr>
        <sz val="11"/>
        <rFont val="맑은 고딕"/>
        <family val="3"/>
        <charset val="129"/>
      </rPr>
      <t>절단소요시간</t>
    </r>
    <r>
      <rPr>
        <sz val="11"/>
        <rFont val="Arial"/>
        <family val="2"/>
      </rPr>
      <t xml:space="preserve"> 28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+</t>
    </r>
    <r>
      <rPr>
        <sz val="11"/>
        <rFont val="맑은 고딕"/>
        <family val="3"/>
        <charset val="129"/>
      </rPr>
      <t>각도펀칭</t>
    </r>
    <r>
      <rPr>
        <sz val="11"/>
        <rFont val="Arial"/>
        <family val="2"/>
      </rPr>
      <t>10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=40</t>
    </r>
    <r>
      <rPr>
        <sz val="11"/>
        <rFont val="맑은 고딕"/>
        <family val="3"/>
        <charset val="129"/>
      </rPr>
      <t>분</t>
    </r>
    <phoneticPr fontId="176" type="noConversion"/>
  </si>
  <si>
    <r>
      <rPr>
        <sz val="11"/>
        <rFont val="맑은 고딕"/>
        <family val="3"/>
        <charset val="129"/>
      </rPr>
      <t>그러므로</t>
    </r>
    <r>
      <rPr>
        <sz val="11"/>
        <rFont val="Arial"/>
        <family val="2"/>
      </rPr>
      <t xml:space="preserve"> 40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/10.89M=3.673</t>
    </r>
    <r>
      <rPr>
        <sz val="11"/>
        <rFont val="맑은 고딕"/>
        <family val="3"/>
        <charset val="129"/>
      </rPr>
      <t>분</t>
    </r>
    <phoneticPr fontId="176" type="noConversion"/>
  </si>
  <si>
    <t>*3.673/480=0.008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</si>
  <si>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120%</t>
    </r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</si>
  <si>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140%</t>
    </r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</si>
  <si>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150%</t>
    </r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</si>
  <si>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180%</t>
    </r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</si>
  <si>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200%</t>
    </r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</si>
  <si>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220%</t>
    </r>
    <phoneticPr fontId="16" type="noConversion"/>
  </si>
  <si>
    <t>T8.0 ST'L</t>
    <phoneticPr fontId="16" type="noConversion"/>
  </si>
  <si>
    <t>M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</si>
  <si>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240%</t>
    </r>
    <phoneticPr fontId="16" type="noConversion"/>
  </si>
  <si>
    <r>
      <rPr>
        <sz val="11"/>
        <rFont val="맑은 고딕"/>
        <family val="3"/>
        <charset val="129"/>
      </rPr>
      <t>절단가공</t>
    </r>
    <phoneticPr fontId="176" type="noConversion"/>
  </si>
  <si>
    <t>T1.2 S ST'L.</t>
    <phoneticPr fontId="16" type="noConversion"/>
  </si>
  <si>
    <t>M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</si>
  <si>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200%</t>
    </r>
    <phoneticPr fontId="16" type="noConversion"/>
  </si>
  <si>
    <r>
      <rPr>
        <sz val="11"/>
        <rFont val="맑은 고딕"/>
        <family val="3"/>
        <charset val="129"/>
      </rPr>
      <t>프레나가공</t>
    </r>
    <phoneticPr fontId="176" type="noConversion"/>
  </si>
  <si>
    <t>T1.2 GALV.</t>
    <phoneticPr fontId="16" type="noConversion"/>
  </si>
  <si>
    <t>M</t>
    <phoneticPr fontId="16" type="noConversion"/>
  </si>
  <si>
    <r>
      <rPr>
        <sz val="11"/>
        <rFont val="맑은 고딕"/>
        <family val="3"/>
        <charset val="129"/>
      </rPr>
      <t>프레나기조작원</t>
    </r>
    <phoneticPr fontId="16" type="noConversion"/>
  </si>
  <si>
    <r>
      <rPr>
        <sz val="11"/>
        <rFont val="맑은 고딕"/>
        <family val="3"/>
        <charset val="129"/>
      </rPr>
      <t>보통인부</t>
    </r>
    <phoneticPr fontId="16" type="noConversion"/>
  </si>
  <si>
    <r>
      <t xml:space="preserve">*T 1.2 </t>
    </r>
    <r>
      <rPr>
        <sz val="11"/>
        <rFont val="맑은 고딕"/>
        <family val="3"/>
        <charset val="129"/>
      </rPr>
      <t>프레나가공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홈깊이</t>
    </r>
    <r>
      <rPr>
        <sz val="11"/>
        <rFont val="Arial"/>
        <family val="2"/>
      </rPr>
      <t xml:space="preserve">0.6M/M  </t>
    </r>
    <r>
      <rPr>
        <sz val="11"/>
        <rFont val="맑은 고딕"/>
        <family val="3"/>
        <charset val="129"/>
      </rPr>
      <t>프레나기기</t>
    </r>
    <r>
      <rPr>
        <sz val="11"/>
        <rFont val="Arial"/>
        <family val="2"/>
      </rPr>
      <t xml:space="preserve"> 1</t>
    </r>
    <r>
      <rPr>
        <sz val="11"/>
        <rFont val="맑은 고딕"/>
        <family val="3"/>
        <charset val="129"/>
      </rPr>
      <t>회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왕복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소요시간</t>
    </r>
    <r>
      <rPr>
        <sz val="11"/>
        <rFont val="Arial"/>
        <family val="2"/>
      </rPr>
      <t xml:space="preserve"> 26</t>
    </r>
    <r>
      <rPr>
        <sz val="11"/>
        <rFont val="맑은 고딕"/>
        <family val="3"/>
        <charset val="129"/>
      </rPr>
      <t>초</t>
    </r>
    <r>
      <rPr>
        <sz val="11"/>
        <rFont val="Arial"/>
        <family val="2"/>
      </rPr>
      <t xml:space="preserve"> + </t>
    </r>
    <r>
      <rPr>
        <sz val="11"/>
        <rFont val="맑은 고딕"/>
        <family val="3"/>
        <charset val="129"/>
      </rPr>
      <t>대칭왕복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소요시간</t>
    </r>
    <r>
      <rPr>
        <sz val="11"/>
        <rFont val="Arial"/>
        <family val="2"/>
      </rPr>
      <t xml:space="preserve"> 34</t>
    </r>
    <r>
      <rPr>
        <sz val="11"/>
        <rFont val="맑은 고딕"/>
        <family val="3"/>
        <charset val="129"/>
      </rPr>
      <t>초</t>
    </r>
  </si>
  <si>
    <r>
      <rPr>
        <sz val="11"/>
        <rFont val="맑은 고딕"/>
        <family val="3"/>
        <charset val="129"/>
      </rPr>
      <t>그러므로</t>
    </r>
    <r>
      <rPr>
        <sz val="11"/>
        <rFont val="Arial"/>
        <family val="2"/>
      </rPr>
      <t xml:space="preserve"> 4'*8'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 xml:space="preserve"> 1</t>
    </r>
    <r>
      <rPr>
        <sz val="11"/>
        <rFont val="맑은 고딕"/>
        <family val="3"/>
        <charset val="129"/>
      </rPr>
      <t>회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왕복은</t>
    </r>
    <r>
      <rPr>
        <sz val="11"/>
        <rFont val="Arial"/>
        <family val="2"/>
      </rPr>
      <t xml:space="preserve"> 1</t>
    </r>
    <r>
      <rPr>
        <sz val="11"/>
        <rFont val="맑은 고딕"/>
        <family val="3"/>
        <charset val="129"/>
      </rPr>
      <t>분</t>
    </r>
  </si>
  <si>
    <r>
      <rPr>
        <sz val="11"/>
        <rFont val="맑은 고딕"/>
        <family val="3"/>
        <charset val="129"/>
      </rPr>
      <t>프레나가공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소요시간</t>
    </r>
    <r>
      <rPr>
        <sz val="11"/>
        <rFont val="Arial"/>
        <family val="2"/>
      </rPr>
      <t xml:space="preserve"> 1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+ </t>
    </r>
    <r>
      <rPr>
        <sz val="11"/>
        <rFont val="맑은 고딕"/>
        <family val="3"/>
        <charset val="129"/>
      </rPr>
      <t>자재운반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소요시간</t>
    </r>
    <r>
      <rPr>
        <sz val="11"/>
        <rFont val="Arial"/>
        <family val="2"/>
      </rPr>
      <t xml:space="preserve"> 2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+ </t>
    </r>
    <r>
      <rPr>
        <sz val="11"/>
        <rFont val="맑은 고딕"/>
        <family val="3"/>
        <charset val="129"/>
      </rPr>
      <t>기기장착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소요시간</t>
    </r>
    <r>
      <rPr>
        <sz val="11"/>
        <rFont val="Arial"/>
        <family val="2"/>
      </rPr>
      <t xml:space="preserve"> 7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= 10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    10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/2.42M (4'*8'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>)=4.132</t>
    </r>
    <r>
      <rPr>
        <sz val="11"/>
        <rFont val="맑은 고딕"/>
        <family val="3"/>
        <charset val="129"/>
      </rPr>
      <t>분</t>
    </r>
  </si>
  <si>
    <t>*4.132/480=0.009</t>
    <phoneticPr fontId="16" type="noConversion"/>
  </si>
  <si>
    <t>T1.6 GALV.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</si>
  <si>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120%</t>
    </r>
    <phoneticPr fontId="16" type="noConversion"/>
  </si>
  <si>
    <r>
      <rPr>
        <sz val="11"/>
        <rFont val="맑은 고딕"/>
        <family val="3"/>
        <charset val="129"/>
      </rPr>
      <t>프레나가공</t>
    </r>
    <phoneticPr fontId="176" type="noConversion"/>
  </si>
  <si>
    <t>T2.0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</si>
  <si>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140%</t>
    </r>
    <phoneticPr fontId="16" type="noConversion"/>
  </si>
  <si>
    <t>T2.3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</si>
  <si>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150%</t>
    </r>
    <phoneticPr fontId="16" type="noConversion"/>
  </si>
  <si>
    <t>T3.2 ST'L</t>
    <phoneticPr fontId="16" type="noConversion"/>
  </si>
  <si>
    <t>M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</si>
  <si>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180%</t>
    </r>
    <phoneticPr fontId="16" type="noConversion"/>
  </si>
  <si>
    <r>
      <rPr>
        <sz val="11"/>
        <rFont val="맑은 고딕"/>
        <family val="3"/>
        <charset val="129"/>
      </rPr>
      <t>프레나가공</t>
    </r>
    <phoneticPr fontId="17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</si>
  <si>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200%</t>
    </r>
    <phoneticPr fontId="16" type="noConversion"/>
  </si>
  <si>
    <r>
      <rPr>
        <sz val="11"/>
        <rFont val="맑은 고딕"/>
        <family val="3"/>
        <charset val="129"/>
      </rPr>
      <t>프레나가공</t>
    </r>
    <phoneticPr fontId="176" type="noConversion"/>
  </si>
  <si>
    <t>T5.0 ST'L</t>
    <phoneticPr fontId="16" type="noConversion"/>
  </si>
  <si>
    <t>M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</si>
  <si>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220%</t>
    </r>
    <phoneticPr fontId="16" type="noConversion"/>
  </si>
  <si>
    <r>
      <rPr>
        <sz val="11"/>
        <rFont val="맑은 고딕"/>
        <family val="3"/>
        <charset val="129"/>
      </rPr>
      <t>프레나가공</t>
    </r>
    <phoneticPr fontId="176" type="noConversion"/>
  </si>
  <si>
    <t>T8.0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</si>
  <si>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200%</t>
    </r>
    <phoneticPr fontId="16" type="noConversion"/>
  </si>
  <si>
    <r>
      <rPr>
        <sz val="11"/>
        <rFont val="맑은 고딕"/>
        <family val="3"/>
        <charset val="129"/>
      </rPr>
      <t>절곡가공</t>
    </r>
    <phoneticPr fontId="176" type="noConversion"/>
  </si>
  <si>
    <t>T1.2 GALV.</t>
    <phoneticPr fontId="16" type="noConversion"/>
  </si>
  <si>
    <t>M</t>
    <phoneticPr fontId="16" type="noConversion"/>
  </si>
  <si>
    <r>
      <rPr>
        <sz val="11"/>
        <rFont val="맑은 고딕"/>
        <family val="3"/>
        <charset val="129"/>
      </rPr>
      <t>절곡원</t>
    </r>
    <phoneticPr fontId="16" type="noConversion"/>
  </si>
  <si>
    <r>
      <rPr>
        <sz val="11"/>
        <rFont val="맑은 고딕"/>
        <family val="3"/>
        <charset val="129"/>
      </rPr>
      <t>보통인부</t>
    </r>
    <phoneticPr fontId="16" type="noConversion"/>
  </si>
  <si>
    <r>
      <t>*</t>
    </r>
    <r>
      <rPr>
        <sz val="11"/>
        <rFont val="맑은 고딕"/>
        <family val="3"/>
        <charset val="129"/>
      </rPr>
      <t>운반소요시간</t>
    </r>
    <r>
      <rPr>
        <sz val="11"/>
        <rFont val="Arial"/>
        <family val="2"/>
      </rPr>
      <t xml:space="preserve"> 2</t>
    </r>
    <r>
      <rPr>
        <sz val="11"/>
        <rFont val="맑은 고딕"/>
        <family val="3"/>
        <charset val="129"/>
      </rPr>
      <t>분</t>
    </r>
    <phoneticPr fontId="176" type="noConversion"/>
  </si>
  <si>
    <r>
      <t>*</t>
    </r>
    <r>
      <rPr>
        <sz val="11"/>
        <rFont val="맑은 고딕"/>
        <family val="3"/>
        <charset val="129"/>
      </rPr>
      <t>절곡소요시간</t>
    </r>
    <r>
      <rPr>
        <sz val="11"/>
        <rFont val="Arial"/>
        <family val="2"/>
      </rPr>
      <t xml:space="preserve"> 2</t>
    </r>
    <r>
      <rPr>
        <sz val="11"/>
        <rFont val="맑은 고딕"/>
        <family val="3"/>
        <charset val="129"/>
      </rPr>
      <t>분</t>
    </r>
    <phoneticPr fontId="176" type="noConversion"/>
  </si>
  <si>
    <r>
      <rPr>
        <sz val="11"/>
        <rFont val="맑은 고딕"/>
        <family val="3"/>
        <charset val="129"/>
      </rPr>
      <t>절곡각도점검</t>
    </r>
    <r>
      <rPr>
        <sz val="11"/>
        <rFont val="Arial"/>
        <family val="2"/>
      </rPr>
      <t xml:space="preserve">,Q.C </t>
    </r>
    <r>
      <rPr>
        <sz val="11"/>
        <rFont val="맑은 고딕"/>
        <family val="3"/>
        <charset val="129"/>
      </rPr>
      <t>소요시간</t>
    </r>
    <r>
      <rPr>
        <sz val="11"/>
        <rFont val="Arial"/>
        <family val="2"/>
      </rPr>
      <t xml:space="preserve">  5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  </t>
    </r>
    <r>
      <rPr>
        <sz val="11"/>
        <rFont val="맑은 고딕"/>
        <family val="3"/>
        <charset val="129"/>
      </rPr>
      <t>그러므로</t>
    </r>
    <r>
      <rPr>
        <sz val="11"/>
        <rFont val="Arial"/>
        <family val="2"/>
      </rPr>
      <t xml:space="preserve"> 9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/2.42M=3.719</t>
    </r>
    <r>
      <rPr>
        <sz val="11"/>
        <rFont val="맑은 고딕"/>
        <family val="3"/>
        <charset val="129"/>
      </rPr>
      <t>분</t>
    </r>
    <phoneticPr fontId="176" type="noConversion"/>
  </si>
  <si>
    <t>*3.719/480=0.008</t>
    <phoneticPr fontId="16" type="noConversion"/>
  </si>
  <si>
    <r>
      <rPr>
        <sz val="11"/>
        <rFont val="맑은 고딕"/>
        <family val="3"/>
        <charset val="129"/>
      </rPr>
      <t>절곡가공</t>
    </r>
    <phoneticPr fontId="176" type="noConversion"/>
  </si>
  <si>
    <t>T1.6 GALV.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</si>
  <si>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120%</t>
    </r>
    <phoneticPr fontId="16" type="noConversion"/>
  </si>
  <si>
    <t>T2.0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</si>
  <si>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140%</t>
    </r>
    <phoneticPr fontId="16" type="noConversion"/>
  </si>
  <si>
    <t>T2.3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</si>
  <si>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150%</t>
    </r>
    <phoneticPr fontId="16" type="noConversion"/>
  </si>
  <si>
    <t>T3.2 ST'L</t>
    <phoneticPr fontId="1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</si>
  <si>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180%</t>
    </r>
    <phoneticPr fontId="16" type="noConversion"/>
  </si>
  <si>
    <t>T4.0 ST'L</t>
    <phoneticPr fontId="16" type="noConversion"/>
  </si>
  <si>
    <r>
      <rPr>
        <sz val="11"/>
        <rFont val="맑은 고딕"/>
        <family val="3"/>
        <charset val="129"/>
      </rPr>
      <t>절곡가공</t>
    </r>
    <phoneticPr fontId="176" type="noConversion"/>
  </si>
  <si>
    <r>
      <rPr>
        <sz val="11"/>
        <rFont val="맑은 고딕"/>
        <family val="3"/>
        <charset val="129"/>
      </rPr>
      <t>※</t>
    </r>
    <r>
      <rPr>
        <sz val="11"/>
        <rFont val="Arial"/>
        <family val="2"/>
      </rPr>
      <t xml:space="preserve"> T1.2</t>
    </r>
    <r>
      <rPr>
        <sz val="11"/>
        <rFont val="맑은 고딕"/>
        <family val="3"/>
        <charset val="129"/>
      </rPr>
      <t>의</t>
    </r>
    <r>
      <rPr>
        <sz val="11"/>
        <rFont val="Arial"/>
        <family val="2"/>
      </rPr>
      <t xml:space="preserve"> 240%</t>
    </r>
    <phoneticPr fontId="16" type="noConversion"/>
  </si>
  <si>
    <t>T1.2 S ST'L.</t>
    <phoneticPr fontId="16" type="noConversion"/>
  </si>
  <si>
    <r>
      <rPr>
        <sz val="11"/>
        <rFont val="맑은 고딕"/>
        <family val="3"/>
        <charset val="129"/>
      </rPr>
      <t>절단가공</t>
    </r>
    <r>
      <rPr>
        <sz val="11"/>
        <rFont val="Arial"/>
        <family val="2"/>
      </rPr>
      <t>,</t>
    </r>
    <r>
      <rPr>
        <sz val="11"/>
        <rFont val="맑은 고딕"/>
        <family val="3"/>
        <charset val="129"/>
      </rPr>
      <t>용접제작</t>
    </r>
    <phoneticPr fontId="176" type="noConversion"/>
  </si>
  <si>
    <t>KG</t>
    <phoneticPr fontId="16" type="noConversion"/>
  </si>
  <si>
    <r>
      <rPr>
        <sz val="11"/>
        <rFont val="맑은 고딕"/>
        <family val="3"/>
        <charset val="129"/>
      </rPr>
      <t>쇠톱기조작원</t>
    </r>
    <phoneticPr fontId="16" type="noConversion"/>
  </si>
  <si>
    <r>
      <rPr>
        <sz val="11"/>
        <rFont val="맑은 고딕"/>
        <family val="3"/>
        <charset val="129"/>
      </rPr>
      <t>용접원</t>
    </r>
    <phoneticPr fontId="16" type="noConversion"/>
  </si>
  <si>
    <r>
      <rPr>
        <sz val="11"/>
        <rFont val="맑은 고딕"/>
        <family val="3"/>
        <charset val="129"/>
      </rPr>
      <t>연마원</t>
    </r>
    <phoneticPr fontId="16" type="noConversion"/>
  </si>
  <si>
    <r>
      <rPr>
        <sz val="11"/>
        <rFont val="맑은 고딕"/>
        <family val="3"/>
        <charset val="129"/>
      </rPr>
      <t>보통인부</t>
    </r>
  </si>
  <si>
    <r>
      <t>*</t>
    </r>
    <r>
      <rPr>
        <sz val="11"/>
        <rFont val="맑은 고딕"/>
        <family val="3"/>
        <charset val="129"/>
      </rPr>
      <t>쇠톱기조작원</t>
    </r>
    <r>
      <rPr>
        <sz val="11"/>
        <rFont val="Arial"/>
        <family val="2"/>
      </rPr>
      <t xml:space="preserve">: </t>
    </r>
    <r>
      <rPr>
        <sz val="11"/>
        <rFont val="맑은 고딕"/>
        <family val="3"/>
        <charset val="129"/>
      </rPr>
      <t>절단</t>
    </r>
    <r>
      <rPr>
        <sz val="11"/>
        <rFont val="Arial"/>
        <family val="2"/>
      </rPr>
      <t>1</t>
    </r>
    <r>
      <rPr>
        <sz val="11"/>
        <rFont val="맑은 고딕"/>
        <family val="3"/>
        <charset val="129"/>
      </rPr>
      <t>회</t>
    </r>
    <r>
      <rPr>
        <sz val="11"/>
        <rFont val="Arial"/>
        <family val="2"/>
      </rPr>
      <t>*4M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>=8.8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그러므로</t>
    </r>
    <r>
      <rPr>
        <sz val="11"/>
        <rFont val="Arial"/>
        <family val="2"/>
      </rPr>
      <t xml:space="preserve"> 8.8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/4M=2.2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(2.2/480=0.005)</t>
    </r>
    <phoneticPr fontId="176" type="noConversion"/>
  </si>
  <si>
    <r>
      <t>*</t>
    </r>
    <r>
      <rPr>
        <sz val="11"/>
        <rFont val="맑은 고딕"/>
        <family val="3"/>
        <charset val="129"/>
      </rPr>
      <t>용접원</t>
    </r>
    <r>
      <rPr>
        <sz val="11"/>
        <rFont val="Arial"/>
        <family val="2"/>
      </rPr>
      <t xml:space="preserve">  : </t>
    </r>
    <r>
      <rPr>
        <sz val="11"/>
        <rFont val="맑은 고딕"/>
        <family val="3"/>
        <charset val="129"/>
      </rPr>
      <t>용접</t>
    </r>
    <r>
      <rPr>
        <sz val="11"/>
        <rFont val="Arial"/>
        <family val="2"/>
      </rPr>
      <t>1</t>
    </r>
    <r>
      <rPr>
        <sz val="11"/>
        <rFont val="맑은 고딕"/>
        <family val="3"/>
        <charset val="129"/>
      </rPr>
      <t>개소</t>
    </r>
    <r>
      <rPr>
        <sz val="11"/>
        <rFont val="Arial"/>
        <family val="2"/>
      </rPr>
      <t>*4M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>=5.2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그러므로</t>
    </r>
    <r>
      <rPr>
        <sz val="11"/>
        <rFont val="Arial"/>
        <family val="2"/>
      </rPr>
      <t xml:space="preserve"> 5.2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/4M=1.3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(1.3/480=0.003)</t>
    </r>
    <phoneticPr fontId="176" type="noConversion"/>
  </si>
  <si>
    <r>
      <t>*</t>
    </r>
    <r>
      <rPr>
        <sz val="11"/>
        <rFont val="맑은 고딕"/>
        <family val="3"/>
        <charset val="129"/>
      </rPr>
      <t>연마원</t>
    </r>
    <r>
      <rPr>
        <sz val="11"/>
        <rFont val="Arial"/>
        <family val="2"/>
      </rPr>
      <t>: 1</t>
    </r>
    <r>
      <rPr>
        <sz val="11"/>
        <rFont val="맑은 고딕"/>
        <family val="3"/>
        <charset val="129"/>
      </rPr>
      <t>개소</t>
    </r>
    <r>
      <rPr>
        <sz val="11"/>
        <rFont val="Arial"/>
        <family val="2"/>
      </rPr>
      <t>*4M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>=16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그러므로</t>
    </r>
    <r>
      <rPr>
        <sz val="11"/>
        <rFont val="Arial"/>
        <family val="2"/>
      </rPr>
      <t xml:space="preserve"> 16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/4M=4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(4/480=0.008)</t>
    </r>
    <phoneticPr fontId="16" type="noConversion"/>
  </si>
  <si>
    <r>
      <t>*</t>
    </r>
    <r>
      <rPr>
        <sz val="11"/>
        <rFont val="맑은 고딕"/>
        <family val="3"/>
        <charset val="129"/>
      </rPr>
      <t>보통인부</t>
    </r>
    <r>
      <rPr>
        <sz val="11"/>
        <rFont val="Arial"/>
        <family val="2"/>
      </rPr>
      <t xml:space="preserve">  : (8.8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+5.2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>)/4M=3.5</t>
    </r>
    <r>
      <rPr>
        <sz val="11"/>
        <rFont val="맑은 고딕"/>
        <family val="3"/>
        <charset val="129"/>
      </rPr>
      <t>분</t>
    </r>
    <r>
      <rPr>
        <sz val="11"/>
        <rFont val="Arial"/>
        <family val="2"/>
      </rPr>
      <t xml:space="preserve"> (3.5/480=0.007)</t>
    </r>
    <phoneticPr fontId="176" type="noConversion"/>
  </si>
  <si>
    <r>
      <rPr>
        <sz val="11"/>
        <rFont val="맑은 고딕"/>
        <family val="3"/>
        <charset val="129"/>
      </rPr>
      <t>우레탄칼라락카도장</t>
    </r>
    <phoneticPr fontId="176" type="noConversion"/>
  </si>
  <si>
    <r>
      <rPr>
        <sz val="11"/>
        <rFont val="맑은 고딕"/>
        <family val="3"/>
        <charset val="129"/>
      </rPr>
      <t>철재면기준</t>
    </r>
    <phoneticPr fontId="16" type="noConversion"/>
  </si>
  <si>
    <t>M2</t>
    <phoneticPr fontId="16" type="noConversion"/>
  </si>
  <si>
    <r>
      <rPr>
        <sz val="11"/>
        <rFont val="맑은 고딕"/>
        <family val="3"/>
        <charset val="129"/>
      </rPr>
      <t>워시프라이머</t>
    </r>
    <phoneticPr fontId="16" type="noConversion"/>
  </si>
  <si>
    <t>ZQL011</t>
  </si>
  <si>
    <t>L</t>
    <phoneticPr fontId="176" type="noConversion"/>
  </si>
  <si>
    <r>
      <rPr>
        <sz val="11"/>
        <rFont val="맑은 고딕"/>
        <family val="3"/>
        <charset val="129"/>
      </rPr>
      <t>락카사페사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락카</t>
    </r>
    <r>
      <rPr>
        <sz val="11"/>
        <rFont val="Arial"/>
        <family val="2"/>
      </rPr>
      <t>)</t>
    </r>
    <phoneticPr fontId="16" type="noConversion"/>
  </si>
  <si>
    <t>DNL-4150</t>
  </si>
  <si>
    <r>
      <rPr>
        <sz val="11"/>
        <rFont val="맑은 고딕"/>
        <family val="3"/>
        <charset val="129"/>
      </rPr>
      <t>우레탄락카</t>
    </r>
    <phoneticPr fontId="16" type="noConversion"/>
  </si>
  <si>
    <t>UR3600</t>
    <phoneticPr fontId="16" type="noConversion"/>
  </si>
  <si>
    <r>
      <rPr>
        <sz val="11"/>
        <rFont val="맑은 고딕"/>
        <family val="3"/>
        <charset val="129"/>
      </rPr>
      <t>우레탄신너</t>
    </r>
  </si>
  <si>
    <t>037U</t>
    <phoneticPr fontId="16" type="noConversion"/>
  </si>
  <si>
    <r>
      <rPr>
        <sz val="11"/>
        <rFont val="맑은 고딕"/>
        <family val="3"/>
        <charset val="129"/>
      </rPr>
      <t>연마지</t>
    </r>
    <phoneticPr fontId="16" type="noConversion"/>
  </si>
  <si>
    <t>#120</t>
    <phoneticPr fontId="16" type="noConversion"/>
  </si>
  <si>
    <r>
      <rPr>
        <sz val="11"/>
        <rFont val="맑은 고딕"/>
        <family val="3"/>
        <charset val="129"/>
      </rPr>
      <t>매</t>
    </r>
  </si>
  <si>
    <r>
      <rPr>
        <sz val="11"/>
        <rFont val="맑은 고딕"/>
        <family val="3"/>
        <charset val="129"/>
      </rPr>
      <t>포리퍼티</t>
    </r>
    <phoneticPr fontId="16" type="noConversion"/>
  </si>
  <si>
    <t>YGL017</t>
    <phoneticPr fontId="16" type="noConversion"/>
  </si>
  <si>
    <r>
      <rPr>
        <sz val="11"/>
        <rFont val="맑은 고딕"/>
        <family val="3"/>
        <charset val="129"/>
      </rPr>
      <t>도장공</t>
    </r>
    <phoneticPr fontId="16" type="noConversion"/>
  </si>
  <si>
    <r>
      <rPr>
        <sz val="11"/>
        <rFont val="맑은 고딕"/>
        <family val="3"/>
        <charset val="129"/>
      </rPr>
      <t>기구손료</t>
    </r>
    <phoneticPr fontId="16" type="noConversion"/>
  </si>
  <si>
    <r>
      <rPr>
        <sz val="11"/>
        <rFont val="맑은 고딕"/>
        <family val="3"/>
        <charset val="129"/>
      </rPr>
      <t>노무비의</t>
    </r>
    <r>
      <rPr>
        <sz val="11"/>
        <rFont val="Arial"/>
        <family val="2"/>
      </rPr>
      <t>9%</t>
    </r>
    <phoneticPr fontId="16" type="noConversion"/>
  </si>
  <si>
    <r>
      <rPr>
        <sz val="11"/>
        <rFont val="맑은 고딕"/>
        <family val="3"/>
        <charset val="129"/>
      </rPr>
      <t>식</t>
    </r>
    <phoneticPr fontId="16" type="noConversion"/>
  </si>
  <si>
    <r>
      <rPr>
        <sz val="11"/>
        <rFont val="맑은 고딕"/>
        <family val="3"/>
        <charset val="129"/>
      </rPr>
      <t>잡자재비</t>
    </r>
    <phoneticPr fontId="16" type="noConversion"/>
  </si>
  <si>
    <r>
      <rPr>
        <sz val="11"/>
        <rFont val="맑은 고딕"/>
        <family val="3"/>
        <charset val="129"/>
      </rPr>
      <t>주재료비의</t>
    </r>
    <r>
      <rPr>
        <sz val="11"/>
        <rFont val="Arial"/>
        <family val="2"/>
      </rPr>
      <t>6%</t>
    </r>
    <phoneticPr fontId="16" type="noConversion"/>
  </si>
  <si>
    <r>
      <rPr>
        <sz val="11"/>
        <rFont val="맑은 고딕"/>
        <family val="3"/>
        <charset val="129"/>
      </rPr>
      <t>바탕처리</t>
    </r>
    <phoneticPr fontId="16" type="noConversion"/>
  </si>
  <si>
    <r>
      <rPr>
        <sz val="11"/>
        <rFont val="맑은 고딕"/>
        <family val="3"/>
        <charset val="129"/>
      </rPr>
      <t>인건비의</t>
    </r>
    <r>
      <rPr>
        <sz val="11"/>
        <rFont val="Arial"/>
        <family val="2"/>
      </rPr>
      <t>2%</t>
    </r>
  </si>
  <si>
    <r>
      <rPr>
        <sz val="11"/>
        <rFont val="맑은 고딕"/>
        <family val="3"/>
        <charset val="129"/>
      </rPr>
      <t>방청페인트</t>
    </r>
  </si>
  <si>
    <r>
      <rPr>
        <sz val="11"/>
        <rFont val="맑은 고딕"/>
        <family val="3"/>
        <charset val="129"/>
      </rPr>
      <t>광명단조합폐인트</t>
    </r>
    <phoneticPr fontId="16" type="noConversion"/>
  </si>
  <si>
    <t>KSM6030-2</t>
    <phoneticPr fontId="16" type="noConversion"/>
  </si>
  <si>
    <r>
      <rPr>
        <sz val="11"/>
        <rFont val="맑은 고딕"/>
        <family val="3"/>
        <charset val="129"/>
      </rPr>
      <t>신너</t>
    </r>
  </si>
  <si>
    <r>
      <t>KSM-6060,2</t>
    </r>
    <r>
      <rPr>
        <sz val="11"/>
        <rFont val="맑은 고딕"/>
        <family val="3"/>
        <charset val="129"/>
      </rPr>
      <t>종</t>
    </r>
    <phoneticPr fontId="16" type="noConversion"/>
  </si>
  <si>
    <r>
      <rPr>
        <sz val="11"/>
        <rFont val="맑은 고딕"/>
        <family val="3"/>
        <charset val="129"/>
      </rPr>
      <t>넝마</t>
    </r>
    <phoneticPr fontId="16" type="noConversion"/>
  </si>
  <si>
    <r>
      <rPr>
        <sz val="11"/>
        <rFont val="맑은 고딕"/>
        <family val="3"/>
        <charset val="129"/>
      </rPr>
      <t>면</t>
    </r>
    <r>
      <rPr>
        <sz val="11"/>
        <rFont val="Arial"/>
        <family val="2"/>
      </rPr>
      <t xml:space="preserve">T/C </t>
    </r>
    <r>
      <rPr>
        <sz val="11"/>
        <rFont val="맑은 고딕"/>
        <family val="3"/>
        <charset val="129"/>
      </rPr>
      <t>제품</t>
    </r>
    <phoneticPr fontId="16" type="noConversion"/>
  </si>
  <si>
    <r>
      <rPr>
        <sz val="11"/>
        <rFont val="맑은 고딕"/>
        <family val="3"/>
        <charset val="129"/>
      </rPr>
      <t>주재료비의</t>
    </r>
    <r>
      <rPr>
        <sz val="11"/>
        <rFont val="Arial"/>
        <family val="2"/>
      </rPr>
      <t>3%</t>
    </r>
    <phoneticPr fontId="16" type="noConversion"/>
  </si>
  <si>
    <r>
      <rPr>
        <sz val="11"/>
        <rFont val="맑은 고딕"/>
        <family val="3"/>
        <charset val="129"/>
      </rPr>
      <t>방청페인트</t>
    </r>
    <phoneticPr fontId="16" type="noConversion"/>
  </si>
  <si>
    <r>
      <rPr>
        <sz val="11"/>
        <rFont val="맑은 고딕"/>
        <family val="3"/>
        <charset val="129"/>
      </rPr>
      <t>합판취부</t>
    </r>
    <phoneticPr fontId="176" type="noConversion"/>
  </si>
  <si>
    <t>T11.5mm 2PLY</t>
    <phoneticPr fontId="16" type="noConversion"/>
  </si>
  <si>
    <r>
      <rPr>
        <sz val="11"/>
        <rFont val="맑은 고딕"/>
        <family val="3"/>
        <charset val="129"/>
      </rPr>
      <t>합판</t>
    </r>
  </si>
  <si>
    <t>T11.5mm*4'*8'</t>
    <phoneticPr fontId="16" type="noConversion"/>
  </si>
  <si>
    <r>
      <rPr>
        <sz val="11"/>
        <rFont val="맑은 고딕"/>
        <family val="3"/>
        <charset val="129"/>
      </rPr>
      <t>일반용철못</t>
    </r>
    <phoneticPr fontId="16" type="noConversion"/>
  </si>
  <si>
    <t>N50</t>
    <phoneticPr fontId="16" type="noConversion"/>
  </si>
  <si>
    <t>Kg</t>
    <phoneticPr fontId="16" type="noConversion"/>
  </si>
  <si>
    <r>
      <rPr>
        <sz val="11"/>
        <rFont val="맑은 고딕"/>
        <family val="3"/>
        <charset val="129"/>
      </rPr>
      <t>목공용접착제</t>
    </r>
    <phoneticPr fontId="16" type="noConversion"/>
  </si>
  <si>
    <t>kg</t>
    <phoneticPr fontId="16" type="noConversion"/>
  </si>
  <si>
    <r>
      <rPr>
        <sz val="11"/>
        <rFont val="맑은 고딕"/>
        <family val="3"/>
        <charset val="129"/>
      </rPr>
      <t>건축목공</t>
    </r>
    <phoneticPr fontId="16" type="noConversion"/>
  </si>
  <si>
    <r>
      <rPr>
        <sz val="11"/>
        <rFont val="맑은 고딕"/>
        <family val="3"/>
        <charset val="129"/>
      </rPr>
      <t>노무비의</t>
    </r>
    <r>
      <rPr>
        <sz val="11"/>
        <rFont val="Arial"/>
        <family val="2"/>
      </rPr>
      <t>2%</t>
    </r>
  </si>
  <si>
    <r>
      <rPr>
        <sz val="11"/>
        <rFont val="맑은 고딕"/>
        <family val="3"/>
        <charset val="129"/>
      </rPr>
      <t>합판취부</t>
    </r>
    <phoneticPr fontId="16" type="noConversion"/>
  </si>
  <si>
    <t>T8.5mm 1PLY</t>
    <phoneticPr fontId="16" type="noConversion"/>
  </si>
  <si>
    <t>T8.5mm*4'*8'</t>
    <phoneticPr fontId="16" type="noConversion"/>
  </si>
  <si>
    <r>
      <rPr>
        <sz val="11"/>
        <rFont val="맑은 고딕"/>
        <family val="3"/>
        <charset val="129"/>
      </rPr>
      <t>코킹</t>
    </r>
  </si>
  <si>
    <r>
      <rPr>
        <sz val="11"/>
        <rFont val="맑은 고딕"/>
        <family val="3"/>
        <charset val="129"/>
      </rPr>
      <t>코레실</t>
    </r>
    <phoneticPr fontId="16" type="noConversion"/>
  </si>
  <si>
    <r>
      <t>SL907</t>
    </r>
    <r>
      <rPr>
        <sz val="11"/>
        <rFont val="맑은 고딕"/>
        <family val="3"/>
        <charset val="129"/>
      </rPr>
      <t>프리미엄</t>
    </r>
    <phoneticPr fontId="16" type="noConversion"/>
  </si>
  <si>
    <r>
      <rPr>
        <sz val="11"/>
        <rFont val="맑은 고딕"/>
        <family val="3"/>
        <charset val="129"/>
      </rPr>
      <t>코킹공</t>
    </r>
    <phoneticPr fontId="16" type="noConversion"/>
  </si>
  <si>
    <r>
      <rPr>
        <sz val="11"/>
        <rFont val="맑은 고딕"/>
        <family val="3"/>
        <charset val="129"/>
      </rPr>
      <t>주재료비의</t>
    </r>
    <r>
      <rPr>
        <sz val="11"/>
        <rFont val="Arial"/>
        <family val="2"/>
      </rPr>
      <t>10%</t>
    </r>
    <phoneticPr fontId="16" type="noConversion"/>
  </si>
  <si>
    <r>
      <rPr>
        <sz val="11"/>
        <rFont val="맑은 고딕"/>
        <family val="3"/>
        <charset val="129"/>
      </rPr>
      <t>각파이프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방청</t>
    </r>
    <r>
      <rPr>
        <sz val="11"/>
        <rFont val="Arial"/>
        <family val="2"/>
      </rPr>
      <t>)</t>
    </r>
    <phoneticPr fontId="16" type="noConversion"/>
  </si>
  <si>
    <t>40*40*1.4T</t>
    <phoneticPr fontId="16" type="noConversion"/>
  </si>
  <si>
    <r>
      <rPr>
        <sz val="11"/>
        <rFont val="맑은 고딕"/>
        <family val="3"/>
        <charset val="129"/>
      </rPr>
      <t>각파이프</t>
    </r>
    <phoneticPr fontId="16" type="noConversion"/>
  </si>
  <si>
    <r>
      <rPr>
        <sz val="11"/>
        <rFont val="맑은 고딕"/>
        <family val="3"/>
        <charset val="129"/>
      </rPr>
      <t>철구조물가공조립</t>
    </r>
    <phoneticPr fontId="16" type="noConversion"/>
  </si>
  <si>
    <r>
      <rPr>
        <sz val="11"/>
        <rFont val="맑은 고딕"/>
        <family val="3"/>
        <charset val="129"/>
      </rPr>
      <t>각파이프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방청</t>
    </r>
    <r>
      <rPr>
        <sz val="11"/>
        <rFont val="Arial"/>
        <family val="2"/>
      </rPr>
      <t>)</t>
    </r>
  </si>
  <si>
    <t>50*50*1.4T</t>
    <phoneticPr fontId="16" type="noConversion"/>
  </si>
  <si>
    <t>100*50*2.3T</t>
    <phoneticPr fontId="16" type="noConversion"/>
  </si>
  <si>
    <t>30*30*1.4T</t>
    <phoneticPr fontId="16" type="noConversion"/>
  </si>
  <si>
    <r>
      <t>L-</t>
    </r>
    <r>
      <rPr>
        <sz val="11"/>
        <rFont val="맑은 고딕"/>
        <family val="3"/>
        <charset val="129"/>
      </rPr>
      <t>형강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방청</t>
    </r>
    <r>
      <rPr>
        <sz val="11"/>
        <rFont val="Arial"/>
        <family val="2"/>
      </rPr>
      <t>)</t>
    </r>
    <phoneticPr fontId="16" type="noConversion"/>
  </si>
  <si>
    <t>50*50*4T</t>
    <phoneticPr fontId="16" type="noConversion"/>
  </si>
  <si>
    <r>
      <t>L-</t>
    </r>
    <r>
      <rPr>
        <sz val="11"/>
        <rFont val="맑은 고딕"/>
        <family val="3"/>
        <charset val="129"/>
      </rPr>
      <t>형강</t>
    </r>
    <phoneticPr fontId="16" type="noConversion"/>
  </si>
  <si>
    <r>
      <rPr>
        <sz val="11"/>
        <rFont val="맑은 고딕"/>
        <family val="3"/>
        <charset val="129"/>
      </rPr>
      <t>갈바후레임제작설치</t>
    </r>
    <phoneticPr fontId="16" type="noConversion"/>
  </si>
  <si>
    <t>1.6T</t>
    <phoneticPr fontId="16" type="noConversion"/>
  </si>
  <si>
    <r>
      <rPr>
        <sz val="11"/>
        <rFont val="맑은 고딕"/>
        <family val="3"/>
        <charset val="129"/>
      </rPr>
      <t>철판</t>
    </r>
  </si>
  <si>
    <r>
      <rPr>
        <sz val="11"/>
        <rFont val="맑은 고딕"/>
        <family val="3"/>
        <charset val="129"/>
      </rPr>
      <t>절단가공</t>
    </r>
    <phoneticPr fontId="16" type="noConversion"/>
  </si>
  <si>
    <r>
      <rPr>
        <sz val="11"/>
        <rFont val="맑은 고딕"/>
        <family val="3"/>
        <charset val="129"/>
      </rPr>
      <t>절단가공</t>
    </r>
    <r>
      <rPr>
        <sz val="11"/>
        <rFont val="Arial"/>
        <family val="2"/>
      </rPr>
      <t>,</t>
    </r>
    <r>
      <rPr>
        <sz val="11"/>
        <rFont val="맑은 고딕"/>
        <family val="3"/>
        <charset val="129"/>
      </rPr>
      <t>용접제작</t>
    </r>
    <phoneticPr fontId="16" type="noConversion"/>
  </si>
  <si>
    <r>
      <rPr>
        <sz val="11"/>
        <rFont val="맑은 고딕"/>
        <family val="3"/>
        <charset val="129"/>
      </rPr>
      <t>잡철물설치</t>
    </r>
  </si>
  <si>
    <t>1.2T</t>
    <phoneticPr fontId="16" type="noConversion"/>
  </si>
  <si>
    <r>
      <rPr>
        <sz val="11"/>
        <rFont val="맑은 고딕"/>
        <family val="3"/>
        <charset val="129"/>
      </rPr>
      <t>잡철물설치</t>
    </r>
    <phoneticPr fontId="16" type="noConversion"/>
  </si>
  <si>
    <r>
      <rPr>
        <sz val="11"/>
        <rFont val="맑은 고딕"/>
        <family val="3"/>
        <charset val="129"/>
      </rPr>
      <t>제품출하</t>
    </r>
    <phoneticPr fontId="16" type="noConversion"/>
  </si>
  <si>
    <r>
      <rPr>
        <sz val="11"/>
        <rFont val="맑은 고딕"/>
        <family val="3"/>
        <charset val="129"/>
      </rPr>
      <t>단순노무종사원</t>
    </r>
  </si>
  <si>
    <r>
      <rPr>
        <sz val="11"/>
        <rFont val="맑은 고딕"/>
        <family val="3"/>
        <charset val="129"/>
      </rPr>
      <t>그림걸이레일몰딩</t>
    </r>
    <phoneticPr fontId="16" type="noConversion"/>
  </si>
  <si>
    <r>
      <rPr>
        <sz val="11"/>
        <rFont val="맑은 고딕"/>
        <family val="3"/>
        <charset val="129"/>
      </rPr>
      <t>우레탄칼라락카도장</t>
    </r>
  </si>
  <si>
    <r>
      <rPr>
        <sz val="11"/>
        <rFont val="맑은 고딕"/>
        <family val="3"/>
        <charset val="129"/>
      </rPr>
      <t>철재면기준</t>
    </r>
  </si>
  <si>
    <r>
      <rPr>
        <sz val="11"/>
        <rFont val="맑은 고딕"/>
        <family val="3"/>
        <charset val="129"/>
      </rPr>
      <t>바탕처리</t>
    </r>
  </si>
  <si>
    <r>
      <rPr>
        <sz val="11"/>
        <rFont val="맑은 고딕"/>
        <family val="3"/>
        <charset val="129"/>
      </rPr>
      <t>도배퍼티</t>
    </r>
    <phoneticPr fontId="16" type="noConversion"/>
  </si>
  <si>
    <r>
      <rPr>
        <sz val="11"/>
        <rFont val="맑은 고딕"/>
        <family val="3"/>
        <charset val="129"/>
      </rPr>
      <t>퍼티</t>
    </r>
  </si>
  <si>
    <r>
      <rPr>
        <sz val="11"/>
        <rFont val="맑은 고딕"/>
        <family val="3"/>
        <charset val="129"/>
      </rPr>
      <t>핸디코트</t>
    </r>
    <phoneticPr fontId="16" type="noConversion"/>
  </si>
  <si>
    <r>
      <rPr>
        <sz val="11"/>
        <rFont val="맑은 고딕"/>
        <family val="3"/>
        <charset val="129"/>
      </rPr>
      <t>연마포</t>
    </r>
    <phoneticPr fontId="16" type="noConversion"/>
  </si>
  <si>
    <t>#120</t>
  </si>
  <si>
    <r>
      <rPr>
        <sz val="11"/>
        <rFont val="맑은 고딕"/>
        <family val="3"/>
        <charset val="129"/>
      </rPr>
      <t>망사테이프</t>
    </r>
    <phoneticPr fontId="16" type="noConversion"/>
  </si>
  <si>
    <r>
      <rPr>
        <sz val="11"/>
        <rFont val="맑은 고딕"/>
        <family val="3"/>
        <charset val="129"/>
      </rPr>
      <t>내부도배</t>
    </r>
    <phoneticPr fontId="16" type="noConversion"/>
  </si>
  <si>
    <r>
      <rPr>
        <sz val="11"/>
        <rFont val="맑은 고딕"/>
        <family val="3"/>
        <charset val="129"/>
      </rPr>
      <t>세마직벽지</t>
    </r>
  </si>
  <si>
    <r>
      <rPr>
        <sz val="11"/>
        <rFont val="맑은 고딕"/>
        <family val="3"/>
        <charset val="129"/>
      </rPr>
      <t>초배지</t>
    </r>
    <phoneticPr fontId="16" type="noConversion"/>
  </si>
  <si>
    <r>
      <rPr>
        <sz val="11"/>
        <rFont val="맑은 고딕"/>
        <family val="3"/>
        <charset val="129"/>
      </rPr>
      <t>양지</t>
    </r>
    <r>
      <rPr>
        <sz val="11"/>
        <rFont val="Arial"/>
        <family val="2"/>
      </rPr>
      <t>A</t>
    </r>
    <r>
      <rPr>
        <sz val="11"/>
        <rFont val="맑은 고딕"/>
        <family val="3"/>
        <charset val="129"/>
      </rPr>
      <t>급</t>
    </r>
  </si>
  <si>
    <r>
      <rPr>
        <sz val="11"/>
        <rFont val="맑은 고딕"/>
        <family val="3"/>
        <charset val="129"/>
      </rPr>
      <t>세마직벽지</t>
    </r>
    <phoneticPr fontId="16" type="noConversion"/>
  </si>
  <si>
    <r>
      <t>1</t>
    </r>
    <r>
      <rPr>
        <sz val="11"/>
        <rFont val="맑은 고딕"/>
        <family val="3"/>
        <charset val="129"/>
      </rPr>
      <t>회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특수벽지</t>
    </r>
  </si>
  <si>
    <r>
      <rPr>
        <sz val="11"/>
        <rFont val="맑은 고딕"/>
        <family val="3"/>
        <charset val="129"/>
      </rPr>
      <t>풀</t>
    </r>
    <phoneticPr fontId="16" type="noConversion"/>
  </si>
  <si>
    <r>
      <rPr>
        <sz val="11"/>
        <rFont val="맑은 고딕"/>
        <family val="3"/>
        <charset val="129"/>
      </rPr>
      <t>밀가루풀</t>
    </r>
  </si>
  <si>
    <r>
      <rPr>
        <sz val="11"/>
        <rFont val="맑은 고딕"/>
        <family val="3"/>
        <charset val="129"/>
      </rPr>
      <t>포</t>
    </r>
  </si>
  <si>
    <r>
      <rPr>
        <sz val="11"/>
        <rFont val="맑은 고딕"/>
        <family val="3"/>
        <charset val="129"/>
      </rPr>
      <t>도배공</t>
    </r>
    <phoneticPr fontId="16" type="noConversion"/>
  </si>
  <si>
    <r>
      <rPr>
        <sz val="11"/>
        <rFont val="맑은 고딕"/>
        <family val="3"/>
        <charset val="129"/>
      </rPr>
      <t>소계</t>
    </r>
    <phoneticPr fontId="16" type="noConversion"/>
  </si>
  <si>
    <r>
      <rPr>
        <sz val="11"/>
        <rFont val="맑은 고딕"/>
        <family val="3"/>
        <charset val="129"/>
      </rPr>
      <t>코아합판취부</t>
    </r>
    <phoneticPr fontId="16" type="noConversion"/>
  </si>
  <si>
    <t>T18mm</t>
    <phoneticPr fontId="16" type="noConversion"/>
  </si>
  <si>
    <r>
      <rPr>
        <sz val="11"/>
        <rFont val="맑은 고딕"/>
        <family val="3"/>
        <charset val="129"/>
      </rPr>
      <t>코아합판</t>
    </r>
    <r>
      <rPr>
        <sz val="11"/>
        <rFont val="Arial"/>
        <family val="2"/>
      </rPr>
      <t xml:space="preserve"> </t>
    </r>
  </si>
  <si>
    <t>T18mm*4'*8'</t>
  </si>
  <si>
    <r>
      <rPr>
        <sz val="11"/>
        <rFont val="맑은 고딕"/>
        <family val="3"/>
        <charset val="129"/>
      </rPr>
      <t>스테인리스작은나사</t>
    </r>
    <phoneticPr fontId="16" type="noConversion"/>
  </si>
  <si>
    <t>m3*8mm</t>
    <phoneticPr fontId="16" type="noConversion"/>
  </si>
  <si>
    <r>
      <rPr>
        <sz val="11"/>
        <rFont val="맑은 고딕"/>
        <family val="3"/>
        <charset val="129"/>
      </rPr>
      <t>저반사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끼우기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투과율</t>
    </r>
    <r>
      <rPr>
        <sz val="11"/>
        <rFont val="Arial"/>
        <family val="2"/>
      </rPr>
      <t>99%)</t>
    </r>
    <phoneticPr fontId="16" type="noConversion"/>
  </si>
  <si>
    <t>T10.76mm</t>
    <phoneticPr fontId="16" type="noConversion"/>
  </si>
  <si>
    <r>
      <rPr>
        <sz val="11"/>
        <rFont val="맑은 고딕"/>
        <family val="3"/>
        <charset val="129"/>
      </rPr>
      <t>저반사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투과율</t>
    </r>
    <r>
      <rPr>
        <sz val="11"/>
        <rFont val="Arial"/>
        <family val="2"/>
      </rPr>
      <t>99%)</t>
    </r>
    <phoneticPr fontId="16" type="noConversion"/>
  </si>
  <si>
    <r>
      <rPr>
        <sz val="11"/>
        <rFont val="맑은 고딕"/>
        <family val="3"/>
        <charset val="129"/>
      </rPr>
      <t>넝마</t>
    </r>
  </si>
  <si>
    <r>
      <rPr>
        <sz val="11"/>
        <rFont val="맑은 고딕"/>
        <family val="3"/>
        <charset val="129"/>
      </rPr>
      <t>세제</t>
    </r>
    <phoneticPr fontId="16" type="noConversion"/>
  </si>
  <si>
    <r>
      <rPr>
        <sz val="11"/>
        <rFont val="맑은 고딕"/>
        <family val="3"/>
        <charset val="129"/>
      </rPr>
      <t>유리용</t>
    </r>
  </si>
  <si>
    <r>
      <rPr>
        <sz val="11"/>
        <rFont val="맑은 고딕"/>
        <family val="3"/>
        <charset val="129"/>
      </rPr>
      <t>유리공</t>
    </r>
    <phoneticPr fontId="16" type="noConversion"/>
  </si>
  <si>
    <r>
      <rPr>
        <sz val="11"/>
        <rFont val="맑은 고딕"/>
        <family val="3"/>
        <charset val="129"/>
      </rPr>
      <t>저반사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끼우기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투과율</t>
    </r>
    <r>
      <rPr>
        <sz val="11"/>
        <rFont val="Arial"/>
        <family val="2"/>
      </rPr>
      <t>98%)</t>
    </r>
    <phoneticPr fontId="16" type="noConversion"/>
  </si>
  <si>
    <r>
      <rPr>
        <sz val="11"/>
        <rFont val="맑은 고딕"/>
        <family val="3"/>
        <charset val="129"/>
      </rPr>
      <t>저반사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투과율</t>
    </r>
    <r>
      <rPr>
        <sz val="11"/>
        <rFont val="Arial"/>
        <family val="2"/>
      </rPr>
      <t>98%)</t>
    </r>
    <phoneticPr fontId="16" type="noConversion"/>
  </si>
  <si>
    <r>
      <rPr>
        <sz val="11"/>
        <rFont val="맑은 고딕"/>
        <family val="3"/>
        <charset val="129"/>
      </rPr>
      <t>저반사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끼우기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투과율</t>
    </r>
    <r>
      <rPr>
        <sz val="11"/>
        <rFont val="Arial"/>
        <family val="2"/>
      </rPr>
      <t>96%)</t>
    </r>
    <phoneticPr fontId="16" type="noConversion"/>
  </si>
  <si>
    <r>
      <rPr>
        <sz val="11"/>
        <rFont val="맑은 고딕"/>
        <family val="3"/>
        <charset val="129"/>
      </rPr>
      <t>저반사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투과율</t>
    </r>
    <r>
      <rPr>
        <sz val="11"/>
        <rFont val="Arial"/>
        <family val="2"/>
      </rPr>
      <t>96%)</t>
    </r>
    <phoneticPr fontId="16" type="noConversion"/>
  </si>
  <si>
    <r>
      <rPr>
        <sz val="11"/>
        <rFont val="맑은 고딕"/>
        <family val="3"/>
        <charset val="129"/>
      </rPr>
      <t>화이트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끼우기</t>
    </r>
    <phoneticPr fontId="16" type="noConversion"/>
  </si>
  <si>
    <t>T10.76mm</t>
    <phoneticPr fontId="16" type="noConversion"/>
  </si>
  <si>
    <r>
      <rPr>
        <sz val="11"/>
        <rFont val="맑은 고딕"/>
        <family val="3"/>
        <charset val="129"/>
      </rPr>
      <t>화이트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phoneticPr fontId="16" type="noConversion"/>
  </si>
  <si>
    <r>
      <rPr>
        <sz val="11"/>
        <rFont val="맑은 고딕"/>
        <family val="3"/>
        <charset val="129"/>
      </rPr>
      <t>면</t>
    </r>
    <r>
      <rPr>
        <sz val="11"/>
        <rFont val="Arial"/>
        <family val="2"/>
      </rPr>
      <t xml:space="preserve">T/C </t>
    </r>
    <r>
      <rPr>
        <sz val="11"/>
        <rFont val="맑은 고딕"/>
        <family val="3"/>
        <charset val="129"/>
      </rPr>
      <t>제품</t>
    </r>
    <phoneticPr fontId="16" type="noConversion"/>
  </si>
  <si>
    <r>
      <rPr>
        <sz val="11"/>
        <rFont val="맑은 고딕"/>
        <family val="3"/>
        <charset val="129"/>
      </rPr>
      <t>세제</t>
    </r>
    <phoneticPr fontId="16" type="noConversion"/>
  </si>
  <si>
    <r>
      <rPr>
        <sz val="11"/>
        <rFont val="맑은 고딕"/>
        <family val="3"/>
        <charset val="129"/>
      </rPr>
      <t>유리공</t>
    </r>
    <phoneticPr fontId="16" type="noConversion"/>
  </si>
  <si>
    <r>
      <rPr>
        <sz val="11"/>
        <rFont val="맑은 고딕"/>
        <family val="3"/>
        <charset val="129"/>
      </rPr>
      <t>보통인부</t>
    </r>
    <phoneticPr fontId="16" type="noConversion"/>
  </si>
  <si>
    <r>
      <rPr>
        <sz val="11"/>
        <rFont val="맑은 고딕"/>
        <family val="3"/>
        <charset val="129"/>
      </rPr>
      <t>투명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끼우기</t>
    </r>
    <phoneticPr fontId="16" type="noConversion"/>
  </si>
  <si>
    <r>
      <t>T12.76mm (2,400*3,000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</si>
  <si>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투명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</si>
  <si>
    <r>
      <t>T12.76mm (2,400*3,000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>)</t>
    </r>
  </si>
  <si>
    <r>
      <rPr>
        <sz val="11"/>
        <rFont val="맑은 고딕"/>
        <family val="3"/>
        <charset val="129"/>
      </rPr>
      <t>화이트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끼우기</t>
    </r>
    <phoneticPr fontId="16" type="noConversion"/>
  </si>
  <si>
    <r>
      <t>T12.76mm (2,400*3,400</t>
    </r>
    <r>
      <rPr>
        <sz val="11"/>
        <rFont val="맑은 고딕"/>
        <family val="3"/>
        <charset val="129"/>
      </rPr>
      <t>기준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</si>
  <si>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화이트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phoneticPr fontId="16" type="noConversion"/>
  </si>
  <si>
    <r>
      <rPr>
        <sz val="11"/>
        <rFont val="맑은 고딕"/>
        <family val="3"/>
        <charset val="129"/>
      </rPr>
      <t>강화유리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끼우기</t>
    </r>
  </si>
  <si>
    <t>T12mm</t>
    <phoneticPr fontId="16" type="noConversion"/>
  </si>
  <si>
    <r>
      <rPr>
        <sz val="11"/>
        <rFont val="맑은 고딕"/>
        <family val="3"/>
        <charset val="129"/>
      </rPr>
      <t>강화유리</t>
    </r>
  </si>
  <si>
    <r>
      <rPr>
        <sz val="11"/>
        <rFont val="맑은 고딕"/>
        <family val="3"/>
        <charset val="129"/>
      </rPr>
      <t>유리용</t>
    </r>
    <phoneticPr fontId="16" type="noConversion"/>
  </si>
  <si>
    <t>T10mm</t>
  </si>
  <si>
    <t>T8mm</t>
    <phoneticPr fontId="16" type="noConversion"/>
  </si>
  <si>
    <r>
      <rPr>
        <sz val="11"/>
        <rFont val="맑은 고딕"/>
        <family val="3"/>
        <charset val="129"/>
      </rPr>
      <t>조명용아크릴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가공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설치</t>
    </r>
    <phoneticPr fontId="16" type="noConversion"/>
  </si>
  <si>
    <t>T5mm</t>
    <phoneticPr fontId="16" type="noConversion"/>
  </si>
  <si>
    <r>
      <rPr>
        <sz val="11"/>
        <rFont val="맑은 고딕"/>
        <family val="3"/>
        <charset val="129"/>
      </rPr>
      <t>조명용아크릴</t>
    </r>
    <r>
      <rPr>
        <sz val="11"/>
        <rFont val="Arial"/>
        <family val="2"/>
      </rPr>
      <t xml:space="preserve"> </t>
    </r>
    <phoneticPr fontId="16" type="noConversion"/>
  </si>
  <si>
    <t>m2</t>
    <phoneticPr fontId="16" type="noConversion"/>
  </si>
  <si>
    <r>
      <rPr>
        <sz val="11"/>
        <rFont val="맑은 고딕"/>
        <family val="3"/>
        <charset val="129"/>
      </rPr>
      <t>진열장석고보드취부</t>
    </r>
    <phoneticPr fontId="16" type="noConversion"/>
  </si>
  <si>
    <t>T9.5mm*2PLY</t>
    <phoneticPr fontId="16" type="noConversion"/>
  </si>
  <si>
    <r>
      <rPr>
        <sz val="11"/>
        <rFont val="맑은 고딕"/>
        <family val="3"/>
        <charset val="129"/>
      </rPr>
      <t>석고보드</t>
    </r>
  </si>
  <si>
    <t>T9.5mm*900*1,800</t>
  </si>
  <si>
    <t>EA</t>
    <phoneticPr fontId="16" type="noConversion"/>
  </si>
  <si>
    <t>M-BAR</t>
    <phoneticPr fontId="16" type="noConversion"/>
  </si>
  <si>
    <t>50*20*0.8T</t>
    <phoneticPr fontId="16" type="noConversion"/>
  </si>
  <si>
    <t>m</t>
    <phoneticPr fontId="16" type="noConversion"/>
  </si>
  <si>
    <r>
      <rPr>
        <sz val="11"/>
        <rFont val="맑은 고딕"/>
        <family val="3"/>
        <charset val="129"/>
      </rPr>
      <t>내장공</t>
    </r>
    <phoneticPr fontId="16" type="noConversion"/>
  </si>
  <si>
    <r>
      <rPr>
        <sz val="11"/>
        <rFont val="맑은 고딕"/>
        <family val="3"/>
        <charset val="129"/>
      </rPr>
      <t>인건비의</t>
    </r>
    <r>
      <rPr>
        <sz val="11"/>
        <rFont val="Arial"/>
        <family val="2"/>
      </rPr>
      <t>1%</t>
    </r>
    <phoneticPr fontId="16" type="noConversion"/>
  </si>
  <si>
    <r>
      <rPr>
        <sz val="11"/>
        <rFont val="맑은 고딕"/>
        <family val="3"/>
        <charset val="129"/>
      </rPr>
      <t>알루미늄판취부</t>
    </r>
    <phoneticPr fontId="16" type="noConversion"/>
  </si>
  <si>
    <t>4T*900*1800</t>
    <phoneticPr fontId="16" type="noConversion"/>
  </si>
  <si>
    <r>
      <rPr>
        <sz val="11"/>
        <rFont val="맑은 고딕"/>
        <family val="3"/>
        <charset val="129"/>
      </rPr>
      <t>알루미늄판</t>
    </r>
    <phoneticPr fontId="16" type="noConversion"/>
  </si>
  <si>
    <r>
      <rPr>
        <sz val="11"/>
        <rFont val="맑은 고딕"/>
        <family val="3"/>
        <charset val="129"/>
      </rPr>
      <t>작업반장</t>
    </r>
    <phoneticPr fontId="16" type="noConversion"/>
  </si>
  <si>
    <r>
      <rPr>
        <sz val="11"/>
        <rFont val="맑은 고딕"/>
        <family val="3"/>
        <charset val="129"/>
      </rPr>
      <t>단순노무종사원</t>
    </r>
    <phoneticPr fontId="16" type="noConversion"/>
  </si>
  <si>
    <t>T9.5mm*1PLY</t>
    <phoneticPr fontId="16" type="noConversion"/>
  </si>
  <si>
    <r>
      <rPr>
        <sz val="10"/>
        <rFont val="맑은 고딕"/>
        <family val="3"/>
        <charset val="129"/>
      </rPr>
      <t>먹메김</t>
    </r>
  </si>
  <si>
    <r>
      <rPr>
        <sz val="10"/>
        <rFont val="맑은 고딕"/>
        <family val="3"/>
        <charset val="129"/>
      </rPr>
      <t>㎡</t>
    </r>
    <phoneticPr fontId="16" type="noConversion"/>
  </si>
  <si>
    <r>
      <rPr>
        <sz val="9"/>
        <rFont val="맑은 고딕"/>
        <family val="3"/>
        <charset val="129"/>
      </rPr>
      <t>인</t>
    </r>
    <phoneticPr fontId="49" type="noConversion"/>
  </si>
  <si>
    <r>
      <t xml:space="preserve">- </t>
    </r>
    <r>
      <rPr>
        <sz val="11"/>
        <rFont val="맑은 고딕"/>
        <family val="3"/>
        <charset val="129"/>
      </rPr>
      <t>건축목공</t>
    </r>
    <r>
      <rPr>
        <sz val="11"/>
        <rFont val="Arial"/>
        <family val="2"/>
      </rPr>
      <t xml:space="preserve"> : 0.0255(</t>
    </r>
    <r>
      <rPr>
        <sz val="11"/>
        <rFont val="맑은 고딕"/>
        <family val="3"/>
        <charset val="129"/>
      </rPr>
      <t>사무소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마감부</t>
    </r>
    <r>
      <rPr>
        <sz val="11"/>
        <rFont val="Arial"/>
        <family val="2"/>
      </rPr>
      <t>)</t>
    </r>
  </si>
  <si>
    <r>
      <rPr>
        <sz val="11"/>
        <rFont val="맑은 고딕"/>
        <family val="3"/>
        <charset val="129"/>
      </rPr>
      <t>석고보드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시공</t>
    </r>
    <phoneticPr fontId="16" type="noConversion"/>
  </si>
  <si>
    <r>
      <t>THK9.5mm 2PLY(</t>
    </r>
    <r>
      <rPr>
        <sz val="11"/>
        <rFont val="맑은 고딕"/>
        <family val="3"/>
        <charset val="129"/>
      </rPr>
      <t>천장면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</si>
  <si>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집성스크류</t>
    </r>
    <phoneticPr fontId="16" type="noConversion"/>
  </si>
  <si>
    <t>#8 25mm</t>
    <phoneticPr fontId="16" type="noConversion"/>
  </si>
  <si>
    <t>N75</t>
    <phoneticPr fontId="16" type="noConversion"/>
  </si>
  <si>
    <r>
      <rPr>
        <sz val="11"/>
        <rFont val="맑은 고딕"/>
        <family val="3"/>
        <charset val="129"/>
      </rPr>
      <t>기구손료</t>
    </r>
    <phoneticPr fontId="49" type="noConversion"/>
  </si>
  <si>
    <r>
      <rPr>
        <sz val="11"/>
        <rFont val="맑은 고딕"/>
        <family val="3"/>
        <charset val="129"/>
      </rPr>
      <t>노무비의</t>
    </r>
    <r>
      <rPr>
        <sz val="11"/>
        <rFont val="Arial"/>
        <family val="2"/>
      </rPr>
      <t xml:space="preserve"> 1%</t>
    </r>
    <phoneticPr fontId="16" type="noConversion"/>
  </si>
  <si>
    <r>
      <t>THK9.5mm 2PLY(</t>
    </r>
    <r>
      <rPr>
        <sz val="11"/>
        <rFont val="맑은 고딕"/>
        <family val="3"/>
        <charset val="129"/>
      </rPr>
      <t>벽체면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</si>
  <si>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석고보드</t>
    </r>
    <r>
      <rPr>
        <sz val="11"/>
        <rFont val="Arial"/>
        <family val="2"/>
      </rPr>
      <t>T9.5mm*900*1,800M2</t>
    </r>
  </si>
  <si>
    <r>
      <rPr>
        <sz val="11"/>
        <rFont val="맑은 고딕"/>
        <family val="3"/>
        <charset val="129"/>
      </rPr>
      <t>노무비의</t>
    </r>
    <r>
      <rPr>
        <sz val="11"/>
        <rFont val="Arial"/>
        <family val="2"/>
      </rPr>
      <t xml:space="preserve"> 1%</t>
    </r>
    <phoneticPr fontId="16" type="noConversion"/>
  </si>
  <si>
    <r>
      <rPr>
        <sz val="11"/>
        <rFont val="맑은 고딕"/>
        <family val="3"/>
        <charset val="129"/>
      </rPr>
      <t>석고보드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시공</t>
    </r>
  </si>
  <si>
    <r>
      <t>THK9.5mm 1PLY(</t>
    </r>
    <r>
      <rPr>
        <sz val="11"/>
        <rFont val="맑은 고딕"/>
        <family val="3"/>
        <charset val="129"/>
      </rPr>
      <t>벽체면</t>
    </r>
    <r>
      <rPr>
        <sz val="11"/>
        <rFont val="Arial"/>
        <family val="2"/>
      </rPr>
      <t>)</t>
    </r>
  </si>
  <si>
    <r>
      <rPr>
        <sz val="11"/>
        <rFont val="맑은 고딕"/>
        <family val="3"/>
        <charset val="129"/>
      </rPr>
      <t>친환경수성페인트</t>
    </r>
  </si>
  <si>
    <r>
      <rPr>
        <sz val="11"/>
        <rFont val="맑은 고딕"/>
        <family val="3"/>
        <charset val="129"/>
      </rPr>
      <t>벽체</t>
    </r>
    <phoneticPr fontId="16" type="noConversion"/>
  </si>
  <si>
    <r>
      <rPr>
        <sz val="11"/>
        <rFont val="맑은 고딕"/>
        <family val="3"/>
        <charset val="129"/>
      </rPr>
      <t>친환경수성페인트</t>
    </r>
    <phoneticPr fontId="49" type="noConversion"/>
  </si>
  <si>
    <r>
      <rPr>
        <sz val="11"/>
        <rFont val="맑은 고딕"/>
        <family val="3"/>
        <charset val="129"/>
      </rPr>
      <t>내부수성도료</t>
    </r>
    <phoneticPr fontId="16" type="noConversion"/>
  </si>
  <si>
    <r>
      <rPr>
        <sz val="11"/>
        <rFont val="맑은 고딕"/>
        <family val="3"/>
        <charset val="129"/>
      </rPr>
      <t>ℓ</t>
    </r>
  </si>
  <si>
    <r>
      <rPr>
        <sz val="11"/>
        <rFont val="맑은 고딕"/>
        <family val="3"/>
        <charset val="129"/>
      </rPr>
      <t>잡재료비</t>
    </r>
    <phoneticPr fontId="49" type="noConversion"/>
  </si>
  <si>
    <r>
      <rPr>
        <sz val="11"/>
        <rFont val="맑은 고딕"/>
        <family val="3"/>
        <charset val="129"/>
      </rPr>
      <t>주재료비의</t>
    </r>
    <r>
      <rPr>
        <sz val="11"/>
        <rFont val="Arial"/>
        <family val="2"/>
      </rPr>
      <t xml:space="preserve"> 6%</t>
    </r>
    <phoneticPr fontId="16" type="noConversion"/>
  </si>
  <si>
    <r>
      <rPr>
        <sz val="11"/>
        <rFont val="맑은 고딕"/>
        <family val="3"/>
        <charset val="129"/>
      </rPr>
      <t>노무비의</t>
    </r>
    <r>
      <rPr>
        <sz val="11"/>
        <rFont val="Arial"/>
        <family val="2"/>
      </rPr>
      <t xml:space="preserve"> 9%</t>
    </r>
    <phoneticPr fontId="16" type="noConversion"/>
  </si>
  <si>
    <r>
      <rPr>
        <sz val="11"/>
        <rFont val="맑은 고딕"/>
        <family val="3"/>
        <charset val="129"/>
      </rPr>
      <t>퍼티</t>
    </r>
    <phoneticPr fontId="49" type="noConversion"/>
  </si>
  <si>
    <r>
      <rPr>
        <sz val="11"/>
        <rFont val="맑은 고딕"/>
        <family val="3"/>
        <charset val="129"/>
      </rPr>
      <t>핸디코트</t>
    </r>
  </si>
  <si>
    <r>
      <rPr>
        <sz val="11"/>
        <rFont val="맑은 고딕"/>
        <family val="3"/>
        <charset val="129"/>
      </rPr>
      <t>매</t>
    </r>
    <phoneticPr fontId="49" type="noConversion"/>
  </si>
  <si>
    <r>
      <rPr>
        <sz val="11"/>
        <rFont val="맑은 고딕"/>
        <family val="3"/>
        <charset val="129"/>
      </rPr>
      <t>바탕만들기</t>
    </r>
    <phoneticPr fontId="16" type="noConversion"/>
  </si>
  <si>
    <r>
      <rPr>
        <sz val="11"/>
        <rFont val="맑은 고딕"/>
        <family val="3"/>
        <charset val="129"/>
      </rPr>
      <t>목재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석고면</t>
    </r>
    <phoneticPr fontId="16" type="noConversion"/>
  </si>
  <si>
    <r>
      <rPr>
        <sz val="11"/>
        <rFont val="맑은 고딕"/>
        <family val="3"/>
        <charset val="129"/>
      </rPr>
      <t>휠러</t>
    </r>
    <phoneticPr fontId="49" type="noConversion"/>
  </si>
  <si>
    <r>
      <rPr>
        <sz val="11"/>
        <rFont val="맑은 고딕"/>
        <family val="3"/>
        <charset val="129"/>
      </rPr>
      <t>외부용</t>
    </r>
    <r>
      <rPr>
        <sz val="11"/>
        <rFont val="Arial"/>
        <family val="2"/>
      </rPr>
      <t xml:space="preserve"> 25kg</t>
    </r>
    <phoneticPr fontId="193" type="noConversion"/>
  </si>
  <si>
    <r>
      <rPr>
        <sz val="11"/>
        <rFont val="맑은 고딕"/>
        <family val="3"/>
        <charset val="129"/>
      </rPr>
      <t>연마지</t>
    </r>
    <phoneticPr fontId="49" type="noConversion"/>
  </si>
  <si>
    <t>#120</t>
    <phoneticPr fontId="49" type="noConversion"/>
  </si>
  <si>
    <r>
      <rPr>
        <sz val="11"/>
        <rFont val="맑은 고딕"/>
        <family val="3"/>
        <charset val="129"/>
      </rPr>
      <t>화이버테이프</t>
    </r>
    <phoneticPr fontId="49" type="noConversion"/>
  </si>
  <si>
    <r>
      <rPr>
        <sz val="11"/>
        <rFont val="맑은 고딕"/>
        <family val="3"/>
        <charset val="129"/>
      </rPr>
      <t>노무비의</t>
    </r>
    <r>
      <rPr>
        <sz val="11"/>
        <rFont val="Arial"/>
        <family val="2"/>
      </rPr>
      <t xml:space="preserve"> 2%</t>
    </r>
    <phoneticPr fontId="16" type="noConversion"/>
  </si>
  <si>
    <r>
      <rPr>
        <sz val="11"/>
        <rFont val="맑은 고딕"/>
        <family val="3"/>
        <charset val="129"/>
      </rPr>
      <t>칼라락카칠</t>
    </r>
    <phoneticPr fontId="16" type="noConversion"/>
  </si>
  <si>
    <r>
      <rPr>
        <sz val="11"/>
        <rFont val="맑은 고딕"/>
        <family val="3"/>
        <charset val="129"/>
      </rPr>
      <t>쉐락니스</t>
    </r>
    <phoneticPr fontId="49" type="noConversion"/>
  </si>
  <si>
    <t>L</t>
    <phoneticPr fontId="16" type="noConversion"/>
  </si>
  <si>
    <r>
      <rPr>
        <sz val="11"/>
        <rFont val="맑은 고딕"/>
        <family val="3"/>
        <charset val="129"/>
      </rPr>
      <t>락카사페사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락카</t>
    </r>
    <r>
      <rPr>
        <sz val="11"/>
        <rFont val="Arial"/>
        <family val="2"/>
      </rPr>
      <t>)</t>
    </r>
    <phoneticPr fontId="49" type="noConversion"/>
  </si>
  <si>
    <t>DNL-4150</t>
    <phoneticPr fontId="49" type="noConversion"/>
  </si>
  <si>
    <r>
      <rPr>
        <sz val="11"/>
        <rFont val="맑은 고딕"/>
        <family val="3"/>
        <charset val="129"/>
      </rPr>
      <t>신너</t>
    </r>
    <phoneticPr fontId="49" type="noConversion"/>
  </si>
  <si>
    <t>KSM6060-3</t>
    <phoneticPr fontId="49" type="noConversion"/>
  </si>
  <si>
    <r>
      <rPr>
        <sz val="11"/>
        <rFont val="맑은 고딕"/>
        <family val="3"/>
        <charset val="129"/>
      </rPr>
      <t>칼라락카</t>
    </r>
    <phoneticPr fontId="49" type="noConversion"/>
  </si>
  <si>
    <t>CL440</t>
    <phoneticPr fontId="49" type="noConversion"/>
  </si>
  <si>
    <r>
      <rPr>
        <sz val="11"/>
        <color theme="1"/>
        <rFont val="맑은 고딕"/>
        <family val="3"/>
        <charset val="129"/>
      </rPr>
      <t>퍼티</t>
    </r>
    <phoneticPr fontId="49" type="noConversion"/>
  </si>
  <si>
    <r>
      <rPr>
        <sz val="11"/>
        <color theme="1"/>
        <rFont val="맑은 고딕"/>
        <family val="3"/>
        <charset val="129"/>
      </rPr>
      <t>핸디코트</t>
    </r>
  </si>
  <si>
    <r>
      <rPr>
        <sz val="11"/>
        <rFont val="맑은 고딕"/>
        <family val="3"/>
        <charset val="129"/>
      </rPr>
      <t>도장공</t>
    </r>
    <phoneticPr fontId="49" type="noConversion"/>
  </si>
  <si>
    <r>
      <rPr>
        <sz val="11"/>
        <rFont val="맑은 고딕"/>
        <family val="3"/>
        <charset val="129"/>
      </rPr>
      <t>인</t>
    </r>
    <phoneticPr fontId="49" type="noConversion"/>
  </si>
  <si>
    <r>
      <t xml:space="preserve">mdf </t>
    </r>
    <r>
      <rPr>
        <sz val="11"/>
        <rFont val="맑은 고딕"/>
        <family val="3"/>
        <charset val="129"/>
      </rPr>
      <t>취부</t>
    </r>
    <phoneticPr fontId="16" type="noConversion"/>
  </si>
  <si>
    <t>T9mm</t>
    <phoneticPr fontId="16" type="noConversion"/>
  </si>
  <si>
    <r>
      <rPr>
        <sz val="9"/>
        <rFont val="맑은 고딕"/>
        <family val="3"/>
        <charset val="129"/>
      </rPr>
      <t>㎡</t>
    </r>
    <phoneticPr fontId="16" type="noConversion"/>
  </si>
  <si>
    <t>mdf</t>
    <phoneticPr fontId="16" type="noConversion"/>
  </si>
  <si>
    <t>T9mm*4'*8'</t>
    <phoneticPr fontId="16" type="noConversion"/>
  </si>
  <si>
    <r>
      <rPr>
        <sz val="11"/>
        <rFont val="맑은 고딕"/>
        <family val="3"/>
        <charset val="129"/>
      </rPr>
      <t>노무비의</t>
    </r>
    <r>
      <rPr>
        <sz val="11"/>
        <rFont val="Arial"/>
        <family val="2"/>
      </rPr>
      <t>2%</t>
    </r>
    <phoneticPr fontId="16" type="noConversion"/>
  </si>
  <si>
    <r>
      <rPr>
        <sz val="11"/>
        <rFont val="맑은 고딕"/>
        <family val="3"/>
        <charset val="129"/>
      </rPr>
      <t>유물보조대</t>
    </r>
    <phoneticPr fontId="16" type="noConversion"/>
  </si>
  <si>
    <r>
      <t>MDF 9mm</t>
    </r>
    <r>
      <rPr>
        <sz val="11"/>
        <rFont val="맑은 고딕"/>
        <family val="3"/>
        <charset val="129"/>
      </rPr>
      <t>위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천도배</t>
    </r>
    <phoneticPr fontId="16" type="noConversion"/>
  </si>
  <si>
    <r>
      <rPr>
        <sz val="10"/>
        <rFont val="맑은 고딕"/>
        <family val="3"/>
        <charset val="129"/>
      </rPr>
      <t>바탕처리</t>
    </r>
  </si>
  <si>
    <r>
      <rPr>
        <sz val="10"/>
        <rFont val="맑은 고딕"/>
        <family val="3"/>
        <charset val="129"/>
      </rPr>
      <t>도배퍼티</t>
    </r>
  </si>
  <si>
    <r>
      <rPr>
        <sz val="11"/>
        <rFont val="맑은 고딕"/>
        <family val="3"/>
        <charset val="129"/>
      </rPr>
      <t>내부도배</t>
    </r>
  </si>
  <si>
    <r>
      <rPr>
        <sz val="11"/>
        <rFont val="맑은 고딕"/>
        <family val="3"/>
        <charset val="129"/>
      </rPr>
      <t>레일트랙</t>
    </r>
    <phoneticPr fontId="16" type="noConversion"/>
  </si>
  <si>
    <r>
      <rPr>
        <sz val="10"/>
        <rFont val="맑은 고딕"/>
        <family val="3"/>
        <charset val="129"/>
      </rPr>
      <t>멀티트랙</t>
    </r>
    <phoneticPr fontId="16" type="noConversion"/>
  </si>
  <si>
    <r>
      <rPr>
        <sz val="10"/>
        <rFont val="맑은 고딕"/>
        <family val="3"/>
        <charset val="129"/>
      </rPr>
      <t>트랙레일</t>
    </r>
    <r>
      <rPr>
        <sz val="10"/>
        <rFont val="Arial"/>
        <family val="2"/>
      </rPr>
      <t>(1</t>
    </r>
    <r>
      <rPr>
        <sz val="10"/>
        <rFont val="맑은 고딕"/>
        <family val="3"/>
        <charset val="129"/>
      </rPr>
      <t>회로</t>
    </r>
    <r>
      <rPr>
        <sz val="10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</si>
  <si>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내선전공</t>
    </r>
    <phoneticPr fontId="16" type="noConversion"/>
  </si>
  <si>
    <r>
      <rPr>
        <sz val="10"/>
        <rFont val="맑은 고딕"/>
        <family val="3"/>
        <charset val="129"/>
      </rPr>
      <t>인</t>
    </r>
    <phoneticPr fontId="16" type="noConversion"/>
  </si>
  <si>
    <r>
      <rPr>
        <sz val="11"/>
        <rFont val="맑은 고딕"/>
        <family val="3"/>
        <charset val="129"/>
      </rPr>
      <t>공구손료</t>
    </r>
    <phoneticPr fontId="16" type="noConversion"/>
  </si>
  <si>
    <r>
      <rPr>
        <sz val="10"/>
        <rFont val="맑은 고딕"/>
        <family val="3"/>
        <charset val="129"/>
      </rPr>
      <t>식</t>
    </r>
    <phoneticPr fontId="16" type="noConversion"/>
  </si>
  <si>
    <r>
      <t xml:space="preserve">LED </t>
    </r>
    <r>
      <rPr>
        <sz val="11"/>
        <rFont val="맑은 고딕"/>
        <family val="3"/>
        <charset val="129"/>
      </rPr>
      <t>포인트조명설치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벽부형</t>
    </r>
    <r>
      <rPr>
        <sz val="11"/>
        <rFont val="Arial"/>
        <family val="2"/>
      </rPr>
      <t>)</t>
    </r>
    <phoneticPr fontId="16" type="noConversion"/>
  </si>
  <si>
    <r>
      <t>15W</t>
    </r>
    <r>
      <rPr>
        <sz val="11"/>
        <rFont val="맑은 고딕"/>
        <family val="3"/>
        <charset val="129"/>
      </rPr>
      <t>이하</t>
    </r>
    <phoneticPr fontId="16" type="noConversion"/>
  </si>
  <si>
    <t>ea</t>
    <phoneticPr fontId="16" type="noConversion"/>
  </si>
  <si>
    <r>
      <rPr>
        <sz val="11"/>
        <rFont val="맑은 고딕"/>
        <family val="3"/>
        <charset val="129"/>
      </rPr>
      <t>박물관용</t>
    </r>
    <r>
      <rPr>
        <sz val="11"/>
        <rFont val="Arial"/>
        <family val="2"/>
      </rPr>
      <t xml:space="preserve">led </t>
    </r>
    <r>
      <rPr>
        <sz val="11"/>
        <rFont val="맑은 고딕"/>
        <family val="3"/>
        <charset val="129"/>
      </rPr>
      <t>램프</t>
    </r>
    <phoneticPr fontId="16" type="noConversion"/>
  </si>
  <si>
    <r>
      <rPr>
        <sz val="11"/>
        <rFont val="맑은 고딕"/>
        <family val="3"/>
        <charset val="129"/>
      </rPr>
      <t>핀스포트형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벽부형</t>
    </r>
    <r>
      <rPr>
        <sz val="11"/>
        <rFont val="Arial"/>
        <family val="2"/>
      </rPr>
      <t>)</t>
    </r>
    <phoneticPr fontId="16" type="noConversion"/>
  </si>
  <si>
    <r>
      <t xml:space="preserve">LED </t>
    </r>
    <r>
      <rPr>
        <sz val="11"/>
        <rFont val="맑은 고딕"/>
        <family val="3"/>
        <charset val="129"/>
      </rPr>
      <t>포인트조명설치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독립장형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</si>
  <si>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핀스포트형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독립장형</t>
    </r>
    <r>
      <rPr>
        <sz val="11"/>
        <rFont val="Arial"/>
        <family val="2"/>
      </rPr>
      <t>)</t>
    </r>
    <phoneticPr fontId="16" type="noConversion"/>
  </si>
  <si>
    <r>
      <t>LED bar</t>
    </r>
    <r>
      <rPr>
        <sz val="11"/>
        <rFont val="맑은 고딕"/>
        <family val="3"/>
        <charset val="129"/>
      </rPr>
      <t>조명설치</t>
    </r>
    <phoneticPr fontId="16" type="noConversion"/>
  </si>
  <si>
    <r>
      <t>30W</t>
    </r>
    <r>
      <rPr>
        <sz val="11"/>
        <rFont val="맑은 고딕"/>
        <family val="3"/>
        <charset val="129"/>
      </rPr>
      <t>이하</t>
    </r>
    <phoneticPr fontId="16" type="noConversion"/>
  </si>
  <si>
    <r>
      <rPr>
        <sz val="11"/>
        <rFont val="맑은 고딕"/>
        <family val="3"/>
        <charset val="129"/>
      </rPr>
      <t>박물관용</t>
    </r>
    <r>
      <rPr>
        <sz val="11"/>
        <rFont val="Arial"/>
        <family val="2"/>
      </rPr>
      <t>led BAR</t>
    </r>
    <phoneticPr fontId="16" type="noConversion"/>
  </si>
  <si>
    <r>
      <rPr>
        <sz val="11"/>
        <rFont val="맑은 고딕"/>
        <family val="3"/>
        <charset val="129"/>
      </rPr>
      <t>상부천장용</t>
    </r>
    <phoneticPr fontId="16" type="noConversion"/>
  </si>
  <si>
    <r>
      <t xml:space="preserve">LED </t>
    </r>
    <r>
      <rPr>
        <sz val="11"/>
        <rFont val="맑은 고딕"/>
        <family val="3"/>
        <charset val="129"/>
      </rPr>
      <t>포인트조명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컨트롤제작설치</t>
    </r>
    <phoneticPr fontId="16" type="noConversion"/>
  </si>
  <si>
    <r>
      <rPr>
        <sz val="11"/>
        <rFont val="맑은 고딕"/>
        <family val="3"/>
        <charset val="129"/>
      </rPr>
      <t>컨트롤러</t>
    </r>
    <r>
      <rPr>
        <sz val="11"/>
        <rFont val="Arial"/>
        <family val="2"/>
      </rPr>
      <t>(24</t>
    </r>
    <r>
      <rPr>
        <sz val="11"/>
        <rFont val="맑은 고딕"/>
        <family val="3"/>
        <charset val="129"/>
      </rPr>
      <t>채널</t>
    </r>
    <r>
      <rPr>
        <sz val="11"/>
        <rFont val="Arial"/>
        <family val="2"/>
      </rPr>
      <t>)</t>
    </r>
    <phoneticPr fontId="16" type="noConversion"/>
  </si>
  <si>
    <t>set</t>
    <phoneticPr fontId="16" type="noConversion"/>
  </si>
  <si>
    <r>
      <rPr>
        <sz val="11"/>
        <rFont val="맑은 고딕"/>
        <family val="3"/>
        <charset val="129"/>
      </rPr>
      <t>컨트롤러</t>
    </r>
    <r>
      <rPr>
        <sz val="11"/>
        <rFont val="Arial"/>
        <family val="2"/>
      </rPr>
      <t>(16</t>
    </r>
    <r>
      <rPr>
        <sz val="11"/>
        <rFont val="맑은 고딕"/>
        <family val="3"/>
        <charset val="129"/>
      </rPr>
      <t>채널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</si>
  <si>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컨트롤러</t>
    </r>
    <r>
      <rPr>
        <sz val="11"/>
        <rFont val="Arial"/>
        <family val="2"/>
      </rPr>
      <t>(8</t>
    </r>
    <r>
      <rPr>
        <sz val="11"/>
        <rFont val="맑은 고딕"/>
        <family val="3"/>
        <charset val="129"/>
      </rPr>
      <t>채널</t>
    </r>
    <r>
      <rPr>
        <sz val="11"/>
        <rFont val="Arial"/>
        <family val="2"/>
      </rPr>
      <t>)</t>
    </r>
    <phoneticPr fontId="16" type="noConversion"/>
  </si>
  <si>
    <r>
      <t>LED bar</t>
    </r>
    <r>
      <rPr>
        <sz val="11"/>
        <rFont val="맑은 고딕"/>
        <family val="3"/>
        <charset val="129"/>
      </rPr>
      <t>조명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컨트롤제작설치</t>
    </r>
    <phoneticPr fontId="16" type="noConversion"/>
  </si>
  <si>
    <r>
      <rPr>
        <sz val="11"/>
        <rFont val="맑은 고딕"/>
        <family val="3"/>
        <charset val="129"/>
      </rPr>
      <t>컨트롤러</t>
    </r>
    <phoneticPr fontId="16" type="noConversion"/>
  </si>
  <si>
    <r>
      <t xml:space="preserve">LED </t>
    </r>
    <r>
      <rPr>
        <sz val="11"/>
        <rFont val="맑은 고딕"/>
        <family val="3"/>
        <charset val="129"/>
      </rPr>
      <t>파워컨트롤러</t>
    </r>
    <phoneticPr fontId="16" type="noConversion"/>
  </si>
  <si>
    <t>SMPS</t>
    <phoneticPr fontId="16" type="noConversion"/>
  </si>
  <si>
    <r>
      <rPr>
        <sz val="11"/>
        <rFont val="맑은 고딕"/>
        <family val="3"/>
        <charset val="129"/>
      </rPr>
      <t>피아노경첩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제작설치</t>
    </r>
    <phoneticPr fontId="16" type="noConversion"/>
  </si>
  <si>
    <r>
      <rPr>
        <sz val="11"/>
        <rFont val="맑은 고딕"/>
        <family val="3"/>
        <charset val="129"/>
      </rPr>
      <t>피아노경첩</t>
    </r>
    <phoneticPr fontId="16" type="noConversion"/>
  </si>
  <si>
    <r>
      <t xml:space="preserve">LOCK SET </t>
    </r>
    <r>
      <rPr>
        <sz val="11"/>
        <rFont val="맑은 고딕"/>
        <family val="3"/>
        <charset val="129"/>
      </rPr>
      <t>제작설치</t>
    </r>
    <phoneticPr fontId="16" type="noConversion"/>
  </si>
  <si>
    <r>
      <rPr>
        <sz val="11"/>
        <rFont val="맑은 고딕"/>
        <family val="3"/>
        <charset val="129"/>
      </rPr>
      <t>시건장치</t>
    </r>
    <phoneticPr fontId="16" type="noConversion"/>
  </si>
  <si>
    <t>LOCK SET</t>
    <phoneticPr fontId="16" type="noConversion"/>
  </si>
  <si>
    <t>TWO PIN</t>
    <phoneticPr fontId="16" type="noConversion"/>
  </si>
  <si>
    <r>
      <t>LOCK SET</t>
    </r>
    <r>
      <rPr>
        <sz val="11"/>
        <rFont val="맑은 고딕"/>
        <family val="3"/>
        <charset val="129"/>
      </rPr>
      <t>보강</t>
    </r>
    <phoneticPr fontId="16" type="noConversion"/>
  </si>
  <si>
    <r>
      <rPr>
        <sz val="11"/>
        <rFont val="맑은 고딕"/>
        <family val="3"/>
        <charset val="129"/>
      </rPr>
      <t>철판</t>
    </r>
    <phoneticPr fontId="16" type="noConversion"/>
  </si>
  <si>
    <r>
      <rPr>
        <sz val="11"/>
        <rFont val="맑은 고딕"/>
        <family val="3"/>
        <charset val="129"/>
      </rPr>
      <t>유압쇽업쇼바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제작설치</t>
    </r>
    <phoneticPr fontId="16" type="noConversion"/>
  </si>
  <si>
    <t>20kg</t>
    <phoneticPr fontId="16" type="noConversion"/>
  </si>
  <si>
    <r>
      <rPr>
        <sz val="11"/>
        <rFont val="맑은 고딕"/>
        <family val="3"/>
        <charset val="129"/>
      </rPr>
      <t>유압쇽업쇼바</t>
    </r>
    <phoneticPr fontId="16" type="noConversion"/>
  </si>
  <si>
    <t>SET</t>
    <phoneticPr fontId="16" type="noConversion"/>
  </si>
  <si>
    <r>
      <rPr>
        <sz val="11"/>
        <rFont val="맑은 고딕"/>
        <family val="3"/>
        <charset val="129"/>
      </rPr>
      <t>유압쇽업쇼바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보강</t>
    </r>
    <phoneticPr fontId="16" type="noConversion"/>
  </si>
  <si>
    <r>
      <t xml:space="preserve">T4.5mm </t>
    </r>
    <r>
      <rPr>
        <sz val="11"/>
        <rFont val="맑은 고딕"/>
        <family val="3"/>
        <charset val="129"/>
      </rPr>
      <t>레이져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가공</t>
    </r>
    <phoneticPr fontId="16" type="noConversion"/>
  </si>
  <si>
    <t>40kg</t>
    <phoneticPr fontId="16" type="noConversion"/>
  </si>
  <si>
    <r>
      <t>AL.</t>
    </r>
    <r>
      <rPr>
        <sz val="11"/>
        <rFont val="맑은 고딕"/>
        <family val="3"/>
        <charset val="129"/>
      </rPr>
      <t>패킹바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제작설치</t>
    </r>
    <phoneticPr fontId="16" type="noConversion"/>
  </si>
  <si>
    <r>
      <t>AL.</t>
    </r>
    <r>
      <rPr>
        <sz val="11"/>
        <rFont val="맑은 고딕"/>
        <family val="3"/>
        <charset val="129"/>
      </rPr>
      <t>패킹바</t>
    </r>
    <phoneticPr fontId="16" type="noConversion"/>
  </si>
  <si>
    <r>
      <rPr>
        <sz val="11"/>
        <rFont val="맑은 고딕"/>
        <family val="3"/>
        <charset val="129"/>
      </rPr>
      <t>밀폐패킹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설치</t>
    </r>
    <phoneticPr fontId="16" type="noConversion"/>
  </si>
  <si>
    <r>
      <rPr>
        <sz val="11"/>
        <rFont val="맑은 고딕"/>
        <family val="3"/>
        <charset val="129"/>
      </rPr>
      <t>소형</t>
    </r>
    <phoneticPr fontId="16" type="noConversion"/>
  </si>
  <si>
    <r>
      <rPr>
        <sz val="11"/>
        <rFont val="맑은 고딕"/>
        <family val="3"/>
        <charset val="129"/>
      </rPr>
      <t>밀폐패킹</t>
    </r>
    <phoneticPr fontId="16" type="noConversion"/>
  </si>
  <si>
    <r>
      <rPr>
        <sz val="11"/>
        <rFont val="맑은 고딕"/>
        <family val="3"/>
        <charset val="129"/>
      </rPr>
      <t>대형</t>
    </r>
    <phoneticPr fontId="16" type="noConversion"/>
  </si>
  <si>
    <r>
      <t>AL.</t>
    </r>
    <r>
      <rPr>
        <sz val="11"/>
        <rFont val="맑은 고딕"/>
        <family val="3"/>
        <charset val="129"/>
      </rPr>
      <t>사출유리후렘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제작설치</t>
    </r>
    <phoneticPr fontId="16" type="noConversion"/>
  </si>
  <si>
    <r>
      <rPr>
        <sz val="11"/>
        <rFont val="맑은 고딕"/>
        <family val="3"/>
        <charset val="129"/>
      </rPr>
      <t>벽부장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상부</t>
    </r>
    <r>
      <rPr>
        <sz val="11"/>
        <rFont val="Arial"/>
        <family val="2"/>
      </rPr>
      <t>)</t>
    </r>
    <phoneticPr fontId="16" type="noConversion"/>
  </si>
  <si>
    <r>
      <t>AL.</t>
    </r>
    <r>
      <rPr>
        <sz val="11"/>
        <rFont val="맑은 고딕"/>
        <family val="3"/>
        <charset val="129"/>
      </rPr>
      <t>사출유리후렘성형가공</t>
    </r>
    <phoneticPr fontId="16" type="noConversion"/>
  </si>
  <si>
    <r>
      <rPr>
        <sz val="11"/>
        <rFont val="맑은 고딕"/>
        <family val="3"/>
        <charset val="129"/>
      </rPr>
      <t>벽부장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상부</t>
    </r>
    <r>
      <rPr>
        <sz val="11"/>
        <rFont val="Arial"/>
        <family val="2"/>
      </rPr>
      <t>)205</t>
    </r>
    <phoneticPr fontId="16" type="noConversion"/>
  </si>
  <si>
    <r>
      <rPr>
        <sz val="11"/>
        <rFont val="맑은 고딕"/>
        <family val="3"/>
        <charset val="129"/>
      </rPr>
      <t>벽부장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</si>
  <si>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벽부장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)117</t>
    </r>
    <phoneticPr fontId="16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</si>
  <si>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상부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</si>
  <si>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상부</t>
    </r>
    <r>
      <rPr>
        <sz val="11"/>
        <rFont val="Arial"/>
        <family val="2"/>
      </rPr>
      <t>)150</t>
    </r>
    <phoneticPr fontId="16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</si>
  <si>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</si>
  <si>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)103</t>
    </r>
    <phoneticPr fontId="16" type="noConversion"/>
  </si>
  <si>
    <r>
      <t>AL.</t>
    </r>
    <r>
      <rPr>
        <sz val="11"/>
        <rFont val="맑은 고딕"/>
        <family val="3"/>
        <charset val="129"/>
      </rPr>
      <t>사출유리후렘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제작설치</t>
    </r>
    <phoneticPr fontId="16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</si>
  <si>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</t>
    </r>
    <phoneticPr fontId="16" type="noConversion"/>
  </si>
  <si>
    <r>
      <t>AL.</t>
    </r>
    <r>
      <rPr>
        <sz val="11"/>
        <rFont val="맑은 고딕"/>
        <family val="3"/>
        <charset val="129"/>
      </rPr>
      <t>사출유리후렘성형가공</t>
    </r>
    <phoneticPr fontId="16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</si>
  <si>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)103</t>
    </r>
    <phoneticPr fontId="16" type="noConversion"/>
  </si>
  <si>
    <r>
      <rPr>
        <sz val="11"/>
        <rFont val="맑은 고딕"/>
        <family val="3"/>
        <charset val="129"/>
      </rPr>
      <t>특별인부</t>
    </r>
    <phoneticPr fontId="16" type="noConversion"/>
  </si>
  <si>
    <r>
      <t>LM</t>
    </r>
    <r>
      <rPr>
        <sz val="11"/>
        <rFont val="맑은 고딕"/>
        <family val="3"/>
        <charset val="129"/>
      </rPr>
      <t>가이드시스템가공설치</t>
    </r>
    <phoneticPr fontId="16" type="noConversion"/>
  </si>
  <si>
    <t>Ø25</t>
    <phoneticPr fontId="16" type="noConversion"/>
  </si>
  <si>
    <r>
      <t>LM</t>
    </r>
    <r>
      <rPr>
        <sz val="11"/>
        <rFont val="맑은 고딕"/>
        <family val="3"/>
        <charset val="129"/>
      </rPr>
      <t>가이드시스템</t>
    </r>
    <phoneticPr fontId="16" type="noConversion"/>
  </si>
  <si>
    <r>
      <t>LM</t>
    </r>
    <r>
      <rPr>
        <sz val="11"/>
        <rFont val="맑은 고딕"/>
        <family val="3"/>
        <charset val="129"/>
      </rPr>
      <t>가이드시스템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보강판</t>
    </r>
    <phoneticPr fontId="16" type="noConversion"/>
  </si>
  <si>
    <r>
      <t xml:space="preserve">T10mm </t>
    </r>
    <r>
      <rPr>
        <sz val="11"/>
        <rFont val="맑은 고딕"/>
        <family val="3"/>
        <charset val="129"/>
      </rPr>
      <t>레이져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가공</t>
    </r>
    <phoneticPr fontId="16" type="noConversion"/>
  </si>
  <si>
    <r>
      <rPr>
        <sz val="11"/>
        <rFont val="맑은 고딕"/>
        <family val="3"/>
        <charset val="129"/>
      </rPr>
      <t>모터구동시스템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설치</t>
    </r>
    <phoneticPr fontId="16" type="noConversion"/>
  </si>
  <si>
    <r>
      <rPr>
        <sz val="11"/>
        <rFont val="맑은 고딕"/>
        <family val="3"/>
        <charset val="129"/>
      </rPr>
      <t>웜기어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전동실린더</t>
    </r>
    <phoneticPr fontId="16" type="noConversion"/>
  </si>
  <si>
    <r>
      <rPr>
        <sz val="11"/>
        <rFont val="맑은 고딕"/>
        <family val="3"/>
        <charset val="129"/>
      </rPr>
      <t>모터구동시스템</t>
    </r>
    <phoneticPr fontId="16" type="noConversion"/>
  </si>
  <si>
    <r>
      <rPr>
        <sz val="11"/>
        <rFont val="맑은 고딕"/>
        <family val="3"/>
        <charset val="129"/>
      </rPr>
      <t>모터구동시스템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보강</t>
    </r>
    <phoneticPr fontId="16" type="noConversion"/>
  </si>
  <si>
    <r>
      <rPr>
        <sz val="11"/>
        <rFont val="맑은 고딕"/>
        <family val="3"/>
        <charset val="129"/>
      </rPr>
      <t>베어링레일및가공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설치</t>
    </r>
    <phoneticPr fontId="16" type="noConversion"/>
  </si>
  <si>
    <r>
      <t xml:space="preserve">22*42 2.3T </t>
    </r>
    <r>
      <rPr>
        <sz val="10"/>
        <rFont val="맑은 고딕"/>
        <family val="3"/>
        <charset val="129"/>
      </rPr>
      <t>가공</t>
    </r>
  </si>
  <si>
    <r>
      <rPr>
        <sz val="11"/>
        <rFont val="맑은 고딕"/>
        <family val="3"/>
        <charset val="129"/>
      </rPr>
      <t>베어링레일및가공</t>
    </r>
    <phoneticPr fontId="16" type="noConversion"/>
  </si>
  <si>
    <r>
      <t xml:space="preserve">22*42 2.3T </t>
    </r>
    <r>
      <rPr>
        <sz val="10"/>
        <rFont val="맑은 고딕"/>
        <family val="3"/>
        <charset val="129"/>
      </rPr>
      <t>가공</t>
    </r>
    <r>
      <rPr>
        <sz val="10"/>
        <rFont val="Arial"/>
        <family val="2"/>
      </rPr>
      <t>(2</t>
    </r>
    <r>
      <rPr>
        <sz val="10"/>
        <rFont val="맑은 고딕"/>
        <family val="3"/>
        <charset val="129"/>
      </rPr>
      <t>단</t>
    </r>
    <r>
      <rPr>
        <sz val="10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</si>
  <si>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슬라이딩베어링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가공조립</t>
    </r>
    <phoneticPr fontId="16" type="noConversion"/>
  </si>
  <si>
    <r>
      <rPr>
        <sz val="11"/>
        <rFont val="맑은 고딕"/>
        <family val="3"/>
        <charset val="129"/>
      </rPr>
      <t>슬라이딩베어링</t>
    </r>
    <phoneticPr fontId="16" type="noConversion"/>
  </si>
  <si>
    <t>Ø26</t>
    <phoneticPr fontId="16" type="noConversion"/>
  </si>
  <si>
    <r>
      <rPr>
        <sz val="11"/>
        <rFont val="맑은 고딕"/>
        <family val="3"/>
        <charset val="129"/>
      </rPr>
      <t>베어링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붓싱가공조립</t>
    </r>
    <phoneticPr fontId="16" type="noConversion"/>
  </si>
  <si>
    <t>#6200</t>
    <phoneticPr fontId="16" type="noConversion"/>
  </si>
  <si>
    <r>
      <rPr>
        <sz val="11"/>
        <rFont val="맑은 고딕"/>
        <family val="3"/>
        <charset val="129"/>
      </rPr>
      <t>베어링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붓싱가공</t>
    </r>
    <phoneticPr fontId="16" type="noConversion"/>
  </si>
  <si>
    <r>
      <rPr>
        <sz val="11"/>
        <rFont val="맑은 고딕"/>
        <family val="3"/>
        <charset val="129"/>
      </rPr>
      <t>그림걸이레일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설치</t>
    </r>
    <phoneticPr fontId="16" type="noConversion"/>
  </si>
  <si>
    <r>
      <rPr>
        <sz val="11"/>
        <rFont val="맑은 고딕"/>
        <family val="3"/>
        <charset val="129"/>
      </rPr>
      <t>그림걸이레일</t>
    </r>
    <phoneticPr fontId="16" type="noConversion"/>
  </si>
  <si>
    <r>
      <rPr>
        <sz val="11"/>
        <rFont val="맑은 고딕"/>
        <family val="3"/>
        <charset val="129"/>
      </rPr>
      <t>센터베어링및스톱파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가공조립</t>
    </r>
    <phoneticPr fontId="16" type="noConversion"/>
  </si>
  <si>
    <r>
      <rPr>
        <sz val="10"/>
        <rFont val="맑은 고딕"/>
        <family val="3"/>
        <charset val="129"/>
      </rPr>
      <t>벽부형</t>
    </r>
    <phoneticPr fontId="16" type="noConversion"/>
  </si>
  <si>
    <r>
      <rPr>
        <sz val="11"/>
        <rFont val="맑은 고딕"/>
        <family val="3"/>
        <charset val="129"/>
      </rPr>
      <t>센터베어링및스톱파</t>
    </r>
    <phoneticPr fontId="16" type="noConversion"/>
  </si>
  <si>
    <r>
      <rPr>
        <sz val="11"/>
        <rFont val="맑은 고딕"/>
        <family val="3"/>
        <charset val="129"/>
      </rPr>
      <t>센터베어링가이드</t>
    </r>
    <phoneticPr fontId="16" type="noConversion"/>
  </si>
  <si>
    <r>
      <t xml:space="preserve">T2.3mm </t>
    </r>
    <r>
      <rPr>
        <sz val="10"/>
        <rFont val="맑은 고딕"/>
        <family val="3"/>
        <charset val="129"/>
      </rPr>
      <t>가공</t>
    </r>
    <phoneticPr fontId="16" type="noConversion"/>
  </si>
  <si>
    <r>
      <rPr>
        <sz val="10"/>
        <rFont val="맑은 고딕"/>
        <family val="3"/>
        <charset val="129"/>
      </rPr>
      <t>독립형</t>
    </r>
    <r>
      <rPr>
        <sz val="10"/>
        <rFont val="Arial"/>
        <family val="2"/>
      </rPr>
      <t>1</t>
    </r>
    <r>
      <rPr>
        <sz val="10"/>
        <rFont val="맑은 고딕"/>
        <family val="3"/>
        <charset val="129"/>
      </rPr>
      <t>단</t>
    </r>
    <phoneticPr fontId="16" type="noConversion"/>
  </si>
  <si>
    <r>
      <rPr>
        <sz val="10"/>
        <rFont val="맑은 고딕"/>
        <family val="3"/>
        <charset val="129"/>
      </rPr>
      <t>독립형</t>
    </r>
    <r>
      <rPr>
        <sz val="10"/>
        <rFont val="Arial"/>
        <family val="2"/>
      </rPr>
      <t>2</t>
    </r>
    <r>
      <rPr>
        <sz val="10"/>
        <rFont val="맑은 고딕"/>
        <family val="3"/>
        <charset val="129"/>
      </rPr>
      <t>단</t>
    </r>
    <phoneticPr fontId="16" type="noConversion"/>
  </si>
  <si>
    <r>
      <rPr>
        <sz val="11"/>
        <rFont val="맑은 고딕"/>
        <family val="3"/>
        <charset val="129"/>
      </rPr>
      <t>전후진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전동콘트롤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제작설치</t>
    </r>
    <phoneticPr fontId="16" type="noConversion"/>
  </si>
  <si>
    <r>
      <rPr>
        <sz val="11"/>
        <rFont val="맑은 고딕"/>
        <family val="3"/>
        <charset val="129"/>
      </rPr>
      <t>전후진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전동콘트롤라</t>
    </r>
    <phoneticPr fontId="16" type="noConversion"/>
  </si>
  <si>
    <r>
      <rPr>
        <sz val="11"/>
        <rFont val="맑은 고딕"/>
        <family val="3"/>
        <charset val="129"/>
      </rPr>
      <t>통신설비공</t>
    </r>
    <phoneticPr fontId="16" type="noConversion"/>
  </si>
  <si>
    <r>
      <rPr>
        <sz val="10"/>
        <rFont val="맑은 고딕"/>
        <family val="3"/>
        <charset val="129"/>
      </rPr>
      <t>독립형</t>
    </r>
    <phoneticPr fontId="16" type="noConversion"/>
  </si>
  <si>
    <r>
      <t>LED</t>
    </r>
    <r>
      <rPr>
        <sz val="11"/>
        <rFont val="맑은 고딕"/>
        <family val="3"/>
        <charset val="129"/>
      </rPr>
      <t>전반조명</t>
    </r>
    <r>
      <rPr>
        <sz val="11"/>
        <rFont val="Arial"/>
        <family val="2"/>
      </rPr>
      <t>CASE</t>
    </r>
    <r>
      <rPr>
        <sz val="11"/>
        <rFont val="맑은 고딕"/>
        <family val="3"/>
        <charset val="129"/>
      </rPr>
      <t>제작설치</t>
    </r>
    <phoneticPr fontId="16" type="noConversion"/>
  </si>
  <si>
    <r>
      <rPr>
        <sz val="10"/>
        <rFont val="맑은 고딕"/>
        <family val="3"/>
        <charset val="129"/>
      </rPr>
      <t>도장포함</t>
    </r>
    <phoneticPr fontId="16" type="noConversion"/>
  </si>
  <si>
    <r>
      <t xml:space="preserve">CASTER&amp;ADJUSTER </t>
    </r>
    <r>
      <rPr>
        <sz val="11"/>
        <rFont val="맑은 고딕"/>
        <family val="3"/>
        <charset val="129"/>
      </rPr>
      <t>제작설치</t>
    </r>
    <phoneticPr fontId="16" type="noConversion"/>
  </si>
  <si>
    <t>CASTER&amp;ADJUSTER</t>
    <phoneticPr fontId="16" type="noConversion"/>
  </si>
  <si>
    <r>
      <t>CASTER&amp;ADJUSTER</t>
    </r>
    <r>
      <rPr>
        <sz val="11"/>
        <rFont val="맑은 고딕"/>
        <family val="3"/>
        <charset val="129"/>
      </rPr>
      <t>보강</t>
    </r>
    <phoneticPr fontId="16" type="noConversion"/>
  </si>
  <si>
    <r>
      <t>5</t>
    </r>
    <r>
      <rPr>
        <sz val="11"/>
        <rFont val="맑은 고딕"/>
        <family val="3"/>
        <charset val="129"/>
      </rPr>
      <t>면장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유리후레임</t>
    </r>
    <phoneticPr fontId="16" type="noConversion"/>
  </si>
  <si>
    <t>T3.2</t>
    <phoneticPr fontId="16" type="noConversion"/>
  </si>
  <si>
    <t>T3.2 GALV.</t>
    <phoneticPr fontId="16" type="noConversion"/>
  </si>
  <si>
    <r>
      <rPr>
        <sz val="11"/>
        <rFont val="맑은 고딕"/>
        <family val="3"/>
        <charset val="129"/>
      </rPr>
      <t>인테리어필름붙임</t>
    </r>
    <phoneticPr fontId="16" type="noConversion"/>
  </si>
  <si>
    <r>
      <rPr>
        <sz val="11"/>
        <rFont val="맑은 고딕"/>
        <family val="3"/>
        <charset val="129"/>
      </rPr>
      <t>넓은면</t>
    </r>
    <phoneticPr fontId="16" type="noConversion"/>
  </si>
  <si>
    <r>
      <rPr>
        <sz val="11"/>
        <rFont val="맑은 고딕"/>
        <family val="3"/>
        <charset val="129"/>
      </rPr>
      <t>인테리어필름지</t>
    </r>
  </si>
  <si>
    <r>
      <rPr>
        <sz val="11"/>
        <rFont val="맑은 고딕"/>
        <family val="3"/>
        <charset val="129"/>
      </rPr>
      <t>방염</t>
    </r>
    <r>
      <rPr>
        <sz val="11"/>
        <rFont val="Arial"/>
        <family val="2"/>
      </rPr>
      <t xml:space="preserve"> </t>
    </r>
    <phoneticPr fontId="16" type="noConversion"/>
  </si>
  <si>
    <r>
      <rPr>
        <sz val="11"/>
        <rFont val="맑은 고딕"/>
        <family val="3"/>
        <charset val="129"/>
      </rPr>
      <t>㎡</t>
    </r>
  </si>
  <si>
    <r>
      <rPr>
        <sz val="11"/>
        <rFont val="맑은 고딕"/>
        <family val="3"/>
        <charset val="129"/>
      </rPr>
      <t>접착제</t>
    </r>
    <phoneticPr fontId="16" type="noConversion"/>
  </si>
  <si>
    <r>
      <rPr>
        <sz val="11"/>
        <rFont val="맑은 고딕"/>
        <family val="3"/>
        <charset val="129"/>
      </rPr>
      <t>수성프라이머나</t>
    </r>
    <r>
      <rPr>
        <sz val="11"/>
        <rFont val="Arial"/>
        <family val="2"/>
      </rPr>
      <t>-2000</t>
    </r>
    <phoneticPr fontId="16" type="noConversion"/>
  </si>
  <si>
    <r>
      <rPr>
        <sz val="11"/>
        <rFont val="맑은 고딕"/>
        <family val="3"/>
        <charset val="129"/>
      </rPr>
      <t>내장공</t>
    </r>
  </si>
  <si>
    <t>단  가  조  사  비  교  표</t>
    <phoneticPr fontId="16" type="noConversion"/>
  </si>
  <si>
    <t>2019년 01월 조사</t>
    <phoneticPr fontId="193" type="noConversion"/>
  </si>
  <si>
    <t>재  료  명</t>
    <phoneticPr fontId="16" type="noConversion"/>
  </si>
  <si>
    <t>재질 및 규격</t>
    <phoneticPr fontId="16" type="noConversion"/>
  </si>
  <si>
    <t>물가자료</t>
    <phoneticPr fontId="16" type="noConversion"/>
  </si>
  <si>
    <t>물가정보</t>
    <phoneticPr fontId="16" type="noConversion"/>
  </si>
  <si>
    <t>견적단가-1</t>
    <phoneticPr fontId="16" type="noConversion"/>
  </si>
  <si>
    <t>견적단가-2</t>
    <phoneticPr fontId="16" type="noConversion"/>
  </si>
  <si>
    <t>단 가</t>
    <phoneticPr fontId="16" type="noConversion"/>
  </si>
  <si>
    <r>
      <t>L-</t>
    </r>
    <r>
      <rPr>
        <sz val="11"/>
        <rFont val="맑은 고딕"/>
        <family val="3"/>
        <charset val="129"/>
      </rPr>
      <t>형강</t>
    </r>
  </si>
  <si>
    <t>50*50*4T</t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</si>
  <si>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-56</t>
    </r>
    <phoneticPr fontId="16" type="noConversion"/>
  </si>
  <si>
    <t>T1.2 GALV.</t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</si>
  <si>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-66</t>
    </r>
    <phoneticPr fontId="16" type="noConversion"/>
  </si>
  <si>
    <r>
      <rPr>
        <sz val="11"/>
        <rFont val="맑은 고딕"/>
        <family val="3"/>
        <charset val="129"/>
      </rPr>
      <t>철판</t>
    </r>
    <phoneticPr fontId="16" type="noConversion"/>
  </si>
  <si>
    <t>T1.6 GALV.</t>
    <phoneticPr fontId="16" type="noConversion"/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</si>
  <si>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-66</t>
    </r>
    <phoneticPr fontId="16" type="noConversion"/>
  </si>
  <si>
    <t>30*30*1.4T</t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</si>
  <si>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-75</t>
    </r>
    <phoneticPr fontId="16" type="noConversion"/>
  </si>
  <si>
    <t>40*20*2.3T</t>
    <phoneticPr fontId="193" type="noConversion"/>
  </si>
  <si>
    <r>
      <rPr>
        <sz val="11"/>
        <rFont val="맑은 고딕"/>
        <family val="3"/>
        <charset val="129"/>
      </rPr>
      <t>각파이프</t>
    </r>
  </si>
  <si>
    <r>
      <rPr>
        <sz val="11"/>
        <rFont val="맑은 고딕"/>
        <family val="3"/>
        <charset val="129"/>
      </rPr>
      <t>일반용철못</t>
    </r>
    <phoneticPr fontId="49" type="noConversion"/>
  </si>
  <si>
    <t>N25</t>
    <phoneticPr fontId="49" type="noConversion"/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</si>
  <si>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-86</t>
    </r>
    <phoneticPr fontId="16" type="noConversion"/>
  </si>
  <si>
    <t>N50</t>
    <phoneticPr fontId="49" type="noConversion"/>
  </si>
  <si>
    <t>N75</t>
    <phoneticPr fontId="49" type="noConversion"/>
  </si>
  <si>
    <r>
      <rPr>
        <sz val="11"/>
        <rFont val="맑은 고딕"/>
        <family val="3"/>
        <charset val="129"/>
      </rPr>
      <t>전산볼트</t>
    </r>
  </si>
  <si>
    <t>M8</t>
    <phoneticPr fontId="16" type="noConversion"/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</si>
  <si>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-99</t>
    </r>
    <phoneticPr fontId="16" type="noConversion"/>
  </si>
  <si>
    <r>
      <rPr>
        <sz val="11"/>
        <rFont val="맑은 고딕"/>
        <family val="3"/>
        <charset val="129"/>
      </rPr>
      <t>스트롱앙카</t>
    </r>
    <phoneticPr fontId="193" type="noConversion"/>
  </si>
  <si>
    <t>Ø6mm</t>
    <phoneticPr fontId="16" type="noConversion"/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</si>
  <si>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-105</t>
    </r>
    <phoneticPr fontId="16" type="noConversion"/>
  </si>
  <si>
    <t>M3*8mm</t>
    <phoneticPr fontId="16" type="noConversion"/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</si>
  <si>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-96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</si>
  <si>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-63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</si>
  <si>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-84</t>
    </r>
    <phoneticPr fontId="16" type="noConversion"/>
  </si>
  <si>
    <r>
      <rPr>
        <sz val="11"/>
        <rFont val="맑은 고딕"/>
        <family val="3"/>
        <charset val="129"/>
      </rPr>
      <t>비닐페인트</t>
    </r>
  </si>
  <si>
    <t>WB290</t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</si>
  <si>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-86</t>
    </r>
    <phoneticPr fontId="16" type="noConversion"/>
  </si>
  <si>
    <r>
      <t>KSM-6060,1</t>
    </r>
    <r>
      <rPr>
        <sz val="11"/>
        <rFont val="맑은 고딕"/>
        <family val="3"/>
        <charset val="129"/>
      </rPr>
      <t>종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</si>
  <si>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-88</t>
    </r>
    <phoneticPr fontId="16" type="noConversion"/>
  </si>
  <si>
    <t>KSM6060-3</t>
    <phoneticPr fontId="16" type="noConversion"/>
  </si>
  <si>
    <r>
      <rPr>
        <sz val="11"/>
        <rFont val="맑은 고딕"/>
        <family val="3"/>
        <charset val="129"/>
      </rPr>
      <t>칼라락카</t>
    </r>
    <phoneticPr fontId="193" type="noConversion"/>
  </si>
  <si>
    <t>CL440</t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</si>
  <si>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-89</t>
    </r>
    <phoneticPr fontId="16" type="noConversion"/>
  </si>
  <si>
    <r>
      <rPr>
        <sz val="11"/>
        <rFont val="맑은 고딕"/>
        <family val="3"/>
        <charset val="129"/>
      </rPr>
      <t>락카사페사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락카</t>
    </r>
    <r>
      <rPr>
        <sz val="11"/>
        <rFont val="Arial"/>
        <family val="2"/>
      </rPr>
      <t>)</t>
    </r>
    <phoneticPr fontId="193" type="noConversion"/>
  </si>
  <si>
    <t>DNL-4150</t>
    <phoneticPr fontId="16" type="noConversion"/>
  </si>
  <si>
    <r>
      <rPr>
        <sz val="11"/>
        <rFont val="맑은 고딕"/>
        <family val="3"/>
        <charset val="129"/>
      </rPr>
      <t>포리퍼티</t>
    </r>
    <phoneticPr fontId="193" type="noConversion"/>
  </si>
  <si>
    <t>KG</t>
    <phoneticPr fontId="193" type="noConversion"/>
  </si>
  <si>
    <t>ZQL011</t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</si>
  <si>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-91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</si>
  <si>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-181</t>
    </r>
    <phoneticPr fontId="16" type="noConversion"/>
  </si>
  <si>
    <r>
      <rPr>
        <sz val="11"/>
        <rFont val="맑은 고딕"/>
        <family val="3"/>
        <charset val="129"/>
      </rPr>
      <t>합판</t>
    </r>
    <phoneticPr fontId="193" type="noConversion"/>
  </si>
  <si>
    <t>T15mm*4'*8'</t>
    <phoneticPr fontId="193" type="noConversion"/>
  </si>
  <si>
    <t>M2</t>
    <phoneticPr fontId="193" type="noConversion"/>
  </si>
  <si>
    <t>mdf</t>
    <phoneticPr fontId="193" type="noConversion"/>
  </si>
  <si>
    <t>T9mm*4'*8'</t>
    <phoneticPr fontId="193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</si>
  <si>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-182</t>
    </r>
    <phoneticPr fontId="16" type="noConversion"/>
  </si>
  <si>
    <t>T12mm*4'*8'</t>
    <phoneticPr fontId="193" type="noConversion"/>
  </si>
  <si>
    <r>
      <rPr>
        <sz val="11"/>
        <rFont val="맑은 고딕"/>
        <family val="3"/>
        <charset val="129"/>
      </rPr>
      <t>초배지</t>
    </r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</si>
  <si>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-243</t>
    </r>
    <phoneticPr fontId="16" type="noConversion"/>
  </si>
  <si>
    <t>2.6mm(CR-13)</t>
    <phoneticPr fontId="193" type="noConversion"/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</si>
  <si>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-917</t>
    </r>
    <phoneticPr fontId="16" type="noConversion"/>
  </si>
  <si>
    <r>
      <rPr>
        <sz val="11"/>
        <rFont val="맑은 고딕"/>
        <family val="3"/>
        <charset val="129"/>
      </rPr>
      <t>연마포</t>
    </r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</si>
  <si>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-951</t>
    </r>
    <phoneticPr fontId="16" type="noConversion"/>
  </si>
  <si>
    <r>
      <rPr>
        <sz val="11"/>
        <rFont val="맑은 고딕"/>
        <family val="3"/>
        <charset val="129"/>
      </rPr>
      <t>휘발유</t>
    </r>
  </si>
  <si>
    <r>
      <rPr>
        <sz val="11"/>
        <rFont val="맑은 고딕"/>
        <family val="3"/>
        <charset val="129"/>
      </rPr>
      <t>고급휘발유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탱크로리</t>
    </r>
    <phoneticPr fontId="16" type="noConversion"/>
  </si>
  <si>
    <r>
      <rPr>
        <sz val="11"/>
        <rFont val="맑은 고딕"/>
        <family val="3"/>
        <charset val="129"/>
      </rPr>
      <t>하</t>
    </r>
    <r>
      <rPr>
        <sz val="11"/>
        <rFont val="Arial"/>
        <family val="2"/>
      </rPr>
      <t>-32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</si>
  <si>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-560</t>
    </r>
    <phoneticPr fontId="16" type="noConversion"/>
  </si>
  <si>
    <r>
      <rPr>
        <sz val="11"/>
        <rFont val="맑은 고딕"/>
        <family val="3"/>
        <charset val="129"/>
      </rPr>
      <t>하</t>
    </r>
    <r>
      <rPr>
        <sz val="11"/>
        <rFont val="Arial"/>
        <family val="2"/>
      </rPr>
      <t>-33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</si>
  <si>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-561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</si>
  <si>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-643</t>
    </r>
    <phoneticPr fontId="16" type="noConversion"/>
  </si>
  <si>
    <r>
      <rPr>
        <sz val="11"/>
        <rFont val="맑은 고딕"/>
        <family val="3"/>
        <charset val="129"/>
      </rPr>
      <t>하</t>
    </r>
    <r>
      <rPr>
        <sz val="11"/>
        <rFont val="Arial"/>
        <family val="2"/>
      </rPr>
      <t>-117</t>
    </r>
    <phoneticPr fontId="16" type="noConversion"/>
  </si>
  <si>
    <r>
      <rPr>
        <sz val="11"/>
        <rFont val="맑은 고딕"/>
        <family val="3"/>
        <charset val="129"/>
      </rPr>
      <t>본드</t>
    </r>
  </si>
  <si>
    <r>
      <rPr>
        <sz val="11"/>
        <rFont val="맑은 고딕"/>
        <family val="3"/>
        <charset val="129"/>
      </rPr>
      <t>도배용</t>
    </r>
  </si>
  <si>
    <r>
      <rPr>
        <sz val="11"/>
        <rFont val="맑은 고딕"/>
        <family val="3"/>
        <charset val="129"/>
      </rPr>
      <t>석고보드</t>
    </r>
    <phoneticPr fontId="16" type="noConversion"/>
  </si>
  <si>
    <r>
      <rPr>
        <sz val="11"/>
        <rFont val="맑은 고딕"/>
        <family val="3"/>
        <charset val="129"/>
      </rPr>
      <t>풀</t>
    </r>
  </si>
  <si>
    <r>
      <rPr>
        <sz val="11"/>
        <rFont val="맑은 고딕"/>
        <family val="3"/>
        <charset val="129"/>
      </rPr>
      <t>골판지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원단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보양지</t>
    </r>
    <r>
      <rPr>
        <sz val="11"/>
        <rFont val="Arial"/>
        <family val="2"/>
      </rPr>
      <t>)</t>
    </r>
    <phoneticPr fontId="16" type="noConversion"/>
  </si>
  <si>
    <r>
      <t>2</t>
    </r>
    <r>
      <rPr>
        <sz val="11"/>
        <rFont val="맑은 고딕"/>
        <family val="3"/>
        <charset val="129"/>
      </rPr>
      <t>종</t>
    </r>
  </si>
  <si>
    <r>
      <rPr>
        <sz val="11"/>
        <rFont val="맑은 고딕"/>
        <family val="3"/>
        <charset val="129"/>
      </rPr>
      <t>하</t>
    </r>
    <r>
      <rPr>
        <sz val="11"/>
        <rFont val="Arial"/>
        <family val="2"/>
      </rPr>
      <t>-45</t>
    </r>
    <r>
      <rPr>
        <sz val="11"/>
        <rFont val="맑은 고딕"/>
        <family val="3"/>
        <charset val="129"/>
      </rPr>
      <t/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</si>
  <si>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-627</t>
    </r>
    <phoneticPr fontId="16" type="noConversion"/>
  </si>
  <si>
    <r>
      <rPr>
        <sz val="11"/>
        <rFont val="맑은 고딕"/>
        <family val="3"/>
        <charset val="129"/>
      </rPr>
      <t>가새</t>
    </r>
    <phoneticPr fontId="16" type="noConversion"/>
  </si>
  <si>
    <r>
      <t>L:1,518-2</t>
    </r>
    <r>
      <rPr>
        <sz val="11"/>
        <rFont val="맑은 고딕"/>
        <family val="3"/>
        <charset val="129"/>
      </rPr>
      <t>개</t>
    </r>
  </si>
  <si>
    <r>
      <rPr>
        <sz val="11"/>
        <rFont val="맑은 고딕"/>
        <family val="3"/>
        <charset val="129"/>
      </rPr>
      <t>조</t>
    </r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</si>
  <si>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-148</t>
    </r>
    <phoneticPr fontId="16" type="noConversion"/>
  </si>
  <si>
    <r>
      <rPr>
        <sz val="11"/>
        <rFont val="맑은 고딕"/>
        <family val="3"/>
        <charset val="129"/>
      </rPr>
      <t>인서트</t>
    </r>
    <phoneticPr fontId="16" type="noConversion"/>
  </si>
  <si>
    <t xml:space="preserve"> 9mm</t>
    <phoneticPr fontId="193" type="noConversion"/>
  </si>
  <si>
    <r>
      <rPr>
        <sz val="11"/>
        <rFont val="맑은 고딕"/>
        <family val="3"/>
        <charset val="129"/>
      </rPr>
      <t>개</t>
    </r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</si>
  <si>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-246</t>
    </r>
    <phoneticPr fontId="16" type="noConversion"/>
  </si>
  <si>
    <r>
      <rPr>
        <sz val="11"/>
        <rFont val="맑은 고딕"/>
        <family val="3"/>
        <charset val="129"/>
      </rPr>
      <t>용접기</t>
    </r>
    <phoneticPr fontId="16" type="noConversion"/>
  </si>
  <si>
    <r>
      <rPr>
        <sz val="11"/>
        <rFont val="맑은 고딕"/>
        <family val="3"/>
        <charset val="129"/>
      </rPr>
      <t>신너</t>
    </r>
    <phoneticPr fontId="16" type="noConversion"/>
  </si>
  <si>
    <t>KSM6060-3</t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</si>
  <si>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-88</t>
    </r>
    <phoneticPr fontId="16" type="noConversion"/>
  </si>
  <si>
    <r>
      <rPr>
        <sz val="11"/>
        <rFont val="맑은 고딕"/>
        <family val="3"/>
        <charset val="129"/>
      </rPr>
      <t>바퀴</t>
    </r>
    <phoneticPr fontId="16" type="noConversion"/>
  </si>
  <si>
    <t>6"</t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</si>
  <si>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-944</t>
    </r>
    <phoneticPr fontId="16" type="noConversion"/>
  </si>
  <si>
    <r>
      <rPr>
        <sz val="11"/>
        <rFont val="맑은 고딕"/>
        <family val="3"/>
        <charset val="129"/>
      </rPr>
      <t>방수소켓</t>
    </r>
    <phoneticPr fontId="16" type="noConversion"/>
  </si>
  <si>
    <t>6A 250V</t>
  </si>
  <si>
    <r>
      <rPr>
        <sz val="11"/>
        <rFont val="맑은 고딕"/>
        <family val="3"/>
        <charset val="129"/>
      </rPr>
      <t>백열전구</t>
    </r>
    <phoneticPr fontId="16" type="noConversion"/>
  </si>
  <si>
    <t>220V 100W</t>
    <phoneticPr fontId="16" type="noConversion"/>
  </si>
  <si>
    <r>
      <rPr>
        <sz val="11"/>
        <rFont val="맑은 고딕"/>
        <family val="3"/>
        <charset val="129"/>
      </rPr>
      <t>등</t>
    </r>
    <phoneticPr fontId="16" type="noConversion"/>
  </si>
  <si>
    <r>
      <rPr>
        <sz val="11"/>
        <rFont val="맑은 고딕"/>
        <family val="3"/>
        <charset val="129"/>
      </rPr>
      <t>목공용접착제</t>
    </r>
    <phoneticPr fontId="16" type="noConversion"/>
  </si>
  <si>
    <t>kg</t>
    <phoneticPr fontId="193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</si>
  <si>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-673</t>
    </r>
    <phoneticPr fontId="16" type="noConversion"/>
  </si>
  <si>
    <r>
      <t xml:space="preserve">AL </t>
    </r>
    <r>
      <rPr>
        <sz val="11"/>
        <rFont val="맑은 고딕"/>
        <family val="3"/>
        <charset val="129"/>
      </rPr>
      <t>몰딩</t>
    </r>
    <phoneticPr fontId="16" type="noConversion"/>
  </si>
  <si>
    <r>
      <t>w</t>
    </r>
    <r>
      <rPr>
        <sz val="11"/>
        <rFont val="맑은 고딕"/>
        <family val="3"/>
        <charset val="129"/>
      </rPr>
      <t>형</t>
    </r>
    <r>
      <rPr>
        <sz val="11"/>
        <rFont val="Arial"/>
        <family val="2"/>
      </rPr>
      <t xml:space="preserve"> 1.0*15*15*15*15</t>
    </r>
  </si>
  <si>
    <r>
      <rPr>
        <sz val="11"/>
        <rFont val="맑은 고딕"/>
        <family val="3"/>
        <charset val="129"/>
      </rPr>
      <t>전선</t>
    </r>
    <phoneticPr fontId="16" type="noConversion"/>
  </si>
  <si>
    <t>600V IV 2.0mm*3C</t>
    <phoneticPr fontId="16" type="noConversion"/>
  </si>
  <si>
    <r>
      <rPr>
        <sz val="11"/>
        <rFont val="맑은 고딕"/>
        <family val="3"/>
        <charset val="129"/>
      </rPr>
      <t>접착제</t>
    </r>
    <phoneticPr fontId="49" type="noConversion"/>
  </si>
  <si>
    <r>
      <rPr>
        <sz val="11"/>
        <rFont val="맑은 고딕"/>
        <family val="3"/>
        <charset val="129"/>
      </rPr>
      <t>석고본드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</si>
  <si>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-182</t>
    </r>
    <phoneticPr fontId="16" type="noConversion"/>
  </si>
  <si>
    <r>
      <t xml:space="preserve">BRACE </t>
    </r>
    <r>
      <rPr>
        <sz val="11"/>
        <rFont val="맑은 고딕"/>
        <family val="3"/>
        <charset val="129"/>
      </rPr>
      <t>찬넬</t>
    </r>
    <phoneticPr fontId="49" type="noConversion"/>
  </si>
  <si>
    <t>0.8T   67*40</t>
    <phoneticPr fontId="49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</si>
  <si>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-244</t>
    </r>
    <phoneticPr fontId="16" type="noConversion"/>
  </si>
  <si>
    <r>
      <rPr>
        <sz val="11"/>
        <rFont val="맑은 고딕"/>
        <family val="3"/>
        <charset val="129"/>
      </rPr>
      <t>공포</t>
    </r>
    <phoneticPr fontId="49" type="noConversion"/>
  </si>
  <si>
    <t>C6,8-11m</t>
    <phoneticPr fontId="49" type="noConversion"/>
  </si>
  <si>
    <t>ea</t>
    <phoneticPr fontId="49" type="noConversion"/>
  </si>
  <si>
    <t>HILTPIN</t>
    <phoneticPr fontId="49" type="noConversion"/>
  </si>
  <si>
    <t>DX-450</t>
    <phoneticPr fontId="49" type="noConversion"/>
  </si>
  <si>
    <t>EA</t>
    <phoneticPr fontId="49" type="noConversion"/>
  </si>
  <si>
    <r>
      <rPr>
        <sz val="11"/>
        <rFont val="맑은 고딕"/>
        <family val="3"/>
        <charset val="129"/>
      </rPr>
      <t>친환경수성페인트</t>
    </r>
    <phoneticPr fontId="16" type="noConversion"/>
  </si>
  <si>
    <r>
      <rPr>
        <sz val="11"/>
        <rFont val="맑은 고딕"/>
        <family val="3"/>
        <charset val="129"/>
      </rPr>
      <t>내부수성도료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</si>
  <si>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-86</t>
    </r>
    <phoneticPr fontId="16" type="noConversion"/>
  </si>
  <si>
    <r>
      <rPr>
        <sz val="11"/>
        <rFont val="맑은 고딕"/>
        <family val="3"/>
        <charset val="129"/>
      </rPr>
      <t>퍼티</t>
    </r>
    <phoneticPr fontId="49" type="noConversion"/>
  </si>
  <si>
    <r>
      <rPr>
        <sz val="11"/>
        <rFont val="맑은 고딕"/>
        <family val="3"/>
        <charset val="129"/>
      </rPr>
      <t>핸디코트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</si>
  <si>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-89</t>
    </r>
    <phoneticPr fontId="16" type="noConversion"/>
  </si>
  <si>
    <r>
      <rPr>
        <sz val="11"/>
        <rFont val="맑은 고딕"/>
        <family val="3"/>
        <charset val="129"/>
      </rPr>
      <t>휠러</t>
    </r>
    <phoneticPr fontId="49" type="noConversion"/>
  </si>
  <si>
    <r>
      <rPr>
        <sz val="11"/>
        <rFont val="맑은 고딕"/>
        <family val="3"/>
        <charset val="129"/>
      </rPr>
      <t>외부용</t>
    </r>
    <r>
      <rPr>
        <sz val="11"/>
        <rFont val="Arial"/>
        <family val="2"/>
      </rPr>
      <t xml:space="preserve"> 25kg</t>
    </r>
    <phoneticPr fontId="193" type="noConversion"/>
  </si>
  <si>
    <r>
      <rPr>
        <sz val="11"/>
        <rFont val="맑은 고딕"/>
        <family val="3"/>
        <charset val="129"/>
      </rPr>
      <t>연마지</t>
    </r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</si>
  <si>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-951</t>
    </r>
    <phoneticPr fontId="16" type="noConversion"/>
  </si>
  <si>
    <r>
      <rPr>
        <sz val="11"/>
        <rFont val="맑은 고딕"/>
        <family val="3"/>
        <charset val="129"/>
      </rPr>
      <t>인테리어필름지</t>
    </r>
    <phoneticPr fontId="16" type="noConversion"/>
  </si>
  <si>
    <r>
      <rPr>
        <sz val="11"/>
        <rFont val="맑은 고딕"/>
        <family val="3"/>
        <charset val="129"/>
      </rPr>
      <t>방염</t>
    </r>
    <phoneticPr fontId="16" type="noConversion"/>
  </si>
  <si>
    <r>
      <rPr>
        <sz val="11"/>
        <rFont val="맑은 고딕"/>
        <family val="3"/>
        <charset val="129"/>
      </rPr>
      <t>㎡</t>
    </r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</si>
  <si>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-239</t>
    </r>
    <phoneticPr fontId="16" type="noConversion"/>
  </si>
  <si>
    <r>
      <rPr>
        <sz val="11"/>
        <rFont val="맑은 고딕"/>
        <family val="3"/>
        <charset val="129"/>
      </rPr>
      <t>접착제</t>
    </r>
    <phoneticPr fontId="16" type="noConversion"/>
  </si>
  <si>
    <r>
      <rPr>
        <sz val="11"/>
        <rFont val="맑은 고딕"/>
        <family val="3"/>
        <charset val="129"/>
      </rPr>
      <t>수성프라이머나</t>
    </r>
    <r>
      <rPr>
        <sz val="11"/>
        <rFont val="Arial"/>
        <family val="2"/>
      </rPr>
      <t>-2000</t>
    </r>
    <phoneticPr fontId="16" type="noConversion"/>
  </si>
  <si>
    <t>Kg</t>
    <phoneticPr fontId="16" type="noConversion"/>
  </si>
  <si>
    <r>
      <rPr>
        <sz val="11"/>
        <rFont val="맑은 고딕"/>
        <family val="3"/>
        <charset val="129"/>
      </rPr>
      <t>Ⅰ</t>
    </r>
    <r>
      <rPr>
        <sz val="11"/>
        <rFont val="Arial"/>
        <family val="2"/>
      </rPr>
      <t>-118</t>
    </r>
    <phoneticPr fontId="16" type="noConversion"/>
  </si>
  <si>
    <r>
      <rPr>
        <sz val="11"/>
        <rFont val="맑은 고딕"/>
        <family val="3"/>
        <charset val="129"/>
      </rPr>
      <t>강화유리</t>
    </r>
    <phoneticPr fontId="16" type="noConversion"/>
  </si>
  <si>
    <t>T12mm</t>
    <phoneticPr fontId="16" type="noConversion"/>
  </si>
  <si>
    <t>M2</t>
    <phoneticPr fontId="16" type="noConversion"/>
  </si>
  <si>
    <r>
      <rPr>
        <sz val="11"/>
        <rFont val="맑은 고딕"/>
        <family val="3"/>
        <charset val="129"/>
      </rPr>
      <t>Ⅱ</t>
    </r>
    <r>
      <rPr>
        <sz val="11"/>
        <rFont val="Arial"/>
        <family val="2"/>
      </rPr>
      <t>-152</t>
    </r>
    <phoneticPr fontId="16" type="noConversion"/>
  </si>
  <si>
    <t>T10mm</t>
    <phoneticPr fontId="16" type="noConversion"/>
  </si>
  <si>
    <t>T8mm</t>
    <phoneticPr fontId="16" type="noConversion"/>
  </si>
  <si>
    <r>
      <rPr>
        <sz val="11"/>
        <rFont val="맑은 고딕"/>
        <family val="3"/>
        <charset val="129"/>
      </rPr>
      <t>쉐락니스</t>
    </r>
    <phoneticPr fontId="16" type="noConversion"/>
  </si>
  <si>
    <t>도장</t>
    <phoneticPr fontId="16" type="noConversion"/>
  </si>
  <si>
    <r>
      <rPr>
        <sz val="11"/>
        <rFont val="맑은 고딕"/>
        <family val="3"/>
        <charset val="129"/>
      </rPr>
      <t>화이버테이프</t>
    </r>
    <phoneticPr fontId="16" type="noConversion"/>
  </si>
  <si>
    <t>진열</t>
    <phoneticPr fontId="16" type="noConversion"/>
  </si>
  <si>
    <r>
      <rPr>
        <sz val="11"/>
        <rFont val="맑은 고딕"/>
        <family val="3"/>
        <charset val="129"/>
      </rPr>
      <t>면취</t>
    </r>
    <phoneticPr fontId="16" type="noConversion"/>
  </si>
  <si>
    <r>
      <rPr>
        <sz val="11"/>
        <rFont val="맑은 고딕"/>
        <family val="3"/>
        <charset val="129"/>
      </rPr>
      <t>매입경첩</t>
    </r>
    <phoneticPr fontId="16" type="noConversion"/>
  </si>
  <si>
    <r>
      <rPr>
        <sz val="11"/>
        <rFont val="맑은 고딕"/>
        <family val="3"/>
        <charset val="129"/>
      </rPr>
      <t>중형</t>
    </r>
    <phoneticPr fontId="193" type="noConversion"/>
  </si>
  <si>
    <r>
      <rPr>
        <sz val="11"/>
        <rFont val="맑은 고딕"/>
        <family val="3"/>
        <charset val="129"/>
      </rPr>
      <t>밀폐패킹</t>
    </r>
  </si>
  <si>
    <r>
      <rPr>
        <sz val="11"/>
        <rFont val="맑은 고딕"/>
        <family val="3"/>
        <charset val="129"/>
      </rPr>
      <t>소형</t>
    </r>
  </si>
  <si>
    <r>
      <t xml:space="preserve">LED </t>
    </r>
    <r>
      <rPr>
        <sz val="11"/>
        <rFont val="맑은 고딕"/>
        <family val="3"/>
        <charset val="129"/>
      </rPr>
      <t>전반조명</t>
    </r>
    <r>
      <rPr>
        <sz val="11"/>
        <rFont val="Arial"/>
        <family val="2"/>
      </rPr>
      <t xml:space="preserve"> CASE</t>
    </r>
    <phoneticPr fontId="193" type="noConversion"/>
  </si>
  <si>
    <r>
      <rPr>
        <sz val="11"/>
        <rFont val="맑은 고딕"/>
        <family val="3"/>
        <charset val="129"/>
      </rPr>
      <t>벽부장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상부</t>
    </r>
    <r>
      <rPr>
        <sz val="11"/>
        <rFont val="Arial"/>
        <family val="2"/>
      </rPr>
      <t>)205</t>
    </r>
    <phoneticPr fontId="193" type="noConversion"/>
  </si>
  <si>
    <r>
      <rPr>
        <sz val="11"/>
        <rFont val="맑은 고딕"/>
        <family val="3"/>
        <charset val="129"/>
      </rPr>
      <t>벽부장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)117</t>
    </r>
    <phoneticPr fontId="193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</si>
  <si>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상부</t>
    </r>
    <r>
      <rPr>
        <sz val="11"/>
        <rFont val="Arial"/>
        <family val="2"/>
      </rPr>
      <t>)150</t>
    </r>
    <phoneticPr fontId="193" type="noConversion"/>
  </si>
  <si>
    <r>
      <rPr>
        <sz val="11"/>
        <rFont val="맑은 고딕"/>
        <family val="3"/>
        <charset val="129"/>
      </rPr>
      <t>독립장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하부</t>
    </r>
    <r>
      <rPr>
        <sz val="11"/>
        <rFont val="Arial"/>
        <family val="2"/>
      </rPr>
      <t>)103</t>
    </r>
    <phoneticPr fontId="193" type="noConversion"/>
  </si>
  <si>
    <r>
      <t>LM</t>
    </r>
    <r>
      <rPr>
        <sz val="11"/>
        <rFont val="맑은 고딕"/>
        <family val="3"/>
        <charset val="129"/>
      </rPr>
      <t>가이드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조명용</t>
    </r>
    <r>
      <rPr>
        <sz val="11"/>
        <rFont val="Arial"/>
        <family val="2"/>
      </rPr>
      <t>)</t>
    </r>
    <phoneticPr fontId="16" type="noConversion"/>
  </si>
  <si>
    <r>
      <t>LM</t>
    </r>
    <r>
      <rPr>
        <sz val="11"/>
        <rFont val="맑은 고딕"/>
        <family val="3"/>
        <charset val="129"/>
      </rPr>
      <t>가이드시스템보강판</t>
    </r>
    <phoneticPr fontId="16" type="noConversion"/>
  </si>
  <si>
    <r>
      <rPr>
        <sz val="11"/>
        <rFont val="맑은 고딕"/>
        <family val="3"/>
        <charset val="129"/>
      </rPr>
      <t>모터구동시스템보강</t>
    </r>
    <phoneticPr fontId="16" type="noConversion"/>
  </si>
  <si>
    <r>
      <t xml:space="preserve">22*42 2.3T </t>
    </r>
    <r>
      <rPr>
        <sz val="11"/>
        <rFont val="맑은 고딕"/>
        <family val="3"/>
        <charset val="129"/>
      </rPr>
      <t>가공</t>
    </r>
  </si>
  <si>
    <r>
      <rPr>
        <sz val="11"/>
        <rFont val="맑은 고딕"/>
        <family val="3"/>
        <charset val="129"/>
      </rPr>
      <t>베어링붓싱가공</t>
    </r>
  </si>
  <si>
    <r>
      <rPr>
        <sz val="11"/>
        <rFont val="맑은 고딕"/>
        <family val="3"/>
        <charset val="129"/>
      </rPr>
      <t>벽부형</t>
    </r>
    <phoneticPr fontId="16" type="noConversion"/>
  </si>
  <si>
    <r>
      <rPr>
        <sz val="11"/>
        <rFont val="맑은 고딕"/>
        <family val="3"/>
        <charset val="129"/>
      </rPr>
      <t>독립형</t>
    </r>
    <r>
      <rPr>
        <sz val="11"/>
        <rFont val="Arial"/>
        <family val="2"/>
      </rPr>
      <t>1</t>
    </r>
    <r>
      <rPr>
        <sz val="11"/>
        <rFont val="맑은 고딕"/>
        <family val="3"/>
        <charset val="129"/>
      </rPr>
      <t>단</t>
    </r>
    <phoneticPr fontId="16" type="noConversion"/>
  </si>
  <si>
    <r>
      <rPr>
        <sz val="11"/>
        <rFont val="맑은 고딕"/>
        <family val="3"/>
        <charset val="129"/>
      </rPr>
      <t>독립형</t>
    </r>
    <r>
      <rPr>
        <sz val="11"/>
        <rFont val="Arial"/>
        <family val="2"/>
      </rPr>
      <t>2</t>
    </r>
    <r>
      <rPr>
        <sz val="11"/>
        <rFont val="맑은 고딕"/>
        <family val="3"/>
        <charset val="129"/>
      </rPr>
      <t>단</t>
    </r>
    <phoneticPr fontId="16" type="noConversion"/>
  </si>
  <si>
    <r>
      <t xml:space="preserve">T2.3mm </t>
    </r>
    <r>
      <rPr>
        <sz val="11"/>
        <rFont val="맑은 고딕"/>
        <family val="3"/>
        <charset val="129"/>
      </rPr>
      <t>가공</t>
    </r>
    <phoneticPr fontId="16" type="noConversion"/>
  </si>
  <si>
    <r>
      <rPr>
        <sz val="11"/>
        <rFont val="맑은 고딕"/>
        <family val="3"/>
        <charset val="129"/>
      </rPr>
      <t>이동식배면판</t>
    </r>
    <r>
      <rPr>
        <sz val="11"/>
        <rFont val="Arial"/>
        <family val="2"/>
      </rPr>
      <t>(</t>
    </r>
    <r>
      <rPr>
        <sz val="11"/>
        <rFont val="맑은 고딕"/>
        <family val="3"/>
        <charset val="129"/>
      </rPr>
      <t>전동식</t>
    </r>
    <r>
      <rPr>
        <sz val="11"/>
        <rFont val="Arial"/>
        <family val="2"/>
      </rPr>
      <t>)</t>
    </r>
    <phoneticPr fontId="16" type="noConversion"/>
  </si>
  <si>
    <t>4800*3400</t>
    <phoneticPr fontId="16" type="noConversion"/>
  </si>
  <si>
    <t>7200*3400</t>
    <phoneticPr fontId="16" type="noConversion"/>
  </si>
  <si>
    <t>유리</t>
    <phoneticPr fontId="16" type="noConversion"/>
  </si>
  <si>
    <r>
      <rPr>
        <sz val="11"/>
        <rFont val="맑은 고딕"/>
        <family val="3"/>
        <charset val="129"/>
      </rPr>
      <t>화이트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r>
      <rPr>
        <sz val="11"/>
        <rFont val="Arial"/>
        <family val="2"/>
      </rPr>
      <t/>
    </r>
    <phoneticPr fontId="16" type="noConversion"/>
  </si>
  <si>
    <r>
      <rPr>
        <sz val="11"/>
        <rFont val="맑은 고딕"/>
        <family val="3"/>
        <charset val="129"/>
      </rPr>
      <t>투명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접합유리</t>
    </r>
    <phoneticPr fontId="16" type="noConversion"/>
  </si>
  <si>
    <t>T6.38mm</t>
    <phoneticPr fontId="16" type="noConversion"/>
  </si>
  <si>
    <r>
      <rPr>
        <sz val="11"/>
        <rFont val="맑은 고딕"/>
        <family val="3"/>
        <charset val="129"/>
      </rPr>
      <t>조명용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아크릴</t>
    </r>
    <phoneticPr fontId="16" type="noConversion"/>
  </si>
  <si>
    <r>
      <rPr>
        <sz val="11"/>
        <rFont val="맑은 고딕"/>
        <family val="3"/>
        <charset val="129"/>
      </rPr>
      <t>트랙형</t>
    </r>
    <phoneticPr fontId="16" type="noConversion"/>
  </si>
  <si>
    <t>조명</t>
    <phoneticPr fontId="16" type="noConversion"/>
  </si>
  <si>
    <r>
      <rPr>
        <sz val="11"/>
        <rFont val="맑은 고딕"/>
        <family val="3"/>
        <charset val="129"/>
      </rPr>
      <t>독립형</t>
    </r>
    <phoneticPr fontId="16" type="noConversion"/>
  </si>
  <si>
    <r>
      <rPr>
        <sz val="11"/>
        <rFont val="맑은 고딕"/>
        <family val="3"/>
        <charset val="129"/>
      </rPr>
      <t>멀티트랙</t>
    </r>
    <phoneticPr fontId="16" type="noConversion"/>
  </si>
  <si>
    <r>
      <rPr>
        <sz val="11"/>
        <rFont val="맑은 고딕"/>
        <family val="3"/>
        <charset val="129"/>
      </rPr>
      <t>트랙레일</t>
    </r>
    <r>
      <rPr>
        <sz val="11"/>
        <rFont val="Arial"/>
        <family val="2"/>
      </rPr>
      <t>(1</t>
    </r>
    <r>
      <rPr>
        <sz val="11"/>
        <rFont val="맑은 고딕"/>
        <family val="3"/>
        <charset val="129"/>
      </rPr>
      <t>회로</t>
    </r>
    <r>
      <rPr>
        <sz val="11"/>
        <rFont val="Arial"/>
        <family val="2"/>
      </rPr>
      <t>)</t>
    </r>
    <phoneticPr fontId="16" type="noConversion"/>
  </si>
  <si>
    <t>M</t>
    <phoneticPr fontId="193" type="noConversion"/>
  </si>
  <si>
    <r>
      <rPr>
        <sz val="11"/>
        <rFont val="맑은 고딕"/>
        <family val="3"/>
        <charset val="129"/>
      </rPr>
      <t>연결소켓</t>
    </r>
    <r>
      <rPr>
        <sz val="11"/>
        <rFont val="Arial"/>
        <family val="2"/>
      </rPr>
      <t>(1</t>
    </r>
    <r>
      <rPr>
        <sz val="11"/>
        <rFont val="맑은 고딕"/>
        <family val="3"/>
        <charset val="129"/>
      </rPr>
      <t>회로</t>
    </r>
    <r>
      <rPr>
        <sz val="11"/>
        <rFont val="Arial"/>
        <family val="2"/>
      </rPr>
      <t>)</t>
    </r>
    <phoneticPr fontId="16" type="noConversion"/>
  </si>
  <si>
    <r>
      <t>S/F(1</t>
    </r>
    <r>
      <rPr>
        <sz val="11"/>
        <rFont val="맑은 고딕"/>
        <family val="3"/>
        <charset val="129"/>
      </rPr>
      <t>회로</t>
    </r>
    <r>
      <rPr>
        <sz val="11"/>
        <rFont val="Arial"/>
        <family val="2"/>
      </rPr>
      <t>)</t>
    </r>
    <phoneticPr fontId="16" type="noConversion"/>
  </si>
  <si>
    <r>
      <rPr>
        <sz val="11"/>
        <rFont val="맑은 고딕"/>
        <family val="3"/>
        <charset val="129"/>
      </rPr>
      <t>내부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사이드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도어</t>
    </r>
    <phoneticPr fontId="16" type="noConversion"/>
  </si>
  <si>
    <r>
      <rPr>
        <sz val="11"/>
        <rFont val="맑은 고딕"/>
        <family val="3"/>
        <charset val="129"/>
      </rPr>
      <t>외부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포켓</t>
    </r>
    <r>
      <rPr>
        <sz val="11"/>
        <rFont val="Arial"/>
        <family val="2"/>
      </rPr>
      <t xml:space="preserve"> </t>
    </r>
    <r>
      <rPr>
        <sz val="11"/>
        <rFont val="맑은 고딕"/>
        <family val="3"/>
        <charset val="129"/>
      </rPr>
      <t>도어</t>
    </r>
    <phoneticPr fontId="16" type="noConversion"/>
  </si>
  <si>
    <t>공사,제조부분 직종별 임금(기본급만 적용)</t>
    <phoneticPr fontId="16" type="noConversion"/>
  </si>
  <si>
    <t xml:space="preserve">2019.1 발표 </t>
    <phoneticPr fontId="16" type="noConversion"/>
  </si>
  <si>
    <t>2019적용</t>
    <phoneticPr fontId="16" type="noConversion"/>
  </si>
  <si>
    <t>일련번호</t>
    <phoneticPr fontId="16" type="noConversion"/>
  </si>
  <si>
    <t>직   종   명</t>
  </si>
  <si>
    <t>기본금(적용)</t>
    <phoneticPr fontId="16" type="noConversion"/>
  </si>
  <si>
    <t>상여금</t>
    <phoneticPr fontId="16" type="noConversion"/>
  </si>
  <si>
    <t>퇴직급여충담금</t>
    <phoneticPr fontId="16" type="noConversion"/>
  </si>
  <si>
    <t>주 1)</t>
    <phoneticPr fontId="16" type="noConversion"/>
  </si>
  <si>
    <t>주 2)</t>
    <phoneticPr fontId="16" type="noConversion"/>
  </si>
  <si>
    <t>주 3)</t>
    <phoneticPr fontId="16" type="noConversion"/>
  </si>
  <si>
    <t>절곡원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</si>
  <si>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-12</t>
    </r>
  </si>
  <si>
    <t>쇠톱기조작원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</si>
  <si>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-30</t>
    </r>
    <phoneticPr fontId="16" type="noConversion"/>
  </si>
  <si>
    <t>절단원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</si>
  <si>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-32</t>
    </r>
    <phoneticPr fontId="16" type="noConversion"/>
  </si>
  <si>
    <t>프레나기조작원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</si>
  <si>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-38</t>
    </r>
    <phoneticPr fontId="16" type="noConversion"/>
  </si>
  <si>
    <t>용접원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</si>
  <si>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-50</t>
    </r>
    <phoneticPr fontId="16" type="noConversion"/>
  </si>
  <si>
    <t>연마원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</si>
  <si>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-52</t>
    </r>
    <phoneticPr fontId="16" type="noConversion"/>
  </si>
  <si>
    <r>
      <rPr>
        <sz val="11"/>
        <color rgb="FF000000"/>
        <rFont val="굴림체"/>
        <family val="3"/>
        <charset val="129"/>
      </rPr>
      <t>도장원</t>
    </r>
    <r>
      <rPr>
        <sz val="11"/>
        <color rgb="FF000000"/>
        <rFont val="Arial"/>
        <family val="2"/>
      </rPr>
      <t>(</t>
    </r>
    <r>
      <rPr>
        <sz val="11"/>
        <color rgb="FF000000"/>
        <rFont val="굴림체"/>
        <family val="3"/>
        <charset val="129"/>
      </rPr>
      <t>취부</t>
    </r>
    <r>
      <rPr>
        <sz val="11"/>
        <color rgb="FF000000"/>
        <rFont val="Arial"/>
        <family val="2"/>
      </rPr>
      <t>)</t>
    </r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</si>
  <si>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-55</t>
    </r>
  </si>
  <si>
    <t>단순노무종사원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</si>
  <si>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-135</t>
    </r>
    <phoneticPr fontId="16" type="noConversion"/>
  </si>
  <si>
    <t>작업반장</t>
    <phoneticPr fontId="16" type="noConversion"/>
  </si>
  <si>
    <r>
      <rPr>
        <sz val="9"/>
        <color indexed="8"/>
        <rFont val="굴림체"/>
        <family val="3"/>
        <charset val="129"/>
      </rPr>
      <t>제조임율</t>
    </r>
    <r>
      <rPr>
        <sz val="9"/>
        <color indexed="8"/>
        <rFont val="Arial"/>
        <family val="2"/>
      </rPr>
      <t>-136</t>
    </r>
    <phoneticPr fontId="16" type="noConversion"/>
  </si>
  <si>
    <t>보통인부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</si>
  <si>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-1002</t>
    </r>
    <phoneticPr fontId="16" type="noConversion"/>
  </si>
  <si>
    <t>특별인부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</si>
  <si>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-1003</t>
    </r>
    <phoneticPr fontId="16" type="noConversion"/>
  </si>
  <si>
    <t>비계공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</si>
  <si>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-1006</t>
    </r>
    <phoneticPr fontId="16" type="noConversion"/>
  </si>
  <si>
    <r>
      <rPr>
        <sz val="11"/>
        <color rgb="FF000000"/>
        <rFont val="굴림체"/>
        <family val="3"/>
        <charset val="129"/>
      </rPr>
      <t>철공</t>
    </r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</si>
  <si>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-1009</t>
    </r>
    <phoneticPr fontId="16" type="noConversion"/>
  </si>
  <si>
    <t>용접공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</si>
  <si>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-1012</t>
    </r>
    <phoneticPr fontId="16" type="noConversion"/>
  </si>
  <si>
    <t>건축목공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</si>
  <si>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-1023</t>
    </r>
    <phoneticPr fontId="16" type="noConversion"/>
  </si>
  <si>
    <t>유리공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</si>
  <si>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-1025</t>
    </r>
    <phoneticPr fontId="16" type="noConversion"/>
  </si>
  <si>
    <t>도장공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</si>
  <si>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-1029</t>
    </r>
    <phoneticPr fontId="16" type="noConversion"/>
  </si>
  <si>
    <t>내장공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</si>
  <si>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-1030</t>
    </r>
    <phoneticPr fontId="16" type="noConversion"/>
  </si>
  <si>
    <r>
      <rPr>
        <sz val="11"/>
        <color rgb="FF000000"/>
        <rFont val="굴림체"/>
        <family val="3"/>
        <charset val="129"/>
      </rPr>
      <t>도배공</t>
    </r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</si>
  <si>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-1031</t>
    </r>
    <phoneticPr fontId="16" type="noConversion"/>
  </si>
  <si>
    <r>
      <rPr>
        <sz val="11"/>
        <rFont val="굴림체"/>
        <family val="3"/>
        <charset val="129"/>
      </rPr>
      <t>내선전공</t>
    </r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</si>
  <si>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-1075</t>
    </r>
    <phoneticPr fontId="16" type="noConversion"/>
  </si>
  <si>
    <t>통신설비공</t>
    <phoneticPr fontId="16" type="noConversion"/>
  </si>
  <si>
    <r>
      <rPr>
        <sz val="9"/>
        <color indexed="8"/>
        <rFont val="굴림체"/>
        <family val="3"/>
        <charset val="129"/>
      </rPr>
      <t>건설노임</t>
    </r>
    <r>
      <rPr>
        <sz val="9"/>
        <color indexed="8"/>
        <rFont val="Arial"/>
        <family val="2"/>
      </rPr>
      <t>-1087</t>
    </r>
    <phoneticPr fontId="16" type="noConversion"/>
  </si>
  <si>
    <r>
      <rPr>
        <sz val="11"/>
        <rFont val="맑은 고딕"/>
        <family val="3"/>
        <charset val="129"/>
      </rPr>
      <t>코킹공</t>
    </r>
    <phoneticPr fontId="16" type="noConversion"/>
  </si>
  <si>
    <r>
      <rPr>
        <sz val="9"/>
        <rFont val="맑은 고딕"/>
        <family val="3"/>
        <charset val="129"/>
      </rPr>
      <t>건설노임</t>
    </r>
    <r>
      <rPr>
        <sz val="9"/>
        <rFont val="Arial"/>
        <family val="2"/>
      </rPr>
      <t>-5007</t>
    </r>
    <phoneticPr fontId="16" type="noConversion"/>
  </si>
  <si>
    <t>주 1) 기본급 : 중소기업중앙회 발표(2018.1)직종별 제조노임 적용</t>
    <phoneticPr fontId="16" type="noConversion"/>
  </si>
  <si>
    <t>주 2) 상여금 : 년 400%계상(재정경제부 회계예규에 의거)</t>
    <phoneticPr fontId="32" type="noConversion"/>
  </si>
  <si>
    <t>주 3) 퇴직급여충당금 : 년통상지급액의 1/12계상(근로기준법에 의거)</t>
    <phoneticPr fontId="32" type="noConversion"/>
  </si>
  <si>
    <t>4.  진열장</t>
    <phoneticPr fontId="1" type="noConversion"/>
  </si>
  <si>
    <t>식</t>
    <phoneticPr fontId="1" type="noConversion"/>
  </si>
  <si>
    <t>별도 분리 발주</t>
    <phoneticPr fontId="1" type="noConversion"/>
  </si>
  <si>
    <t>663</t>
    <phoneticPr fontId="1" type="noConversion"/>
  </si>
  <si>
    <t>542</t>
    <phoneticPr fontId="1" type="noConversion"/>
  </si>
  <si>
    <t>자재 269</t>
  </si>
  <si>
    <t>자재 270</t>
  </si>
  <si>
    <t>자재 271</t>
  </si>
  <si>
    <t>자재 272</t>
  </si>
  <si>
    <t>자재 273</t>
  </si>
  <si>
    <t>자재 274</t>
  </si>
  <si>
    <t>자재 275</t>
  </si>
  <si>
    <t>자재 405</t>
  </si>
  <si>
    <t>자재 406</t>
  </si>
  <si>
    <t>자재 429</t>
  </si>
  <si>
    <t>노임 46</t>
  </si>
  <si>
    <t>노임 47</t>
  </si>
  <si>
    <t>노임 48</t>
  </si>
  <si>
    <t>노임 49</t>
  </si>
  <si>
    <t>EA</t>
    <phoneticPr fontId="1" type="noConversion"/>
  </si>
  <si>
    <t>R/L</t>
    <phoneticPr fontId="1" type="noConversion"/>
  </si>
  <si>
    <t>Kg</t>
    <phoneticPr fontId="1" type="noConversion"/>
  </si>
  <si>
    <t>벌</t>
    <phoneticPr fontId="1" type="noConversion"/>
  </si>
  <si>
    <t>컬레</t>
    <phoneticPr fontId="1" type="noConversion"/>
  </si>
  <si>
    <t>말</t>
    <phoneticPr fontId="1" type="noConversion"/>
  </si>
  <si>
    <t>GL</t>
    <phoneticPr fontId="1" type="noConversion"/>
  </si>
  <si>
    <t>식</t>
    <phoneticPr fontId="1" type="noConversion"/>
  </si>
  <si>
    <t>조</t>
    <phoneticPr fontId="1" type="noConversion"/>
  </si>
  <si>
    <t>켤레</t>
    <phoneticPr fontId="1" type="noConversion"/>
  </si>
  <si>
    <t>진 열 장 내 역 산 출 표</t>
    <phoneticPr fontId="16" type="noConversion"/>
  </si>
  <si>
    <t>번호</t>
    <phoneticPr fontId="16" type="noConversion"/>
  </si>
  <si>
    <t>명     칭</t>
    <phoneticPr fontId="46" type="noConversion"/>
  </si>
  <si>
    <t>규     격</t>
    <phoneticPr fontId="46" type="noConversion"/>
  </si>
  <si>
    <t>재 료 비</t>
    <phoneticPr fontId="16" type="noConversion"/>
  </si>
  <si>
    <t>노 무 비</t>
    <phoneticPr fontId="16" type="noConversion"/>
  </si>
  <si>
    <t>합     계</t>
    <phoneticPr fontId="16" type="noConversion"/>
  </si>
  <si>
    <t>비 고</t>
    <phoneticPr fontId="16" type="noConversion"/>
  </si>
  <si>
    <t>단  가</t>
    <phoneticPr fontId="16" type="noConversion"/>
  </si>
  <si>
    <t>금  액</t>
    <phoneticPr fontId="16" type="noConversion"/>
  </si>
  <si>
    <t xml:space="preserve"> </t>
    <phoneticPr fontId="16" type="noConversion"/>
  </si>
  <si>
    <t>소계</t>
    <phoneticPr fontId="16" type="noConversion"/>
  </si>
  <si>
    <t>합  계</t>
    <phoneticPr fontId="16" type="noConversion"/>
  </si>
  <si>
    <t>소        계</t>
    <phoneticPr fontId="16" type="noConversion"/>
  </si>
  <si>
    <t>소        계</t>
    <phoneticPr fontId="16" type="noConversion"/>
  </si>
  <si>
    <t xml:space="preserve"> 전시진열장 원가계산서</t>
    <phoneticPr fontId="16" type="noConversion"/>
  </si>
  <si>
    <t>단위 :  원</t>
    <phoneticPr fontId="16" type="noConversion"/>
  </si>
  <si>
    <t>구     분</t>
    <phoneticPr fontId="212" type="noConversion"/>
  </si>
  <si>
    <t>금  액</t>
    <phoneticPr fontId="16" type="noConversion"/>
  </si>
  <si>
    <t>구성</t>
    <phoneticPr fontId="16" type="noConversion"/>
  </si>
  <si>
    <t>비                       고</t>
    <phoneticPr fontId="16" type="noConversion"/>
  </si>
  <si>
    <t xml:space="preserve"> 비  목</t>
    <phoneticPr fontId="212" type="noConversion"/>
  </si>
  <si>
    <t>직접재료비</t>
  </si>
  <si>
    <t>료</t>
  </si>
  <si>
    <t>간접재료비</t>
  </si>
  <si>
    <t>소계</t>
  </si>
  <si>
    <t>직접노무비</t>
  </si>
  <si>
    <t>간접노무비</t>
  </si>
  <si>
    <t>(직접노무비)×</t>
  </si>
  <si>
    <t>경
비</t>
    <phoneticPr fontId="16" type="noConversion"/>
  </si>
  <si>
    <t>산  재  보  험  료</t>
  </si>
  <si>
    <t xml:space="preserve">노무비 * </t>
    <phoneticPr fontId="16" type="noConversion"/>
  </si>
  <si>
    <t>고  용  보  험  료</t>
  </si>
  <si>
    <t>국민  건강  보험료</t>
  </si>
  <si>
    <t xml:space="preserve">직접노무비 * </t>
    <phoneticPr fontId="16" type="noConversion"/>
  </si>
  <si>
    <t>국민  연금  보험료</t>
  </si>
  <si>
    <t>노인장기요양보험료</t>
  </si>
  <si>
    <t xml:space="preserve">건강보험료 * </t>
    <phoneticPr fontId="16" type="noConversion"/>
  </si>
  <si>
    <t>퇴직  공제  부금비</t>
  </si>
  <si>
    <t xml:space="preserve">직접노무비 * </t>
    <phoneticPr fontId="16" type="noConversion"/>
  </si>
  <si>
    <t>산업안전보건관리비</t>
  </si>
  <si>
    <t xml:space="preserve">(재료비+직노) * </t>
    <phoneticPr fontId="16" type="noConversion"/>
  </si>
  <si>
    <t>+</t>
    <phoneticPr fontId="16" type="noConversion"/>
  </si>
  <si>
    <t>환  경  보  전  비</t>
  </si>
  <si>
    <t xml:space="preserve">(재료비+직노+기계경비) * </t>
    <phoneticPr fontId="16" type="noConversion"/>
  </si>
  <si>
    <t>순     공     사     원     가</t>
    <phoneticPr fontId="79" type="noConversion"/>
  </si>
  <si>
    <t>(재료비+노무비+경비)</t>
    <phoneticPr fontId="16" type="noConversion"/>
  </si>
  <si>
    <t>일     반     관     리     비</t>
    <phoneticPr fontId="79" type="noConversion"/>
  </si>
  <si>
    <t>(순공사원가)×</t>
  </si>
  <si>
    <t>이                          윤</t>
    <phoneticPr fontId="79" type="noConversion"/>
  </si>
  <si>
    <t>(노무비+경비+일.관)×</t>
    <phoneticPr fontId="16" type="noConversion"/>
  </si>
  <si>
    <t>총            원            가</t>
    <phoneticPr fontId="79" type="noConversion"/>
  </si>
  <si>
    <t>(순공사원가+일.관+이윤)</t>
    <phoneticPr fontId="16" type="noConversion"/>
  </si>
  <si>
    <t>부  가  가  치  세  액   (10%)</t>
    <phoneticPr fontId="79" type="noConversion"/>
  </si>
  <si>
    <t>(총원가)×</t>
    <phoneticPr fontId="16" type="noConversion"/>
  </si>
  <si>
    <t>합                          계</t>
    <phoneticPr fontId="79" type="noConversion"/>
  </si>
  <si>
    <t>SSW-5</t>
    <phoneticPr fontId="1" type="noConversion"/>
  </si>
  <si>
    <t>EA</t>
    <phoneticPr fontId="1" type="noConversion"/>
  </si>
  <si>
    <t>SSW-6</t>
    <phoneticPr fontId="1" type="noConversion"/>
  </si>
  <si>
    <t>SSW-6    EA     ( 호표 126 )</t>
    <phoneticPr fontId="1" type="noConversion"/>
  </si>
  <si>
    <t>FSS-5    EA     ( 호표 127 )</t>
    <phoneticPr fontId="1" type="noConversion"/>
  </si>
  <si>
    <t>호표 126</t>
    <phoneticPr fontId="1" type="noConversion"/>
  </si>
  <si>
    <t>호표 127</t>
    <phoneticPr fontId="1" type="noConversion"/>
  </si>
  <si>
    <t>설계금액</t>
    <phoneticPr fontId="1" type="noConversion"/>
  </si>
  <si>
    <t>심사금액</t>
    <phoneticPr fontId="48" type="noConversion"/>
  </si>
  <si>
    <t>조정금액</t>
    <phoneticPr fontId="48" type="noConversion"/>
  </si>
  <si>
    <t>재료비(설계)</t>
    <phoneticPr fontId="1" type="noConversion"/>
  </si>
  <si>
    <t>재료비(심사)</t>
    <phoneticPr fontId="16" type="noConversion"/>
  </si>
  <si>
    <t>노무비(설계)</t>
    <phoneticPr fontId="1" type="noConversion"/>
  </si>
  <si>
    <t>노무비(심사)</t>
    <phoneticPr fontId="16" type="noConversion"/>
  </si>
  <si>
    <t>경 비(설계)</t>
    <phoneticPr fontId="1" type="noConversion"/>
  </si>
  <si>
    <t>경 비(심사)</t>
    <phoneticPr fontId="16" type="noConversion"/>
  </si>
  <si>
    <t>합계(설계)</t>
    <phoneticPr fontId="1" type="noConversion"/>
  </si>
  <si>
    <t>합계(심사)</t>
    <phoneticPr fontId="16" type="noConversion"/>
  </si>
  <si>
    <t>수량(설계)</t>
    <phoneticPr fontId="1" type="noConversion"/>
  </si>
  <si>
    <t>수량(심사)</t>
    <phoneticPr fontId="1" type="noConversion"/>
  </si>
  <si>
    <t>재  료  비(설계)</t>
    <phoneticPr fontId="1" type="noConversion"/>
  </si>
  <si>
    <t>재  료  비(심사)</t>
    <phoneticPr fontId="1" type="noConversion"/>
  </si>
  <si>
    <t>노  무  비(설계)</t>
    <phoneticPr fontId="1" type="noConversion"/>
  </si>
  <si>
    <t>노  무  비(심사)</t>
    <phoneticPr fontId="1" type="noConversion"/>
  </si>
  <si>
    <t>경      비(설계)</t>
    <phoneticPr fontId="1" type="noConversion"/>
  </si>
  <si>
    <t>경      비(심사)</t>
    <phoneticPr fontId="1" type="noConversion"/>
  </si>
  <si>
    <t>합      계(설계)</t>
    <phoneticPr fontId="1" type="noConversion"/>
  </si>
  <si>
    <t>합      계(심사)</t>
    <phoneticPr fontId="1" type="noConversion"/>
  </si>
  <si>
    <t>재 료 비(설계)</t>
    <phoneticPr fontId="1" type="noConversion"/>
  </si>
  <si>
    <t>재 료 비(심사)</t>
    <phoneticPr fontId="1" type="noConversion"/>
  </si>
  <si>
    <t>노 무 비(설계)</t>
    <phoneticPr fontId="1" type="noConversion"/>
  </si>
  <si>
    <t>노 무 비(심사)</t>
    <phoneticPr fontId="1" type="noConversion"/>
  </si>
  <si>
    <t>경    비(설계)</t>
    <phoneticPr fontId="1" type="noConversion"/>
  </si>
  <si>
    <t>경    비(심사)</t>
    <phoneticPr fontId="1" type="noConversion"/>
  </si>
  <si>
    <t>합    계(설계)</t>
    <phoneticPr fontId="1" type="noConversion"/>
  </si>
  <si>
    <t>합    계(심사)</t>
    <phoneticPr fontId="1" type="noConversion"/>
  </si>
  <si>
    <r>
      <t xml:space="preserve">먹매김 일반 </t>
    </r>
    <r>
      <rPr>
        <sz val="11"/>
        <color rgb="FFFF0000"/>
        <rFont val="굴림체"/>
        <family val="3"/>
        <charset val="129"/>
      </rPr>
      <t>→ 구조부 먹매김</t>
    </r>
    <r>
      <rPr>
        <sz val="11"/>
        <color theme="1"/>
        <rFont val="굴림체"/>
        <family val="3"/>
        <charset val="129"/>
      </rPr>
      <t xml:space="preserve">  M2     ( 호표 1 )</t>
    </r>
    <phoneticPr fontId="1" type="noConversion"/>
  </si>
  <si>
    <t>건축4-1-1(먹매김, 구조부) 적용</t>
    <phoneticPr fontId="1" type="noConversion"/>
  </si>
  <si>
    <t>경량 천장 철골틀 설치(건축8-3-1) 품의 50% 적용</t>
    <phoneticPr fontId="1" type="noConversion"/>
  </si>
  <si>
    <t>건축8-3-1(경량 천장 철골틀 설치) 적용</t>
    <phoneticPr fontId="1" type="noConversion"/>
  </si>
  <si>
    <r>
      <t xml:space="preserve">인력품의 3% </t>
    </r>
    <r>
      <rPr>
        <sz val="11"/>
        <color rgb="FFFF0000"/>
        <rFont val="굴림체"/>
        <family val="3"/>
        <charset val="129"/>
      </rPr>
      <t>→ 6%</t>
    </r>
    <phoneticPr fontId="1" type="noConversion"/>
  </si>
  <si>
    <t>경량 천장 철골틀 설치에 인서트 설치 작업이 포함되어 있으므로 노무비 제외</t>
    <phoneticPr fontId="1" type="noConversion"/>
  </si>
  <si>
    <t>거래가격p659</t>
    <phoneticPr fontId="1" type="noConversion"/>
  </si>
  <si>
    <t>거래가격p660</t>
    <phoneticPr fontId="1" type="noConversion"/>
  </si>
  <si>
    <t>거래가격p660</t>
    <phoneticPr fontId="1" type="noConversion"/>
  </si>
  <si>
    <t>거래가격p659</t>
    <phoneticPr fontId="1" type="noConversion"/>
  </si>
  <si>
    <t>건축5-2-2(석고판 설치, 치장용) 적용</t>
    <phoneticPr fontId="1" type="noConversion"/>
  </si>
  <si>
    <t>노임할증</t>
    <phoneticPr fontId="1" type="noConversion"/>
  </si>
  <si>
    <t>석고보드  천장, 일반 9.5mm, 2PLY  M2     ( 호표 128 )</t>
    <phoneticPr fontId="1" type="noConversion"/>
  </si>
  <si>
    <t>노무비의 30%</t>
    <phoneticPr fontId="1" type="noConversion"/>
  </si>
  <si>
    <t>식</t>
    <phoneticPr fontId="1" type="noConversion"/>
  </si>
  <si>
    <t>신규작성</t>
    <phoneticPr fontId="1" type="noConversion"/>
  </si>
  <si>
    <t>호표 128</t>
    <phoneticPr fontId="1" type="noConversion"/>
  </si>
  <si>
    <t>신규작성</t>
    <phoneticPr fontId="1" type="noConversion"/>
  </si>
  <si>
    <t>천장, 일반 9.5mm, 2PLY</t>
    <phoneticPr fontId="1" type="noConversion"/>
  </si>
  <si>
    <t>→호표127</t>
    <phoneticPr fontId="1" type="noConversion"/>
  </si>
  <si>
    <t>건축5-2-2(석고판 설치, 천장) 적용, 벽 → 천장</t>
    <phoneticPr fontId="1" type="noConversion"/>
  </si>
  <si>
    <t>내천정 3회</t>
    <phoneticPr fontId="1" type="noConversion"/>
  </si>
  <si>
    <t>비닐페인트</t>
    <phoneticPr fontId="1" type="noConversion"/>
  </si>
  <si>
    <t>내천정 3회</t>
    <phoneticPr fontId="1" type="noConversion"/>
  </si>
  <si>
    <t>M2</t>
    <phoneticPr fontId="1" type="noConversion"/>
  </si>
  <si>
    <t>조달청 시장시공가격 적용</t>
    <phoneticPr fontId="1" type="noConversion"/>
  </si>
  <si>
    <t>물가정보(2)p164</t>
    <phoneticPr fontId="1" type="noConversion"/>
  </si>
  <si>
    <t>가격정보</t>
    <phoneticPr fontId="1" type="noConversion"/>
  </si>
  <si>
    <t>바탕만들기</t>
    <phoneticPr fontId="1" type="noConversion"/>
  </si>
  <si>
    <t>석고보드면, 줄퍼티</t>
    <phoneticPr fontId="1" type="noConversion"/>
  </si>
  <si>
    <t>M2</t>
    <phoneticPr fontId="1" type="noConversion"/>
  </si>
  <si>
    <t>Power Trowel</t>
  </si>
  <si>
    <t>3.73kw, 5HP</t>
  </si>
  <si>
    <t>공업용휘발유</t>
  </si>
  <si>
    <t>공업용휘발유, 무연</t>
  </si>
  <si>
    <t>주연료비의 10%</t>
  </si>
  <si>
    <t>회전날개(개당)</t>
  </si>
  <si>
    <t>L=310mm</t>
  </si>
  <si>
    <t>자재 535</t>
    <phoneticPr fontId="1" type="noConversion"/>
  </si>
  <si>
    <t>자재 536</t>
    <phoneticPr fontId="1" type="noConversion"/>
  </si>
  <si>
    <t>자재 537</t>
    <phoneticPr fontId="1" type="noConversion"/>
  </si>
  <si>
    <t>POWER TROWEL.  3.73kw  HR     ( 호표 129 )</t>
    <phoneticPr fontId="1" type="noConversion"/>
  </si>
  <si>
    <t>회전날개.  L=310mm  HR     ( 호표 130 )</t>
    <phoneticPr fontId="1" type="noConversion"/>
  </si>
  <si>
    <t>POWER TROWEL.</t>
  </si>
  <si>
    <t>3.73kw</t>
  </si>
  <si>
    <t>회전날개.</t>
  </si>
  <si>
    <t>호표 129</t>
    <phoneticPr fontId="1" type="noConversion"/>
  </si>
  <si>
    <t>호표 130</t>
    <phoneticPr fontId="1" type="noConversion"/>
  </si>
  <si>
    <t>weberfloor 6mm</t>
    <phoneticPr fontId="1" type="noConversion"/>
  </si>
  <si>
    <t>건축11-2-3(수성페인트 뿜칠) 적용</t>
    <phoneticPr fontId="1" type="noConversion"/>
  </si>
  <si>
    <t>기계경비</t>
    <phoneticPr fontId="1" type="noConversion"/>
  </si>
  <si>
    <t>인력품의 9%</t>
    <phoneticPr fontId="1" type="noConversion"/>
  </si>
  <si>
    <t>식</t>
    <phoneticPr fontId="1" type="noConversion"/>
  </si>
  <si>
    <t>노임할증</t>
    <phoneticPr fontId="1" type="noConversion"/>
  </si>
  <si>
    <t>인력품의 20%</t>
    <phoneticPr fontId="1" type="noConversion"/>
  </si>
  <si>
    <t>식</t>
    <phoneticPr fontId="1" type="noConversion"/>
  </si>
  <si>
    <t>불필요</t>
    <phoneticPr fontId="1" type="noConversion"/>
  </si>
  <si>
    <t>천장 도장이므로 노임할증(20%) 반영</t>
    <phoneticPr fontId="1" type="noConversion"/>
  </si>
  <si>
    <t>건축5-2-1(아코스틱텍스 설치) 적용</t>
    <phoneticPr fontId="1" type="noConversion"/>
  </si>
  <si>
    <t>잡재료</t>
    <phoneticPr fontId="1" type="noConversion"/>
  </si>
  <si>
    <t>주재료비의 3%</t>
    <phoneticPr fontId="1" type="noConversion"/>
  </si>
  <si>
    <t>스틸 각파이프 구조물  40*40  M2     ( 호표 51 )</t>
    <phoneticPr fontId="1" type="noConversion"/>
  </si>
  <si>
    <t>잡철물제작(철재)</t>
  </si>
  <si>
    <t>보통</t>
  </si>
  <si>
    <t>호표 411</t>
  </si>
  <si>
    <t>잡철물설치(철재)</t>
  </si>
  <si>
    <t>호표 412</t>
  </si>
  <si>
    <t>잡철물제작설치(철재)  보통  kg     ( 호표 131 )</t>
    <phoneticPr fontId="1" type="noConversion"/>
  </si>
  <si>
    <t>각종 잡철물 제작  철재, 보통  kg     ( 호표 132 )</t>
    <phoneticPr fontId="1" type="noConversion"/>
  </si>
  <si>
    <t>각종 잡철물 설치  철재, 보통  kg     ( 호표 133 )</t>
    <phoneticPr fontId="1" type="noConversion"/>
  </si>
  <si>
    <t>철공</t>
    <phoneticPr fontId="1" type="noConversion"/>
  </si>
  <si>
    <t>각종 잡철물 제작설치(철재)</t>
    <phoneticPr fontId="1" type="noConversion"/>
  </si>
  <si>
    <t>각종 잡철물 제작(철재)</t>
    <phoneticPr fontId="1" type="noConversion"/>
  </si>
  <si>
    <t>각종 잡철물 설치(철재)</t>
    <phoneticPr fontId="1" type="noConversion"/>
  </si>
  <si>
    <t>호표 131</t>
    <phoneticPr fontId="1" type="noConversion"/>
  </si>
  <si>
    <t>호표 132</t>
    <phoneticPr fontId="1" type="noConversion"/>
  </si>
  <si>
    <t>호표 133</t>
    <phoneticPr fontId="1" type="noConversion"/>
  </si>
  <si>
    <t>물가자료p495</t>
    <phoneticPr fontId="1" type="noConversion"/>
  </si>
  <si>
    <t>건축5-3-3(방습필름설치, 벽) 준용</t>
    <phoneticPr fontId="1" type="noConversion"/>
  </si>
  <si>
    <r>
      <t xml:space="preserve">일반 </t>
    </r>
    <r>
      <rPr>
        <sz val="11"/>
        <color rgb="FFFF0000"/>
        <rFont val="굴림체"/>
        <family val="3"/>
        <charset val="129"/>
      </rPr>
      <t>→ 구조부</t>
    </r>
    <phoneticPr fontId="1" type="noConversion"/>
  </si>
  <si>
    <r>
      <t xml:space="preserve">강관비계쌍줄 M2 </t>
    </r>
    <r>
      <rPr>
        <sz val="11"/>
        <color rgb="FFFF0000"/>
        <rFont val="굴림체"/>
        <family val="3"/>
        <charset val="129"/>
      </rPr>
      <t xml:space="preserve"> 10M 초과~20M 이하</t>
    </r>
    <r>
      <rPr>
        <sz val="11"/>
        <color theme="1"/>
        <rFont val="굴림체"/>
        <family val="3"/>
        <charset val="129"/>
      </rPr>
      <t xml:space="preserve">   ( 호표 125 )</t>
    </r>
    <phoneticPr fontId="1" type="noConversion"/>
  </si>
  <si>
    <t>공통2-7-1(강관비계 설치 및 해체, 10m초과 20m이하) 적용</t>
    <phoneticPr fontId="1" type="noConversion"/>
  </si>
  <si>
    <t>100㎡당 1대 적용</t>
    <phoneticPr fontId="1" type="noConversion"/>
  </si>
  <si>
    <t>건축10-3-1(판유리 끼우기, 10mm이상) 적용</t>
    <phoneticPr fontId="1" type="noConversion"/>
  </si>
  <si>
    <t>건축10-3-2(복층유리 끼우기, 24mm) 적용</t>
    <phoneticPr fontId="1" type="noConversion"/>
  </si>
  <si>
    <t>철거조정율</t>
    <phoneticPr fontId="48" type="noConversion"/>
  </si>
  <si>
    <t>슬래브에 매립되어 있으므로 철거 불가(불필요)</t>
    <phoneticPr fontId="1" type="noConversion"/>
  </si>
  <si>
    <t>건축12-2-1(건축물 구조체별 철거, 벽지떼어내기) 준용</t>
    <phoneticPr fontId="1" type="noConversion"/>
  </si>
  <si>
    <t>기계설비 심사결과 반영</t>
    <phoneticPr fontId="1" type="noConversion"/>
  </si>
  <si>
    <t>소형브레이커(전기식)</t>
  </si>
  <si>
    <t>1.5kw</t>
  </si>
  <si>
    <t>벽돌 및 블록벽 철거 소형브레이커  M3     ( 호표 134 )</t>
    <phoneticPr fontId="1" type="noConversion"/>
  </si>
  <si>
    <t>신규작성</t>
    <phoneticPr fontId="1" type="noConversion"/>
  </si>
  <si>
    <t>착암공</t>
    <phoneticPr fontId="1" type="noConversion"/>
  </si>
  <si>
    <t>착암공</t>
    <phoneticPr fontId="1" type="noConversion"/>
  </si>
  <si>
    <t>인</t>
    <phoneticPr fontId="1" type="noConversion"/>
  </si>
  <si>
    <t>노임 50</t>
    <phoneticPr fontId="1" type="noConversion"/>
  </si>
  <si>
    <t>일반공사 직종</t>
    <phoneticPr fontId="1" type="noConversion"/>
  </si>
  <si>
    <t>소형브레이커(전기식)</t>
    <phoneticPr fontId="1" type="noConversion"/>
  </si>
  <si>
    <t>HR</t>
    <phoneticPr fontId="1" type="noConversion"/>
  </si>
  <si>
    <t>소형브레이커(전기식)  1.5kw  HR     ( 호표 142 )</t>
  </si>
  <si>
    <t>소형브레이커</t>
  </si>
  <si>
    <t>호표 134</t>
    <phoneticPr fontId="1" type="noConversion"/>
  </si>
  <si>
    <t>호표 135</t>
    <phoneticPr fontId="1" type="noConversion"/>
  </si>
  <si>
    <t>벽돌 및 블록벽 철거</t>
    <phoneticPr fontId="1" type="noConversion"/>
  </si>
  <si>
    <t>인력품의 1%</t>
    <phoneticPr fontId="1" type="noConversion"/>
  </si>
  <si>
    <t>조적벽철거</t>
    <phoneticPr fontId="1" type="noConversion"/>
  </si>
  <si>
    <t>1.0B</t>
    <phoneticPr fontId="1" type="noConversion"/>
  </si>
  <si>
    <t>M3</t>
    <phoneticPr fontId="1" type="noConversion"/>
  </si>
  <si>
    <t>호표 134</t>
    <phoneticPr fontId="1" type="noConversion"/>
  </si>
  <si>
    <t>착암공</t>
    <phoneticPr fontId="1" type="noConversion"/>
  </si>
  <si>
    <r>
      <t xml:space="preserve">인력품의 5% </t>
    </r>
    <r>
      <rPr>
        <sz val="11"/>
        <color rgb="FFFF0000"/>
        <rFont val="굴림체"/>
        <family val="3"/>
        <charset val="129"/>
      </rPr>
      <t>→ 1%</t>
    </r>
    <phoneticPr fontId="1" type="noConversion"/>
  </si>
  <si>
    <t>인력 → 장비(소형브레이커), 건축12-3-1(콘크리트 구조물 헐기, 무근, 전기식) 준용</t>
    <phoneticPr fontId="1" type="noConversion"/>
  </si>
  <si>
    <t>인력→장비(소형브레이커)</t>
    <phoneticPr fontId="1" type="noConversion"/>
  </si>
  <si>
    <t>건축12-2-2(기존 방수층 및 보호층 철거) 준용, 두께 4㎝ 기준</t>
    <phoneticPr fontId="1" type="noConversion"/>
  </si>
  <si>
    <t>건축12-2-1(건축물 구조체별 철거, 마루틀 및 마루널) 적용</t>
    <phoneticPr fontId="1" type="noConversion"/>
  </si>
  <si>
    <t>계약심사 조정내역</t>
  </si>
  <si>
    <t>(단위 : 천원)</t>
  </si>
  <si>
    <t>구       분</t>
  </si>
  <si>
    <t>설계금액</t>
  </si>
  <si>
    <t>심사금액</t>
    <phoneticPr fontId="30" type="noConversion"/>
  </si>
  <si>
    <t>조정액</t>
    <phoneticPr fontId="30" type="noConversion"/>
  </si>
  <si>
    <t>기준(%)</t>
    <phoneticPr fontId="1" type="noConversion"/>
  </si>
  <si>
    <t>설계</t>
    <phoneticPr fontId="30" type="noConversion"/>
  </si>
  <si>
    <t>심사</t>
    <phoneticPr fontId="30" type="noConversion"/>
  </si>
  <si>
    <t xml:space="preserve"> 직접공사비</t>
    <phoneticPr fontId="30" type="noConversion"/>
  </si>
  <si>
    <t xml:space="preserve"> 제경비</t>
    <phoneticPr fontId="30" type="noConversion"/>
  </si>
  <si>
    <t>간접노무비</t>
    <phoneticPr fontId="30" type="noConversion"/>
  </si>
  <si>
    <t>산재보험료</t>
    <phoneticPr fontId="30" type="noConversion"/>
  </si>
  <si>
    <t>고용보험료</t>
    <phoneticPr fontId="30" type="noConversion"/>
  </si>
  <si>
    <t>건강보험료</t>
    <phoneticPr fontId="30" type="noConversion"/>
  </si>
  <si>
    <t>연금보험료</t>
    <phoneticPr fontId="30" type="noConversion"/>
  </si>
  <si>
    <t>노인요양보험료</t>
    <phoneticPr fontId="16" type="noConversion"/>
  </si>
  <si>
    <t>퇴직공제부금비</t>
    <phoneticPr fontId="30" type="noConversion"/>
  </si>
  <si>
    <t>산업안전보건관리비</t>
    <phoneticPr fontId="30" type="noConversion"/>
  </si>
  <si>
    <t>1.86%+5,349천원</t>
  </si>
  <si>
    <t>기타경비</t>
    <phoneticPr fontId="16" type="noConversion"/>
  </si>
  <si>
    <t>환경보전비</t>
    <phoneticPr fontId="16" type="noConversion"/>
  </si>
  <si>
    <t>하도급대금지급보증수수료</t>
    <phoneticPr fontId="30" type="noConversion"/>
  </si>
  <si>
    <t>건설기계대여금지급보증발급수수료</t>
    <phoneticPr fontId="30" type="noConversion"/>
  </si>
  <si>
    <t>일반관리비</t>
    <phoneticPr fontId="30" type="noConversion"/>
  </si>
  <si>
    <t>이윤</t>
    <phoneticPr fontId="30" type="noConversion"/>
  </si>
  <si>
    <t xml:space="preserve"> 합계</t>
    <phoneticPr fontId="30" type="noConversion"/>
  </si>
  <si>
    <t xml:space="preserve"> 부가가치세</t>
    <phoneticPr fontId="30" type="noConversion"/>
  </si>
  <si>
    <t xml:space="preserve"> 도급비</t>
    <phoneticPr fontId="30" type="noConversion"/>
  </si>
  <si>
    <t>조정률</t>
    <phoneticPr fontId="30" type="noConversion"/>
  </si>
  <si>
    <t xml:space="preserve"> 관급액</t>
    <phoneticPr fontId="30" type="noConversion"/>
  </si>
  <si>
    <t xml:space="preserve"> 총공사비</t>
    <phoneticPr fontId="30" type="noConversion"/>
  </si>
  <si>
    <t>조정내용</t>
  </si>
  <si>
    <t>○ 일위대가, 단가산출, 수량 등 조정</t>
    <phoneticPr fontId="16" type="noConversion"/>
  </si>
  <si>
    <t>○ 가격정보 등을 통한 자재단가 조정</t>
    <phoneticPr fontId="16" type="noConversion"/>
  </si>
  <si>
    <t>○ 공 사 명 : 경기도박물관 전시실 리뉴얼 공사</t>
    <phoneticPr fontId="16" type="noConversion"/>
  </si>
  <si>
    <t>환경보전비</t>
    <phoneticPr fontId="1" type="noConversion"/>
  </si>
  <si>
    <t>(재료비+직노+기계경비) * 0.3%</t>
    <phoneticPr fontId="1" type="noConversion"/>
  </si>
  <si>
    <t>방염비</t>
    <phoneticPr fontId="1" type="noConversion"/>
  </si>
  <si>
    <t>내역산출</t>
    <phoneticPr fontId="1" type="noConversion"/>
  </si>
  <si>
    <t>방 염 비</t>
    <phoneticPr fontId="48" type="noConversion"/>
  </si>
  <si>
    <r>
      <t xml:space="preserve">수성페인트(로울러칠)  내벽 3회 </t>
    </r>
    <r>
      <rPr>
        <sz val="11"/>
        <color rgb="FFFF0000"/>
        <rFont val="굴림체"/>
        <family val="3"/>
        <charset val="129"/>
      </rPr>
      <t>→ 2회</t>
    </r>
    <r>
      <rPr>
        <sz val="11"/>
        <color theme="1"/>
        <rFont val="굴림체"/>
        <family val="3"/>
        <charset val="129"/>
      </rPr>
      <t>. 2급  M2     ( 호표 41 )</t>
    </r>
    <phoneticPr fontId="1" type="noConversion"/>
  </si>
  <si>
    <t>건축11-2-2(수성페인트 롤러칠) 적용, 설계도서의 칠 횟수로 조정</t>
    <phoneticPr fontId="1" type="noConversion"/>
  </si>
  <si>
    <r>
      <t xml:space="preserve">내벽 3회 </t>
    </r>
    <r>
      <rPr>
        <sz val="11"/>
        <color rgb="FFFF0000"/>
        <rFont val="굴림체"/>
        <family val="3"/>
        <charset val="129"/>
      </rPr>
      <t>→ 2회</t>
    </r>
    <r>
      <rPr>
        <sz val="11"/>
        <color theme="1"/>
        <rFont val="굴림체"/>
        <family val="3"/>
        <charset val="129"/>
      </rPr>
      <t>. 2급</t>
    </r>
    <phoneticPr fontId="1" type="noConversion"/>
  </si>
  <si>
    <r>
      <t xml:space="preserve">3회 </t>
    </r>
    <r>
      <rPr>
        <sz val="11"/>
        <color rgb="FFFF0000"/>
        <rFont val="굴림체"/>
        <family val="3"/>
        <charset val="129"/>
      </rPr>
      <t>→ 2회</t>
    </r>
    <phoneticPr fontId="1" type="noConversion"/>
  </si>
  <si>
    <t>재활용되지 않는 철거로 쇼케이스철거에 포함되므로 제외</t>
    <phoneticPr fontId="1" type="noConversion"/>
  </si>
  <si>
    <t>환경관리비의 산출기준 및 관리에 관한 지침 제2조에 의거 건설산업기본법 제2조 4호의 '그 밖에 명칭에 관계없이 시설물을 설치 유지 보수'하는 건설공사는 환경보전비 필요</t>
    <phoneticPr fontId="1" type="noConversion"/>
  </si>
  <si>
    <t>109</t>
    <phoneticPr fontId="1" type="noConversion"/>
  </si>
  <si>
    <t>가격정보</t>
    <phoneticPr fontId="1" type="noConversion"/>
  </si>
  <si>
    <t>인우드</t>
    <phoneticPr fontId="1" type="noConversion"/>
  </si>
  <si>
    <t>49,000원/장(9T×1,220×2,440)</t>
    <phoneticPr fontId="1" type="noConversion"/>
  </si>
  <si>
    <t>M2</t>
    <phoneticPr fontId="1" type="noConversion"/>
  </si>
  <si>
    <t>건축5-1-1(PVC바닥재설치, 시트 전면접합) 품의 50%적용</t>
    <phoneticPr fontId="1" type="noConversion"/>
  </si>
  <si>
    <t>건축11-2-4(유성페인트 붓칠, 철재면, 2회) 준용</t>
    <phoneticPr fontId="1" type="noConversion"/>
  </si>
  <si>
    <t>신규작성</t>
    <phoneticPr fontId="1" type="noConversion"/>
  </si>
  <si>
    <t>신규작성</t>
    <phoneticPr fontId="1" type="noConversion"/>
  </si>
  <si>
    <t>보통합판, 1급, 4.8*1220*2440mm</t>
    <phoneticPr fontId="1" type="noConversion"/>
  </si>
  <si>
    <t>자연석판석, 버너마감, 30mm, 황등석판재</t>
    <phoneticPr fontId="1" type="noConversion"/>
  </si>
  <si>
    <t>경량철골천장틀, 행가및핀, 110*23*18*2.3mm</t>
    <phoneticPr fontId="1" type="noConversion"/>
  </si>
  <si>
    <t>현장여건을 반영하여 인원수 조정(2인×3일)</t>
    <phoneticPr fontId="1" type="noConversion"/>
  </si>
  <si>
    <t>현장여건을 반영하여 인원수 조정(2인×5일)</t>
    <phoneticPr fontId="1" type="noConversion"/>
  </si>
  <si>
    <t>현장여건을 반영하여 인원수 조정(2인×5일+2인×3일)</t>
    <phoneticPr fontId="1" type="noConversion"/>
  </si>
  <si>
    <t>건축9-2-3(전면 마감) 적용</t>
    <phoneticPr fontId="1" type="noConversion"/>
  </si>
</sst>
</file>

<file path=xl/styles.xml><?xml version="1.0" encoding="utf-8"?>
<styleSheet xmlns="http://schemas.openxmlformats.org/spreadsheetml/2006/main">
  <numFmts count="159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#"/>
    <numFmt numFmtId="177" formatCode="#,###;\-#,###;#;"/>
    <numFmt numFmtId="178" formatCode="#,##0.00#"/>
    <numFmt numFmtId="179" formatCode="#,##0.0"/>
    <numFmt numFmtId="180" formatCode="#,##0.00#;\-#,##0.00#;#"/>
    <numFmt numFmtId="181" formatCode="#,##0;\-#,##0;#"/>
    <numFmt numFmtId="182" formatCode="0.0"/>
    <numFmt numFmtId="183" formatCode="#,##0_ "/>
    <numFmt numFmtId="184" formatCode="#,##0.0_ "/>
    <numFmt numFmtId="185" formatCode="0.00_ "/>
    <numFmt numFmtId="186" formatCode="#,##0.00_ "/>
    <numFmt numFmtId="187" formatCode="0.000"/>
    <numFmt numFmtId="188" formatCode="_-* #,##0.0_-;\-* #,##0.0_-;_-* &quot;-&quot;_-;_-@_-"/>
    <numFmt numFmtId="189" formatCode="0.00_);[Red]\(0.00\)"/>
    <numFmt numFmtId="190" formatCode="#,##0_);[Red]\(#,##0\)"/>
    <numFmt numFmtId="191" formatCode="#,##0_ ;[Red]\-#,##0\ "/>
    <numFmt numFmtId="192" formatCode="0.000%"/>
    <numFmt numFmtId="193" formatCode="#,##0&quot; 원&quot;"/>
    <numFmt numFmtId="194" formatCode="&quot;$&quot;#,##0;\-&quot;$&quot;#,##0"/>
    <numFmt numFmtId="195" formatCode="0_ "/>
    <numFmt numFmtId="196" formatCode="0.0%"/>
    <numFmt numFmtId="197" formatCode="#,##0.000"/>
    <numFmt numFmtId="198" formatCode="&quot;₩&quot;\!\$#\!\,##0_);[Red]&quot;₩&quot;\!\(&quot;₩&quot;\!\$#\!\,##0&quot;₩&quot;\!\)"/>
    <numFmt numFmtId="199" formatCode="0\!.0000000000000000"/>
    <numFmt numFmtId="200" formatCode="&quot;$&quot;#\!\,##0\!.00_);[Red]&quot;₩&quot;\!\(&quot;$&quot;#\!\,##0\!.00&quot;₩&quot;\!\)"/>
    <numFmt numFmtId="201" formatCode="_ * #,##0_ ;_ * \-#,##0_ ;_ * &quot;-&quot;_ ;_ @_ "/>
    <numFmt numFmtId="202" formatCode="#."/>
    <numFmt numFmtId="203" formatCode="&quot;₩&quot;#,##0;[Red]&quot;₩&quot;&quot;₩&quot;\-#,##0"/>
    <numFmt numFmtId="204" formatCode="_-* #,##0.0_-;&quot;₩&quot;\!\-* #,##0.0_-;_-* &quot;-&quot;_-;_-@_-"/>
    <numFmt numFmtId="205" formatCode="#,##0.0;[Red]#,##0.0;&quot; &quot;"/>
    <numFmt numFmtId="206" formatCode="_(&quot;$&quot;* #,##0_);_(&quot;$&quot;* \(#,##0\);_(&quot;$&quot;* &quot;-&quot;_);_(@_)"/>
    <numFmt numFmtId="207" formatCode="0.0000%"/>
    <numFmt numFmtId="208" formatCode="#,##0.0000"/>
    <numFmt numFmtId="209" formatCode="#,##0.00;[Red]#,##0.00;&quot; &quot;"/>
    <numFmt numFmtId="210" formatCode="&quot;$&quot;#,##0.00_);\(&quot;$&quot;#,##0.00\)"/>
    <numFmt numFmtId="211" formatCode="_ &quot;₩&quot;* #,##0_ ;_ &quot;₩&quot;* \-#,##0_ ;_ &quot;₩&quot;* &quot;-&quot;_ ;_ @_ "/>
    <numFmt numFmtId="212" formatCode="_ &quot;₩&quot;* #,##0.00_ ;_ &quot;₩&quot;* \-#,##0.00_ ;_ &quot;₩&quot;* &quot;-&quot;??_ ;_ @_ "/>
    <numFmt numFmtId="213" formatCode="_(&quot;$&quot;* #,##0.00_);_(&quot;$&quot;* \(#,##0.00\);_(&quot;$&quot;* &quot;-&quot;??_);_(@_)"/>
    <numFmt numFmtId="214" formatCode="_ * #,##0.00_ ;_ * \-#,##0.00_ ;_ * &quot;-&quot;??_ ;_ @_ "/>
    <numFmt numFmtId="215" formatCode="_-* #,##0\ &quot;Esc.&quot;_-;\-* #,##0\ &quot;Esc.&quot;_-;_-* &quot;-&quot;\ &quot;Esc.&quot;_-;_-@_-"/>
    <numFmt numFmtId="216" formatCode="#,##0.00&quot; F&quot;_);[Red]\(#,##0.00&quot; F&quot;\)"/>
    <numFmt numFmtId="217" formatCode="#,##0&quot; $&quot;;\-#,##0&quot; $&quot;"/>
    <numFmt numFmtId="218" formatCode="#,##0&quot; F&quot;_);[Red]\(#,##0&quot; F&quot;\)"/>
    <numFmt numFmtId="219" formatCode="#,##0&quot; $&quot;;[Red]\-#,##0&quot; $&quot;"/>
    <numFmt numFmtId="220" formatCode="_(* #,##0.0_);_(* \(#,##0.0\);_(* &quot;-&quot;??_);_(@_)"/>
    <numFmt numFmtId="221" formatCode="h&quot;시&quot;&quot;₩&quot;&quot;₩&quot;&quot;₩&quot;&quot;₩&quot;&quot;₩&quot;&quot;₩&quot;\ mm&quot;분&quot;&quot;₩&quot;&quot;₩&quot;&quot;₩&quot;&quot;₩&quot;&quot;₩&quot;&quot;₩&quot;\ ss&quot;초&quot;"/>
    <numFmt numFmtId="222" formatCode="m\o\n\th\ d\,\ yyyy"/>
    <numFmt numFmtId="223" formatCode="yy&quot;₩&quot;/mm&quot;₩&quot;/dd"/>
    <numFmt numFmtId="224" formatCode="_-[$€-2]* #,##0.00_-;&quot;₩&quot;\!\-[$€-2]* #,##0.00_-;_-[$€-2]* &quot;-&quot;??_-"/>
    <numFmt numFmtId="225" formatCode="#.00"/>
    <numFmt numFmtId="226" formatCode="_-* #,##0.00\ &quot;Kc&quot;_-;\-* #,##0.00\ &quot;Kc&quot;_-;_-* &quot;-&quot;??\ &quot;Kc&quot;_-;_-@_-"/>
    <numFmt numFmtId="227" formatCode="0.0&quot;  &quot;"/>
    <numFmt numFmtId="228" formatCode="#,##0.00&quot; $&quot;;\-#,##0.00&quot; $&quot;"/>
    <numFmt numFmtId="229" formatCode="#,##0.00&quot; $&quot;;[Red]\-#,##0.00&quot; $&quot;"/>
    <numFmt numFmtId="230" formatCode="#,##0\ &quot;DM&quot;;[Red]\-#,##0\ &quot;DM&quot;"/>
    <numFmt numFmtId="231" formatCode="#,##0.00\ &quot;DM&quot;;[Red]\-#,##0.00\ &quot;DM&quot;"/>
    <numFmt numFmtId="232" formatCode="&quot;₩&quot;#,##0;&quot;₩&quot;&quot;₩&quot;&quot;₩&quot;&quot;₩&quot;\-#,##0"/>
    <numFmt numFmtId="233" formatCode="General_)"/>
    <numFmt numFmtId="234" formatCode="#,##0.00&quot;?_);\(#,##0.00&quot;&quot;?&quot;\)"/>
    <numFmt numFmtId="235" formatCode="yyyy\.mm\.dd"/>
    <numFmt numFmtId="236" formatCode="_-* #,##0;\-* #,##0;_-* &quot;-&quot;;_-@"/>
    <numFmt numFmtId="237" formatCode="#,##0;[Red]&quot;-&quot;#,##0"/>
    <numFmt numFmtId="238" formatCode="&quot;₩&quot;#,##0.00;&quot;₩&quot;&quot;₩&quot;&quot;₩&quot;&quot;₩&quot;&quot;₩&quot;\-#,##0.00"/>
    <numFmt numFmtId="239" formatCode="_ &quot;₩&quot;* #,##0.00_ ;_ &quot;₩&quot;* &quot;₩&quot;&quot;₩&quot;\-#,##0.00_ ;_ &quot;₩&quot;* &quot;-&quot;??_ ;_ @_ "/>
    <numFmt numFmtId="240" formatCode="&quot;(@&quot;#0.0&quot;)&quot;"/>
    <numFmt numFmtId="241" formatCode="_ &quot;₩&quot;* #,##0_ ;_ &quot;₩&quot;* &quot;₩&quot;\-#,##0_ ;_ &quot;₩&quot;* &quot;-&quot;_ ;_ @_ "/>
    <numFmt numFmtId="242" formatCode="_ &quot;₩&quot;* #,##0_ ;_ &quot;₩&quot;* &quot;₩&quot;&quot;₩&quot;&quot;₩&quot;&quot;₩&quot;\-#,##0_ ;_ &quot;₩&quot;* &quot;-&quot;_ ;_ @_ "/>
    <numFmt numFmtId="243" formatCode="&quot;  &quot;@"/>
    <numFmt numFmtId="244" formatCode="#\!\,##0;&quot;₩&quot;\!\-#\!\,##0\!.00"/>
    <numFmt numFmtId="245" formatCode="#,##0;\-#,##0.00"/>
    <numFmt numFmtId="246" formatCode="&quot;₩&quot;#,##0;[Red]&quot;₩&quot;&quot;₩&quot;&quot;₩&quot;&quot;₩&quot;\-#,##0"/>
    <numFmt numFmtId="247" formatCode="#,###,###.0"/>
    <numFmt numFmtId="248" formatCode="#,##0&quot; &quot;;[Red]&quot;△&quot;#,##0&quot; &quot;"/>
    <numFmt numFmtId="249" formatCode="* #,##0&quot; &quot;;[Red]* &quot;△&quot;#,##0&quot; &quot;;* @"/>
    <numFmt numFmtId="250" formatCode="#,##0.####;[Red]&quot;△&quot;#,##0.####"/>
    <numFmt numFmtId="251" formatCode="_-* #,##0.00_-;&quot;₩&quot;&quot;₩&quot;\-* #,##0.00_-;_-* &quot;-&quot;??_-;_-@_-"/>
    <numFmt numFmtId="252" formatCode="#,###&quot; &quot;;\(#,###\)"/>
    <numFmt numFmtId="253" formatCode="#,###&quot;  &quot;;\(#,###\)&quot; &quot;"/>
    <numFmt numFmtId="254" formatCode="_-&quot;₩&quot;* #,##0.00_-;&quot;₩&quot;&quot;₩&quot;\-&quot;₩&quot;* #,##0.00_-;_-&quot;₩&quot;* &quot;-&quot;??_-;_-@_-"/>
    <numFmt numFmtId="255" formatCode="&quot;₩&quot;#,##0.00;&quot;₩&quot;&quot;₩&quot;&quot;₩&quot;&quot;₩&quot;\-#,##0.00"/>
    <numFmt numFmtId="256" formatCode="_-* #,##0.00_-;\-* #,##0.00_-;_-* &quot;-&quot;_-;_-@_-"/>
    <numFmt numFmtId="257" formatCode="_-* #,##0.000_-;\-* #,##0.000_-;_-* &quot;-&quot;???_-;_-@_-"/>
    <numFmt numFmtId="258" formatCode="\ "/>
    <numFmt numFmtId="259" formatCode="&quot;(&quot;###.00&quot;)&quot;"/>
    <numFmt numFmtId="260" formatCode="#,##0&quot;W&quot;_);\(#,##0&quot;W&quot;\)"/>
    <numFmt numFmtId="261" formatCode="#,##0.000;[Red]#,##0.000"/>
    <numFmt numFmtId="262" formatCode="_ * #,##0.00_ ;_ * &quot;₩&quot;&quot;₩&quot;&quot;₩&quot;&quot;₩&quot;&quot;₩&quot;&quot;₩&quot;&quot;₩&quot;\-#,##0.00_ ;_ * &quot;-&quot;??_ ;_ @_ "/>
    <numFmt numFmtId="263" formatCode="&quot;₩&quot;#,##0;[Red]&quot;₩&quot;&quot;₩&quot;&quot;₩&quot;&quot;₩&quot;&quot;₩&quot;&quot;₩&quot;&quot;₩&quot;&quot;₩&quot;\-#,##0"/>
    <numFmt numFmtId="264" formatCode="&quot;₩&quot;#,##0.00;[Red]&quot;₩&quot;&quot;₩&quot;\!\-#,##0.00"/>
    <numFmt numFmtId="265" formatCode="[Red]\+#;[Red]\-#;[Red]0"/>
    <numFmt numFmtId="266" formatCode="#,##0;[Red]&quot;△&quot;#,##0"/>
    <numFmt numFmtId="267" formatCode="#,##0_ ;[Red]&quot;△&quot;#,##0\ "/>
    <numFmt numFmtId="268" formatCode="0.00;[Red]0.00"/>
    <numFmt numFmtId="269" formatCode="&quot;$&quot;#,##0_);[Red]\(&quot;$&quot;#,##0\)"/>
    <numFmt numFmtId="270" formatCode="&quot;$&quot;#,##0.00_);[Red]\(&quot;$&quot;#,##0.00\)"/>
    <numFmt numFmtId="271" formatCode="0000000000000"/>
    <numFmt numFmtId="272" formatCode="&quot;$&quot;#,##0_);\(&quot;$&quot;#,##0\)"/>
    <numFmt numFmtId="273" formatCode="yy\.mm\.dd"/>
    <numFmt numFmtId="274" formatCode="0.000000"/>
    <numFmt numFmtId="275" formatCode="0E+00"/>
    <numFmt numFmtId="276" formatCode="&quot;$&quot;#,##0;[Red]\-&quot;$&quot;#,##0"/>
    <numFmt numFmtId="277" formatCode="&quot;₩&quot;#,##0;[Red]&quot;₩&quot;&quot;₩&quot;&quot;₩&quot;&quot;₩&quot;&quot;₩&quot;&quot;₩&quot;&quot;₩&quot;&quot;₩&quot;&quot;₩&quot;\-#,##0"/>
    <numFmt numFmtId="278" formatCode="0.00000000_ "/>
    <numFmt numFmtId="279" formatCode="00.00"/>
    <numFmt numFmtId="280" formatCode="_(&quot;$&quot;* #,##0.000_);_(&quot;$&quot;* &quot;₩&quot;&quot;₩&quot;&quot;₩&quot;&quot;₩&quot;&quot;₩&quot;&quot;₩&quot;\(#,##0.000&quot;₩&quot;&quot;₩&quot;&quot;₩&quot;&quot;₩&quot;&quot;₩&quot;&quot;₩&quot;\);_(&quot;$&quot;* &quot;-&quot;??_);_(@_)"/>
    <numFmt numFmtId="281" formatCode="#,##0.000_);&quot;₩&quot;&quot;₩&quot;&quot;₩&quot;&quot;₩&quot;&quot;₩&quot;&quot;₩&quot;\(#,##0.000&quot;₩&quot;&quot;₩&quot;&quot;₩&quot;&quot;₩&quot;&quot;₩&quot;&quot;₩&quot;\)"/>
    <numFmt numFmtId="282" formatCode="#,##0.0;[Red]&quot;-&quot;#,##0.0"/>
    <numFmt numFmtId="283" formatCode="#,##0.0_%;[Red]&quot;₩&quot;&quot;₩&quot;&quot;₩&quot;&quot;₩&quot;&quot;₩&quot;&quot;₩&quot;\(#,##0.0%&quot;₩&quot;&quot;₩&quot;&quot;₩&quot;&quot;₩&quot;&quot;₩&quot;&quot;₩&quot;\)"/>
    <numFmt numFmtId="284" formatCode="#,##0.0%;[Red]&quot;₩&quot;&quot;₩&quot;&quot;₩&quot;&quot;₩&quot;&quot;₩&quot;&quot;₩&quot;\(#,##0.0%&quot;₩&quot;&quot;₩&quot;&quot;₩&quot;&quot;₩&quot;&quot;₩&quot;&quot;₩&quot;\)"/>
    <numFmt numFmtId="285" formatCode="&quot;(&quot;0&quot;)&quot;"/>
    <numFmt numFmtId="286" formatCode="#,##0;[Red]#,##0"/>
    <numFmt numFmtId="287" formatCode="&quot;111-&quot;@"/>
    <numFmt numFmtId="288" formatCode="0.0%;[Red]&quot;△&quot;0.0%"/>
    <numFmt numFmtId="289" formatCode="0.00%;[Red]&quot;△&quot;0.00%"/>
    <numFmt numFmtId="290" formatCode="0_);[Red]\(0\)"/>
    <numFmt numFmtId="291" formatCode="#,##0;&quot;-&quot;#,##0"/>
    <numFmt numFmtId="292" formatCode="#,##0.0#####\ ;[Red]\-#,##0.0#####\ "/>
    <numFmt numFmtId="293" formatCode="#,##0.0_);[Red]\(#,##0.0\)"/>
    <numFmt numFmtId="294" formatCode="&quot;₩&quot;#,##0.00;&quot;₩&quot;\-#,##0.00"/>
    <numFmt numFmtId="295" formatCode="&quot;M-S3-014-&quot;\ ###&quot;&quot;\ "/>
    <numFmt numFmtId="296" formatCode="&quot;004-30-&quot;\ ###&quot;호&quot;\ "/>
    <numFmt numFmtId="297" formatCode="&quot;M-S3-016-&quot;\ ###&quot;&quot;\ "/>
    <numFmt numFmtId="298" formatCode="&quot;M-S3-004-&quot;\ ###&quot;&quot;\ "/>
    <numFmt numFmtId="299" formatCode="&quot;₩&quot;#,##0;[Red]&quot;₩&quot;\-#,##0"/>
    <numFmt numFmtId="300" formatCode="#,##0.000_ "/>
    <numFmt numFmtId="301" formatCode="#,###;\-#,###"/>
    <numFmt numFmtId="302" formatCode="_-* #,##0.0000_-;\-* #,##0.0000_-;_-* &quot;-&quot;_-;_-@_-"/>
    <numFmt numFmtId="303" formatCode="_-* #,##0_-;\-* #,##0_-;_-* &quot;-&quot;?_-;_-@_-"/>
    <numFmt numFmtId="304" formatCode="_-* #,##0.000_-;\-* #,##0.000_-;_-* &quot;-&quot;_-;_-@_-"/>
    <numFmt numFmtId="305" formatCode="_-* #,##0_-;\-* #,##0_-;_-* &quot;-&quot;??_-;_-@_-"/>
    <numFmt numFmtId="306" formatCode="#,##0.00_);[Red]\(#,##0.00\)"/>
    <numFmt numFmtId="307" formatCode="&quot;₩&quot;#,##0.00;&quot;₩&quot;&quot;₩&quot;&quot;₩&quot;&quot;₩&quot;&quot;₩&quot;&quot;₩&quot;&quot;₩&quot;&quot;₩&quot;&quot;₩&quot;&quot;₩&quot;&quot;₩&quot;&quot;₩&quot;&quot;₩&quot;&quot;₩&quot;&quot;₩&quot;\-#,##0.00"/>
    <numFmt numFmtId="308" formatCode="&quot;₩&quot;#,##0.00;[Red]&quot;₩&quot;&quot;₩&quot;&quot;₩&quot;&quot;₩&quot;&quot;₩&quot;&quot;₩&quot;&quot;₩&quot;&quot;₩&quot;&quot;₩&quot;&quot;₩&quot;&quot;₩&quot;&quot;₩&quot;&quot;₩&quot;&quot;₩&quot;&quot;₩&quot;\-#,##0.00"/>
    <numFmt numFmtId="309" formatCode="#,##0.00##;[Red]&quot;△&quot;#,##0.00##"/>
    <numFmt numFmtId="310" formatCode="&quot;₩&quot;#,##0;[Red]&quot;₩&quot;&quot;₩&quot;&quot;₩&quot;&quot;₩&quot;&quot;₩&quot;&quot;₩&quot;&quot;₩&quot;&quot;₩&quot;&quot;₩&quot;&quot;₩&quot;&quot;₩&quot;&quot;₩&quot;&quot;₩&quot;&quot;₩&quot;&quot;₩&quot;\-#,##0"/>
    <numFmt numFmtId="311" formatCode="&quot;₩&quot;#,##0;&quot;₩&quot;&quot;₩&quot;&quot;₩&quot;&quot;₩&quot;&quot;₩&quot;&quot;₩&quot;&quot;₩&quot;&quot;₩&quot;&quot;₩&quot;&quot;₩&quot;&quot;₩&quot;&quot;₩&quot;&quot;₩&quot;&quot;₩&quot;&quot;₩&quot;\-#,##0"/>
    <numFmt numFmtId="312" formatCode="_ &quot;₩&quot;* #,##0_ ;_ &quot;₩&quot;* 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313" formatCode="d&quot;₩&quot;\!\.m&quot;₩&quot;\!\.yy&quot;₩&quot;\!\ h:mm"/>
    <numFmt numFmtId="314" formatCode="%#.00"/>
    <numFmt numFmtId="315" formatCode="_ * #,##0_ ;_ * &quot;₩&quot;\!\-#,##0_ ;_ * &quot;-&quot;_ ;_ @_ "/>
    <numFmt numFmtId="316" formatCode="_(* #,##0_);_(* &quot;₩&quot;&quot;₩&quot;&quot;₩&quot;&quot;₩&quot;&quot;₩&quot;&quot;₩&quot;\(#,##0&quot;₩&quot;&quot;₩&quot;&quot;₩&quot;&quot;₩&quot;&quot;₩&quot;&quot;₩&quot;\);_(* &quot;-&quot;_);_(@_)"/>
    <numFmt numFmtId="317" formatCode="_(&quot;$&quot;* #,##0.00_);_(&quot;$&quot;* &quot;₩&quot;&quot;₩&quot;&quot;₩&quot;&quot;₩&quot;&quot;₩&quot;&quot;₩&quot;\(#,##0.00&quot;₩&quot;&quot;₩&quot;&quot;₩&quot;&quot;₩&quot;&quot;₩&quot;&quot;₩&quot;\);_(&quot;$&quot;* &quot;-&quot;??_);_(@_)"/>
    <numFmt numFmtId="318" formatCode="_(* #,##0.00_);_(* &quot;₩&quot;&quot;₩&quot;&quot;₩&quot;&quot;₩&quot;&quot;₩&quot;&quot;₩&quot;\(#,##0.00&quot;₩&quot;&quot;₩&quot;&quot;₩&quot;&quot;₩&quot;&quot;₩&quot;&quot;₩&quot;\);_(* &quot;-&quot;??_);_(@_)"/>
    <numFmt numFmtId="319" formatCode="&quot;₩&quot;#,##0;&quot;₩&quot;&quot;₩&quot;&quot;₩&quot;&quot;₩&quot;&quot;₩&quot;\-&quot;₩&quot;#,##0"/>
    <numFmt numFmtId="320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321" formatCode="&quot;₩&quot;#,##0;[Red]&quot;₩&quot;&quot;₩&quot;&quot;₩&quot;&quot;₩&quot;&quot;₩&quot;\-&quot;₩&quot;#,##0"/>
    <numFmt numFmtId="322" formatCode="#,##0.00\ &quot;Pts&quot;;\-#,##0.00\ &quot;Pts&quot;"/>
    <numFmt numFmtId="323" formatCode="0.00000%"/>
    <numFmt numFmtId="324" formatCode="&quot;₩&quot;#,##0.00;&quot;₩&quot;&quot;₩&quot;&quot;₩&quot;&quot;₩&quot;&quot;₩&quot;\-&quot;₩&quot;#,##0.00"/>
    <numFmt numFmtId="325" formatCode="&quot;₩&quot;#,##0;[Red]&quot;₩&quot;&quot;₩&quot;&quot;₩&quot;&quot;₩&quot;&quot;₩&quot;&quot;₩&quot;&quot;₩&quot;\-#,##0"/>
    <numFmt numFmtId="326" formatCode="&quot;₩&quot;#,##0.00;[Red]&quot;₩&quot;&quot;₩&quot;&quot;₩&quot;&quot;₩&quot;&quot;₩&quot;\-&quot;₩&quot;#,##0.00"/>
    <numFmt numFmtId="327" formatCode="#,##0\ &quot;F&quot;;[Red]\-#,##0\ &quot;F&quot;"/>
    <numFmt numFmtId="328" formatCode="_-* #,##0.00000_-;\-* #,##0.00000_-;_-* &quot;-&quot;_-;_-@_-"/>
    <numFmt numFmtId="329" formatCode="#,###,"/>
  </numFmts>
  <fonts count="23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u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돋움체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name val="굴림"/>
      <family val="3"/>
      <charset val="129"/>
    </font>
    <font>
      <sz val="10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u/>
      <sz val="14"/>
      <color theme="1"/>
      <name val="맑은 고딕"/>
      <family val="3"/>
      <charset val="129"/>
      <scheme val="minor"/>
    </font>
    <font>
      <b/>
      <sz val="18"/>
      <name val="굴림"/>
      <family val="3"/>
      <charset val="129"/>
    </font>
    <font>
      <sz val="8"/>
      <name val="돋움"/>
      <family val="3"/>
      <charset val="129"/>
    </font>
    <font>
      <b/>
      <sz val="16"/>
      <name val="굴림"/>
      <family val="3"/>
      <charset val="129"/>
    </font>
    <font>
      <b/>
      <sz val="11"/>
      <name val="굴림"/>
      <family val="3"/>
      <charset val="129"/>
    </font>
    <font>
      <b/>
      <sz val="24"/>
      <name val="굴림"/>
      <family val="3"/>
      <charset val="129"/>
    </font>
    <font>
      <b/>
      <sz val="36"/>
      <name val="굴림"/>
      <family val="3"/>
      <charset val="129"/>
    </font>
    <font>
      <sz val="14"/>
      <name val="돋움"/>
      <family val="3"/>
      <charset val="129"/>
    </font>
    <font>
      <b/>
      <sz val="14"/>
      <name val="굴림"/>
      <family val="3"/>
      <charset val="129"/>
    </font>
    <font>
      <b/>
      <sz val="9"/>
      <color theme="1"/>
      <name val="굴림체"/>
      <family val="3"/>
      <charset val="129"/>
    </font>
    <font>
      <sz val="14"/>
      <color theme="1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9"/>
      <color theme="1"/>
      <name val="굴림체"/>
      <family val="3"/>
      <charset val="129"/>
    </font>
    <font>
      <sz val="9"/>
      <name val="굴림체"/>
      <family val="3"/>
      <charset val="129"/>
    </font>
    <font>
      <b/>
      <sz val="9"/>
      <name val="굴림체"/>
      <family val="3"/>
      <charset val="129"/>
    </font>
    <font>
      <sz val="8"/>
      <name val="굴림체"/>
      <family val="3"/>
      <charset val="129"/>
    </font>
    <font>
      <sz val="11"/>
      <name val="굴림체"/>
      <family val="3"/>
      <charset val="129"/>
    </font>
    <font>
      <sz val="8"/>
      <name val="바탕체"/>
      <family val="1"/>
      <charset val="129"/>
    </font>
    <font>
      <b/>
      <sz val="18"/>
      <name val="굴림체"/>
      <family val="3"/>
      <charset val="129"/>
    </font>
    <font>
      <sz val="10"/>
      <name val="바탕체"/>
      <family val="1"/>
      <charset val="129"/>
    </font>
    <font>
      <sz val="11"/>
      <name val="맑은 고딕"/>
      <family val="2"/>
      <charset val="129"/>
      <scheme val="minor"/>
    </font>
    <font>
      <b/>
      <sz val="8"/>
      <name val="굴림체"/>
      <family val="3"/>
      <charset val="129"/>
    </font>
    <font>
      <sz val="11"/>
      <name val="돋움체"/>
      <family val="3"/>
      <charset val="129"/>
    </font>
    <font>
      <sz val="12"/>
      <name val="굴림체"/>
      <family val="3"/>
      <charset val="129"/>
    </font>
    <font>
      <sz val="10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b/>
      <sz val="10"/>
      <name val="굴림체"/>
      <family val="3"/>
      <charset val="129"/>
    </font>
    <font>
      <sz val="10"/>
      <name val="맑은 고딕"/>
      <family val="2"/>
      <charset val="129"/>
      <scheme val="minor"/>
    </font>
    <font>
      <sz val="12"/>
      <name val="맑은 고딕"/>
      <family val="3"/>
      <charset val="129"/>
      <scheme val="minor"/>
    </font>
    <font>
      <sz val="28"/>
      <name val="맑은 고딕"/>
      <family val="2"/>
      <charset val="129"/>
      <scheme val="minor"/>
    </font>
    <font>
      <sz val="10"/>
      <name val="Arial"/>
      <family val="2"/>
    </font>
    <font>
      <b/>
      <sz val="12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돋움체"/>
      <family val="3"/>
      <charset val="129"/>
    </font>
    <font>
      <b/>
      <u/>
      <sz val="18"/>
      <name val="굴림체"/>
      <family val="3"/>
      <charset val="129"/>
    </font>
    <font>
      <b/>
      <sz val="11"/>
      <name val="굴림체"/>
      <family val="3"/>
      <charset val="129"/>
    </font>
    <font>
      <sz val="10"/>
      <color indexed="10"/>
      <name val="굴림체"/>
      <family val="3"/>
      <charset val="129"/>
    </font>
    <font>
      <b/>
      <sz val="10"/>
      <color indexed="10"/>
      <name val="굴림체"/>
      <family val="3"/>
      <charset val="129"/>
    </font>
    <font>
      <sz val="10"/>
      <name val="돋움"/>
      <family val="3"/>
      <charset val="129"/>
    </font>
    <font>
      <b/>
      <sz val="11"/>
      <name val="돋움"/>
      <family val="3"/>
      <charset val="129"/>
    </font>
    <font>
      <b/>
      <u/>
      <sz val="18"/>
      <name val="돋움체"/>
      <family val="3"/>
      <charset val="129"/>
    </font>
    <font>
      <sz val="18"/>
      <name val="돋움체"/>
      <family val="3"/>
      <charset val="129"/>
    </font>
    <font>
      <b/>
      <sz val="18"/>
      <name val="돋움체"/>
      <family val="3"/>
      <charset val="129"/>
    </font>
    <font>
      <b/>
      <sz val="18"/>
      <color indexed="8"/>
      <name val="돋움체"/>
      <family val="3"/>
      <charset val="129"/>
    </font>
    <font>
      <sz val="18"/>
      <color indexed="8"/>
      <name val="돋움체"/>
      <family val="3"/>
      <charset val="129"/>
    </font>
    <font>
      <sz val="18"/>
      <name val="돋움"/>
      <family val="3"/>
      <charset val="129"/>
    </font>
    <font>
      <b/>
      <sz val="10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11"/>
      <color indexed="8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2"/>
      <name val="돋움"/>
      <family val="3"/>
      <charset val="129"/>
    </font>
    <font>
      <sz val="10"/>
      <name val="MS Sans Serif"/>
      <family val="2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0"/>
      <name val="Helv"/>
      <family val="2"/>
    </font>
    <font>
      <sz val="1"/>
      <color indexed="16"/>
      <name val="Courier"/>
      <family val="3"/>
    </font>
    <font>
      <sz val="12"/>
      <name val="Times New Roman"/>
      <family val="1"/>
    </font>
    <font>
      <sz val="1"/>
      <color indexed="8"/>
      <name val="Courier"/>
      <family val="3"/>
    </font>
    <font>
      <sz val="11"/>
      <name val="바탕체"/>
      <family val="1"/>
      <charset val="129"/>
    </font>
    <font>
      <sz val="9"/>
      <name val="돋움체"/>
      <family val="3"/>
      <charset val="129"/>
    </font>
    <font>
      <sz val="10"/>
      <name val="옛체"/>
      <family val="1"/>
      <charset val="129"/>
    </font>
    <font>
      <sz val="7"/>
      <name val="바탕체"/>
      <family val="1"/>
      <charset val="129"/>
    </font>
    <font>
      <sz val="10"/>
      <name val="돋움체"/>
      <family val="3"/>
      <charset val="129"/>
    </font>
    <font>
      <sz val="1"/>
      <color indexed="0"/>
      <name val="Courier"/>
      <family val="3"/>
    </font>
    <font>
      <b/>
      <sz val="12"/>
      <name val="바탕체"/>
      <family val="1"/>
      <charset val="129"/>
    </font>
    <font>
      <sz val="9"/>
      <name val="바탕체"/>
      <family val="1"/>
      <charset val="129"/>
    </font>
    <font>
      <sz val="11"/>
      <name val="￥i￠￢￠?o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1"/>
      <name val="µ¸¿ò"/>
      <family val="3"/>
    </font>
    <font>
      <sz val="12"/>
      <name val="¹UAAA¼"/>
      <family val="1"/>
    </font>
    <font>
      <sz val="12"/>
      <name val="ⓒoUAAA¨u"/>
      <family val="1"/>
      <charset val="129"/>
    </font>
    <font>
      <sz val="8"/>
      <name val="Times New Roman"/>
      <family val="1"/>
    </font>
    <font>
      <b/>
      <sz val="12"/>
      <name val="Arial MT"/>
      <family val="2"/>
    </font>
    <font>
      <sz val="12"/>
      <name val="System"/>
      <family val="2"/>
    </font>
    <font>
      <sz val="9"/>
      <name val="Times New Roman"/>
      <family val="1"/>
    </font>
    <font>
      <b/>
      <sz val="10"/>
      <name val="Helv"/>
      <family val="2"/>
    </font>
    <font>
      <u/>
      <sz val="10"/>
      <color indexed="12"/>
      <name val="Arial"/>
      <family val="2"/>
    </font>
    <font>
      <sz val="12"/>
      <name val="Arial MT"/>
      <family val="2"/>
    </font>
    <font>
      <sz val="10"/>
      <color indexed="0"/>
      <name val="MS Sans Serif"/>
      <family val="2"/>
    </font>
    <font>
      <sz val="10"/>
      <name val="MS Serif"/>
      <family val="1"/>
    </font>
    <font>
      <sz val="10"/>
      <color indexed="8"/>
      <name val="Arial"/>
      <family val="2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sz val="10"/>
      <name val="Geneva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3"/>
      <name val="굴림체"/>
      <family val="3"/>
      <charset val="129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8"/>
      <color indexed="12"/>
      <name val="Times New Roman"/>
      <family val="1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sz val="8"/>
      <name val="Wingdings"/>
      <charset val="2"/>
    </font>
    <font>
      <sz val="8"/>
      <name val="Helv"/>
      <family val="2"/>
    </font>
    <font>
      <sz val="8"/>
      <name val="MS Sans Serif"/>
      <family val="2"/>
    </font>
    <font>
      <b/>
      <sz val="8"/>
      <name val="Times New Roman"/>
      <family val="1"/>
    </font>
    <font>
      <b/>
      <sz val="8"/>
      <color indexed="8"/>
      <name val="Helv"/>
      <family val="2"/>
    </font>
    <font>
      <b/>
      <u/>
      <sz val="13"/>
      <name val="굴림체"/>
      <family val="3"/>
      <charset val="129"/>
    </font>
    <font>
      <sz val="8"/>
      <color indexed="12"/>
      <name val="Arial"/>
      <family val="2"/>
    </font>
    <font>
      <u/>
      <sz val="10"/>
      <color indexed="36"/>
      <name val="Arial"/>
      <family val="2"/>
    </font>
    <font>
      <i/>
      <outline/>
      <shadow/>
      <u/>
      <sz val="1"/>
      <color indexed="24"/>
      <name val="Courier"/>
      <family val="3"/>
    </font>
    <font>
      <sz val="12"/>
      <name val="Courier"/>
      <family val="3"/>
    </font>
    <font>
      <u/>
      <sz val="10"/>
      <color indexed="14"/>
      <name val="MS Sans Serif"/>
      <family val="2"/>
    </font>
    <font>
      <sz val="10"/>
      <color indexed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color indexed="16"/>
      <name val="굴림체"/>
      <family val="3"/>
      <charset val="129"/>
    </font>
    <font>
      <sz val="10"/>
      <name val="명조"/>
      <family val="3"/>
      <charset val="129"/>
    </font>
    <font>
      <sz val="12"/>
      <name val="견고딕"/>
      <family val="1"/>
      <charset val="129"/>
    </font>
    <font>
      <b/>
      <sz val="16"/>
      <name val="돋움체"/>
      <family val="3"/>
      <charset val="129"/>
    </font>
    <font>
      <sz val="10"/>
      <name val="QBJ-명조10pt"/>
      <family val="3"/>
      <charset val="129"/>
    </font>
    <font>
      <sz val="12"/>
      <color indexed="8"/>
      <name val="바탕체"/>
      <family val="1"/>
      <charset val="129"/>
    </font>
    <font>
      <sz val="11"/>
      <color indexed="8"/>
      <name val="Helvetica Neue"/>
      <family val="2"/>
    </font>
    <font>
      <b/>
      <sz val="16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2"/>
      <name val="¹????¼"/>
      <family val="1"/>
      <charset val="129"/>
    </font>
    <font>
      <sz val="10"/>
      <name val="Book Antiqua"/>
      <family val="1"/>
    </font>
    <font>
      <sz val="13"/>
      <name val="돋움체"/>
      <family val="3"/>
      <charset val="129"/>
    </font>
    <font>
      <b/>
      <sz val="12"/>
      <color indexed="16"/>
      <name val="±¼¸²A¼"/>
      <family val="1"/>
      <charset val="129"/>
    </font>
    <font>
      <b/>
      <sz val="12"/>
      <color indexed="16"/>
      <name val="±¼¸²A¼"/>
      <family val="3"/>
      <charset val="129"/>
    </font>
    <font>
      <sz val="12"/>
      <name val="Arial"/>
      <family val="2"/>
    </font>
    <font>
      <sz val="11"/>
      <name val="μ¸¿o"/>
      <family val="3"/>
      <charset val="129"/>
    </font>
    <font>
      <sz val="12"/>
      <name val="System"/>
      <family val="2"/>
      <charset val="129"/>
    </font>
    <font>
      <sz val="9"/>
      <name val="Arial"/>
      <family val="2"/>
    </font>
    <font>
      <b/>
      <sz val="10"/>
      <name val="MS Sans Serif"/>
      <family val="2"/>
    </font>
    <font>
      <sz val="11"/>
      <name val="µ¸¿òÃ¼"/>
      <family val="3"/>
      <charset val="129"/>
    </font>
    <font>
      <sz val="10"/>
      <name val="Times New Roman"/>
      <family val="1"/>
    </font>
    <font>
      <sz val="10"/>
      <color indexed="24"/>
      <name val="Arial"/>
      <family val="2"/>
    </font>
    <font>
      <sz val="11"/>
      <name val="??"/>
      <family val="3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0"/>
      <name val="Times New Roman"/>
      <family val="1"/>
    </font>
    <font>
      <sz val="10"/>
      <name val="Univers (WN)"/>
      <family val="2"/>
    </font>
    <font>
      <u/>
      <sz val="8.25"/>
      <color indexed="12"/>
      <name val="돋움"/>
      <family val="3"/>
      <charset val="129"/>
    </font>
    <font>
      <sz val="10"/>
      <color indexed="8"/>
      <name val="MS Sans Serif"/>
      <family val="2"/>
    </font>
    <font>
      <b/>
      <i/>
      <sz val="18"/>
      <color indexed="39"/>
      <name val="돋움체"/>
      <family val="3"/>
      <charset val="129"/>
    </font>
    <font>
      <sz val="18"/>
      <color indexed="12"/>
      <name val="MS Sans Serif"/>
      <family val="2"/>
    </font>
    <font>
      <sz val="12"/>
      <name val="명조"/>
      <family val="3"/>
      <charset val="129"/>
    </font>
    <font>
      <sz val="9.5"/>
      <name val="돋움"/>
      <family val="3"/>
      <charset val="129"/>
    </font>
    <font>
      <sz val="9"/>
      <color indexed="8"/>
      <name val="굴림체"/>
      <family val="3"/>
      <charset val="129"/>
    </font>
    <font>
      <sz val="12"/>
      <name val="굴림"/>
      <family val="3"/>
      <charset val="129"/>
    </font>
    <font>
      <sz val="10"/>
      <name val="굴림"/>
      <family val="3"/>
      <charset val="129"/>
    </font>
    <font>
      <sz val="11"/>
      <name val="돋움"/>
      <family val="3"/>
    </font>
    <font>
      <sz val="10"/>
      <name val="바탕"/>
      <family val="1"/>
      <charset val="129"/>
    </font>
    <font>
      <sz val="8"/>
      <name val="#중고딕"/>
      <family val="3"/>
      <charset val="129"/>
    </font>
    <font>
      <sz val="10"/>
      <color theme="1"/>
      <name val="바탕체"/>
      <family val="2"/>
      <charset val="129"/>
    </font>
    <font>
      <sz val="11"/>
      <color indexed="8"/>
      <name val="돋움체"/>
      <family val="3"/>
      <charset val="129"/>
    </font>
    <font>
      <sz val="10"/>
      <name val="궁서(English)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0"/>
      <name val="Arial Narrow"/>
      <family val="2"/>
    </font>
    <font>
      <sz val="12"/>
      <color indexed="18"/>
      <name val="돋움체"/>
      <family val="3"/>
      <charset val="129"/>
    </font>
    <font>
      <b/>
      <sz val="18"/>
      <name val="Arial"/>
      <family val="2"/>
    </font>
    <font>
      <b/>
      <sz val="18"/>
      <name val="맑은 고딕"/>
      <family val="3"/>
      <charset val="129"/>
    </font>
    <font>
      <sz val="8"/>
      <name val="바탕"/>
      <family val="1"/>
      <charset val="129"/>
    </font>
    <font>
      <sz val="11"/>
      <name val="Arial"/>
      <family val="2"/>
    </font>
    <font>
      <b/>
      <sz val="10"/>
      <name val="맑은 고딕"/>
      <family val="3"/>
      <charset val="129"/>
    </font>
    <font>
      <b/>
      <sz val="11"/>
      <name val="Arial"/>
      <family val="2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0"/>
      <color indexed="8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b/>
      <sz val="22"/>
      <name val="Arial"/>
      <family val="2"/>
    </font>
    <font>
      <b/>
      <sz val="22"/>
      <name val="맑은 고딕"/>
      <family val="3"/>
      <charset val="129"/>
    </font>
    <font>
      <b/>
      <sz val="16"/>
      <name val="Arial"/>
      <family val="2"/>
    </font>
    <font>
      <sz val="11"/>
      <color theme="1"/>
      <name val="Arial"/>
      <family val="2"/>
    </font>
    <font>
      <sz val="11"/>
      <name val="Arial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8"/>
      <name val="Arial"/>
      <family val="2"/>
      <charset val="129"/>
    </font>
    <font>
      <sz val="11"/>
      <color theme="1"/>
      <name val="맑은 고딕"/>
      <family val="3"/>
      <charset val="129"/>
    </font>
    <font>
      <b/>
      <sz val="20"/>
      <name val="맑은 고딕"/>
      <family val="3"/>
      <charset val="129"/>
      <scheme val="minor"/>
    </font>
    <font>
      <sz val="2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8"/>
      <color indexed="8"/>
      <name val="맑은 고딕"/>
      <family val="3"/>
      <charset val="129"/>
      <scheme val="minor"/>
    </font>
    <font>
      <b/>
      <sz val="12"/>
      <color indexed="8"/>
      <name val="맑은 고딕"/>
      <family val="3"/>
      <charset val="129"/>
      <scheme val="minor"/>
    </font>
    <font>
      <sz val="11"/>
      <color indexed="8"/>
      <name val="Arial"/>
      <family val="2"/>
    </font>
    <font>
      <sz val="9"/>
      <color indexed="8"/>
      <name val="Arial"/>
      <family val="2"/>
    </font>
    <font>
      <sz val="11"/>
      <color rgb="FF000000"/>
      <name val="굴림체"/>
      <family val="3"/>
      <charset val="129"/>
    </font>
    <font>
      <sz val="9"/>
      <color indexed="8"/>
      <name val="Arial"/>
      <family val="3"/>
      <charset val="129"/>
    </font>
    <font>
      <sz val="11"/>
      <color rgb="FF000000"/>
      <name val="Arial"/>
      <family val="2"/>
    </font>
    <font>
      <sz val="11"/>
      <color indexed="8"/>
      <name val="돋움"/>
      <family val="3"/>
      <charset val="129"/>
    </font>
    <font>
      <u/>
      <sz val="10"/>
      <color indexed="12"/>
      <name val="MS Sans Serif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8"/>
      <color theme="1"/>
      <name val="맑은 고딕"/>
      <family val="3"/>
      <charset val="129"/>
      <scheme val="minor"/>
    </font>
    <font>
      <u/>
      <sz val="20"/>
      <color theme="1"/>
      <name val="맑은 고딕"/>
      <family val="3"/>
      <charset val="129"/>
      <scheme val="minor"/>
    </font>
    <font>
      <sz val="20"/>
      <color theme="1"/>
      <name val="맑은 고딕"/>
      <family val="3"/>
      <charset val="129"/>
      <scheme val="minor"/>
    </font>
    <font>
      <sz val="20"/>
      <name val="돋움체"/>
      <family val="3"/>
      <charset val="129"/>
    </font>
    <font>
      <sz val="18"/>
      <color rgb="FF0070C0"/>
      <name val="돋움체"/>
      <family val="3"/>
      <charset val="129"/>
    </font>
    <font>
      <b/>
      <sz val="18"/>
      <color rgb="FF0070C0"/>
      <name val="돋움체"/>
      <family val="3"/>
      <charset val="129"/>
    </font>
    <font>
      <b/>
      <sz val="11"/>
      <color rgb="FF0070C0"/>
      <name val="굴림체"/>
      <family val="3"/>
      <charset val="129"/>
    </font>
    <font>
      <sz val="11"/>
      <color rgb="FF0070C0"/>
      <name val="굴림체"/>
      <family val="3"/>
      <charset val="129"/>
    </font>
    <font>
      <sz val="10"/>
      <color rgb="FF0070C0"/>
      <name val="굴림체"/>
      <family val="3"/>
      <charset val="129"/>
    </font>
    <font>
      <sz val="10"/>
      <color rgb="FF0070C0"/>
      <name val="돋움"/>
      <family val="3"/>
      <charset val="129"/>
    </font>
    <font>
      <sz val="11"/>
      <color rgb="FF0070C0"/>
      <name val="돋움"/>
      <family val="3"/>
      <charset val="129"/>
    </font>
    <font>
      <b/>
      <sz val="10"/>
      <color rgb="FF0070C0"/>
      <name val="굴림체"/>
      <family val="3"/>
      <charset val="129"/>
    </font>
    <font>
      <b/>
      <sz val="11"/>
      <color rgb="FF0070C0"/>
      <name val="맑은 고딕"/>
      <family val="3"/>
      <charset val="129"/>
      <scheme val="minor"/>
    </font>
    <font>
      <b/>
      <sz val="9"/>
      <color rgb="FF0070C0"/>
      <name val="굴림체"/>
      <family val="3"/>
      <charset val="129"/>
    </font>
    <font>
      <sz val="11"/>
      <color rgb="FF0070C0"/>
      <name val="맑은 고딕"/>
      <family val="2"/>
      <charset val="129"/>
      <scheme val="minor"/>
    </font>
    <font>
      <sz val="11"/>
      <color rgb="FFFF0000"/>
      <name val="굴림체"/>
      <family val="3"/>
      <charset val="129"/>
    </font>
    <font>
      <sz val="10"/>
      <color rgb="FFFF0000"/>
      <name val="굴림체"/>
      <family val="3"/>
      <charset val="129"/>
    </font>
    <font>
      <b/>
      <u val="double"/>
      <sz val="28"/>
      <name val="HY헤드라인M"/>
      <family val="1"/>
      <charset val="129"/>
    </font>
    <font>
      <sz val="12"/>
      <name val="맑은 고딕"/>
      <family val="3"/>
      <charset val="129"/>
    </font>
    <font>
      <sz val="18"/>
      <name val="HY헤드라인M"/>
      <family val="1"/>
      <charset val="129"/>
    </font>
    <font>
      <sz val="16"/>
      <name val="맑은 고딕"/>
      <family val="3"/>
      <charset val="129"/>
      <scheme val="minor"/>
    </font>
    <font>
      <sz val="18"/>
      <name val="맑은 고딕"/>
      <family val="3"/>
      <charset val="129"/>
      <scheme val="minor"/>
    </font>
    <font>
      <sz val="16"/>
      <color indexed="8"/>
      <name val="맑은 고딕"/>
      <family val="3"/>
      <charset val="129"/>
      <scheme val="minor"/>
    </font>
    <font>
      <b/>
      <sz val="16"/>
      <color indexed="8"/>
      <name val="맑은 고딕"/>
      <family val="3"/>
      <charset val="129"/>
      <scheme val="minor"/>
    </font>
    <font>
      <sz val="18"/>
      <color rgb="FFFF0000"/>
      <name val="돋움체"/>
      <family val="3"/>
      <charset val="129"/>
    </font>
  </fonts>
  <fills count="2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darkVertical"/>
    </fill>
    <fill>
      <patternFill patternType="solid">
        <fgColor rgb="FFC6EFCE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FFDF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FF99"/>
        <bgColor indexed="64"/>
      </patternFill>
    </fill>
    <fill>
      <patternFill patternType="solid">
        <fgColor rgb="FFC5FFDF"/>
        <bgColor rgb="FFFFFF99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/>
      <top/>
      <bottom style="dotted">
        <color indexed="8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64"/>
      </bottom>
      <diagonal/>
    </border>
    <border>
      <left style="thin">
        <color indexed="8"/>
      </left>
      <right/>
      <top style="dotted">
        <color indexed="8"/>
      </top>
      <bottom style="thin">
        <color indexed="64"/>
      </bottom>
      <diagonal/>
    </border>
    <border>
      <left/>
      <right style="thin">
        <color indexed="64"/>
      </right>
      <top style="dotted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543"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9" fillId="0" borderId="0"/>
    <xf numFmtId="0" fontId="12" fillId="0" borderId="0">
      <alignment vertical="center"/>
    </xf>
    <xf numFmtId="41" fontId="9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vertical="center"/>
    </xf>
    <xf numFmtId="0" fontId="34" fillId="0" borderId="0" applyNumberFormat="0" applyFont="0" applyFill="0" applyBorder="0" applyAlignment="0" applyProtection="0">
      <alignment vertical="center"/>
    </xf>
    <xf numFmtId="0" fontId="31" fillId="0" borderId="0"/>
    <xf numFmtId="0" fontId="7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46" fillId="0" borderId="0"/>
    <xf numFmtId="0" fontId="12" fillId="0" borderId="0">
      <alignment vertical="center"/>
    </xf>
    <xf numFmtId="0" fontId="9" fillId="0" borderId="0"/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9" fillId="0" borderId="0"/>
    <xf numFmtId="0" fontId="68" fillId="0" borderId="62">
      <alignment horizontal="center"/>
    </xf>
    <xf numFmtId="0" fontId="68" fillId="0" borderId="62">
      <alignment horizontal="center"/>
    </xf>
    <xf numFmtId="0" fontId="68" fillId="0" borderId="62">
      <alignment horizontal="center"/>
    </xf>
    <xf numFmtId="0" fontId="68" fillId="0" borderId="62">
      <alignment horizontal="center"/>
    </xf>
    <xf numFmtId="0" fontId="34" fillId="0" borderId="7">
      <alignment horizontal="centerContinuous" vertical="center"/>
    </xf>
    <xf numFmtId="3" fontId="69" fillId="0" borderId="1"/>
    <xf numFmtId="179" fontId="70" fillId="0" borderId="0">
      <alignment vertical="center"/>
    </xf>
    <xf numFmtId="4" fontId="70" fillId="0" borderId="0">
      <alignment vertical="center"/>
    </xf>
    <xf numFmtId="197" fontId="70" fillId="0" borderId="0">
      <alignment vertical="center"/>
    </xf>
    <xf numFmtId="3" fontId="69" fillId="0" borderId="1"/>
    <xf numFmtId="0" fontId="34" fillId="0" borderId="7">
      <alignment horizontal="centerContinuous" vertical="center"/>
    </xf>
    <xf numFmtId="0" fontId="34" fillId="0" borderId="7">
      <alignment horizontal="centerContinuous" vertical="center"/>
    </xf>
    <xf numFmtId="0" fontId="34" fillId="0" borderId="7">
      <alignment horizontal="centerContinuous" vertical="center"/>
    </xf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9" fontId="9" fillId="0" borderId="0" applyNumberFormat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00" fontId="9" fillId="0" borderId="0" applyNumberFormat="0" applyFont="0" applyFill="0" applyBorder="0" applyAlignment="0" applyProtection="0"/>
    <xf numFmtId="24" fontId="68" fillId="0" borderId="0" applyFont="0" applyFill="0" applyBorder="0" applyAlignment="0" applyProtection="0"/>
    <xf numFmtId="199" fontId="9" fillId="0" borderId="0" applyNumberFormat="0" applyFont="0" applyFill="0" applyBorder="0" applyAlignment="0" applyProtection="0"/>
    <xf numFmtId="24" fontId="68" fillId="0" borderId="0" applyFont="0" applyFill="0" applyBorder="0" applyAlignment="0" applyProtection="0"/>
    <xf numFmtId="200" fontId="9" fillId="0" borderId="0" applyNumberFormat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/>
    <xf numFmtId="0" fontId="46" fillId="0" borderId="0" applyNumberForma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71" fillId="0" borderId="0"/>
    <xf numFmtId="0" fontId="46" fillId="0" borderId="0"/>
    <xf numFmtId="0" fontId="46" fillId="0" borderId="0"/>
    <xf numFmtId="0" fontId="71" fillId="0" borderId="0"/>
    <xf numFmtId="0" fontId="46" fillId="0" borderId="0"/>
    <xf numFmtId="0" fontId="46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70" fillId="0" borderId="0"/>
    <xf numFmtId="0" fontId="70" fillId="0" borderId="0" applyFont="0" applyFill="0" applyBorder="0" applyAlignment="0" applyProtection="0"/>
    <xf numFmtId="0" fontId="68" fillId="0" borderId="0"/>
    <xf numFmtId="0" fontId="68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1" fillId="0" borderId="0"/>
    <xf numFmtId="0" fontId="46" fillId="0" borderId="0"/>
    <xf numFmtId="0" fontId="71" fillId="0" borderId="0"/>
    <xf numFmtId="0" fontId="71" fillId="0" borderId="0"/>
    <xf numFmtId="201" fontId="6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201" fontId="69" fillId="0" borderId="0" applyFont="0" applyFill="0" applyBorder="0" applyAlignment="0" applyProtection="0"/>
    <xf numFmtId="201" fontId="69" fillId="0" borderId="0" applyFont="0" applyFill="0" applyBorder="0" applyAlignment="0" applyProtection="0"/>
    <xf numFmtId="0" fontId="70" fillId="0" borderId="0"/>
    <xf numFmtId="0" fontId="70" fillId="0" borderId="0"/>
    <xf numFmtId="0" fontId="46" fillId="0" borderId="0"/>
    <xf numFmtId="0" fontId="71" fillId="0" borderId="0"/>
    <xf numFmtId="0" fontId="46" fillId="0" borderId="0"/>
    <xf numFmtId="0" fontId="46" fillId="0" borderId="0"/>
    <xf numFmtId="201" fontId="6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7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1" fillId="0" borderId="0"/>
    <xf numFmtId="0" fontId="39" fillId="0" borderId="0" applyFont="0" applyFill="0" applyBorder="0" applyAlignment="0" applyProtection="0"/>
    <xf numFmtId="201" fontId="69" fillId="0" borderId="0" applyFont="0" applyFill="0" applyBorder="0" applyAlignment="0" applyProtection="0"/>
    <xf numFmtId="0" fontId="68" fillId="0" borderId="0"/>
    <xf numFmtId="0" fontId="46" fillId="0" borderId="0"/>
    <xf numFmtId="202" fontId="72" fillId="0" borderId="0">
      <protection locked="0"/>
    </xf>
    <xf numFmtId="202" fontId="72" fillId="0" borderId="0">
      <protection locked="0"/>
    </xf>
    <xf numFmtId="202" fontId="72" fillId="0" borderId="0">
      <protection locked="0"/>
    </xf>
    <xf numFmtId="202" fontId="72" fillId="0" borderId="0">
      <protection locked="0"/>
    </xf>
    <xf numFmtId="0" fontId="70" fillId="0" borderId="0"/>
    <xf numFmtId="0" fontId="71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68" fillId="0" borderId="0"/>
    <xf numFmtId="0" fontId="71" fillId="0" borderId="0"/>
    <xf numFmtId="0" fontId="68" fillId="0" borderId="0"/>
    <xf numFmtId="203" fontId="9" fillId="0" borderId="0" applyFont="0" applyFill="0" applyBorder="0" applyAlignment="0" applyProtection="0"/>
    <xf numFmtId="0" fontId="46" fillId="0" borderId="0"/>
    <xf numFmtId="0" fontId="70" fillId="0" borderId="0"/>
    <xf numFmtId="0" fontId="71" fillId="0" borderId="0"/>
    <xf numFmtId="0" fontId="46" fillId="0" borderId="0"/>
    <xf numFmtId="0" fontId="46" fillId="0" borderId="0"/>
    <xf numFmtId="0" fontId="46" fillId="0" borderId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/>
    <xf numFmtId="0" fontId="70" fillId="0" borderId="0"/>
    <xf numFmtId="0" fontId="46" fillId="0" borderId="0"/>
    <xf numFmtId="0" fontId="46" fillId="0" borderId="0"/>
    <xf numFmtId="0" fontId="70" fillId="0" borderId="0"/>
    <xf numFmtId="0" fontId="46" fillId="0" borderId="0"/>
    <xf numFmtId="0" fontId="70" fillId="0" borderId="0"/>
    <xf numFmtId="0" fontId="46" fillId="0" borderId="0"/>
    <xf numFmtId="0" fontId="7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1" fillId="0" borderId="0"/>
    <xf numFmtId="0" fontId="71" fillId="0" borderId="0"/>
    <xf numFmtId="0" fontId="71" fillId="0" borderId="0"/>
    <xf numFmtId="0" fontId="70" fillId="0" borderId="0" applyFont="0" applyFill="0" applyBorder="0" applyAlignment="0" applyProtection="0"/>
    <xf numFmtId="0" fontId="46" fillId="0" borderId="0"/>
    <xf numFmtId="0" fontId="46" fillId="0" borderId="0"/>
    <xf numFmtId="202" fontId="72" fillId="0" borderId="0">
      <protection locked="0"/>
    </xf>
    <xf numFmtId="202" fontId="72" fillId="0" borderId="0">
      <protection locked="0"/>
    </xf>
    <xf numFmtId="0" fontId="70" fillId="0" borderId="0"/>
    <xf numFmtId="0" fontId="46" fillId="0" borderId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202" fontId="72" fillId="0" borderId="0">
      <protection locked="0"/>
    </xf>
    <xf numFmtId="202" fontId="72" fillId="0" borderId="0">
      <protection locked="0"/>
    </xf>
    <xf numFmtId="201" fontId="69" fillId="0" borderId="0" applyFont="0" applyFill="0" applyBorder="0" applyAlignment="0" applyProtection="0"/>
    <xf numFmtId="0" fontId="70" fillId="0" borderId="0"/>
    <xf numFmtId="0" fontId="71" fillId="0" borderId="0"/>
    <xf numFmtId="0" fontId="46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73" fillId="0" borderId="0"/>
    <xf numFmtId="0" fontId="70" fillId="0" borderId="0" applyFont="0" applyFill="0" applyBorder="0" applyAlignment="0" applyProtection="0"/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1" fontId="75" fillId="0" borderId="1">
      <alignment vertical="center"/>
    </xf>
    <xf numFmtId="9" fontId="34" fillId="0" borderId="0">
      <alignment vertical="center"/>
    </xf>
    <xf numFmtId="3" fontId="69" fillId="0" borderId="1"/>
    <xf numFmtId="0" fontId="34" fillId="0" borderId="0">
      <alignment vertical="center"/>
    </xf>
    <xf numFmtId="3" fontId="69" fillId="0" borderId="1"/>
    <xf numFmtId="10" fontId="34" fillId="0" borderId="0">
      <alignment vertical="center"/>
    </xf>
    <xf numFmtId="0" fontId="34" fillId="0" borderId="0">
      <alignment vertical="center"/>
    </xf>
    <xf numFmtId="204" fontId="9" fillId="0" borderId="0">
      <alignment vertical="center"/>
    </xf>
    <xf numFmtId="201" fontId="75" fillId="0" borderId="1">
      <alignment vertical="center"/>
    </xf>
    <xf numFmtId="201" fontId="75" fillId="0" borderId="1">
      <alignment vertical="center"/>
    </xf>
    <xf numFmtId="201" fontId="75" fillId="0" borderId="1">
      <alignment vertical="center"/>
    </xf>
    <xf numFmtId="201" fontId="76" fillId="0" borderId="63" applyBorder="0">
      <alignment vertical="center"/>
    </xf>
    <xf numFmtId="205" fontId="67" fillId="0" borderId="0">
      <alignment vertical="center"/>
    </xf>
    <xf numFmtId="206" fontId="46" fillId="0" borderId="0" applyFont="0" applyFill="0" applyBorder="0" applyAlignment="0" applyProtection="0"/>
    <xf numFmtId="0" fontId="28" fillId="16" borderId="64" applyNumberFormat="0" applyFill="0" applyBorder="0">
      <alignment horizontal="center"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0" fontId="28" fillId="16" borderId="64" applyNumberFormat="0" applyFill="0" applyBorder="0">
      <alignment horizontal="center" vertical="center"/>
    </xf>
    <xf numFmtId="0" fontId="28" fillId="16" borderId="64" applyNumberFormat="0" applyFill="0" applyBorder="0">
      <alignment horizontal="center" vertical="center"/>
    </xf>
    <xf numFmtId="205" fontId="67" fillId="0" borderId="0">
      <alignment vertical="center"/>
    </xf>
    <xf numFmtId="0" fontId="77" fillId="0" borderId="0"/>
    <xf numFmtId="4" fontId="78" fillId="0" borderId="65">
      <alignment vertical="center"/>
    </xf>
    <xf numFmtId="209" fontId="79" fillId="0" borderId="0">
      <alignment vertical="center"/>
    </xf>
    <xf numFmtId="0" fontId="9" fillId="0" borderId="0"/>
    <xf numFmtId="0" fontId="46" fillId="0" borderId="0" applyNumberFormat="0" applyFill="0" applyBorder="0" applyAlignment="0" applyProtection="0"/>
    <xf numFmtId="202" fontId="80" fillId="0" borderId="0">
      <protection locked="0"/>
    </xf>
    <xf numFmtId="201" fontId="81" fillId="0" borderId="0" applyFont="0" applyFill="0" applyBorder="0" applyAlignment="0" applyProtection="0"/>
    <xf numFmtId="0" fontId="70" fillId="0" borderId="52">
      <alignment horizontal="center"/>
    </xf>
    <xf numFmtId="209" fontId="79" fillId="0" borderId="0">
      <alignment vertical="center"/>
    </xf>
    <xf numFmtId="0" fontId="70" fillId="0" borderId="0"/>
    <xf numFmtId="0" fontId="82" fillId="0" borderId="66">
      <alignment horizontal="center" vertical="center"/>
    </xf>
    <xf numFmtId="0" fontId="70" fillId="0" borderId="0" applyFont="0" applyFill="0" applyBorder="0" applyAlignment="0" applyProtection="0"/>
    <xf numFmtId="0" fontId="83" fillId="0" borderId="0" applyFont="0" applyFill="0" applyBorder="0" applyAlignment="0" applyProtection="0"/>
    <xf numFmtId="210" fontId="38" fillId="17" borderId="67">
      <alignment horizontal="center" vertical="center"/>
    </xf>
    <xf numFmtId="202" fontId="80" fillId="0" borderId="0">
      <protection locked="0"/>
    </xf>
    <xf numFmtId="0" fontId="74" fillId="0" borderId="0">
      <protection locked="0"/>
    </xf>
    <xf numFmtId="202" fontId="80" fillId="0" borderId="0">
      <protection locked="0"/>
    </xf>
    <xf numFmtId="211" fontId="85" fillId="0" borderId="0" applyFont="0" applyFill="0" applyBorder="0" applyAlignment="0" applyProtection="0"/>
    <xf numFmtId="211" fontId="86" fillId="0" borderId="0" applyFont="0" applyFill="0" applyBorder="0" applyAlignment="0" applyProtection="0"/>
    <xf numFmtId="0" fontId="87" fillId="0" borderId="0" applyFont="0" applyFill="0" applyBorder="0" applyAlignment="0" applyProtection="0"/>
    <xf numFmtId="212" fontId="85" fillId="0" borderId="0" applyFont="0" applyFill="0" applyBorder="0" applyAlignment="0" applyProtection="0"/>
    <xf numFmtId="212" fontId="86" fillId="0" borderId="0" applyFont="0" applyFill="0" applyBorder="0" applyAlignment="0" applyProtection="0"/>
    <xf numFmtId="0" fontId="87" fillId="0" borderId="0" applyFont="0" applyFill="0" applyBorder="0" applyAlignment="0" applyProtection="0"/>
    <xf numFmtId="206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68" fillId="0" borderId="0"/>
    <xf numFmtId="0" fontId="89" fillId="0" borderId="0">
      <alignment horizontal="center" wrapText="1"/>
      <protection locked="0"/>
    </xf>
    <xf numFmtId="202" fontId="80" fillId="0" borderId="0">
      <protection locked="0"/>
    </xf>
    <xf numFmtId="202" fontId="80" fillId="0" borderId="0">
      <protection locked="0"/>
    </xf>
    <xf numFmtId="201" fontId="85" fillId="0" borderId="0" applyFont="0" applyFill="0" applyBorder="0" applyAlignment="0" applyProtection="0"/>
    <xf numFmtId="201" fontId="86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6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46" fillId="0" borderId="0"/>
    <xf numFmtId="215" fontId="9" fillId="0" borderId="0" applyFont="0" applyFill="0" applyBorder="0" applyAlignment="0" applyProtection="0">
      <alignment horizontal="right"/>
    </xf>
    <xf numFmtId="0" fontId="90" fillId="0" borderId="0"/>
    <xf numFmtId="0" fontId="91" fillId="0" borderId="0"/>
    <xf numFmtId="0" fontId="91" fillId="0" borderId="0"/>
    <xf numFmtId="0" fontId="46" fillId="0" borderId="0"/>
    <xf numFmtId="202" fontId="80" fillId="0" borderId="0">
      <protection locked="0"/>
    </xf>
    <xf numFmtId="0" fontId="85" fillId="0" borderId="0"/>
    <xf numFmtId="0" fontId="46" fillId="0" borderId="0"/>
    <xf numFmtId="0" fontId="9" fillId="0" borderId="0" applyFill="0" applyBorder="0" applyAlignment="0"/>
    <xf numFmtId="194" fontId="46" fillId="0" borderId="0" applyFill="0" applyBorder="0" applyAlignment="0"/>
    <xf numFmtId="187" fontId="92" fillId="0" borderId="0" applyFill="0" applyBorder="0" applyAlignment="0"/>
    <xf numFmtId="216" fontId="46" fillId="0" borderId="0" applyFill="0" applyBorder="0" applyAlignment="0"/>
    <xf numFmtId="217" fontId="46" fillId="0" borderId="0" applyFill="0" applyBorder="0" applyAlignment="0"/>
    <xf numFmtId="218" fontId="46" fillId="0" borderId="0" applyFill="0" applyBorder="0" applyAlignment="0"/>
    <xf numFmtId="219" fontId="46" fillId="0" borderId="0" applyFill="0" applyBorder="0" applyAlignment="0"/>
    <xf numFmtId="194" fontId="46" fillId="0" borderId="0" applyFill="0" applyBorder="0" applyAlignment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201" fontId="81" fillId="0" borderId="0" applyFont="0" applyFill="0" applyBorder="0" applyAlignment="0" applyProtection="0"/>
    <xf numFmtId="4" fontId="74" fillId="0" borderId="0">
      <protection locked="0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3" fontId="68" fillId="0" borderId="0" applyFont="0" applyFill="0" applyBorder="0" applyAlignment="0" applyProtection="0"/>
    <xf numFmtId="218" fontId="46" fillId="0" borderId="0" applyFont="0" applyFill="0" applyBorder="0" applyAlignment="0" applyProtection="0"/>
    <xf numFmtId="220" fontId="9" fillId="0" borderId="0"/>
    <xf numFmtId="0" fontId="96" fillId="0" borderId="0" applyNumberFormat="0" applyFill="0" applyBorder="0" applyAlignment="0" applyProtection="0"/>
    <xf numFmtId="0" fontId="97" fillId="0" borderId="0" applyNumberFormat="0" applyAlignment="0">
      <alignment horizontal="left"/>
    </xf>
    <xf numFmtId="0" fontId="39" fillId="0" borderId="0" applyFont="0" applyFill="0" applyBorder="0" applyAlignment="0" applyProtection="0"/>
    <xf numFmtId="0" fontId="74" fillId="0" borderId="0">
      <protection locked="0"/>
    </xf>
    <xf numFmtId="0" fontId="68" fillId="0" borderId="0" applyFont="0" applyFill="0" applyBorder="0" applyAlignment="0" applyProtection="0"/>
    <xf numFmtId="194" fontId="46" fillId="0" borderId="0" applyFont="0" applyFill="0" applyBorder="0" applyAlignment="0" applyProtection="0"/>
    <xf numFmtId="0" fontId="70" fillId="0" borderId="1" applyFill="0" applyBorder="0" applyAlignment="0"/>
    <xf numFmtId="0" fontId="96" fillId="0" borderId="0" applyNumberFormat="0" applyFill="0" applyBorder="0" applyAlignment="0" applyProtection="0"/>
    <xf numFmtId="221" fontId="9" fillId="0" borderId="0"/>
    <xf numFmtId="222" fontId="74" fillId="0" borderId="0">
      <protection locked="0"/>
    </xf>
    <xf numFmtId="14" fontId="98" fillId="0" borderId="0" applyFill="0" applyBorder="0" applyAlignment="0"/>
    <xf numFmtId="195" fontId="46" fillId="0" borderId="68">
      <alignment vertical="center"/>
    </xf>
    <xf numFmtId="38" fontId="68" fillId="0" borderId="0" applyFont="0" applyFill="0" applyBorder="0" applyAlignment="0" applyProtection="0"/>
    <xf numFmtId="40" fontId="68" fillId="0" borderId="0" applyFont="0" applyFill="0" applyBorder="0" applyAlignment="0" applyProtection="0"/>
    <xf numFmtId="223" fontId="9" fillId="0" borderId="0"/>
    <xf numFmtId="218" fontId="46" fillId="0" borderId="0" applyFill="0" applyBorder="0" applyAlignment="0"/>
    <xf numFmtId="194" fontId="46" fillId="0" borderId="0" applyFill="0" applyBorder="0" applyAlignment="0"/>
    <xf numFmtId="218" fontId="46" fillId="0" borderId="0" applyFill="0" applyBorder="0" applyAlignment="0"/>
    <xf numFmtId="219" fontId="46" fillId="0" borderId="0" applyFill="0" applyBorder="0" applyAlignment="0"/>
    <xf numFmtId="194" fontId="46" fillId="0" borderId="0" applyFill="0" applyBorder="0" applyAlignment="0"/>
    <xf numFmtId="0" fontId="99" fillId="0" borderId="0" applyNumberFormat="0" applyAlignment="0">
      <alignment horizontal="left"/>
    </xf>
    <xf numFmtId="224" fontId="31" fillId="0" borderId="0" applyFont="0" applyFill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100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100" fillId="0" borderId="0">
      <protection locked="0"/>
    </xf>
    <xf numFmtId="225" fontId="74" fillId="0" borderId="0">
      <protection locked="0"/>
    </xf>
    <xf numFmtId="2" fontId="101" fillId="0" borderId="0">
      <alignment horizontal="left"/>
    </xf>
    <xf numFmtId="38" fontId="102" fillId="10" borderId="0" applyNumberFormat="0" applyBorder="0" applyAlignment="0" applyProtection="0"/>
    <xf numFmtId="0" fontId="103" fillId="0" borderId="0">
      <alignment horizontal="left"/>
    </xf>
    <xf numFmtId="0" fontId="104" fillId="0" borderId="69" applyNumberFormat="0" applyAlignment="0" applyProtection="0">
      <alignment horizontal="left" vertical="center"/>
    </xf>
    <xf numFmtId="0" fontId="104" fillId="0" borderId="70">
      <alignment horizontal="left" vertical="center"/>
    </xf>
    <xf numFmtId="0" fontId="65" fillId="0" borderId="71" applyNumberFormat="0" applyFill="0" applyAlignment="0" applyProtection="0">
      <alignment vertical="center"/>
    </xf>
    <xf numFmtId="0" fontId="105" fillId="0" borderId="0">
      <alignment vertical="center"/>
    </xf>
    <xf numFmtId="202" fontId="106" fillId="0" borderId="0">
      <protection locked="0"/>
    </xf>
    <xf numFmtId="202" fontId="106" fillId="0" borderId="0">
      <protection locked="0"/>
    </xf>
    <xf numFmtId="0" fontId="107" fillId="0" borderId="72">
      <alignment horizontal="center"/>
    </xf>
    <xf numFmtId="0" fontId="107" fillId="0" borderId="0">
      <alignment horizontal="center"/>
    </xf>
    <xf numFmtId="0" fontId="108" fillId="0" borderId="73" applyNumberFormat="0" applyFill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10" fontId="102" fillId="10" borderId="1" applyNumberFormat="0" applyBorder="0" applyAlignment="0" applyProtection="0"/>
    <xf numFmtId="0" fontId="9" fillId="0" borderId="72">
      <protection locked="0"/>
    </xf>
    <xf numFmtId="218" fontId="46" fillId="0" borderId="0" applyFill="0" applyBorder="0" applyAlignment="0"/>
    <xf numFmtId="194" fontId="46" fillId="0" borderId="0" applyFill="0" applyBorder="0" applyAlignment="0"/>
    <xf numFmtId="218" fontId="46" fillId="0" borderId="0" applyFill="0" applyBorder="0" applyAlignment="0"/>
    <xf numFmtId="219" fontId="46" fillId="0" borderId="0" applyFill="0" applyBorder="0" applyAlignment="0"/>
    <xf numFmtId="194" fontId="46" fillId="0" borderId="0" applyFill="0" applyBorder="0" applyAlignment="0"/>
    <xf numFmtId="226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10" fillId="0" borderId="72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01" fontId="81" fillId="0" borderId="0" applyFont="0" applyFill="0" applyBorder="0" applyAlignment="0" applyProtection="0"/>
    <xf numFmtId="37" fontId="111" fillId="0" borderId="0"/>
    <xf numFmtId="0" fontId="7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0" fillId="0" borderId="0"/>
    <xf numFmtId="0" fontId="46" fillId="0" borderId="0"/>
    <xf numFmtId="214" fontId="79" fillId="0" borderId="0">
      <alignment vertical="center"/>
    </xf>
    <xf numFmtId="14" fontId="89" fillId="0" borderId="0">
      <alignment horizontal="center" wrapText="1"/>
      <protection locked="0"/>
    </xf>
    <xf numFmtId="0" fontId="74" fillId="0" borderId="0">
      <protection locked="0"/>
    </xf>
    <xf numFmtId="196" fontId="46" fillId="0" borderId="0" applyFont="0" applyFill="0" applyBorder="0" applyAlignment="0" applyProtection="0"/>
    <xf numFmtId="217" fontId="46" fillId="0" borderId="0" applyFont="0" applyFill="0" applyBorder="0" applyAlignment="0" applyProtection="0"/>
    <xf numFmtId="227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228" fontId="46" fillId="0" borderId="0" applyFont="0" applyFill="0" applyBorder="0" applyAlignment="0" applyProtection="0"/>
    <xf numFmtId="218" fontId="46" fillId="0" borderId="0" applyFill="0" applyBorder="0" applyAlignment="0"/>
    <xf numFmtId="194" fontId="46" fillId="0" borderId="0" applyFill="0" applyBorder="0" applyAlignment="0"/>
    <xf numFmtId="218" fontId="46" fillId="0" borderId="0" applyFill="0" applyBorder="0" applyAlignment="0"/>
    <xf numFmtId="219" fontId="46" fillId="0" borderId="0" applyFill="0" applyBorder="0" applyAlignment="0"/>
    <xf numFmtId="194" fontId="46" fillId="0" borderId="0" applyFill="0" applyBorder="0" applyAlignment="0"/>
    <xf numFmtId="0" fontId="113" fillId="18" borderId="0" applyNumberFormat="0" applyFont="0" applyBorder="0" applyAlignment="0">
      <alignment horizontal="center"/>
    </xf>
    <xf numFmtId="30" fontId="114" fillId="0" borderId="0" applyNumberFormat="0" applyFill="0" applyBorder="0" applyAlignment="0" applyProtection="0">
      <alignment horizontal="left"/>
    </xf>
    <xf numFmtId="189" fontId="79" fillId="0" borderId="0">
      <alignment vertical="center"/>
    </xf>
    <xf numFmtId="0" fontId="113" fillId="1" borderId="70" applyNumberFormat="0" applyFont="0" applyAlignment="0">
      <alignment horizontal="center"/>
    </xf>
    <xf numFmtId="0" fontId="115" fillId="0" borderId="0" applyNumberFormat="0" applyFill="0" applyBorder="0" applyAlignment="0">
      <alignment horizontal="center"/>
    </xf>
    <xf numFmtId="189" fontId="79" fillId="0" borderId="0">
      <alignment vertical="distributed"/>
    </xf>
    <xf numFmtId="0" fontId="68" fillId="0" borderId="0"/>
    <xf numFmtId="0" fontId="116" fillId="0" borderId="0">
      <alignment horizontal="center" vertical="center"/>
    </xf>
    <xf numFmtId="0" fontId="110" fillId="0" borderId="0"/>
    <xf numFmtId="40" fontId="117" fillId="0" borderId="0" applyBorder="0">
      <alignment horizontal="right"/>
    </xf>
    <xf numFmtId="49" fontId="98" fillId="0" borderId="0" applyFill="0" applyBorder="0" applyAlignment="0"/>
    <xf numFmtId="228" fontId="46" fillId="0" borderId="0" applyFill="0" applyBorder="0" applyAlignment="0"/>
    <xf numFmtId="229" fontId="46" fillId="0" borderId="0" applyFill="0" applyBorder="0" applyAlignment="0"/>
    <xf numFmtId="0" fontId="46" fillId="0" borderId="0"/>
    <xf numFmtId="0" fontId="118" fillId="0" borderId="0" applyFill="0" applyBorder="0" applyProtection="0">
      <alignment horizontal="centerContinuous" vertical="center"/>
    </xf>
    <xf numFmtId="0" fontId="38" fillId="10" borderId="0" applyFill="0" applyBorder="0" applyProtection="0">
      <alignment horizontal="center" vertical="center"/>
    </xf>
    <xf numFmtId="0" fontId="64" fillId="0" borderId="74" applyNumberFormat="0" applyFill="0" applyAlignment="0" applyProtection="0">
      <alignment vertical="center"/>
    </xf>
    <xf numFmtId="0" fontId="32" fillId="0" borderId="52">
      <alignment horizontal="left"/>
    </xf>
    <xf numFmtId="37" fontId="102" fillId="11" borderId="0" applyNumberFormat="0" applyBorder="0" applyAlignment="0" applyProtection="0"/>
    <xf numFmtId="37" fontId="102" fillId="0" borderId="0"/>
    <xf numFmtId="3" fontId="119" fillId="0" borderId="73" applyProtection="0"/>
    <xf numFmtId="230" fontId="68" fillId="0" borderId="0" applyFont="0" applyFill="0" applyBorder="0" applyAlignment="0" applyProtection="0"/>
    <xf numFmtId="231" fontId="68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>
      <protection locked="0"/>
    </xf>
    <xf numFmtId="232" fontId="70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0" fontId="79" fillId="0" borderId="0">
      <alignment vertical="center"/>
    </xf>
    <xf numFmtId="233" fontId="122" fillId="0" borderId="0"/>
    <xf numFmtId="233" fontId="122" fillId="0" borderId="0"/>
    <xf numFmtId="233" fontId="122" fillId="0" borderId="0"/>
    <xf numFmtId="233" fontId="122" fillId="0" borderId="0"/>
    <xf numFmtId="233" fontId="122" fillId="0" borderId="0"/>
    <xf numFmtId="233" fontId="122" fillId="0" borderId="0"/>
    <xf numFmtId="233" fontId="122" fillId="0" borderId="0"/>
    <xf numFmtId="233" fontId="122" fillId="0" borderId="0"/>
    <xf numFmtId="233" fontId="122" fillId="0" borderId="0"/>
    <xf numFmtId="233" fontId="122" fillId="0" borderId="0"/>
    <xf numFmtId="233" fontId="122" fillId="0" borderId="0"/>
    <xf numFmtId="0" fontId="9" fillId="0" borderId="0"/>
    <xf numFmtId="234" fontId="70" fillId="0" borderId="0">
      <protection locked="0"/>
    </xf>
    <xf numFmtId="235" fontId="70" fillId="0" borderId="0" applyFont="0" applyFill="0" applyBorder="0" applyAlignment="0" applyProtection="0">
      <alignment vertical="center"/>
    </xf>
    <xf numFmtId="3" fontId="68" fillId="0" borderId="54">
      <alignment horizontal="center"/>
    </xf>
    <xf numFmtId="0" fontId="55" fillId="0" borderId="4">
      <alignment vertical="center"/>
    </xf>
    <xf numFmtId="0" fontId="70" fillId="6" borderId="0">
      <alignment horizontal="left"/>
    </xf>
    <xf numFmtId="0" fontId="74" fillId="0" borderId="0">
      <protection locked="0"/>
    </xf>
    <xf numFmtId="0" fontId="123" fillId="0" borderId="0" applyNumberFormat="0" applyFill="0" applyBorder="0" applyAlignment="0" applyProtection="0"/>
    <xf numFmtId="201" fontId="39" fillId="0" borderId="75">
      <alignment vertical="center"/>
    </xf>
    <xf numFmtId="202" fontId="80" fillId="0" borderId="0">
      <protection locked="0"/>
    </xf>
    <xf numFmtId="10" fontId="76" fillId="0" borderId="0">
      <alignment vertical="center"/>
    </xf>
    <xf numFmtId="202" fontId="80" fillId="0" borderId="0">
      <protection locked="0"/>
    </xf>
    <xf numFmtId="10" fontId="76" fillId="0" borderId="0">
      <alignment vertical="center"/>
    </xf>
    <xf numFmtId="10" fontId="76" fillId="0" borderId="0">
      <alignment vertical="center"/>
    </xf>
    <xf numFmtId="202" fontId="80" fillId="0" borderId="0">
      <protection locked="0"/>
    </xf>
    <xf numFmtId="10" fontId="76" fillId="0" borderId="0">
      <alignment vertical="center"/>
    </xf>
    <xf numFmtId="202" fontId="80" fillId="0" borderId="0">
      <protection locked="0"/>
    </xf>
    <xf numFmtId="9" fontId="31" fillId="10" borderId="0" applyFill="0" applyBorder="0" applyProtection="0">
      <alignment horizontal="right"/>
    </xf>
    <xf numFmtId="10" fontId="31" fillId="0" borderId="0" applyFill="0" applyBorder="0" applyProtection="0">
      <alignment horizontal="right"/>
    </xf>
    <xf numFmtId="201" fontId="124" fillId="0" borderId="5">
      <alignment vertical="center"/>
    </xf>
    <xf numFmtId="3" fontId="79" fillId="0" borderId="1"/>
    <xf numFmtId="0" fontId="79" fillId="0" borderId="1"/>
    <xf numFmtId="3" fontId="79" fillId="0" borderId="76"/>
    <xf numFmtId="3" fontId="79" fillId="0" borderId="77"/>
    <xf numFmtId="0" fontId="125" fillId="0" borderId="1"/>
    <xf numFmtId="0" fontId="126" fillId="0" borderId="0">
      <alignment horizontal="center"/>
    </xf>
    <xf numFmtId="0" fontId="81" fillId="0" borderId="78">
      <alignment horizontal="center"/>
    </xf>
    <xf numFmtId="0" fontId="49" fillId="0" borderId="0">
      <alignment vertical="center"/>
    </xf>
    <xf numFmtId="236" fontId="76" fillId="0" borderId="0">
      <alignment vertical="center"/>
    </xf>
    <xf numFmtId="201" fontId="54" fillId="0" borderId="5">
      <alignment vertical="center"/>
    </xf>
    <xf numFmtId="237" fontId="127" fillId="0" borderId="0">
      <alignment vertical="center"/>
    </xf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238" fontId="10" fillId="0" borderId="0" applyFont="0" applyFill="0" applyBorder="0" applyAlignment="0" applyProtection="0"/>
    <xf numFmtId="203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71" fillId="0" borderId="0"/>
    <xf numFmtId="201" fontId="69" fillId="0" borderId="0" applyFont="0" applyFill="0" applyBorder="0" applyAlignment="0" applyProtection="0"/>
    <xf numFmtId="24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7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128" fillId="0" borderId="79"/>
    <xf numFmtId="0" fontId="34" fillId="0" borderId="0"/>
    <xf numFmtId="243" fontId="34" fillId="0" borderId="1" applyBorder="0">
      <alignment vertical="center"/>
    </xf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129" fillId="0" borderId="0">
      <alignment horizontal="center" vertical="center"/>
    </xf>
    <xf numFmtId="41" fontId="9" fillId="0" borderId="0" applyFont="0" applyFill="0" applyBorder="0" applyAlignment="0" applyProtection="0"/>
    <xf numFmtId="4" fontId="74" fillId="0" borderId="0">
      <protection locked="0"/>
    </xf>
    <xf numFmtId="246" fontId="70" fillId="0" borderId="0">
      <protection locked="0"/>
    </xf>
    <xf numFmtId="0" fontId="70" fillId="0" borderId="80" applyNumberFormat="0"/>
    <xf numFmtId="0" fontId="70" fillId="0" borderId="0">
      <alignment vertical="center"/>
    </xf>
    <xf numFmtId="0" fontId="57" fillId="0" borderId="0">
      <alignment horizontal="centerContinuous" vertical="center"/>
    </xf>
    <xf numFmtId="0" fontId="70" fillId="0" borderId="1">
      <alignment horizontal="distributed" vertical="center" justifyLastLine="1"/>
    </xf>
    <xf numFmtId="0" fontId="70" fillId="0" borderId="3">
      <alignment horizontal="distributed" vertical="top" justifyLastLine="1"/>
    </xf>
    <xf numFmtId="0" fontId="70" fillId="0" borderId="6">
      <alignment horizontal="distributed" justifyLastLine="1"/>
    </xf>
    <xf numFmtId="201" fontId="130" fillId="0" borderId="0">
      <alignment vertical="center"/>
    </xf>
    <xf numFmtId="0" fontId="70" fillId="0" borderId="0"/>
    <xf numFmtId="202" fontId="80" fillId="0" borderId="0">
      <protection locked="0"/>
    </xf>
    <xf numFmtId="202" fontId="80" fillId="0" borderId="0">
      <protection locked="0"/>
    </xf>
    <xf numFmtId="0" fontId="70" fillId="0" borderId="0" applyFont="0" applyFill="0" applyBorder="0" applyAlignment="0" applyProtection="0"/>
    <xf numFmtId="202" fontId="80" fillId="0" borderId="0">
      <protection locked="0"/>
    </xf>
    <xf numFmtId="201" fontId="70" fillId="0" borderId="0" applyFont="0" applyFill="0" applyBorder="0" applyAlignment="0" applyProtection="0"/>
    <xf numFmtId="247" fontId="49" fillId="10" borderId="0" applyFill="0" applyBorder="0" applyProtection="0">
      <alignment horizontal="right"/>
    </xf>
    <xf numFmtId="236" fontId="37" fillId="0" borderId="0" applyFont="0" applyFill="0" applyBorder="0" applyAlignment="0" applyProtection="0"/>
    <xf numFmtId="248" fontId="68" fillId="0" borderId="0" applyFont="0" applyFill="0" applyBorder="0" applyAlignment="0" applyProtection="0"/>
    <xf numFmtId="249" fontId="68" fillId="0" borderId="0" applyFont="0" applyFill="0" applyBorder="0" applyAlignment="0" applyProtection="0"/>
    <xf numFmtId="250" fontId="68" fillId="0" borderId="0" applyFont="0" applyFill="0" applyBorder="0" applyAlignment="0" applyProtection="0"/>
    <xf numFmtId="201" fontId="69" fillId="0" borderId="7" applyFont="0" applyFill="0" applyBorder="0" applyAlignment="0" applyProtection="0">
      <alignment vertical="center"/>
    </xf>
    <xf numFmtId="0" fontId="70" fillId="0" borderId="0" applyFont="0" applyFill="0" applyBorder="0" applyAlignment="0" applyProtection="0"/>
    <xf numFmtId="202" fontId="80" fillId="0" borderId="0">
      <protection locked="0"/>
    </xf>
    <xf numFmtId="202" fontId="80" fillId="0" borderId="0">
      <protection locked="0"/>
    </xf>
    <xf numFmtId="202" fontId="80" fillId="0" borderId="0">
      <protection locked="0"/>
    </xf>
    <xf numFmtId="42" fontId="9" fillId="0" borderId="0" applyFont="0" applyFill="0" applyBorder="0" applyAlignment="0" applyProtection="0"/>
    <xf numFmtId="251" fontId="70" fillId="0" borderId="0">
      <protection locked="0"/>
    </xf>
    <xf numFmtId="202" fontId="80" fillId="0" borderId="0">
      <protection locked="0"/>
    </xf>
    <xf numFmtId="202" fontId="80" fillId="0" borderId="0">
      <protection locked="0"/>
    </xf>
    <xf numFmtId="252" fontId="131" fillId="0" borderId="0" applyFill="0" applyBorder="0" applyProtection="0">
      <alignment vertical="center"/>
    </xf>
    <xf numFmtId="253" fontId="132" fillId="0" borderId="0" applyFill="0" applyBorder="0" applyProtection="0">
      <alignment vertical="center"/>
      <protection locked="0"/>
    </xf>
    <xf numFmtId="0" fontId="69" fillId="0" borderId="6">
      <alignment horizontal="distributed" justifyLastLine="1"/>
    </xf>
    <xf numFmtId="0" fontId="69" fillId="0" borderId="81">
      <alignment horizontal="distributed" vertical="center" justifyLastLine="1"/>
    </xf>
    <xf numFmtId="0" fontId="69" fillId="0" borderId="82">
      <alignment horizontal="distributed" vertical="top" justifyLastLine="1"/>
    </xf>
    <xf numFmtId="0" fontId="63" fillId="0" borderId="0">
      <alignment vertical="center"/>
    </xf>
    <xf numFmtId="0" fontId="12" fillId="0" borderId="0">
      <alignment vertical="center"/>
    </xf>
    <xf numFmtId="0" fontId="9" fillId="0" borderId="0"/>
    <xf numFmtId="0" fontId="39" fillId="0" borderId="0"/>
    <xf numFmtId="0" fontId="39" fillId="0" borderId="0" applyProtection="0"/>
    <xf numFmtId="0" fontId="82" fillId="0" borderId="66">
      <alignment horizontal="center" vertical="center"/>
    </xf>
    <xf numFmtId="0" fontId="74" fillId="0" borderId="83">
      <protection locked="0"/>
    </xf>
    <xf numFmtId="254" fontId="70" fillId="0" borderId="0">
      <protection locked="0"/>
    </xf>
    <xf numFmtId="255" fontId="70" fillId="0" borderId="0">
      <protection locked="0"/>
    </xf>
    <xf numFmtId="0" fontId="9" fillId="0" borderId="0"/>
    <xf numFmtId="0" fontId="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133" fillId="0" borderId="0" applyNumberFormat="0" applyFill="0" applyBorder="0" applyProtection="0">
      <alignment vertical="top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9" fillId="0" borderId="0"/>
    <xf numFmtId="0" fontId="12" fillId="0" borderId="0">
      <alignment vertical="center"/>
    </xf>
    <xf numFmtId="41" fontId="9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vertical="center"/>
    </xf>
    <xf numFmtId="0" fontId="7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0" fontId="9" fillId="0" borderId="0"/>
    <xf numFmtId="0" fontId="1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9" fillId="0" borderId="0"/>
    <xf numFmtId="1" fontId="70" fillId="0" borderId="0"/>
    <xf numFmtId="0" fontId="9" fillId="0" borderId="0">
      <alignment vertical="center"/>
    </xf>
    <xf numFmtId="258" fontId="70" fillId="0" borderId="0" applyFill="0" applyBorder="0" applyProtection="0"/>
    <xf numFmtId="0" fontId="34" fillId="0" borderId="0"/>
    <xf numFmtId="0" fontId="38" fillId="0" borderId="0"/>
    <xf numFmtId="0" fontId="68" fillId="0" borderId="62">
      <alignment horizontal="center"/>
    </xf>
    <xf numFmtId="0" fontId="68" fillId="0" borderId="62">
      <alignment horizontal="center"/>
    </xf>
    <xf numFmtId="0" fontId="34" fillId="0" borderId="7">
      <alignment horizontal="centerContinuous" vertical="center"/>
    </xf>
    <xf numFmtId="0" fontId="34" fillId="0" borderId="7">
      <alignment horizontal="centerContinuous" vertical="center"/>
    </xf>
    <xf numFmtId="0" fontId="34" fillId="0" borderId="7">
      <alignment horizontal="centerContinuous" vertical="center"/>
    </xf>
    <xf numFmtId="0" fontId="34" fillId="0" borderId="7">
      <alignment horizontal="centerContinuous" vertical="center"/>
    </xf>
    <xf numFmtId="0" fontId="34" fillId="0" borderId="7">
      <alignment horizontal="centerContinuous" vertical="center"/>
    </xf>
    <xf numFmtId="0" fontId="34" fillId="0" borderId="7">
      <alignment horizontal="centerContinuous" vertical="center"/>
    </xf>
    <xf numFmtId="201" fontId="69" fillId="0" borderId="0" applyFont="0" applyFill="0" applyBorder="0" applyAlignment="0" applyProtection="0"/>
    <xf numFmtId="24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198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4" fontId="68" fillId="0" borderId="0" applyFont="0" applyFill="0" applyBorder="0" applyAlignment="0" applyProtection="0"/>
    <xf numFmtId="24" fontId="68" fillId="0" borderId="0" applyFont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59" fontId="79" fillId="0" borderId="0" applyFont="0" applyFill="0" applyBorder="0" applyAlignment="0" applyProtection="0">
      <alignment vertical="center"/>
    </xf>
    <xf numFmtId="0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138" fillId="0" borderId="0"/>
    <xf numFmtId="0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31" fillId="0" borderId="86">
      <alignment vertical="center"/>
    </xf>
    <xf numFmtId="0" fontId="31" fillId="0" borderId="86">
      <alignment vertical="center"/>
    </xf>
    <xf numFmtId="0" fontId="9" fillId="0" borderId="86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7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/>
    <xf numFmtId="0" fontId="39" fillId="0" borderId="0" applyFont="0" applyFill="0" applyBorder="0" applyAlignment="0" applyProtection="0"/>
    <xf numFmtId="0" fontId="70" fillId="0" borderId="0"/>
    <xf numFmtId="0" fontId="46" fillId="0" borderId="0"/>
    <xf numFmtId="0" fontId="70" fillId="0" borderId="0"/>
    <xf numFmtId="0" fontId="70" fillId="0" borderId="0"/>
    <xf numFmtId="0" fontId="70" fillId="0" borderId="0"/>
    <xf numFmtId="0" fontId="46" fillId="0" borderId="0"/>
    <xf numFmtId="0" fontId="70" fillId="0" borderId="0"/>
    <xf numFmtId="0" fontId="39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70" fillId="0" borderId="0"/>
    <xf numFmtId="0" fontId="71" fillId="0" borderId="0"/>
    <xf numFmtId="0" fontId="39" fillId="0" borderId="0"/>
    <xf numFmtId="0" fontId="39" fillId="0" borderId="0"/>
    <xf numFmtId="0" fontId="39" fillId="0" borderId="0" applyFont="0" applyFill="0" applyBorder="0" applyAlignment="0" applyProtection="0"/>
    <xf numFmtId="0" fontId="70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70" fillId="0" borderId="0"/>
    <xf numFmtId="0" fontId="39" fillId="0" borderId="0" applyFont="0" applyFill="0" applyBorder="0" applyAlignment="0" applyProtection="0"/>
    <xf numFmtId="0" fontId="70" fillId="0" borderId="0"/>
    <xf numFmtId="0" fontId="70" fillId="0" borderId="0"/>
    <xf numFmtId="0" fontId="39" fillId="0" borderId="0" applyFont="0" applyFill="0" applyBorder="0" applyAlignment="0" applyProtection="0"/>
    <xf numFmtId="0" fontId="71" fillId="0" borderId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70" fillId="0" borderId="0"/>
    <xf numFmtId="0" fontId="46" fillId="0" borderId="0"/>
    <xf numFmtId="0" fontId="46" fillId="0" borderId="0"/>
    <xf numFmtId="0" fontId="70" fillId="0" borderId="0"/>
    <xf numFmtId="0" fontId="70" fillId="0" borderId="0"/>
    <xf numFmtId="0" fontId="70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39" fillId="0" borderId="0"/>
    <xf numFmtId="0" fontId="68" fillId="0" borderId="0"/>
    <xf numFmtId="0" fontId="46" fillId="0" borderId="0"/>
    <xf numFmtId="201" fontId="6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70" fillId="0" borderId="0"/>
    <xf numFmtId="0" fontId="68" fillId="0" borderId="0"/>
    <xf numFmtId="0" fontId="70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0" fillId="0" borderId="0"/>
    <xf numFmtId="0" fontId="39" fillId="0" borderId="0" applyFont="0" applyFill="0" applyBorder="0" applyAlignment="0" applyProtection="0"/>
    <xf numFmtId="0" fontId="71" fillId="0" borderId="0"/>
    <xf numFmtId="0" fontId="46" fillId="0" borderId="0"/>
    <xf numFmtId="0" fontId="46" fillId="0" borderId="0"/>
    <xf numFmtId="0" fontId="71" fillId="0" borderId="0"/>
    <xf numFmtId="0" fontId="71" fillId="0" borderId="0"/>
    <xf numFmtId="0" fontId="70" fillId="0" borderId="0"/>
    <xf numFmtId="0" fontId="46" fillId="0" borderId="0"/>
    <xf numFmtId="0" fontId="46" fillId="0" borderId="0"/>
    <xf numFmtId="0" fontId="46" fillId="0" borderId="0"/>
    <xf numFmtId="0" fontId="71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70" fillId="0" borderId="0"/>
    <xf numFmtId="201" fontId="69" fillId="0" borderId="0" applyFont="0" applyFill="0" applyBorder="0" applyAlignment="0" applyProtection="0"/>
    <xf numFmtId="261" fontId="9" fillId="0" borderId="0">
      <protection locked="0"/>
    </xf>
    <xf numFmtId="261" fontId="9" fillId="0" borderId="0">
      <protection locked="0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71" fillId="0" borderId="0"/>
    <xf numFmtId="0" fontId="39" fillId="0" borderId="0" applyFont="0" applyFill="0" applyBorder="0" applyAlignment="0" applyProtection="0"/>
    <xf numFmtId="0" fontId="46" fillId="0" borderId="0"/>
    <xf numFmtId="0" fontId="70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46" fillId="0" borderId="0"/>
    <xf numFmtId="0" fontId="46" fillId="0" borderId="0"/>
    <xf numFmtId="0" fontId="70" fillId="0" borderId="0"/>
    <xf numFmtId="0" fontId="46" fillId="0" borderId="0"/>
    <xf numFmtId="201" fontId="139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201" fontId="69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68" fillId="0" borderId="0"/>
    <xf numFmtId="0" fontId="46" fillId="0" borderId="0"/>
    <xf numFmtId="0" fontId="68" fillId="0" borderId="0"/>
    <xf numFmtId="0" fontId="46" fillId="0" borderId="0"/>
    <xf numFmtId="0" fontId="68" fillId="0" borderId="0"/>
    <xf numFmtId="0" fontId="46" fillId="0" borderId="0"/>
    <xf numFmtId="0" fontId="70" fillId="0" borderId="0"/>
    <xf numFmtId="0" fontId="46" fillId="0" borderId="0"/>
    <xf numFmtId="0" fontId="71" fillId="0" borderId="0"/>
    <xf numFmtId="0" fontId="46" fillId="0" borderId="0"/>
    <xf numFmtId="0" fontId="46" fillId="0" borderId="0"/>
    <xf numFmtId="0" fontId="70" fillId="0" borderId="0"/>
    <xf numFmtId="0" fontId="46" fillId="0" borderId="0"/>
    <xf numFmtId="201" fontId="139" fillId="0" borderId="0" applyFont="0" applyFill="0" applyBorder="0" applyAlignment="0" applyProtection="0"/>
    <xf numFmtId="0" fontId="46" fillId="0" borderId="0"/>
    <xf numFmtId="0" fontId="71" fillId="0" borderId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70" fillId="0" borderId="0"/>
    <xf numFmtId="0" fontId="46" fillId="0" borderId="0"/>
    <xf numFmtId="0" fontId="34" fillId="0" borderId="0"/>
    <xf numFmtId="0" fontId="39" fillId="0" borderId="0" applyFont="0" applyFill="0" applyBorder="0" applyAlignment="0" applyProtection="0"/>
    <xf numFmtId="201" fontId="69" fillId="0" borderId="0" applyFont="0" applyFill="0" applyBorder="0" applyAlignment="0" applyProtection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70" fillId="0" borderId="0"/>
    <xf numFmtId="260" fontId="9" fillId="0" borderId="0">
      <protection locked="0"/>
    </xf>
    <xf numFmtId="260" fontId="9" fillId="0" borderId="0">
      <protection locked="0"/>
    </xf>
    <xf numFmtId="0" fontId="39" fillId="0" borderId="0" applyFont="0" applyFill="0" applyBorder="0" applyAlignment="0" applyProtection="0"/>
    <xf numFmtId="0" fontId="70" fillId="0" borderId="0"/>
    <xf numFmtId="0" fontId="70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262" fontId="70" fillId="0" borderId="0" applyFont="0" applyFill="0" applyBorder="0" applyAlignment="0" applyProtection="0"/>
    <xf numFmtId="263" fontId="46" fillId="0" borderId="0" applyFont="0" applyFill="0" applyBorder="0" applyAlignment="0" applyProtection="0"/>
    <xf numFmtId="264" fontId="70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70" fillId="0" borderId="0"/>
    <xf numFmtId="0" fontId="46" fillId="0" borderId="0"/>
    <xf numFmtId="0" fontId="46" fillId="0" borderId="0"/>
    <xf numFmtId="0" fontId="71" fillId="0" borderId="0"/>
    <xf numFmtId="0" fontId="39" fillId="0" borderId="0" applyFont="0" applyFill="0" applyBorder="0" applyAlignment="0" applyProtection="0"/>
    <xf numFmtId="201" fontId="69" fillId="0" borderId="0" applyFont="0" applyFill="0" applyBorder="0" applyAlignment="0" applyProtection="0"/>
    <xf numFmtId="260" fontId="9" fillId="0" borderId="0">
      <protection locked="0"/>
    </xf>
    <xf numFmtId="260" fontId="9" fillId="0" borderId="0">
      <protection locked="0"/>
    </xf>
    <xf numFmtId="201" fontId="69" fillId="0" borderId="0" applyFont="0" applyFill="0" applyBorder="0" applyAlignment="0" applyProtection="0"/>
    <xf numFmtId="201" fontId="6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0" fillId="0" borderId="0"/>
    <xf numFmtId="0" fontId="39" fillId="0" borderId="0" applyFont="0" applyFill="0" applyBorder="0" applyAlignment="0" applyProtection="0"/>
    <xf numFmtId="0" fontId="46" fillId="0" borderId="0"/>
    <xf numFmtId="0" fontId="70" fillId="0" borderId="0"/>
    <xf numFmtId="0" fontId="70" fillId="0" borderId="0"/>
    <xf numFmtId="0" fontId="70" fillId="0" borderId="0"/>
    <xf numFmtId="201" fontId="69" fillId="0" borderId="0" applyFont="0" applyFill="0" applyBorder="0" applyAlignment="0" applyProtection="0"/>
    <xf numFmtId="0" fontId="46" fillId="0" borderId="0"/>
    <xf numFmtId="0" fontId="70" fillId="0" borderId="0"/>
    <xf numFmtId="0" fontId="46" fillId="0" borderId="0"/>
    <xf numFmtId="0" fontId="46" fillId="0" borderId="0"/>
    <xf numFmtId="0" fontId="70" fillId="0" borderId="0"/>
    <xf numFmtId="0" fontId="46" fillId="0" borderId="0"/>
    <xf numFmtId="0" fontId="39" fillId="0" borderId="0" applyFont="0" applyFill="0" applyBorder="0" applyAlignment="0" applyProtection="0"/>
    <xf numFmtId="0" fontId="71" fillId="0" borderId="0"/>
    <xf numFmtId="260" fontId="9" fillId="0" borderId="0">
      <protection locked="0"/>
    </xf>
    <xf numFmtId="260" fontId="9" fillId="0" borderId="0">
      <protection locked="0"/>
    </xf>
    <xf numFmtId="0" fontId="46" fillId="0" borderId="0"/>
    <xf numFmtId="0" fontId="46" fillId="0" borderId="0"/>
    <xf numFmtId="0" fontId="70" fillId="0" borderId="0"/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70" fillId="0" borderId="0"/>
    <xf numFmtId="0" fontId="39" fillId="0" borderId="0" applyFont="0" applyFill="0" applyBorder="0" applyAlignment="0" applyProtection="0"/>
    <xf numFmtId="0" fontId="71" fillId="0" borderId="0"/>
    <xf numFmtId="0" fontId="46" fillId="0" borderId="0"/>
    <xf numFmtId="0" fontId="70" fillId="0" borderId="0"/>
    <xf numFmtId="201" fontId="70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70" fillId="0" borderId="0"/>
    <xf numFmtId="201" fontId="139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/>
    <xf numFmtId="0" fontId="70" fillId="0" borderId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260" fontId="9" fillId="0" borderId="0">
      <protection locked="0"/>
    </xf>
    <xf numFmtId="260" fontId="9" fillId="0" borderId="0">
      <protection locked="0"/>
    </xf>
    <xf numFmtId="0" fontId="70" fillId="0" borderId="0"/>
    <xf numFmtId="0" fontId="39" fillId="0" borderId="0" applyFont="0" applyFill="0" applyBorder="0" applyAlignment="0" applyProtection="0"/>
    <xf numFmtId="0" fontId="46" fillId="0" borderId="0"/>
    <xf numFmtId="0" fontId="70" fillId="0" borderId="0"/>
    <xf numFmtId="0" fontId="70" fillId="0" borderId="0"/>
    <xf numFmtId="0" fontId="70" fillId="0" borderId="0"/>
    <xf numFmtId="0" fontId="46" fillId="0" borderId="0"/>
    <xf numFmtId="0" fontId="70" fillId="0" borderId="0"/>
    <xf numFmtId="0" fontId="70" fillId="0" borderId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70" fillId="0" borderId="0" applyFont="0" applyFill="0" applyBorder="0" applyAlignment="0" applyProtection="0"/>
    <xf numFmtId="0" fontId="70" fillId="0" borderId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0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201" fontId="139" fillId="0" borderId="0" applyFont="0" applyFill="0" applyBorder="0" applyAlignment="0" applyProtection="0"/>
    <xf numFmtId="201" fontId="1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70" fillId="0" borderId="0"/>
    <xf numFmtId="0" fontId="46" fillId="0" borderId="0"/>
    <xf numFmtId="0" fontId="70" fillId="0" borderId="0"/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70" fillId="0" borderId="0"/>
    <xf numFmtId="0" fontId="46" fillId="0" borderId="0"/>
    <xf numFmtId="260" fontId="9" fillId="0" borderId="0">
      <protection locked="0"/>
    </xf>
    <xf numFmtId="260" fontId="9" fillId="0" borderId="0">
      <protection locked="0"/>
    </xf>
    <xf numFmtId="0" fontId="39" fillId="0" borderId="0" applyFont="0" applyFill="0" applyBorder="0" applyAlignment="0" applyProtection="0"/>
    <xf numFmtId="0" fontId="46" fillId="0" borderId="0"/>
    <xf numFmtId="0" fontId="39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1" fillId="0" borderId="0"/>
    <xf numFmtId="0" fontId="46" fillId="0" borderId="0"/>
    <xf numFmtId="0" fontId="46" fillId="0" borderId="0"/>
    <xf numFmtId="0" fontId="46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4" fillId="0" borderId="0">
      <protection locked="0"/>
    </xf>
    <xf numFmtId="265" fontId="79" fillId="0" borderId="0" applyFont="0" applyFill="0" applyBorder="0" applyProtection="0">
      <alignment vertical="center"/>
    </xf>
    <xf numFmtId="266" fontId="79" fillId="0" borderId="0">
      <alignment vertical="center"/>
    </xf>
    <xf numFmtId="267" fontId="79" fillId="0" borderId="0" applyFont="0" applyFill="0" applyBorder="0" applyAlignment="0" applyProtection="0">
      <alignment vertical="center"/>
    </xf>
    <xf numFmtId="268" fontId="9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189" fontId="9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202" fontId="74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202" fontId="74" fillId="0" borderId="0">
      <protection locked="0"/>
    </xf>
    <xf numFmtId="202" fontId="74" fillId="0" borderId="0">
      <protection locked="0"/>
    </xf>
    <xf numFmtId="189" fontId="9" fillId="0" borderId="0">
      <protection locked="0"/>
    </xf>
    <xf numFmtId="201" fontId="140" fillId="0" borderId="0" applyFont="0" applyFill="0" applyBorder="0" applyAlignment="0" applyProtection="0"/>
    <xf numFmtId="206" fontId="46" fillId="0" borderId="0" applyFont="0" applyFill="0" applyBorder="0" applyAlignment="0" applyProtection="0"/>
    <xf numFmtId="3" fontId="69" fillId="0" borderId="1"/>
    <xf numFmtId="3" fontId="69" fillId="0" borderId="1"/>
    <xf numFmtId="237" fontId="141" fillId="0" borderId="0">
      <alignment vertical="center"/>
    </xf>
    <xf numFmtId="237" fontId="142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0" fontId="38" fillId="0" borderId="0"/>
    <xf numFmtId="0" fontId="38" fillId="0" borderId="0"/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7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208" fontId="9" fillId="0" borderId="0">
      <alignment vertical="center"/>
    </xf>
    <xf numFmtId="0" fontId="31" fillId="0" borderId="0">
      <alignment horizontal="center" vertical="center"/>
    </xf>
    <xf numFmtId="0" fontId="28" fillId="16" borderId="64" applyNumberFormat="0" applyFill="0" applyBorder="0">
      <alignment horizontal="center"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0" fontId="28" fillId="16" borderId="64" applyNumberFormat="0" applyFill="0" applyBorder="0">
      <alignment horizontal="center" vertical="center"/>
    </xf>
    <xf numFmtId="0" fontId="28" fillId="16" borderId="64" applyNumberFormat="0" applyFill="0" applyBorder="0">
      <alignment horizontal="center" vertical="center"/>
    </xf>
    <xf numFmtId="0" fontId="28" fillId="16" borderId="64" applyNumberFormat="0" applyFill="0" applyBorder="0">
      <alignment horizontal="center" vertical="center"/>
    </xf>
    <xf numFmtId="0" fontId="31" fillId="0" borderId="0">
      <alignment horizontal="center" vertical="center"/>
    </xf>
    <xf numFmtId="0" fontId="28" fillId="16" borderId="64" applyNumberFormat="0" applyFill="0" applyBorder="0">
      <alignment horizontal="center" vertical="center"/>
    </xf>
    <xf numFmtId="0" fontId="38" fillId="0" borderId="0"/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205" fontId="67" fillId="0" borderId="0">
      <alignment vertical="center"/>
    </xf>
    <xf numFmtId="0" fontId="31" fillId="0" borderId="0">
      <alignment horizontal="center" vertical="center"/>
    </xf>
    <xf numFmtId="4" fontId="78" fillId="0" borderId="65">
      <alignment vertical="center"/>
    </xf>
    <xf numFmtId="10" fontId="84" fillId="0" borderId="0" applyFont="0" applyFill="0" applyBorder="0" applyAlignment="0" applyProtection="0"/>
    <xf numFmtId="0" fontId="70" fillId="0" borderId="0"/>
    <xf numFmtId="0" fontId="74" fillId="0" borderId="0">
      <protection locked="0"/>
    </xf>
    <xf numFmtId="9" fontId="70" fillId="0" borderId="0">
      <protection locked="0"/>
    </xf>
    <xf numFmtId="0" fontId="143" fillId="0" borderId="0"/>
    <xf numFmtId="0" fontId="31" fillId="0" borderId="49" applyProtection="0">
      <alignment horizontal="left" vertical="center" wrapText="1"/>
    </xf>
    <xf numFmtId="3" fontId="34" fillId="0" borderId="0"/>
    <xf numFmtId="0" fontId="144" fillId="0" borderId="0" applyFont="0" applyFill="0" applyBorder="0" applyAlignment="0" applyProtection="0"/>
    <xf numFmtId="42" fontId="144" fillId="0" borderId="0" applyFont="0" applyFill="0" applyBorder="0" applyAlignment="0" applyProtection="0"/>
    <xf numFmtId="211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206" fontId="101" fillId="0" borderId="0" applyFont="0" applyFill="0" applyBorder="0" applyAlignment="0" applyProtection="0"/>
    <xf numFmtId="206" fontId="101" fillId="0" borderId="0" applyFont="0" applyFill="0" applyBorder="0" applyAlignment="0" applyProtection="0"/>
    <xf numFmtId="206" fontId="101" fillId="0" borderId="0" applyFont="0" applyFill="0" applyBorder="0" applyAlignment="0" applyProtection="0"/>
    <xf numFmtId="206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269" fontId="101" fillId="0" borderId="0" applyFont="0" applyFill="0" applyBorder="0" applyAlignment="0" applyProtection="0"/>
    <xf numFmtId="269" fontId="101" fillId="0" borderId="0" applyFont="0" applyFill="0" applyBorder="0" applyAlignment="0" applyProtection="0"/>
    <xf numFmtId="269" fontId="101" fillId="0" borderId="0" applyFont="0" applyFill="0" applyBorder="0" applyAlignment="0" applyProtection="0"/>
    <xf numFmtId="269" fontId="101" fillId="0" borderId="0" applyFont="0" applyFill="0" applyBorder="0" applyAlignment="0" applyProtection="0"/>
    <xf numFmtId="211" fontId="84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4" fillId="0" borderId="0" applyFont="0" applyFill="0" applyBorder="0" applyAlignment="0" applyProtection="0"/>
    <xf numFmtId="211" fontId="85" fillId="0" borderId="0" applyFont="0" applyFill="0" applyBorder="0" applyAlignment="0" applyProtection="0"/>
    <xf numFmtId="0" fontId="74" fillId="0" borderId="0">
      <protection locked="0"/>
    </xf>
    <xf numFmtId="0" fontId="84" fillId="0" borderId="0" applyFont="0" applyFill="0" applyBorder="0" applyAlignment="0" applyProtection="0"/>
    <xf numFmtId="44" fontId="144" fillId="0" borderId="0" applyFont="0" applyFill="0" applyBorder="0" applyAlignment="0" applyProtection="0"/>
    <xf numFmtId="212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213" fontId="101" fillId="0" borderId="0" applyFont="0" applyFill="0" applyBorder="0" applyAlignment="0" applyProtection="0"/>
    <xf numFmtId="213" fontId="101" fillId="0" borderId="0" applyFont="0" applyFill="0" applyBorder="0" applyAlignment="0" applyProtection="0"/>
    <xf numFmtId="213" fontId="101" fillId="0" borderId="0" applyFont="0" applyFill="0" applyBorder="0" applyAlignment="0" applyProtection="0"/>
    <xf numFmtId="213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270" fontId="101" fillId="0" borderId="0" applyFont="0" applyFill="0" applyBorder="0" applyAlignment="0" applyProtection="0"/>
    <xf numFmtId="270" fontId="101" fillId="0" borderId="0" applyFont="0" applyFill="0" applyBorder="0" applyAlignment="0" applyProtection="0"/>
    <xf numFmtId="270" fontId="101" fillId="0" borderId="0" applyFont="0" applyFill="0" applyBorder="0" applyAlignment="0" applyProtection="0"/>
    <xf numFmtId="270" fontId="101" fillId="0" borderId="0" applyFont="0" applyFill="0" applyBorder="0" applyAlignment="0" applyProtection="0"/>
    <xf numFmtId="212" fontId="84" fillId="0" borderId="0" applyFont="0" applyFill="0" applyBorder="0" applyAlignment="0" applyProtection="0"/>
    <xf numFmtId="212" fontId="85" fillId="0" borderId="0" applyFont="0" applyFill="0" applyBorder="0" applyAlignment="0" applyProtection="0"/>
    <xf numFmtId="212" fontId="84" fillId="0" borderId="0" applyFont="0" applyFill="0" applyBorder="0" applyAlignment="0" applyProtection="0"/>
    <xf numFmtId="212" fontId="85" fillId="0" borderId="0" applyFont="0" applyFill="0" applyBorder="0" applyAlignment="0" applyProtection="0"/>
    <xf numFmtId="271" fontId="9" fillId="0" borderId="0">
      <protection locked="0"/>
    </xf>
    <xf numFmtId="0" fontId="144" fillId="0" borderId="0" applyFont="0" applyFill="0" applyBorder="0" applyAlignment="0" applyProtection="0"/>
    <xf numFmtId="41" fontId="14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38" fontId="101" fillId="0" borderId="0" applyFont="0" applyFill="0" applyBorder="0" applyAlignment="0" applyProtection="0"/>
    <xf numFmtId="38" fontId="101" fillId="0" borderId="0" applyFont="0" applyFill="0" applyBorder="0" applyAlignment="0" applyProtection="0"/>
    <xf numFmtId="201" fontId="84" fillId="0" borderId="0" applyFont="0" applyFill="0" applyBorder="0" applyAlignment="0" applyProtection="0"/>
    <xf numFmtId="201" fontId="85" fillId="0" borderId="0" applyFont="0" applyFill="0" applyBorder="0" applyAlignment="0" applyProtection="0"/>
    <xf numFmtId="201" fontId="84" fillId="0" borderId="0" applyFont="0" applyFill="0" applyBorder="0" applyAlignment="0" applyProtection="0"/>
    <xf numFmtId="201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44" fillId="0" borderId="0" applyFont="0" applyFill="0" applyBorder="0" applyAlignment="0" applyProtection="0"/>
    <xf numFmtId="214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101" fillId="0" borderId="0" applyFont="0" applyFill="0" applyBorder="0" applyAlignment="0" applyProtection="0"/>
    <xf numFmtId="0" fontId="101" fillId="0" borderId="0" applyFont="0" applyFill="0" applyBorder="0" applyAlignment="0" applyProtection="0"/>
    <xf numFmtId="214" fontId="101" fillId="0" borderId="0" applyFont="0" applyFill="0" applyBorder="0" applyAlignment="0" applyProtection="0"/>
    <xf numFmtId="214" fontId="101" fillId="0" borderId="0" applyFont="0" applyFill="0" applyBorder="0" applyAlignment="0" applyProtection="0"/>
    <xf numFmtId="214" fontId="101" fillId="0" borderId="0" applyFont="0" applyFill="0" applyBorder="0" applyAlignment="0" applyProtection="0"/>
    <xf numFmtId="214" fontId="101" fillId="0" borderId="0" applyFont="0" applyFill="0" applyBorder="0" applyAlignment="0" applyProtection="0"/>
    <xf numFmtId="40" fontId="101" fillId="0" borderId="0" applyFont="0" applyFill="0" applyBorder="0" applyAlignment="0" applyProtection="0"/>
    <xf numFmtId="40" fontId="101" fillId="0" borderId="0" applyFont="0" applyFill="0" applyBorder="0" applyAlignment="0" applyProtection="0"/>
    <xf numFmtId="214" fontId="84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4" fillId="0" borderId="0" applyFont="0" applyFill="0" applyBorder="0" applyAlignment="0" applyProtection="0"/>
    <xf numFmtId="214" fontId="85" fillId="0" borderId="0" applyFont="0" applyFill="0" applyBorder="0" applyAlignment="0" applyProtection="0"/>
    <xf numFmtId="4" fontId="74" fillId="0" borderId="0">
      <protection locked="0"/>
    </xf>
    <xf numFmtId="186" fontId="9" fillId="0" borderId="0">
      <protection locked="0"/>
    </xf>
    <xf numFmtId="0" fontId="145" fillId="0" borderId="0"/>
    <xf numFmtId="0" fontId="46" fillId="0" borderId="0"/>
    <xf numFmtId="0" fontId="146" fillId="0" borderId="0"/>
    <xf numFmtId="272" fontId="147" fillId="0" borderId="85" applyAlignment="0" applyProtection="0"/>
    <xf numFmtId="0" fontId="84" fillId="0" borderId="0"/>
    <xf numFmtId="0" fontId="144" fillId="0" borderId="0"/>
    <xf numFmtId="0" fontId="148" fillId="0" borderId="0"/>
    <xf numFmtId="0" fontId="84" fillId="0" borderId="0"/>
    <xf numFmtId="0" fontId="101" fillId="0" borderId="0"/>
    <xf numFmtId="0" fontId="74" fillId="0" borderId="83">
      <protection locked="0"/>
    </xf>
    <xf numFmtId="38" fontId="46" fillId="0" borderId="0" applyFont="0" applyFill="0" applyBorder="0" applyAlignment="0" applyProtection="0"/>
    <xf numFmtId="0" fontId="70" fillId="0" borderId="0"/>
    <xf numFmtId="43" fontId="46" fillId="0" borderId="0" applyFont="0" applyFill="0" applyBorder="0" applyAlignment="0" applyProtection="0"/>
    <xf numFmtId="40" fontId="68" fillId="0" borderId="0" applyFont="0" applyFill="0" applyBorder="0" applyAlignment="0" applyProtection="0"/>
    <xf numFmtId="269" fontId="46" fillId="0" borderId="0" applyFont="0" applyFill="0" applyBorder="0" applyAlignment="0" applyProtection="0"/>
    <xf numFmtId="273" fontId="9" fillId="0" borderId="0">
      <protection locked="0"/>
    </xf>
    <xf numFmtId="274" fontId="70" fillId="0" borderId="1" applyFill="0" applyBorder="0" applyAlignment="0"/>
    <xf numFmtId="275" fontId="9" fillId="0" borderId="1" applyFill="0" applyBorder="0" applyAlignment="0"/>
    <xf numFmtId="0" fontId="9" fillId="0" borderId="0" applyFont="0" applyFill="0" applyBorder="0" applyAlignment="0" applyProtection="0"/>
    <xf numFmtId="0" fontId="149" fillId="0" borderId="0"/>
    <xf numFmtId="0" fontId="150" fillId="0" borderId="0" applyFont="0" applyFill="0" applyBorder="0" applyAlignment="0" applyProtection="0"/>
    <xf numFmtId="276" fontId="151" fillId="0" borderId="0">
      <protection locked="0"/>
    </xf>
    <xf numFmtId="0" fontId="70" fillId="0" borderId="0"/>
    <xf numFmtId="277" fontId="9" fillId="0" borderId="0">
      <protection locked="0"/>
    </xf>
    <xf numFmtId="278" fontId="9" fillId="0" borderId="0">
      <protection locked="0"/>
    </xf>
    <xf numFmtId="2" fontId="150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70" fillId="0" borderId="0"/>
    <xf numFmtId="201" fontId="70" fillId="0" borderId="0" applyFont="0" applyFill="0" applyBorder="0" applyAlignment="0" applyProtection="0"/>
    <xf numFmtId="0" fontId="152" fillId="0" borderId="0" applyAlignment="0">
      <alignment horizontal="right"/>
    </xf>
    <xf numFmtId="0" fontId="153" fillId="0" borderId="0"/>
    <xf numFmtId="0" fontId="154" fillId="0" borderId="0"/>
    <xf numFmtId="279" fontId="9" fillId="0" borderId="0">
      <protection locked="0"/>
    </xf>
    <xf numFmtId="279" fontId="9" fillId="0" borderId="0">
      <protection locked="0"/>
    </xf>
    <xf numFmtId="0" fontId="155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82" fillId="0" borderId="86" applyNumberFormat="0" applyBorder="0" applyAlignment="0"/>
    <xf numFmtId="201" fontId="69" fillId="0" borderId="0" applyFont="0" applyFill="0" applyBorder="0" applyAlignment="0" applyProtection="0"/>
    <xf numFmtId="280" fontId="9" fillId="0" borderId="0" applyFont="0" applyFill="0" applyBorder="0" applyAlignment="0" applyProtection="0"/>
    <xf numFmtId="281" fontId="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69" fillId="0" borderId="90" applyNumberFormat="0" applyFont="0" applyBorder="0" applyProtection="0">
      <alignment horizontal="center" vertical="center"/>
    </xf>
    <xf numFmtId="0" fontId="46" fillId="0" borderId="0"/>
    <xf numFmtId="40" fontId="46" fillId="0" borderId="0" applyFont="0" applyFill="0" applyBorder="0" applyAlignment="0" applyProtection="0"/>
    <xf numFmtId="38" fontId="46" fillId="0" borderId="0" applyFont="0" applyFill="0" applyBorder="0" applyAlignment="0" applyProtection="0"/>
    <xf numFmtId="0" fontId="46" fillId="0" borderId="0"/>
    <xf numFmtId="0" fontId="46" fillId="0" borderId="0" applyFont="0" applyFill="0" applyBorder="0" applyAlignment="0" applyProtection="0"/>
    <xf numFmtId="0" fontId="149" fillId="0" borderId="0"/>
    <xf numFmtId="282" fontId="70" fillId="0" borderId="0">
      <protection locked="0"/>
    </xf>
    <xf numFmtId="9" fontId="157" fillId="0" borderId="0" applyFont="0" applyFill="0" applyProtection="0"/>
    <xf numFmtId="201" fontId="69" fillId="0" borderId="0" applyFont="0" applyFill="0" applyBorder="0" applyAlignment="0" applyProtection="0"/>
    <xf numFmtId="0" fontId="157" fillId="0" borderId="0"/>
    <xf numFmtId="0" fontId="68" fillId="0" borderId="0"/>
    <xf numFmtId="0" fontId="46" fillId="0" borderId="0"/>
    <xf numFmtId="49" fontId="158" fillId="0" borderId="0" applyFill="0" applyBorder="0" applyProtection="0">
      <alignment horizontal="centerContinuous" vertical="center"/>
    </xf>
    <xf numFmtId="0" fontId="159" fillId="23" borderId="0">
      <alignment horizontal="centerContinuous"/>
    </xf>
    <xf numFmtId="49" fontId="158" fillId="0" borderId="0" applyFill="0" applyBorder="0" applyProtection="0">
      <alignment horizontal="centerContinuous" vertical="center"/>
    </xf>
    <xf numFmtId="0" fontId="150" fillId="0" borderId="83" applyNumberFormat="0" applyFont="0" applyFill="0" applyAlignment="0" applyProtection="0"/>
    <xf numFmtId="283" fontId="9" fillId="0" borderId="0" applyFont="0" applyFill="0" applyBorder="0" applyAlignment="0" applyProtection="0"/>
    <xf numFmtId="284" fontId="9" fillId="0" borderId="0" applyFont="0" applyFill="0" applyBorder="0" applyAlignment="0" applyProtection="0"/>
    <xf numFmtId="263" fontId="46" fillId="0" borderId="0" applyFont="0" applyFill="0" applyBorder="0" applyAlignment="0" applyProtection="0"/>
    <xf numFmtId="190" fontId="38" fillId="0" borderId="0"/>
    <xf numFmtId="285" fontId="70" fillId="0" borderId="0"/>
    <xf numFmtId="38" fontId="38" fillId="0" borderId="0"/>
    <xf numFmtId="232" fontId="70" fillId="0" borderId="0">
      <protection locked="0"/>
    </xf>
    <xf numFmtId="0" fontId="160" fillId="0" borderId="0"/>
    <xf numFmtId="0" fontId="31" fillId="0" borderId="0"/>
    <xf numFmtId="286" fontId="161" fillId="0" borderId="49">
      <alignment horizontal="right" vertical="center"/>
    </xf>
    <xf numFmtId="0" fontId="9" fillId="0" borderId="1">
      <alignment horizontal="right" vertical="center"/>
    </xf>
    <xf numFmtId="287" fontId="70" fillId="0" borderId="0"/>
    <xf numFmtId="38" fontId="31" fillId="0" borderId="0"/>
    <xf numFmtId="0" fontId="162" fillId="0" borderId="0" applyFont="0" applyBorder="0" applyAlignment="0">
      <alignment horizontal="left" vertical="center"/>
    </xf>
    <xf numFmtId="0" fontId="163" fillId="0" borderId="0">
      <alignment vertical="center"/>
    </xf>
    <xf numFmtId="0" fontId="10" fillId="0" borderId="49">
      <alignment horizontal="center" vertical="center"/>
    </xf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79" fillId="0" borderId="0" applyNumberFormat="0" applyFont="0" applyFill="0" applyBorder="0" applyProtection="0">
      <alignment horizontal="distributed" vertical="center" justifyLastLine="1"/>
    </xf>
    <xf numFmtId="41" fontId="79" fillId="0" borderId="1" applyNumberFormat="0" applyFont="0" applyFill="0" applyBorder="0" applyProtection="0">
      <alignment horizontal="distributed"/>
    </xf>
    <xf numFmtId="41" fontId="79" fillId="0" borderId="1" applyNumberFormat="0" applyFont="0" applyFill="0" applyBorder="0" applyProtection="0">
      <alignment horizontal="distributed"/>
    </xf>
    <xf numFmtId="41" fontId="79" fillId="0" borderId="1" applyNumberFormat="0" applyFont="0" applyFill="0" applyBorder="0" applyProtection="0">
      <alignment horizontal="distributed"/>
    </xf>
    <xf numFmtId="202" fontId="80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10" fontId="76" fillId="0" borderId="0">
      <alignment vertical="center"/>
    </xf>
    <xf numFmtId="261" fontId="9" fillId="0" borderId="0">
      <protection locked="0"/>
    </xf>
    <xf numFmtId="261" fontId="9" fillId="0" borderId="0">
      <protection locked="0"/>
    </xf>
    <xf numFmtId="10" fontId="76" fillId="0" borderId="0">
      <alignment vertical="center"/>
    </xf>
    <xf numFmtId="260" fontId="9" fillId="0" borderId="0">
      <protection locked="0"/>
    </xf>
    <xf numFmtId="260" fontId="9" fillId="0" borderId="0">
      <protection locked="0"/>
    </xf>
    <xf numFmtId="202" fontId="80" fillId="0" borderId="0">
      <protection locked="0"/>
    </xf>
    <xf numFmtId="202" fontId="80" fillId="0" borderId="0">
      <protection locked="0"/>
    </xf>
    <xf numFmtId="202" fontId="80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10" fontId="76" fillId="0" borderId="0">
      <alignment vertical="center"/>
    </xf>
    <xf numFmtId="10" fontId="76" fillId="0" borderId="0">
      <alignment vertical="center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02" fontId="80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10" fontId="76" fillId="0" borderId="0">
      <alignment vertical="center"/>
    </xf>
    <xf numFmtId="202" fontId="80" fillId="0" borderId="0">
      <protection locked="0"/>
    </xf>
    <xf numFmtId="202" fontId="80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88" fontId="79" fillId="0" borderId="0" applyFont="0" applyFill="0" applyBorder="0" applyProtection="0">
      <alignment horizontal="center" vertical="center"/>
    </xf>
    <xf numFmtId="289" fontId="79" fillId="0" borderId="0" applyFont="0" applyFill="0" applyBorder="0" applyProtection="0">
      <alignment horizontal="center"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191" fontId="79" fillId="0" borderId="0" applyFont="0" applyFill="0" applyBorder="0" applyAlignment="0" applyProtection="0"/>
    <xf numFmtId="183" fontId="9" fillId="0" borderId="0" applyFont="0" applyFill="0" applyBorder="0" applyAlignment="0" applyProtection="0"/>
    <xf numFmtId="196" fontId="7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0" fillId="0" borderId="0"/>
    <xf numFmtId="0" fontId="165" fillId="0" borderId="0"/>
    <xf numFmtId="0" fontId="79" fillId="0" borderId="0" applyNumberFormat="0" applyFont="0" applyFill="0" applyBorder="0" applyProtection="0">
      <alignment horizontal="centerContinuous" vertical="center"/>
    </xf>
    <xf numFmtId="183" fontId="9" fillId="0" borderId="0" applyNumberFormat="0" applyFont="0" applyFill="0" applyBorder="0" applyProtection="0">
      <alignment horizontal="centerContinuous"/>
    </xf>
    <xf numFmtId="183" fontId="166" fillId="0" borderId="49">
      <alignment vertical="center"/>
    </xf>
    <xf numFmtId="4" fontId="167" fillId="0" borderId="0" applyNumberFormat="0" applyFill="0" applyBorder="0" applyAlignment="0">
      <alignment horizontal="centerContinuous" vertical="center"/>
    </xf>
    <xf numFmtId="237" fontId="127" fillId="0" borderId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68" fillId="0" borderId="0" applyFont="0" applyFill="0" applyBorder="0" applyAlignment="0" applyProtection="0">
      <alignment vertical="center"/>
    </xf>
    <xf numFmtId="41" fontId="169" fillId="0" borderId="0" applyFont="0" applyFill="0" applyBorder="0" applyAlignment="0" applyProtection="0">
      <alignment vertical="center"/>
    </xf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64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6" fillId="0" borderId="0"/>
    <xf numFmtId="0" fontId="70" fillId="0" borderId="0"/>
    <xf numFmtId="238" fontId="10" fillId="0" borderId="0" applyFont="0" applyFill="0" applyBorder="0" applyAlignment="0" applyProtection="0"/>
    <xf numFmtId="203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71" fillId="0" borderId="0"/>
    <xf numFmtId="0" fontId="71" fillId="0" borderId="0"/>
    <xf numFmtId="0" fontId="34" fillId="0" borderId="0"/>
    <xf numFmtId="0" fontId="70" fillId="0" borderId="0"/>
    <xf numFmtId="0" fontId="70" fillId="0" borderId="0"/>
    <xf numFmtId="0" fontId="71" fillId="0" borderId="0"/>
    <xf numFmtId="0" fontId="34" fillId="0" borderId="0"/>
    <xf numFmtId="0" fontId="70" fillId="0" borderId="0"/>
    <xf numFmtId="240" fontId="1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/>
    <xf numFmtId="201" fontId="69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71" fillId="0" borderId="0"/>
    <xf numFmtId="201" fontId="69" fillId="0" borderId="0" applyFont="0" applyFill="0" applyBorder="0" applyAlignment="0" applyProtection="0"/>
    <xf numFmtId="242" fontId="10" fillId="0" borderId="0" applyFont="0" applyFill="0" applyBorder="0" applyAlignment="0" applyProtection="0"/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70" fillId="0" borderId="0" applyFont="0" applyFill="0" applyBorder="0" applyAlignment="0" applyProtection="0"/>
    <xf numFmtId="201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1" fontId="170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1" fontId="170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90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245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39" fillId="0" borderId="0" applyNumberFormat="0" applyAlignment="0">
      <alignment horizontal="left" vertical="center"/>
    </xf>
    <xf numFmtId="246" fontId="70" fillId="0" borderId="0">
      <protection locked="0"/>
    </xf>
    <xf numFmtId="0" fontId="171" fillId="19" borderId="0" applyNumberFormat="0" applyBorder="0" applyAlignment="0" applyProtection="0">
      <alignment vertical="center"/>
    </xf>
    <xf numFmtId="0" fontId="70" fillId="0" borderId="0"/>
    <xf numFmtId="0" fontId="10" fillId="0" borderId="49" applyFill="0" applyProtection="0">
      <alignment horizontal="center" vertical="center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92" fontId="79" fillId="0" borderId="0" applyFont="0" applyFill="0" applyBorder="0" applyProtection="0">
      <alignment vertical="center"/>
    </xf>
    <xf numFmtId="212" fontId="9" fillId="0" borderId="0" applyFont="0" applyFill="0" applyBorder="0" applyProtection="0">
      <alignment vertical="center"/>
    </xf>
    <xf numFmtId="38" fontId="79" fillId="0" borderId="0" applyFont="0" applyFill="0" applyBorder="0" applyProtection="0">
      <alignment vertical="center"/>
    </xf>
    <xf numFmtId="201" fontId="70" fillId="0" borderId="0" applyNumberFormat="0" applyFont="0" applyFill="0" applyBorder="0" applyProtection="0">
      <alignment vertical="center"/>
    </xf>
    <xf numFmtId="179" fontId="70" fillId="10" borderId="0" applyFill="0" applyBorder="0" applyProtection="0">
      <alignment horizontal="right"/>
    </xf>
    <xf numFmtId="38" fontId="79" fillId="0" borderId="0" applyFont="0" applyFill="0" applyBorder="0" applyAlignment="0" applyProtection="0">
      <alignment vertical="center"/>
    </xf>
    <xf numFmtId="183" fontId="79" fillId="0" borderId="0" applyFont="0" applyFill="0" applyBorder="0" applyAlignment="0" applyProtection="0">
      <alignment vertical="center"/>
    </xf>
    <xf numFmtId="293" fontId="9" fillId="0" borderId="0" applyFont="0" applyFill="0" applyBorder="0" applyAlignment="0" applyProtection="0">
      <alignment vertical="center"/>
    </xf>
    <xf numFmtId="38" fontId="79" fillId="0" borderId="0" applyFill="0" applyBorder="0" applyAlignment="0" applyProtection="0">
      <alignment vertical="center"/>
    </xf>
    <xf numFmtId="294" fontId="9" fillId="0" borderId="0" applyFont="0" applyFill="0" applyBorder="0" applyAlignment="0" applyProtection="0">
      <alignment vertical="center"/>
    </xf>
    <xf numFmtId="295" fontId="9" fillId="0" borderId="0" applyFont="0" applyFill="0" applyBorder="0" applyAlignment="0" applyProtection="0">
      <alignment textRotation="255"/>
    </xf>
    <xf numFmtId="296" fontId="9" fillId="0" borderId="0" applyFont="0" applyFill="0" applyBorder="0" applyAlignment="0" applyProtection="0">
      <alignment textRotation="255"/>
    </xf>
    <xf numFmtId="297" fontId="9" fillId="0" borderId="0" applyFont="0" applyFill="0" applyBorder="0" applyAlignment="0" applyProtection="0">
      <alignment textRotation="255"/>
    </xf>
    <xf numFmtId="298" fontId="9" fillId="0" borderId="0" applyFont="0" applyFill="0" applyBorder="0" applyAlignment="0" applyProtection="0">
      <alignment textRotation="255"/>
    </xf>
    <xf numFmtId="3" fontId="70" fillId="0" borderId="86"/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51" fontId="70" fillId="0" borderId="0">
      <protection locked="0"/>
    </xf>
    <xf numFmtId="0" fontId="54" fillId="0" borderId="49">
      <alignment horizontal="center" vertical="center"/>
    </xf>
    <xf numFmtId="0" fontId="54" fillId="0" borderId="49">
      <alignment horizontal="left" vertical="center"/>
    </xf>
    <xf numFmtId="0" fontId="54" fillId="0" borderId="49">
      <alignment vertical="center" textRotation="255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1" fontId="9" fillId="0" borderId="0">
      <protection locked="0"/>
    </xf>
    <xf numFmtId="261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260" fontId="9" fillId="0" borderId="0">
      <protection locked="0"/>
    </xf>
    <xf numFmtId="0" fontId="9" fillId="0" borderId="0">
      <alignment vertical="center"/>
    </xf>
    <xf numFmtId="0" fontId="75" fillId="0" borderId="0"/>
    <xf numFmtId="0" fontId="70" fillId="0" borderId="0"/>
    <xf numFmtId="0" fontId="9" fillId="0" borderId="0"/>
    <xf numFmtId="0" fontId="9" fillId="0" borderId="0"/>
    <xf numFmtId="0" fontId="75" fillId="0" borderId="0"/>
    <xf numFmtId="0" fontId="70" fillId="0" borderId="0"/>
    <xf numFmtId="0" fontId="70" fillId="0" borderId="0"/>
    <xf numFmtId="14" fontId="172" fillId="0" borderId="0" applyFont="0" applyFill="0" applyBorder="0" applyAlignment="0" applyProtection="0"/>
    <xf numFmtId="188" fontId="70" fillId="0" borderId="0" applyFont="0" applyFill="0" applyBorder="0" applyAlignment="0" applyProtection="0"/>
    <xf numFmtId="299" fontId="173" fillId="0" borderId="66"/>
    <xf numFmtId="0" fontId="39" fillId="0" borderId="49">
      <alignment horizontal="center" vertical="center" wrapText="1"/>
    </xf>
    <xf numFmtId="254" fontId="70" fillId="0" borderId="0">
      <protection locked="0"/>
    </xf>
    <xf numFmtId="255" fontId="70" fillId="0" borderId="0">
      <protection locked="0"/>
    </xf>
    <xf numFmtId="41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324" fontId="9" fillId="0" borderId="0" applyFill="0" applyBorder="0" applyAlignment="0"/>
    <xf numFmtId="325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" fontId="70" fillId="0" borderId="0">
      <alignment vertical="center"/>
    </xf>
    <xf numFmtId="0" fontId="9" fillId="0" borderId="0"/>
    <xf numFmtId="41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189" fontId="9" fillId="0" borderId="0">
      <protection locked="0"/>
    </xf>
    <xf numFmtId="316" fontId="9" fillId="0" borderId="0" applyFill="0" applyBorder="0" applyAlignment="0"/>
    <xf numFmtId="0" fontId="67" fillId="0" borderId="0"/>
    <xf numFmtId="0" fontId="169" fillId="0" borderId="0">
      <alignment vertical="center"/>
    </xf>
    <xf numFmtId="0" fontId="208" fillId="0" borderId="0" applyNumberFormat="0" applyFill="0" applyBorder="0" applyAlignment="0" applyProtection="0"/>
    <xf numFmtId="323" fontId="9" fillId="0" borderId="0" applyFont="0" applyFill="0" applyBorder="0" applyAlignment="0" applyProtection="0"/>
    <xf numFmtId="0" fontId="9" fillId="0" borderId="0"/>
    <xf numFmtId="320" fontId="9" fillId="0" borderId="0" applyFill="0" applyBorder="0" applyAlignment="0"/>
    <xf numFmtId="189" fontId="9" fillId="0" borderId="0">
      <protection locked="0"/>
    </xf>
    <xf numFmtId="319" fontId="9" fillId="0" borderId="0" applyFill="0" applyBorder="0" applyAlignment="0"/>
    <xf numFmtId="0" fontId="70" fillId="0" borderId="6">
      <alignment horizontal="distributed"/>
    </xf>
    <xf numFmtId="320" fontId="9" fillId="0" borderId="0" applyFill="0" applyBorder="0" applyAlignment="0"/>
    <xf numFmtId="3" fontId="70" fillId="0" borderId="0">
      <alignment vertical="center"/>
    </xf>
    <xf numFmtId="0" fontId="9" fillId="0" borderId="1" applyNumberFormat="0" applyFill="0" applyProtection="0">
      <alignment vertical="center"/>
    </xf>
    <xf numFmtId="0" fontId="70" fillId="0" borderId="0"/>
    <xf numFmtId="325" fontId="9" fillId="0" borderId="0" applyFill="0" applyBorder="0" applyAlignment="0"/>
    <xf numFmtId="0" fontId="9" fillId="0" borderId="0">
      <alignment vertical="center"/>
    </xf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190" fontId="31" fillId="0" borderId="0"/>
    <xf numFmtId="0" fontId="9" fillId="0" borderId="0"/>
    <xf numFmtId="189" fontId="9" fillId="0" borderId="0">
      <protection locked="0"/>
    </xf>
    <xf numFmtId="0" fontId="9" fillId="0" borderId="0"/>
    <xf numFmtId="237" fontId="70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03" fontId="9" fillId="0" borderId="0" applyFont="0" applyFill="0" applyBorder="0" applyAlignment="0" applyProtection="0"/>
    <xf numFmtId="316" fontId="9" fillId="0" borderId="0" applyFill="0" applyBorder="0" applyAlignment="0"/>
    <xf numFmtId="201" fontId="38" fillId="0" borderId="0" applyFont="0" applyFill="0" applyBorder="0" applyAlignment="0" applyProtection="0"/>
    <xf numFmtId="319" fontId="9" fillId="0" borderId="0" applyFill="0" applyBorder="0" applyAlignment="0"/>
    <xf numFmtId="41" fontId="9" fillId="0" borderId="0" applyFont="0" applyFill="0" applyBorder="0" applyAlignment="0" applyProtection="0"/>
    <xf numFmtId="0" fontId="145" fillId="0" borderId="0"/>
    <xf numFmtId="242" fontId="10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317" fontId="9" fillId="0" borderId="0" applyFill="0" applyBorder="0" applyAlignment="0"/>
    <xf numFmtId="318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314" fontId="74" fillId="0" borderId="0">
      <protection locked="0"/>
    </xf>
    <xf numFmtId="0" fontId="70" fillId="0" borderId="0" applyFont="0" applyFill="0" applyBorder="0" applyAlignment="0" applyProtection="0"/>
    <xf numFmtId="320" fontId="9" fillId="0" borderId="0" applyFill="0" applyBorder="0" applyAlignment="0"/>
    <xf numFmtId="0" fontId="46" fillId="0" borderId="0" applyFont="0" applyFill="0" applyBorder="0" applyAlignment="0" applyProtection="0"/>
    <xf numFmtId="190" fontId="31" fillId="0" borderId="0"/>
    <xf numFmtId="320" fontId="9" fillId="0" borderId="0" applyFont="0" applyFill="0" applyBorder="0" applyAlignment="0" applyProtection="0"/>
    <xf numFmtId="313" fontId="9" fillId="0" borderId="0"/>
    <xf numFmtId="201" fontId="69" fillId="0" borderId="0" applyFont="0" applyFill="0" applyBorder="0" applyAlignment="0" applyProtection="0"/>
    <xf numFmtId="316" fontId="9" fillId="0" borderId="0" applyFill="0" applyBorder="0" applyAlignment="0"/>
    <xf numFmtId="3" fontId="150" fillId="0" borderId="0" applyFont="0" applyFill="0" applyBorder="0" applyAlignment="0" applyProtection="0"/>
    <xf numFmtId="202" fontId="74" fillId="0" borderId="92">
      <protection locked="0"/>
    </xf>
    <xf numFmtId="0" fontId="38" fillId="0" borderId="0"/>
    <xf numFmtId="240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70" fillId="0" borderId="49">
      <alignment vertical="center" wrapText="1"/>
    </xf>
    <xf numFmtId="0" fontId="70" fillId="0" borderId="0" applyFont="0" applyFill="0" applyBorder="0" applyAlignment="0" applyProtection="0"/>
    <xf numFmtId="201" fontId="70" fillId="0" borderId="0" applyFont="0" applyFill="0" applyBorder="0" applyAlignment="0" applyProtection="0"/>
    <xf numFmtId="322" fontId="9" fillId="0" borderId="0" applyFont="0" applyFill="0" applyBorder="0" applyAlignment="0" applyProtection="0"/>
    <xf numFmtId="203" fontId="46" fillId="0" borderId="0">
      <alignment vertical="center"/>
    </xf>
    <xf numFmtId="0" fontId="10" fillId="0" borderId="49">
      <alignment horizontal="center" vertical="center"/>
    </xf>
    <xf numFmtId="189" fontId="9" fillId="0" borderId="0">
      <protection locked="0"/>
    </xf>
    <xf numFmtId="41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316" fontId="9" fillId="0" borderId="0" applyFill="0" applyBorder="0" applyAlignment="0"/>
    <xf numFmtId="0" fontId="9" fillId="0" borderId="0"/>
    <xf numFmtId="308" fontId="46" fillId="0" borderId="0">
      <protection locked="0"/>
    </xf>
    <xf numFmtId="41" fontId="9" fillId="0" borderId="0" applyFont="0" applyFill="0" applyBorder="0" applyAlignment="0" applyProtection="0"/>
    <xf numFmtId="0" fontId="9" fillId="0" borderId="0"/>
    <xf numFmtId="203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315" fontId="130" fillId="0" borderId="0">
      <alignment vertical="center"/>
    </xf>
    <xf numFmtId="9" fontId="9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0" fontId="70" fillId="0" borderId="0" applyFont="0" applyFill="0" applyBorder="0" applyAlignment="0" applyProtection="0"/>
    <xf numFmtId="320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202" fontId="74" fillId="0" borderId="92">
      <protection locked="0"/>
    </xf>
    <xf numFmtId="307" fontId="46" fillId="0" borderId="0">
      <protection locked="0"/>
    </xf>
    <xf numFmtId="316" fontId="9" fillId="0" borderId="0" applyFill="0" applyBorder="0" applyAlignment="0"/>
    <xf numFmtId="320" fontId="9" fillId="0" borderId="0" applyFill="0" applyBorder="0" applyAlignment="0"/>
    <xf numFmtId="41" fontId="9" fillId="0" borderId="0" applyFont="0" applyFill="0" applyBorder="0" applyAlignment="0" applyProtection="0"/>
    <xf numFmtId="0" fontId="169" fillId="0" borderId="0">
      <alignment vertical="center"/>
    </xf>
    <xf numFmtId="0" fontId="71" fillId="0" borderId="0"/>
    <xf numFmtId="41" fontId="9" fillId="0" borderId="0" applyFont="0" applyFill="0" applyBorder="0" applyAlignment="0" applyProtection="0"/>
    <xf numFmtId="0" fontId="9" fillId="0" borderId="0">
      <alignment vertical="center"/>
    </xf>
    <xf numFmtId="202" fontId="74" fillId="0" borderId="92">
      <protection locked="0"/>
    </xf>
    <xf numFmtId="0" fontId="169" fillId="0" borderId="0">
      <alignment vertical="center"/>
    </xf>
    <xf numFmtId="324" fontId="9" fillId="0" borderId="0" applyFill="0" applyBorder="0" applyAlignment="0"/>
    <xf numFmtId="325" fontId="9" fillId="0" borderId="0" applyFill="0" applyBorder="0" applyAlignment="0"/>
    <xf numFmtId="323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9" fillId="0" borderId="0"/>
    <xf numFmtId="41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0" fontId="9" fillId="0" borderId="0"/>
    <xf numFmtId="189" fontId="9" fillId="0" borderId="0">
      <protection locked="0"/>
    </xf>
    <xf numFmtId="0" fontId="66" fillId="0" borderId="0">
      <alignment vertical="center"/>
    </xf>
    <xf numFmtId="189" fontId="9" fillId="0" borderId="0">
      <protection locked="0"/>
    </xf>
    <xf numFmtId="0" fontId="9" fillId="0" borderId="0"/>
    <xf numFmtId="320" fontId="9" fillId="0" borderId="0" applyFill="0" applyBorder="0" applyAlignment="0"/>
    <xf numFmtId="316" fontId="9" fillId="0" borderId="0" applyFill="0" applyBorder="0" applyAlignment="0"/>
    <xf numFmtId="0" fontId="67" fillId="0" borderId="0"/>
    <xf numFmtId="309" fontId="68" fillId="0" borderId="0" applyFont="0" applyFill="0" applyBorder="0" applyAlignment="0" applyProtection="0"/>
    <xf numFmtId="0" fontId="169" fillId="0" borderId="0">
      <alignment vertical="center"/>
    </xf>
    <xf numFmtId="0" fontId="208" fillId="0" borderId="0" applyNumberFormat="0" applyFill="0" applyBorder="0" applyAlignment="0" applyProtection="0"/>
    <xf numFmtId="0" fontId="169" fillId="0" borderId="0">
      <alignment vertical="center"/>
    </xf>
    <xf numFmtId="41" fontId="9" fillId="0" borderId="0" applyFont="0" applyFill="0" applyBorder="0" applyAlignment="0" applyProtection="0"/>
    <xf numFmtId="320" fontId="9" fillId="0" borderId="0" applyFill="0" applyBorder="0" applyAlignment="0"/>
    <xf numFmtId="201" fontId="9" fillId="0" borderId="0" applyFont="0" applyFill="0" applyBorder="0" applyAlignment="0" applyProtection="0"/>
    <xf numFmtId="319" fontId="9" fillId="0" borderId="0" applyFill="0" applyBorder="0" applyAlignment="0"/>
    <xf numFmtId="0" fontId="70" fillId="0" borderId="6">
      <alignment horizontal="distributed"/>
    </xf>
    <xf numFmtId="0" fontId="71" fillId="0" borderId="0"/>
    <xf numFmtId="320" fontId="9" fillId="0" borderId="0" applyFill="0" applyBorder="0" applyAlignment="0"/>
    <xf numFmtId="3" fontId="70" fillId="0" borderId="0">
      <alignment vertical="center"/>
    </xf>
    <xf numFmtId="0" fontId="9" fillId="0" borderId="1" applyNumberFormat="0" applyFill="0" applyProtection="0">
      <alignment vertical="center"/>
    </xf>
    <xf numFmtId="0" fontId="70" fillId="0" borderId="0"/>
    <xf numFmtId="325" fontId="9" fillId="0" borderId="0" applyFill="0" applyBorder="0" applyAlignment="0"/>
    <xf numFmtId="0" fontId="9" fillId="0" borderId="0">
      <alignment vertical="center"/>
    </xf>
    <xf numFmtId="316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74" fillId="0" borderId="0">
      <protection locked="0"/>
    </xf>
    <xf numFmtId="0" fontId="9" fillId="0" borderId="0"/>
    <xf numFmtId="189" fontId="9" fillId="0" borderId="0">
      <protection locked="0"/>
    </xf>
    <xf numFmtId="0" fontId="9" fillId="0" borderId="0"/>
    <xf numFmtId="41" fontId="9" fillId="0" borderId="0" applyFont="0" applyFill="0" applyBorder="0" applyAlignment="0" applyProtection="0">
      <alignment vertical="center"/>
    </xf>
    <xf numFmtId="321" fontId="9" fillId="0" borderId="0" applyFill="0" applyBorder="0" applyAlignment="0"/>
    <xf numFmtId="203" fontId="9" fillId="0" borderId="0" applyFont="0" applyFill="0" applyBorder="0" applyAlignment="0" applyProtection="0"/>
    <xf numFmtId="315" fontId="130" fillId="0" borderId="0">
      <alignment vertical="center"/>
    </xf>
    <xf numFmtId="0" fontId="46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45" fillId="0" borderId="0"/>
    <xf numFmtId="242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317" fontId="9" fillId="0" borderId="0" applyFill="0" applyBorder="0" applyAlignment="0"/>
    <xf numFmtId="318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0" fontId="67" fillId="0" borderId="0"/>
    <xf numFmtId="0" fontId="70" fillId="0" borderId="0" applyFont="0" applyFill="0" applyBorder="0" applyAlignment="0" applyProtection="0"/>
    <xf numFmtId="190" fontId="31" fillId="0" borderId="0"/>
    <xf numFmtId="0" fontId="46" fillId="0" borderId="0" applyFont="0" applyFill="0" applyBorder="0" applyAlignment="0" applyProtection="0"/>
    <xf numFmtId="0" fontId="38" fillId="0" borderId="0"/>
    <xf numFmtId="320" fontId="9" fillId="0" borderId="0" applyFont="0" applyFill="0" applyBorder="0" applyAlignment="0" applyProtection="0"/>
    <xf numFmtId="313" fontId="9" fillId="0" borderId="0"/>
    <xf numFmtId="201" fontId="69" fillId="0" borderId="0" applyFont="0" applyFill="0" applyBorder="0" applyAlignment="0" applyProtection="0"/>
    <xf numFmtId="299" fontId="54" fillId="0" borderId="0">
      <alignment horizontal="center"/>
    </xf>
    <xf numFmtId="3" fontId="150" fillId="0" borderId="0" applyFont="0" applyFill="0" applyBorder="0" applyAlignment="0" applyProtection="0"/>
    <xf numFmtId="316" fontId="9" fillId="0" borderId="0" applyFill="0" applyBorder="0" applyAlignment="0"/>
    <xf numFmtId="319" fontId="9" fillId="0" borderId="0" applyFill="0" applyBorder="0" applyAlignment="0"/>
    <xf numFmtId="240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70" fillId="0" borderId="49">
      <alignment vertical="center" wrapText="1"/>
    </xf>
    <xf numFmtId="319" fontId="9" fillId="0" borderId="0" applyFill="0" applyBorder="0" applyAlignment="0"/>
    <xf numFmtId="0" fontId="70" fillId="0" borderId="0" applyFont="0" applyFill="0" applyBorder="0" applyAlignment="0" applyProtection="0"/>
    <xf numFmtId="201" fontId="70" fillId="0" borderId="0" applyFont="0" applyFill="0" applyBorder="0" applyAlignment="0" applyProtection="0"/>
    <xf numFmtId="322" fontId="9" fillId="0" borderId="0" applyFont="0" applyFill="0" applyBorder="0" applyAlignment="0" applyProtection="0"/>
    <xf numFmtId="0" fontId="9" fillId="0" borderId="0"/>
    <xf numFmtId="0" fontId="68" fillId="0" borderId="88"/>
    <xf numFmtId="201" fontId="9" fillId="0" borderId="0" applyFont="0" applyFill="0" applyBorder="0" applyAlignment="0" applyProtection="0"/>
    <xf numFmtId="321" fontId="9" fillId="0" borderId="0" applyFill="0" applyBorder="0" applyAlignment="0"/>
    <xf numFmtId="203" fontId="9" fillId="0" borderId="0" applyFont="0" applyFill="0" applyBorder="0" applyAlignment="0" applyProtection="0"/>
    <xf numFmtId="189" fontId="9" fillId="0" borderId="0">
      <protection locked="0"/>
    </xf>
    <xf numFmtId="0" fontId="70" fillId="0" borderId="0"/>
    <xf numFmtId="41" fontId="66" fillId="0" borderId="0" applyFont="0" applyFill="0" applyBorder="0" applyAlignment="0" applyProtection="0">
      <alignment vertical="center"/>
    </xf>
    <xf numFmtId="0" fontId="9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311" fontId="46" fillId="0" borderId="0">
      <protection locked="0"/>
    </xf>
    <xf numFmtId="323" fontId="9" fillId="0" borderId="0" applyFont="0" applyFill="0" applyBorder="0" applyAlignment="0" applyProtection="0"/>
    <xf numFmtId="316" fontId="9" fillId="0" borderId="0" applyFill="0" applyBorder="0" applyAlignment="0"/>
    <xf numFmtId="203" fontId="46" fillId="0" borderId="0">
      <alignment vertical="center"/>
    </xf>
    <xf numFmtId="0" fontId="10" fillId="0" borderId="49">
      <alignment horizontal="center" vertical="center"/>
    </xf>
    <xf numFmtId="189" fontId="9" fillId="0" borderId="0">
      <protection locked="0"/>
    </xf>
    <xf numFmtId="0" fontId="70" fillId="0" borderId="49">
      <alignment vertical="center" wrapText="1"/>
    </xf>
    <xf numFmtId="238" fontId="10" fillId="0" borderId="0" applyFont="0" applyFill="0" applyBorder="0" applyAlignment="0" applyProtection="0"/>
    <xf numFmtId="3" fontId="70" fillId="0" borderId="0">
      <alignment vertical="center"/>
    </xf>
    <xf numFmtId="0" fontId="70" fillId="0" borderId="0" applyFont="0" applyFill="0" applyBorder="0" applyAlignment="0" applyProtection="0"/>
    <xf numFmtId="202" fontId="74" fillId="0" borderId="92">
      <protection locked="0"/>
    </xf>
    <xf numFmtId="189" fontId="9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/>
    <xf numFmtId="0" fontId="46" fillId="0" borderId="0"/>
    <xf numFmtId="203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315" fontId="130" fillId="0" borderId="0">
      <alignment vertical="center"/>
    </xf>
    <xf numFmtId="9" fontId="9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0" fontId="70" fillId="0" borderId="0" applyFont="0" applyFill="0" applyBorder="0" applyAlignment="0" applyProtection="0"/>
    <xf numFmtId="0" fontId="74" fillId="0" borderId="0">
      <protection locked="0"/>
    </xf>
    <xf numFmtId="320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26" fontId="9" fillId="0" borderId="0" applyFill="0" applyBorder="0" applyAlignment="0"/>
    <xf numFmtId="307" fontId="46" fillId="0" borderId="0">
      <protection locked="0"/>
    </xf>
    <xf numFmtId="316" fontId="9" fillId="0" borderId="0" applyFill="0" applyBorder="0" applyAlignment="0"/>
    <xf numFmtId="320" fontId="9" fillId="0" borderId="0" applyFill="0" applyBorder="0" applyAlignment="0"/>
    <xf numFmtId="320" fontId="9" fillId="0" borderId="0" applyFill="0" applyBorder="0" applyAlignment="0"/>
    <xf numFmtId="0" fontId="169" fillId="0" borderId="0">
      <alignment vertical="center"/>
    </xf>
    <xf numFmtId="0" fontId="71" fillId="0" borderId="0"/>
    <xf numFmtId="0" fontId="9" fillId="0" borderId="0"/>
    <xf numFmtId="315" fontId="130" fillId="0" borderId="0">
      <alignment vertical="center"/>
    </xf>
    <xf numFmtId="0" fontId="9" fillId="0" borderId="0"/>
    <xf numFmtId="311" fontId="46" fillId="0" borderId="0">
      <protection locked="0"/>
    </xf>
    <xf numFmtId="319" fontId="9" fillId="0" borderId="0" applyFill="0" applyBorder="0" applyAlignment="0"/>
    <xf numFmtId="0" fontId="169" fillId="0" borderId="0">
      <alignment vertical="center"/>
    </xf>
    <xf numFmtId="316" fontId="9" fillId="0" borderId="0" applyFill="0" applyBorder="0" applyAlignment="0"/>
    <xf numFmtId="0" fontId="70" fillId="0" borderId="6">
      <alignment horizontal="distributed"/>
    </xf>
    <xf numFmtId="41" fontId="6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321" fontId="9" fillId="0" borderId="0" applyFill="0" applyBorder="0" applyAlignment="0"/>
    <xf numFmtId="315" fontId="130" fillId="0" borderId="0">
      <alignment vertical="center"/>
    </xf>
    <xf numFmtId="0" fontId="9" fillId="0" borderId="0"/>
    <xf numFmtId="201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320" fontId="9" fillId="0" borderId="0" applyFill="0" applyBorder="0" applyAlignment="0"/>
    <xf numFmtId="0" fontId="9" fillId="0" borderId="0"/>
    <xf numFmtId="325" fontId="9" fillId="0" borderId="0" applyFill="0" applyBorder="0" applyAlignment="0"/>
    <xf numFmtId="0" fontId="70" fillId="0" borderId="0" applyFont="0" applyFill="0" applyBorder="0" applyAlignment="0" applyProtection="0"/>
    <xf numFmtId="308" fontId="46" fillId="0" borderId="0">
      <protection locked="0"/>
    </xf>
    <xf numFmtId="316" fontId="9" fillId="0" borderId="0" applyFill="0" applyBorder="0" applyAlignment="0"/>
    <xf numFmtId="20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9" fontId="9" fillId="0" borderId="0" applyFont="0" applyFill="0" applyBorder="0" applyAlignment="0" applyProtection="0"/>
    <xf numFmtId="0" fontId="46" fillId="0" borderId="0"/>
    <xf numFmtId="319" fontId="9" fillId="0" borderId="0" applyFill="0" applyBorder="0" applyAlignment="0"/>
    <xf numFmtId="323" fontId="9" fillId="0" borderId="0" applyFont="0" applyFill="0" applyBorder="0" applyAlignment="0" applyProtection="0"/>
    <xf numFmtId="320" fontId="9" fillId="0" borderId="0" applyFill="0" applyBorder="0" applyAlignment="0"/>
    <xf numFmtId="201" fontId="38" fillId="0" borderId="0" applyFont="0" applyFill="0" applyBorder="0" applyAlignment="0" applyProtection="0"/>
    <xf numFmtId="0" fontId="66" fillId="0" borderId="0">
      <alignment vertical="center"/>
    </xf>
    <xf numFmtId="316" fontId="9" fillId="0" borderId="0" applyFill="0" applyBorder="0" applyAlignment="0"/>
    <xf numFmtId="0" fontId="70" fillId="0" borderId="0"/>
    <xf numFmtId="0" fontId="9" fillId="0" borderId="0">
      <alignment vertical="center"/>
    </xf>
    <xf numFmtId="0" fontId="9" fillId="0" borderId="0"/>
    <xf numFmtId="319" fontId="9" fillId="0" borderId="0" applyFill="0" applyBorder="0" applyAlignment="0"/>
    <xf numFmtId="41" fontId="9" fillId="0" borderId="0" applyFont="0" applyFill="0" applyBorder="0" applyAlignment="0" applyProtection="0"/>
    <xf numFmtId="0" fontId="46" fillId="0" borderId="0"/>
    <xf numFmtId="238" fontId="10" fillId="0" borderId="0" applyFont="0" applyFill="0" applyBorder="0" applyAlignment="0" applyProtection="0"/>
    <xf numFmtId="0" fontId="9" fillId="0" borderId="0"/>
    <xf numFmtId="237" fontId="70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20" fontId="9" fillId="0" borderId="0" applyFill="0" applyBorder="0" applyAlignment="0"/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9" fillId="0" borderId="0"/>
    <xf numFmtId="41" fontId="66" fillId="0" borderId="0" applyFont="0" applyFill="0" applyBorder="0" applyAlignment="0" applyProtection="0">
      <alignment vertical="center"/>
    </xf>
    <xf numFmtId="189" fontId="9" fillId="0" borderId="0">
      <protection locked="0"/>
    </xf>
    <xf numFmtId="203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321" fontId="9" fillId="0" borderId="0" applyFill="0" applyBorder="0" applyAlignment="0"/>
    <xf numFmtId="201" fontId="9" fillId="0" borderId="0" applyFont="0" applyFill="0" applyBorder="0" applyAlignment="0" applyProtection="0"/>
    <xf numFmtId="311" fontId="46" fillId="0" borderId="0">
      <protection locked="0"/>
    </xf>
    <xf numFmtId="0" fontId="9" fillId="0" borderId="0"/>
    <xf numFmtId="0" fontId="169" fillId="0" borderId="0">
      <alignment vertical="center"/>
    </xf>
    <xf numFmtId="0" fontId="66" fillId="0" borderId="0">
      <alignment vertical="center"/>
    </xf>
    <xf numFmtId="0" fontId="9" fillId="0" borderId="0"/>
    <xf numFmtId="0" fontId="70" fillId="0" borderId="0"/>
    <xf numFmtId="311" fontId="46" fillId="0" borderId="0">
      <protection locked="0"/>
    </xf>
    <xf numFmtId="0" fontId="169" fillId="0" borderId="0">
      <alignment vertical="center"/>
    </xf>
    <xf numFmtId="312" fontId="46" fillId="0" borderId="0">
      <protection locked="0"/>
    </xf>
    <xf numFmtId="319" fontId="9" fillId="0" borderId="0" applyFont="0" applyFill="0" applyBorder="0" applyAlignment="0" applyProtection="0"/>
    <xf numFmtId="0" fontId="66" fillId="0" borderId="0">
      <alignment vertical="center"/>
    </xf>
    <xf numFmtId="189" fontId="9" fillId="0" borderId="0">
      <protection locked="0"/>
    </xf>
    <xf numFmtId="0" fontId="169" fillId="0" borderId="0">
      <alignment vertical="center"/>
    </xf>
    <xf numFmtId="41" fontId="9" fillId="0" borderId="0" applyFont="0" applyFill="0" applyBorder="0" applyAlignment="0" applyProtection="0"/>
    <xf numFmtId="0" fontId="70" fillId="0" borderId="49">
      <alignment vertical="center" wrapText="1"/>
    </xf>
    <xf numFmtId="316" fontId="9" fillId="0" borderId="0" applyFill="0" applyBorder="0" applyAlignment="0"/>
    <xf numFmtId="325" fontId="9" fillId="0" borderId="0" applyFill="0" applyBorder="0" applyAlignment="0"/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316" fontId="9" fillId="0" borderId="0" applyFill="0" applyBorder="0" applyAlignment="0"/>
    <xf numFmtId="41" fontId="9" fillId="0" borderId="0" applyFont="0" applyFill="0" applyBorder="0" applyAlignment="0" applyProtection="0"/>
    <xf numFmtId="0" fontId="70" fillId="0" borderId="6">
      <alignment horizontal="distributed"/>
    </xf>
    <xf numFmtId="0" fontId="9" fillId="0" borderId="0"/>
    <xf numFmtId="312" fontId="46" fillId="0" borderId="0">
      <protection locked="0"/>
    </xf>
    <xf numFmtId="0" fontId="70" fillId="0" borderId="6">
      <alignment horizontal="distributed"/>
    </xf>
    <xf numFmtId="0" fontId="9" fillId="0" borderId="0"/>
    <xf numFmtId="0" fontId="70" fillId="0" borderId="0"/>
    <xf numFmtId="316" fontId="9" fillId="0" borderId="0" applyFill="0" applyBorder="0" applyAlignment="0"/>
    <xf numFmtId="0" fontId="10" fillId="0" borderId="49">
      <alignment horizontal="center" vertical="center"/>
    </xf>
    <xf numFmtId="323" fontId="9" fillId="0" borderId="0" applyFont="0" applyFill="0" applyBorder="0" applyAlignment="0" applyProtection="0"/>
    <xf numFmtId="316" fontId="9" fillId="0" borderId="0" applyFill="0" applyBorder="0" applyAlignment="0"/>
    <xf numFmtId="189" fontId="9" fillId="0" borderId="0">
      <protection locked="0"/>
    </xf>
    <xf numFmtId="0" fontId="71" fillId="0" borderId="0"/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325" fontId="9" fillId="0" borderId="0" applyFill="0" applyBorder="0" applyAlignment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70" fillId="0" borderId="6">
      <alignment horizontal="distributed"/>
    </xf>
    <xf numFmtId="319" fontId="9" fillId="0" borderId="0" applyFill="0" applyBorder="0" applyAlignment="0"/>
    <xf numFmtId="237" fontId="70" fillId="0" borderId="0" applyFont="0" applyFill="0" applyBorder="0" applyAlignment="0" applyProtection="0"/>
    <xf numFmtId="320" fontId="9" fillId="0" borderId="0" applyFill="0" applyBorder="0" applyAlignment="0"/>
    <xf numFmtId="0" fontId="9" fillId="0" borderId="0"/>
    <xf numFmtId="0" fontId="70" fillId="0" borderId="1">
      <alignment horizontal="distributed" vertical="center"/>
    </xf>
    <xf numFmtId="237" fontId="70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169" fillId="0" borderId="0">
      <alignment vertical="center"/>
    </xf>
    <xf numFmtId="309" fontId="68" fillId="0" borderId="0" applyFont="0" applyFill="0" applyBorder="0" applyAlignment="0" applyProtection="0"/>
    <xf numFmtId="3" fontId="70" fillId="0" borderId="0">
      <alignment vertical="center"/>
    </xf>
    <xf numFmtId="0" fontId="169" fillId="0" borderId="0">
      <alignment vertical="center"/>
    </xf>
    <xf numFmtId="325" fontId="9" fillId="0" borderId="0" applyFill="0" applyBorder="0" applyAlignment="0"/>
    <xf numFmtId="311" fontId="46" fillId="0" borderId="0">
      <protection locked="0"/>
    </xf>
    <xf numFmtId="41" fontId="9" fillId="0" borderId="0" applyFont="0" applyFill="0" applyBorder="0" applyAlignment="0" applyProtection="0"/>
    <xf numFmtId="308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46" fillId="0" borderId="0"/>
    <xf numFmtId="309" fontId="68" fillId="0" borderId="0" applyFont="0" applyFill="0" applyBorder="0" applyAlignment="0" applyProtection="0"/>
    <xf numFmtId="0" fontId="67" fillId="0" borderId="0"/>
    <xf numFmtId="0" fontId="9" fillId="0" borderId="0"/>
    <xf numFmtId="316" fontId="9" fillId="0" borderId="0" applyFill="0" applyBorder="0" applyAlignment="0"/>
    <xf numFmtId="308" fontId="46" fillId="0" borderId="0">
      <protection locked="0"/>
    </xf>
    <xf numFmtId="321" fontId="9" fillId="0" borderId="0" applyFill="0" applyBorder="0" applyAlignment="0"/>
    <xf numFmtId="0" fontId="9" fillId="0" borderId="0"/>
    <xf numFmtId="189" fontId="9" fillId="0" borderId="0">
      <protection locked="0"/>
    </xf>
    <xf numFmtId="0" fontId="66" fillId="0" borderId="0">
      <alignment vertical="center"/>
    </xf>
    <xf numFmtId="189" fontId="9" fillId="0" borderId="0">
      <protection locked="0"/>
    </xf>
    <xf numFmtId="311" fontId="46" fillId="0" borderId="0">
      <protection locked="0"/>
    </xf>
    <xf numFmtId="0" fontId="9" fillId="0" borderId="0"/>
    <xf numFmtId="319" fontId="9" fillId="0" borderId="0" applyFont="0" applyFill="0" applyBorder="0" applyAlignment="0" applyProtection="0"/>
    <xf numFmtId="0" fontId="9" fillId="0" borderId="0">
      <alignment vertical="center"/>
    </xf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15" fontId="130" fillId="0" borderId="0">
      <alignment vertical="center"/>
    </xf>
    <xf numFmtId="189" fontId="9" fillId="0" borderId="0">
      <protection locked="0"/>
    </xf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312" fontId="46" fillId="0" borderId="0">
      <protection locked="0"/>
    </xf>
    <xf numFmtId="41" fontId="66" fillId="0" borderId="0" applyFont="0" applyFill="0" applyBorder="0" applyAlignment="0" applyProtection="0">
      <alignment vertical="center"/>
    </xf>
    <xf numFmtId="323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202" fontId="74" fillId="0" borderId="92">
      <protection locked="0"/>
    </xf>
    <xf numFmtId="316" fontId="9" fillId="0" borderId="0" applyFill="0" applyBorder="0" applyAlignment="0"/>
    <xf numFmtId="0" fontId="169" fillId="0" borderId="0">
      <alignment vertical="center"/>
    </xf>
    <xf numFmtId="312" fontId="46" fillId="0" borderId="0">
      <protection locked="0"/>
    </xf>
    <xf numFmtId="0" fontId="9" fillId="0" borderId="1" applyNumberFormat="0" applyFill="0" applyProtection="0">
      <alignment vertical="center"/>
    </xf>
    <xf numFmtId="0" fontId="9" fillId="0" borderId="0">
      <alignment vertical="center"/>
    </xf>
    <xf numFmtId="0" fontId="9" fillId="0" borderId="0"/>
    <xf numFmtId="41" fontId="9" fillId="0" borderId="0" applyFont="0" applyFill="0" applyBorder="0" applyAlignment="0" applyProtection="0"/>
    <xf numFmtId="0" fontId="9" fillId="0" borderId="0"/>
    <xf numFmtId="237" fontId="70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203" fontId="9" fillId="0" borderId="0" applyFont="0" applyFill="0" applyBorder="0" applyAlignment="0" applyProtection="0"/>
    <xf numFmtId="316" fontId="9" fillId="0" borderId="0" applyFill="0" applyBorder="0" applyAlignment="0"/>
    <xf numFmtId="189" fontId="9" fillId="0" borderId="0">
      <protection locked="0"/>
    </xf>
    <xf numFmtId="202" fontId="74" fillId="0" borderId="92">
      <protection locked="0"/>
    </xf>
    <xf numFmtId="308" fontId="46" fillId="0" borderId="0">
      <protection locked="0"/>
    </xf>
    <xf numFmtId="201" fontId="9" fillId="0" borderId="0" applyFont="0" applyFill="0" applyBorder="0" applyAlignment="0" applyProtection="0"/>
    <xf numFmtId="3" fontId="70" fillId="0" borderId="0">
      <alignment vertical="center"/>
    </xf>
    <xf numFmtId="201" fontId="38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189" fontId="9" fillId="0" borderId="0">
      <protection locked="0"/>
    </xf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9" fillId="0" borderId="0">
      <alignment vertical="center"/>
    </xf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234" fontId="70" fillId="0" borderId="0"/>
    <xf numFmtId="320" fontId="9" fillId="0" borderId="0" applyFill="0" applyBorder="0" applyAlignment="0"/>
    <xf numFmtId="190" fontId="31" fillId="0" borderId="0"/>
    <xf numFmtId="316" fontId="9" fillId="0" borderId="0" applyFill="0" applyBorder="0" applyAlignment="0"/>
    <xf numFmtId="299" fontId="54" fillId="0" borderId="0">
      <alignment horizontal="center"/>
    </xf>
    <xf numFmtId="202" fontId="74" fillId="0" borderId="92">
      <protection locked="0"/>
    </xf>
    <xf numFmtId="320" fontId="9" fillId="0" borderId="0" applyFill="0" applyBorder="0" applyAlignment="0"/>
    <xf numFmtId="316" fontId="9" fillId="0" borderId="0" applyFill="0" applyBorder="0" applyAlignment="0"/>
    <xf numFmtId="0" fontId="70" fillId="0" borderId="0"/>
    <xf numFmtId="325" fontId="9" fillId="0" borderId="0" applyFill="0" applyBorder="0" applyAlignment="0"/>
    <xf numFmtId="0" fontId="9" fillId="0" borderId="0">
      <alignment vertical="center"/>
    </xf>
    <xf numFmtId="312" fontId="46" fillId="0" borderId="0">
      <protection locked="0"/>
    </xf>
    <xf numFmtId="320" fontId="9" fillId="0" borderId="0" applyFill="0" applyBorder="0" applyAlignment="0"/>
    <xf numFmtId="314" fontId="74" fillId="0" borderId="0">
      <protection locked="0"/>
    </xf>
    <xf numFmtId="0" fontId="9" fillId="0" borderId="0"/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323" fontId="9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3" fontId="70" fillId="0" borderId="0">
      <alignment vertical="center"/>
    </xf>
    <xf numFmtId="0" fontId="9" fillId="0" borderId="1" applyNumberFormat="0" applyFill="0" applyProtection="0">
      <alignment vertical="center"/>
    </xf>
    <xf numFmtId="314" fontId="74" fillId="0" borderId="0">
      <protection locked="0"/>
    </xf>
    <xf numFmtId="242" fontId="10" fillId="0" borderId="0" applyFont="0" applyFill="0" applyBorder="0" applyAlignment="0" applyProtection="0"/>
    <xf numFmtId="314" fontId="74" fillId="0" borderId="0">
      <protection locked="0"/>
    </xf>
    <xf numFmtId="0" fontId="70" fillId="0" borderId="49">
      <alignment vertical="center" wrapText="1"/>
    </xf>
    <xf numFmtId="324" fontId="9" fillId="0" borderId="0" applyFill="0" applyBorder="0" applyAlignment="0"/>
    <xf numFmtId="0" fontId="169" fillId="0" borderId="0">
      <alignment vertical="center"/>
    </xf>
    <xf numFmtId="324" fontId="9" fillId="0" borderId="0" applyFill="0" applyBorder="0" applyAlignment="0"/>
    <xf numFmtId="319" fontId="9" fillId="0" borderId="0" applyFill="0" applyBorder="0" applyAlignment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46" fillId="0" borderId="0"/>
    <xf numFmtId="320" fontId="9" fillId="0" borderId="0" applyFill="0" applyBorder="0" applyAlignment="0"/>
    <xf numFmtId="0" fontId="70" fillId="0" borderId="49">
      <alignment vertical="center" wrapText="1"/>
    </xf>
    <xf numFmtId="189" fontId="9" fillId="0" borderId="0">
      <protection locked="0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25" fontId="9" fillId="0" borderId="0" applyFill="0" applyBorder="0" applyAlignment="0"/>
    <xf numFmtId="4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316" fontId="9" fillId="0" borderId="0" applyFill="0" applyBorder="0" applyAlignment="0"/>
    <xf numFmtId="238" fontId="10" fillId="0" borderId="0" applyFont="0" applyFill="0" applyBorder="0" applyAlignment="0" applyProtection="0"/>
    <xf numFmtId="189" fontId="9" fillId="0" borderId="0">
      <protection locked="0"/>
    </xf>
    <xf numFmtId="0" fontId="66" fillId="0" borderId="0">
      <alignment vertical="center"/>
    </xf>
    <xf numFmtId="319" fontId="9" fillId="0" borderId="0" applyFont="0" applyFill="0" applyBorder="0" applyAlignment="0" applyProtection="0"/>
    <xf numFmtId="0" fontId="46" fillId="0" borderId="0"/>
    <xf numFmtId="312" fontId="46" fillId="0" borderId="0">
      <protection locked="0"/>
    </xf>
    <xf numFmtId="41" fontId="9" fillId="0" borderId="0" applyFont="0" applyFill="0" applyBorder="0" applyAlignment="0" applyProtection="0"/>
    <xf numFmtId="311" fontId="46" fillId="0" borderId="0">
      <protection locked="0"/>
    </xf>
    <xf numFmtId="41" fontId="66" fillId="0" borderId="0" applyFont="0" applyFill="0" applyBorder="0" applyAlignment="0" applyProtection="0">
      <alignment vertical="center"/>
    </xf>
    <xf numFmtId="312" fontId="46" fillId="0" borderId="0">
      <protection locked="0"/>
    </xf>
    <xf numFmtId="41" fontId="9" fillId="0" borderId="0" applyFont="0" applyFill="0" applyBorder="0" applyAlignment="0" applyProtection="0"/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323" fontId="9" fillId="0" borderId="0" applyFont="0" applyFill="0" applyBorder="0" applyAlignment="0" applyProtection="0"/>
    <xf numFmtId="0" fontId="70" fillId="0" borderId="1">
      <alignment horizontal="distributed" vertical="center"/>
    </xf>
    <xf numFmtId="320" fontId="9" fillId="0" borderId="0" applyFill="0" applyBorder="0" applyAlignment="0"/>
    <xf numFmtId="189" fontId="9" fillId="0" borderId="0">
      <protection locked="0"/>
    </xf>
    <xf numFmtId="0" fontId="70" fillId="0" borderId="6">
      <alignment horizontal="distributed"/>
    </xf>
    <xf numFmtId="0" fontId="9" fillId="0" borderId="0">
      <alignment vertical="center"/>
    </xf>
    <xf numFmtId="0" fontId="9" fillId="0" borderId="0"/>
    <xf numFmtId="0" fontId="66" fillId="0" borderId="0">
      <alignment vertical="center"/>
    </xf>
    <xf numFmtId="0" fontId="169" fillId="0" borderId="0">
      <alignment vertical="center"/>
    </xf>
    <xf numFmtId="0" fontId="9" fillId="0" borderId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66" fillId="0" borderId="0">
      <alignment vertical="center"/>
    </xf>
    <xf numFmtId="309" fontId="68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68" fillId="0" borderId="88"/>
    <xf numFmtId="0" fontId="70" fillId="0" borderId="0"/>
    <xf numFmtId="41" fontId="66" fillId="0" borderId="0" applyFont="0" applyFill="0" applyBorder="0" applyAlignment="0" applyProtection="0">
      <alignment vertical="center"/>
    </xf>
    <xf numFmtId="0" fontId="9" fillId="0" borderId="0"/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319" fontId="9" fillId="0" borderId="0" applyFont="0" applyFill="0" applyBorder="0" applyAlignment="0" applyProtection="0"/>
    <xf numFmtId="189" fontId="9" fillId="0" borderId="0">
      <protection locked="0"/>
    </xf>
    <xf numFmtId="320" fontId="9" fillId="0" borderId="0" applyFill="0" applyBorder="0" applyAlignment="0"/>
    <xf numFmtId="0" fontId="31" fillId="10" borderId="0" applyFill="0" applyBorder="0" applyProtection="0">
      <alignment horizontal="right"/>
    </xf>
    <xf numFmtId="0" fontId="67" fillId="0" borderId="0"/>
    <xf numFmtId="315" fontId="130" fillId="0" borderId="0">
      <alignment vertical="center"/>
    </xf>
    <xf numFmtId="0" fontId="70" fillId="0" borderId="6">
      <alignment horizontal="distributed"/>
    </xf>
    <xf numFmtId="0" fontId="70" fillId="0" borderId="3">
      <alignment horizontal="distributed" vertical="top"/>
    </xf>
    <xf numFmtId="0" fontId="70" fillId="0" borderId="1">
      <alignment horizontal="distributed" vertical="center"/>
    </xf>
    <xf numFmtId="41" fontId="9" fillId="0" borderId="0" applyFont="0" applyFill="0" applyBorder="0" applyAlignment="0" applyProtection="0"/>
    <xf numFmtId="0" fontId="9" fillId="0" borderId="0"/>
    <xf numFmtId="308" fontId="46" fillId="0" borderId="0">
      <protection locked="0"/>
    </xf>
    <xf numFmtId="189" fontId="9" fillId="0" borderId="0">
      <protection locked="0"/>
    </xf>
    <xf numFmtId="321" fontId="9" fillId="0" borderId="0" applyFill="0" applyBorder="0" applyAlignment="0"/>
    <xf numFmtId="201" fontId="9" fillId="0" borderId="0" applyFont="0" applyFill="0" applyBorder="0" applyAlignment="0" applyProtection="0"/>
    <xf numFmtId="0" fontId="68" fillId="0" borderId="88"/>
    <xf numFmtId="322" fontId="9" fillId="0" borderId="0" applyFont="0" applyFill="0" applyBorder="0" applyAlignment="0" applyProtection="0"/>
    <xf numFmtId="310" fontId="46" fillId="0" borderId="0">
      <protection locked="0"/>
    </xf>
    <xf numFmtId="0" fontId="46" fillId="0" borderId="0"/>
    <xf numFmtId="0" fontId="9" fillId="0" borderId="0"/>
    <xf numFmtId="0" fontId="70" fillId="0" borderId="0"/>
    <xf numFmtId="324" fontId="9" fillId="0" borderId="0" applyFill="0" applyBorder="0" applyAlignment="0"/>
    <xf numFmtId="3" fontId="70" fillId="0" borderId="0">
      <alignment vertical="center"/>
    </xf>
    <xf numFmtId="189" fontId="9" fillId="0" borderId="0">
      <protection locked="0"/>
    </xf>
    <xf numFmtId="0" fontId="70" fillId="0" borderId="49">
      <alignment vertical="center" wrapText="1"/>
    </xf>
    <xf numFmtId="202" fontId="74" fillId="0" borderId="92">
      <protection locked="0"/>
    </xf>
    <xf numFmtId="0" fontId="208" fillId="0" borderId="0" applyNumberFormat="0" applyFill="0" applyBorder="0" applyAlignment="0" applyProtection="0"/>
    <xf numFmtId="0" fontId="70" fillId="0" borderId="49">
      <alignment vertical="center" wrapText="1"/>
    </xf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0" fontId="169" fillId="0" borderId="0">
      <alignment vertical="center"/>
    </xf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70" fillId="0" borderId="6">
      <alignment horizontal="distributed"/>
    </xf>
    <xf numFmtId="0" fontId="9" fillId="0" borderId="0">
      <alignment vertical="center"/>
    </xf>
    <xf numFmtId="0" fontId="9" fillId="0" borderId="0"/>
    <xf numFmtId="0" fontId="169" fillId="0" borderId="0">
      <alignment vertical="center"/>
    </xf>
    <xf numFmtId="316" fontId="9" fillId="0" borderId="0" applyFill="0" applyBorder="0" applyAlignment="0"/>
    <xf numFmtId="0" fontId="67" fillId="0" borderId="0"/>
    <xf numFmtId="308" fontId="46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308" fontId="46" fillId="0" borderId="0">
      <protection locked="0"/>
    </xf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325" fontId="9" fillId="0" borderId="0" applyFill="0" applyBorder="0" applyAlignment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89" fontId="9" fillId="0" borderId="0">
      <protection locked="0"/>
    </xf>
    <xf numFmtId="316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0" fontId="9" fillId="0" borderId="0"/>
    <xf numFmtId="41" fontId="66" fillId="0" borderId="0" applyFont="0" applyFill="0" applyBorder="0" applyAlignment="0" applyProtection="0">
      <alignment vertical="center"/>
    </xf>
    <xf numFmtId="0" fontId="9" fillId="0" borderId="0"/>
    <xf numFmtId="323" fontId="9" fillId="0" borderId="0" applyFont="0" applyFill="0" applyBorder="0" applyAlignment="0" applyProtection="0"/>
    <xf numFmtId="0" fontId="169" fillId="0" borderId="0">
      <alignment vertical="center"/>
    </xf>
    <xf numFmtId="309" fontId="68" fillId="0" borderId="0" applyFont="0" applyFill="0" applyBorder="0" applyAlignment="0" applyProtection="0"/>
    <xf numFmtId="3" fontId="70" fillId="0" borderId="0">
      <alignment vertical="center"/>
    </xf>
    <xf numFmtId="0" fontId="70" fillId="0" borderId="0" applyFont="0" applyFill="0" applyBorder="0" applyAlignment="0" applyProtection="0"/>
    <xf numFmtId="0" fontId="169" fillId="0" borderId="0">
      <alignment vertical="center"/>
    </xf>
    <xf numFmtId="310" fontId="46" fillId="0" borderId="0">
      <protection locked="0"/>
    </xf>
    <xf numFmtId="319" fontId="9" fillId="0" borderId="0" applyFill="0" applyBorder="0" applyAlignment="0"/>
    <xf numFmtId="41" fontId="9" fillId="0" borderId="0" applyFont="0" applyFill="0" applyBorder="0" applyAlignment="0" applyProtection="0"/>
    <xf numFmtId="308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70" fillId="0" borderId="1">
      <alignment horizontal="distributed" vertical="center"/>
    </xf>
    <xf numFmtId="309" fontId="68" fillId="0" borderId="0" applyFont="0" applyFill="0" applyBorder="0" applyAlignment="0" applyProtection="0"/>
    <xf numFmtId="0" fontId="67" fillId="0" borderId="0"/>
    <xf numFmtId="0" fontId="9" fillId="0" borderId="0">
      <alignment vertical="center"/>
    </xf>
    <xf numFmtId="316" fontId="9" fillId="0" borderId="0" applyFill="0" applyBorder="0" applyAlignment="0"/>
    <xf numFmtId="308" fontId="46" fillId="0" borderId="0">
      <protection locked="0"/>
    </xf>
    <xf numFmtId="316" fontId="9" fillId="0" borderId="0" applyFill="0" applyBorder="0" applyAlignment="0"/>
    <xf numFmtId="0" fontId="9" fillId="0" borderId="0"/>
    <xf numFmtId="189" fontId="9" fillId="0" borderId="0">
      <protection locked="0"/>
    </xf>
    <xf numFmtId="0" fontId="169" fillId="0" borderId="0">
      <alignment vertical="center"/>
    </xf>
    <xf numFmtId="189" fontId="9" fillId="0" borderId="0">
      <protection locked="0"/>
    </xf>
    <xf numFmtId="316" fontId="9" fillId="0" borderId="0" applyFill="0" applyBorder="0" applyAlignment="0"/>
    <xf numFmtId="0" fontId="9" fillId="0" borderId="0"/>
    <xf numFmtId="319" fontId="9" fillId="0" borderId="0" applyFont="0" applyFill="0" applyBorder="0" applyAlignment="0" applyProtection="0"/>
    <xf numFmtId="0" fontId="9" fillId="0" borderId="0">
      <alignment vertical="center"/>
    </xf>
    <xf numFmtId="0" fontId="9" fillId="0" borderId="0"/>
    <xf numFmtId="320" fontId="9" fillId="0" borderId="0" applyFill="0" applyBorder="0" applyAlignment="0"/>
    <xf numFmtId="315" fontId="130" fillId="0" borderId="0">
      <alignment vertical="center"/>
    </xf>
    <xf numFmtId="189" fontId="9" fillId="0" borderId="0">
      <protection locked="0"/>
    </xf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66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312" fontId="46" fillId="0" borderId="0">
      <protection locked="0"/>
    </xf>
    <xf numFmtId="41" fontId="66" fillId="0" borderId="0" applyFont="0" applyFill="0" applyBorder="0" applyAlignment="0" applyProtection="0">
      <alignment vertical="center"/>
    </xf>
    <xf numFmtId="323" fontId="9" fillId="0" borderId="0" applyFont="0" applyFill="0" applyBorder="0" applyAlignment="0" applyProtection="0"/>
    <xf numFmtId="325" fontId="9" fillId="0" borderId="0" applyFill="0" applyBorder="0" applyAlignment="0"/>
    <xf numFmtId="299" fontId="54" fillId="0" borderId="0">
      <alignment horizontal="center"/>
    </xf>
    <xf numFmtId="320" fontId="9" fillId="0" borderId="0" applyFill="0" applyBorder="0" applyAlignment="0"/>
    <xf numFmtId="0" fontId="169" fillId="0" borderId="0">
      <alignment vertical="center"/>
    </xf>
    <xf numFmtId="320" fontId="9" fillId="0" borderId="0" applyFill="0" applyBorder="0" applyAlignment="0"/>
    <xf numFmtId="0" fontId="9" fillId="0" borderId="1" applyNumberFormat="0" applyFill="0" applyProtection="0">
      <alignment vertical="center"/>
    </xf>
    <xf numFmtId="0" fontId="9" fillId="0" borderId="0">
      <alignment vertical="center"/>
    </xf>
    <xf numFmtId="0" fontId="68" fillId="0" borderId="88"/>
    <xf numFmtId="41" fontId="16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316" fontId="9" fillId="0" borderId="0" applyFill="0" applyBorder="0" applyAlignment="0"/>
    <xf numFmtId="41" fontId="169" fillId="0" borderId="0" applyFont="0" applyFill="0" applyBorder="0" applyAlignment="0" applyProtection="0">
      <alignment vertical="center"/>
    </xf>
    <xf numFmtId="203" fontId="9" fillId="0" borderId="0" applyFont="0" applyFill="0" applyBorder="0" applyAlignment="0" applyProtection="0"/>
    <xf numFmtId="316" fontId="9" fillId="0" borderId="0" applyFill="0" applyBorder="0" applyAlignment="0"/>
    <xf numFmtId="189" fontId="9" fillId="0" borderId="0">
      <protection locked="0"/>
    </xf>
    <xf numFmtId="202" fontId="74" fillId="0" borderId="92">
      <protection locked="0"/>
    </xf>
    <xf numFmtId="308" fontId="46" fillId="0" borderId="0">
      <protection locked="0"/>
    </xf>
    <xf numFmtId="201" fontId="9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201" fontId="38" fillId="0" borderId="0" applyFont="0" applyFill="0" applyBorder="0" applyAlignment="0" applyProtection="0"/>
    <xf numFmtId="203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67" fillId="0" borderId="0"/>
    <xf numFmtId="0" fontId="9" fillId="0" borderId="0"/>
    <xf numFmtId="0" fontId="9" fillId="0" borderId="0"/>
    <xf numFmtId="234" fontId="70" fillId="0" borderId="0"/>
    <xf numFmtId="316" fontId="9" fillId="0" borderId="0" applyFill="0" applyBorder="0" applyAlignment="0"/>
    <xf numFmtId="314" fontId="74" fillId="0" borderId="0">
      <protection locked="0"/>
    </xf>
    <xf numFmtId="190" fontId="31" fillId="0" borderId="0"/>
    <xf numFmtId="0" fontId="38" fillId="0" borderId="0"/>
    <xf numFmtId="299" fontId="54" fillId="0" borderId="0">
      <alignment horizontal="center"/>
    </xf>
    <xf numFmtId="316" fontId="9" fillId="0" borderId="0" applyFill="0" applyBorder="0" applyAlignment="0"/>
    <xf numFmtId="189" fontId="9" fillId="0" borderId="0">
      <protection locked="0"/>
    </xf>
    <xf numFmtId="323" fontId="9" fillId="0" borderId="0" applyFont="0" applyFill="0" applyBorder="0" applyAlignment="0" applyProtection="0"/>
    <xf numFmtId="0" fontId="70" fillId="0" borderId="6">
      <alignment horizontal="distributed"/>
    </xf>
    <xf numFmtId="321" fontId="9" fillId="0" borderId="0" applyFill="0" applyBorder="0" applyAlignment="0"/>
    <xf numFmtId="0" fontId="68" fillId="0" borderId="88"/>
    <xf numFmtId="321" fontId="9" fillId="0" borderId="0" applyFill="0" applyBorder="0" applyAlignment="0"/>
    <xf numFmtId="320" fontId="9" fillId="0" borderId="0" applyFill="0" applyBorder="0" applyAlignment="0"/>
    <xf numFmtId="189" fontId="9" fillId="0" borderId="0">
      <protection locked="0"/>
    </xf>
    <xf numFmtId="0" fontId="67" fillId="0" borderId="0"/>
    <xf numFmtId="315" fontId="130" fillId="0" borderId="0">
      <alignment vertical="center"/>
    </xf>
    <xf numFmtId="0" fontId="70" fillId="0" borderId="6">
      <alignment horizontal="distributed"/>
    </xf>
    <xf numFmtId="0" fontId="70" fillId="0" borderId="3">
      <alignment horizontal="distributed" vertical="top"/>
    </xf>
    <xf numFmtId="0" fontId="9" fillId="0" borderId="0"/>
    <xf numFmtId="41" fontId="66" fillId="0" borderId="0" applyFont="0" applyFill="0" applyBorder="0" applyAlignment="0" applyProtection="0">
      <alignment vertical="center"/>
    </xf>
    <xf numFmtId="308" fontId="46" fillId="0" borderId="0">
      <protection locked="0"/>
    </xf>
    <xf numFmtId="189" fontId="9" fillId="0" borderId="0">
      <protection locked="0"/>
    </xf>
    <xf numFmtId="309" fontId="68" fillId="0" borderId="0" applyFont="0" applyFill="0" applyBorder="0" applyAlignment="0" applyProtection="0"/>
    <xf numFmtId="321" fontId="9" fillId="0" borderId="0" applyFill="0" applyBorder="0" applyAlignment="0"/>
    <xf numFmtId="201" fontId="9" fillId="0" borderId="0" applyFont="0" applyFill="0" applyBorder="0" applyAlignment="0" applyProtection="0"/>
    <xf numFmtId="0" fontId="9" fillId="0" borderId="0"/>
    <xf numFmtId="189" fontId="9" fillId="0" borderId="0">
      <protection locked="0"/>
    </xf>
    <xf numFmtId="0" fontId="66" fillId="0" borderId="0">
      <alignment vertical="center"/>
    </xf>
    <xf numFmtId="189" fontId="9" fillId="0" borderId="0">
      <protection locked="0"/>
    </xf>
    <xf numFmtId="0" fontId="9" fillId="0" borderId="0"/>
    <xf numFmtId="0" fontId="70" fillId="0" borderId="0"/>
    <xf numFmtId="311" fontId="46" fillId="0" borderId="0">
      <protection locked="0"/>
    </xf>
    <xf numFmtId="320" fontId="9" fillId="0" borderId="0" applyFill="0" applyBorder="0" applyAlignment="0"/>
    <xf numFmtId="312" fontId="46" fillId="0" borderId="0">
      <protection locked="0"/>
    </xf>
    <xf numFmtId="323" fontId="9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202" fontId="74" fillId="0" borderId="92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3" fontId="70" fillId="0" borderId="0">
      <alignment vertical="center"/>
    </xf>
    <xf numFmtId="0" fontId="70" fillId="0" borderId="49">
      <alignment vertical="center" wrapText="1"/>
    </xf>
    <xf numFmtId="0" fontId="9" fillId="0" borderId="0"/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189" fontId="9" fillId="0" borderId="0">
      <protection locked="0"/>
    </xf>
    <xf numFmtId="324" fontId="9" fillId="0" borderId="0" applyFill="0" applyBorder="0" applyAlignment="0"/>
    <xf numFmtId="41" fontId="9" fillId="0" borderId="0" applyFont="0" applyFill="0" applyBorder="0" applyAlignment="0" applyProtection="0"/>
    <xf numFmtId="0" fontId="9" fillId="0" borderId="0"/>
    <xf numFmtId="0" fontId="46" fillId="0" borderId="0"/>
    <xf numFmtId="309" fontId="68" fillId="0" borderId="0" applyFont="0" applyFill="0" applyBorder="0" applyAlignment="0" applyProtection="0"/>
    <xf numFmtId="0" fontId="9" fillId="0" borderId="0">
      <alignment vertical="center"/>
    </xf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70" fillId="0" borderId="6">
      <alignment horizontal="distributed"/>
    </xf>
    <xf numFmtId="189" fontId="9" fillId="0" borderId="0">
      <protection locked="0"/>
    </xf>
    <xf numFmtId="189" fontId="9" fillId="0" borderId="0">
      <protection locked="0"/>
    </xf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0" fontId="9" fillId="0" borderId="0">
      <alignment vertical="center"/>
    </xf>
    <xf numFmtId="0" fontId="70" fillId="0" borderId="0" applyFont="0" applyFill="0" applyBorder="0" applyAlignment="0" applyProtection="0"/>
    <xf numFmtId="316" fontId="9" fillId="0" borderId="0" applyFill="0" applyBorder="0" applyAlignment="0"/>
    <xf numFmtId="201" fontId="38" fillId="0" borderId="0" applyFont="0" applyFill="0" applyBorder="0" applyAlignment="0" applyProtection="0"/>
    <xf numFmtId="20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45" fillId="0" borderId="0"/>
    <xf numFmtId="189" fontId="9" fillId="0" borderId="0">
      <protection locked="0"/>
    </xf>
    <xf numFmtId="316" fontId="9" fillId="0" borderId="0" applyFill="0" applyBorder="0" applyAlignment="0"/>
    <xf numFmtId="201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242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317" fontId="9" fillId="0" borderId="0" applyFill="0" applyBorder="0" applyAlignment="0"/>
    <xf numFmtId="318" fontId="9" fillId="0" borderId="0" applyFill="0" applyBorder="0" applyAlignment="0"/>
    <xf numFmtId="319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0" fontId="206" fillId="0" borderId="0" applyNumberFormat="0" applyFill="0" applyBorder="0" applyAlignment="0" applyProtection="0"/>
    <xf numFmtId="316" fontId="9" fillId="0" borderId="0" applyFill="0" applyBorder="0" applyAlignment="0"/>
    <xf numFmtId="320" fontId="9" fillId="0" borderId="0" applyFill="0" applyBorder="0" applyAlignment="0"/>
    <xf numFmtId="0" fontId="70" fillId="0" borderId="0" applyFont="0" applyFill="0" applyBorder="0" applyAlignment="0" applyProtection="0"/>
    <xf numFmtId="190" fontId="31" fillId="0" borderId="0"/>
    <xf numFmtId="0" fontId="46" fillId="0" borderId="0" applyFont="0" applyFill="0" applyBorder="0" applyAlignment="0" applyProtection="0"/>
    <xf numFmtId="0" fontId="38" fillId="0" borderId="0"/>
    <xf numFmtId="320" fontId="9" fillId="0" borderId="0" applyFont="0" applyFill="0" applyBorder="0" applyAlignment="0" applyProtection="0"/>
    <xf numFmtId="313" fontId="9" fillId="0" borderId="0"/>
    <xf numFmtId="201" fontId="69" fillId="0" borderId="0" applyFont="0" applyFill="0" applyBorder="0" applyAlignment="0" applyProtection="0"/>
    <xf numFmtId="299" fontId="54" fillId="0" borderId="0">
      <alignment horizontal="center"/>
    </xf>
    <xf numFmtId="3" fontId="150" fillId="0" borderId="0" applyFont="0" applyFill="0" applyBorder="0" applyAlignment="0" applyProtection="0"/>
    <xf numFmtId="316" fontId="9" fillId="0" borderId="0" applyFill="0" applyBorder="0" applyAlignment="0"/>
    <xf numFmtId="0" fontId="169" fillId="0" borderId="0">
      <alignment vertical="center"/>
    </xf>
    <xf numFmtId="240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311" fontId="46" fillId="0" borderId="0">
      <protection locked="0"/>
    </xf>
    <xf numFmtId="316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70" fillId="0" borderId="6">
      <alignment horizontal="distributed"/>
    </xf>
    <xf numFmtId="0" fontId="70" fillId="0" borderId="0" applyFont="0" applyFill="0" applyBorder="0" applyAlignment="0" applyProtection="0"/>
    <xf numFmtId="201" fontId="70" fillId="0" borderId="0" applyFont="0" applyFill="0" applyBorder="0" applyAlignment="0" applyProtection="0"/>
    <xf numFmtId="322" fontId="9" fillId="0" borderId="0" applyFont="0" applyFill="0" applyBorder="0" applyAlignment="0" applyProtection="0"/>
    <xf numFmtId="0" fontId="9" fillId="0" borderId="0"/>
    <xf numFmtId="0" fontId="68" fillId="0" borderId="88"/>
    <xf numFmtId="201" fontId="9" fillId="0" borderId="0" applyFont="0" applyFill="0" applyBorder="0" applyAlignment="0" applyProtection="0"/>
    <xf numFmtId="321" fontId="9" fillId="0" borderId="0" applyFill="0" applyBorder="0" applyAlignment="0"/>
    <xf numFmtId="203" fontId="9" fillId="0" borderId="0" applyFont="0" applyFill="0" applyBorder="0" applyAlignment="0" applyProtection="0"/>
    <xf numFmtId="189" fontId="9" fillId="0" borderId="0">
      <protection locked="0"/>
    </xf>
    <xf numFmtId="0" fontId="70" fillId="0" borderId="0"/>
    <xf numFmtId="41" fontId="66" fillId="0" borderId="0" applyFont="0" applyFill="0" applyBorder="0" applyAlignment="0" applyProtection="0">
      <alignment vertical="center"/>
    </xf>
    <xf numFmtId="0" fontId="9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0" fontId="70" fillId="0" borderId="0"/>
    <xf numFmtId="323" fontId="9" fillId="0" borderId="0" applyFont="0" applyFill="0" applyBorder="0" applyAlignment="0" applyProtection="0"/>
    <xf numFmtId="316" fontId="9" fillId="0" borderId="0" applyFill="0" applyBorder="0" applyAlignment="0"/>
    <xf numFmtId="203" fontId="46" fillId="0" borderId="0">
      <alignment vertical="center"/>
    </xf>
    <xf numFmtId="316" fontId="9" fillId="0" borderId="0" applyFill="0" applyBorder="0" applyAlignment="0"/>
    <xf numFmtId="0" fontId="10" fillId="0" borderId="49">
      <alignment horizontal="center" vertical="center"/>
    </xf>
    <xf numFmtId="189" fontId="9" fillId="0" borderId="0">
      <protection locked="0"/>
    </xf>
    <xf numFmtId="41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309" fontId="68" fillId="0" borderId="0" applyFont="0" applyFill="0" applyBorder="0" applyAlignment="0" applyProtection="0"/>
    <xf numFmtId="309" fontId="68" fillId="0" borderId="0" applyFont="0" applyFill="0" applyBorder="0" applyAlignment="0" applyProtection="0"/>
    <xf numFmtId="326" fontId="9" fillId="0" borderId="0" applyFill="0" applyBorder="0" applyAlignment="0"/>
    <xf numFmtId="189" fontId="9" fillId="0" borderId="0">
      <protection locked="0"/>
    </xf>
    <xf numFmtId="189" fontId="9" fillId="0" borderId="0">
      <protection locked="0"/>
    </xf>
    <xf numFmtId="0" fontId="46" fillId="0" borderId="0"/>
    <xf numFmtId="320" fontId="9" fillId="0" borderId="0" applyFill="0" applyBorder="0" applyAlignment="0"/>
    <xf numFmtId="0" fontId="20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9" fillId="0" borderId="0">
      <alignment vertical="center"/>
    </xf>
    <xf numFmtId="41" fontId="9" fillId="0" borderId="0" applyFont="0" applyFill="0" applyBorder="0" applyAlignment="0" applyProtection="0"/>
    <xf numFmtId="315" fontId="130" fillId="0" borderId="0">
      <alignment vertical="center"/>
    </xf>
    <xf numFmtId="9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0" fontId="206" fillId="0" borderId="0" applyNumberFormat="0" applyFill="0" applyBorder="0" applyAlignment="0" applyProtection="0"/>
    <xf numFmtId="0" fontId="70" fillId="0" borderId="0" applyFont="0" applyFill="0" applyBorder="0" applyAlignment="0" applyProtection="0"/>
    <xf numFmtId="234" fontId="70" fillId="0" borderId="0"/>
    <xf numFmtId="0" fontId="74" fillId="0" borderId="0">
      <protection locked="0"/>
    </xf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314" fontId="74" fillId="0" borderId="0">
      <protection locked="0"/>
    </xf>
    <xf numFmtId="319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234" fontId="70" fillId="0" borderId="0"/>
    <xf numFmtId="0" fontId="74" fillId="0" borderId="0">
      <protection locked="0"/>
    </xf>
    <xf numFmtId="320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234" fontId="70" fillId="0" borderId="0"/>
    <xf numFmtId="0" fontId="74" fillId="0" borderId="0">
      <protection locked="0"/>
    </xf>
    <xf numFmtId="314" fontId="74" fillId="0" borderId="0">
      <protection locked="0"/>
    </xf>
    <xf numFmtId="314" fontId="74" fillId="0" borderId="0">
      <protection locked="0"/>
    </xf>
    <xf numFmtId="190" fontId="31" fillId="0" borderId="0"/>
    <xf numFmtId="319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320" fontId="9" fillId="0" borderId="0" applyFill="0" applyBorder="0" applyAlignment="0"/>
    <xf numFmtId="314" fontId="74" fillId="0" borderId="0">
      <protection locked="0"/>
    </xf>
    <xf numFmtId="319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320" fontId="9" fillId="0" borderId="0" applyFill="0" applyBorder="0" applyAlignment="0"/>
    <xf numFmtId="325" fontId="9" fillId="0" borderId="0" applyFill="0" applyBorder="0" applyAlignment="0"/>
    <xf numFmtId="314" fontId="74" fillId="0" borderId="0">
      <protection locked="0"/>
    </xf>
    <xf numFmtId="319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320" fontId="9" fillId="0" borderId="0" applyFill="0" applyBorder="0" applyAlignment="0"/>
    <xf numFmtId="325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5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5" fontId="9" fillId="0" borderId="0" applyFill="0" applyBorder="0" applyAlignment="0"/>
    <xf numFmtId="202" fontId="74" fillId="0" borderId="92">
      <protection locked="0"/>
    </xf>
    <xf numFmtId="299" fontId="54" fillId="0" borderId="0">
      <alignment horizontal="center"/>
    </xf>
    <xf numFmtId="324" fontId="9" fillId="0" borderId="0" applyFill="0" applyBorder="0" applyAlignment="0"/>
    <xf numFmtId="324" fontId="9" fillId="0" borderId="0" applyFill="0" applyBorder="0" applyAlignment="0"/>
    <xf numFmtId="324" fontId="9" fillId="0" borderId="0" applyFill="0" applyBorder="0" applyAlignment="0"/>
    <xf numFmtId="326" fontId="9" fillId="0" borderId="0" applyFill="0" applyBorder="0" applyAlignment="0"/>
    <xf numFmtId="326" fontId="9" fillId="0" borderId="0" applyFill="0" applyBorder="0" applyAlignment="0"/>
    <xf numFmtId="324" fontId="9" fillId="0" borderId="0" applyFill="0" applyBorder="0" applyAlignment="0"/>
    <xf numFmtId="326" fontId="9" fillId="0" borderId="0" applyFill="0" applyBorder="0" applyAlignment="0"/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202" fontId="74" fillId="0" borderId="92">
      <protection locked="0"/>
    </xf>
    <xf numFmtId="326" fontId="9" fillId="0" borderId="0" applyFill="0" applyBorder="0" applyAlignment="0"/>
    <xf numFmtId="324" fontId="9" fillId="0" borderId="0" applyFill="0" applyBorder="0" applyAlignment="0"/>
    <xf numFmtId="202" fontId="74" fillId="0" borderId="92">
      <protection locked="0"/>
    </xf>
    <xf numFmtId="324" fontId="9" fillId="0" borderId="0" applyFill="0" applyBorder="0" applyAlignment="0"/>
    <xf numFmtId="202" fontId="74" fillId="0" borderId="92">
      <protection locked="0"/>
    </xf>
    <xf numFmtId="307" fontId="46" fillId="0" borderId="0">
      <protection locked="0"/>
    </xf>
    <xf numFmtId="299" fontId="54" fillId="0" borderId="0">
      <alignment horizontal="center"/>
    </xf>
    <xf numFmtId="202" fontId="74" fillId="0" borderId="92">
      <protection locked="0"/>
    </xf>
    <xf numFmtId="307" fontId="46" fillId="0" borderId="0">
      <protection locked="0"/>
    </xf>
    <xf numFmtId="316" fontId="9" fillId="0" borderId="0" applyFill="0" applyBorder="0" applyAlignment="0"/>
    <xf numFmtId="325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5" fontId="9" fillId="0" borderId="0" applyFill="0" applyBorder="0" applyAlignment="0"/>
    <xf numFmtId="320" fontId="9" fillId="0" borderId="0" applyFill="0" applyBorder="0" applyAlignment="0"/>
    <xf numFmtId="323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4" fontId="74" fillId="0" borderId="0">
      <protection locked="0"/>
    </xf>
    <xf numFmtId="325" fontId="9" fillId="0" borderId="0" applyFill="0" applyBorder="0" applyAlignment="0"/>
    <xf numFmtId="320" fontId="9" fillId="0" borderId="0" applyFill="0" applyBorder="0" applyAlignment="0"/>
    <xf numFmtId="323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190" fontId="31" fillId="0" borderId="0"/>
    <xf numFmtId="314" fontId="74" fillId="0" borderId="0">
      <protection locked="0"/>
    </xf>
    <xf numFmtId="325" fontId="9" fillId="0" borderId="0" applyFill="0" applyBorder="0" applyAlignment="0"/>
    <xf numFmtId="0" fontId="74" fillId="0" borderId="0">
      <protection locked="0"/>
    </xf>
    <xf numFmtId="323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4" fontId="74" fillId="0" borderId="0">
      <protection locked="0"/>
    </xf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323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4" fontId="74" fillId="0" borderId="0">
      <protection locked="0"/>
    </xf>
    <xf numFmtId="0" fontId="74" fillId="0" borderId="0">
      <protection locked="0"/>
    </xf>
    <xf numFmtId="234" fontId="70" fillId="0" borderId="0"/>
    <xf numFmtId="321" fontId="9" fillId="0" borderId="0" applyFill="0" applyBorder="0" applyAlignment="0"/>
    <xf numFmtId="0" fontId="70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201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308" fontId="46" fillId="0" borderId="0">
      <protection locked="0"/>
    </xf>
    <xf numFmtId="0" fontId="9" fillId="0" borderId="0"/>
    <xf numFmtId="320" fontId="9" fillId="0" borderId="0" applyFill="0" applyBorder="0" applyAlignment="0"/>
    <xf numFmtId="299" fontId="54" fillId="0" borderId="0">
      <alignment horizontal="center"/>
    </xf>
    <xf numFmtId="41" fontId="66" fillId="0" borderId="0" applyFont="0" applyFill="0" applyBorder="0" applyAlignment="0" applyProtection="0">
      <alignment vertical="center"/>
    </xf>
    <xf numFmtId="321" fontId="9" fillId="0" borderId="0" applyFill="0" applyBorder="0" applyAlignment="0"/>
    <xf numFmtId="189" fontId="9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/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0" borderId="49">
      <alignment horizontal="center" vertical="center"/>
    </xf>
    <xf numFmtId="316" fontId="9" fillId="0" borderId="0" applyFont="0" applyFill="0" applyBorder="0" applyAlignment="0" applyProtection="0"/>
    <xf numFmtId="203" fontId="46" fillId="0" borderId="0">
      <alignment vertical="center"/>
    </xf>
    <xf numFmtId="314" fontId="74" fillId="0" borderId="0">
      <protection locked="0"/>
    </xf>
    <xf numFmtId="0" fontId="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0" fontId="70" fillId="0" borderId="0"/>
    <xf numFmtId="189" fontId="9" fillId="0" borderId="0">
      <protection locked="0"/>
    </xf>
    <xf numFmtId="203" fontId="9" fillId="0" borderId="0" applyFont="0" applyFill="0" applyBorder="0" applyAlignment="0" applyProtection="0"/>
    <xf numFmtId="320" fontId="9" fillId="0" borderId="0" applyFill="0" applyBorder="0" applyAlignment="0"/>
    <xf numFmtId="201" fontId="9" fillId="0" borderId="0" applyFont="0" applyFill="0" applyBorder="0" applyAlignment="0" applyProtection="0"/>
    <xf numFmtId="0" fontId="68" fillId="0" borderId="88"/>
    <xf numFmtId="201" fontId="70" fillId="0" borderId="0" applyFont="0" applyFill="0" applyBorder="0" applyAlignment="0" applyProtection="0"/>
    <xf numFmtId="311" fontId="46" fillId="0" borderId="0">
      <protection locked="0"/>
    </xf>
    <xf numFmtId="0" fontId="70" fillId="0" borderId="0" applyFont="0" applyFill="0" applyBorder="0" applyAlignment="0" applyProtection="0"/>
    <xf numFmtId="0" fontId="70" fillId="0" borderId="6">
      <alignment horizontal="distributed"/>
    </xf>
    <xf numFmtId="239" fontId="10" fillId="0" borderId="0" applyFont="0" applyFill="0" applyBorder="0" applyAlignment="0" applyProtection="0"/>
    <xf numFmtId="311" fontId="46" fillId="0" borderId="0">
      <protection locked="0"/>
    </xf>
    <xf numFmtId="240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71" fillId="0" borderId="0"/>
    <xf numFmtId="299" fontId="54" fillId="0" borderId="0">
      <alignment horizontal="center"/>
    </xf>
    <xf numFmtId="201" fontId="69" fillId="0" borderId="0" applyFont="0" applyFill="0" applyBorder="0" applyAlignment="0" applyProtection="0"/>
    <xf numFmtId="0" fontId="38" fillId="0" borderId="0"/>
    <xf numFmtId="314" fontId="74" fillId="0" borderId="0">
      <protection locked="0"/>
    </xf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201" fontId="9" fillId="0" borderId="0" applyFont="0" applyFill="0" applyBorder="0" applyAlignment="0" applyProtection="0"/>
    <xf numFmtId="189" fontId="9" fillId="0" borderId="0">
      <protection locked="0"/>
    </xf>
    <xf numFmtId="9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316" fontId="9" fillId="0" borderId="0" applyFill="0" applyBorder="0" applyAlignment="0"/>
    <xf numFmtId="201" fontId="9" fillId="0" borderId="0" applyFont="0" applyFill="0" applyBorder="0" applyAlignment="0" applyProtection="0"/>
    <xf numFmtId="316" fontId="9" fillId="0" borderId="0" applyFill="0" applyBorder="0" applyAlignment="0"/>
    <xf numFmtId="4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316" fontId="9" fillId="0" borderId="0" applyFill="0" applyBorder="0" applyAlignment="0"/>
    <xf numFmtId="0" fontId="70" fillId="0" borderId="0" applyFont="0" applyFill="0" applyBorder="0" applyAlignment="0" applyProtection="0"/>
    <xf numFmtId="0" fontId="9" fillId="0" borderId="0">
      <alignment vertical="center"/>
    </xf>
    <xf numFmtId="201" fontId="9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324" fontId="9" fillId="0" borderId="0" applyFill="0" applyBorder="0" applyAlignment="0"/>
    <xf numFmtId="0" fontId="169" fillId="0" borderId="0">
      <alignment vertical="center"/>
    </xf>
    <xf numFmtId="326" fontId="9" fillId="0" borderId="0" applyFill="0" applyBorder="0" applyAlignment="0"/>
    <xf numFmtId="325" fontId="9" fillId="0" borderId="0" applyFill="0" applyBorder="0" applyAlignment="0"/>
    <xf numFmtId="323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12" fontId="46" fillId="0" borderId="0">
      <protection locked="0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9" fillId="0" borderId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89" fontId="9" fillId="0" borderId="0">
      <protection locked="0"/>
    </xf>
    <xf numFmtId="315" fontId="130" fillId="0" borderId="0">
      <alignment vertical="center"/>
    </xf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9" fillId="0" borderId="0">
      <alignment vertical="center"/>
    </xf>
    <xf numFmtId="319" fontId="9" fillId="0" borderId="0" applyFont="0" applyFill="0" applyBorder="0" applyAlignment="0" applyProtection="0"/>
    <xf numFmtId="0" fontId="9" fillId="0" borderId="0"/>
    <xf numFmtId="0" fontId="9" fillId="0" borderId="0">
      <alignment vertical="center"/>
    </xf>
    <xf numFmtId="189" fontId="9" fillId="0" borderId="0">
      <protection locked="0"/>
    </xf>
    <xf numFmtId="0" fontId="66" fillId="0" borderId="0">
      <alignment vertical="center"/>
    </xf>
    <xf numFmtId="189" fontId="9" fillId="0" borderId="0">
      <protection locked="0"/>
    </xf>
    <xf numFmtId="0" fontId="9" fillId="0" borderId="0"/>
    <xf numFmtId="320" fontId="9" fillId="0" borderId="0" applyFill="0" applyBorder="0" applyAlignment="0"/>
    <xf numFmtId="308" fontId="46" fillId="0" borderId="0">
      <protection locked="0"/>
    </xf>
    <xf numFmtId="316" fontId="9" fillId="0" borderId="0" applyFill="0" applyBorder="0" applyAlignment="0"/>
    <xf numFmtId="0" fontId="9" fillId="0" borderId="0"/>
    <xf numFmtId="0" fontId="67" fillId="0" borderId="0"/>
    <xf numFmtId="309" fontId="68" fillId="0" borderId="0" applyFont="0" applyFill="0" applyBorder="0" applyAlignment="0" applyProtection="0"/>
    <xf numFmtId="0" fontId="46" fillId="0" borderId="0"/>
    <xf numFmtId="308" fontId="46" fillId="0" borderId="0">
      <protection locked="0"/>
    </xf>
    <xf numFmtId="41" fontId="9" fillId="0" borderId="0" applyFont="0" applyFill="0" applyBorder="0" applyAlignment="0" applyProtection="0"/>
    <xf numFmtId="324" fontId="9" fillId="0" borderId="0" applyFill="0" applyBorder="0" applyAlignment="0"/>
    <xf numFmtId="0" fontId="169" fillId="0" borderId="0">
      <alignment vertical="center"/>
    </xf>
    <xf numFmtId="0" fontId="70" fillId="0" borderId="0"/>
    <xf numFmtId="0" fontId="70" fillId="0" borderId="3">
      <alignment horizontal="distributed" vertical="top"/>
    </xf>
    <xf numFmtId="0" fontId="169" fillId="0" borderId="0">
      <alignment vertical="center"/>
    </xf>
    <xf numFmtId="201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0" fontId="70" fillId="0" borderId="1">
      <alignment horizontal="distributed" vertical="center"/>
    </xf>
    <xf numFmtId="316" fontId="9" fillId="0" borderId="0" applyFill="0" applyBorder="0" applyAlignment="0"/>
    <xf numFmtId="189" fontId="9" fillId="0" borderId="0">
      <protection locked="0"/>
    </xf>
    <xf numFmtId="0" fontId="9" fillId="0" borderId="1" applyNumberFormat="0" applyFill="0" applyProtection="0">
      <alignment vertical="center"/>
    </xf>
    <xf numFmtId="0" fontId="9" fillId="0" borderId="0"/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308" fontId="46" fillId="0" borderId="0">
      <protection locked="0"/>
    </xf>
    <xf numFmtId="202" fontId="74" fillId="0" borderId="92">
      <protection locked="0"/>
    </xf>
    <xf numFmtId="311" fontId="46" fillId="0" borderId="0">
      <protection locked="0"/>
    </xf>
    <xf numFmtId="203" fontId="46" fillId="0" borderId="0">
      <alignment vertical="center"/>
    </xf>
    <xf numFmtId="316" fontId="9" fillId="0" borderId="0" applyFill="0" applyBorder="0" applyAlignment="0"/>
    <xf numFmtId="0" fontId="70" fillId="0" borderId="0"/>
    <xf numFmtId="0" fontId="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46" fillId="0" borderId="0"/>
    <xf numFmtId="320" fontId="9" fillId="0" borderId="0" applyFill="0" applyBorder="0" applyAlignment="0"/>
    <xf numFmtId="0" fontId="66" fillId="0" borderId="0">
      <alignment vertical="center"/>
    </xf>
    <xf numFmtId="320" fontId="9" fillId="0" borderId="0" applyFill="0" applyBorder="0" applyAlignment="0"/>
    <xf numFmtId="320" fontId="9" fillId="0" borderId="0" applyFill="0" applyBorder="0" applyAlignment="0"/>
    <xf numFmtId="319" fontId="9" fillId="0" borderId="0" applyFill="0" applyBorder="0" applyAlignment="0"/>
    <xf numFmtId="201" fontId="9" fillId="0" borderId="0" applyFont="0" applyFill="0" applyBorder="0" applyAlignment="0" applyProtection="0"/>
    <xf numFmtId="0" fontId="70" fillId="0" borderId="49">
      <alignment vertical="center" wrapText="1"/>
    </xf>
    <xf numFmtId="41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189" fontId="9" fillId="0" borderId="0">
      <protection locked="0"/>
    </xf>
    <xf numFmtId="41" fontId="66" fillId="0" borderId="0" applyFont="0" applyFill="0" applyBorder="0" applyAlignment="0" applyProtection="0">
      <alignment vertical="center"/>
    </xf>
    <xf numFmtId="314" fontId="74" fillId="0" borderId="0">
      <protection locked="0"/>
    </xf>
    <xf numFmtId="0" fontId="9" fillId="0" borderId="0"/>
    <xf numFmtId="0" fontId="46" fillId="0" borderId="0"/>
    <xf numFmtId="324" fontId="9" fillId="0" borderId="0" applyFill="0" applyBorder="0" applyAlignment="0"/>
    <xf numFmtId="0" fontId="9" fillId="0" borderId="0">
      <alignment vertical="center"/>
    </xf>
    <xf numFmtId="0" fontId="66" fillId="0" borderId="0">
      <alignment vertical="center"/>
    </xf>
    <xf numFmtId="0" fontId="9" fillId="0" borderId="0"/>
    <xf numFmtId="310" fontId="46" fillId="0" borderId="0">
      <protection locked="0"/>
    </xf>
    <xf numFmtId="201" fontId="9" fillId="0" borderId="0" applyFont="0" applyFill="0" applyBorder="0" applyAlignment="0" applyProtection="0"/>
    <xf numFmtId="321" fontId="9" fillId="0" borderId="0" applyFill="0" applyBorder="0" applyAlignment="0"/>
    <xf numFmtId="189" fontId="9" fillId="0" borderId="0">
      <protection locked="0"/>
    </xf>
    <xf numFmtId="308" fontId="46" fillId="0" borderId="0">
      <protection locked="0"/>
    </xf>
    <xf numFmtId="41" fontId="66" fillId="0" borderId="0" applyFont="0" applyFill="0" applyBorder="0" applyAlignment="0" applyProtection="0">
      <alignment vertical="center"/>
    </xf>
    <xf numFmtId="0" fontId="9" fillId="0" borderId="0"/>
    <xf numFmtId="0" fontId="70" fillId="0" borderId="1">
      <alignment horizontal="distributed" vertical="center"/>
    </xf>
    <xf numFmtId="0" fontId="70" fillId="0" borderId="3">
      <alignment horizontal="distributed" vertical="top"/>
    </xf>
    <xf numFmtId="0" fontId="70" fillId="0" borderId="6">
      <alignment horizontal="distributed"/>
    </xf>
    <xf numFmtId="315" fontId="130" fillId="0" borderId="0">
      <alignment vertical="center"/>
    </xf>
    <xf numFmtId="0" fontId="67" fillId="0" borderId="0"/>
    <xf numFmtId="320" fontId="9" fillId="0" borderId="0" applyFill="0" applyBorder="0" applyAlignment="0"/>
    <xf numFmtId="321" fontId="9" fillId="0" borderId="0" applyFill="0" applyBorder="0" applyAlignment="0"/>
    <xf numFmtId="312" fontId="46" fillId="0" borderId="0">
      <protection locked="0"/>
    </xf>
    <xf numFmtId="203" fontId="46" fillId="0" borderId="0">
      <alignment vertical="center"/>
    </xf>
    <xf numFmtId="41" fontId="9" fillId="0" borderId="0" applyFont="0" applyFill="0" applyBorder="0" applyAlignment="0" applyProtection="0"/>
    <xf numFmtId="237" fontId="70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11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9" fillId="0" borderId="0"/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09" fontId="68" fillId="0" borderId="0" applyFont="0" applyFill="0" applyBorder="0" applyAlignment="0" applyProtection="0"/>
    <xf numFmtId="0" fontId="70" fillId="0" borderId="0"/>
    <xf numFmtId="0" fontId="68" fillId="0" borderId="88"/>
    <xf numFmtId="325" fontId="9" fillId="0" borderId="0" applyFill="0" applyBorder="0" applyAlignment="0"/>
    <xf numFmtId="311" fontId="46" fillId="0" borderId="0">
      <protection locked="0"/>
    </xf>
    <xf numFmtId="0" fontId="9" fillId="0" borderId="0"/>
    <xf numFmtId="0" fontId="169" fillId="0" borderId="0">
      <alignment vertical="center"/>
    </xf>
    <xf numFmtId="0" fontId="66" fillId="0" borderId="0">
      <alignment vertical="center"/>
    </xf>
    <xf numFmtId="0" fontId="9" fillId="0" borderId="0"/>
    <xf numFmtId="0" fontId="9" fillId="0" borderId="0">
      <alignment vertical="center"/>
    </xf>
    <xf numFmtId="0" fontId="70" fillId="0" borderId="6">
      <alignment horizontal="distributed"/>
    </xf>
    <xf numFmtId="312" fontId="46" fillId="0" borderId="0">
      <protection locked="0"/>
    </xf>
    <xf numFmtId="320" fontId="9" fillId="0" borderId="0" applyFill="0" applyBorder="0" applyAlignment="0"/>
    <xf numFmtId="0" fontId="9" fillId="0" borderId="0"/>
    <xf numFmtId="324" fontId="9" fillId="0" borderId="0" applyFill="0" applyBorder="0" applyAlignment="0"/>
    <xf numFmtId="0" fontId="9" fillId="0" borderId="0"/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11" fontId="46" fillId="0" borderId="0">
      <protection locked="0"/>
    </xf>
    <xf numFmtId="41" fontId="169" fillId="0" borderId="0" applyFont="0" applyFill="0" applyBorder="0" applyAlignment="0" applyProtection="0">
      <alignment vertical="center"/>
    </xf>
    <xf numFmtId="312" fontId="46" fillId="0" borderId="0">
      <protection locked="0"/>
    </xf>
    <xf numFmtId="0" fontId="46" fillId="0" borderId="0"/>
    <xf numFmtId="319" fontId="9" fillId="0" borderId="0" applyFont="0" applyFill="0" applyBorder="0" applyAlignment="0" applyProtection="0"/>
    <xf numFmtId="189" fontId="9" fillId="0" borderId="0">
      <protection locked="0"/>
    </xf>
    <xf numFmtId="0" fontId="66" fillId="0" borderId="0">
      <alignment vertical="center"/>
    </xf>
    <xf numFmtId="238" fontId="10" fillId="0" borderId="0" applyFont="0" applyFill="0" applyBorder="0" applyAlignment="0" applyProtection="0"/>
    <xf numFmtId="308" fontId="46" fillId="0" borderId="0">
      <protection locked="0"/>
    </xf>
    <xf numFmtId="0" fontId="9" fillId="0" borderId="0"/>
    <xf numFmtId="41" fontId="9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0" fontId="67" fillId="0" borderId="0"/>
    <xf numFmtId="0" fontId="169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46" fillId="0" borderId="0"/>
    <xf numFmtId="316" fontId="9" fillId="0" borderId="0" applyFont="0" applyFill="0" applyBorder="0" applyAlignment="0" applyProtection="0"/>
    <xf numFmtId="320" fontId="9" fillId="0" borderId="0" applyFill="0" applyBorder="0" applyAlignment="0"/>
    <xf numFmtId="41" fontId="9" fillId="0" borderId="0" applyFont="0" applyFill="0" applyBorder="0" applyAlignment="0" applyProtection="0"/>
    <xf numFmtId="319" fontId="9" fillId="0" borderId="0" applyFill="0" applyBorder="0" applyAlignment="0"/>
    <xf numFmtId="324" fontId="9" fillId="0" borderId="0" applyFill="0" applyBorder="0" applyAlignment="0"/>
    <xf numFmtId="320" fontId="9" fillId="0" borderId="0" applyFill="0" applyBorder="0" applyAlignment="0"/>
    <xf numFmtId="0" fontId="169" fillId="0" borderId="0">
      <alignment vertical="center"/>
    </xf>
    <xf numFmtId="0" fontId="70" fillId="0" borderId="49">
      <alignment vertical="center" wrapText="1"/>
    </xf>
    <xf numFmtId="0" fontId="145" fillId="0" borderId="0"/>
    <xf numFmtId="0" fontId="9" fillId="0" borderId="0">
      <alignment vertical="center"/>
    </xf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316" fontId="9" fillId="0" borderId="0" applyFill="0" applyBorder="0" applyAlignment="0"/>
    <xf numFmtId="312" fontId="46" fillId="0" borderId="0">
      <protection locked="0"/>
    </xf>
    <xf numFmtId="314" fontId="74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41" fontId="9" fillId="0" borderId="0" applyFont="0" applyFill="0" applyBorder="0" applyAlignment="0" applyProtection="0"/>
    <xf numFmtId="312" fontId="46" fillId="0" borderId="0">
      <protection locked="0"/>
    </xf>
    <xf numFmtId="41" fontId="16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25" fontId="9" fillId="0" borderId="0" applyFill="0" applyBorder="0" applyAlignment="0"/>
    <xf numFmtId="0" fontId="70" fillId="0" borderId="0"/>
    <xf numFmtId="316" fontId="9" fillId="0" borderId="0" applyFill="0" applyBorder="0" applyAlignment="0"/>
    <xf numFmtId="311" fontId="46" fillId="0" borderId="0">
      <protection locked="0"/>
    </xf>
    <xf numFmtId="324" fontId="9" fillId="0" borderId="0" applyFill="0" applyBorder="0" applyAlignment="0"/>
    <xf numFmtId="299" fontId="54" fillId="0" borderId="0">
      <alignment horizontal="center"/>
    </xf>
    <xf numFmtId="316" fontId="9" fillId="0" borderId="0" applyFill="0" applyBorder="0" applyAlignment="0"/>
    <xf numFmtId="190" fontId="31" fillId="0" borderId="0"/>
    <xf numFmtId="320" fontId="9" fillId="0" borderId="0" applyFill="0" applyBorder="0" applyAlignment="0"/>
    <xf numFmtId="0" fontId="74" fillId="0" borderId="0">
      <protection locked="0"/>
    </xf>
    <xf numFmtId="316" fontId="9" fillId="0" borderId="0" applyFill="0" applyBorder="0" applyAlignment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>
      <alignment vertical="center"/>
    </xf>
    <xf numFmtId="0" fontId="208" fillId="0" borderId="0" applyNumberForma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189" fontId="9" fillId="0" borderId="0">
      <protection locked="0"/>
    </xf>
    <xf numFmtId="203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308" fontId="46" fillId="0" borderId="0">
      <protection locked="0"/>
    </xf>
    <xf numFmtId="202" fontId="74" fillId="0" borderId="92">
      <protection locked="0"/>
    </xf>
    <xf numFmtId="41" fontId="9" fillId="0" borderId="0" applyFont="0" applyFill="0" applyBorder="0" applyAlignment="0" applyProtection="0"/>
    <xf numFmtId="0" fontId="70" fillId="0" borderId="6">
      <alignment horizontal="distributed"/>
    </xf>
    <xf numFmtId="203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0" fontId="10" fillId="0" borderId="49">
      <alignment horizontal="center" vertical="center"/>
    </xf>
    <xf numFmtId="189" fontId="9" fillId="0" borderId="0">
      <protection locked="0"/>
    </xf>
    <xf numFmtId="0" fontId="9" fillId="0" borderId="0"/>
    <xf numFmtId="0" fontId="9" fillId="0" borderId="1" applyNumberFormat="0" applyFill="0" applyProtection="0">
      <alignment vertical="center"/>
    </xf>
    <xf numFmtId="0" fontId="9" fillId="0" borderId="1" applyNumberFormat="0" applyFill="0" applyProtection="0">
      <alignment vertical="center"/>
    </xf>
    <xf numFmtId="314" fontId="74" fillId="0" borderId="0">
      <protection locked="0"/>
    </xf>
    <xf numFmtId="0" fontId="169" fillId="0" borderId="0">
      <alignment vertical="center"/>
    </xf>
    <xf numFmtId="316" fontId="9" fillId="0" borderId="0" applyFill="0" applyBorder="0" applyAlignment="0"/>
    <xf numFmtId="324" fontId="9" fillId="0" borderId="0" applyFill="0" applyBorder="0" applyAlignment="0"/>
    <xf numFmtId="325" fontId="9" fillId="0" borderId="0" applyFill="0" applyBorder="0" applyAlignment="0"/>
    <xf numFmtId="323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12" fontId="46" fillId="0" borderId="0">
      <protection locked="0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9" fillId="0" borderId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70" fillId="0" borderId="1">
      <alignment horizontal="distributed" vertical="center"/>
    </xf>
    <xf numFmtId="323" fontId="9" fillId="0" borderId="0" applyFont="0" applyFill="0" applyBorder="0" applyAlignment="0" applyProtection="0"/>
    <xf numFmtId="316" fontId="9" fillId="0" borderId="0" applyFill="0" applyBorder="0" applyAlignment="0"/>
    <xf numFmtId="0" fontId="9" fillId="0" borderId="0">
      <alignment vertical="center"/>
    </xf>
    <xf numFmtId="190" fontId="31" fillId="0" borderId="0"/>
    <xf numFmtId="41" fontId="9" fillId="0" borderId="0" applyFont="0" applyFill="0" applyBorder="0" applyAlignment="0" applyProtection="0"/>
    <xf numFmtId="0" fontId="9" fillId="0" borderId="0">
      <alignment vertical="center"/>
    </xf>
    <xf numFmtId="189" fontId="9" fillId="0" borderId="0">
      <protection locked="0"/>
    </xf>
    <xf numFmtId="0" fontId="66" fillId="0" borderId="0">
      <alignment vertical="center"/>
    </xf>
    <xf numFmtId="189" fontId="9" fillId="0" borderId="0">
      <protection locked="0"/>
    </xf>
    <xf numFmtId="0" fontId="9" fillId="0" borderId="0"/>
    <xf numFmtId="320" fontId="9" fillId="0" borderId="0" applyFill="0" applyBorder="0" applyAlignment="0"/>
    <xf numFmtId="189" fontId="9" fillId="0" borderId="0">
      <protection locked="0"/>
    </xf>
    <xf numFmtId="320" fontId="9" fillId="0" borderId="0" applyFill="0" applyBorder="0" applyAlignment="0"/>
    <xf numFmtId="189" fontId="9" fillId="0" borderId="0">
      <protection locked="0"/>
    </xf>
    <xf numFmtId="0" fontId="70" fillId="0" borderId="3">
      <alignment horizontal="distributed" vertical="top"/>
    </xf>
    <xf numFmtId="0" fontId="9" fillId="0" borderId="0"/>
    <xf numFmtId="0" fontId="46" fillId="0" borderId="0"/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46" fillId="0" borderId="0"/>
    <xf numFmtId="0" fontId="9" fillId="0" borderId="0"/>
    <xf numFmtId="309" fontId="68" fillId="0" borderId="0" applyFont="0" applyFill="0" applyBorder="0" applyAlignment="0" applyProtection="0"/>
    <xf numFmtId="3" fontId="70" fillId="0" borderId="0">
      <alignment vertical="center"/>
    </xf>
    <xf numFmtId="309" fontId="68" fillId="0" borderId="0" applyFont="0" applyFill="0" applyBorder="0" applyAlignment="0" applyProtection="0"/>
    <xf numFmtId="325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311" fontId="46" fillId="0" borderId="0">
      <protection locked="0"/>
    </xf>
    <xf numFmtId="308" fontId="46" fillId="0" borderId="0">
      <protection locked="0"/>
    </xf>
    <xf numFmtId="324" fontId="9" fillId="0" borderId="0" applyFill="0" applyBorder="0" applyAlignment="0"/>
    <xf numFmtId="0" fontId="9" fillId="0" borderId="0"/>
    <xf numFmtId="320" fontId="9" fillId="0" borderId="0" applyFill="0" applyBorder="0" applyAlignment="0"/>
    <xf numFmtId="311" fontId="46" fillId="0" borderId="0">
      <protection locked="0"/>
    </xf>
    <xf numFmtId="319" fontId="9" fillId="0" borderId="0" applyFill="0" applyBorder="0" applyAlignment="0"/>
    <xf numFmtId="0" fontId="70" fillId="0" borderId="6">
      <alignment horizontal="distributed"/>
    </xf>
    <xf numFmtId="0" fontId="9" fillId="0" borderId="0"/>
    <xf numFmtId="201" fontId="9" fillId="0" borderId="0" applyFont="0" applyFill="0" applyBorder="0" applyAlignment="0" applyProtection="0"/>
    <xf numFmtId="325" fontId="9" fillId="0" borderId="0" applyFill="0" applyBorder="0" applyAlignment="0"/>
    <xf numFmtId="3" fontId="70" fillId="0" borderId="0">
      <alignment vertical="center"/>
    </xf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202" fontId="74" fillId="0" borderId="92">
      <protection locked="0"/>
    </xf>
    <xf numFmtId="203" fontId="46" fillId="0" borderId="0">
      <alignment vertical="center"/>
    </xf>
    <xf numFmtId="316" fontId="9" fillId="0" borderId="0" applyFill="0" applyBorder="0" applyAlignment="0"/>
    <xf numFmtId="0" fontId="70" fillId="0" borderId="0"/>
    <xf numFmtId="3" fontId="70" fillId="0" borderId="0">
      <alignment vertical="center"/>
    </xf>
    <xf numFmtId="0" fontId="9" fillId="0" borderId="0">
      <alignment vertical="center"/>
    </xf>
    <xf numFmtId="314" fontId="74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46" fillId="0" borderId="0"/>
    <xf numFmtId="319" fontId="9" fillId="0" borderId="0" applyFill="0" applyBorder="0" applyAlignment="0"/>
    <xf numFmtId="316" fontId="9" fillId="0" borderId="0" applyFill="0" applyBorder="0" applyAlignment="0"/>
    <xf numFmtId="0" fontId="70" fillId="0" borderId="49">
      <alignment vertical="center" wrapText="1"/>
    </xf>
    <xf numFmtId="0" fontId="66" fillId="0" borderId="0">
      <alignment vertical="center"/>
    </xf>
    <xf numFmtId="316" fontId="9" fillId="0" borderId="0" applyFill="0" applyBorder="0" applyAlignment="0"/>
    <xf numFmtId="312" fontId="46" fillId="0" borderId="0">
      <protection locked="0"/>
    </xf>
    <xf numFmtId="325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0" fontId="67" fillId="0" borderId="0"/>
    <xf numFmtId="238" fontId="10" fillId="0" borderId="0" applyFont="0" applyFill="0" applyBorder="0" applyAlignment="0" applyProtection="0"/>
    <xf numFmtId="189" fontId="9" fillId="0" borderId="0">
      <protection locked="0"/>
    </xf>
    <xf numFmtId="0" fontId="66" fillId="0" borderId="0">
      <alignment vertical="center"/>
    </xf>
    <xf numFmtId="3" fontId="70" fillId="0" borderId="0">
      <alignment vertical="center"/>
    </xf>
    <xf numFmtId="312" fontId="46" fillId="0" borderId="0">
      <protection locked="0"/>
    </xf>
    <xf numFmtId="311" fontId="46" fillId="0" borderId="0">
      <protection locked="0"/>
    </xf>
    <xf numFmtId="0" fontId="9" fillId="0" borderId="0"/>
    <xf numFmtId="0" fontId="9" fillId="0" borderId="0"/>
    <xf numFmtId="0" fontId="66" fillId="0" borderId="0">
      <alignment vertical="center"/>
    </xf>
    <xf numFmtId="0" fontId="169" fillId="0" borderId="0">
      <alignment vertical="center"/>
    </xf>
    <xf numFmtId="0" fontId="9" fillId="0" borderId="0"/>
    <xf numFmtId="312" fontId="46" fillId="0" borderId="0">
      <protection locked="0"/>
    </xf>
    <xf numFmtId="201" fontId="9" fillId="0" borderId="0" applyFont="0" applyFill="0" applyBorder="0" applyAlignment="0" applyProtection="0"/>
    <xf numFmtId="321" fontId="9" fillId="0" borderId="0" applyFill="0" applyBorder="0" applyAlignment="0"/>
    <xf numFmtId="309" fontId="68" fillId="0" borderId="0" applyFont="0" applyFill="0" applyBorder="0" applyAlignment="0" applyProtection="0"/>
    <xf numFmtId="189" fontId="9" fillId="0" borderId="0">
      <protection locked="0"/>
    </xf>
    <xf numFmtId="308" fontId="46" fillId="0" borderId="0">
      <protection locked="0"/>
    </xf>
    <xf numFmtId="41" fontId="66" fillId="0" borderId="0" applyFont="0" applyFill="0" applyBorder="0" applyAlignment="0" applyProtection="0">
      <alignment vertical="center"/>
    </xf>
    <xf numFmtId="0" fontId="9" fillId="0" borderId="0"/>
    <xf numFmtId="0" fontId="70" fillId="0" borderId="1">
      <alignment horizontal="distributed" vertical="center"/>
    </xf>
    <xf numFmtId="0" fontId="70" fillId="0" borderId="3">
      <alignment horizontal="distributed" vertical="top"/>
    </xf>
    <xf numFmtId="0" fontId="70" fillId="0" borderId="6">
      <alignment horizontal="distributed"/>
    </xf>
    <xf numFmtId="315" fontId="130" fillId="0" borderId="0">
      <alignment vertical="center"/>
    </xf>
    <xf numFmtId="0" fontId="67" fillId="0" borderId="0"/>
    <xf numFmtId="320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314" fontId="74" fillId="0" borderId="0">
      <protection locked="0"/>
    </xf>
    <xf numFmtId="311" fontId="46" fillId="0" borderId="0">
      <protection locked="0"/>
    </xf>
    <xf numFmtId="237" fontId="70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31" fillId="10" borderId="0" applyFill="0" applyBorder="0" applyProtection="0">
      <alignment horizontal="right"/>
    </xf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9" fillId="0" borderId="0"/>
    <xf numFmtId="41" fontId="66" fillId="0" borderId="0" applyFont="0" applyFill="0" applyBorder="0" applyAlignment="0" applyProtection="0">
      <alignment vertical="center"/>
    </xf>
    <xf numFmtId="0" fontId="70" fillId="0" borderId="0"/>
    <xf numFmtId="189" fontId="9" fillId="0" borderId="0">
      <protection locked="0"/>
    </xf>
    <xf numFmtId="203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321" fontId="9" fillId="0" borderId="0" applyFill="0" applyBorder="0" applyAlignment="0"/>
    <xf numFmtId="201" fontId="9" fillId="0" borderId="0" applyFont="0" applyFill="0" applyBorder="0" applyAlignment="0" applyProtection="0"/>
    <xf numFmtId="310" fontId="46" fillId="0" borderId="0">
      <protection locked="0"/>
    </xf>
    <xf numFmtId="234" fontId="70" fillId="0" borderId="0"/>
    <xf numFmtId="311" fontId="46" fillId="0" borderId="0">
      <protection locked="0"/>
    </xf>
    <xf numFmtId="0" fontId="9" fillId="0" borderId="0"/>
    <xf numFmtId="0" fontId="169" fillId="0" borderId="0">
      <alignment vertical="center"/>
    </xf>
    <xf numFmtId="0" fontId="66" fillId="0" borderId="0">
      <alignment vertical="center"/>
    </xf>
    <xf numFmtId="0" fontId="9" fillId="0" borderId="0"/>
    <xf numFmtId="0" fontId="9" fillId="0" borderId="0">
      <alignment vertical="center"/>
    </xf>
    <xf numFmtId="0" fontId="70" fillId="0" borderId="6">
      <alignment horizontal="distributed"/>
    </xf>
    <xf numFmtId="319" fontId="9" fillId="0" borderId="0" applyFill="0" applyBorder="0" applyAlignment="0"/>
    <xf numFmtId="0" fontId="46" fillId="0" borderId="0"/>
    <xf numFmtId="320" fontId="9" fillId="0" borderId="0" applyFill="0" applyBorder="0" applyAlignment="0"/>
    <xf numFmtId="0" fontId="9" fillId="0" borderId="0"/>
    <xf numFmtId="0" fontId="9" fillId="0" borderId="0">
      <alignment vertical="center"/>
    </xf>
    <xf numFmtId="41" fontId="9" fillId="0" borderId="0" applyFont="0" applyFill="0" applyBorder="0" applyAlignment="0" applyProtection="0"/>
    <xf numFmtId="0" fontId="70" fillId="0" borderId="49">
      <alignment vertical="center" wrapText="1"/>
    </xf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25" fontId="9" fillId="0" borderId="0" applyFill="0" applyBorder="0" applyAlignment="0"/>
    <xf numFmtId="324" fontId="9" fillId="0" borderId="0" applyFill="0" applyBorder="0" applyAlignment="0"/>
    <xf numFmtId="311" fontId="46" fillId="0" borderId="0">
      <protection locked="0"/>
    </xf>
    <xf numFmtId="201" fontId="9" fillId="0" borderId="0" applyFont="0" applyFill="0" applyBorder="0" applyAlignment="0" applyProtection="0"/>
    <xf numFmtId="312" fontId="46" fillId="0" borderId="0">
      <protection locked="0"/>
    </xf>
    <xf numFmtId="319" fontId="9" fillId="0" borderId="0" applyFont="0" applyFill="0" applyBorder="0" applyAlignment="0" applyProtection="0"/>
    <xf numFmtId="0" fontId="9" fillId="0" borderId="0"/>
    <xf numFmtId="0" fontId="66" fillId="0" borderId="0">
      <alignment vertical="center"/>
    </xf>
    <xf numFmtId="189" fontId="9" fillId="0" borderId="0">
      <protection locked="0"/>
    </xf>
    <xf numFmtId="238" fontId="10" fillId="0" borderId="0" applyFont="0" applyFill="0" applyBorder="0" applyAlignment="0" applyProtection="0"/>
    <xf numFmtId="0" fontId="9" fillId="0" borderId="0">
      <alignment vertical="center"/>
    </xf>
    <xf numFmtId="0" fontId="9" fillId="0" borderId="0"/>
    <xf numFmtId="189" fontId="9" fillId="0" borderId="0">
      <protection locked="0"/>
    </xf>
    <xf numFmtId="41" fontId="9" fillId="0" borderId="0" applyFont="0" applyFill="0" applyBorder="0" applyAlignment="0" applyProtection="0"/>
    <xf numFmtId="0" fontId="74" fillId="0" borderId="0">
      <protection locked="0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20" fontId="9" fillId="0" borderId="0" applyFill="0" applyBorder="0" applyAlignment="0"/>
    <xf numFmtId="0" fontId="169" fillId="0" borderId="0">
      <alignment vertical="center"/>
    </xf>
    <xf numFmtId="320" fontId="9" fillId="0" borderId="0" applyFill="0" applyBorder="0" applyAlignment="0"/>
    <xf numFmtId="0" fontId="46" fillId="0" borderId="0"/>
    <xf numFmtId="201" fontId="38" fillId="0" borderId="0" applyFont="0" applyFill="0" applyBorder="0" applyAlignment="0" applyProtection="0"/>
    <xf numFmtId="320" fontId="9" fillId="0" borderId="0" applyFill="0" applyBorder="0" applyAlignment="0"/>
    <xf numFmtId="41" fontId="9" fillId="0" borderId="0" applyFont="0" applyFill="0" applyBorder="0" applyAlignment="0" applyProtection="0"/>
    <xf numFmtId="0" fontId="70" fillId="0" borderId="6">
      <alignment horizontal="distributed"/>
    </xf>
    <xf numFmtId="319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9" fontId="9" fillId="0" borderId="0" applyFill="0" applyBorder="0" applyAlignment="0"/>
    <xf numFmtId="320" fontId="9" fillId="0" borderId="0" applyFill="0" applyBorder="0" applyAlignment="0"/>
    <xf numFmtId="0" fontId="9" fillId="0" borderId="0"/>
    <xf numFmtId="0" fontId="169" fillId="0" borderId="0">
      <alignment vertical="center"/>
    </xf>
    <xf numFmtId="319" fontId="9" fillId="0" borderId="0" applyFill="0" applyBorder="0" applyAlignment="0"/>
    <xf numFmtId="310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71" fillId="0" borderId="0"/>
    <xf numFmtId="0" fontId="46" fillId="0" borderId="0"/>
    <xf numFmtId="41" fontId="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314" fontId="74" fillId="0" borderId="0">
      <protection locked="0"/>
    </xf>
    <xf numFmtId="0" fontId="31" fillId="10" borderId="0" applyFill="0" applyBorder="0" applyProtection="0">
      <alignment horizontal="right"/>
    </xf>
    <xf numFmtId="0" fontId="9" fillId="0" borderId="0">
      <alignment vertical="center"/>
    </xf>
    <xf numFmtId="41" fontId="9" fillId="0" borderId="0" applyFont="0" applyFill="0" applyBorder="0" applyAlignment="0" applyProtection="0"/>
    <xf numFmtId="189" fontId="9" fillId="0" borderId="0">
      <protection locked="0"/>
    </xf>
    <xf numFmtId="316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319" fontId="9" fillId="0" borderId="0" applyFill="0" applyBorder="0" applyAlignment="0"/>
    <xf numFmtId="0" fontId="46" fillId="0" borderId="0"/>
    <xf numFmtId="320" fontId="9" fillId="0" borderId="0" applyFill="0" applyBorder="0" applyAlignment="0"/>
    <xf numFmtId="0" fontId="9" fillId="0" borderId="0"/>
    <xf numFmtId="0" fontId="46" fillId="0" borderId="0"/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0" fontId="9" fillId="0" borderId="0"/>
    <xf numFmtId="0" fontId="70" fillId="0" borderId="3">
      <alignment horizontal="distributed" vertical="top"/>
    </xf>
    <xf numFmtId="320" fontId="9" fillId="0" borderId="0" applyFill="0" applyBorder="0" applyAlignment="0"/>
    <xf numFmtId="189" fontId="9" fillId="0" borderId="0">
      <protection locked="0"/>
    </xf>
    <xf numFmtId="0" fontId="9" fillId="0" borderId="0">
      <alignment vertical="center"/>
    </xf>
    <xf numFmtId="238" fontId="10" fillId="0" borderId="0" applyFont="0" applyFill="0" applyBorder="0" applyAlignment="0" applyProtection="0"/>
    <xf numFmtId="0" fontId="70" fillId="0" borderId="0"/>
    <xf numFmtId="311" fontId="46" fillId="0" borderId="0">
      <protection locked="0"/>
    </xf>
    <xf numFmtId="316" fontId="9" fillId="0" borderId="0" applyFill="0" applyBorder="0" applyAlignment="0"/>
    <xf numFmtId="325" fontId="9" fillId="0" borderId="0" applyFill="0" applyBorder="0" applyAlignment="0"/>
    <xf numFmtId="0" fontId="70" fillId="0" borderId="1">
      <alignment horizontal="distributed" vertical="center"/>
    </xf>
    <xf numFmtId="311" fontId="46" fillId="0" borderId="0">
      <protection locked="0"/>
    </xf>
    <xf numFmtId="202" fontId="74" fillId="0" borderId="92">
      <protection locked="0"/>
    </xf>
    <xf numFmtId="299" fontId="54" fillId="0" borderId="0">
      <alignment horizontal="center"/>
    </xf>
    <xf numFmtId="316" fontId="9" fillId="0" borderId="0" applyFill="0" applyBorder="0" applyAlignment="0"/>
    <xf numFmtId="190" fontId="31" fillId="0" borderId="0"/>
    <xf numFmtId="320" fontId="9" fillId="0" borderId="0" applyFill="0" applyBorder="0" applyAlignment="0"/>
    <xf numFmtId="325" fontId="9" fillId="0" borderId="0" applyFill="0" applyBorder="0" applyAlignment="0"/>
    <xf numFmtId="316" fontId="9" fillId="0" borderId="0" applyFill="0" applyBorder="0" applyAlignment="0"/>
    <xf numFmtId="0" fontId="9" fillId="0" borderId="0">
      <alignment vertical="center"/>
    </xf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>
      <alignment vertical="center"/>
    </xf>
    <xf numFmtId="0" fontId="208" fillId="0" borderId="0" applyNumberForma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319" fontId="9" fillId="0" borderId="0" applyFill="0" applyBorder="0" applyAlignment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189" fontId="9" fillId="0" borderId="0">
      <protection locked="0"/>
    </xf>
    <xf numFmtId="201" fontId="38" fillId="0" borderId="0" applyFont="0" applyFill="0" applyBorder="0" applyAlignment="0" applyProtection="0"/>
    <xf numFmtId="0" fontId="70" fillId="0" borderId="0" applyFont="0" applyFill="0" applyBorder="0" applyAlignment="0" applyProtection="0"/>
    <xf numFmtId="189" fontId="9" fillId="0" borderId="0">
      <protection locked="0"/>
    </xf>
    <xf numFmtId="3" fontId="70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70" fillId="0" borderId="6">
      <alignment horizontal="distributed"/>
    </xf>
    <xf numFmtId="316" fontId="9" fillId="0" borderId="0" applyFill="0" applyBorder="0" applyAlignment="0"/>
    <xf numFmtId="20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/>
    <xf numFmtId="0" fontId="9" fillId="0" borderId="0"/>
    <xf numFmtId="0" fontId="169" fillId="0" borderId="0">
      <alignment vertical="center"/>
    </xf>
    <xf numFmtId="0" fontId="9" fillId="0" borderId="0">
      <alignment vertical="center"/>
    </xf>
    <xf numFmtId="316" fontId="9" fillId="0" borderId="0" applyFill="0" applyBorder="0" applyAlignment="0"/>
    <xf numFmtId="0" fontId="169" fillId="0" borderId="0">
      <alignment vertical="center"/>
    </xf>
    <xf numFmtId="316" fontId="9" fillId="0" borderId="0" applyFill="0" applyBorder="0" applyAlignment="0"/>
    <xf numFmtId="324" fontId="9" fillId="0" borderId="0" applyFill="0" applyBorder="0" applyAlignment="0"/>
    <xf numFmtId="316" fontId="9" fillId="0" borderId="0" applyFill="0" applyBorder="0" applyAlignment="0"/>
    <xf numFmtId="323" fontId="9" fillId="0" borderId="0" applyFont="0" applyFill="0" applyBorder="0" applyAlignment="0" applyProtection="0"/>
    <xf numFmtId="0" fontId="70" fillId="0" borderId="0"/>
    <xf numFmtId="0" fontId="4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9" fillId="0" borderId="0"/>
    <xf numFmtId="189" fontId="9" fillId="0" borderId="0">
      <protection locked="0"/>
    </xf>
    <xf numFmtId="315" fontId="130" fillId="0" borderId="0">
      <alignment vertical="center"/>
    </xf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9" fillId="0" borderId="0">
      <alignment vertical="center"/>
    </xf>
    <xf numFmtId="319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12" fontId="46" fillId="0" borderId="0">
      <protection locked="0"/>
    </xf>
    <xf numFmtId="189" fontId="9" fillId="0" borderId="0">
      <protection locked="0"/>
    </xf>
    <xf numFmtId="0" fontId="70" fillId="0" borderId="49">
      <alignment vertical="center" wrapText="1"/>
    </xf>
    <xf numFmtId="189" fontId="9" fillId="0" borderId="0">
      <protection locked="0"/>
    </xf>
    <xf numFmtId="0" fontId="9" fillId="0" borderId="0"/>
    <xf numFmtId="201" fontId="9" fillId="0" borderId="0" applyFont="0" applyFill="0" applyBorder="0" applyAlignment="0" applyProtection="0"/>
    <xf numFmtId="308" fontId="46" fillId="0" borderId="0">
      <protection locked="0"/>
    </xf>
    <xf numFmtId="321" fontId="9" fillId="0" borderId="0" applyFill="0" applyBorder="0" applyAlignment="0"/>
    <xf numFmtId="0" fontId="9" fillId="0" borderId="0"/>
    <xf numFmtId="321" fontId="9" fillId="0" borderId="0" applyFill="0" applyBorder="0" applyAlignment="0"/>
    <xf numFmtId="0" fontId="67" fillId="0" borderId="0"/>
    <xf numFmtId="309" fontId="68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08" fontId="46" fillId="0" borderId="0">
      <protection locked="0"/>
    </xf>
    <xf numFmtId="41" fontId="9" fillId="0" borderId="0" applyFont="0" applyFill="0" applyBorder="0" applyAlignment="0" applyProtection="0"/>
    <xf numFmtId="0" fontId="169" fillId="0" borderId="0">
      <alignment vertical="center"/>
    </xf>
    <xf numFmtId="3" fontId="70" fillId="0" borderId="0">
      <alignment vertical="center"/>
    </xf>
    <xf numFmtId="309" fontId="68" fillId="0" borderId="0" applyFont="0" applyFill="0" applyBorder="0" applyAlignment="0" applyProtection="0"/>
    <xf numFmtId="309" fontId="68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201" fontId="38" fillId="0" borderId="0" applyFont="0" applyFill="0" applyBorder="0" applyAlignment="0" applyProtection="0"/>
    <xf numFmtId="0" fontId="9" fillId="0" borderId="0">
      <alignment vertical="center"/>
    </xf>
    <xf numFmtId="41" fontId="9" fillId="0" borderId="0" applyFont="0" applyFill="0" applyBorder="0" applyAlignment="0" applyProtection="0"/>
    <xf numFmtId="0" fontId="70" fillId="0" borderId="1">
      <alignment horizontal="distributed" vertical="center"/>
    </xf>
    <xf numFmtId="0" fontId="46" fillId="0" borderId="0"/>
    <xf numFmtId="0" fontId="9" fillId="0" borderId="0"/>
    <xf numFmtId="0" fontId="9" fillId="0" borderId="0"/>
    <xf numFmtId="320" fontId="9" fillId="0" borderId="0" applyFill="0" applyBorder="0" applyAlignment="0"/>
    <xf numFmtId="0" fontId="9" fillId="0" borderId="0">
      <alignment vertical="center"/>
    </xf>
    <xf numFmtId="319" fontId="9" fillId="0" borderId="0" applyFill="0" applyBorder="0" applyAlignment="0"/>
    <xf numFmtId="320" fontId="9" fillId="0" borderId="0" applyFill="0" applyBorder="0" applyAlignment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25" fontId="9" fillId="0" borderId="0" applyFill="0" applyBorder="0" applyAlignment="0"/>
    <xf numFmtId="3" fontId="70" fillId="0" borderId="0">
      <alignment vertical="center"/>
    </xf>
    <xf numFmtId="0" fontId="9" fillId="0" borderId="1" applyNumberFormat="0" applyFill="0" applyProtection="0">
      <alignment vertical="center"/>
    </xf>
    <xf numFmtId="189" fontId="9" fillId="0" borderId="0">
      <protection locked="0"/>
    </xf>
    <xf numFmtId="3" fontId="70" fillId="0" borderId="0">
      <alignment vertical="center"/>
    </xf>
    <xf numFmtId="189" fontId="9" fillId="0" borderId="0">
      <protection locked="0"/>
    </xf>
    <xf numFmtId="324" fontId="9" fillId="0" borderId="0" applyFill="0" applyBorder="0" applyAlignment="0"/>
    <xf numFmtId="0" fontId="67" fillId="0" borderId="0"/>
    <xf numFmtId="316" fontId="9" fillId="0" borderId="0" applyFill="0" applyBorder="0" applyAlignment="0"/>
    <xf numFmtId="0" fontId="70" fillId="0" borderId="0"/>
    <xf numFmtId="0" fontId="9" fillId="0" borderId="0"/>
    <xf numFmtId="0" fontId="169" fillId="0" borderId="0">
      <alignment vertical="center"/>
    </xf>
    <xf numFmtId="0" fontId="9" fillId="0" borderId="0">
      <alignment vertical="center"/>
    </xf>
    <xf numFmtId="190" fontId="31" fillId="0" borderId="0"/>
    <xf numFmtId="0" fontId="70" fillId="0" borderId="49">
      <alignment vertical="center" wrapText="1"/>
    </xf>
    <xf numFmtId="41" fontId="9" fillId="0" borderId="0" applyFont="0" applyFill="0" applyBorder="0" applyAlignment="0" applyProtection="0"/>
    <xf numFmtId="3" fontId="70" fillId="0" borderId="0">
      <alignment vertical="center"/>
    </xf>
    <xf numFmtId="308" fontId="46" fillId="0" borderId="0">
      <protection locked="0"/>
    </xf>
    <xf numFmtId="299" fontId="54" fillId="0" borderId="0">
      <alignment horizontal="center"/>
    </xf>
    <xf numFmtId="41" fontId="9" fillId="0" borderId="0" applyFont="0" applyFill="0" applyBorder="0" applyAlignment="0" applyProtection="0">
      <alignment vertical="center"/>
    </xf>
    <xf numFmtId="311" fontId="46" fillId="0" borderId="0">
      <protection locked="0"/>
    </xf>
    <xf numFmtId="324" fontId="9" fillId="0" borderId="0" applyFill="0" applyBorder="0" applyAlignment="0"/>
    <xf numFmtId="316" fontId="9" fillId="0" borderId="0" applyFill="0" applyBorder="0" applyAlignment="0"/>
    <xf numFmtId="0" fontId="66" fillId="0" borderId="0">
      <alignment vertical="center"/>
    </xf>
    <xf numFmtId="324" fontId="9" fillId="0" borderId="0" applyFill="0" applyBorder="0" applyAlignment="0"/>
    <xf numFmtId="0" fontId="70" fillId="0" borderId="1">
      <alignment horizontal="distributed" vertical="center"/>
    </xf>
    <xf numFmtId="323" fontId="9" fillId="0" borderId="0" applyFont="0" applyFill="0" applyBorder="0" applyAlignment="0" applyProtection="0"/>
    <xf numFmtId="0" fontId="70" fillId="0" borderId="49">
      <alignment vertical="center" wrapText="1"/>
    </xf>
    <xf numFmtId="41" fontId="9" fillId="0" borderId="0" applyFont="0" applyFill="0" applyBorder="0" applyAlignment="0" applyProtection="0"/>
    <xf numFmtId="325" fontId="9" fillId="0" borderId="0" applyFill="0" applyBorder="0" applyAlignment="0"/>
    <xf numFmtId="41" fontId="9" fillId="0" borderId="0" applyFont="0" applyFill="0" applyBorder="0" applyAlignment="0" applyProtection="0"/>
    <xf numFmtId="308" fontId="46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66" fillId="0" borderId="0">
      <alignment vertical="center"/>
    </xf>
    <xf numFmtId="319" fontId="9" fillId="0" borderId="0" applyFont="0" applyFill="0" applyBorder="0" applyAlignment="0" applyProtection="0"/>
    <xf numFmtId="312" fontId="46" fillId="0" borderId="0">
      <protection locked="0"/>
    </xf>
    <xf numFmtId="41" fontId="9" fillId="0" borderId="0" applyFont="0" applyFill="0" applyBorder="0" applyAlignment="0" applyProtection="0"/>
    <xf numFmtId="311" fontId="46" fillId="0" borderId="0">
      <protection locked="0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66" fillId="0" borderId="0">
      <alignment vertical="center"/>
    </xf>
    <xf numFmtId="0" fontId="169" fillId="0" borderId="0">
      <alignment vertical="center"/>
    </xf>
    <xf numFmtId="0" fontId="9" fillId="0" borderId="0"/>
    <xf numFmtId="312" fontId="46" fillId="0" borderId="0">
      <protection locked="0"/>
    </xf>
    <xf numFmtId="322" fontId="9" fillId="0" borderId="0" applyFont="0" applyFill="0" applyBorder="0" applyAlignment="0" applyProtection="0"/>
    <xf numFmtId="0" fontId="9" fillId="0" borderId="0"/>
    <xf numFmtId="309" fontId="68" fillId="0" borderId="0" applyFont="0" applyFill="0" applyBorder="0" applyAlignment="0" applyProtection="0"/>
    <xf numFmtId="203" fontId="9" fillId="0" borderId="0" applyFont="0" applyFill="0" applyBorder="0" applyAlignment="0" applyProtection="0"/>
    <xf numFmtId="189" fontId="9" fillId="0" borderId="0">
      <protection locked="0"/>
    </xf>
    <xf numFmtId="41" fontId="6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69" fillId="0" borderId="0">
      <alignment vertical="center"/>
    </xf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314" fontId="74" fillId="0" borderId="0">
      <protection locked="0"/>
    </xf>
    <xf numFmtId="316" fontId="9" fillId="0" borderId="0" applyFill="0" applyBorder="0" applyAlignment="0"/>
    <xf numFmtId="41" fontId="9" fillId="0" borderId="0" applyFont="0" applyFill="0" applyBorder="0" applyAlignment="0" applyProtection="0"/>
    <xf numFmtId="0" fontId="70" fillId="0" borderId="6">
      <alignment horizontal="distributed"/>
    </xf>
    <xf numFmtId="0" fontId="46" fillId="0" borderId="0"/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70" fillId="0" borderId="0"/>
    <xf numFmtId="41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3" fontId="70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203" fontId="9" fillId="0" borderId="0" applyFont="0" applyFill="0" applyBorder="0" applyAlignment="0" applyProtection="0"/>
    <xf numFmtId="0" fontId="70" fillId="0" borderId="6">
      <alignment horizontal="distributed"/>
    </xf>
    <xf numFmtId="41" fontId="9" fillId="0" borderId="0" applyFont="0" applyFill="0" applyBorder="0" applyAlignment="0" applyProtection="0">
      <alignment vertical="center"/>
    </xf>
    <xf numFmtId="0" fontId="67" fillId="0" borderId="0"/>
    <xf numFmtId="320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11" fontId="46" fillId="0" borderId="0">
      <protection locked="0"/>
    </xf>
    <xf numFmtId="320" fontId="9" fillId="0" borderId="0" applyFill="0" applyBorder="0" applyAlignment="0"/>
    <xf numFmtId="315" fontId="130" fillId="0" borderId="0">
      <alignment vertical="center"/>
    </xf>
    <xf numFmtId="0" fontId="9" fillId="0" borderId="0"/>
    <xf numFmtId="316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201" fontId="9" fillId="0" borderId="0" applyFont="0" applyFill="0" applyBorder="0" applyAlignment="0" applyProtection="0"/>
    <xf numFmtId="0" fontId="9" fillId="0" borderId="0"/>
    <xf numFmtId="308" fontId="46" fillId="0" borderId="0">
      <protection locked="0"/>
    </xf>
    <xf numFmtId="0" fontId="9" fillId="0" borderId="0"/>
    <xf numFmtId="0" fontId="66" fillId="0" borderId="0">
      <alignment vertical="center"/>
    </xf>
    <xf numFmtId="0" fontId="67" fillId="0" borderId="0"/>
    <xf numFmtId="0" fontId="70" fillId="0" borderId="1">
      <alignment horizontal="distributed" vertical="center"/>
    </xf>
    <xf numFmtId="321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312" fontId="46" fillId="0" borderId="0">
      <protection locked="0"/>
    </xf>
    <xf numFmtId="0" fontId="9" fillId="0" borderId="0"/>
    <xf numFmtId="316" fontId="9" fillId="0" borderId="0" applyFill="0" applyBorder="0" applyAlignment="0"/>
    <xf numFmtId="325" fontId="9" fillId="0" borderId="0" applyFill="0" applyBorder="0" applyAlignment="0"/>
    <xf numFmtId="307" fontId="46" fillId="0" borderId="0">
      <protection locked="0"/>
    </xf>
    <xf numFmtId="0" fontId="169" fillId="0" borderId="0">
      <alignment vertical="center"/>
    </xf>
    <xf numFmtId="320" fontId="9" fillId="0" borderId="0" applyFill="0" applyBorder="0" applyAlignment="0"/>
    <xf numFmtId="238" fontId="10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0" fontId="71" fillId="0" borderId="0"/>
    <xf numFmtId="0" fontId="169" fillId="0" borderId="0">
      <alignment vertical="center"/>
    </xf>
    <xf numFmtId="41" fontId="9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190" fontId="31" fillId="0" borderId="0"/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203" fontId="9" fillId="0" borderId="0" applyFont="0" applyFill="0" applyBorder="0" applyAlignment="0" applyProtection="0"/>
    <xf numFmtId="0" fontId="46" fillId="0" borderId="0"/>
    <xf numFmtId="189" fontId="9" fillId="0" borderId="0">
      <protection locked="0"/>
    </xf>
    <xf numFmtId="189" fontId="9" fillId="0" borderId="0">
      <protection locked="0"/>
    </xf>
    <xf numFmtId="202" fontId="74" fillId="0" borderId="92">
      <protection locked="0"/>
    </xf>
    <xf numFmtId="3" fontId="70" fillId="0" borderId="0">
      <alignment vertical="center"/>
    </xf>
    <xf numFmtId="238" fontId="10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189" fontId="9" fillId="0" borderId="0">
      <protection locked="0"/>
    </xf>
    <xf numFmtId="0" fontId="10" fillId="0" borderId="49">
      <alignment horizontal="center" vertical="center"/>
    </xf>
    <xf numFmtId="316" fontId="9" fillId="0" borderId="0" applyFill="0" applyBorder="0" applyAlignment="0"/>
    <xf numFmtId="203" fontId="46" fillId="0" borderId="0">
      <alignment vertical="center"/>
    </xf>
    <xf numFmtId="316" fontId="9" fillId="0" borderId="0" applyFill="0" applyBorder="0" applyAlignment="0"/>
    <xf numFmtId="190" fontId="31" fillId="0" borderId="0"/>
    <xf numFmtId="311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41" fontId="16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1" fontId="66" fillId="0" borderId="0" applyFont="0" applyFill="0" applyBorder="0" applyAlignment="0" applyProtection="0">
      <alignment vertical="center"/>
    </xf>
    <xf numFmtId="0" fontId="70" fillId="0" borderId="0"/>
    <xf numFmtId="189" fontId="9" fillId="0" borderId="0">
      <protection locked="0"/>
    </xf>
    <xf numFmtId="203" fontId="9" fillId="0" borderId="0" applyFont="0" applyFill="0" applyBorder="0" applyAlignment="0" applyProtection="0"/>
    <xf numFmtId="315" fontId="130" fillId="0" borderId="0">
      <alignment vertical="center"/>
    </xf>
    <xf numFmtId="201" fontId="9" fillId="0" borderId="0" applyFont="0" applyFill="0" applyBorder="0" applyAlignment="0" applyProtection="0"/>
    <xf numFmtId="0" fontId="68" fillId="0" borderId="88"/>
    <xf numFmtId="0" fontId="9" fillId="0" borderId="0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6" fillId="0" borderId="0">
      <alignment vertical="center"/>
    </xf>
    <xf numFmtId="0" fontId="46" fillId="0" borderId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12" fontId="46" fillId="0" borderId="0">
      <protection locked="0"/>
    </xf>
    <xf numFmtId="3" fontId="150" fillId="0" borderId="0" applyFont="0" applyFill="0" applyBorder="0" applyAlignment="0" applyProtection="0"/>
    <xf numFmtId="201" fontId="9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202" fontId="74" fillId="0" borderId="92">
      <protection locked="0"/>
    </xf>
    <xf numFmtId="0" fontId="70" fillId="0" borderId="0" applyFont="0" applyFill="0" applyBorder="0" applyAlignment="0" applyProtection="0"/>
    <xf numFmtId="316" fontId="9" fillId="0" borderId="0" applyFill="0" applyBorder="0" applyAlignment="0"/>
    <xf numFmtId="0" fontId="74" fillId="0" borderId="0">
      <protection locked="0"/>
    </xf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206" fillId="0" borderId="0" applyNumberFormat="0" applyFill="0" applyBorder="0" applyAlignment="0" applyProtection="0"/>
    <xf numFmtId="41" fontId="9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69" fillId="0" borderId="0">
      <alignment vertical="center"/>
    </xf>
    <xf numFmtId="189" fontId="9" fillId="0" borderId="0">
      <protection locked="0"/>
    </xf>
    <xf numFmtId="314" fontId="74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238" fontId="10" fillId="0" borderId="0" applyFont="0" applyFill="0" applyBorder="0" applyAlignment="0" applyProtection="0"/>
    <xf numFmtId="0" fontId="70" fillId="0" borderId="0"/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325" fontId="9" fillId="0" borderId="0" applyFill="0" applyBorder="0" applyAlignment="0"/>
    <xf numFmtId="41" fontId="9" fillId="0" borderId="0" applyFont="0" applyFill="0" applyBorder="0" applyAlignment="0" applyProtection="0"/>
    <xf numFmtId="0" fontId="70" fillId="0" borderId="6">
      <alignment horizontal="distributed"/>
    </xf>
    <xf numFmtId="319" fontId="9" fillId="0" borderId="0" applyFill="0" applyBorder="0" applyAlignment="0"/>
    <xf numFmtId="319" fontId="9" fillId="0" borderId="0" applyFont="0" applyFill="0" applyBorder="0" applyAlignment="0" applyProtection="0"/>
    <xf numFmtId="320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0" fontId="70" fillId="0" borderId="1">
      <alignment horizontal="distributed" vertical="center"/>
    </xf>
    <xf numFmtId="311" fontId="46" fillId="0" borderId="0">
      <protection locked="0"/>
    </xf>
    <xf numFmtId="0" fontId="9" fillId="0" borderId="0"/>
    <xf numFmtId="201" fontId="38" fillId="0" borderId="0" applyFont="0" applyFill="0" applyBorder="0" applyAlignment="0" applyProtection="0"/>
    <xf numFmtId="0" fontId="169" fillId="0" borderId="0">
      <alignment vertical="center"/>
    </xf>
    <xf numFmtId="0" fontId="67" fillId="0" borderId="0"/>
    <xf numFmtId="0" fontId="9" fillId="0" borderId="0"/>
    <xf numFmtId="316" fontId="9" fillId="0" borderId="0" applyFill="0" applyBorder="0" applyAlignment="0"/>
    <xf numFmtId="0" fontId="9" fillId="0" borderId="0"/>
    <xf numFmtId="189" fontId="9" fillId="0" borderId="0">
      <protection locked="0"/>
    </xf>
    <xf numFmtId="0" fontId="66" fillId="0" borderId="0">
      <alignment vertical="center"/>
    </xf>
    <xf numFmtId="189" fontId="9" fillId="0" borderId="0">
      <protection locked="0"/>
    </xf>
    <xf numFmtId="0" fontId="9" fillId="0" borderId="0"/>
    <xf numFmtId="31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23" fontId="9" fillId="0" borderId="0" applyFont="0" applyFill="0" applyBorder="0" applyAlignment="0" applyProtection="0"/>
    <xf numFmtId="325" fontId="9" fillId="0" borderId="0" applyFill="0" applyBorder="0" applyAlignment="0"/>
    <xf numFmtId="324" fontId="9" fillId="0" borderId="0" applyFill="0" applyBorder="0" applyAlignment="0"/>
    <xf numFmtId="0" fontId="169" fillId="0" borderId="0">
      <alignment vertical="center"/>
    </xf>
    <xf numFmtId="0" fontId="74" fillId="0" borderId="0">
      <protection locked="0"/>
    </xf>
    <xf numFmtId="0" fontId="9" fillId="0" borderId="0">
      <alignment vertical="center"/>
    </xf>
    <xf numFmtId="41" fontId="9" fillId="0" borderId="0" applyFont="0" applyFill="0" applyBorder="0" applyAlignment="0" applyProtection="0"/>
    <xf numFmtId="0" fontId="71" fillId="0" borderId="0"/>
    <xf numFmtId="0" fontId="169" fillId="0" borderId="0">
      <alignment vertical="center"/>
    </xf>
    <xf numFmtId="320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0" fontId="9" fillId="0" borderId="0" applyFill="0" applyBorder="0" applyAlignment="0"/>
    <xf numFmtId="234" fontId="70" fillId="0" borderId="0"/>
    <xf numFmtId="320" fontId="9" fillId="0" borderId="0" applyFill="0" applyBorder="0" applyAlignment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321" fontId="9" fillId="0" borderId="0" applyFill="0" applyBorder="0" applyAlignment="0"/>
    <xf numFmtId="0" fontId="46" fillId="0" borderId="0"/>
    <xf numFmtId="189" fontId="9" fillId="0" borderId="0">
      <protection locked="0"/>
    </xf>
    <xf numFmtId="189" fontId="9" fillId="0" borderId="0">
      <protection locked="0"/>
    </xf>
    <xf numFmtId="299" fontId="54" fillId="0" borderId="0">
      <alignment horizontal="center"/>
    </xf>
    <xf numFmtId="201" fontId="70" fillId="0" borderId="0" applyFont="0" applyFill="0" applyBorder="0" applyAlignment="0" applyProtection="0"/>
    <xf numFmtId="3" fontId="70" fillId="0" borderId="0">
      <alignment vertical="center"/>
    </xf>
    <xf numFmtId="238" fontId="10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6">
      <alignment horizontal="distributed"/>
    </xf>
    <xf numFmtId="312" fontId="46" fillId="0" borderId="0">
      <protection locked="0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203" fontId="9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145" fillId="0" borderId="0"/>
    <xf numFmtId="0" fontId="31" fillId="10" borderId="0" applyFill="0" applyBorder="0" applyProtection="0">
      <alignment horizontal="right"/>
    </xf>
    <xf numFmtId="41" fontId="9" fillId="0" borderId="0" applyFont="0" applyFill="0" applyBorder="0" applyAlignment="0" applyProtection="0">
      <alignment vertical="center"/>
    </xf>
    <xf numFmtId="0" fontId="169" fillId="0" borderId="0">
      <alignment vertical="center"/>
    </xf>
    <xf numFmtId="189" fontId="9" fillId="0" borderId="0">
      <protection locked="0"/>
    </xf>
    <xf numFmtId="321" fontId="9" fillId="0" borderId="0" applyFill="0" applyBorder="0" applyAlignment="0"/>
    <xf numFmtId="190" fontId="31" fillId="0" borderId="0"/>
    <xf numFmtId="0" fontId="70" fillId="0" borderId="3">
      <alignment horizontal="distributed" vertical="top"/>
    </xf>
    <xf numFmtId="41" fontId="9" fillId="0" borderId="0" applyFont="0" applyFill="0" applyBorder="0" applyAlignment="0" applyProtection="0">
      <alignment vertical="center"/>
    </xf>
    <xf numFmtId="319" fontId="9" fillId="0" borderId="0" applyFill="0" applyBorder="0" applyAlignment="0"/>
    <xf numFmtId="0" fontId="9" fillId="0" borderId="0">
      <alignment vertical="center"/>
    </xf>
    <xf numFmtId="0" fontId="70" fillId="0" borderId="0"/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316" fontId="9" fillId="0" borderId="0" applyFill="0" applyBorder="0" applyAlignment="0"/>
    <xf numFmtId="316" fontId="9" fillId="0" borderId="0" applyFill="0" applyBorder="0" applyAlignment="0"/>
    <xf numFmtId="0" fontId="70" fillId="0" borderId="6">
      <alignment horizontal="distributed"/>
    </xf>
    <xf numFmtId="319" fontId="9" fillId="0" borderId="0" applyFill="0" applyBorder="0" applyAlignment="0"/>
    <xf numFmtId="320" fontId="9" fillId="0" borderId="0" applyFill="0" applyBorder="0" applyAlignment="0"/>
    <xf numFmtId="41" fontId="9" fillId="0" borderId="0" applyFont="0" applyFill="0" applyBorder="0" applyAlignment="0" applyProtection="0"/>
    <xf numFmtId="0" fontId="9" fillId="0" borderId="0"/>
    <xf numFmtId="0" fontId="70" fillId="0" borderId="1">
      <alignment horizontal="distributed" vertical="center"/>
    </xf>
    <xf numFmtId="0" fontId="9" fillId="0" borderId="0">
      <alignment vertical="center"/>
    </xf>
    <xf numFmtId="0" fontId="169" fillId="0" borderId="0">
      <alignment vertical="center"/>
    </xf>
    <xf numFmtId="309" fontId="68" fillId="0" borderId="0" applyFont="0" applyFill="0" applyBorder="0" applyAlignment="0" applyProtection="0"/>
    <xf numFmtId="0" fontId="67" fillId="0" borderId="0"/>
    <xf numFmtId="316" fontId="9" fillId="0" borderId="0" applyFill="0" applyBorder="0" applyAlignment="0"/>
    <xf numFmtId="321" fontId="9" fillId="0" borderId="0" applyFill="0" applyBorder="0" applyAlignment="0"/>
    <xf numFmtId="0" fontId="9" fillId="0" borderId="0"/>
    <xf numFmtId="189" fontId="9" fillId="0" borderId="0">
      <protection locked="0"/>
    </xf>
    <xf numFmtId="0" fontId="66" fillId="0" borderId="0">
      <alignment vertical="center"/>
    </xf>
    <xf numFmtId="189" fontId="9" fillId="0" borderId="0">
      <protection locked="0"/>
    </xf>
    <xf numFmtId="0" fontId="9" fillId="0" borderId="0"/>
    <xf numFmtId="31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323" fontId="9" fillId="0" borderId="0" applyFont="0" applyFill="0" applyBorder="0" applyAlignment="0" applyProtection="0"/>
    <xf numFmtId="325" fontId="9" fillId="0" borderId="0" applyFill="0" applyBorder="0" applyAlignment="0"/>
    <xf numFmtId="324" fontId="9" fillId="0" borderId="0" applyFill="0" applyBorder="0" applyAlignment="0"/>
    <xf numFmtId="41" fontId="9" fillId="0" borderId="0" applyFont="0" applyFill="0" applyBorder="0" applyAlignment="0" applyProtection="0"/>
    <xf numFmtId="0" fontId="71" fillId="0" borderId="0"/>
    <xf numFmtId="320" fontId="9" fillId="0" borderId="0" applyFill="0" applyBorder="0" applyAlignment="0"/>
    <xf numFmtId="0" fontId="74" fillId="0" borderId="0">
      <protection locked="0"/>
    </xf>
    <xf numFmtId="326" fontId="9" fillId="0" borderId="0" applyFill="0" applyBorder="0" applyAlignment="0"/>
    <xf numFmtId="202" fontId="74" fillId="0" borderId="92">
      <protection locked="0"/>
    </xf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314" fontId="74" fillId="0" borderId="0">
      <protection locked="0"/>
    </xf>
    <xf numFmtId="0" fontId="206" fillId="0" borderId="0" applyNumberFormat="0" applyFill="0" applyBorder="0" applyAlignment="0" applyProtection="0"/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9" fillId="0" borderId="0">
      <alignment vertical="center"/>
    </xf>
    <xf numFmtId="312" fontId="46" fillId="0" borderId="0">
      <protection locked="0"/>
    </xf>
    <xf numFmtId="320" fontId="9" fillId="0" borderId="0" applyFill="0" applyBorder="0" applyAlignment="0"/>
    <xf numFmtId="308" fontId="46" fillId="0" borderId="0">
      <protection locked="0"/>
    </xf>
    <xf numFmtId="41" fontId="169" fillId="0" borderId="0" applyFont="0" applyFill="0" applyBorder="0" applyAlignment="0" applyProtection="0">
      <alignment vertical="center"/>
    </xf>
    <xf numFmtId="0" fontId="9" fillId="0" borderId="0"/>
    <xf numFmtId="238" fontId="10" fillId="0" borderId="0" applyFont="0" applyFill="0" applyBorder="0" applyAlignment="0" applyProtection="0"/>
    <xf numFmtId="189" fontId="9" fillId="0" borderId="0">
      <protection locked="0"/>
    </xf>
    <xf numFmtId="202" fontId="74" fillId="0" borderId="92">
      <protection locked="0"/>
    </xf>
    <xf numFmtId="320" fontId="9" fillId="0" borderId="0" applyFill="0" applyBorder="0" applyAlignment="0"/>
    <xf numFmtId="203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0" fontId="70" fillId="0" borderId="3">
      <alignment horizontal="distributed" vertical="top"/>
    </xf>
    <xf numFmtId="312" fontId="46" fillId="0" borderId="0">
      <protection locked="0"/>
    </xf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320" fontId="9" fillId="0" borderId="0" applyFill="0" applyBorder="0" applyAlignment="0"/>
    <xf numFmtId="239" fontId="10" fillId="0" borderId="0" applyFont="0" applyFill="0" applyBorder="0" applyAlignment="0" applyProtection="0"/>
    <xf numFmtId="299" fontId="54" fillId="0" borderId="0">
      <alignment horizontal="center"/>
    </xf>
    <xf numFmtId="3" fontId="150" fillId="0" borderId="0" applyFont="0" applyFill="0" applyBorder="0" applyAlignment="0" applyProtection="0"/>
    <xf numFmtId="0" fontId="38" fillId="0" borderId="0"/>
    <xf numFmtId="190" fontId="31" fillId="0" borderId="0"/>
    <xf numFmtId="313" fontId="9" fillId="0" borderId="0"/>
    <xf numFmtId="320" fontId="9" fillId="0" borderId="0" applyFont="0" applyFill="0" applyBorder="0" applyAlignment="0" applyProtection="0"/>
    <xf numFmtId="0" fontId="71" fillId="0" borderId="0"/>
    <xf numFmtId="0" fontId="46" fillId="0" borderId="0" applyFont="0" applyFill="0" applyBorder="0" applyAlignment="0" applyProtection="0"/>
    <xf numFmtId="314" fontId="74" fillId="0" borderId="0">
      <protection locked="0"/>
    </xf>
    <xf numFmtId="201" fontId="69" fillId="0" borderId="0" applyFont="0" applyFill="0" applyBorder="0" applyAlignment="0" applyProtection="0"/>
    <xf numFmtId="316" fontId="9" fillId="0" borderId="0" applyFill="0" applyBorder="0" applyAlignment="0"/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39" fontId="10" fillId="0" borderId="0" applyFont="0" applyFill="0" applyBorder="0" applyAlignment="0" applyProtection="0"/>
    <xf numFmtId="0" fontId="145" fillId="0" borderId="0"/>
    <xf numFmtId="0" fontId="70" fillId="0" borderId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311" fontId="46" fillId="0" borderId="0">
      <protection locked="0"/>
    </xf>
    <xf numFmtId="41" fontId="9" fillId="0" borderId="0" applyFont="0" applyFill="0" applyBorder="0" applyAlignment="0" applyProtection="0"/>
    <xf numFmtId="3" fontId="70" fillId="0" borderId="0">
      <alignment vertical="center"/>
    </xf>
    <xf numFmtId="190" fontId="31" fillId="0" borderId="0"/>
    <xf numFmtId="41" fontId="9" fillId="0" borderId="0" applyFont="0" applyFill="0" applyBorder="0" applyAlignment="0" applyProtection="0"/>
    <xf numFmtId="319" fontId="9" fillId="0" borderId="0" applyFill="0" applyBorder="0" applyAlignment="0"/>
    <xf numFmtId="0" fontId="9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41" fontId="9" fillId="0" borderId="0" applyFont="0" applyFill="0" applyBorder="0" applyAlignment="0" applyProtection="0"/>
    <xf numFmtId="0" fontId="70" fillId="0" borderId="3">
      <alignment horizontal="distributed" vertical="top"/>
    </xf>
    <xf numFmtId="0" fontId="9" fillId="0" borderId="0"/>
    <xf numFmtId="321" fontId="9" fillId="0" borderId="0" applyFill="0" applyBorder="0" applyAlignment="0"/>
    <xf numFmtId="319" fontId="9" fillId="0" borderId="0" applyFont="0" applyFill="0" applyBorder="0" applyAlignment="0" applyProtection="0"/>
    <xf numFmtId="0" fontId="70" fillId="0" borderId="49">
      <alignment vertical="center" wrapText="1"/>
    </xf>
    <xf numFmtId="320" fontId="9" fillId="0" borderId="0" applyFill="0" applyBorder="0" applyAlignment="0"/>
    <xf numFmtId="316" fontId="9" fillId="0" borderId="0" applyFill="0" applyBorder="0" applyAlignment="0"/>
    <xf numFmtId="325" fontId="9" fillId="0" borderId="0" applyFill="0" applyBorder="0" applyAlignment="0"/>
    <xf numFmtId="310" fontId="46" fillId="0" borderId="0">
      <protection locked="0"/>
    </xf>
    <xf numFmtId="316" fontId="9" fillId="0" borderId="0" applyFill="0" applyBorder="0" applyAlignment="0"/>
    <xf numFmtId="0" fontId="9" fillId="0" borderId="0"/>
    <xf numFmtId="0" fontId="70" fillId="0" borderId="1">
      <alignment horizontal="distributed" vertical="center"/>
    </xf>
    <xf numFmtId="324" fontId="9" fillId="0" borderId="0" applyFill="0" applyBorder="0" applyAlignment="0"/>
    <xf numFmtId="0" fontId="70" fillId="0" borderId="0" applyFont="0" applyFill="0" applyBorder="0" applyAlignment="0" applyProtection="0"/>
    <xf numFmtId="201" fontId="9" fillId="0" borderId="0" applyFont="0" applyFill="0" applyBorder="0" applyAlignment="0" applyProtection="0"/>
    <xf numFmtId="308" fontId="46" fillId="0" borderId="0">
      <protection locked="0"/>
    </xf>
    <xf numFmtId="202" fontId="74" fillId="0" borderId="92">
      <protection locked="0"/>
    </xf>
    <xf numFmtId="0" fontId="70" fillId="0" borderId="1">
      <alignment horizontal="distributed" vertical="center"/>
    </xf>
    <xf numFmtId="3" fontId="70" fillId="0" borderId="0">
      <alignment vertical="center"/>
    </xf>
    <xf numFmtId="309" fontId="68" fillId="0" borderId="0" applyFont="0" applyFill="0" applyBorder="0" applyAlignment="0" applyProtection="0"/>
    <xf numFmtId="0" fontId="169" fillId="0" borderId="0">
      <alignment vertical="center"/>
    </xf>
    <xf numFmtId="316" fontId="9" fillId="0" borderId="0" applyFill="0" applyBorder="0" applyAlignment="0"/>
    <xf numFmtId="0" fontId="169" fillId="0" borderId="0">
      <alignment vertical="center"/>
    </xf>
    <xf numFmtId="0" fontId="9" fillId="0" borderId="0">
      <alignment vertical="center"/>
    </xf>
    <xf numFmtId="0" fontId="9" fillId="0" borderId="0"/>
    <xf numFmtId="189" fontId="9" fillId="0" borderId="0">
      <protection locked="0"/>
    </xf>
    <xf numFmtId="0" fontId="9" fillId="0" borderId="0">
      <alignment vertical="center"/>
    </xf>
    <xf numFmtId="240" fontId="10" fillId="0" borderId="0" applyFont="0" applyFill="0" applyBorder="0" applyAlignment="0" applyProtection="0"/>
    <xf numFmtId="0" fontId="169" fillId="0" borderId="0">
      <alignment vertical="center"/>
    </xf>
    <xf numFmtId="319" fontId="9" fillId="0" borderId="0" applyFont="0" applyFill="0" applyBorder="0" applyAlignment="0" applyProtection="0"/>
    <xf numFmtId="234" fontId="70" fillId="0" borderId="0"/>
    <xf numFmtId="320" fontId="9" fillId="0" borderId="0" applyFill="0" applyBorder="0" applyAlignment="0"/>
    <xf numFmtId="320" fontId="9" fillId="0" borderId="0" applyFill="0" applyBorder="0" applyAlignment="0"/>
    <xf numFmtId="202" fontId="74" fillId="0" borderId="92">
      <protection locked="0"/>
    </xf>
    <xf numFmtId="326" fontId="9" fillId="0" borderId="0" applyFill="0" applyBorder="0" applyAlignment="0"/>
    <xf numFmtId="320" fontId="9" fillId="0" borderId="0" applyFill="0" applyBorder="0" applyAlignment="0"/>
    <xf numFmtId="323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0" fontId="74" fillId="0" borderId="0">
      <protection locked="0"/>
    </xf>
    <xf numFmtId="234" fontId="70" fillId="0" borderId="0"/>
    <xf numFmtId="320" fontId="9" fillId="0" borderId="0" applyFill="0" applyBorder="0" applyAlignment="0"/>
    <xf numFmtId="0" fontId="7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9" fillId="0" borderId="0">
      <alignment vertical="center"/>
    </xf>
    <xf numFmtId="309" fontId="68" fillId="0" borderId="0" applyFont="0" applyFill="0" applyBorder="0" applyAlignment="0" applyProtection="0"/>
    <xf numFmtId="316" fontId="9" fillId="0" borderId="0" applyFill="0" applyBorder="0" applyAlignment="0"/>
    <xf numFmtId="3" fontId="70" fillId="0" borderId="0">
      <alignment vertical="center"/>
    </xf>
    <xf numFmtId="189" fontId="9" fillId="0" borderId="0">
      <protection locked="0"/>
    </xf>
    <xf numFmtId="316" fontId="9" fillId="0" borderId="0" applyFill="0" applyBorder="0" applyAlignment="0"/>
    <xf numFmtId="0" fontId="169" fillId="0" borderId="0">
      <alignment vertical="center"/>
    </xf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321" fontId="9" fillId="0" borderId="0" applyFill="0" applyBorder="0" applyAlignment="0"/>
    <xf numFmtId="201" fontId="70" fillId="0" borderId="0" applyFont="0" applyFill="0" applyBorder="0" applyAlignment="0" applyProtection="0"/>
    <xf numFmtId="311" fontId="46" fillId="0" borderId="0">
      <protection locked="0"/>
    </xf>
    <xf numFmtId="316" fontId="9" fillId="0" borderId="0" applyFont="0" applyFill="0" applyBorder="0" applyAlignment="0" applyProtection="0"/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237" fontId="70" fillId="0" borderId="0" applyFont="0" applyFill="0" applyBorder="0" applyAlignment="0" applyProtection="0"/>
    <xf numFmtId="3" fontId="150" fillId="0" borderId="0" applyFont="0" applyFill="0" applyBorder="0" applyAlignment="0" applyProtection="0"/>
    <xf numFmtId="201" fontId="38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71" fillId="0" borderId="0"/>
    <xf numFmtId="0" fontId="46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0" fontId="38" fillId="0" borderId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9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4" fontId="74" fillId="0" borderId="0">
      <protection locked="0"/>
    </xf>
    <xf numFmtId="20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316" fontId="9" fillId="0" borderId="0" applyFill="0" applyBorder="0" applyAlignment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189" fontId="9" fillId="0" borderId="0">
      <protection locked="0"/>
    </xf>
    <xf numFmtId="203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0" fontId="66" fillId="0" borderId="0">
      <alignment vertical="center"/>
    </xf>
    <xf numFmtId="41" fontId="9" fillId="0" borderId="0" applyFont="0" applyFill="0" applyBorder="0" applyAlignment="0" applyProtection="0"/>
    <xf numFmtId="310" fontId="46" fillId="0" borderId="0">
      <protection locked="0"/>
    </xf>
    <xf numFmtId="41" fontId="9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0" fontId="70" fillId="0" borderId="3">
      <alignment horizontal="distributed" vertical="top"/>
    </xf>
    <xf numFmtId="0" fontId="9" fillId="0" borderId="0"/>
    <xf numFmtId="312" fontId="46" fillId="0" borderId="0">
      <protection locked="0"/>
    </xf>
    <xf numFmtId="202" fontId="74" fillId="0" borderId="92">
      <protection locked="0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9" fillId="0" borderId="0"/>
    <xf numFmtId="0" fontId="9" fillId="0" borderId="0"/>
    <xf numFmtId="0" fontId="70" fillId="0" borderId="1">
      <alignment horizontal="distributed" vertical="center"/>
    </xf>
    <xf numFmtId="0" fontId="9" fillId="0" borderId="0"/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89" fontId="9" fillId="0" borderId="0">
      <protection locked="0"/>
    </xf>
    <xf numFmtId="202" fontId="74" fillId="0" borderId="92">
      <protection locked="0"/>
    </xf>
    <xf numFmtId="0" fontId="9" fillId="0" borderId="0"/>
    <xf numFmtId="316" fontId="9" fillId="0" borderId="0" applyFill="0" applyBorder="0" applyAlignment="0"/>
    <xf numFmtId="41" fontId="169" fillId="0" borderId="0" applyFont="0" applyFill="0" applyBorder="0" applyAlignment="0" applyProtection="0">
      <alignment vertical="center"/>
    </xf>
    <xf numFmtId="308" fontId="46" fillId="0" borderId="0">
      <protection locked="0"/>
    </xf>
    <xf numFmtId="320" fontId="9" fillId="0" borderId="0" applyFill="0" applyBorder="0" applyAlignment="0"/>
    <xf numFmtId="309" fontId="68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323" fontId="9" fillId="0" borderId="0" applyFont="0" applyFill="0" applyBorder="0" applyAlignment="0" applyProtection="0"/>
    <xf numFmtId="316" fontId="9" fillId="0" borderId="0" applyFill="0" applyBorder="0" applyAlignment="0"/>
    <xf numFmtId="240" fontId="10" fillId="0" borderId="0" applyFont="0" applyFill="0" applyBorder="0" applyAlignment="0" applyProtection="0"/>
    <xf numFmtId="189" fontId="9" fillId="0" borderId="0">
      <protection locked="0"/>
    </xf>
    <xf numFmtId="314" fontId="74" fillId="0" borderId="0">
      <protection locked="0"/>
    </xf>
    <xf numFmtId="325" fontId="9" fillId="0" borderId="0" applyFill="0" applyBorder="0" applyAlignment="0"/>
    <xf numFmtId="202" fontId="74" fillId="0" borderId="92">
      <protection locked="0"/>
    </xf>
    <xf numFmtId="324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201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alignment vertical="center"/>
    </xf>
    <xf numFmtId="0" fontId="208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323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316" fontId="9" fillId="0" borderId="0" applyFill="0" applyBorder="0" applyAlignment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3">
      <alignment horizontal="distributed" vertical="top"/>
    </xf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312" fontId="46" fillId="0" borderId="0">
      <protection locked="0"/>
    </xf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9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201" fontId="38" fillId="0" borderId="0" applyFont="0" applyFill="0" applyBorder="0" applyAlignment="0" applyProtection="0"/>
    <xf numFmtId="320" fontId="9" fillId="0" borderId="0" applyFill="0" applyBorder="0" applyAlignment="0"/>
    <xf numFmtId="203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70" fillId="0" borderId="0">
      <alignment vertical="center"/>
    </xf>
    <xf numFmtId="316" fontId="9" fillId="0" borderId="0" applyFill="0" applyBorder="0" applyAlignment="0"/>
    <xf numFmtId="0" fontId="9" fillId="0" borderId="0"/>
    <xf numFmtId="0" fontId="70" fillId="0" borderId="49">
      <alignment vertical="center" wrapText="1"/>
    </xf>
    <xf numFmtId="0" fontId="70" fillId="0" borderId="0"/>
    <xf numFmtId="319" fontId="9" fillId="0" borderId="0" applyFill="0" applyBorder="0" applyAlignment="0"/>
    <xf numFmtId="0" fontId="9" fillId="0" borderId="0">
      <alignment vertical="center"/>
    </xf>
    <xf numFmtId="0" fontId="169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41" fontId="169" fillId="0" borderId="0" applyFont="0" applyFill="0" applyBorder="0" applyAlignment="0" applyProtection="0">
      <alignment vertical="center"/>
    </xf>
    <xf numFmtId="0" fontId="9" fillId="0" borderId="0"/>
    <xf numFmtId="321" fontId="9" fillId="0" borderId="0" applyFill="0" applyBorder="0" applyAlignment="0"/>
    <xf numFmtId="312" fontId="46" fillId="0" borderId="0">
      <protection locked="0"/>
    </xf>
    <xf numFmtId="41" fontId="9" fillId="0" borderId="0" applyFont="0" applyFill="0" applyBorder="0" applyAlignment="0" applyProtection="0"/>
    <xf numFmtId="299" fontId="54" fillId="0" borderId="0">
      <alignment horizont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318" fontId="9" fillId="0" borderId="0" applyFill="0" applyBorder="0" applyAlignment="0"/>
    <xf numFmtId="321" fontId="9" fillId="0" borderId="0" applyFill="0" applyBorder="0" applyAlignment="0"/>
    <xf numFmtId="4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70" fillId="0" borderId="0" applyFont="0" applyFill="0" applyBorder="0" applyAlignment="0" applyProtection="0"/>
    <xf numFmtId="41" fontId="9" fillId="0" borderId="0" applyFont="0" applyFill="0" applyBorder="0" applyAlignment="0" applyProtection="0"/>
    <xf numFmtId="315" fontId="130" fillId="0" borderId="0">
      <alignment vertical="center"/>
    </xf>
    <xf numFmtId="41" fontId="169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67" fillId="0" borderId="0"/>
    <xf numFmtId="41" fontId="16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0" fontId="70" fillId="0" borderId="6">
      <alignment horizontal="distributed"/>
    </xf>
    <xf numFmtId="0" fontId="169" fillId="0" borderId="0">
      <alignment vertical="center"/>
    </xf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9" fillId="0" borderId="0">
      <alignment vertical="center"/>
    </xf>
    <xf numFmtId="0" fontId="71" fillId="0" borderId="0"/>
    <xf numFmtId="0" fontId="169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322" fontId="9" fillId="0" borderId="0" applyFont="0" applyFill="0" applyBorder="0" applyAlignment="0" applyProtection="0"/>
    <xf numFmtId="190" fontId="31" fillId="0" borderId="0"/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315" fontId="130" fillId="0" borderId="0">
      <alignment vertical="center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0" fontId="169" fillId="0" borderId="0">
      <alignment vertical="center"/>
    </xf>
    <xf numFmtId="237" fontId="70" fillId="0" borderId="0" applyFont="0" applyFill="0" applyBorder="0" applyAlignment="0" applyProtection="0"/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" fontId="70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0" fontId="70" fillId="0" borderId="3">
      <alignment horizontal="distributed" vertical="top"/>
    </xf>
    <xf numFmtId="0" fontId="9" fillId="0" borderId="0"/>
    <xf numFmtId="0" fontId="68" fillId="0" borderId="88"/>
    <xf numFmtId="312" fontId="46" fillId="0" borderId="0">
      <protection locked="0"/>
    </xf>
    <xf numFmtId="190" fontId="31" fillId="0" borderId="0"/>
    <xf numFmtId="238" fontId="10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0" fontId="9" fillId="0" borderId="0"/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0" fontId="70" fillId="0" borderId="0"/>
    <xf numFmtId="41" fontId="16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0" fontId="67" fillId="0" borderId="0"/>
    <xf numFmtId="41" fontId="169" fillId="0" borderId="0" applyFont="0" applyFill="0" applyBorder="0" applyAlignment="0" applyProtection="0">
      <alignment vertical="center"/>
    </xf>
    <xf numFmtId="316" fontId="9" fillId="0" borderId="0" applyFill="0" applyBorder="0" applyAlignment="0"/>
    <xf numFmtId="320" fontId="9" fillId="0" borderId="0" applyFill="0" applyBorder="0" applyAlignment="0"/>
    <xf numFmtId="0" fontId="169" fillId="0" borderId="0">
      <alignment vertical="center"/>
    </xf>
    <xf numFmtId="41" fontId="9" fillId="0" borderId="0" applyFont="0" applyFill="0" applyBorder="0" applyAlignment="0" applyProtection="0"/>
    <xf numFmtId="0" fontId="9" fillId="0" borderId="0"/>
    <xf numFmtId="189" fontId="9" fillId="0" borderId="0">
      <protection locked="0"/>
    </xf>
    <xf numFmtId="238" fontId="10" fillId="0" borderId="0" applyFont="0" applyFill="0" applyBorder="0" applyAlignment="0" applyProtection="0"/>
    <xf numFmtId="0" fontId="71" fillId="0" borderId="0"/>
    <xf numFmtId="0" fontId="169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314" fontId="74" fillId="0" borderId="0">
      <protection locked="0"/>
    </xf>
    <xf numFmtId="0" fontId="9" fillId="0" borderId="0">
      <alignment vertical="center"/>
    </xf>
    <xf numFmtId="323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320" fontId="9" fillId="0" borderId="0" applyFill="0" applyBorder="0" applyAlignment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316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201" fontId="70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11" fontId="46" fillId="0" borderId="0">
      <protection locked="0"/>
    </xf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89" fontId="9" fillId="0" borderId="0">
      <protection locked="0"/>
    </xf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0" fontId="169" fillId="0" borderId="0">
      <alignment vertical="center"/>
    </xf>
    <xf numFmtId="0" fontId="70" fillId="0" borderId="0"/>
    <xf numFmtId="316" fontId="9" fillId="0" borderId="0" applyFont="0" applyFill="0" applyBorder="0" applyAlignment="0" applyProtection="0"/>
    <xf numFmtId="0" fontId="9" fillId="0" borderId="0">
      <alignment vertical="center"/>
    </xf>
    <xf numFmtId="0" fontId="169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0" fontId="70" fillId="0" borderId="3">
      <alignment horizontal="distributed" vertical="top"/>
    </xf>
    <xf numFmtId="0" fontId="9" fillId="0" borderId="0"/>
    <xf numFmtId="203" fontId="9" fillId="0" borderId="0" applyFont="0" applyFill="0" applyBorder="0" applyAlignment="0" applyProtection="0"/>
    <xf numFmtId="312" fontId="46" fillId="0" borderId="0">
      <protection locked="0"/>
    </xf>
    <xf numFmtId="41" fontId="9" fillId="0" borderId="0" applyFont="0" applyFill="0" applyBorder="0" applyAlignment="0" applyProtection="0"/>
    <xf numFmtId="299" fontId="54" fillId="0" borderId="0">
      <alignment horizont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309" fontId="68" fillId="0" borderId="0" applyFont="0" applyFill="0" applyBorder="0" applyAlignment="0" applyProtection="0"/>
    <xf numFmtId="0" fontId="70" fillId="0" borderId="1">
      <alignment horizontal="distributed" vertical="center"/>
    </xf>
    <xf numFmtId="0" fontId="9" fillId="0" borderId="0"/>
    <xf numFmtId="0" fontId="46" fillId="0" borderId="0"/>
    <xf numFmtId="41" fontId="169" fillId="0" borderId="0" applyFont="0" applyFill="0" applyBorder="0" applyAlignment="0" applyProtection="0">
      <alignment vertical="center"/>
    </xf>
    <xf numFmtId="0" fontId="9" fillId="0" borderId="1" applyNumberFormat="0" applyFill="0" applyProtection="0">
      <alignment vertical="center"/>
    </xf>
    <xf numFmtId="316" fontId="9" fillId="0" borderId="0" applyFill="0" applyBorder="0" applyAlignment="0"/>
    <xf numFmtId="0" fontId="70" fillId="0" borderId="0"/>
    <xf numFmtId="202" fontId="74" fillId="0" borderId="92">
      <protection locked="0"/>
    </xf>
    <xf numFmtId="324" fontId="9" fillId="0" borderId="0" applyFill="0" applyBorder="0" applyAlignment="0"/>
    <xf numFmtId="0" fontId="67" fillId="0" borderId="0"/>
    <xf numFmtId="41" fontId="169" fillId="0" borderId="0" applyFont="0" applyFill="0" applyBorder="0" applyAlignment="0" applyProtection="0">
      <alignment vertical="center"/>
    </xf>
    <xf numFmtId="321" fontId="9" fillId="0" borderId="0" applyFill="0" applyBorder="0" applyAlignment="0"/>
    <xf numFmtId="320" fontId="9" fillId="0" borderId="0" applyFill="0" applyBorder="0" applyAlignment="0"/>
    <xf numFmtId="0" fontId="169" fillId="0" borderId="0">
      <alignment vertical="center"/>
    </xf>
    <xf numFmtId="4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9" fillId="0" borderId="0">
      <alignment vertical="center"/>
    </xf>
    <xf numFmtId="0" fontId="71" fillId="0" borderId="0"/>
    <xf numFmtId="0" fontId="169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90" fontId="31" fillId="0" borderId="0"/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319" fontId="9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320" fontId="9" fillId="0" borderId="0" applyFill="0" applyBorder="0" applyAlignment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/>
    <xf numFmtId="0" fontId="70" fillId="0" borderId="1">
      <alignment horizontal="distributed" vertical="center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189" fontId="9" fillId="0" borderId="0">
      <protection locked="0"/>
    </xf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20" fontId="9" fillId="0" borderId="0" applyFill="0" applyBorder="0" applyAlignment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0" fontId="169" fillId="0" borderId="0">
      <alignment vertical="center"/>
    </xf>
    <xf numFmtId="0" fontId="169" fillId="0" borderId="0">
      <alignment vertical="center"/>
    </xf>
    <xf numFmtId="41" fontId="9" fillId="0" borderId="0" applyFont="0" applyFill="0" applyBorder="0" applyAlignment="0" applyProtection="0"/>
    <xf numFmtId="319" fontId="9" fillId="0" borderId="0" applyFill="0" applyBorder="0" applyAlignment="0"/>
    <xf numFmtId="0" fontId="9" fillId="0" borderId="0">
      <alignment vertical="center"/>
    </xf>
    <xf numFmtId="238" fontId="10" fillId="0" borderId="0" applyFont="0" applyFill="0" applyBorder="0" applyAlignment="0" applyProtection="0"/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0" fontId="70" fillId="0" borderId="3">
      <alignment horizontal="distributed" vertical="top"/>
    </xf>
    <xf numFmtId="0" fontId="9" fillId="0" borderId="0"/>
    <xf numFmtId="201" fontId="9" fillId="0" borderId="0" applyFont="0" applyFill="0" applyBorder="0" applyAlignment="0" applyProtection="0"/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169" fillId="0" borderId="0">
      <alignment vertical="center"/>
    </xf>
    <xf numFmtId="0" fontId="70" fillId="0" borderId="49">
      <alignment vertical="center" wrapText="1"/>
    </xf>
    <xf numFmtId="311" fontId="46" fillId="0" borderId="0">
      <protection locked="0"/>
    </xf>
    <xf numFmtId="0" fontId="9" fillId="0" borderId="0"/>
    <xf numFmtId="0" fontId="70" fillId="0" borderId="1">
      <alignment horizontal="distributed" vertical="center"/>
    </xf>
    <xf numFmtId="189" fontId="9" fillId="0" borderId="0">
      <protection locked="0"/>
    </xf>
    <xf numFmtId="0" fontId="70" fillId="0" borderId="49">
      <alignment vertical="center" wrapText="1"/>
    </xf>
    <xf numFmtId="0" fontId="68" fillId="0" borderId="88"/>
    <xf numFmtId="0" fontId="70" fillId="0" borderId="0"/>
    <xf numFmtId="202" fontId="74" fillId="0" borderId="92">
      <protection locked="0"/>
    </xf>
    <xf numFmtId="41" fontId="169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316" fontId="9" fillId="0" borderId="0" applyFill="0" applyBorder="0" applyAlignment="0"/>
    <xf numFmtId="189" fontId="9" fillId="0" borderId="0">
      <protection locked="0"/>
    </xf>
    <xf numFmtId="0" fontId="10" fillId="0" borderId="49">
      <alignment horizontal="center" vertical="center"/>
    </xf>
    <xf numFmtId="0" fontId="9" fillId="0" borderId="0"/>
    <xf numFmtId="319" fontId="9" fillId="0" borderId="0" applyFont="0" applyFill="0" applyBorder="0" applyAlignment="0" applyProtection="0"/>
    <xf numFmtId="0" fontId="169" fillId="0" borderId="0">
      <alignment vertical="center"/>
    </xf>
    <xf numFmtId="311" fontId="46" fillId="0" borderId="0">
      <protection locked="0"/>
    </xf>
    <xf numFmtId="41" fontId="9" fillId="0" borderId="0" applyFont="0" applyFill="0" applyBorder="0" applyAlignment="0" applyProtection="0"/>
    <xf numFmtId="323" fontId="9" fillId="0" borderId="0" applyFont="0" applyFill="0" applyBorder="0" applyAlignment="0" applyProtection="0"/>
    <xf numFmtId="0" fontId="9" fillId="0" borderId="0">
      <alignment vertical="center"/>
    </xf>
    <xf numFmtId="203" fontId="46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0" fontId="70" fillId="0" borderId="6">
      <alignment horizontal="distributed"/>
    </xf>
    <xf numFmtId="189" fontId="9" fillId="0" borderId="0">
      <protection locked="0"/>
    </xf>
    <xf numFmtId="189" fontId="9" fillId="0" borderId="0">
      <protection locked="0"/>
    </xf>
    <xf numFmtId="324" fontId="9" fillId="0" borderId="0" applyFill="0" applyBorder="0" applyAlignment="0"/>
    <xf numFmtId="323" fontId="9" fillId="0" borderId="0" applyFont="0" applyFill="0" applyBorder="0" applyAlignment="0" applyProtection="0"/>
    <xf numFmtId="238" fontId="10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319" fontId="9" fillId="0" borderId="0" applyFill="0" applyBorder="0" applyAlignment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11" fontId="46" fillId="0" borderId="0">
      <protection locked="0"/>
    </xf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89" fontId="9" fillId="0" borderId="0">
      <protection locked="0"/>
    </xf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0" fontId="169" fillId="0" borderId="0">
      <alignment vertical="center"/>
    </xf>
    <xf numFmtId="0" fontId="46" fillId="0" borderId="0"/>
    <xf numFmtId="316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69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202" fontId="74" fillId="0" borderId="92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41" fontId="9" fillId="0" borderId="0" applyFont="0" applyFill="0" applyBorder="0" applyAlignment="0" applyProtection="0"/>
    <xf numFmtId="0" fontId="67" fillId="0" borderId="0"/>
    <xf numFmtId="0" fontId="67" fillId="0" borderId="0"/>
    <xf numFmtId="203" fontId="9" fillId="0" borderId="0" applyFont="0" applyFill="0" applyBorder="0" applyAlignment="0" applyProtection="0"/>
    <xf numFmtId="0" fontId="9" fillId="0" borderId="0"/>
    <xf numFmtId="237" fontId="70" fillId="0" borderId="0" applyFont="0" applyFill="0" applyBorder="0" applyAlignment="0" applyProtection="0"/>
    <xf numFmtId="0" fontId="70" fillId="0" borderId="6">
      <alignment horizontal="distributed"/>
    </xf>
    <xf numFmtId="316" fontId="9" fillId="0" borderId="0" applyFill="0" applyBorder="0" applyAlignment="0"/>
    <xf numFmtId="0" fontId="9" fillId="0" borderId="0">
      <alignment vertical="center"/>
    </xf>
    <xf numFmtId="189" fontId="9" fillId="0" borderId="0">
      <protection locked="0"/>
    </xf>
    <xf numFmtId="326" fontId="9" fillId="0" borderId="0" applyFill="0" applyBorder="0" applyAlignment="0"/>
    <xf numFmtId="324" fontId="9" fillId="0" borderId="0" applyFill="0" applyBorder="0" applyAlignment="0"/>
    <xf numFmtId="316" fontId="9" fillId="0" borderId="0" applyFill="0" applyBorder="0" applyAlignment="0"/>
    <xf numFmtId="203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19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11" fontId="46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321" fontId="9" fillId="0" borderId="0" applyFill="0" applyBorder="0" applyAlignment="0"/>
    <xf numFmtId="0" fontId="66" fillId="0" borderId="0">
      <alignment vertical="center"/>
    </xf>
    <xf numFmtId="0" fontId="9" fillId="0" borderId="0"/>
    <xf numFmtId="0" fontId="67" fillId="0" borderId="0"/>
    <xf numFmtId="325" fontId="9" fillId="0" borderId="0" applyFill="0" applyBorder="0" applyAlignment="0"/>
    <xf numFmtId="324" fontId="9" fillId="0" borderId="0" applyFill="0" applyBorder="0" applyAlignment="0"/>
    <xf numFmtId="0" fontId="9" fillId="0" borderId="0"/>
    <xf numFmtId="0" fontId="71" fillId="0" borderId="0"/>
    <xf numFmtId="0" fontId="66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41" fontId="9" fillId="0" borderId="0" applyFont="0" applyFill="0" applyBorder="0" applyAlignment="0" applyProtection="0"/>
    <xf numFmtId="311" fontId="46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316" fontId="9" fillId="0" borderId="0" applyFill="0" applyBorder="0" applyAlignment="0"/>
    <xf numFmtId="0" fontId="9" fillId="0" borderId="1" applyNumberFormat="0" applyFill="0" applyProtection="0">
      <alignment vertical="center"/>
    </xf>
    <xf numFmtId="3" fontId="70" fillId="0" borderId="0">
      <alignment vertical="center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/>
    <xf numFmtId="0" fontId="70" fillId="0" borderId="1">
      <alignment horizontal="distributed" vertical="center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20" fontId="9" fillId="0" borderId="0" applyFill="0" applyBorder="0" applyAlignment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0" fontId="9" fillId="0" borderId="0"/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208" fillId="0" borderId="0" applyNumberFormat="0" applyFill="0" applyBorder="0" applyAlignment="0" applyProtection="0"/>
    <xf numFmtId="189" fontId="9" fillId="0" borderId="0">
      <protection locked="0"/>
    </xf>
    <xf numFmtId="319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16" fontId="9" fillId="0" borderId="0" applyFill="0" applyBorder="0" applyAlignment="0"/>
    <xf numFmtId="0" fontId="70" fillId="0" borderId="3">
      <alignment horizontal="distributed" vertical="top"/>
    </xf>
    <xf numFmtId="0" fontId="9" fillId="0" borderId="0"/>
    <xf numFmtId="201" fontId="9" fillId="0" borderId="0" applyFont="0" applyFill="0" applyBorder="0" applyAlignment="0" applyProtection="0"/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169" fillId="0" borderId="0">
      <alignment vertical="center"/>
    </xf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322" fontId="9" fillId="0" borderId="0" applyFont="0" applyFill="0" applyBorder="0" applyAlignment="0" applyProtection="0"/>
    <xf numFmtId="0" fontId="70" fillId="0" borderId="1">
      <alignment horizontal="distributed" vertical="center"/>
    </xf>
    <xf numFmtId="0" fontId="9" fillId="0" borderId="0"/>
    <xf numFmtId="189" fontId="9" fillId="0" borderId="0">
      <protection locked="0"/>
    </xf>
    <xf numFmtId="0" fontId="68" fillId="0" borderId="88"/>
    <xf numFmtId="309" fontId="68" fillId="0" borderId="0" applyFont="0" applyFill="0" applyBorder="0" applyAlignment="0" applyProtection="0"/>
    <xf numFmtId="202" fontId="74" fillId="0" borderId="92">
      <protection locked="0"/>
    </xf>
    <xf numFmtId="41" fontId="169" fillId="0" borderId="0" applyFont="0" applyFill="0" applyBorder="0" applyAlignment="0" applyProtection="0">
      <alignment vertical="center"/>
    </xf>
    <xf numFmtId="0" fontId="67" fillId="0" borderId="0"/>
    <xf numFmtId="41" fontId="169" fillId="0" borderId="0" applyFont="0" applyFill="0" applyBorder="0" applyAlignment="0" applyProtection="0">
      <alignment vertical="center"/>
    </xf>
    <xf numFmtId="0" fontId="31" fillId="10" borderId="0" applyFill="0" applyBorder="0" applyProtection="0">
      <alignment horizontal="right"/>
    </xf>
    <xf numFmtId="320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0" fontId="9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0" fontId="70" fillId="0" borderId="6">
      <alignment horizontal="distributed"/>
    </xf>
    <xf numFmtId="189" fontId="9" fillId="0" borderId="0">
      <protection locked="0"/>
    </xf>
    <xf numFmtId="189" fontId="9" fillId="0" borderId="0">
      <protection locked="0"/>
    </xf>
    <xf numFmtId="324" fontId="9" fillId="0" borderId="0" applyFill="0" applyBorder="0" applyAlignment="0"/>
    <xf numFmtId="3" fontId="70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319" fontId="9" fillId="0" borderId="0" applyFill="0" applyBorder="0" applyAlignment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3" fontId="46" fillId="0" borderId="0">
      <alignment vertical="center"/>
    </xf>
    <xf numFmtId="316" fontId="9" fillId="0" borderId="0" applyFill="0" applyBorder="0" applyAlignment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25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89" fontId="9" fillId="0" borderId="0">
      <protection locked="0"/>
    </xf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0" fontId="66" fillId="0" borderId="0">
      <alignment vertical="center"/>
    </xf>
    <xf numFmtId="316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0"/>
    <xf numFmtId="0" fontId="70" fillId="0" borderId="3">
      <alignment horizontal="distributed" vertical="top"/>
    </xf>
    <xf numFmtId="4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312" fontId="46" fillId="0" borderId="0">
      <protection locked="0"/>
    </xf>
    <xf numFmtId="0" fontId="9" fillId="0" borderId="0"/>
    <xf numFmtId="326" fontId="9" fillId="0" borderId="0" applyFill="0" applyBorder="0" applyAlignment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70" fillId="0" borderId="3">
      <alignment horizontal="distributed" vertical="top"/>
    </xf>
    <xf numFmtId="0" fontId="68" fillId="0" borderId="88"/>
    <xf numFmtId="0" fontId="70" fillId="0" borderId="1">
      <alignment horizontal="distributed" vertical="center"/>
    </xf>
    <xf numFmtId="41" fontId="9" fillId="0" borderId="0" applyFont="0" applyFill="0" applyBorder="0" applyAlignment="0" applyProtection="0"/>
    <xf numFmtId="3" fontId="70" fillId="0" borderId="0">
      <alignment vertical="center"/>
    </xf>
    <xf numFmtId="321" fontId="9" fillId="0" borderId="0" applyFill="0" applyBorder="0" applyAlignment="0"/>
    <xf numFmtId="326" fontId="9" fillId="0" borderId="0" applyFill="0" applyBorder="0" applyAlignment="0"/>
    <xf numFmtId="324" fontId="9" fillId="0" borderId="0" applyFill="0" applyBorder="0" applyAlignment="0"/>
    <xf numFmtId="0" fontId="67" fillId="0" borderId="0"/>
    <xf numFmtId="41" fontId="9" fillId="0" borderId="0" applyFont="0" applyFill="0" applyBorder="0" applyAlignment="0" applyProtection="0">
      <alignment vertical="center"/>
    </xf>
    <xf numFmtId="321" fontId="9" fillId="0" borderId="0" applyFill="0" applyBorder="0" applyAlignment="0"/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0" fillId="0" borderId="0"/>
    <xf numFmtId="0" fontId="71" fillId="0" borderId="0"/>
    <xf numFmtId="0" fontId="66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41" fontId="9" fillId="0" borderId="0" applyFont="0" applyFill="0" applyBorder="0" applyAlignment="0" applyProtection="0"/>
    <xf numFmtId="324" fontId="9" fillId="0" borderId="0" applyFill="0" applyBorder="0" applyAlignment="0"/>
    <xf numFmtId="189" fontId="9" fillId="0" borderId="0">
      <protection locked="0"/>
    </xf>
    <xf numFmtId="189" fontId="9" fillId="0" borderId="0">
      <protection locked="0"/>
    </xf>
    <xf numFmtId="0" fontId="9" fillId="0" borderId="0">
      <alignment vertical="center"/>
    </xf>
    <xf numFmtId="3" fontId="70" fillId="0" borderId="0">
      <alignment vertical="center"/>
    </xf>
    <xf numFmtId="0" fontId="9" fillId="0" borderId="0"/>
    <xf numFmtId="41" fontId="66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/>
    <xf numFmtId="319" fontId="9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189" fontId="9" fillId="0" borderId="0">
      <protection locked="0"/>
    </xf>
    <xf numFmtId="320" fontId="9" fillId="0" borderId="0" applyFill="0" applyBorder="0" applyAlignment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9" fontId="9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/>
    <xf numFmtId="189" fontId="9" fillId="0" borderId="0">
      <protection locked="0"/>
    </xf>
    <xf numFmtId="319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208" fillId="0" borderId="0" applyNumberFormat="0" applyFill="0" applyBorder="0" applyAlignment="0" applyProtection="0"/>
    <xf numFmtId="189" fontId="9" fillId="0" borderId="0">
      <protection locked="0"/>
    </xf>
    <xf numFmtId="319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203" fontId="9" fillId="0" borderId="0" applyFont="0" applyFill="0" applyBorder="0" applyAlignment="0" applyProtection="0"/>
    <xf numFmtId="0" fontId="70" fillId="0" borderId="3">
      <alignment horizontal="distributed" vertical="top"/>
    </xf>
    <xf numFmtId="0" fontId="169" fillId="0" borderId="0">
      <alignment vertical="center"/>
    </xf>
    <xf numFmtId="201" fontId="9" fillId="0" borderId="0" applyFont="0" applyFill="0" applyBorder="0" applyAlignment="0" applyProtection="0"/>
    <xf numFmtId="312" fontId="46" fillId="0" borderId="0">
      <protection locked="0"/>
    </xf>
    <xf numFmtId="0" fontId="9" fillId="0" borderId="0"/>
    <xf numFmtId="0" fontId="70" fillId="0" borderId="6">
      <alignment horizontal="distributed"/>
    </xf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322" fontId="9" fillId="0" borderId="0" applyFont="0" applyFill="0" applyBorder="0" applyAlignment="0" applyProtection="0"/>
    <xf numFmtId="0" fontId="70" fillId="0" borderId="1">
      <alignment horizontal="distributed" vertical="center"/>
    </xf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309" fontId="68" fillId="0" borderId="0" applyFont="0" applyFill="0" applyBorder="0" applyAlignment="0" applyProtection="0"/>
    <xf numFmtId="324" fontId="9" fillId="0" borderId="0" applyFill="0" applyBorder="0" applyAlignment="0"/>
    <xf numFmtId="41" fontId="9" fillId="0" borderId="0" applyFont="0" applyFill="0" applyBorder="0" applyAlignment="0" applyProtection="0"/>
    <xf numFmtId="0" fontId="67" fillId="0" borderId="0"/>
    <xf numFmtId="4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320" fontId="9" fillId="0" borderId="0" applyFill="0" applyBorder="0" applyAlignment="0"/>
    <xf numFmtId="325" fontId="9" fillId="0" borderId="0" applyFill="0" applyBorder="0" applyAlignment="0"/>
    <xf numFmtId="41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189" fontId="9" fillId="0" borderId="0">
      <protection locked="0"/>
    </xf>
    <xf numFmtId="0" fontId="9" fillId="0" borderId="0"/>
    <xf numFmtId="0" fontId="71" fillId="0" borderId="0"/>
    <xf numFmtId="0" fontId="9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312" fontId="46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324" fontId="9" fillId="0" borderId="0" applyFill="0" applyBorder="0" applyAlignment="0"/>
    <xf numFmtId="189" fontId="9" fillId="0" borderId="0">
      <protection locked="0"/>
    </xf>
    <xf numFmtId="3" fontId="70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318" fontId="9" fillId="0" borderId="0" applyFill="0" applyBorder="0" applyAlignment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9" fillId="0" borderId="0">
      <alignment vertical="center"/>
    </xf>
    <xf numFmtId="320" fontId="9" fillId="0" borderId="0" applyFill="0" applyBorder="0" applyAlignment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25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20" fontId="9" fillId="0" borderId="0" applyFill="0" applyBorder="0" applyAlignment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66" fillId="0" borderId="0">
      <alignment vertical="center"/>
    </xf>
    <xf numFmtId="189" fontId="9" fillId="0" borderId="0">
      <protection locked="0"/>
    </xf>
    <xf numFmtId="203" fontId="46" fillId="0" borderId="0">
      <alignment vertical="center"/>
    </xf>
    <xf numFmtId="3" fontId="70" fillId="0" borderId="0">
      <alignment vertical="center"/>
    </xf>
    <xf numFmtId="0" fontId="9" fillId="0" borderId="0"/>
    <xf numFmtId="310" fontId="46" fillId="0" borderId="0">
      <protection locked="0"/>
    </xf>
    <xf numFmtId="41" fontId="66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0"/>
    <xf numFmtId="0" fontId="70" fillId="0" borderId="3">
      <alignment horizontal="distributed" vertical="top"/>
    </xf>
    <xf numFmtId="0" fontId="70" fillId="0" borderId="6">
      <alignment horizontal="distributed"/>
    </xf>
    <xf numFmtId="309" fontId="68" fillId="0" borderId="0" applyFont="0" applyFill="0" applyBorder="0" applyAlignment="0" applyProtection="0"/>
    <xf numFmtId="312" fontId="46" fillId="0" borderId="0">
      <protection locked="0"/>
    </xf>
    <xf numFmtId="0" fontId="9" fillId="0" borderId="0"/>
    <xf numFmtId="321" fontId="9" fillId="0" borderId="0" applyFill="0" applyBorder="0" applyAlignment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41" fontId="9" fillId="0" borderId="0" applyFont="0" applyFill="0" applyBorder="0" applyAlignment="0" applyProtection="0"/>
    <xf numFmtId="0" fontId="70" fillId="0" borderId="1">
      <alignment horizontal="distributed" vertical="center"/>
    </xf>
    <xf numFmtId="41" fontId="169" fillId="0" borderId="0" applyFont="0" applyFill="0" applyBorder="0" applyAlignment="0" applyProtection="0">
      <alignment vertical="center"/>
    </xf>
    <xf numFmtId="3" fontId="70" fillId="0" borderId="0">
      <alignment vertical="center"/>
    </xf>
    <xf numFmtId="0" fontId="68" fillId="0" borderId="88"/>
    <xf numFmtId="320" fontId="9" fillId="0" borderId="0" applyFill="0" applyBorder="0" applyAlignment="0"/>
    <xf numFmtId="324" fontId="9" fillId="0" borderId="0" applyFill="0" applyBorder="0" applyAlignment="0"/>
    <xf numFmtId="0" fontId="67" fillId="0" borderId="0"/>
    <xf numFmtId="320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0" fillId="0" borderId="0"/>
    <xf numFmtId="0" fontId="71" fillId="0" borderId="0"/>
    <xf numFmtId="0" fontId="66" fillId="0" borderId="0">
      <alignment vertical="center"/>
    </xf>
    <xf numFmtId="0" fontId="66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70" fillId="0" borderId="6">
      <alignment horizontal="distributed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41" fontId="9" fillId="0" borderId="0" applyFon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3" fontId="70" fillId="0" borderId="0">
      <alignment vertical="center"/>
    </xf>
    <xf numFmtId="0" fontId="9" fillId="0" borderId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190" fontId="31" fillId="0" borderId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66" fillId="0" borderId="0">
      <alignment vertical="center"/>
    </xf>
    <xf numFmtId="189" fontId="9" fillId="0" borderId="0">
      <protection locked="0"/>
    </xf>
    <xf numFmtId="320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189" fontId="9" fillId="0" borderId="0">
      <protection locked="0"/>
    </xf>
    <xf numFmtId="319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203" fontId="9" fillId="0" borderId="0" applyFont="0" applyFill="0" applyBorder="0" applyAlignment="0" applyProtection="0"/>
    <xf numFmtId="0" fontId="70" fillId="0" borderId="3">
      <alignment horizontal="distributed" vertical="top"/>
    </xf>
    <xf numFmtId="0" fontId="169" fillId="0" borderId="0">
      <alignment vertical="center"/>
    </xf>
    <xf numFmtId="321" fontId="9" fillId="0" borderId="0" applyFill="0" applyBorder="0" applyAlignment="0"/>
    <xf numFmtId="312" fontId="46" fillId="0" borderId="0">
      <protection locked="0"/>
    </xf>
    <xf numFmtId="3" fontId="70" fillId="0" borderId="0">
      <alignment vertical="center"/>
    </xf>
    <xf numFmtId="201" fontId="9" fillId="0" borderId="0" applyFont="0" applyFill="0" applyBorder="0" applyAlignment="0" applyProtection="0"/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319" fontId="9" fillId="0" borderId="0" applyFill="0" applyBorder="0" applyAlignment="0"/>
    <xf numFmtId="0" fontId="208" fillId="0" borderId="0" applyNumberFormat="0" applyFill="0" applyBorder="0" applyAlignment="0" applyProtection="0"/>
    <xf numFmtId="0" fontId="70" fillId="0" borderId="1">
      <alignment horizontal="distributed" vertical="center"/>
    </xf>
    <xf numFmtId="0" fontId="70" fillId="0" borderId="6">
      <alignment horizontal="distributed"/>
    </xf>
    <xf numFmtId="316" fontId="9" fillId="0" borderId="0" applyFill="0" applyBorder="0" applyAlignment="0"/>
    <xf numFmtId="309" fontId="68" fillId="0" borderId="0" applyFont="0" applyFill="0" applyBorder="0" applyAlignment="0" applyProtection="0"/>
    <xf numFmtId="324" fontId="9" fillId="0" borderId="0" applyFill="0" applyBorder="0" applyAlignment="0"/>
    <xf numFmtId="41" fontId="9" fillId="0" borderId="0" applyFont="0" applyFill="0" applyBorder="0" applyAlignment="0" applyProtection="0"/>
    <xf numFmtId="0" fontId="67" fillId="0" borderId="0"/>
    <xf numFmtId="4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320" fontId="9" fillId="0" borderId="0" applyFill="0" applyBorder="0" applyAlignment="0"/>
    <xf numFmtId="202" fontId="74" fillId="0" borderId="92">
      <protection locked="0"/>
    </xf>
    <xf numFmtId="41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189" fontId="9" fillId="0" borderId="0">
      <protection locked="0"/>
    </xf>
    <xf numFmtId="0" fontId="70" fillId="0" borderId="0" applyFont="0" applyFill="0" applyBorder="0" applyAlignment="0" applyProtection="0"/>
    <xf numFmtId="0" fontId="71" fillId="0" borderId="0"/>
    <xf numFmtId="41" fontId="9" fillId="0" borderId="0" applyFont="0" applyFill="0" applyBorder="0" applyAlignment="0" applyProtection="0">
      <alignment vertical="center"/>
    </xf>
    <xf numFmtId="203" fontId="46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67" fillId="0" borderId="0"/>
    <xf numFmtId="0" fontId="207" fillId="0" borderId="0" applyNumberFormat="0" applyFill="0" applyBorder="0" applyAlignment="0" applyProtection="0"/>
    <xf numFmtId="3" fontId="70" fillId="0" borderId="0">
      <alignment vertical="center"/>
    </xf>
    <xf numFmtId="0" fontId="70" fillId="0" borderId="49">
      <alignment vertical="center" wrapText="1"/>
    </xf>
    <xf numFmtId="0" fontId="70" fillId="0" borderId="49">
      <alignment vertical="center" wrapText="1"/>
    </xf>
    <xf numFmtId="0" fontId="169" fillId="0" borderId="0">
      <alignment vertical="center"/>
    </xf>
    <xf numFmtId="189" fontId="9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3" fontId="70" fillId="0" borderId="0">
      <alignment vertical="center"/>
    </xf>
    <xf numFmtId="324" fontId="9" fillId="0" borderId="0" applyFill="0" applyBorder="0" applyAlignment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6">
      <alignment horizontal="distributed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9" fillId="0" borderId="0">
      <alignment vertical="center"/>
    </xf>
    <xf numFmtId="320" fontId="9" fillId="0" borderId="0" applyFill="0" applyBorder="0" applyAlignment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25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66" fillId="0" borderId="0">
      <alignment vertical="center"/>
    </xf>
    <xf numFmtId="189" fontId="9" fillId="0" borderId="0">
      <protection locked="0"/>
    </xf>
    <xf numFmtId="189" fontId="9" fillId="0" borderId="0">
      <protection locked="0"/>
    </xf>
    <xf numFmtId="319" fontId="9" fillId="0" borderId="0" applyFont="0" applyFill="0" applyBorder="0" applyAlignment="0" applyProtection="0"/>
    <xf numFmtId="314" fontId="74" fillId="0" borderId="0">
      <protection locked="0"/>
    </xf>
    <xf numFmtId="0" fontId="70" fillId="0" borderId="49">
      <alignment vertical="center" wrapText="1"/>
    </xf>
    <xf numFmtId="319" fontId="9" fillId="0" borderId="0" applyFill="0" applyBorder="0" applyAlignment="0"/>
    <xf numFmtId="0" fontId="9" fillId="0" borderId="0"/>
    <xf numFmtId="201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0" fontId="74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0"/>
    <xf numFmtId="0" fontId="70" fillId="0" borderId="3">
      <alignment horizontal="distributed" vertical="top"/>
    </xf>
    <xf numFmtId="0" fontId="70" fillId="0" borderId="6">
      <alignment horizontal="distributed"/>
    </xf>
    <xf numFmtId="309" fontId="68" fillId="0" borderId="0" applyFont="0" applyFill="0" applyBorder="0" applyAlignment="0" applyProtection="0"/>
    <xf numFmtId="20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41" fontId="9" fillId="0" borderId="0" applyFont="0" applyFill="0" applyBorder="0" applyAlignment="0" applyProtection="0"/>
    <xf numFmtId="310" fontId="46" fillId="0" borderId="0">
      <protection locked="0"/>
    </xf>
    <xf numFmtId="319" fontId="9" fillId="0" borderId="0" applyFill="0" applyBorder="0" applyAlignment="0"/>
    <xf numFmtId="41" fontId="9" fillId="0" borderId="0" applyFont="0" applyFill="0" applyBorder="0" applyAlignment="0" applyProtection="0"/>
    <xf numFmtId="0" fontId="70" fillId="0" borderId="1">
      <alignment horizontal="distributed" vertical="center"/>
    </xf>
    <xf numFmtId="189" fontId="9" fillId="0" borderId="0">
      <protection locked="0"/>
    </xf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202" fontId="74" fillId="0" borderId="92">
      <protection locked="0"/>
    </xf>
    <xf numFmtId="325" fontId="9" fillId="0" borderId="0" applyFill="0" applyBorder="0" applyAlignment="0"/>
    <xf numFmtId="315" fontId="130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201" fontId="9" fillId="0" borderId="0" applyFont="0" applyFill="0" applyBorder="0" applyAlignment="0" applyProtection="0"/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70" fillId="0" borderId="6">
      <alignment horizontal="distributed"/>
    </xf>
    <xf numFmtId="0" fontId="207" fillId="0" borderId="0" applyNumberFormat="0" applyFill="0" applyBorder="0" applyAlignment="0" applyProtection="0"/>
    <xf numFmtId="0" fontId="46" fillId="0" borderId="0"/>
    <xf numFmtId="319" fontId="9" fillId="0" borderId="0" applyFill="0" applyBorder="0" applyAlignment="0"/>
    <xf numFmtId="189" fontId="9" fillId="0" borderId="0">
      <protection locked="0"/>
    </xf>
    <xf numFmtId="189" fontId="9" fillId="0" borderId="0">
      <protection locked="0"/>
    </xf>
    <xf numFmtId="0" fontId="66" fillId="0" borderId="0">
      <alignment vertical="center"/>
    </xf>
    <xf numFmtId="3" fontId="70" fillId="0" borderId="0">
      <alignment vertical="center"/>
    </xf>
    <xf numFmtId="0" fontId="9" fillId="0" borderId="0"/>
    <xf numFmtId="238" fontId="10" fillId="0" borderId="0" applyFont="0" applyFill="0" applyBorder="0" applyAlignment="0" applyProtection="0"/>
    <xf numFmtId="316" fontId="9" fillId="0" borderId="0" applyFill="0" applyBorder="0" applyAlignment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320" fontId="9" fillId="0" borderId="0" applyFill="0" applyBorder="0" applyAlignment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9" fontId="9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99" fontId="54" fillId="0" borderId="0">
      <alignment horizontal="center"/>
    </xf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311" fontId="46" fillId="0" borderId="0">
      <protection locked="0"/>
    </xf>
    <xf numFmtId="0" fontId="46" fillId="0" borderId="0"/>
    <xf numFmtId="0" fontId="46" fillId="0" borderId="0"/>
    <xf numFmtId="319" fontId="9" fillId="0" borderId="0" applyFill="0" applyBorder="0" applyAlignment="0"/>
    <xf numFmtId="0" fontId="9" fillId="0" borderId="0">
      <alignment vertical="center"/>
    </xf>
    <xf numFmtId="0" fontId="169" fillId="0" borderId="0">
      <alignment vertical="center"/>
    </xf>
    <xf numFmtId="319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203" fontId="9" fillId="0" borderId="0" applyFont="0" applyFill="0" applyBorder="0" applyAlignment="0" applyProtection="0"/>
    <xf numFmtId="0" fontId="70" fillId="0" borderId="3">
      <alignment horizontal="distributed" vertical="top"/>
    </xf>
    <xf numFmtId="0" fontId="169" fillId="0" borderId="0">
      <alignment vertical="center"/>
    </xf>
    <xf numFmtId="321" fontId="9" fillId="0" borderId="0" applyFill="0" applyBorder="0" applyAlignment="0"/>
    <xf numFmtId="0" fontId="46" fillId="0" borderId="0"/>
    <xf numFmtId="0" fontId="70" fillId="0" borderId="49">
      <alignment vertical="center" wrapText="1"/>
    </xf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16" fontId="9" fillId="0" borderId="0" applyFill="0" applyBorder="0" applyAlignment="0"/>
    <xf numFmtId="310" fontId="46" fillId="0" borderId="0">
      <protection locked="0"/>
    </xf>
    <xf numFmtId="319" fontId="9" fillId="0" borderId="0" applyFill="0" applyBorder="0" applyAlignment="0"/>
    <xf numFmtId="238" fontId="10" fillId="0" borderId="0" applyFont="0" applyFill="0" applyBorder="0" applyAlignment="0" applyProtection="0"/>
    <xf numFmtId="0" fontId="70" fillId="0" borderId="1">
      <alignment horizontal="distributed" vertical="center"/>
    </xf>
    <xf numFmtId="315" fontId="130" fillId="0" borderId="0">
      <alignment vertical="center"/>
    </xf>
    <xf numFmtId="316" fontId="9" fillId="0" borderId="0" applyFill="0" applyBorder="0" applyAlignment="0"/>
    <xf numFmtId="311" fontId="46" fillId="0" borderId="0">
      <protection locked="0"/>
    </xf>
    <xf numFmtId="299" fontId="54" fillId="0" borderId="0">
      <alignment horizontal="center"/>
    </xf>
    <xf numFmtId="320" fontId="9" fillId="0" borderId="0" applyFill="0" applyBorder="0" applyAlignment="0"/>
    <xf numFmtId="41" fontId="9" fillId="0" borderId="0" applyFont="0" applyFill="0" applyBorder="0" applyAlignment="0" applyProtection="0"/>
    <xf numFmtId="316" fontId="9" fillId="0" borderId="0" applyFill="0" applyBorder="0" applyAlignment="0"/>
    <xf numFmtId="41" fontId="9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189" fontId="9" fillId="0" borderId="0">
      <protection locked="0"/>
    </xf>
    <xf numFmtId="0" fontId="70" fillId="0" borderId="0" applyFont="0" applyFill="0" applyBorder="0" applyAlignment="0" applyProtection="0"/>
    <xf numFmtId="0" fontId="71" fillId="0" borderId="0"/>
    <xf numFmtId="311" fontId="46" fillId="0" borderId="0">
      <protection locked="0"/>
    </xf>
    <xf numFmtId="203" fontId="46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67" fillId="0" borderId="0"/>
    <xf numFmtId="0" fontId="207" fillId="0" borderId="0" applyNumberFormat="0" applyFill="0" applyBorder="0" applyAlignment="0" applyProtection="0"/>
    <xf numFmtId="309" fontId="68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0" fontId="169" fillId="0" borderId="0">
      <alignment vertical="center"/>
    </xf>
    <xf numFmtId="189" fontId="9" fillId="0" borderId="0">
      <protection locked="0"/>
    </xf>
    <xf numFmtId="189" fontId="9" fillId="0" borderId="0">
      <protection locked="0"/>
    </xf>
    <xf numFmtId="0" fontId="9" fillId="0" borderId="0"/>
    <xf numFmtId="41" fontId="9" fillId="0" borderId="0" applyFont="0" applyFill="0" applyBorder="0" applyAlignment="0" applyProtection="0">
      <alignment vertical="center"/>
    </xf>
    <xf numFmtId="321" fontId="9" fillId="0" borderId="0" applyFill="0" applyBorder="0" applyAlignment="0"/>
    <xf numFmtId="4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6">
      <alignment horizontal="distributed"/>
    </xf>
    <xf numFmtId="311" fontId="46" fillId="0" borderId="0">
      <protection locked="0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9" fillId="0" borderId="0" applyFont="0" applyFill="0" applyBorder="0" applyAlignment="0" applyProtection="0"/>
    <xf numFmtId="320" fontId="9" fillId="0" borderId="0" applyFill="0" applyBorder="0" applyAlignment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25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70" fillId="0" borderId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66" fillId="0" borderId="0">
      <alignment vertical="center"/>
    </xf>
    <xf numFmtId="238" fontId="10" fillId="0" borderId="0" applyFont="0" applyFill="0" applyBorder="0" applyAlignment="0" applyProtection="0"/>
    <xf numFmtId="314" fontId="74" fillId="0" borderId="0">
      <protection locked="0"/>
    </xf>
    <xf numFmtId="0" fontId="70" fillId="0" borderId="6">
      <alignment horizontal="distributed"/>
    </xf>
    <xf numFmtId="0" fontId="70" fillId="0" borderId="49">
      <alignment vertical="center" wrapText="1"/>
    </xf>
    <xf numFmtId="0" fontId="9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320" fontId="9" fillId="0" borderId="0" applyFill="0" applyBorder="0" applyAlignment="0"/>
    <xf numFmtId="234" fontId="70" fillId="0" borderId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0"/>
    <xf numFmtId="0" fontId="70" fillId="0" borderId="3">
      <alignment horizontal="distributed" vertical="top"/>
    </xf>
    <xf numFmtId="0" fontId="70" fillId="0" borderId="6">
      <alignment horizontal="distributed"/>
    </xf>
    <xf numFmtId="309" fontId="68" fillId="0" borderId="0" applyFont="0" applyFill="0" applyBorder="0" applyAlignment="0" applyProtection="0"/>
    <xf numFmtId="0" fontId="71" fillId="0" borderId="0"/>
    <xf numFmtId="189" fontId="9" fillId="0" borderId="0">
      <protection locked="0"/>
    </xf>
    <xf numFmtId="201" fontId="38" fillId="0" borderId="0" applyFont="0" applyFill="0" applyBorder="0" applyAlignment="0" applyProtection="0"/>
    <xf numFmtId="310" fontId="46" fillId="0" borderId="0">
      <protection locked="0"/>
    </xf>
    <xf numFmtId="319" fontId="9" fillId="0" borderId="0" applyFill="0" applyBorder="0" applyAlignment="0"/>
    <xf numFmtId="0" fontId="31" fillId="10" borderId="0" applyFill="0" applyBorder="0" applyProtection="0">
      <alignment horizontal="right"/>
    </xf>
    <xf numFmtId="0" fontId="70" fillId="0" borderId="1">
      <alignment horizontal="distributed" vertical="center"/>
    </xf>
    <xf numFmtId="189" fontId="9" fillId="0" borderId="0">
      <protection locked="0"/>
    </xf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316" fontId="9" fillId="0" borderId="0" applyFill="0" applyBorder="0" applyAlignment="0"/>
    <xf numFmtId="0" fontId="9" fillId="0" borderId="1" applyNumberFormat="0" applyFill="0" applyProtection="0">
      <alignment vertical="center"/>
    </xf>
    <xf numFmtId="315" fontId="130" fillId="0" borderId="0">
      <alignment vertical="center"/>
    </xf>
    <xf numFmtId="320" fontId="9" fillId="0" borderId="0" applyFill="0" applyBorder="0" applyAlignment="0"/>
    <xf numFmtId="320" fontId="9" fillId="0" borderId="0" applyFill="0" applyBorder="0" applyAlignment="0"/>
    <xf numFmtId="320" fontId="9" fillId="0" borderId="0" applyFill="0" applyBorder="0" applyAlignment="0"/>
    <xf numFmtId="0" fontId="169" fillId="0" borderId="0">
      <alignment vertical="center"/>
    </xf>
    <xf numFmtId="41" fontId="9" fillId="0" borderId="0" applyFont="0" applyFill="0" applyBorder="0" applyAlignment="0" applyProtection="0"/>
    <xf numFmtId="0" fontId="145" fillId="0" borderId="0"/>
    <xf numFmtId="312" fontId="46" fillId="0" borderId="0">
      <protection locked="0"/>
    </xf>
    <xf numFmtId="189" fontId="9" fillId="0" borderId="0">
      <protection locked="0"/>
    </xf>
    <xf numFmtId="201" fontId="9" fillId="0" borderId="0" applyFont="0" applyFill="0" applyBorder="0" applyAlignment="0" applyProtection="0"/>
    <xf numFmtId="0" fontId="71" fillId="0" borderId="0"/>
    <xf numFmtId="319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70" fillId="0" borderId="0"/>
    <xf numFmtId="0" fontId="207" fillId="0" borderId="0" applyNumberFormat="0" applyFill="0" applyBorder="0" applyAlignment="0" applyProtection="0"/>
    <xf numFmtId="0" fontId="67" fillId="0" borderId="0"/>
    <xf numFmtId="0" fontId="169" fillId="0" borderId="0">
      <alignment vertical="center"/>
    </xf>
    <xf numFmtId="319" fontId="9" fillId="0" borderId="0" applyFill="0" applyBorder="0" applyAlignment="0"/>
    <xf numFmtId="189" fontId="9" fillId="0" borderId="0">
      <protection locked="0"/>
    </xf>
    <xf numFmtId="189" fontId="9" fillId="0" borderId="0">
      <protection locked="0"/>
    </xf>
    <xf numFmtId="0" fontId="66" fillId="0" borderId="0">
      <alignment vertical="center"/>
    </xf>
    <xf numFmtId="0" fontId="9" fillId="0" borderId="1" applyNumberFormat="0" applyFill="0" applyProtection="0">
      <alignment vertical="center"/>
    </xf>
    <xf numFmtId="41" fontId="9" fillId="0" borderId="0" applyFont="0" applyFill="0" applyBorder="0" applyAlignment="0" applyProtection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19" fontId="9" fillId="0" borderId="0" applyFill="0" applyBorder="0" applyAlignment="0"/>
    <xf numFmtId="320" fontId="9" fillId="0" borderId="0" applyFill="0" applyBorder="0" applyAlignment="0"/>
    <xf numFmtId="3" fontId="150" fillId="0" borderId="0" applyFont="0" applyFill="0" applyBorder="0" applyAlignment="0" applyProtection="0"/>
    <xf numFmtId="202" fontId="74" fillId="0" borderId="92">
      <protection locked="0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9" fontId="9" fillId="0" borderId="0" applyFont="0" applyFill="0" applyBorder="0" applyAlignment="0" applyProtection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99" fontId="54" fillId="0" borderId="0">
      <alignment horizontal="center"/>
    </xf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41" fontId="9" fillId="0" borderId="0" applyFont="0" applyFill="0" applyBorder="0" applyAlignment="0" applyProtection="0"/>
    <xf numFmtId="189" fontId="9" fillId="0" borderId="0">
      <protection locked="0"/>
    </xf>
    <xf numFmtId="0" fontId="9" fillId="0" borderId="0"/>
    <xf numFmtId="319" fontId="9" fillId="0" borderId="0" applyFill="0" applyBorder="0" applyAlignment="0"/>
    <xf numFmtId="0" fontId="9" fillId="0" borderId="0">
      <alignment vertical="center"/>
    </xf>
    <xf numFmtId="0" fontId="169" fillId="0" borderId="0">
      <alignment vertical="center"/>
    </xf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0" fontId="70" fillId="0" borderId="3">
      <alignment horizontal="distributed" vertical="top"/>
    </xf>
    <xf numFmtId="0" fontId="169" fillId="0" borderId="0">
      <alignment vertical="center"/>
    </xf>
    <xf numFmtId="321" fontId="9" fillId="0" borderId="0" applyFill="0" applyBorder="0" applyAlignment="0"/>
    <xf numFmtId="0" fontId="9" fillId="0" borderId="0"/>
    <xf numFmtId="0" fontId="70" fillId="0" borderId="49">
      <alignment vertical="center" wrapText="1"/>
    </xf>
    <xf numFmtId="201" fontId="9" fillId="0" borderId="0" applyFont="0" applyFill="0" applyBorder="0" applyAlignment="0" applyProtection="0"/>
    <xf numFmtId="316" fontId="9" fillId="0" borderId="0" applyFill="0" applyBorder="0" applyAlignment="0"/>
    <xf numFmtId="310" fontId="46" fillId="0" borderId="0">
      <protection locked="0"/>
    </xf>
    <xf numFmtId="319" fontId="9" fillId="0" borderId="0" applyFill="0" applyBorder="0" applyAlignment="0"/>
    <xf numFmtId="0" fontId="67" fillId="0" borderId="0"/>
    <xf numFmtId="0" fontId="70" fillId="0" borderId="1">
      <alignment horizontal="distributed" vertical="center"/>
    </xf>
    <xf numFmtId="315" fontId="130" fillId="0" borderId="0">
      <alignment vertical="center"/>
    </xf>
    <xf numFmtId="316" fontId="9" fillId="0" borderId="0" applyFill="0" applyBorder="0" applyAlignment="0"/>
    <xf numFmtId="238" fontId="10" fillId="0" borderId="0" applyFont="0" applyFill="0" applyBorder="0" applyAlignment="0" applyProtection="0"/>
    <xf numFmtId="299" fontId="54" fillId="0" borderId="0">
      <alignment horizontal="center"/>
    </xf>
    <xf numFmtId="326" fontId="9" fillId="0" borderId="0" applyFill="0" applyBorder="0" applyAlignment="0"/>
    <xf numFmtId="0" fontId="9" fillId="0" borderId="0"/>
    <xf numFmtId="189" fontId="9" fillId="0" borderId="0">
      <protection locked="0"/>
    </xf>
    <xf numFmtId="41" fontId="9" fillId="0" borderId="0" applyFont="0" applyFill="0" applyBorder="0" applyAlignment="0" applyProtection="0"/>
    <xf numFmtId="203" fontId="46" fillId="0" borderId="0">
      <alignment vertical="center"/>
    </xf>
    <xf numFmtId="316" fontId="9" fillId="0" borderId="0" applyFill="0" applyBorder="0" applyAlignment="0"/>
    <xf numFmtId="0" fontId="9" fillId="0" borderId="0"/>
    <xf numFmtId="41" fontId="9" fillId="0" borderId="0" applyFont="0" applyFill="0" applyBorder="0" applyAlignment="0" applyProtection="0"/>
    <xf numFmtId="189" fontId="9" fillId="0" borderId="0">
      <protection locked="0"/>
    </xf>
    <xf numFmtId="41" fontId="66" fillId="0" borderId="0" applyFont="0" applyFill="0" applyBorder="0" applyAlignment="0" applyProtection="0">
      <alignment vertical="center"/>
    </xf>
    <xf numFmtId="0" fontId="169" fillId="0" borderId="0">
      <alignment vertical="center"/>
    </xf>
    <xf numFmtId="0" fontId="71" fillId="0" borderId="0"/>
    <xf numFmtId="325" fontId="9" fillId="0" borderId="0" applyFill="0" applyBorder="0" applyAlignment="0"/>
    <xf numFmtId="41" fontId="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189" fontId="9" fillId="0" borderId="0">
      <protection locked="0"/>
    </xf>
    <xf numFmtId="0" fontId="9" fillId="0" borderId="0"/>
    <xf numFmtId="0" fontId="9" fillId="0" borderId="1" applyNumberFormat="0" applyFill="0" applyProtection="0">
      <alignment vertical="center"/>
    </xf>
    <xf numFmtId="321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324" fontId="9" fillId="0" borderId="0" applyFill="0" applyBorder="0" applyAlignment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6">
      <alignment horizontal="distributed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20" fontId="9" fillId="0" borderId="0" applyFill="0" applyBorder="0" applyAlignment="0"/>
    <xf numFmtId="3" fontId="150" fillId="0" borderId="0" applyFont="0" applyFill="0" applyBorder="0" applyAlignment="0" applyProtection="0"/>
    <xf numFmtId="307" fontId="46" fillId="0" borderId="0">
      <protection locked="0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4" fontId="74" fillId="0" borderId="0">
      <protection locked="0"/>
    </xf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66" fillId="0" borderId="0">
      <alignment vertical="center"/>
    </xf>
    <xf numFmtId="238" fontId="10" fillId="0" borderId="0" applyFont="0" applyFill="0" applyBorder="0" applyAlignment="0" applyProtection="0"/>
    <xf numFmtId="316" fontId="9" fillId="0" borderId="0" applyFill="0" applyBorder="0" applyAlignment="0"/>
    <xf numFmtId="0" fontId="9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320" fontId="9" fillId="0" borderId="0" applyFill="0" applyBorder="0" applyAlignment="0"/>
    <xf numFmtId="320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0"/>
    <xf numFmtId="0" fontId="70" fillId="0" borderId="3">
      <alignment horizontal="distributed" vertical="top"/>
    </xf>
    <xf numFmtId="0" fontId="9" fillId="0" borderId="0"/>
    <xf numFmtId="0" fontId="71" fillId="0" borderId="0"/>
    <xf numFmtId="189" fontId="9" fillId="0" borderId="0">
      <protection locked="0"/>
    </xf>
    <xf numFmtId="237" fontId="70" fillId="0" borderId="0" applyFont="0" applyFill="0" applyBorder="0" applyAlignment="0" applyProtection="0"/>
    <xf numFmtId="310" fontId="46" fillId="0" borderId="0">
      <protection locked="0"/>
    </xf>
    <xf numFmtId="319" fontId="9" fillId="0" borderId="0" applyFill="0" applyBorder="0" applyAlignment="0"/>
    <xf numFmtId="0" fontId="31" fillId="10" borderId="0" applyFill="0" applyBorder="0" applyProtection="0">
      <alignment horizontal="right"/>
    </xf>
    <xf numFmtId="0" fontId="70" fillId="0" borderId="1">
      <alignment horizontal="distributed" vertical="center"/>
    </xf>
    <xf numFmtId="189" fontId="9" fillId="0" borderId="0">
      <protection locked="0"/>
    </xf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0" fontId="70" fillId="0" borderId="6">
      <alignment horizontal="distributed"/>
    </xf>
    <xf numFmtId="0" fontId="10" fillId="0" borderId="49">
      <alignment horizontal="center" vertical="center"/>
    </xf>
    <xf numFmtId="238" fontId="10" fillId="0" borderId="0" applyFont="0" applyFill="0" applyBorder="0" applyAlignment="0" applyProtection="0"/>
    <xf numFmtId="203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308" fontId="46" fillId="0" borderId="0">
      <protection locked="0"/>
    </xf>
    <xf numFmtId="321" fontId="9" fillId="0" borderId="0" applyFill="0" applyBorder="0" applyAlignment="0"/>
    <xf numFmtId="0" fontId="9" fillId="0" borderId="1" applyNumberFormat="0" applyFill="0" applyProtection="0">
      <alignment vertical="center"/>
    </xf>
    <xf numFmtId="0" fontId="66" fillId="0" borderId="0">
      <alignment vertical="center"/>
    </xf>
    <xf numFmtId="316" fontId="9" fillId="0" borderId="0" applyFill="0" applyBorder="0" applyAlignment="0"/>
    <xf numFmtId="312" fontId="46" fillId="0" borderId="0">
      <protection locked="0"/>
    </xf>
    <xf numFmtId="311" fontId="46" fillId="0" borderId="0">
      <protection locked="0"/>
    </xf>
    <xf numFmtId="203" fontId="9" fillId="0" borderId="0" applyFont="0" applyFill="0" applyBorder="0" applyAlignment="0" applyProtection="0"/>
    <xf numFmtId="0" fontId="71" fillId="0" borderId="0"/>
    <xf numFmtId="41" fontId="9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41" fontId="66" fillId="0" borderId="0" applyFont="0" applyFill="0" applyBorder="0" applyAlignment="0" applyProtection="0">
      <alignment vertical="center"/>
    </xf>
    <xf numFmtId="0" fontId="207" fillId="0" borderId="0" applyNumberFormat="0" applyFill="0" applyBorder="0" applyAlignment="0" applyProtection="0"/>
    <xf numFmtId="0" fontId="67" fillId="0" borderId="0"/>
    <xf numFmtId="0" fontId="169" fillId="0" borderId="0">
      <alignment vertical="center"/>
    </xf>
    <xf numFmtId="189" fontId="9" fillId="0" borderId="0">
      <protection locked="0"/>
    </xf>
    <xf numFmtId="189" fontId="9" fillId="0" borderId="0">
      <protection locked="0"/>
    </xf>
    <xf numFmtId="312" fontId="46" fillId="0" borderId="0">
      <protection locked="0"/>
    </xf>
    <xf numFmtId="0" fontId="66" fillId="0" borderId="0">
      <alignment vertical="center"/>
    </xf>
    <xf numFmtId="0" fontId="9" fillId="0" borderId="1" applyNumberFormat="0" applyFill="0" applyProtection="0">
      <alignment vertical="center"/>
    </xf>
    <xf numFmtId="308" fontId="46" fillId="0" borderId="0">
      <protection locked="0"/>
    </xf>
    <xf numFmtId="41" fontId="9" fillId="0" borderId="0" applyFont="0" applyFill="0" applyBorder="0" applyAlignment="0" applyProtection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>
      <alignment vertical="center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46" fillId="0" borderId="0"/>
    <xf numFmtId="320" fontId="9" fillId="0" borderId="0" applyFill="0" applyBorder="0" applyAlignment="0"/>
    <xf numFmtId="3" fontId="150" fillId="0" borderId="0" applyFont="0" applyFill="0" applyBorder="0" applyAlignment="0" applyProtection="0"/>
    <xf numFmtId="202" fontId="74" fillId="0" borderId="92">
      <protection locked="0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6" fontId="9" fillId="0" borderId="0" applyFill="0" applyBorder="0" applyAlignment="0"/>
    <xf numFmtId="0" fontId="70" fillId="0" borderId="0" applyFont="0" applyFill="0" applyBorder="0" applyAlignment="0" applyProtection="0"/>
    <xf numFmtId="323" fontId="9" fillId="0" borderId="0" applyFont="0" applyFill="0" applyBorder="0" applyAlignment="0" applyProtection="0"/>
    <xf numFmtId="325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9" fillId="0" borderId="1" applyNumberFormat="0" applyFill="0" applyProtection="0">
      <alignment vertical="center"/>
    </xf>
    <xf numFmtId="319" fontId="9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319" fontId="9" fillId="0" borderId="0" applyFill="0" applyBorder="0" applyAlignment="0"/>
    <xf numFmtId="316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41" fontId="9" fillId="0" borderId="0" applyFont="0" applyFill="0" applyBorder="0" applyAlignment="0" applyProtection="0"/>
    <xf numFmtId="189" fontId="9" fillId="0" borderId="0">
      <protection locked="0"/>
    </xf>
    <xf numFmtId="0" fontId="70" fillId="0" borderId="49">
      <alignment vertical="center" wrapText="1"/>
    </xf>
    <xf numFmtId="320" fontId="9" fillId="0" borderId="0" applyFill="0" applyBorder="0" applyAlignment="0"/>
    <xf numFmtId="319" fontId="9" fillId="0" borderId="0" applyFill="0" applyBorder="0" applyAlignment="0"/>
    <xf numFmtId="0" fontId="9" fillId="0" borderId="0"/>
    <xf numFmtId="310" fontId="46" fillId="0" borderId="0">
      <protection locked="0"/>
    </xf>
    <xf numFmtId="189" fontId="9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09" fontId="68" fillId="0" borderId="0" applyFont="0" applyFill="0" applyBorder="0" applyAlignment="0" applyProtection="0"/>
    <xf numFmtId="0" fontId="70" fillId="0" borderId="3">
      <alignment horizontal="distributed" vertical="top"/>
    </xf>
    <xf numFmtId="189" fontId="9" fillId="0" borderId="0">
      <protection locked="0"/>
    </xf>
    <xf numFmtId="0" fontId="9" fillId="0" borderId="0"/>
    <xf numFmtId="0" fontId="70" fillId="0" borderId="49">
      <alignment vertical="center" wrapText="1"/>
    </xf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10" fontId="46" fillId="0" borderId="0">
      <protection locked="0"/>
    </xf>
    <xf numFmtId="310" fontId="46" fillId="0" borderId="0">
      <protection locked="0"/>
    </xf>
    <xf numFmtId="325" fontId="9" fillId="0" borderId="0" applyFill="0" applyBorder="0" applyAlignment="0"/>
    <xf numFmtId="315" fontId="130" fillId="0" borderId="0">
      <alignment vertical="center"/>
    </xf>
    <xf numFmtId="0" fontId="70" fillId="0" borderId="1">
      <alignment horizontal="distributed" vertical="center"/>
    </xf>
    <xf numFmtId="0" fontId="9" fillId="0" borderId="0">
      <alignment vertical="center"/>
    </xf>
    <xf numFmtId="41" fontId="9" fillId="0" borderId="0" applyFont="0" applyFill="0" applyBorder="0" applyAlignment="0" applyProtection="0"/>
    <xf numFmtId="0" fontId="70" fillId="0" borderId="49">
      <alignment vertical="center" wrapText="1"/>
    </xf>
    <xf numFmtId="189" fontId="9" fillId="0" borderId="0">
      <protection locked="0"/>
    </xf>
    <xf numFmtId="324" fontId="9" fillId="0" borderId="0" applyFill="0" applyBorder="0" applyAlignment="0"/>
    <xf numFmtId="0" fontId="9" fillId="0" borderId="0"/>
    <xf numFmtId="3" fontId="70" fillId="0" borderId="0">
      <alignment vertical="center"/>
    </xf>
    <xf numFmtId="41" fontId="9" fillId="0" borderId="0" applyFont="0" applyFill="0" applyBorder="0" applyAlignment="0" applyProtection="0"/>
    <xf numFmtId="0" fontId="68" fillId="0" borderId="88"/>
    <xf numFmtId="316" fontId="9" fillId="0" borderId="0" applyFill="0" applyBorder="0" applyAlignment="0"/>
    <xf numFmtId="0" fontId="9" fillId="0" borderId="1" applyNumberFormat="0" applyFill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9" fillId="0" borderId="0"/>
    <xf numFmtId="0" fontId="71" fillId="0" borderId="0"/>
    <xf numFmtId="325" fontId="9" fillId="0" borderId="0" applyFill="0" applyBorder="0" applyAlignment="0"/>
    <xf numFmtId="0" fontId="31" fillId="10" borderId="0" applyFill="0" applyBorder="0" applyProtection="0">
      <alignment horizontal="right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234" fontId="70" fillId="0" borderId="0"/>
    <xf numFmtId="323" fontId="9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9" fillId="0" borderId="1" applyNumberFormat="0" applyFill="0" applyProtection="0">
      <alignment vertical="center"/>
    </xf>
    <xf numFmtId="41" fontId="9" fillId="0" borderId="0" applyFont="0" applyFill="0" applyBorder="0" applyAlignment="0" applyProtection="0"/>
    <xf numFmtId="299" fontId="54" fillId="0" borderId="0">
      <alignment horizontal="center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319" fontId="9" fillId="0" borderId="0" applyFill="0" applyBorder="0" applyAlignment="0"/>
    <xf numFmtId="41" fontId="9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20" fontId="9" fillId="0" borderId="0" applyFill="0" applyBorder="0" applyAlignment="0"/>
    <xf numFmtId="3" fontId="150" fillId="0" borderId="0" applyFont="0" applyFill="0" applyBorder="0" applyAlignment="0" applyProtection="0"/>
    <xf numFmtId="316" fontId="9" fillId="0" borderId="0" applyFill="0" applyBorder="0" applyAlignment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25" fontId="9" fillId="0" borderId="0" applyFill="0" applyBorder="0" applyAlignment="0"/>
    <xf numFmtId="0" fontId="70" fillId="0" borderId="0" applyFont="0" applyFill="0" applyBorder="0" applyAlignment="0" applyProtection="0"/>
    <xf numFmtId="316" fontId="9" fillId="0" borderId="0" applyFill="0" applyBorder="0" applyAlignment="0"/>
    <xf numFmtId="201" fontId="9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41" fontId="169" fillId="0" borderId="0" applyFont="0" applyFill="0" applyBorder="0" applyAlignment="0" applyProtection="0">
      <alignment vertical="center"/>
    </xf>
    <xf numFmtId="239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0" fontId="169" fillId="0" borderId="0">
      <alignment vertical="center"/>
    </xf>
    <xf numFmtId="201" fontId="38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0" fontId="9" fillId="0" borderId="1" applyNumberFormat="0" applyFill="0" applyProtection="0">
      <alignment vertical="center"/>
    </xf>
    <xf numFmtId="309" fontId="68" fillId="0" borderId="0" applyFont="0" applyFill="0" applyBorder="0" applyAlignment="0" applyProtection="0"/>
    <xf numFmtId="316" fontId="9" fillId="0" borderId="0" applyFill="0" applyBorder="0" applyAlignment="0"/>
    <xf numFmtId="0" fontId="70" fillId="0" borderId="6">
      <alignment horizontal="distributed"/>
    </xf>
    <xf numFmtId="189" fontId="9" fillId="0" borderId="0">
      <protection locked="0"/>
    </xf>
    <xf numFmtId="320" fontId="9" fillId="0" borderId="0" applyFill="0" applyBorder="0" applyAlignment="0"/>
    <xf numFmtId="320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08" fontId="46" fillId="0" borderId="0">
      <protection locked="0"/>
    </xf>
    <xf numFmtId="0" fontId="70" fillId="0" borderId="3">
      <alignment horizontal="distributed" vertical="top"/>
    </xf>
    <xf numFmtId="201" fontId="9" fillId="0" borderId="0" applyFont="0" applyFill="0" applyBorder="0" applyAlignment="0" applyProtection="0"/>
    <xf numFmtId="308" fontId="46" fillId="0" borderId="0">
      <protection locked="0"/>
    </xf>
    <xf numFmtId="0" fontId="9" fillId="0" borderId="0"/>
    <xf numFmtId="310" fontId="46" fillId="0" borderId="0">
      <protection locked="0"/>
    </xf>
    <xf numFmtId="316" fontId="9" fillId="0" borderId="0" applyFill="0" applyBorder="0" applyAlignment="0"/>
    <xf numFmtId="0" fontId="70" fillId="0" borderId="1">
      <alignment horizontal="distributed" vertical="center"/>
    </xf>
    <xf numFmtId="3" fontId="70" fillId="0" borderId="0">
      <alignment vertical="center"/>
    </xf>
    <xf numFmtId="203" fontId="9" fillId="0" borderId="0" applyFont="0" applyFill="0" applyBorder="0" applyAlignment="0" applyProtection="0"/>
    <xf numFmtId="0" fontId="70" fillId="0" borderId="6">
      <alignment horizontal="distributed"/>
    </xf>
    <xf numFmtId="321" fontId="9" fillId="0" borderId="0" applyFill="0" applyBorder="0" applyAlignment="0"/>
    <xf numFmtId="0" fontId="68" fillId="0" borderId="88"/>
    <xf numFmtId="322" fontId="9" fillId="0" borderId="0" applyFont="0" applyFill="0" applyBorder="0" applyAlignment="0" applyProtection="0"/>
    <xf numFmtId="321" fontId="9" fillId="0" borderId="0" applyFill="0" applyBorder="0" applyAlignment="0"/>
    <xf numFmtId="308" fontId="46" fillId="0" borderId="0">
      <protection locked="0"/>
    </xf>
    <xf numFmtId="321" fontId="9" fillId="0" borderId="0" applyFill="0" applyBorder="0" applyAlignment="0"/>
    <xf numFmtId="189" fontId="9" fillId="0" borderId="0">
      <protection locked="0"/>
    </xf>
    <xf numFmtId="0" fontId="66" fillId="0" borderId="0">
      <alignment vertical="center"/>
    </xf>
    <xf numFmtId="324" fontId="9" fillId="0" borderId="0" applyFill="0" applyBorder="0" applyAlignment="0"/>
    <xf numFmtId="312" fontId="46" fillId="0" borderId="0">
      <protection locked="0"/>
    </xf>
    <xf numFmtId="311" fontId="46" fillId="0" borderId="0">
      <protection locked="0"/>
    </xf>
    <xf numFmtId="0" fontId="71" fillId="0" borderId="0"/>
    <xf numFmtId="0" fontId="169" fillId="0" borderId="0">
      <alignment vertical="center"/>
    </xf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3" fontId="9" fillId="0" borderId="0" applyFont="0" applyFill="0" applyBorder="0" applyAlignment="0" applyProtection="0"/>
    <xf numFmtId="0" fontId="74" fillId="0" borderId="0">
      <protection locked="0"/>
    </xf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08" fontId="46" fillId="0" borderId="0">
      <protection locked="0"/>
    </xf>
    <xf numFmtId="0" fontId="207" fillId="0" borderId="0" applyNumberFormat="0" applyFill="0" applyBorder="0" applyAlignment="0" applyProtection="0"/>
    <xf numFmtId="320" fontId="9" fillId="0" borderId="0" applyFill="0" applyBorder="0" applyAlignment="0"/>
    <xf numFmtId="0" fontId="169" fillId="0" borderId="0">
      <alignment vertical="center"/>
    </xf>
    <xf numFmtId="189" fontId="9" fillId="0" borderId="0">
      <protection locked="0"/>
    </xf>
    <xf numFmtId="189" fontId="9" fillId="0" borderId="0">
      <protection locked="0"/>
    </xf>
    <xf numFmtId="324" fontId="9" fillId="0" borderId="0" applyFill="0" applyBorder="0" applyAlignment="0"/>
    <xf numFmtId="0" fontId="70" fillId="0" borderId="49">
      <alignment vertical="center" wrapText="1"/>
    </xf>
    <xf numFmtId="0" fontId="9" fillId="0" borderId="1" applyNumberFormat="0" applyFill="0" applyProtection="0">
      <alignment vertical="center"/>
    </xf>
    <xf numFmtId="308" fontId="46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>
      <alignment vertical="center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46" fillId="0" borderId="0"/>
    <xf numFmtId="320" fontId="9" fillId="0" borderId="0" applyFill="0" applyBorder="0" applyAlignment="0"/>
    <xf numFmtId="3" fontId="150" fillId="0" borderId="0" applyFont="0" applyFill="0" applyBorder="0" applyAlignment="0" applyProtection="0"/>
    <xf numFmtId="324" fontId="9" fillId="0" borderId="0" applyFill="0" applyBorder="0" applyAlignment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6" fontId="9" fillId="0" borderId="0" applyFill="0" applyBorder="0" applyAlignment="0"/>
    <xf numFmtId="0" fontId="70" fillId="0" borderId="0" applyFont="0" applyFill="0" applyBorder="0" applyAlignment="0" applyProtection="0"/>
    <xf numFmtId="323" fontId="9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319" fontId="9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ill="0" applyBorder="0" applyAlignment="0"/>
    <xf numFmtId="0" fontId="31" fillId="10" borderId="0" applyFill="0" applyBorder="0" applyProtection="0">
      <alignment horizontal="right"/>
    </xf>
    <xf numFmtId="41" fontId="9" fillId="0" borderId="0" applyFont="0" applyFill="0" applyBorder="0" applyAlignment="0" applyProtection="0"/>
    <xf numFmtId="189" fontId="9" fillId="0" borderId="0">
      <protection locked="0"/>
    </xf>
    <xf numFmtId="41" fontId="9" fillId="0" borderId="0" applyFont="0" applyFill="0" applyBorder="0" applyAlignment="0" applyProtection="0"/>
    <xf numFmtId="0" fontId="46" fillId="0" borderId="0"/>
    <xf numFmtId="320" fontId="9" fillId="0" borderId="0" applyFill="0" applyBorder="0" applyAlignment="0"/>
    <xf numFmtId="0" fontId="70" fillId="0" borderId="49">
      <alignment vertical="center" wrapText="1"/>
    </xf>
    <xf numFmtId="0" fontId="70" fillId="0" borderId="6">
      <alignment horizontal="distributed"/>
    </xf>
    <xf numFmtId="0" fontId="9" fillId="0" borderId="0"/>
    <xf numFmtId="201" fontId="9" fillId="0" borderId="0" applyFont="0" applyFill="0" applyBorder="0" applyAlignment="0" applyProtection="0"/>
    <xf numFmtId="308" fontId="46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203" fontId="9" fillId="0" borderId="0" applyFont="0" applyFill="0" applyBorder="0" applyAlignment="0" applyProtection="0"/>
    <xf numFmtId="0" fontId="70" fillId="0" borderId="3">
      <alignment horizontal="distributed" vertical="top"/>
    </xf>
    <xf numFmtId="189" fontId="9" fillId="0" borderId="0">
      <protection locked="0"/>
    </xf>
    <xf numFmtId="0" fontId="9" fillId="0" borderId="0"/>
    <xf numFmtId="0" fontId="74" fillId="0" borderId="0">
      <protection locked="0"/>
    </xf>
    <xf numFmtId="316" fontId="9" fillId="0" borderId="0" applyFill="0" applyBorder="0" applyAlignment="0"/>
    <xf numFmtId="325" fontId="9" fillId="0" borderId="0" applyFill="0" applyBorder="0" applyAlignment="0"/>
    <xf numFmtId="310" fontId="46" fillId="0" borderId="0">
      <protection locked="0"/>
    </xf>
    <xf numFmtId="315" fontId="130" fillId="0" borderId="0">
      <alignment vertical="center"/>
    </xf>
    <xf numFmtId="0" fontId="70" fillId="0" borderId="1">
      <alignment horizontal="distributed" vertical="center"/>
    </xf>
    <xf numFmtId="0" fontId="67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70" fillId="0" borderId="49">
      <alignment vertical="center" wrapText="1"/>
    </xf>
    <xf numFmtId="189" fontId="9" fillId="0" borderId="0">
      <protection locked="0"/>
    </xf>
    <xf numFmtId="0" fontId="9" fillId="0" borderId="0"/>
    <xf numFmtId="0" fontId="67" fillId="0" borderId="0"/>
    <xf numFmtId="189" fontId="9" fillId="0" borderId="0">
      <protection locked="0"/>
    </xf>
    <xf numFmtId="41" fontId="9" fillId="0" borderId="0" applyFont="0" applyFill="0" applyBorder="0" applyAlignment="0" applyProtection="0"/>
    <xf numFmtId="316" fontId="9" fillId="0" borderId="0" applyFill="0" applyBorder="0" applyAlignment="0"/>
    <xf numFmtId="201" fontId="9" fillId="0" borderId="0" applyFont="0" applyFill="0" applyBorder="0" applyAlignment="0" applyProtection="0"/>
    <xf numFmtId="311" fontId="46" fillId="0" borderId="0">
      <protection locked="0"/>
    </xf>
    <xf numFmtId="0" fontId="9" fillId="0" borderId="0"/>
    <xf numFmtId="0" fontId="71" fillId="0" borderId="0"/>
    <xf numFmtId="41" fontId="9" fillId="0" borderId="0" applyFont="0" applyFill="0" applyBorder="0" applyAlignment="0" applyProtection="0">
      <alignment vertical="center"/>
    </xf>
    <xf numFmtId="201" fontId="38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4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234" fontId="70" fillId="0" borderId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46" fillId="0" borderId="0"/>
    <xf numFmtId="238" fontId="10" fillId="0" borderId="0" applyFon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9" fillId="0" borderId="1" applyNumberFormat="0" applyFill="0" applyProtection="0">
      <alignment vertical="center"/>
    </xf>
    <xf numFmtId="189" fontId="9" fillId="0" borderId="0">
      <protection locked="0"/>
    </xf>
    <xf numFmtId="238" fontId="10" fillId="0" borderId="0" applyFont="0" applyFill="0" applyBorder="0" applyAlignment="0" applyProtection="0"/>
    <xf numFmtId="203" fontId="9" fillId="0" borderId="0" applyFont="0" applyFill="0" applyBorder="0" applyAlignment="0" applyProtection="0"/>
    <xf numFmtId="299" fontId="54" fillId="0" borderId="0">
      <alignment horizontal="center"/>
    </xf>
    <xf numFmtId="0" fontId="10" fillId="0" borderId="49">
      <alignment horizontal="center" vertical="center"/>
    </xf>
    <xf numFmtId="203" fontId="46" fillId="0" borderId="0">
      <alignment vertical="center"/>
    </xf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99" fontId="54" fillId="0" borderId="0">
      <alignment horizontal="center"/>
    </xf>
    <xf numFmtId="3" fontId="150" fillId="0" borderId="0" applyFont="0" applyFill="0" applyBorder="0" applyAlignment="0" applyProtection="0"/>
    <xf numFmtId="0" fontId="38" fillId="0" borderId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190" fontId="31" fillId="0" borderId="0"/>
    <xf numFmtId="0" fontId="46" fillId="0" borderId="0" applyFont="0" applyFill="0" applyBorder="0" applyAlignment="0" applyProtection="0"/>
    <xf numFmtId="319" fontId="9" fillId="0" borderId="0" applyFont="0" applyFill="0" applyBorder="0" applyAlignment="0" applyProtection="0"/>
    <xf numFmtId="0" fontId="70" fillId="0" borderId="0" applyFont="0" applyFill="0" applyBorder="0" applyAlignment="0" applyProtection="0"/>
    <xf numFmtId="316" fontId="9" fillId="0" borderId="0" applyFill="0" applyBorder="0" applyAlignment="0"/>
    <xf numFmtId="0" fontId="9" fillId="0" borderId="0">
      <alignment vertical="center"/>
    </xf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41" fontId="169" fillId="0" borderId="0" applyFont="0" applyFill="0" applyBorder="0" applyAlignment="0" applyProtection="0">
      <alignment vertical="center"/>
    </xf>
    <xf numFmtId="239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0" fillId="0" borderId="6">
      <alignment horizontal="distributed"/>
    </xf>
    <xf numFmtId="201" fontId="38" fillId="0" borderId="0" applyFont="0" applyFill="0" applyBorder="0" applyAlignment="0" applyProtection="0"/>
    <xf numFmtId="237" fontId="70" fillId="0" borderId="0" applyFont="0" applyFill="0" applyBorder="0" applyAlignment="0" applyProtection="0"/>
    <xf numFmtId="0" fontId="66" fillId="0" borderId="0">
      <alignment vertical="center"/>
    </xf>
    <xf numFmtId="201" fontId="38" fillId="0" borderId="0" applyFont="0" applyFill="0" applyBorder="0" applyAlignment="0" applyProtection="0"/>
    <xf numFmtId="0" fontId="9" fillId="0" borderId="0">
      <alignment vertical="center"/>
    </xf>
    <xf numFmtId="0" fontId="70" fillId="0" borderId="0"/>
    <xf numFmtId="320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08" fontId="46" fillId="0" borderId="0">
      <protection locked="0"/>
    </xf>
    <xf numFmtId="0" fontId="70" fillId="0" borderId="3">
      <alignment horizontal="distributed" vertical="top"/>
    </xf>
    <xf numFmtId="201" fontId="9" fillId="0" borderId="0" applyFont="0" applyFill="0" applyBorder="0" applyAlignment="0" applyProtection="0"/>
    <xf numFmtId="189" fontId="9" fillId="0" borderId="0">
      <protection locked="0"/>
    </xf>
    <xf numFmtId="312" fontId="46" fillId="0" borderId="0">
      <protection locked="0"/>
    </xf>
    <xf numFmtId="314" fontId="74" fillId="0" borderId="0">
      <protection locked="0"/>
    </xf>
    <xf numFmtId="310" fontId="46" fillId="0" borderId="0">
      <protection locked="0"/>
    </xf>
    <xf numFmtId="41" fontId="6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3" fontId="70" fillId="0" borderId="0">
      <alignment vertical="center"/>
    </xf>
    <xf numFmtId="309" fontId="68" fillId="0" borderId="0" applyFont="0" applyFill="0" applyBorder="0" applyAlignment="0" applyProtection="0"/>
    <xf numFmtId="0" fontId="9" fillId="0" borderId="0"/>
    <xf numFmtId="320" fontId="9" fillId="0" borderId="0" applyFill="0" applyBorder="0" applyAlignment="0"/>
    <xf numFmtId="321" fontId="9" fillId="0" borderId="0" applyFill="0" applyBorder="0" applyAlignment="0"/>
    <xf numFmtId="0" fontId="68" fillId="0" borderId="88"/>
    <xf numFmtId="0" fontId="9" fillId="0" borderId="0">
      <alignment vertical="center"/>
    </xf>
    <xf numFmtId="321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321" fontId="9" fillId="0" borderId="0" applyFill="0" applyBorder="0" applyAlignment="0"/>
    <xf numFmtId="189" fontId="9" fillId="0" borderId="0">
      <protection locked="0"/>
    </xf>
    <xf numFmtId="0" fontId="66" fillId="0" borderId="0">
      <alignment vertical="center"/>
    </xf>
    <xf numFmtId="324" fontId="9" fillId="0" borderId="0" applyFill="0" applyBorder="0" applyAlignment="0"/>
    <xf numFmtId="41" fontId="66" fillId="0" borderId="0" applyFont="0" applyFill="0" applyBorder="0" applyAlignment="0" applyProtection="0">
      <alignment vertical="center"/>
    </xf>
    <xf numFmtId="311" fontId="46" fillId="0" borderId="0">
      <protection locked="0"/>
    </xf>
    <xf numFmtId="0" fontId="71" fillId="0" borderId="0"/>
    <xf numFmtId="0" fontId="169" fillId="0" borderId="0">
      <alignment vertical="center"/>
    </xf>
    <xf numFmtId="0" fontId="70" fillId="0" borderId="0" applyFont="0" applyFill="0" applyBorder="0" applyAlignment="0" applyProtection="0"/>
    <xf numFmtId="320" fontId="9" fillId="0" borderId="0" applyFill="0" applyBorder="0" applyAlignment="0"/>
    <xf numFmtId="307" fontId="46" fillId="0" borderId="0">
      <protection locked="0"/>
    </xf>
    <xf numFmtId="202" fontId="74" fillId="0" borderId="92">
      <protection locked="0"/>
    </xf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5" fontId="9" fillId="0" borderId="0" applyFill="0" applyBorder="0" applyAlignment="0"/>
    <xf numFmtId="0" fontId="74" fillId="0" borderId="0">
      <protection locked="0"/>
    </xf>
    <xf numFmtId="0" fontId="206" fillId="0" borderId="0" applyNumberFormat="0" applyFill="0" applyBorder="0" applyAlignment="0" applyProtection="0"/>
    <xf numFmtId="201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9" fillId="0" borderId="0">
      <alignment vertical="center"/>
    </xf>
    <xf numFmtId="0" fontId="169" fillId="0" borderId="0">
      <alignment vertical="center"/>
    </xf>
    <xf numFmtId="324" fontId="9" fillId="0" borderId="0" applyFill="0" applyBorder="0" applyAlignment="0"/>
    <xf numFmtId="189" fontId="9" fillId="0" borderId="0">
      <protection locked="0"/>
    </xf>
    <xf numFmtId="189" fontId="9" fillId="0" borderId="0">
      <protection locked="0"/>
    </xf>
    <xf numFmtId="0" fontId="70" fillId="0" borderId="49">
      <alignment vertical="center" wrapText="1"/>
    </xf>
    <xf numFmtId="309" fontId="68" fillId="0" borderId="0" applyFont="0" applyFill="0" applyBorder="0" applyAlignment="0" applyProtection="0"/>
    <xf numFmtId="316" fontId="9" fillId="0" borderId="0" applyFill="0" applyBorder="0" applyAlignment="0"/>
    <xf numFmtId="201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0" fontId="68" fillId="0" borderId="88"/>
    <xf numFmtId="41" fontId="9" fillId="0" borderId="0" applyFont="0" applyFill="0" applyBorder="0" applyAlignment="0" applyProtection="0">
      <alignment vertical="center"/>
    </xf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9" fillId="0" borderId="0" applyFont="0" applyFill="0" applyBorder="0" applyAlignment="0" applyProtection="0"/>
    <xf numFmtId="3" fontId="150" fillId="0" borderId="0" applyFont="0" applyFill="0" applyBorder="0" applyAlignment="0" applyProtection="0"/>
    <xf numFmtId="0" fontId="71" fillId="0" borderId="0"/>
    <xf numFmtId="299" fontId="54" fillId="0" borderId="0">
      <alignment horizontal="center"/>
    </xf>
    <xf numFmtId="313" fontId="9" fillId="0" borderId="0"/>
    <xf numFmtId="320" fontId="9" fillId="0" borderId="0" applyFont="0" applyFill="0" applyBorder="0" applyAlignment="0" applyProtection="0"/>
    <xf numFmtId="201" fontId="69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8" fillId="0" borderId="0"/>
    <xf numFmtId="190" fontId="31" fillId="0" borderId="0"/>
    <xf numFmtId="0" fontId="70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323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145" fillId="0" borderId="0"/>
    <xf numFmtId="324" fontId="9" fillId="0" borderId="0" applyFill="0" applyBorder="0" applyAlignment="0"/>
    <xf numFmtId="0" fontId="208" fillId="0" borderId="0" applyNumberForma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189" fontId="9" fillId="0" borderId="0">
      <protection locked="0"/>
    </xf>
    <xf numFmtId="316" fontId="9" fillId="0" borderId="0" applyFill="0" applyBorder="0" applyAlignment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0" fontId="9" fillId="0" borderId="0">
      <alignment vertical="center"/>
    </xf>
    <xf numFmtId="0" fontId="70" fillId="0" borderId="0"/>
    <xf numFmtId="308" fontId="46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21" fontId="9" fillId="0" borderId="0" applyFill="0" applyBorder="0" applyAlignment="0"/>
    <xf numFmtId="0" fontId="70" fillId="0" borderId="3">
      <alignment horizontal="distributed" vertical="top"/>
    </xf>
    <xf numFmtId="189" fontId="9" fillId="0" borderId="0">
      <protection locked="0"/>
    </xf>
    <xf numFmtId="0" fontId="9" fillId="0" borderId="0"/>
    <xf numFmtId="324" fontId="9" fillId="0" borderId="0" applyFill="0" applyBorder="0" applyAlignment="0"/>
    <xf numFmtId="0" fontId="74" fillId="0" borderId="0">
      <protection locked="0"/>
    </xf>
    <xf numFmtId="310" fontId="46" fillId="0" borderId="0">
      <protection locked="0"/>
    </xf>
    <xf numFmtId="316" fontId="9" fillId="0" borderId="0" applyFill="0" applyBorder="0" applyAlignment="0"/>
    <xf numFmtId="0" fontId="70" fillId="0" borderId="6">
      <alignment horizontal="distributed"/>
    </xf>
    <xf numFmtId="0" fontId="70" fillId="0" borderId="3">
      <alignment horizontal="distributed" vertical="top"/>
    </xf>
    <xf numFmtId="316" fontId="9" fillId="0" borderId="0" applyFill="0" applyBorder="0" applyAlignment="0"/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16" fontId="9" fillId="0" borderId="0" applyFill="0" applyBorder="0" applyAlignment="0"/>
    <xf numFmtId="0" fontId="9" fillId="0" borderId="0"/>
    <xf numFmtId="315" fontId="130" fillId="0" borderId="0">
      <alignment vertical="center"/>
    </xf>
    <xf numFmtId="41" fontId="9" fillId="0" borderId="0" applyFont="0" applyFill="0" applyBorder="0" applyAlignment="0" applyProtection="0"/>
    <xf numFmtId="320" fontId="9" fillId="0" borderId="0" applyFill="0" applyBorder="0" applyAlignment="0"/>
    <xf numFmtId="0" fontId="145" fillId="0" borderId="0"/>
    <xf numFmtId="323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1" fontId="46" fillId="0" borderId="0">
      <protection locked="0"/>
    </xf>
    <xf numFmtId="0" fontId="9" fillId="0" borderId="0"/>
    <xf numFmtId="0" fontId="70" fillId="0" borderId="0" applyFont="0" applyFill="0" applyBorder="0" applyAlignment="0" applyProtection="0"/>
    <xf numFmtId="0" fontId="169" fillId="0" borderId="0">
      <alignment vertical="center"/>
    </xf>
    <xf numFmtId="234" fontId="70" fillId="0" borderId="0"/>
    <xf numFmtId="316" fontId="9" fillId="0" borderId="0" applyFill="0" applyBorder="0" applyAlignment="0"/>
    <xf numFmtId="320" fontId="9" fillId="0" borderId="0" applyFill="0" applyBorder="0" applyAlignment="0"/>
    <xf numFmtId="202" fontId="74" fillId="0" borderId="92">
      <protection locked="0"/>
    </xf>
    <xf numFmtId="324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206" fillId="0" borderId="0" applyNumberFormat="0" applyFill="0" applyBorder="0" applyAlignment="0" applyProtection="0"/>
    <xf numFmtId="0" fontId="169" fillId="0" borderId="0">
      <alignment vertical="center"/>
    </xf>
    <xf numFmtId="189" fontId="9" fillId="0" borderId="0">
      <protection locked="0"/>
    </xf>
    <xf numFmtId="41" fontId="169" fillId="0" borderId="0" applyFont="0" applyFill="0" applyBorder="0" applyAlignment="0" applyProtection="0">
      <alignment vertical="center"/>
    </xf>
    <xf numFmtId="0" fontId="67" fillId="0" borderId="0"/>
    <xf numFmtId="309" fontId="68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0" fontId="10" fillId="0" borderId="49">
      <alignment horizontal="center" vertical="center"/>
    </xf>
    <xf numFmtId="0" fontId="9" fillId="0" borderId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19" fontId="9" fillId="0" borderId="0" applyFill="0" applyBorder="0" applyAlignment="0"/>
    <xf numFmtId="3" fontId="150" fillId="0" borderId="0" applyFont="0" applyFill="0" applyBorder="0" applyAlignment="0" applyProtection="0"/>
    <xf numFmtId="202" fontId="74" fillId="0" borderId="92">
      <protection locked="0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9" fontId="9" fillId="0" borderId="0" applyFont="0" applyFill="0" applyBorder="0" applyAlignment="0" applyProtection="0"/>
    <xf numFmtId="0" fontId="70" fillId="0" borderId="0" applyFont="0" applyFill="0" applyBorder="0" applyAlignment="0" applyProtection="0"/>
    <xf numFmtId="319" fontId="9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9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20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201" fontId="38" fillId="0" borderId="0" applyFont="0" applyFill="0" applyBorder="0" applyAlignment="0" applyProtection="0"/>
    <xf numFmtId="237" fontId="70" fillId="0" borderId="0" applyFont="0" applyFill="0" applyBorder="0" applyAlignment="0" applyProtection="0"/>
    <xf numFmtId="0" fontId="66" fillId="0" borderId="0">
      <alignment vertical="center"/>
    </xf>
    <xf numFmtId="0" fontId="46" fillId="0" borderId="0"/>
    <xf numFmtId="0" fontId="9" fillId="0" borderId="0">
      <alignment vertical="center"/>
    </xf>
    <xf numFmtId="0" fontId="70" fillId="0" borderId="49">
      <alignment vertical="center" wrapText="1"/>
    </xf>
    <xf numFmtId="320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15" fontId="130" fillId="0" borderId="0">
      <alignment vertical="center"/>
    </xf>
    <xf numFmtId="0" fontId="70" fillId="0" borderId="3">
      <alignment horizontal="distributed" vertical="top"/>
    </xf>
    <xf numFmtId="201" fontId="9" fillId="0" borderId="0" applyFont="0" applyFill="0" applyBorder="0" applyAlignment="0" applyProtection="0"/>
    <xf numFmtId="189" fontId="9" fillId="0" borderId="0">
      <protection locked="0"/>
    </xf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312" fontId="46" fillId="0" borderId="0">
      <protection locked="0"/>
    </xf>
    <xf numFmtId="316" fontId="9" fillId="0" borderId="0" applyFill="0" applyBorder="0" applyAlignment="0"/>
    <xf numFmtId="4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0" fontId="9" fillId="0" borderId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09" fontId="68" fillId="0" borderId="0" applyFont="0" applyFill="0" applyBorder="0" applyAlignment="0" applyProtection="0"/>
    <xf numFmtId="189" fontId="9" fillId="0" borderId="0">
      <protection locked="0"/>
    </xf>
    <xf numFmtId="0" fontId="9" fillId="0" borderId="0"/>
    <xf numFmtId="0" fontId="9" fillId="0" borderId="0"/>
    <xf numFmtId="0" fontId="70" fillId="0" borderId="3">
      <alignment horizontal="distributed" vertical="top"/>
    </xf>
    <xf numFmtId="189" fontId="9" fillId="0" borderId="0">
      <protection locked="0"/>
    </xf>
    <xf numFmtId="315" fontId="130" fillId="0" borderId="0">
      <alignment vertical="center"/>
    </xf>
    <xf numFmtId="0" fontId="71" fillId="0" borderId="0"/>
    <xf numFmtId="324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207" fillId="0" borderId="0" applyNumberFormat="0" applyFill="0" applyBorder="0" applyAlignment="0" applyProtection="0"/>
    <xf numFmtId="0" fontId="46" fillId="0" borderId="0"/>
    <xf numFmtId="308" fontId="46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3" fontId="70" fillId="0" borderId="0">
      <alignment vertical="center"/>
    </xf>
    <xf numFmtId="309" fontId="68" fillId="0" borderId="0" applyFont="0" applyFill="0" applyBorder="0" applyAlignment="0" applyProtection="0"/>
    <xf numFmtId="189" fontId="9" fillId="0" borderId="0">
      <protection locked="0"/>
    </xf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9" fillId="0" borderId="0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319" fontId="9" fillId="0" borderId="0" applyFill="0" applyBorder="0" applyAlignment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307" fontId="46" fillId="0" borderId="0">
      <protection locked="0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4" fontId="74" fillId="0" borderId="0">
      <protection locked="0"/>
    </xf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238" fontId="10" fillId="0" borderId="0" applyFont="0" applyFill="0" applyBorder="0" applyAlignment="0" applyProtection="0"/>
    <xf numFmtId="320" fontId="9" fillId="0" borderId="0" applyFill="0" applyBorder="0" applyAlignment="0"/>
    <xf numFmtId="0" fontId="9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21" fontId="9" fillId="0" borderId="0" applyFill="0" applyBorder="0" applyAlignment="0"/>
    <xf numFmtId="0" fontId="70" fillId="0" borderId="1">
      <alignment horizontal="distributed" vertical="center"/>
    </xf>
    <xf numFmtId="0" fontId="66" fillId="0" borderId="0">
      <alignment vertical="center"/>
    </xf>
    <xf numFmtId="0" fontId="9" fillId="0" borderId="0"/>
    <xf numFmtId="41" fontId="9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310" fontId="46" fillId="0" borderId="0">
      <protection locked="0"/>
    </xf>
    <xf numFmtId="316" fontId="9" fillId="0" borderId="0" applyFill="0" applyBorder="0" applyAlignment="0"/>
    <xf numFmtId="0" fontId="70" fillId="0" borderId="49">
      <alignment vertical="center" wrapText="1"/>
    </xf>
    <xf numFmtId="0" fontId="10" fillId="0" borderId="49">
      <alignment horizontal="center" vertical="center"/>
    </xf>
    <xf numFmtId="316" fontId="9" fillId="0" borderId="0" applyFill="0" applyBorder="0" applyAlignment="0"/>
    <xf numFmtId="201" fontId="38" fillId="0" borderId="0" applyFont="0" applyFill="0" applyBorder="0" applyAlignment="0" applyProtection="0"/>
    <xf numFmtId="3" fontId="70" fillId="0" borderId="0">
      <alignment vertical="center"/>
    </xf>
    <xf numFmtId="41" fontId="9" fillId="0" borderId="0" applyFont="0" applyFill="0" applyBorder="0" applyAlignment="0" applyProtection="0"/>
    <xf numFmtId="3" fontId="70" fillId="0" borderId="0">
      <alignment vertical="center"/>
    </xf>
    <xf numFmtId="315" fontId="130" fillId="0" borderId="0">
      <alignment vertical="center"/>
    </xf>
    <xf numFmtId="309" fontId="68" fillId="0" borderId="0" applyFont="0" applyFill="0" applyBorder="0" applyAlignment="0" applyProtection="0"/>
    <xf numFmtId="0" fontId="67" fillId="0" borderId="0"/>
    <xf numFmtId="0" fontId="169" fillId="0" borderId="0">
      <alignment vertical="center"/>
    </xf>
    <xf numFmtId="0" fontId="9" fillId="0" borderId="0">
      <alignment vertical="center"/>
    </xf>
    <xf numFmtId="201" fontId="38" fillId="0" borderId="0" applyFont="0" applyFill="0" applyBorder="0" applyAlignment="0" applyProtection="0"/>
    <xf numFmtId="311" fontId="46" fillId="0" borderId="0">
      <protection locked="0"/>
    </xf>
    <xf numFmtId="189" fontId="9" fillId="0" borderId="0">
      <protection locked="0"/>
    </xf>
    <xf numFmtId="41" fontId="9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0" fontId="9" fillId="0" borderId="0" applyFill="0" applyBorder="0" applyAlignment="0"/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189" fontId="9" fillId="0" borderId="0">
      <protection locked="0"/>
    </xf>
    <xf numFmtId="0" fontId="207" fillId="0" borderId="0" applyNumberFormat="0" applyFill="0" applyBorder="0" applyAlignment="0" applyProtection="0"/>
    <xf numFmtId="0" fontId="67" fillId="0" borderId="0"/>
    <xf numFmtId="0" fontId="46" fillId="0" borderId="0"/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0" fontId="10" fillId="0" borderId="49">
      <alignment horizontal="center" vertical="center"/>
    </xf>
    <xf numFmtId="0" fontId="9" fillId="0" borderId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>
      <alignment vertical="center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46" fillId="0" borderId="0"/>
    <xf numFmtId="3" fontId="150" fillId="0" borderId="0" applyFont="0" applyFill="0" applyBorder="0" applyAlignment="0" applyProtection="0"/>
    <xf numFmtId="202" fontId="74" fillId="0" borderId="92">
      <protection locked="0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6" fontId="9" fillId="0" borderId="0" applyFill="0" applyBorder="0" applyAlignment="0"/>
    <xf numFmtId="0" fontId="70" fillId="0" borderId="0" applyFont="0" applyFill="0" applyBorder="0" applyAlignment="0" applyProtection="0"/>
    <xf numFmtId="320" fontId="9" fillId="0" borderId="0" applyFill="0" applyBorder="0" applyAlignment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9" fillId="0" borderId="0">
      <alignment vertical="center"/>
    </xf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0" fontId="70" fillId="0" borderId="6">
      <alignment horizontal="distributed"/>
    </xf>
    <xf numFmtId="316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46" fillId="0" borderId="0"/>
    <xf numFmtId="0" fontId="9" fillId="0" borderId="0">
      <alignment vertical="center"/>
    </xf>
    <xf numFmtId="238" fontId="10" fillId="0" borderId="0" applyFont="0" applyFill="0" applyBorder="0" applyAlignment="0" applyProtection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6">
      <alignment horizontal="distributed"/>
    </xf>
    <xf numFmtId="0" fontId="70" fillId="0" borderId="6">
      <alignment horizontal="distributed"/>
    </xf>
    <xf numFmtId="0" fontId="9" fillId="0" borderId="0"/>
    <xf numFmtId="308" fontId="46" fillId="0" borderId="0">
      <protection locked="0"/>
    </xf>
    <xf numFmtId="41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20" fontId="9" fillId="0" borderId="0" applyFill="0" applyBorder="0" applyAlignment="0"/>
    <xf numFmtId="0" fontId="9" fillId="0" borderId="0"/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70" fillId="0" borderId="1">
      <alignment horizontal="distributed" vertical="center"/>
    </xf>
    <xf numFmtId="0" fontId="46" fillId="0" borderId="0"/>
    <xf numFmtId="41" fontId="9" fillId="0" borderId="0" applyFont="0" applyFill="0" applyBorder="0" applyAlignment="0" applyProtection="0">
      <alignment vertical="center"/>
    </xf>
    <xf numFmtId="189" fontId="9" fillId="0" borderId="0">
      <protection locked="0"/>
    </xf>
    <xf numFmtId="0" fontId="9" fillId="0" borderId="0"/>
    <xf numFmtId="190" fontId="31" fillId="0" borderId="0"/>
    <xf numFmtId="0" fontId="9" fillId="0" borderId="0"/>
    <xf numFmtId="316" fontId="9" fillId="0" borderId="0" applyFill="0" applyBorder="0" applyAlignment="0"/>
    <xf numFmtId="308" fontId="46" fillId="0" borderId="0">
      <protection locked="0"/>
    </xf>
    <xf numFmtId="320" fontId="9" fillId="0" borderId="0" applyFill="0" applyBorder="0" applyAlignment="0"/>
    <xf numFmtId="0" fontId="169" fillId="0" borderId="0">
      <alignment vertical="center"/>
    </xf>
    <xf numFmtId="41" fontId="9" fillId="0" borderId="0" applyFont="0" applyFill="0" applyBorder="0" applyAlignment="0" applyProtection="0"/>
    <xf numFmtId="0" fontId="9" fillId="0" borderId="0"/>
    <xf numFmtId="201" fontId="9" fillId="0" borderId="0" applyFont="0" applyFill="0" applyBorder="0" applyAlignment="0" applyProtection="0"/>
    <xf numFmtId="0" fontId="71" fillId="0" borderId="0"/>
    <xf numFmtId="316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234" fontId="70" fillId="0" borderId="0"/>
    <xf numFmtId="323" fontId="9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207" fillId="0" borderId="0" applyNumberFormat="0" applyFill="0" applyBorder="0" applyAlignment="0" applyProtection="0"/>
    <xf numFmtId="0" fontId="46" fillId="0" borderId="0"/>
    <xf numFmtId="308" fontId="46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3" fontId="70" fillId="0" borderId="0">
      <alignment vertical="center"/>
    </xf>
    <xf numFmtId="309" fontId="68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316" fontId="9" fillId="0" borderId="0" applyFill="0" applyBorder="0" applyAlignment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20" fontId="9" fillId="0" borderId="0" applyFill="0" applyBorder="0" applyAlignment="0"/>
    <xf numFmtId="0" fontId="70" fillId="0" borderId="0" applyFont="0" applyFill="0" applyBorder="0" applyAlignment="0" applyProtection="0"/>
    <xf numFmtId="316" fontId="9" fillId="0" borderId="0" applyFill="0" applyBorder="0" applyAlignment="0"/>
    <xf numFmtId="201" fontId="9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316" fontId="9" fillId="0" borderId="0" applyFill="0" applyBorder="0" applyAlignment="0"/>
    <xf numFmtId="201" fontId="38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311" fontId="46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0" fontId="9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1">
      <alignment horizontal="distributed" vertical="center"/>
    </xf>
    <xf numFmtId="0" fontId="9" fillId="0" borderId="0"/>
    <xf numFmtId="0" fontId="9" fillId="0" borderId="0"/>
    <xf numFmtId="0" fontId="70" fillId="0" borderId="49">
      <alignment vertical="center" wrapText="1"/>
    </xf>
    <xf numFmtId="41" fontId="9" fillId="0" borderId="0" applyFont="0" applyFill="0" applyBorder="0" applyAlignment="0" applyProtection="0">
      <alignment vertical="center"/>
    </xf>
    <xf numFmtId="201" fontId="9" fillId="0" borderId="0" applyFont="0" applyFill="0" applyBorder="0" applyAlignment="0" applyProtection="0"/>
    <xf numFmtId="0" fontId="70" fillId="0" borderId="49">
      <alignment vertical="center" wrapText="1"/>
    </xf>
    <xf numFmtId="319" fontId="9" fillId="0" borderId="0" applyFont="0" applyFill="0" applyBorder="0" applyAlignment="0" applyProtection="0"/>
    <xf numFmtId="316" fontId="9" fillId="0" borderId="0" applyFill="0" applyBorder="0" applyAlignment="0"/>
    <xf numFmtId="0" fontId="9" fillId="0" borderId="0"/>
    <xf numFmtId="201" fontId="38" fillId="0" borderId="0" applyFont="0" applyFill="0" applyBorder="0" applyAlignment="0" applyProtection="0"/>
    <xf numFmtId="189" fontId="9" fillId="0" borderId="0">
      <protection locked="0"/>
    </xf>
    <xf numFmtId="3" fontId="70" fillId="0" borderId="0">
      <alignment vertical="center"/>
    </xf>
    <xf numFmtId="0" fontId="67" fillId="0" borderId="0"/>
    <xf numFmtId="0" fontId="9" fillId="0" borderId="0"/>
    <xf numFmtId="0" fontId="67" fillId="0" borderId="0"/>
    <xf numFmtId="0" fontId="169" fillId="0" borderId="0">
      <alignment vertical="center"/>
    </xf>
    <xf numFmtId="0" fontId="9" fillId="0" borderId="0">
      <alignment vertical="center"/>
    </xf>
    <xf numFmtId="324" fontId="9" fillId="0" borderId="0" applyFill="0" applyBorder="0" applyAlignment="0"/>
    <xf numFmtId="189" fontId="9" fillId="0" borderId="0">
      <protection locked="0"/>
    </xf>
    <xf numFmtId="41" fontId="9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189" fontId="9" fillId="0" borderId="0">
      <protection locked="0"/>
    </xf>
    <xf numFmtId="0" fontId="207" fillId="0" borderId="0" applyNumberFormat="0" applyFill="0" applyBorder="0" applyAlignment="0" applyProtection="0"/>
    <xf numFmtId="0" fontId="67" fillId="0" borderId="0"/>
    <xf numFmtId="0" fontId="46" fillId="0" borderId="0"/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0" fontId="9" fillId="0" borderId="1" applyNumberFormat="0" applyFill="0" applyProtection="0">
      <alignment vertical="center"/>
    </xf>
    <xf numFmtId="238" fontId="10" fillId="0" borderId="0" applyFont="0" applyFill="0" applyBorder="0" applyAlignment="0" applyProtection="0"/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" fillId="0" borderId="0">
      <alignment vertical="center"/>
    </xf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0" fontId="46" fillId="0" borderId="0"/>
    <xf numFmtId="3" fontId="150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316" fontId="9" fillId="0" borderId="0" applyFill="0" applyBorder="0" applyAlignment="0"/>
    <xf numFmtId="0" fontId="70" fillId="0" borderId="0" applyFont="0" applyFill="0" applyBorder="0" applyAlignment="0" applyProtection="0"/>
    <xf numFmtId="320" fontId="9" fillId="0" borderId="0" applyFill="0" applyBorder="0" applyAlignment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9" fillId="0" borderId="0">
      <alignment vertical="center"/>
    </xf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39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16" fontId="9" fillId="0" borderId="0" applyFill="0" applyBorder="0" applyAlignment="0"/>
    <xf numFmtId="0" fontId="31" fillId="10" borderId="0" applyFill="0" applyBorder="0" applyProtection="0">
      <alignment horizontal="right"/>
    </xf>
    <xf numFmtId="0" fontId="46" fillId="0" borderId="0"/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238" fontId="10" fillId="0" borderId="0" applyFont="0" applyFill="0" applyBorder="0" applyAlignment="0" applyProtection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6">
      <alignment horizontal="distributed"/>
    </xf>
    <xf numFmtId="0" fontId="70" fillId="0" borderId="6">
      <alignment horizontal="distributed"/>
    </xf>
    <xf numFmtId="0" fontId="9" fillId="0" borderId="0"/>
    <xf numFmtId="308" fontId="46" fillId="0" borderId="0">
      <protection locked="0"/>
    </xf>
    <xf numFmtId="41" fontId="9" fillId="0" borderId="0" applyFont="0" applyFill="0" applyBorder="0" applyAlignment="0" applyProtection="0"/>
    <xf numFmtId="320" fontId="9" fillId="0" borderId="0" applyFill="0" applyBorder="0" applyAlignment="0"/>
    <xf numFmtId="319" fontId="9" fillId="0" borderId="0" applyFill="0" applyBorder="0" applyAlignment="0"/>
    <xf numFmtId="238" fontId="10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0" fontId="70" fillId="0" borderId="6">
      <alignment horizontal="distributed"/>
    </xf>
    <xf numFmtId="201" fontId="38" fillId="0" borderId="0" applyFont="0" applyFill="0" applyBorder="0" applyAlignment="0" applyProtection="0"/>
    <xf numFmtId="0" fontId="70" fillId="0" borderId="1">
      <alignment horizontal="distributed" vertical="center"/>
    </xf>
    <xf numFmtId="237" fontId="70" fillId="0" borderId="0" applyFont="0" applyFill="0" applyBorder="0" applyAlignment="0" applyProtection="0"/>
    <xf numFmtId="41" fontId="9" fillId="0" borderId="0" applyFont="0" applyFill="0" applyBorder="0" applyAlignment="0" applyProtection="0"/>
    <xf numFmtId="189" fontId="9" fillId="0" borderId="0">
      <protection locked="0"/>
    </xf>
    <xf numFmtId="0" fontId="9" fillId="0" borderId="0"/>
    <xf numFmtId="0" fontId="169" fillId="0" borderId="0">
      <alignment vertical="center"/>
    </xf>
    <xf numFmtId="0" fontId="9" fillId="0" borderId="0"/>
    <xf numFmtId="316" fontId="9" fillId="0" borderId="0" applyFill="0" applyBorder="0" applyAlignment="0"/>
    <xf numFmtId="0" fontId="66" fillId="0" borderId="0">
      <alignment vertical="center"/>
    </xf>
    <xf numFmtId="320" fontId="9" fillId="0" borderId="0" applyFill="0" applyBorder="0" applyAlignment="0"/>
    <xf numFmtId="41" fontId="9" fillId="0" borderId="0" applyFont="0" applyFill="0" applyBorder="0" applyAlignment="0" applyProtection="0"/>
    <xf numFmtId="0" fontId="9" fillId="0" borderId="0">
      <alignment vertical="center"/>
    </xf>
    <xf numFmtId="0" fontId="9" fillId="0" borderId="0"/>
    <xf numFmtId="201" fontId="9" fillId="0" borderId="0" applyFont="0" applyFill="0" applyBorder="0" applyAlignment="0" applyProtection="0"/>
    <xf numFmtId="0" fontId="71" fillId="0" borderId="0"/>
    <xf numFmtId="201" fontId="38" fillId="0" borderId="0" applyFont="0" applyFill="0" applyBorder="0" applyAlignment="0" applyProtection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4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234" fontId="70" fillId="0" borderId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41" fontId="169" fillId="0" borderId="0" applyFont="0" applyFill="0" applyBorder="0" applyAlignment="0" applyProtection="0">
      <alignment vertical="center"/>
    </xf>
    <xf numFmtId="0" fontId="207" fillId="0" borderId="0" applyNumberFormat="0" applyFill="0" applyBorder="0" applyAlignment="0" applyProtection="0"/>
    <xf numFmtId="0" fontId="46" fillId="0" borderId="0"/>
    <xf numFmtId="308" fontId="46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3" fontId="70" fillId="0" borderId="0">
      <alignment vertical="center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311" fontId="46" fillId="0" borderId="0">
      <protection locked="0"/>
    </xf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99" fontId="54" fillId="0" borderId="0">
      <alignment horizontal="center"/>
    </xf>
    <xf numFmtId="3" fontId="150" fillId="0" borderId="0" applyFont="0" applyFill="0" applyBorder="0" applyAlignment="0" applyProtection="0"/>
    <xf numFmtId="0" fontId="38" fillId="0" borderId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190" fontId="31" fillId="0" borderId="0"/>
    <xf numFmtId="0" fontId="46" fillId="0" borderId="0" applyFont="0" applyFill="0" applyBorder="0" applyAlignment="0" applyProtection="0"/>
    <xf numFmtId="314" fontId="74" fillId="0" borderId="0">
      <protection locked="0"/>
    </xf>
    <xf numFmtId="0" fontId="70" fillId="0" borderId="0" applyFont="0" applyFill="0" applyBorder="0" applyAlignment="0" applyProtection="0"/>
    <xf numFmtId="316" fontId="9" fillId="0" borderId="0" applyFill="0" applyBorder="0" applyAlignment="0"/>
    <xf numFmtId="201" fontId="9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316" fontId="9" fillId="0" borderId="0" applyFill="0" applyBorder="0" applyAlignment="0"/>
    <xf numFmtId="201" fontId="38" fillId="0" borderId="0" applyFont="0" applyFill="0" applyBorder="0" applyAlignment="0" applyProtection="0"/>
    <xf numFmtId="237" fontId="70" fillId="0" borderId="0" applyFont="0" applyFill="0" applyBorder="0" applyAlignment="0" applyProtection="0"/>
    <xf numFmtId="311" fontId="46" fillId="0" borderId="0">
      <protection locked="0"/>
    </xf>
    <xf numFmtId="189" fontId="9" fillId="0" borderId="0">
      <protection locked="0"/>
    </xf>
    <xf numFmtId="0" fontId="9" fillId="0" borderId="0">
      <alignment vertical="center"/>
    </xf>
    <xf numFmtId="0" fontId="70" fillId="0" borderId="0"/>
    <xf numFmtId="316" fontId="9" fillId="0" borderId="0" applyFill="0" applyBorder="0" applyAlignment="0"/>
    <xf numFmtId="325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08" fontId="46" fillId="0" borderId="0">
      <protection locked="0"/>
    </xf>
    <xf numFmtId="0" fontId="70" fillId="0" borderId="3">
      <alignment horizontal="distributed" vertical="top"/>
    </xf>
    <xf numFmtId="308" fontId="46" fillId="0" borderId="0">
      <protection locked="0"/>
    </xf>
    <xf numFmtId="320" fontId="9" fillId="0" borderId="0" applyFill="0" applyBorder="0" applyAlignment="0"/>
    <xf numFmtId="310" fontId="46" fillId="0" borderId="0">
      <protection locked="0"/>
    </xf>
    <xf numFmtId="308" fontId="46" fillId="0" borderId="0">
      <protection locked="0"/>
    </xf>
    <xf numFmtId="0" fontId="9" fillId="0" borderId="0"/>
    <xf numFmtId="189" fontId="9" fillId="0" borderId="0">
      <protection locked="0"/>
    </xf>
    <xf numFmtId="201" fontId="9" fillId="0" borderId="0" applyFont="0" applyFill="0" applyBorder="0" applyAlignment="0" applyProtection="0"/>
    <xf numFmtId="0" fontId="9" fillId="0" borderId="0"/>
    <xf numFmtId="316" fontId="9" fillId="0" borderId="0" applyFill="0" applyBorder="0" applyAlignment="0"/>
    <xf numFmtId="308" fontId="46" fillId="0" borderId="0">
      <protection locked="0"/>
    </xf>
    <xf numFmtId="321" fontId="9" fillId="0" borderId="0" applyFill="0" applyBorder="0" applyAlignment="0"/>
    <xf numFmtId="309" fontId="68" fillId="0" borderId="0" applyFont="0" applyFill="0" applyBorder="0" applyAlignment="0" applyProtection="0"/>
    <xf numFmtId="0" fontId="9" fillId="0" borderId="0"/>
    <xf numFmtId="0" fontId="169" fillId="0" borderId="0">
      <alignment vertical="center"/>
    </xf>
    <xf numFmtId="41" fontId="9" fillId="0" borderId="0" applyFont="0" applyFill="0" applyBorder="0" applyAlignment="0" applyProtection="0"/>
    <xf numFmtId="0" fontId="71" fillId="0" borderId="0"/>
    <xf numFmtId="0" fontId="70" fillId="0" borderId="0" applyFont="0" applyFill="0" applyBorder="0" applyAlignment="0" applyProtection="0"/>
    <xf numFmtId="320" fontId="9" fillId="0" borderId="0" applyFill="0" applyBorder="0" applyAlignment="0"/>
    <xf numFmtId="307" fontId="46" fillId="0" borderId="0">
      <protection locked="0"/>
    </xf>
    <xf numFmtId="202" fontId="74" fillId="0" borderId="92">
      <protection locked="0"/>
    </xf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314" fontId="74" fillId="0" borderId="0">
      <protection locked="0"/>
    </xf>
    <xf numFmtId="0" fontId="74" fillId="0" borderId="0">
      <protection locked="0"/>
    </xf>
    <xf numFmtId="0" fontId="206" fillId="0" borderId="0" applyNumberFormat="0" applyFill="0" applyBorder="0" applyAlignment="0" applyProtection="0"/>
    <xf numFmtId="201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9" fillId="0" borderId="0">
      <alignment vertical="center"/>
    </xf>
    <xf numFmtId="189" fontId="9" fillId="0" borderId="0">
      <protection locked="0"/>
    </xf>
    <xf numFmtId="189" fontId="9" fillId="0" borderId="0">
      <protection locked="0"/>
    </xf>
    <xf numFmtId="0" fontId="169" fillId="0" borderId="0">
      <alignment vertical="center"/>
    </xf>
    <xf numFmtId="3" fontId="70" fillId="0" borderId="0">
      <alignment vertical="center"/>
    </xf>
    <xf numFmtId="238" fontId="10" fillId="0" borderId="0" applyFont="0" applyFill="0" applyBorder="0" applyAlignment="0" applyProtection="0"/>
    <xf numFmtId="189" fontId="9" fillId="0" borderId="0">
      <protection locked="0"/>
    </xf>
    <xf numFmtId="201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0" fontId="68" fillId="0" borderId="88"/>
    <xf numFmtId="311" fontId="46" fillId="0" borderId="0">
      <protection locked="0"/>
    </xf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0" fontId="71" fillId="0" borderId="0"/>
    <xf numFmtId="299" fontId="54" fillId="0" borderId="0">
      <alignment horizontal="center"/>
    </xf>
    <xf numFmtId="313" fontId="9" fillId="0" borderId="0"/>
    <xf numFmtId="320" fontId="9" fillId="0" borderId="0" applyFont="0" applyFill="0" applyBorder="0" applyAlignment="0" applyProtection="0"/>
    <xf numFmtId="201" fontId="69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8" fillId="0" borderId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9" fillId="0" borderId="0">
      <alignment vertical="center"/>
    </xf>
    <xf numFmtId="0" fontId="208" fillId="0" borderId="0" applyNumberFormat="0" applyFill="0" applyBorder="0" applyAlignment="0" applyProtection="0"/>
    <xf numFmtId="0" fontId="145" fillId="0" borderId="0"/>
    <xf numFmtId="316" fontId="9" fillId="0" borderId="0" applyFill="0" applyBorder="0" applyAlignment="0"/>
    <xf numFmtId="0" fontId="208" fillId="0" borderId="0" applyNumberForma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189" fontId="9" fillId="0" borderId="0">
      <protection locked="0"/>
    </xf>
    <xf numFmtId="316" fontId="9" fillId="0" borderId="0" applyFill="0" applyBorder="0" applyAlignment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46" fillId="0" borderId="0"/>
    <xf numFmtId="0" fontId="9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201" fontId="9" fillId="0" borderId="0" applyFont="0" applyFill="0" applyBorder="0" applyAlignment="0" applyProtection="0"/>
    <xf numFmtId="0" fontId="70" fillId="0" borderId="3">
      <alignment horizontal="distributed" vertical="top"/>
    </xf>
    <xf numFmtId="189" fontId="9" fillId="0" borderId="0">
      <protection locked="0"/>
    </xf>
    <xf numFmtId="0" fontId="9" fillId="0" borderId="0"/>
    <xf numFmtId="41" fontId="6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319" fontId="9" fillId="0" borderId="0" applyFill="0" applyBorder="0" applyAlignment="0"/>
    <xf numFmtId="310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0" fontId="70" fillId="0" borderId="3">
      <alignment horizontal="distributed" vertical="top"/>
    </xf>
    <xf numFmtId="308" fontId="46" fillId="0" borderId="0">
      <protection locked="0"/>
    </xf>
    <xf numFmtId="20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89" fontId="9" fillId="0" borderId="0">
      <protection locked="0"/>
    </xf>
    <xf numFmtId="0" fontId="9" fillId="0" borderId="0"/>
    <xf numFmtId="309" fontId="68" fillId="0" borderId="0" applyFont="0" applyFill="0" applyBorder="0" applyAlignment="0" applyProtection="0"/>
    <xf numFmtId="315" fontId="130" fillId="0" borderId="0">
      <alignment vertical="center"/>
    </xf>
    <xf numFmtId="0" fontId="9" fillId="0" borderId="0"/>
    <xf numFmtId="320" fontId="9" fillId="0" borderId="0" applyFill="0" applyBorder="0" applyAlignment="0"/>
    <xf numFmtId="319" fontId="9" fillId="0" borderId="0" applyFont="0" applyFill="0" applyBorder="0" applyAlignment="0" applyProtection="0"/>
    <xf numFmtId="311" fontId="46" fillId="0" borderId="0">
      <protection locked="0"/>
    </xf>
    <xf numFmtId="0" fontId="66" fillId="0" borderId="0">
      <alignment vertical="center"/>
    </xf>
    <xf numFmtId="234" fontId="70" fillId="0" borderId="0"/>
    <xf numFmtId="316" fontId="9" fillId="0" borderId="0" applyFill="0" applyBorder="0" applyAlignment="0"/>
    <xf numFmtId="320" fontId="9" fillId="0" borderId="0" applyFill="0" applyBorder="0" applyAlignment="0"/>
    <xf numFmtId="202" fontId="74" fillId="0" borderId="92">
      <protection locked="0"/>
    </xf>
    <xf numFmtId="324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206" fillId="0" borderId="0" applyNumberFormat="0" applyFill="0" applyBorder="0" applyAlignment="0" applyProtection="0"/>
    <xf numFmtId="315" fontId="130" fillId="0" borderId="0">
      <alignment vertical="center"/>
    </xf>
    <xf numFmtId="41" fontId="9" fillId="0" borderId="0" applyFon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316" fontId="9" fillId="0" borderId="0" applyFill="0" applyBorder="0" applyAlignment="0"/>
    <xf numFmtId="0" fontId="9" fillId="0" borderId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9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4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1" fontId="38" fillId="0" borderId="0" applyFont="0" applyFill="0" applyBorder="0" applyAlignment="0" applyProtection="0"/>
    <xf numFmtId="237" fontId="70" fillId="0" borderId="0" applyFont="0" applyFill="0" applyBorder="0" applyAlignment="0" applyProtection="0"/>
    <xf numFmtId="189" fontId="9" fillId="0" borderId="0">
      <protection locked="0"/>
    </xf>
    <xf numFmtId="0" fontId="9" fillId="0" borderId="0">
      <alignment vertical="center"/>
    </xf>
    <xf numFmtId="0" fontId="70" fillId="0" borderId="0"/>
    <xf numFmtId="0" fontId="9" fillId="0" borderId="1" applyNumberFormat="0" applyFill="0" applyProtection="0">
      <alignment vertical="center"/>
    </xf>
    <xf numFmtId="325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15" fontId="130" fillId="0" borderId="0">
      <alignment vertical="center"/>
    </xf>
    <xf numFmtId="0" fontId="70" fillId="0" borderId="3">
      <alignment horizontal="distributed" vertical="top"/>
    </xf>
    <xf numFmtId="308" fontId="46" fillId="0" borderId="0">
      <protection locked="0"/>
    </xf>
    <xf numFmtId="41" fontId="9" fillId="0" borderId="0" applyFont="0" applyFill="0" applyBorder="0" applyAlignment="0" applyProtection="0"/>
    <xf numFmtId="316" fontId="9" fillId="0" borderId="0" applyFill="0" applyBorder="0" applyAlignment="0"/>
    <xf numFmtId="310" fontId="46" fillId="0" borderId="0">
      <protection locked="0"/>
    </xf>
    <xf numFmtId="0" fontId="46" fillId="0" borderId="0"/>
    <xf numFmtId="308" fontId="46" fillId="0" borderId="0">
      <protection locked="0"/>
    </xf>
    <xf numFmtId="0" fontId="9" fillId="0" borderId="0"/>
    <xf numFmtId="201" fontId="9" fillId="0" borderId="0" applyFont="0" applyFill="0" applyBorder="0" applyAlignment="0" applyProtection="0"/>
    <xf numFmtId="189" fontId="9" fillId="0" borderId="0">
      <protection locked="0"/>
    </xf>
    <xf numFmtId="201" fontId="9" fillId="0" borderId="0" applyFont="0" applyFill="0" applyBorder="0" applyAlignment="0" applyProtection="0"/>
    <xf numFmtId="316" fontId="9" fillId="0" borderId="0" applyFill="0" applyBorder="0" applyAlignment="0"/>
    <xf numFmtId="41" fontId="9" fillId="0" borderId="0" applyFont="0" applyFill="0" applyBorder="0" applyAlignment="0" applyProtection="0"/>
    <xf numFmtId="321" fontId="9" fillId="0" borderId="0" applyFill="0" applyBorder="0" applyAlignment="0"/>
    <xf numFmtId="309" fontId="68" fillId="0" borderId="0" applyFont="0" applyFill="0" applyBorder="0" applyAlignment="0" applyProtection="0"/>
    <xf numFmtId="0" fontId="9" fillId="0" borderId="0"/>
    <xf numFmtId="0" fontId="169" fillId="0" borderId="0">
      <alignment vertical="center"/>
    </xf>
    <xf numFmtId="0" fontId="9" fillId="0" borderId="0"/>
    <xf numFmtId="0" fontId="9" fillId="0" borderId="0"/>
    <xf numFmtId="41" fontId="9" fillId="0" borderId="0" applyFont="0" applyFill="0" applyBorder="0" applyAlignment="0" applyProtection="0"/>
    <xf numFmtId="0" fontId="71" fillId="0" borderId="0"/>
    <xf numFmtId="0" fontId="169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201" fontId="9" fillId="0" borderId="0" applyFont="0" applyFill="0" applyBorder="0" applyAlignment="0" applyProtection="0"/>
    <xf numFmtId="0" fontId="9" fillId="0" borderId="0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189" fontId="9" fillId="0" borderId="0">
      <protection locked="0"/>
    </xf>
    <xf numFmtId="0" fontId="9" fillId="0" borderId="0">
      <alignment vertical="center"/>
    </xf>
    <xf numFmtId="41" fontId="66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201" fontId="9" fillId="0" borderId="0" applyFont="0" applyFill="0" applyBorder="0" applyAlignment="0" applyProtection="0"/>
    <xf numFmtId="0" fontId="70" fillId="0" borderId="1">
      <alignment horizontal="distributed" vertical="center"/>
    </xf>
    <xf numFmtId="189" fontId="9" fillId="0" borderId="0">
      <protection locked="0"/>
    </xf>
    <xf numFmtId="0" fontId="9" fillId="0" borderId="0"/>
    <xf numFmtId="41" fontId="66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0" fontId="70" fillId="0" borderId="49">
      <alignment vertical="center" wrapText="1"/>
    </xf>
    <xf numFmtId="310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08" fontId="46" fillId="0" borderId="0">
      <protection locked="0"/>
    </xf>
    <xf numFmtId="201" fontId="38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308" fontId="46" fillId="0" borderId="0">
      <protection locked="0"/>
    </xf>
    <xf numFmtId="309" fontId="68" fillId="0" borderId="0" applyFont="0" applyFill="0" applyBorder="0" applyAlignment="0" applyProtection="0"/>
    <xf numFmtId="315" fontId="130" fillId="0" borderId="0">
      <alignment vertical="center"/>
    </xf>
    <xf numFmtId="0" fontId="67" fillId="0" borderId="0"/>
    <xf numFmtId="0" fontId="67" fillId="0" borderId="0"/>
    <xf numFmtId="319" fontId="9" fillId="0" borderId="0" applyFont="0" applyFill="0" applyBorder="0" applyAlignment="0" applyProtection="0"/>
    <xf numFmtId="311" fontId="46" fillId="0" borderId="0">
      <protection locked="0"/>
    </xf>
    <xf numFmtId="0" fontId="66" fillId="0" borderId="0">
      <alignment vertical="center"/>
    </xf>
    <xf numFmtId="0" fontId="169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316" fontId="9" fillId="0" borderId="0" applyFill="0" applyBorder="0" applyAlignment="0"/>
    <xf numFmtId="0" fontId="9" fillId="0" borderId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0" fontId="70" fillId="0" borderId="0"/>
    <xf numFmtId="0" fontId="9" fillId="0" borderId="1" applyNumberFormat="0" applyFill="0" applyProtection="0">
      <alignment vertical="center"/>
    </xf>
    <xf numFmtId="325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15" fontId="130" fillId="0" borderId="0">
      <alignment vertical="center"/>
    </xf>
    <xf numFmtId="0" fontId="70" fillId="0" borderId="6">
      <alignment horizontal="distributed"/>
    </xf>
    <xf numFmtId="316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0" fillId="0" borderId="49">
      <alignment vertical="center" wrapText="1"/>
    </xf>
    <xf numFmtId="310" fontId="46" fillId="0" borderId="0">
      <protection locked="0"/>
    </xf>
    <xf numFmtId="0" fontId="46" fillId="0" borderId="0"/>
    <xf numFmtId="0" fontId="46" fillId="0" borderId="0"/>
    <xf numFmtId="311" fontId="46" fillId="0" borderId="0">
      <protection locked="0"/>
    </xf>
    <xf numFmtId="201" fontId="9" fillId="0" borderId="0" applyFont="0" applyFill="0" applyBorder="0" applyAlignment="0" applyProtection="0"/>
    <xf numFmtId="308" fontId="46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41" fontId="9" fillId="0" borderId="0" applyFont="0" applyFill="0" applyBorder="0" applyAlignment="0" applyProtection="0"/>
    <xf numFmtId="321" fontId="9" fillId="0" borderId="0" applyFill="0" applyBorder="0" applyAlignment="0"/>
    <xf numFmtId="309" fontId="68" fillId="0" borderId="0" applyFont="0" applyFill="0" applyBorder="0" applyAlignment="0" applyProtection="0"/>
    <xf numFmtId="0" fontId="9" fillId="0" borderId="0"/>
    <xf numFmtId="0" fontId="169" fillId="0" borderId="0">
      <alignment vertical="center"/>
    </xf>
    <xf numFmtId="0" fontId="9" fillId="0" borderId="0"/>
    <xf numFmtId="0" fontId="9" fillId="0" borderId="0"/>
    <xf numFmtId="0" fontId="71" fillId="0" borderId="0"/>
    <xf numFmtId="0" fontId="169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201" fontId="9" fillId="0" borderId="0" applyFont="0" applyFill="0" applyBorder="0" applyAlignment="0" applyProtection="0"/>
    <xf numFmtId="0" fontId="70" fillId="0" borderId="1">
      <alignment horizontal="distributed" vertical="center"/>
    </xf>
    <xf numFmtId="189" fontId="9" fillId="0" borderId="0">
      <protection locked="0"/>
    </xf>
    <xf numFmtId="0" fontId="9" fillId="0" borderId="0"/>
    <xf numFmtId="41" fontId="66" fillId="0" borderId="0" applyFont="0" applyFill="0" applyBorder="0" applyAlignment="0" applyProtection="0">
      <alignment vertical="center"/>
    </xf>
    <xf numFmtId="0" fontId="70" fillId="0" borderId="49">
      <alignment vertical="center" wrapText="1"/>
    </xf>
    <xf numFmtId="201" fontId="9" fillId="0" borderId="0" applyFont="0" applyFill="0" applyBorder="0" applyAlignment="0" applyProtection="0"/>
    <xf numFmtId="0" fontId="9" fillId="0" borderId="0"/>
    <xf numFmtId="308" fontId="46" fillId="0" borderId="0">
      <protection locked="0"/>
    </xf>
    <xf numFmtId="201" fontId="38" fillId="0" borderId="0" applyFont="0" applyFill="0" applyBorder="0" applyAlignment="0" applyProtection="0"/>
    <xf numFmtId="0" fontId="9" fillId="0" borderId="1" applyNumberFormat="0" applyFill="0" applyProtection="0">
      <alignment vertical="center"/>
    </xf>
    <xf numFmtId="201" fontId="9" fillId="0" borderId="0" applyFont="0" applyFill="0" applyBorder="0" applyAlignment="0" applyProtection="0"/>
    <xf numFmtId="309" fontId="68" fillId="0" borderId="0" applyFont="0" applyFill="0" applyBorder="0" applyAlignment="0" applyProtection="0"/>
    <xf numFmtId="315" fontId="130" fillId="0" borderId="0">
      <alignment vertical="center"/>
    </xf>
    <xf numFmtId="0" fontId="67" fillId="0" borderId="0"/>
    <xf numFmtId="0" fontId="67" fillId="0" borderId="0"/>
    <xf numFmtId="319" fontId="9" fillId="0" borderId="0" applyFont="0" applyFill="0" applyBorder="0" applyAlignment="0" applyProtection="0"/>
    <xf numFmtId="311" fontId="46" fillId="0" borderId="0">
      <protection locked="0"/>
    </xf>
    <xf numFmtId="0" fontId="66" fillId="0" borderId="0">
      <alignment vertical="center"/>
    </xf>
    <xf numFmtId="0" fontId="169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0" fontId="70" fillId="0" borderId="0"/>
    <xf numFmtId="0" fontId="9" fillId="0" borderId="1" applyNumberFormat="0" applyFill="0" applyProtection="0">
      <alignment vertical="center"/>
    </xf>
    <xf numFmtId="325" fontId="9" fillId="0" borderId="0" applyFill="0" applyBorder="0" applyAlignment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15" fontId="130" fillId="0" borderId="0">
      <alignment vertical="center"/>
    </xf>
    <xf numFmtId="0" fontId="70" fillId="0" borderId="6">
      <alignment horizontal="distributed"/>
    </xf>
    <xf numFmtId="316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0" fillId="0" borderId="49">
      <alignment vertical="center" wrapText="1"/>
    </xf>
    <xf numFmtId="319" fontId="9" fillId="0" borderId="0" applyFill="0" applyBorder="0" applyAlignment="0"/>
    <xf numFmtId="0" fontId="46" fillId="0" borderId="0"/>
    <xf numFmtId="0" fontId="70" fillId="0" borderId="1">
      <alignment horizontal="distributed" vertical="center"/>
    </xf>
    <xf numFmtId="311" fontId="46" fillId="0" borderId="0">
      <protection locked="0"/>
    </xf>
    <xf numFmtId="316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321" fontId="9" fillId="0" borderId="0" applyFill="0" applyBorder="0" applyAlignment="0"/>
    <xf numFmtId="0" fontId="67" fillId="0" borderId="0"/>
    <xf numFmtId="0" fontId="9" fillId="0" borderId="0"/>
    <xf numFmtId="0" fontId="169" fillId="0" borderId="0">
      <alignment vertical="center"/>
    </xf>
    <xf numFmtId="0" fontId="9" fillId="0" borderId="0"/>
    <xf numFmtId="319" fontId="9" fillId="0" borderId="0" applyFont="0" applyFill="0" applyBorder="0" applyAlignment="0" applyProtection="0"/>
    <xf numFmtId="0" fontId="71" fillId="0" borderId="0"/>
    <xf numFmtId="0" fontId="169" fillId="0" borderId="0">
      <alignment vertical="center"/>
    </xf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0" fontId="70" fillId="0" borderId="0"/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0" fontId="70" fillId="0" borderId="3">
      <alignment horizontal="distributed" vertical="top"/>
    </xf>
    <xf numFmtId="0" fontId="9" fillId="0" borderId="0"/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9" fillId="0" borderId="0"/>
    <xf numFmtId="0" fontId="70" fillId="0" borderId="1">
      <alignment horizontal="distributed" vertical="center"/>
    </xf>
    <xf numFmtId="0" fontId="67" fillId="0" borderId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0" fontId="169" fillId="0" borderId="0">
      <alignment vertical="center"/>
    </xf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238" fontId="10" fillId="0" borderId="0" applyFont="0" applyFill="0" applyBorder="0" applyAlignment="0" applyProtection="0"/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201" fontId="38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323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189" fontId="9" fillId="0" borderId="0">
      <protection locked="0"/>
    </xf>
    <xf numFmtId="0" fontId="70" fillId="0" borderId="3">
      <alignment horizontal="distributed" vertical="top"/>
    </xf>
    <xf numFmtId="0" fontId="9" fillId="0" borderId="0"/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9" fillId="0" borderId="0"/>
    <xf numFmtId="0" fontId="70" fillId="0" borderId="1">
      <alignment horizontal="distributed" vertical="center"/>
    </xf>
    <xf numFmtId="0" fontId="67" fillId="0" borderId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4" fontId="74" fillId="0" borderId="0">
      <protection locked="0"/>
    </xf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0" fontId="9" fillId="0" borderId="0"/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70" fillId="0" borderId="1">
      <alignment horizontal="distributed" vertical="center"/>
    </xf>
    <xf numFmtId="0" fontId="67" fillId="0" borderId="0"/>
    <xf numFmtId="41" fontId="169" fillId="0" borderId="0" applyFont="0" applyFill="0" applyBorder="0" applyAlignment="0" applyProtection="0">
      <alignment vertical="center"/>
    </xf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70" fillId="0" borderId="1">
      <alignment horizontal="distributed" vertical="center"/>
    </xf>
    <xf numFmtId="0" fontId="67" fillId="0" borderId="0"/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9" fillId="0" borderId="0">
      <alignment vertical="center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70" fillId="0" borderId="1">
      <alignment horizontal="distributed" vertical="center"/>
    </xf>
    <xf numFmtId="0" fontId="67" fillId="0" borderId="0"/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315" fontId="130" fillId="0" borderId="0">
      <alignment vertical="center"/>
    </xf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70" fillId="0" borderId="1">
      <alignment horizontal="distributed" vertical="center"/>
    </xf>
    <xf numFmtId="0" fontId="67" fillId="0" borderId="0"/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2" fontId="46" fillId="0" borderId="0">
      <protection locked="0"/>
    </xf>
    <xf numFmtId="41" fontId="9" fillId="0" borderId="0" applyFont="0" applyFill="0" applyBorder="0" applyAlignment="0" applyProtection="0">
      <alignment vertical="center"/>
    </xf>
    <xf numFmtId="310" fontId="46" fillId="0" borderId="0">
      <protection locked="0"/>
    </xf>
    <xf numFmtId="0" fontId="70" fillId="0" borderId="1">
      <alignment horizontal="distributed" vertical="center"/>
    </xf>
    <xf numFmtId="0" fontId="67" fillId="0" borderId="0"/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01" fontId="9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99" fontId="54" fillId="0" borderId="0">
      <alignment horizontal="center"/>
    </xf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190" fontId="31" fillId="0" borderId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320" fontId="9" fillId="0" borderId="0" applyFill="0" applyBorder="0" applyAlignment="0"/>
    <xf numFmtId="41" fontId="9" fillId="0" borderId="0" applyFont="0" applyFill="0" applyBorder="0" applyAlignment="0" applyProtection="0"/>
    <xf numFmtId="189" fontId="9" fillId="0" borderId="0">
      <protection locked="0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0" fontId="70" fillId="0" borderId="0" applyFont="0" applyFill="0" applyBorder="0" applyAlignment="0" applyProtection="0"/>
    <xf numFmtId="316" fontId="9" fillId="0" borderId="0" applyFill="0" applyBorder="0" applyAlignment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208" fillId="0" borderId="0" applyNumberFormat="0" applyFill="0" applyBorder="0" applyAlignment="0" applyProtection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41" fontId="9" fillId="0" borderId="0" applyFont="0" applyFill="0" applyBorder="0" applyAlignment="0" applyProtection="0"/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4" fillId="0" borderId="0">
      <protection locked="0"/>
    </xf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239" fontId="10" fillId="0" borderId="0" applyFont="0" applyFill="0" applyBorder="0" applyAlignment="0" applyProtection="0"/>
    <xf numFmtId="316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234" fontId="70" fillId="0" borderId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316" fontId="9" fillId="0" borderId="0" applyFont="0" applyFill="0" applyBorder="0" applyAlignment="0" applyProtection="0"/>
    <xf numFmtId="0" fontId="31" fillId="10" borderId="0" applyFill="0" applyBorder="0" applyProtection="0">
      <alignment horizontal="right"/>
    </xf>
    <xf numFmtId="237" fontId="70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70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189" fontId="9" fillId="0" borderId="0">
      <protection locked="0"/>
    </xf>
    <xf numFmtId="189" fontId="9" fillId="0" borderId="0">
      <protection locked="0"/>
    </xf>
    <xf numFmtId="0" fontId="10" fillId="0" borderId="49">
      <alignment horizontal="center" vertical="center"/>
    </xf>
    <xf numFmtId="203" fontId="46" fillId="0" borderId="0">
      <alignment vertical="center"/>
    </xf>
    <xf numFmtId="0" fontId="68" fillId="0" borderId="88"/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38" fillId="0" borderId="0"/>
    <xf numFmtId="0" fontId="46" fillId="0" borderId="0" applyFont="0" applyFill="0" applyBorder="0" applyAlignment="0" applyProtection="0"/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0" fillId="0" borderId="1">
      <alignment horizontal="distributed" vertical="center"/>
    </xf>
    <xf numFmtId="0" fontId="71" fillId="0" borderId="0"/>
    <xf numFmtId="320" fontId="9" fillId="0" borderId="0" applyFill="0" applyBorder="0" applyAlignment="0"/>
    <xf numFmtId="316" fontId="9" fillId="0" borderId="0" applyFill="0" applyBorder="0" applyAlignment="0"/>
    <xf numFmtId="307" fontId="46" fillId="0" borderId="0">
      <protection locked="0"/>
    </xf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2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10" fillId="0" borderId="49">
      <alignment horizontal="center" vertical="center"/>
    </xf>
    <xf numFmtId="203" fontId="46" fillId="0" borderId="0">
      <alignment vertical="center"/>
    </xf>
    <xf numFmtId="322" fontId="9" fillId="0" borderId="0" applyFont="0" applyFill="0" applyBorder="0" applyAlignment="0" applyProtection="0"/>
    <xf numFmtId="201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46" fillId="0" borderId="0" applyFont="0" applyFill="0" applyBorder="0" applyAlignment="0" applyProtection="0"/>
    <xf numFmtId="240" fontId="10" fillId="0" borderId="0" applyFont="0" applyFill="0" applyBorder="0" applyAlignment="0" applyProtection="0"/>
    <xf numFmtId="3" fontId="150" fillId="0" borderId="0" applyFont="0" applyFill="0" applyBorder="0" applyAlignment="0" applyProtection="0"/>
    <xf numFmtId="201" fontId="69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70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242" fontId="10" fillId="0" borderId="0" applyFont="0" applyFill="0" applyBorder="0" applyAlignment="0" applyProtection="0"/>
    <xf numFmtId="0" fontId="145" fillId="0" borderId="0"/>
    <xf numFmtId="41" fontId="9" fillId="0" borderId="0" applyFont="0" applyFill="0" applyBorder="0" applyAlignment="0" applyProtection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71" fillId="0" borderId="0"/>
    <xf numFmtId="307" fontId="46" fillId="0" borderId="0">
      <protection locked="0"/>
    </xf>
    <xf numFmtId="321" fontId="9" fillId="0" borderId="0" applyFill="0" applyBorder="0" applyAlignment="0"/>
    <xf numFmtId="320" fontId="9" fillId="0" borderId="0" applyFill="0" applyBorder="0" applyAlignment="0"/>
    <xf numFmtId="316" fontId="9" fillId="0" borderId="0" applyFill="0" applyBorder="0" applyAlignment="0"/>
    <xf numFmtId="320" fontId="9" fillId="0" borderId="0" applyFill="0" applyBorder="0" applyAlignment="0"/>
    <xf numFmtId="0" fontId="206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322" fontId="9" fillId="0" borderId="0" applyFont="0" applyFill="0" applyBorder="0" applyAlignment="0" applyProtection="0"/>
    <xf numFmtId="0" fontId="46" fillId="0" borderId="0" applyFont="0" applyFill="0" applyBorder="0" applyAlignment="0" applyProtection="0"/>
    <xf numFmtId="3" fontId="150" fillId="0" borderId="0" applyFont="0" applyFill="0" applyBorder="0" applyAlignment="0" applyProtection="0"/>
    <xf numFmtId="313" fontId="9" fillId="0" borderId="0"/>
    <xf numFmtId="320" fontId="9" fillId="0" borderId="0" applyFont="0" applyFill="0" applyBorder="0" applyAlignment="0" applyProtection="0"/>
    <xf numFmtId="0" fontId="46" fillId="0" borderId="0" applyFont="0" applyFill="0" applyBorder="0" applyAlignment="0" applyProtection="0"/>
    <xf numFmtId="316" fontId="9" fillId="0" borderId="0" applyFill="0" applyBorder="0" applyAlignment="0"/>
    <xf numFmtId="321" fontId="9" fillId="0" borderId="0" applyFill="0" applyBorder="0" applyAlignment="0"/>
    <xf numFmtId="320" fontId="9" fillId="0" borderId="0" applyFill="0" applyBorder="0" applyAlignment="0"/>
    <xf numFmtId="318" fontId="9" fillId="0" borderId="0" applyFill="0" applyBorder="0" applyAlignment="0"/>
    <xf numFmtId="317" fontId="9" fillId="0" borderId="0" applyFill="0" applyBorder="0" applyAlignment="0"/>
    <xf numFmtId="316" fontId="9" fillId="0" borderId="0" applyFill="0" applyBorder="0" applyAlignment="0"/>
    <xf numFmtId="0" fontId="145" fillId="0" borderId="0"/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70" fillId="0" borderId="3">
      <alignment horizontal="distributed" vertical="top"/>
    </xf>
    <xf numFmtId="310" fontId="46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10" fontId="46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10" fontId="46" fillId="0" borderId="0">
      <protection locked="0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0" fontId="12" fillId="0" borderId="0"/>
    <xf numFmtId="0" fontId="31" fillId="0" borderId="0">
      <alignment vertical="center"/>
    </xf>
    <xf numFmtId="0" fontId="9" fillId="0" borderId="0">
      <alignment vertical="center"/>
    </xf>
    <xf numFmtId="327" fontId="9" fillId="0" borderId="0" applyFont="0" applyFill="0" applyBorder="0" applyAlignment="0" applyProtection="0"/>
    <xf numFmtId="195" fontId="70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/>
    <xf numFmtId="0" fontId="9" fillId="0" borderId="0"/>
    <xf numFmtId="0" fontId="12" fillId="0" borderId="0">
      <alignment vertical="center"/>
    </xf>
    <xf numFmtId="0" fontId="12" fillId="0" borderId="0">
      <alignment vertical="center"/>
    </xf>
    <xf numFmtId="0" fontId="70" fillId="0" borderId="0"/>
    <xf numFmtId="0" fontId="9" fillId="0" borderId="0"/>
    <xf numFmtId="0" fontId="34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9" fillId="0" borderId="0">
      <alignment vertical="center"/>
    </xf>
    <xf numFmtId="0" fontId="133" fillId="0" borderId="0" applyNumberFormat="0" applyFill="0" applyBorder="0" applyProtection="0">
      <alignment vertical="top"/>
    </xf>
    <xf numFmtId="0" fontId="12" fillId="0" borderId="0">
      <alignment vertical="center"/>
    </xf>
    <xf numFmtId="0" fontId="133" fillId="0" borderId="0" applyNumberFormat="0" applyFill="0" applyBorder="0" applyProtection="0">
      <alignment vertical="top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" fillId="0" borderId="0"/>
    <xf numFmtId="201" fontId="85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70" fillId="0" borderId="0"/>
    <xf numFmtId="0" fontId="9" fillId="0" borderId="0"/>
  </cellStyleXfs>
  <cellXfs count="1498">
    <xf numFmtId="0" fontId="0" fillId="0" borderId="0" xfId="0">
      <alignment vertical="center"/>
    </xf>
    <xf numFmtId="0" fontId="0" fillId="0" borderId="0" xfId="0" quotePrefix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3" fillId="0" borderId="1" xfId="0" quotePrefix="1" applyFont="1" applyBorder="1" applyAlignment="1">
      <alignment horizontal="center"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/>
    </xf>
    <xf numFmtId="0" fontId="4" fillId="0" borderId="1" xfId="0" quotePrefix="1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76" fontId="5" fillId="0" borderId="1" xfId="0" applyNumberFormat="1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180" fontId="5" fillId="0" borderId="1" xfId="0" applyNumberFormat="1" applyFont="1" applyBorder="1" applyAlignment="1">
      <alignment vertical="center" wrapText="1"/>
    </xf>
    <xf numFmtId="180" fontId="0" fillId="0" borderId="0" xfId="0" applyNumberFormat="1" applyAlignment="1">
      <alignment vertical="center"/>
    </xf>
    <xf numFmtId="0" fontId="0" fillId="0" borderId="0" xfId="0" quotePrefix="1">
      <alignment vertical="center"/>
    </xf>
    <xf numFmtId="0" fontId="6" fillId="0" borderId="0" xfId="0" quotePrefix="1" applyFont="1" applyAlignment="1">
      <alignment vertical="center"/>
    </xf>
    <xf numFmtId="0" fontId="0" fillId="0" borderId="0" xfId="0" applyFill="1">
      <alignment vertical="center"/>
    </xf>
    <xf numFmtId="0" fontId="12" fillId="0" borderId="0" xfId="3">
      <alignment vertical="center"/>
    </xf>
    <xf numFmtId="0" fontId="13" fillId="0" borderId="0" xfId="3" applyFont="1">
      <alignment vertical="center"/>
    </xf>
    <xf numFmtId="0" fontId="12" fillId="0" borderId="1" xfId="3" applyBorder="1" applyAlignment="1">
      <alignment vertical="center"/>
    </xf>
    <xf numFmtId="0" fontId="12" fillId="0" borderId="1" xfId="3" quotePrefix="1" applyBorder="1" applyAlignment="1">
      <alignment vertical="center"/>
    </xf>
    <xf numFmtId="183" fontId="12" fillId="0" borderId="1" xfId="3" applyNumberFormat="1" applyBorder="1" applyAlignment="1">
      <alignment vertical="center"/>
    </xf>
    <xf numFmtId="0" fontId="13" fillId="0" borderId="1" xfId="3" applyFont="1" applyBorder="1" applyAlignment="1">
      <alignment horizontal="center" vertical="center"/>
    </xf>
    <xf numFmtId="0" fontId="12" fillId="0" borderId="1" xfId="3" applyNumberFormat="1" applyBorder="1" applyAlignment="1">
      <alignment vertical="center"/>
    </xf>
    <xf numFmtId="184" fontId="12" fillId="0" borderId="1" xfId="3" applyNumberFormat="1" applyBorder="1" applyAlignment="1">
      <alignment vertical="center"/>
    </xf>
    <xf numFmtId="185" fontId="12" fillId="0" borderId="1" xfId="3" applyNumberFormat="1" applyBorder="1" applyAlignment="1">
      <alignment vertical="center"/>
    </xf>
    <xf numFmtId="0" fontId="13" fillId="0" borderId="1" xfId="3" applyNumberFormat="1" applyFont="1" applyBorder="1" applyAlignment="1">
      <alignment horizontal="center" vertical="center"/>
    </xf>
    <xf numFmtId="186" fontId="12" fillId="0" borderId="1" xfId="3" applyNumberFormat="1" applyBorder="1" applyAlignment="1">
      <alignment vertical="center"/>
    </xf>
    <xf numFmtId="186" fontId="12" fillId="0" borderId="1" xfId="3" quotePrefix="1" applyNumberFormat="1" applyBorder="1" applyAlignment="1">
      <alignment vertical="center"/>
    </xf>
    <xf numFmtId="186" fontId="13" fillId="0" borderId="1" xfId="3" applyNumberFormat="1" applyFont="1" applyBorder="1" applyAlignment="1">
      <alignment horizontal="center" vertical="center"/>
    </xf>
    <xf numFmtId="0" fontId="9" fillId="0" borderId="0" xfId="2"/>
    <xf numFmtId="0" fontId="15" fillId="0" borderId="0" xfId="2" applyFont="1" applyAlignment="1">
      <alignment horizontal="center" vertical="center"/>
    </xf>
    <xf numFmtId="0" fontId="10" fillId="0" borderId="0" xfId="2" applyFont="1"/>
    <xf numFmtId="0" fontId="18" fillId="0" borderId="0" xfId="2" applyFont="1"/>
    <xf numFmtId="0" fontId="19" fillId="0" borderId="0" xfId="2" applyFont="1" applyAlignment="1">
      <alignment vertical="center"/>
    </xf>
    <xf numFmtId="0" fontId="21" fillId="0" borderId="0" xfId="2" applyFont="1"/>
    <xf numFmtId="0" fontId="22" fillId="0" borderId="0" xfId="2" applyFont="1"/>
    <xf numFmtId="0" fontId="22" fillId="0" borderId="0" xfId="2" applyFont="1" applyAlignment="1">
      <alignment vertical="center"/>
    </xf>
    <xf numFmtId="0" fontId="22" fillId="0" borderId="0" xfId="2" applyFont="1" applyAlignment="1">
      <alignment horizontal="center" vertical="center"/>
    </xf>
    <xf numFmtId="0" fontId="4" fillId="0" borderId="1" xfId="0" quotePrefix="1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176" fontId="4" fillId="0" borderId="1" xfId="0" applyNumberFormat="1" applyFont="1" applyBorder="1" applyAlignment="1">
      <alignment vertical="center" wrapText="1"/>
    </xf>
    <xf numFmtId="0" fontId="8" fillId="0" borderId="0" xfId="0" quotePrefix="1" applyFont="1" applyAlignment="1">
      <alignment vertical="center"/>
    </xf>
    <xf numFmtId="0" fontId="8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0" fontId="8" fillId="0" borderId="0" xfId="0" applyFont="1">
      <alignment vertical="center"/>
    </xf>
    <xf numFmtId="176" fontId="23" fillId="0" borderId="1" xfId="0" applyNumberFormat="1" applyFont="1" applyBorder="1" applyAlignment="1">
      <alignment vertical="center" wrapText="1"/>
    </xf>
    <xf numFmtId="41" fontId="0" fillId="0" borderId="0" xfId="1" applyFont="1">
      <alignment vertical="center"/>
    </xf>
    <xf numFmtId="41" fontId="8" fillId="0" borderId="0" xfId="1" applyFont="1">
      <alignment vertical="center"/>
    </xf>
    <xf numFmtId="41" fontId="25" fillId="0" borderId="0" xfId="1" applyFont="1">
      <alignment vertical="center"/>
    </xf>
    <xf numFmtId="183" fontId="5" fillId="0" borderId="1" xfId="0" applyNumberFormat="1" applyFont="1" applyBorder="1" applyAlignment="1">
      <alignment vertical="center" wrapText="1"/>
    </xf>
    <xf numFmtId="0" fontId="0" fillId="0" borderId="0" xfId="0" quotePrefix="1">
      <alignment vertical="center"/>
    </xf>
    <xf numFmtId="176" fontId="27" fillId="0" borderId="1" xfId="0" applyNumberFormat="1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183" fontId="0" fillId="0" borderId="0" xfId="0" applyNumberFormat="1">
      <alignment vertical="center"/>
    </xf>
    <xf numFmtId="188" fontId="28" fillId="0" borderId="0" xfId="1" applyNumberFormat="1" applyFont="1" applyFill="1">
      <alignment vertical="center"/>
    </xf>
    <xf numFmtId="41" fontId="28" fillId="0" borderId="0" xfId="1" applyFont="1" applyFill="1">
      <alignment vertical="center"/>
    </xf>
    <xf numFmtId="188" fontId="28" fillId="0" borderId="1" xfId="1" applyNumberFormat="1" applyFont="1" applyFill="1" applyBorder="1">
      <alignment vertical="center"/>
    </xf>
    <xf numFmtId="41" fontId="28" fillId="0" borderId="1" xfId="1" quotePrefix="1" applyFont="1" applyFill="1" applyBorder="1" applyAlignment="1">
      <alignment horizontal="center" vertical="center" wrapText="1"/>
    </xf>
    <xf numFmtId="188" fontId="29" fillId="0" borderId="1" xfId="1" applyNumberFormat="1" applyFont="1" applyFill="1" applyBorder="1">
      <alignment vertical="center"/>
    </xf>
    <xf numFmtId="41" fontId="29" fillId="0" borderId="1" xfId="1" quotePrefix="1" applyFont="1" applyFill="1" applyBorder="1" applyAlignment="1">
      <alignment horizontal="center" vertical="center" wrapText="1"/>
    </xf>
    <xf numFmtId="41" fontId="28" fillId="0" borderId="1" xfId="1" applyFont="1" applyFill="1" applyBorder="1" applyAlignment="1">
      <alignment vertical="center"/>
    </xf>
    <xf numFmtId="41" fontId="28" fillId="0" borderId="1" xfId="1" applyFont="1" applyFill="1" applyBorder="1" applyAlignment="1">
      <alignment horizontal="center" vertical="center"/>
    </xf>
    <xf numFmtId="41" fontId="28" fillId="0" borderId="1" xfId="1" applyFont="1" applyFill="1" applyBorder="1" applyAlignment="1">
      <alignment horizontal="left" vertical="center"/>
    </xf>
    <xf numFmtId="41" fontId="28" fillId="0" borderId="1" xfId="1" applyFont="1" applyFill="1" applyBorder="1">
      <alignment vertical="center"/>
    </xf>
    <xf numFmtId="188" fontId="28" fillId="0" borderId="1" xfId="1" applyNumberFormat="1" applyFont="1" applyFill="1" applyBorder="1" applyAlignment="1">
      <alignment horizontal="center" vertical="center" wrapText="1"/>
    </xf>
    <xf numFmtId="41" fontId="28" fillId="0" borderId="1" xfId="1" quotePrefix="1" applyFont="1" applyFill="1" applyBorder="1" applyAlignment="1">
      <alignment vertical="center" wrapText="1"/>
    </xf>
    <xf numFmtId="41" fontId="29" fillId="0" borderId="1" xfId="1" applyFont="1" applyFill="1" applyBorder="1" applyAlignment="1">
      <alignment horizontal="left" vertical="center"/>
    </xf>
    <xf numFmtId="41" fontId="29" fillId="0" borderId="1" xfId="1" applyFont="1" applyFill="1" applyBorder="1" applyAlignment="1">
      <alignment horizontal="center" vertical="center" shrinkToFit="1"/>
    </xf>
    <xf numFmtId="188" fontId="28" fillId="0" borderId="1" xfId="1" applyNumberFormat="1" applyFont="1" applyFill="1" applyBorder="1" applyAlignment="1">
      <alignment wrapText="1"/>
    </xf>
    <xf numFmtId="41" fontId="29" fillId="0" borderId="1" xfId="1" quotePrefix="1" applyFont="1" applyFill="1" applyBorder="1" applyAlignment="1">
      <alignment horizontal="center" vertical="center"/>
    </xf>
    <xf numFmtId="188" fontId="28" fillId="0" borderId="1" xfId="1" applyNumberFormat="1" applyFont="1" applyFill="1" applyBorder="1" applyAlignment="1">
      <alignment vertical="center" wrapText="1"/>
    </xf>
    <xf numFmtId="41" fontId="29" fillId="0" borderId="1" xfId="1" applyFont="1" applyFill="1" applyBorder="1" applyAlignment="1">
      <alignment horizontal="center" vertical="center"/>
    </xf>
    <xf numFmtId="41" fontId="28" fillId="0" borderId="1" xfId="1" applyFont="1" applyFill="1" applyBorder="1" applyAlignment="1">
      <alignment horizontal="left" vertical="center" wrapText="1"/>
    </xf>
    <xf numFmtId="41" fontId="29" fillId="0" borderId="1" xfId="1" applyFont="1" applyFill="1" applyBorder="1">
      <alignment vertical="center"/>
    </xf>
    <xf numFmtId="188" fontId="29" fillId="0" borderId="1" xfId="1" applyNumberFormat="1" applyFont="1" applyFill="1" applyBorder="1" applyAlignment="1">
      <alignment vertical="center" wrapText="1"/>
    </xf>
    <xf numFmtId="41" fontId="29" fillId="0" borderId="1" xfId="1" applyFont="1" applyFill="1" applyBorder="1" applyAlignment="1">
      <alignment vertical="center"/>
    </xf>
    <xf numFmtId="188" fontId="28" fillId="0" borderId="1" xfId="1" applyNumberFormat="1" applyFont="1" applyFill="1" applyBorder="1" applyAlignment="1">
      <alignment horizontal="right" vertical="center"/>
    </xf>
    <xf numFmtId="188" fontId="28" fillId="0" borderId="1" xfId="1" applyNumberFormat="1" applyFont="1" applyFill="1" applyBorder="1" applyAlignment="1">
      <alignment horizontal="left" vertical="center"/>
    </xf>
    <xf numFmtId="41" fontId="28" fillId="0" borderId="1" xfId="1" applyFont="1" applyFill="1" applyBorder="1" applyAlignment="1">
      <alignment vertical="center" wrapText="1" shrinkToFit="1"/>
    </xf>
    <xf numFmtId="41" fontId="28" fillId="0" borderId="1" xfId="1" applyFont="1" applyFill="1" applyBorder="1" applyAlignment="1">
      <alignment horizontal="center" vertical="center" shrinkToFit="1"/>
    </xf>
    <xf numFmtId="41" fontId="29" fillId="0" borderId="1" xfId="1" applyFont="1" applyFill="1" applyBorder="1" applyAlignment="1">
      <alignment vertical="center" wrapText="1" shrinkToFit="1"/>
    </xf>
    <xf numFmtId="188" fontId="29" fillId="0" borderId="1" xfId="1" applyNumberFormat="1" applyFont="1" applyFill="1" applyBorder="1" applyAlignment="1">
      <alignment horizontal="center" vertical="center"/>
    </xf>
    <xf numFmtId="188" fontId="29" fillId="0" borderId="1" xfId="1" applyNumberFormat="1" applyFont="1" applyFill="1" applyBorder="1" applyAlignment="1">
      <alignment horizontal="center" vertical="center" wrapText="1"/>
    </xf>
    <xf numFmtId="41" fontId="29" fillId="0" borderId="0" xfId="1" applyFont="1" applyFill="1" applyAlignment="1">
      <alignment horizontal="center" vertical="center"/>
    </xf>
    <xf numFmtId="188" fontId="29" fillId="0" borderId="0" xfId="1" applyNumberFormat="1" applyFont="1" applyFill="1" applyAlignment="1">
      <alignment horizontal="right" vertical="center"/>
    </xf>
    <xf numFmtId="188" fontId="29" fillId="0" borderId="0" xfId="1" applyNumberFormat="1" applyFont="1" applyFill="1" applyAlignment="1">
      <alignment horizontal="left" vertical="center" wrapText="1"/>
    </xf>
    <xf numFmtId="41" fontId="29" fillId="0" borderId="0" xfId="1" applyFont="1" applyFill="1" applyAlignment="1">
      <alignment horizontal="right" vertical="center"/>
    </xf>
    <xf numFmtId="41" fontId="29" fillId="0" borderId="0" xfId="1" applyFont="1" applyFill="1">
      <alignment vertical="center"/>
    </xf>
    <xf numFmtId="41" fontId="29" fillId="0" borderId="0" xfId="1" applyFont="1" applyFill="1" applyBorder="1" applyAlignment="1">
      <alignment vertical="center"/>
    </xf>
    <xf numFmtId="0" fontId="28" fillId="0" borderId="0" xfId="0" applyFont="1" applyFill="1">
      <alignment vertical="center"/>
    </xf>
    <xf numFmtId="0" fontId="28" fillId="0" borderId="1" xfId="0" applyFont="1" applyFill="1" applyBorder="1">
      <alignment vertical="center"/>
    </xf>
    <xf numFmtId="183" fontId="28" fillId="0" borderId="1" xfId="4" applyNumberFormat="1" applyFont="1" applyFill="1" applyBorder="1" applyAlignment="1">
      <alignment horizontal="center" vertical="center"/>
    </xf>
    <xf numFmtId="49" fontId="28" fillId="0" borderId="1" xfId="0" quotePrefix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/>
    </xf>
    <xf numFmtId="0" fontId="28" fillId="0" borderId="1" xfId="5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right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vertical="center" wrapText="1"/>
    </xf>
    <xf numFmtId="0" fontId="29" fillId="0" borderId="1" xfId="5" applyNumberFormat="1" applyFont="1" applyFill="1" applyBorder="1" applyAlignment="1">
      <alignment horizontal="left" vertical="center"/>
    </xf>
    <xf numFmtId="49" fontId="29" fillId="0" borderId="1" xfId="0" applyNumberFormat="1" applyFont="1" applyFill="1" applyBorder="1" applyAlignment="1">
      <alignment horizontal="center" vertical="center" shrinkToFit="1"/>
    </xf>
    <xf numFmtId="182" fontId="28" fillId="0" borderId="1" xfId="0" applyNumberFormat="1" applyFont="1" applyFill="1" applyBorder="1">
      <alignment vertical="center"/>
    </xf>
    <xf numFmtId="182" fontId="28" fillId="0" borderId="1" xfId="0" applyNumberFormat="1" applyFont="1" applyFill="1" applyBorder="1" applyAlignment="1">
      <alignment vertical="center" wrapText="1"/>
    </xf>
    <xf numFmtId="41" fontId="30" fillId="0" borderId="1" xfId="1" applyFont="1" applyFill="1" applyBorder="1" applyAlignment="1">
      <alignment horizontal="left" vertical="center" wrapText="1"/>
    </xf>
    <xf numFmtId="187" fontId="28" fillId="0" borderId="1" xfId="0" applyNumberFormat="1" applyFont="1" applyFill="1" applyBorder="1" applyAlignment="1">
      <alignment vertical="center" wrapText="1"/>
    </xf>
    <xf numFmtId="41" fontId="29" fillId="0" borderId="1" xfId="1" quotePrefix="1" applyFont="1" applyFill="1" applyBorder="1" applyAlignment="1">
      <alignment horizontal="left" vertical="center" wrapText="1"/>
    </xf>
    <xf numFmtId="0" fontId="28" fillId="0" borderId="2" xfId="5" applyNumberFormat="1" applyFont="1" applyFill="1" applyBorder="1" applyAlignment="1">
      <alignment horizontal="left" vertical="center"/>
    </xf>
    <xf numFmtId="2" fontId="28" fillId="0" borderId="1" xfId="0" applyNumberFormat="1" applyFont="1" applyFill="1" applyBorder="1">
      <alignment vertical="center"/>
    </xf>
    <xf numFmtId="0" fontId="28" fillId="0" borderId="1" xfId="6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28" fillId="0" borderId="1" xfId="0" applyNumberFormat="1" applyFont="1" applyFill="1" applyBorder="1" applyAlignment="1">
      <alignment vertical="center" wrapText="1" shrinkToFit="1"/>
    </xf>
    <xf numFmtId="49" fontId="28" fillId="0" borderId="1" xfId="0" applyNumberFormat="1" applyFont="1" applyFill="1" applyBorder="1" applyAlignment="1">
      <alignment horizontal="center" vertical="center" shrinkToFit="1"/>
    </xf>
    <xf numFmtId="0" fontId="28" fillId="0" borderId="1" xfId="7" applyNumberFormat="1" applyFont="1" applyFill="1" applyBorder="1" applyAlignment="1">
      <alignment horizontal="left" vertical="center" wrapText="1"/>
    </xf>
    <xf numFmtId="176" fontId="28" fillId="0" borderId="1" xfId="0" applyNumberFormat="1" applyFont="1" applyFill="1" applyBorder="1" applyAlignment="1">
      <alignment vertical="center" wrapText="1" shrinkToFit="1"/>
    </xf>
    <xf numFmtId="0" fontId="29" fillId="0" borderId="1" xfId="0" applyNumberFormat="1" applyFont="1" applyFill="1" applyBorder="1" applyAlignment="1">
      <alignment vertical="center" wrapText="1" shrinkToFit="1"/>
    </xf>
    <xf numFmtId="49" fontId="29" fillId="0" borderId="1" xfId="0" quotePrefix="1" applyNumberFormat="1" applyFont="1" applyFill="1" applyBorder="1" applyAlignment="1">
      <alignment horizontal="center" vertical="center" wrapText="1"/>
    </xf>
    <xf numFmtId="0" fontId="28" fillId="0" borderId="1" xfId="8" applyFont="1" applyFill="1" applyBorder="1" applyAlignment="1">
      <alignment vertical="center"/>
    </xf>
    <xf numFmtId="0" fontId="28" fillId="0" borderId="1" xfId="7" applyNumberFormat="1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189" fontId="29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189" fontId="29" fillId="0" borderId="0" xfId="0" applyNumberFormat="1" applyFont="1" applyFill="1" applyAlignment="1">
      <alignment horizontal="right" vertical="center"/>
    </xf>
    <xf numFmtId="0" fontId="29" fillId="0" borderId="0" xfId="0" applyFont="1" applyFill="1" applyAlignment="1">
      <alignment horizontal="left" vertical="center" wrapText="1"/>
    </xf>
    <xf numFmtId="41" fontId="28" fillId="0" borderId="1" xfId="1" applyFont="1" applyFill="1" applyBorder="1" applyAlignment="1">
      <alignment vertical="center" wrapText="1"/>
    </xf>
    <xf numFmtId="0" fontId="29" fillId="0" borderId="1" xfId="0" applyFont="1" applyFill="1" applyBorder="1">
      <alignment vertical="center"/>
    </xf>
    <xf numFmtId="183" fontId="29" fillId="0" borderId="1" xfId="4" applyNumberFormat="1" applyFont="1" applyFill="1" applyBorder="1" applyAlignment="1">
      <alignment horizontal="center" vertical="center"/>
    </xf>
    <xf numFmtId="182" fontId="29" fillId="0" borderId="1" xfId="0" applyNumberFormat="1" applyFont="1" applyFill="1" applyBorder="1">
      <alignment vertical="center"/>
    </xf>
    <xf numFmtId="0" fontId="29" fillId="0" borderId="1" xfId="0" quotePrefix="1" applyFont="1" applyFill="1" applyBorder="1" applyAlignment="1">
      <alignment vertical="center" wrapText="1"/>
    </xf>
    <xf numFmtId="0" fontId="29" fillId="0" borderId="0" xfId="0" applyFont="1" applyFill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41" fontId="30" fillId="0" borderId="1" xfId="1" applyFont="1" applyFill="1" applyBorder="1">
      <alignment vertical="center"/>
    </xf>
    <xf numFmtId="41" fontId="31" fillId="0" borderId="1" xfId="1" applyFont="1" applyFill="1" applyBorder="1">
      <alignment vertical="center"/>
    </xf>
    <xf numFmtId="41" fontId="28" fillId="0" borderId="1" xfId="1" quotePrefix="1" applyFont="1" applyFill="1" applyBorder="1" applyAlignment="1">
      <alignment horizontal="center" vertical="center"/>
    </xf>
    <xf numFmtId="188" fontId="28" fillId="0" borderId="1" xfId="1" applyNumberFormat="1" applyFont="1" applyFill="1" applyBorder="1" applyAlignment="1">
      <alignment vertical="center"/>
    </xf>
    <xf numFmtId="41" fontId="31" fillId="0" borderId="1" xfId="1" applyFont="1" applyFill="1" applyBorder="1" applyAlignment="1">
      <alignment horizontal="left" vertical="center"/>
    </xf>
    <xf numFmtId="0" fontId="27" fillId="0" borderId="1" xfId="0" quotePrefix="1" applyFont="1" applyFill="1" applyBorder="1" applyAlignment="1">
      <alignment vertical="center" wrapText="1"/>
    </xf>
    <xf numFmtId="41" fontId="29" fillId="0" borderId="1" xfId="1" quotePrefix="1" applyFont="1" applyFill="1" applyBorder="1" applyAlignment="1">
      <alignment vertical="center" wrapText="1"/>
    </xf>
    <xf numFmtId="182" fontId="27" fillId="0" borderId="1" xfId="0" applyNumberFormat="1" applyFont="1" applyFill="1" applyBorder="1" applyAlignment="1">
      <alignment vertical="center" wrapText="1"/>
    </xf>
    <xf numFmtId="41" fontId="30" fillId="0" borderId="1" xfId="1" applyFont="1" applyFill="1" applyBorder="1" applyAlignment="1">
      <alignment vertical="center" wrapText="1"/>
    </xf>
    <xf numFmtId="41" fontId="28" fillId="0" borderId="0" xfId="1" applyFont="1" applyFill="1" applyAlignment="1">
      <alignment vertical="center"/>
    </xf>
    <xf numFmtId="0" fontId="31" fillId="0" borderId="1" xfId="0" quotePrefix="1" applyFont="1" applyFill="1" applyBorder="1" applyAlignment="1">
      <alignment vertical="center" wrapText="1"/>
    </xf>
    <xf numFmtId="188" fontId="28" fillId="0" borderId="1" xfId="1" applyNumberFormat="1" applyFont="1" applyFill="1" applyBorder="1" applyAlignment="1">
      <alignment horizontal="center" vertical="center"/>
    </xf>
    <xf numFmtId="0" fontId="27" fillId="0" borderId="1" xfId="0" applyFont="1" applyFill="1" applyBorder="1">
      <alignment vertical="center"/>
    </xf>
    <xf numFmtId="0" fontId="27" fillId="0" borderId="1" xfId="5" applyNumberFormat="1" applyFont="1" applyFill="1" applyBorder="1" applyAlignment="1">
      <alignment horizontal="left" vertical="center"/>
    </xf>
    <xf numFmtId="183" fontId="27" fillId="0" borderId="1" xfId="4" applyNumberFormat="1" applyFont="1" applyFill="1" applyBorder="1" applyAlignment="1">
      <alignment horizontal="center" vertical="center"/>
    </xf>
    <xf numFmtId="0" fontId="30" fillId="0" borderId="1" xfId="5" applyNumberFormat="1" applyFont="1" applyFill="1" applyBorder="1" applyAlignment="1">
      <alignment horizontal="left" vertical="center"/>
    </xf>
    <xf numFmtId="0" fontId="28" fillId="0" borderId="1" xfId="1" applyNumberFormat="1" applyFont="1" applyFill="1" applyBorder="1" applyAlignment="1">
      <alignment vertical="center" wrapText="1"/>
    </xf>
    <xf numFmtId="0" fontId="0" fillId="0" borderId="0" xfId="0" quotePrefix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5" fillId="0" borderId="1" xfId="0" quotePrefix="1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181" fontId="3" fillId="0" borderId="1" xfId="0" quotePrefix="1" applyNumberFormat="1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/>
    </xf>
    <xf numFmtId="180" fontId="5" fillId="0" borderId="1" xfId="0" quotePrefix="1" applyNumberFormat="1" applyFont="1" applyFill="1" applyBorder="1" applyAlignment="1">
      <alignment vertical="center" wrapText="1"/>
    </xf>
    <xf numFmtId="181" fontId="5" fillId="0" borderId="1" xfId="0" applyNumberFormat="1" applyFont="1" applyFill="1" applyBorder="1" applyAlignment="1">
      <alignment vertical="center" wrapText="1"/>
    </xf>
    <xf numFmtId="181" fontId="5" fillId="0" borderId="1" xfId="0" quotePrefix="1" applyNumberFormat="1" applyFont="1" applyFill="1" applyBorder="1" applyAlignment="1">
      <alignment vertical="center" wrapText="1"/>
    </xf>
    <xf numFmtId="180" fontId="5" fillId="0" borderId="1" xfId="0" applyNumberFormat="1" applyFont="1" applyFill="1" applyBorder="1" applyAlignment="1">
      <alignment vertical="center" wrapText="1"/>
    </xf>
    <xf numFmtId="41" fontId="5" fillId="0" borderId="1" xfId="0" quotePrefix="1" applyNumberFormat="1" applyFont="1" applyFill="1" applyBorder="1" applyAlignment="1">
      <alignment vertical="center" wrapText="1"/>
    </xf>
    <xf numFmtId="181" fontId="0" fillId="0" borderId="0" xfId="0" applyNumberFormat="1" applyFill="1">
      <alignment vertical="center"/>
    </xf>
    <xf numFmtId="49" fontId="27" fillId="0" borderId="1" xfId="0" quotePrefix="1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/>
    </xf>
    <xf numFmtId="0" fontId="27" fillId="0" borderId="0" xfId="0" applyFont="1" applyFill="1">
      <alignment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right" vertical="center"/>
    </xf>
    <xf numFmtId="0" fontId="28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188" fontId="29" fillId="0" borderId="0" xfId="1" applyNumberFormat="1" applyFont="1" applyFill="1">
      <alignment vertical="center"/>
    </xf>
    <xf numFmtId="0" fontId="37" fillId="0" borderId="0" xfId="0" quotePrefix="1" applyFont="1" applyFill="1" applyAlignment="1">
      <alignment vertical="center"/>
    </xf>
    <xf numFmtId="41" fontId="36" fillId="0" borderId="1" xfId="1" applyFont="1" applyFill="1" applyBorder="1">
      <alignment vertical="center"/>
    </xf>
    <xf numFmtId="41" fontId="30" fillId="0" borderId="1" xfId="1" quotePrefix="1" applyFont="1" applyFill="1" applyBorder="1" applyAlignment="1">
      <alignment vertical="center" wrapText="1"/>
    </xf>
    <xf numFmtId="188" fontId="29" fillId="3" borderId="1" xfId="1" applyNumberFormat="1" applyFont="1" applyFill="1" applyBorder="1">
      <alignment vertical="center"/>
    </xf>
    <xf numFmtId="188" fontId="23" fillId="3" borderId="1" xfId="1" applyNumberFormat="1" applyFont="1" applyFill="1" applyBorder="1">
      <alignment vertical="center"/>
    </xf>
    <xf numFmtId="0" fontId="28" fillId="3" borderId="1" xfId="0" applyFont="1" applyFill="1" applyBorder="1">
      <alignment vertical="center"/>
    </xf>
    <xf numFmtId="41" fontId="29" fillId="3" borderId="1" xfId="1" applyFont="1" applyFill="1" applyBorder="1">
      <alignment vertical="center"/>
    </xf>
    <xf numFmtId="188" fontId="29" fillId="3" borderId="0" xfId="1" applyNumberFormat="1" applyFont="1" applyFill="1">
      <alignment vertical="center"/>
    </xf>
    <xf numFmtId="190" fontId="43" fillId="0" borderId="0" xfId="0" applyNumberFormat="1" applyFont="1" applyFill="1">
      <alignment vertical="center"/>
    </xf>
    <xf numFmtId="190" fontId="41" fillId="0" borderId="0" xfId="0" applyNumberFormat="1" applyFont="1" applyFill="1">
      <alignment vertical="center"/>
    </xf>
    <xf numFmtId="190" fontId="42" fillId="0" borderId="1" xfId="0" quotePrefix="1" applyNumberFormat="1" applyFont="1" applyFill="1" applyBorder="1" applyAlignment="1">
      <alignment horizontal="center" vertical="center" wrapText="1"/>
    </xf>
    <xf numFmtId="190" fontId="42" fillId="2" borderId="1" xfId="0" quotePrefix="1" applyNumberFormat="1" applyFont="1" applyFill="1" applyBorder="1" applyAlignment="1">
      <alignment horizontal="center" vertical="center" wrapText="1"/>
    </xf>
    <xf numFmtId="190" fontId="42" fillId="0" borderId="1" xfId="0" applyNumberFormat="1" applyFont="1" applyFill="1" applyBorder="1" applyAlignment="1">
      <alignment vertical="center" wrapText="1"/>
    </xf>
    <xf numFmtId="190" fontId="42" fillId="2" borderId="1" xfId="0" applyNumberFormat="1" applyFont="1" applyFill="1" applyBorder="1" applyAlignment="1">
      <alignment vertical="center" wrapText="1"/>
    </xf>
    <xf numFmtId="190" fontId="42" fillId="0" borderId="1" xfId="0" quotePrefix="1" applyNumberFormat="1" applyFont="1" applyFill="1" applyBorder="1" applyAlignment="1">
      <alignment vertical="center" wrapText="1"/>
    </xf>
    <xf numFmtId="190" fontId="44" fillId="0" borderId="0" xfId="1" applyNumberFormat="1" applyFont="1" applyFill="1">
      <alignment vertical="center"/>
    </xf>
    <xf numFmtId="190" fontId="44" fillId="0" borderId="0" xfId="0" applyNumberFormat="1" applyFont="1" applyFill="1">
      <alignment vertical="center"/>
    </xf>
    <xf numFmtId="190" fontId="39" fillId="0" borderId="1" xfId="0" quotePrefix="1" applyNumberFormat="1" applyFont="1" applyFill="1" applyBorder="1" applyAlignment="1">
      <alignment horizontal="left" vertical="center" wrapText="1"/>
    </xf>
    <xf numFmtId="190" fontId="39" fillId="0" borderId="1" xfId="0" applyNumberFormat="1" applyFont="1" applyFill="1" applyBorder="1" applyAlignment="1">
      <alignment vertical="center" wrapText="1"/>
    </xf>
    <xf numFmtId="190" fontId="39" fillId="2" borderId="1" xfId="0" quotePrefix="1" applyNumberFormat="1" applyFont="1" applyFill="1" applyBorder="1" applyAlignment="1">
      <alignment vertical="center" wrapText="1"/>
    </xf>
    <xf numFmtId="190" fontId="39" fillId="2" borderId="1" xfId="0" applyNumberFormat="1" applyFont="1" applyFill="1" applyBorder="1" applyAlignment="1">
      <alignment vertical="center" wrapText="1"/>
    </xf>
    <xf numFmtId="190" fontId="39" fillId="0" borderId="1" xfId="0" quotePrefix="1" applyNumberFormat="1" applyFont="1" applyFill="1" applyBorder="1" applyAlignment="1">
      <alignment vertical="center" wrapText="1"/>
    </xf>
    <xf numFmtId="190" fontId="42" fillId="0" borderId="1" xfId="0" quotePrefix="1" applyNumberFormat="1" applyFont="1" applyFill="1" applyBorder="1" applyAlignment="1">
      <alignment horizontal="left" vertical="center"/>
    </xf>
    <xf numFmtId="190" fontId="42" fillId="0" borderId="1" xfId="0" applyNumberFormat="1" applyFont="1" applyFill="1" applyBorder="1" applyAlignment="1">
      <alignment vertical="center"/>
    </xf>
    <xf numFmtId="190" fontId="42" fillId="2" borderId="1" xfId="0" quotePrefix="1" applyNumberFormat="1" applyFont="1" applyFill="1" applyBorder="1" applyAlignment="1">
      <alignment vertical="center" wrapText="1"/>
    </xf>
    <xf numFmtId="190" fontId="42" fillId="0" borderId="1" xfId="1" applyNumberFormat="1" applyFont="1" applyFill="1" applyBorder="1" applyAlignment="1">
      <alignment vertical="center" wrapText="1"/>
    </xf>
    <xf numFmtId="190" fontId="43" fillId="2" borderId="0" xfId="0" applyNumberFormat="1" applyFont="1" applyFill="1">
      <alignment vertical="center"/>
    </xf>
    <xf numFmtId="190" fontId="29" fillId="0" borderId="1" xfId="0" applyNumberFormat="1" applyFont="1" applyFill="1" applyBorder="1" applyAlignment="1">
      <alignment vertical="center" wrapText="1"/>
    </xf>
    <xf numFmtId="190" fontId="29" fillId="2" borderId="1" xfId="0" applyNumberFormat="1" applyFont="1" applyFill="1" applyBorder="1" applyAlignment="1">
      <alignment vertical="center" wrapText="1"/>
    </xf>
    <xf numFmtId="190" fontId="45" fillId="0" borderId="0" xfId="0" applyNumberFormat="1" applyFont="1" applyFill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190" fontId="35" fillId="0" borderId="1" xfId="1" quotePrefix="1" applyNumberFormat="1" applyFont="1" applyBorder="1" applyAlignment="1">
      <alignment vertical="center" wrapText="1"/>
    </xf>
    <xf numFmtId="190" fontId="42" fillId="4" borderId="1" xfId="0" applyNumberFormat="1" applyFont="1" applyFill="1" applyBorder="1" applyAlignment="1">
      <alignment vertical="center" wrapText="1"/>
    </xf>
    <xf numFmtId="190" fontId="42" fillId="0" borderId="3" xfId="0" quotePrefix="1" applyNumberFormat="1" applyFont="1" applyFill="1" applyBorder="1" applyAlignment="1">
      <alignment horizontal="center" vertical="center" wrapText="1"/>
    </xf>
    <xf numFmtId="190" fontId="39" fillId="2" borderId="1" xfId="0" quotePrefix="1" applyNumberFormat="1" applyFont="1" applyFill="1" applyBorder="1" applyAlignment="1">
      <alignment horizontal="center" vertical="center" wrapText="1"/>
    </xf>
    <xf numFmtId="41" fontId="24" fillId="0" borderId="0" xfId="1" applyFont="1">
      <alignment vertical="center"/>
    </xf>
    <xf numFmtId="183" fontId="12" fillId="0" borderId="1" xfId="14" quotePrefix="1" applyNumberFormat="1" applyBorder="1" applyAlignment="1">
      <alignment vertical="center"/>
    </xf>
    <xf numFmtId="183" fontId="12" fillId="0" borderId="1" xfId="14" quotePrefix="1" applyNumberFormat="1" applyBorder="1" applyAlignment="1">
      <alignment vertical="center"/>
    </xf>
    <xf numFmtId="0" fontId="27" fillId="0" borderId="1" xfId="1" applyNumberFormat="1" applyFont="1" applyFill="1" applyBorder="1" applyAlignment="1">
      <alignment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37" fillId="0" borderId="0" xfId="15" applyFont="1" applyAlignment="1"/>
    <xf numFmtId="0" fontId="37" fillId="0" borderId="0" xfId="15" applyFont="1" applyAlignment="1">
      <alignment horizontal="center" vertical="center"/>
    </xf>
    <xf numFmtId="49" fontId="37" fillId="0" borderId="6" xfId="15" applyNumberFormat="1" applyFont="1" applyBorder="1" applyAlignment="1">
      <alignment horizontal="center" vertical="center"/>
    </xf>
    <xf numFmtId="49" fontId="37" fillId="0" borderId="6" xfId="15" applyNumberFormat="1" applyFont="1" applyBorder="1" applyAlignment="1">
      <alignment horizontal="center"/>
    </xf>
    <xf numFmtId="49" fontId="37" fillId="0" borderId="5" xfId="15" applyNumberFormat="1" applyFont="1" applyBorder="1" applyAlignment="1">
      <alignment horizontal="center" vertical="center"/>
    </xf>
    <xf numFmtId="49" fontId="37" fillId="0" borderId="3" xfId="15" applyNumberFormat="1" applyFont="1" applyBorder="1" applyAlignment="1">
      <alignment horizontal="center" vertical="center"/>
    </xf>
    <xf numFmtId="49" fontId="37" fillId="0" borderId="3" xfId="15" applyNumberFormat="1" applyFont="1" applyBorder="1" applyAlignment="1">
      <alignment horizontal="center" vertical="top"/>
    </xf>
    <xf numFmtId="49" fontId="37" fillId="0" borderId="1" xfId="15" applyNumberFormat="1" applyFont="1" applyBorder="1" applyAlignment="1"/>
    <xf numFmtId="0" fontId="37" fillId="0" borderId="1" xfId="15" applyFont="1" applyBorder="1" applyAlignment="1">
      <alignment horizontal="center"/>
    </xf>
    <xf numFmtId="49" fontId="37" fillId="0" borderId="1" xfId="15" applyNumberFormat="1" applyFont="1" applyBorder="1" applyAlignment="1">
      <alignment horizontal="center"/>
    </xf>
    <xf numFmtId="0" fontId="37" fillId="0" borderId="1" xfId="15" applyFont="1" applyBorder="1" applyAlignment="1"/>
    <xf numFmtId="0" fontId="37" fillId="0" borderId="0" xfId="15" applyFont="1" applyAlignment="1">
      <alignment horizontal="center"/>
    </xf>
    <xf numFmtId="49" fontId="37" fillId="0" borderId="0" xfId="15" applyNumberFormat="1" applyFont="1" applyAlignment="1">
      <alignment horizontal="center"/>
    </xf>
    <xf numFmtId="0" fontId="37" fillId="0" borderId="0" xfId="15" applyFont="1"/>
    <xf numFmtId="49" fontId="37" fillId="0" borderId="0" xfId="15" applyNumberFormat="1" applyFont="1"/>
    <xf numFmtId="49" fontId="37" fillId="0" borderId="0" xfId="15" applyNumberFormat="1" applyFont="1" applyAlignment="1">
      <alignment horizontal="center" vertical="center"/>
    </xf>
    <xf numFmtId="49" fontId="37" fillId="0" borderId="5" xfId="15" applyNumberFormat="1" applyFont="1" applyBorder="1" applyAlignment="1">
      <alignment horizontal="left"/>
    </xf>
    <xf numFmtId="49" fontId="37" fillId="0" borderId="8" xfId="15" applyNumberFormat="1" applyFont="1" applyBorder="1" applyAlignment="1">
      <alignment horizontal="left"/>
    </xf>
    <xf numFmtId="49" fontId="37" fillId="0" borderId="3" xfId="15" applyNumberFormat="1" applyFont="1" applyBorder="1" applyAlignment="1">
      <alignment horizontal="left"/>
    </xf>
    <xf numFmtId="49" fontId="37" fillId="0" borderId="3" xfId="15" applyNumberFormat="1" applyFont="1" applyBorder="1" applyAlignment="1">
      <alignment horizontal="center"/>
    </xf>
    <xf numFmtId="49" fontId="37" fillId="0" borderId="3" xfId="15" applyNumberFormat="1" applyFont="1" applyBorder="1" applyAlignment="1">
      <alignment horizontal="right"/>
    </xf>
    <xf numFmtId="49" fontId="37" fillId="0" borderId="10" xfId="15" applyNumberFormat="1" applyFont="1" applyBorder="1" applyAlignment="1">
      <alignment horizontal="left"/>
    </xf>
    <xf numFmtId="49" fontId="37" fillId="0" borderId="2" xfId="15" applyNumberFormat="1" applyFont="1" applyBorder="1" applyAlignment="1">
      <alignment horizontal="left"/>
    </xf>
    <xf numFmtId="49" fontId="37" fillId="0" borderId="1" xfId="15" applyNumberFormat="1" applyFont="1" applyBorder="1" applyAlignment="1">
      <alignment horizontal="left"/>
    </xf>
    <xf numFmtId="49" fontId="37" fillId="0" borderId="1" xfId="15" applyNumberFormat="1" applyFont="1" applyBorder="1" applyAlignment="1">
      <alignment horizontal="right"/>
    </xf>
    <xf numFmtId="0" fontId="37" fillId="0" borderId="0" xfId="15" applyFont="1" applyBorder="1"/>
    <xf numFmtId="49" fontId="37" fillId="0" borderId="11" xfId="15" applyNumberFormat="1" applyFont="1" applyBorder="1" applyAlignment="1">
      <alignment horizontal="left"/>
    </xf>
    <xf numFmtId="190" fontId="42" fillId="0" borderId="1" xfId="0" applyNumberFormat="1" applyFont="1" applyFill="1" applyBorder="1" applyAlignment="1">
      <alignment horizontal="left" vertical="center"/>
    </xf>
    <xf numFmtId="190" fontId="42" fillId="0" borderId="1" xfId="0" applyNumberFormat="1" applyFont="1" applyFill="1" applyBorder="1" applyAlignment="1">
      <alignment horizontal="left" vertical="center" wrapText="1"/>
    </xf>
    <xf numFmtId="179" fontId="5" fillId="0" borderId="1" xfId="0" applyNumberFormat="1" applyFont="1" applyBorder="1" applyAlignment="1">
      <alignment vertical="center" wrapText="1"/>
    </xf>
    <xf numFmtId="0" fontId="0" fillId="0" borderId="0" xfId="0" quotePrefix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31" fillId="0" borderId="0" xfId="20" applyFont="1" applyAlignment="1">
      <alignment vertical="center"/>
    </xf>
    <xf numFmtId="41" fontId="31" fillId="0" borderId="0" xfId="16" applyFont="1" applyAlignment="1">
      <alignment vertical="center"/>
    </xf>
    <xf numFmtId="0" fontId="51" fillId="0" borderId="43" xfId="20" applyFont="1" applyBorder="1" applyAlignment="1">
      <alignment horizontal="center" vertical="center" wrapText="1"/>
    </xf>
    <xf numFmtId="0" fontId="51" fillId="0" borderId="44" xfId="20" applyFont="1" applyBorder="1" applyAlignment="1">
      <alignment horizontal="center" vertical="center"/>
    </xf>
    <xf numFmtId="190" fontId="51" fillId="0" borderId="44" xfId="20" applyNumberFormat="1" applyFont="1" applyBorder="1" applyAlignment="1">
      <alignment horizontal="center" vertical="center"/>
    </xf>
    <xf numFmtId="0" fontId="51" fillId="0" borderId="45" xfId="20" applyFont="1" applyBorder="1" applyAlignment="1">
      <alignment horizontal="center" vertical="center"/>
    </xf>
    <xf numFmtId="0" fontId="51" fillId="0" borderId="0" xfId="20" applyFont="1" applyAlignment="1">
      <alignment horizontal="center" vertical="center"/>
    </xf>
    <xf numFmtId="41" fontId="51" fillId="0" borderId="0" xfId="16" applyFont="1" applyAlignment="1">
      <alignment horizontal="center" vertical="center"/>
    </xf>
    <xf numFmtId="3" fontId="51" fillId="0" borderId="46" xfId="20" applyNumberFormat="1" applyFont="1" applyBorder="1" applyAlignment="1">
      <alignment horizontal="left" vertical="center" wrapText="1" indent="1"/>
    </xf>
    <xf numFmtId="3" fontId="51" fillId="0" borderId="47" xfId="20" applyNumberFormat="1" applyFont="1" applyBorder="1" applyAlignment="1">
      <alignment horizontal="left" vertical="center" wrapText="1" indent="1"/>
    </xf>
    <xf numFmtId="3" fontId="51" fillId="0" borderId="48" xfId="20" applyNumberFormat="1" applyFont="1" applyBorder="1" applyAlignment="1">
      <alignment horizontal="left" vertical="center" wrapText="1" indent="1"/>
    </xf>
    <xf numFmtId="190" fontId="51" fillId="0" borderId="49" xfId="20" applyNumberFormat="1" applyFont="1" applyBorder="1" applyAlignment="1">
      <alignment vertical="center"/>
    </xf>
    <xf numFmtId="0" fontId="51" fillId="0" borderId="0" xfId="20" applyFont="1" applyAlignment="1">
      <alignment vertical="center"/>
    </xf>
    <xf numFmtId="41" fontId="51" fillId="0" borderId="0" xfId="16" applyFont="1" applyAlignment="1">
      <alignment vertical="center"/>
    </xf>
    <xf numFmtId="0" fontId="51" fillId="0" borderId="51" xfId="20" applyFont="1" applyBorder="1" applyAlignment="1">
      <alignment horizontal="left" vertical="center" wrapText="1" indent="1"/>
    </xf>
    <xf numFmtId="0" fontId="31" fillId="0" borderId="49" xfId="20" applyFont="1" applyBorder="1" applyAlignment="1">
      <alignment horizontal="center" vertical="center"/>
    </xf>
    <xf numFmtId="190" fontId="31" fillId="0" borderId="49" xfId="20" applyNumberFormat="1" applyFont="1" applyBorder="1" applyAlignment="1">
      <alignment vertical="center"/>
    </xf>
    <xf numFmtId="41" fontId="31" fillId="0" borderId="0" xfId="16" applyFont="1" applyAlignment="1">
      <alignment horizontal="center" vertical="center"/>
    </xf>
    <xf numFmtId="0" fontId="31" fillId="0" borderId="0" xfId="20" applyFont="1" applyAlignment="1">
      <alignment horizontal="center" vertical="center"/>
    </xf>
    <xf numFmtId="0" fontId="39" fillId="0" borderId="52" xfId="20" applyFont="1" applyBorder="1" applyAlignment="1">
      <alignment horizontal="left" vertical="center"/>
    </xf>
    <xf numFmtId="0" fontId="39" fillId="0" borderId="48" xfId="20" applyFont="1" applyBorder="1" applyAlignment="1">
      <alignment horizontal="center" vertical="center"/>
    </xf>
    <xf numFmtId="0" fontId="39" fillId="0" borderId="49" xfId="20" applyFont="1" applyBorder="1" applyAlignment="1">
      <alignment horizontal="center" vertical="center"/>
    </xf>
    <xf numFmtId="41" fontId="39" fillId="0" borderId="49" xfId="20" applyNumberFormat="1" applyFont="1" applyBorder="1" applyAlignment="1">
      <alignment vertical="center"/>
    </xf>
    <xf numFmtId="0" fontId="39" fillId="0" borderId="0" xfId="20" applyFont="1" applyAlignment="1">
      <alignment vertical="center"/>
    </xf>
    <xf numFmtId="41" fontId="39" fillId="0" borderId="0" xfId="16" applyFont="1" applyAlignment="1">
      <alignment vertical="center"/>
    </xf>
    <xf numFmtId="183" fontId="39" fillId="0" borderId="49" xfId="20" applyNumberFormat="1" applyFont="1" applyBorder="1" applyAlignment="1">
      <alignment vertical="center"/>
    </xf>
    <xf numFmtId="0" fontId="39" fillId="0" borderId="52" xfId="20" applyFont="1" applyFill="1" applyBorder="1" applyAlignment="1">
      <alignment horizontal="left" vertical="center"/>
    </xf>
    <xf numFmtId="0" fontId="39" fillId="0" borderId="48" xfId="20" applyFont="1" applyFill="1" applyBorder="1" applyAlignment="1">
      <alignment horizontal="center" vertical="center"/>
    </xf>
    <xf numFmtId="0" fontId="39" fillId="0" borderId="49" xfId="20" applyFont="1" applyFill="1" applyBorder="1" applyAlignment="1">
      <alignment horizontal="center" vertical="center"/>
    </xf>
    <xf numFmtId="41" fontId="39" fillId="0" borderId="49" xfId="20" applyNumberFormat="1" applyFont="1" applyFill="1" applyBorder="1" applyAlignment="1">
      <alignment vertical="center"/>
    </xf>
    <xf numFmtId="0" fontId="39" fillId="0" borderId="0" xfId="20" applyFont="1" applyFill="1" applyAlignment="1">
      <alignment vertical="center"/>
    </xf>
    <xf numFmtId="41" fontId="39" fillId="0" borderId="0" xfId="16" applyFont="1" applyFill="1" applyAlignment="1">
      <alignment vertical="center"/>
    </xf>
    <xf numFmtId="0" fontId="39" fillId="11" borderId="52" xfId="20" applyFont="1" applyFill="1" applyBorder="1" applyAlignment="1">
      <alignment horizontal="center" vertical="center" wrapText="1"/>
    </xf>
    <xf numFmtId="0" fontId="39" fillId="11" borderId="49" xfId="20" applyFont="1" applyFill="1" applyBorder="1" applyAlignment="1">
      <alignment horizontal="center" vertical="center"/>
    </xf>
    <xf numFmtId="41" fontId="39" fillId="11" borderId="49" xfId="20" applyNumberFormat="1" applyFont="1" applyFill="1" applyBorder="1" applyAlignment="1">
      <alignment vertical="center"/>
    </xf>
    <xf numFmtId="0" fontId="39" fillId="0" borderId="52" xfId="20" applyFont="1" applyBorder="1" applyAlignment="1">
      <alignment horizontal="center" vertical="center" wrapText="1"/>
    </xf>
    <xf numFmtId="0" fontId="42" fillId="0" borderId="52" xfId="20" applyFont="1" applyBorder="1" applyAlignment="1">
      <alignment horizontal="left" vertical="center" wrapText="1" indent="1"/>
    </xf>
    <xf numFmtId="0" fontId="39" fillId="0" borderId="46" xfId="20" applyFont="1" applyBorder="1" applyAlignment="1">
      <alignment horizontal="left" vertical="center"/>
    </xf>
    <xf numFmtId="41" fontId="39" fillId="0" borderId="49" xfId="20" applyNumberFormat="1" applyFont="1" applyBorder="1" applyAlignment="1">
      <alignment horizontal="right" vertical="center"/>
    </xf>
    <xf numFmtId="41" fontId="39" fillId="0" borderId="0" xfId="20" applyNumberFormat="1" applyFont="1" applyBorder="1" applyAlignment="1">
      <alignment vertical="center"/>
    </xf>
    <xf numFmtId="41" fontId="39" fillId="0" borderId="0" xfId="20" applyNumberFormat="1" applyFont="1" applyAlignment="1">
      <alignment vertical="center"/>
    </xf>
    <xf numFmtId="0" fontId="39" fillId="0" borderId="52" xfId="20" applyFont="1" applyBorder="1" applyAlignment="1">
      <alignment horizontal="left" vertical="center" wrapText="1" indent="1"/>
    </xf>
    <xf numFmtId="41" fontId="39" fillId="0" borderId="49" xfId="20" applyNumberFormat="1" applyFont="1" applyBorder="1" applyAlignment="1">
      <alignment horizontal="center" vertical="center"/>
    </xf>
    <xf numFmtId="0" fontId="39" fillId="11" borderId="53" xfId="20" applyFont="1" applyFill="1" applyBorder="1" applyAlignment="1">
      <alignment horizontal="center" vertical="center" wrapText="1"/>
    </xf>
    <xf numFmtId="0" fontId="39" fillId="11" borderId="54" xfId="20" applyFont="1" applyFill="1" applyBorder="1" applyAlignment="1">
      <alignment horizontal="center" vertical="center"/>
    </xf>
    <xf numFmtId="41" fontId="39" fillId="11" borderId="54" xfId="20" applyNumberFormat="1" applyFont="1" applyFill="1" applyBorder="1" applyAlignment="1">
      <alignment vertical="center"/>
    </xf>
    <xf numFmtId="0" fontId="39" fillId="0" borderId="0" xfId="20" applyFont="1" applyBorder="1" applyAlignment="1">
      <alignment horizontal="center" vertical="center" wrapText="1"/>
    </xf>
    <xf numFmtId="0" fontId="39" fillId="0" borderId="0" xfId="20" applyFont="1" applyBorder="1" applyAlignment="1">
      <alignment horizontal="center" vertical="center"/>
    </xf>
    <xf numFmtId="41" fontId="39" fillId="0" borderId="0" xfId="20" applyNumberFormat="1" applyFont="1" applyBorder="1" applyAlignment="1">
      <alignment horizontal="right" vertical="center"/>
    </xf>
    <xf numFmtId="0" fontId="39" fillId="0" borderId="0" xfId="20" applyFont="1" applyAlignment="1">
      <alignment horizontal="left" vertical="center" wrapText="1"/>
    </xf>
    <xf numFmtId="190" fontId="52" fillId="0" borderId="0" xfId="20" applyNumberFormat="1" applyFont="1" applyAlignment="1">
      <alignment vertical="center"/>
    </xf>
    <xf numFmtId="190" fontId="39" fillId="0" borderId="0" xfId="20" applyNumberFormat="1" applyFont="1" applyAlignment="1">
      <alignment vertical="center"/>
    </xf>
    <xf numFmtId="41" fontId="31" fillId="0" borderId="0" xfId="16" applyFont="1" applyBorder="1" applyAlignment="1">
      <alignment vertical="center"/>
    </xf>
    <xf numFmtId="0" fontId="39" fillId="0" borderId="0" xfId="20" applyFont="1" applyAlignment="1">
      <alignment horizontal="center" vertical="center"/>
    </xf>
    <xf numFmtId="41" fontId="53" fillId="0" borderId="0" xfId="20" applyNumberFormat="1" applyFont="1" applyBorder="1" applyAlignment="1">
      <alignment vertical="center"/>
    </xf>
    <xf numFmtId="0" fontId="54" fillId="0" borderId="0" xfId="20" applyFont="1" applyAlignment="1">
      <alignment horizontal="left" vertical="center" wrapText="1"/>
    </xf>
    <xf numFmtId="0" fontId="54" fillId="0" borderId="0" xfId="20" applyFont="1" applyAlignment="1">
      <alignment horizontal="center" vertical="center"/>
    </xf>
    <xf numFmtId="41" fontId="54" fillId="0" borderId="0" xfId="20" applyNumberFormat="1" applyFont="1" applyBorder="1" applyAlignment="1">
      <alignment vertical="center"/>
    </xf>
    <xf numFmtId="190" fontId="54" fillId="0" borderId="0" xfId="20" applyNumberFormat="1" applyFont="1" applyAlignment="1">
      <alignment vertical="center"/>
    </xf>
    <xf numFmtId="0" fontId="54" fillId="0" borderId="0" xfId="20" applyFont="1" applyAlignment="1">
      <alignment vertical="center"/>
    </xf>
    <xf numFmtId="41" fontId="9" fillId="0" borderId="0" xfId="16" applyAlignment="1">
      <alignment vertical="center"/>
    </xf>
    <xf numFmtId="0" fontId="9" fillId="0" borderId="0" xfId="20" applyAlignment="1">
      <alignment vertical="center"/>
    </xf>
    <xf numFmtId="0" fontId="9" fillId="0" borderId="0" xfId="20" applyAlignment="1">
      <alignment horizontal="left" vertical="center" wrapText="1"/>
    </xf>
    <xf numFmtId="0" fontId="9" fillId="0" borderId="0" xfId="20" applyAlignment="1">
      <alignment horizontal="center" vertical="center"/>
    </xf>
    <xf numFmtId="41" fontId="9" fillId="0" borderId="0" xfId="20" applyNumberFormat="1" applyFont="1" applyBorder="1" applyAlignment="1">
      <alignment vertical="center"/>
    </xf>
    <xf numFmtId="190" fontId="9" fillId="0" borderId="0" xfId="20" applyNumberFormat="1" applyAlignment="1">
      <alignment vertical="center"/>
    </xf>
    <xf numFmtId="41" fontId="9" fillId="0" borderId="0" xfId="20" applyNumberFormat="1" applyAlignment="1">
      <alignment vertical="center"/>
    </xf>
    <xf numFmtId="41" fontId="9" fillId="0" borderId="0" xfId="20" applyNumberFormat="1" applyBorder="1" applyAlignment="1">
      <alignment vertical="center"/>
    </xf>
    <xf numFmtId="0" fontId="55" fillId="0" borderId="0" xfId="20" applyFont="1" applyAlignment="1">
      <alignment vertical="center"/>
    </xf>
    <xf numFmtId="41" fontId="55" fillId="0" borderId="0" xfId="16" applyFont="1" applyAlignment="1">
      <alignment vertical="center"/>
    </xf>
    <xf numFmtId="41" fontId="56" fillId="0" borderId="0" xfId="16" applyFont="1" applyAlignment="1" applyProtection="1">
      <alignment horizontal="center"/>
    </xf>
    <xf numFmtId="41" fontId="57" fillId="0" borderId="0" xfId="16" applyFont="1" applyAlignment="1">
      <alignment horizontal="center"/>
    </xf>
    <xf numFmtId="41" fontId="57" fillId="0" borderId="0" xfId="16" applyFont="1" applyAlignment="1"/>
    <xf numFmtId="0" fontId="58" fillId="0" borderId="0" xfId="17" applyFont="1" applyBorder="1" applyAlignment="1">
      <alignment vertical="center"/>
    </xf>
    <xf numFmtId="0" fontId="58" fillId="0" borderId="0" xfId="17" quotePrefix="1" applyFont="1" applyBorder="1" applyAlignment="1">
      <alignment vertical="center"/>
    </xf>
    <xf numFmtId="0" fontId="58" fillId="0" borderId="0" xfId="17" quotePrefix="1" applyFont="1" applyAlignment="1">
      <alignment horizontal="center" vertical="center"/>
    </xf>
    <xf numFmtId="0" fontId="58" fillId="0" borderId="0" xfId="17" quotePrefix="1" applyFont="1" applyAlignment="1">
      <alignment vertical="center"/>
    </xf>
    <xf numFmtId="41" fontId="58" fillId="5" borderId="9" xfId="16" applyFont="1" applyFill="1" applyBorder="1" applyAlignment="1" applyProtection="1">
      <alignment horizontal="center" vertical="center"/>
    </xf>
    <xf numFmtId="41" fontId="57" fillId="6" borderId="0" xfId="16" applyFont="1" applyFill="1" applyAlignment="1">
      <alignment horizontal="center"/>
    </xf>
    <xf numFmtId="41" fontId="57" fillId="6" borderId="0" xfId="16" applyFont="1" applyFill="1" applyAlignment="1"/>
    <xf numFmtId="41" fontId="59" fillId="5" borderId="21" xfId="16" applyFont="1" applyFill="1" applyBorder="1" applyAlignment="1" applyProtection="1">
      <alignment horizontal="center" vertical="center"/>
    </xf>
    <xf numFmtId="41" fontId="58" fillId="5" borderId="18" xfId="16" applyFont="1" applyFill="1" applyBorder="1" applyAlignment="1" applyProtection="1">
      <alignment horizontal="center" vertical="center"/>
    </xf>
    <xf numFmtId="41" fontId="58" fillId="5" borderId="22" xfId="16" applyFont="1" applyFill="1" applyBorder="1" applyAlignment="1" applyProtection="1">
      <alignment horizontal="center" vertical="center"/>
    </xf>
    <xf numFmtId="41" fontId="58" fillId="5" borderId="23" xfId="16" applyFont="1" applyFill="1" applyBorder="1" applyAlignment="1" applyProtection="1">
      <alignment horizontal="center" vertical="center"/>
    </xf>
    <xf numFmtId="41" fontId="57" fillId="0" borderId="25" xfId="16" applyFont="1" applyBorder="1" applyAlignment="1" applyProtection="1">
      <alignment horizontal="center" vertical="center"/>
    </xf>
    <xf numFmtId="0" fontId="57" fillId="0" borderId="26" xfId="16" applyNumberFormat="1" applyFont="1" applyBorder="1" applyAlignment="1" applyProtection="1">
      <alignment horizontal="distributed" vertical="center" indent="2"/>
    </xf>
    <xf numFmtId="190" fontId="60" fillId="0" borderId="27" xfId="16" applyNumberFormat="1" applyFont="1" applyBorder="1" applyAlignment="1" applyProtection="1">
      <alignment horizontal="right" vertical="center"/>
    </xf>
    <xf numFmtId="191" fontId="60" fillId="7" borderId="27" xfId="16" applyNumberFormat="1" applyFont="1" applyFill="1" applyBorder="1" applyAlignment="1" applyProtection="1">
      <alignment horizontal="right" vertical="center"/>
    </xf>
    <xf numFmtId="41" fontId="57" fillId="0" borderId="30" xfId="16" applyFont="1" applyBorder="1" applyAlignment="1" applyProtection="1">
      <alignment horizontal="left" vertical="center"/>
    </xf>
    <xf numFmtId="0" fontId="57" fillId="0" borderId="25" xfId="16" applyNumberFormat="1" applyFont="1" applyBorder="1" applyAlignment="1" applyProtection="1">
      <alignment horizontal="distributed" vertical="center" indent="2"/>
    </xf>
    <xf numFmtId="41" fontId="57" fillId="0" borderId="31" xfId="16" applyFont="1" applyBorder="1" applyAlignment="1" applyProtection="1">
      <alignment horizontal="left" vertical="center"/>
    </xf>
    <xf numFmtId="41" fontId="57" fillId="0" borderId="20" xfId="16" applyFont="1" applyBorder="1" applyAlignment="1" applyProtection="1">
      <alignment horizontal="center" vertical="center"/>
    </xf>
    <xf numFmtId="0" fontId="57" fillId="0" borderId="21" xfId="16" applyNumberFormat="1" applyFont="1" applyBorder="1" applyAlignment="1" applyProtection="1">
      <alignment horizontal="distributed" vertical="center" indent="2"/>
    </xf>
    <xf numFmtId="41" fontId="57" fillId="0" borderId="1" xfId="16" applyFont="1" applyBorder="1" applyAlignment="1" applyProtection="1">
      <alignment horizontal="left" vertical="center"/>
    </xf>
    <xf numFmtId="0" fontId="57" fillId="0" borderId="26" xfId="16" applyNumberFormat="1" applyFont="1" applyBorder="1" applyAlignment="1" applyProtection="1">
      <alignment horizontal="distributed" vertical="center" indent="1"/>
    </xf>
    <xf numFmtId="41" fontId="57" fillId="0" borderId="32" xfId="16" applyFont="1" applyBorder="1" applyAlignment="1" applyProtection="1">
      <alignment horizontal="center" vertical="center"/>
    </xf>
    <xf numFmtId="0" fontId="57" fillId="0" borderId="19" xfId="16" applyNumberFormat="1" applyFont="1" applyBorder="1" applyAlignment="1" applyProtection="1">
      <alignment horizontal="distributed" vertical="center" indent="1"/>
    </xf>
    <xf numFmtId="190" fontId="60" fillId="0" borderId="20" xfId="16" applyNumberFormat="1" applyFont="1" applyBorder="1" applyAlignment="1" applyProtection="1">
      <alignment horizontal="right" vertical="center"/>
    </xf>
    <xf numFmtId="10" fontId="57" fillId="0" borderId="0" xfId="16" applyNumberFormat="1" applyFont="1" applyAlignment="1">
      <alignment horizontal="center"/>
    </xf>
    <xf numFmtId="41" fontId="57" fillId="0" borderId="19" xfId="16" applyFont="1" applyBorder="1" applyAlignment="1" applyProtection="1">
      <alignment horizontal="center" vertical="center"/>
    </xf>
    <xf numFmtId="0" fontId="57" fillId="0" borderId="21" xfId="16" applyNumberFormat="1" applyFont="1" applyBorder="1" applyAlignment="1" applyProtection="1">
      <alignment horizontal="distributed" vertical="center" indent="1"/>
    </xf>
    <xf numFmtId="41" fontId="57" fillId="0" borderId="1" xfId="16" applyFont="1" applyBorder="1" applyAlignment="1" applyProtection="1">
      <alignment horizontal="center" vertical="center"/>
    </xf>
    <xf numFmtId="41" fontId="57" fillId="0" borderId="33" xfId="16" applyFont="1" applyBorder="1" applyAlignment="1" applyProtection="1">
      <alignment horizontal="left" vertical="center"/>
    </xf>
    <xf numFmtId="10" fontId="57" fillId="0" borderId="0" xfId="16" applyNumberFormat="1" applyFont="1" applyBorder="1" applyAlignment="1" applyProtection="1">
      <alignment horizontal="center" vertical="center"/>
    </xf>
    <xf numFmtId="0" fontId="57" fillId="0" borderId="37" xfId="16" applyNumberFormat="1" applyFont="1" applyBorder="1" applyAlignment="1" applyProtection="1">
      <alignment horizontal="distributed" vertical="center" indent="1"/>
    </xf>
    <xf numFmtId="190" fontId="60" fillId="0" borderId="37" xfId="16" applyNumberFormat="1" applyFont="1" applyBorder="1" applyAlignment="1" applyProtection="1">
      <alignment horizontal="right" vertical="center"/>
    </xf>
    <xf numFmtId="0" fontId="57" fillId="0" borderId="37" xfId="16" applyNumberFormat="1" applyFont="1" applyBorder="1" applyAlignment="1" applyProtection="1">
      <alignment horizontal="center" vertical="center" wrapText="1"/>
    </xf>
    <xf numFmtId="192" fontId="57" fillId="0" borderId="0" xfId="16" applyNumberFormat="1" applyFont="1" applyAlignment="1">
      <alignment horizontal="center" vertical="center"/>
    </xf>
    <xf numFmtId="0" fontId="57" fillId="0" borderId="20" xfId="16" applyNumberFormat="1" applyFont="1" applyBorder="1" applyAlignment="1" applyProtection="1">
      <alignment horizontal="distributed" vertical="center" indent="1"/>
    </xf>
    <xf numFmtId="10" fontId="57" fillId="0" borderId="0" xfId="16" applyNumberFormat="1" applyFont="1" applyAlignment="1">
      <alignment horizontal="center" vertical="center"/>
    </xf>
    <xf numFmtId="41" fontId="57" fillId="0" borderId="1" xfId="16" quotePrefix="1" applyFont="1" applyBorder="1" applyAlignment="1" applyProtection="1">
      <alignment horizontal="left" vertical="center"/>
    </xf>
    <xf numFmtId="41" fontId="57" fillId="0" borderId="0" xfId="16" applyFont="1" applyAlignment="1">
      <alignment horizontal="center" vertical="center"/>
    </xf>
    <xf numFmtId="9" fontId="57" fillId="0" borderId="0" xfId="16" applyNumberFormat="1" applyFont="1" applyAlignment="1">
      <alignment horizontal="center" vertical="center"/>
    </xf>
    <xf numFmtId="190" fontId="60" fillId="8" borderId="20" xfId="16" applyNumberFormat="1" applyFont="1" applyFill="1" applyBorder="1" applyAlignment="1" applyProtection="1">
      <alignment horizontal="right" vertical="center"/>
    </xf>
    <xf numFmtId="41" fontId="57" fillId="8" borderId="1" xfId="16" applyFont="1" applyFill="1" applyBorder="1" applyAlignment="1" applyProtection="1">
      <alignment horizontal="left" vertical="center"/>
    </xf>
    <xf numFmtId="41" fontId="57" fillId="0" borderId="15" xfId="16" applyFont="1" applyBorder="1" applyAlignment="1" applyProtection="1">
      <alignment horizontal="right" vertical="center"/>
    </xf>
    <xf numFmtId="193" fontId="57" fillId="0" borderId="22" xfId="16" applyNumberFormat="1" applyFont="1" applyBorder="1" applyAlignment="1" applyProtection="1">
      <alignment horizontal="left" vertical="center"/>
    </xf>
    <xf numFmtId="193" fontId="57" fillId="0" borderId="1" xfId="16" applyNumberFormat="1" applyFont="1" applyBorder="1" applyAlignment="1" applyProtection="1">
      <alignment horizontal="center" vertical="center"/>
    </xf>
    <xf numFmtId="190" fontId="59" fillId="9" borderId="41" xfId="16" applyNumberFormat="1" applyFont="1" applyFill="1" applyBorder="1" applyAlignment="1" applyProtection="1">
      <alignment horizontal="right" vertical="center" shrinkToFit="1"/>
    </xf>
    <xf numFmtId="191" fontId="60" fillId="7" borderId="42" xfId="16" applyNumberFormat="1" applyFont="1" applyFill="1" applyBorder="1" applyAlignment="1" applyProtection="1">
      <alignment horizontal="right" vertical="center"/>
    </xf>
    <xf numFmtId="41" fontId="58" fillId="9" borderId="39" xfId="16" applyFont="1" applyFill="1" applyBorder="1" applyAlignment="1" applyProtection="1">
      <alignment vertical="center" shrinkToFit="1"/>
    </xf>
    <xf numFmtId="41" fontId="58" fillId="9" borderId="1" xfId="16" applyFont="1" applyFill="1" applyBorder="1" applyAlignment="1" applyProtection="1">
      <alignment vertical="center" shrinkToFit="1"/>
    </xf>
    <xf numFmtId="10" fontId="58" fillId="10" borderId="0" xfId="19" applyNumberFormat="1" applyFont="1" applyFill="1" applyAlignment="1">
      <alignment horizontal="center" shrinkToFit="1"/>
    </xf>
    <xf numFmtId="41" fontId="57" fillId="0" borderId="0" xfId="16" applyFont="1" applyAlignment="1">
      <alignment shrinkToFit="1"/>
    </xf>
    <xf numFmtId="41" fontId="58" fillId="10" borderId="0" xfId="16" applyFont="1" applyFill="1" applyAlignment="1">
      <alignment shrinkToFit="1"/>
    </xf>
    <xf numFmtId="41" fontId="60" fillId="0" borderId="0" xfId="16" applyFont="1" applyAlignment="1"/>
    <xf numFmtId="41" fontId="60" fillId="0" borderId="1" xfId="16" applyFont="1" applyBorder="1" applyAlignment="1">
      <alignment horizontal="center" vertical="center"/>
    </xf>
    <xf numFmtId="10" fontId="60" fillId="0" borderId="1" xfId="19" applyNumberFormat="1" applyFont="1" applyBorder="1" applyAlignment="1">
      <alignment vertical="center"/>
    </xf>
    <xf numFmtId="183" fontId="11" fillId="0" borderId="1" xfId="0" applyNumberFormat="1" applyFont="1" applyBorder="1" applyAlignment="1">
      <alignment vertical="center" wrapText="1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41" fontId="7" fillId="0" borderId="0" xfId="1" applyFont="1">
      <alignment vertical="center"/>
    </xf>
    <xf numFmtId="190" fontId="60" fillId="0" borderId="56" xfId="16" applyNumberFormat="1" applyFont="1" applyBorder="1" applyAlignment="1" applyProtection="1">
      <alignment horizontal="right" vertical="center"/>
    </xf>
    <xf numFmtId="191" fontId="60" fillId="7" borderId="56" xfId="16" applyNumberFormat="1" applyFont="1" applyFill="1" applyBorder="1" applyAlignment="1" applyProtection="1">
      <alignment horizontal="right" vertical="center"/>
    </xf>
    <xf numFmtId="41" fontId="57" fillId="0" borderId="57" xfId="16" applyFont="1" applyBorder="1" applyAlignment="1" applyProtection="1">
      <alignment horizontal="left" vertical="center"/>
    </xf>
    <xf numFmtId="41" fontId="57" fillId="0" borderId="58" xfId="16" applyFont="1" applyBorder="1" applyAlignment="1" applyProtection="1">
      <alignment horizontal="left" vertical="center"/>
    </xf>
    <xf numFmtId="190" fontId="60" fillId="0" borderId="59" xfId="16" applyNumberFormat="1" applyFont="1" applyBorder="1" applyAlignment="1" applyProtection="1">
      <alignment horizontal="right" vertical="center"/>
    </xf>
    <xf numFmtId="191" fontId="60" fillId="7" borderId="59" xfId="16" applyNumberFormat="1" applyFont="1" applyFill="1" applyBorder="1" applyAlignment="1" applyProtection="1">
      <alignment horizontal="right" vertical="center"/>
    </xf>
    <xf numFmtId="190" fontId="60" fillId="0" borderId="42" xfId="16" applyNumberFormat="1" applyFont="1" applyBorder="1" applyAlignment="1" applyProtection="1">
      <alignment horizontal="right" vertical="center"/>
    </xf>
    <xf numFmtId="190" fontId="60" fillId="8" borderId="59" xfId="16" applyNumberFormat="1" applyFont="1" applyFill="1" applyBorder="1" applyAlignment="1" applyProtection="1">
      <alignment horizontal="right" vertical="center"/>
    </xf>
    <xf numFmtId="190" fontId="59" fillId="9" borderId="42" xfId="16" applyNumberFormat="1" applyFont="1" applyFill="1" applyBorder="1" applyAlignment="1" applyProtection="1">
      <alignment horizontal="right" vertical="center" shrinkToFit="1"/>
    </xf>
    <xf numFmtId="190" fontId="59" fillId="0" borderId="42" xfId="16" applyNumberFormat="1" applyFont="1" applyBorder="1" applyAlignment="1" applyProtection="1">
      <alignment horizontal="right" vertical="center" shrinkToFit="1"/>
    </xf>
    <xf numFmtId="41" fontId="58" fillId="9" borderId="61" xfId="16" applyFont="1" applyFill="1" applyBorder="1" applyAlignment="1" applyProtection="1">
      <alignment vertical="center" shrinkToFit="1"/>
    </xf>
    <xf numFmtId="41" fontId="57" fillId="0" borderId="60" xfId="16" applyFont="1" applyBorder="1" applyAlignment="1" applyProtection="1">
      <alignment horizontal="right" vertical="center"/>
    </xf>
    <xf numFmtId="0" fontId="0" fillId="0" borderId="0" xfId="0" quotePrefix="1">
      <alignment vertical="center"/>
    </xf>
    <xf numFmtId="0" fontId="0" fillId="0" borderId="0" xfId="0" quotePrefix="1" applyFont="1" applyAlignment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4" fillId="2" borderId="1" xfId="0" quotePrefix="1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176" fontId="23" fillId="2" borderId="1" xfId="0" applyNumberFormat="1" applyFont="1" applyFill="1" applyBorder="1" applyAlignment="1">
      <alignment vertical="center" wrapText="1"/>
    </xf>
    <xf numFmtId="176" fontId="4" fillId="2" borderId="1" xfId="0" applyNumberFormat="1" applyFont="1" applyFill="1" applyBorder="1" applyAlignment="1">
      <alignment vertical="center" wrapText="1"/>
    </xf>
    <xf numFmtId="0" fontId="4" fillId="12" borderId="1" xfId="0" applyFont="1" applyFill="1" applyBorder="1" applyAlignment="1">
      <alignment vertical="center" wrapText="1"/>
    </xf>
    <xf numFmtId="0" fontId="4" fillId="12" borderId="1" xfId="0" quotePrefix="1" applyFont="1" applyFill="1" applyBorder="1" applyAlignment="1">
      <alignment vertical="center" wrapText="1"/>
    </xf>
    <xf numFmtId="176" fontId="4" fillId="12" borderId="1" xfId="0" applyNumberFormat="1" applyFont="1" applyFill="1" applyBorder="1" applyAlignment="1">
      <alignment vertical="center" wrapText="1"/>
    </xf>
    <xf numFmtId="0" fontId="8" fillId="12" borderId="0" xfId="0" quotePrefix="1" applyFont="1" applyFill="1" applyAlignment="1">
      <alignment vertical="center"/>
    </xf>
    <xf numFmtId="0" fontId="8" fillId="12" borderId="0" xfId="0" applyFont="1" applyFill="1" applyAlignment="1">
      <alignment vertical="center"/>
    </xf>
    <xf numFmtId="176" fontId="8" fillId="12" borderId="0" xfId="0" applyNumberFormat="1" applyFont="1" applyFill="1" applyAlignment="1">
      <alignment vertical="center"/>
    </xf>
    <xf numFmtId="41" fontId="47" fillId="12" borderId="0" xfId="1" applyFont="1" applyFill="1">
      <alignment vertical="center"/>
    </xf>
    <xf numFmtId="41" fontId="8" fillId="12" borderId="0" xfId="1" applyFont="1" applyFill="1">
      <alignment vertical="center"/>
    </xf>
    <xf numFmtId="0" fontId="8" fillId="12" borderId="0" xfId="0" applyFont="1" applyFill="1">
      <alignment vertical="center"/>
    </xf>
    <xf numFmtId="0" fontId="4" fillId="13" borderId="1" xfId="0" applyFont="1" applyFill="1" applyBorder="1" applyAlignment="1">
      <alignment vertical="center" wrapText="1"/>
    </xf>
    <xf numFmtId="176" fontId="4" fillId="13" borderId="1" xfId="0" applyNumberFormat="1" applyFont="1" applyFill="1" applyBorder="1" applyAlignment="1">
      <alignment vertical="center" wrapText="1"/>
    </xf>
    <xf numFmtId="41" fontId="47" fillId="13" borderId="0" xfId="1" applyFont="1" applyFill="1">
      <alignment vertical="center"/>
    </xf>
    <xf numFmtId="41" fontId="8" fillId="13" borderId="0" xfId="1" applyFont="1" applyFill="1">
      <alignment vertical="center"/>
    </xf>
    <xf numFmtId="0" fontId="8" fillId="13" borderId="0" xfId="0" applyFont="1" applyFill="1">
      <alignment vertical="center"/>
    </xf>
    <xf numFmtId="0" fontId="4" fillId="4" borderId="1" xfId="0" applyFont="1" applyFill="1" applyBorder="1" applyAlignment="1">
      <alignment vertical="center" wrapText="1"/>
    </xf>
    <xf numFmtId="0" fontId="4" fillId="4" borderId="1" xfId="0" quotePrefix="1" applyFont="1" applyFill="1" applyBorder="1" applyAlignment="1">
      <alignment vertical="center" wrapText="1"/>
    </xf>
    <xf numFmtId="176" fontId="4" fillId="4" borderId="1" xfId="0" applyNumberFormat="1" applyFont="1" applyFill="1" applyBorder="1" applyAlignment="1">
      <alignment vertical="center" wrapText="1"/>
    </xf>
    <xf numFmtId="0" fontId="8" fillId="4" borderId="0" xfId="0" quotePrefix="1" applyFont="1" applyFill="1" applyAlignment="1">
      <alignment vertical="center"/>
    </xf>
    <xf numFmtId="0" fontId="8" fillId="4" borderId="0" xfId="0" applyFont="1" applyFill="1" applyAlignment="1">
      <alignment vertical="center"/>
    </xf>
    <xf numFmtId="176" fontId="8" fillId="4" borderId="0" xfId="0" applyNumberFormat="1" applyFont="1" applyFill="1" applyAlignment="1">
      <alignment vertical="center"/>
    </xf>
    <xf numFmtId="41" fontId="47" fillId="4" borderId="0" xfId="1" applyFont="1" applyFill="1">
      <alignment vertical="center"/>
    </xf>
    <xf numFmtId="41" fontId="8" fillId="4" borderId="0" xfId="1" applyFont="1" applyFill="1">
      <alignment vertical="center"/>
    </xf>
    <xf numFmtId="0" fontId="8" fillId="4" borderId="0" xfId="0" applyFont="1" applyFill="1">
      <alignment vertical="center"/>
    </xf>
    <xf numFmtId="183" fontId="4" fillId="13" borderId="1" xfId="0" applyNumberFormat="1" applyFont="1" applyFill="1" applyBorder="1" applyAlignment="1">
      <alignment vertical="center" wrapText="1"/>
    </xf>
    <xf numFmtId="176" fontId="8" fillId="13" borderId="0" xfId="0" applyNumberFormat="1" applyFont="1" applyFill="1">
      <alignment vertical="center"/>
    </xf>
    <xf numFmtId="0" fontId="4" fillId="14" borderId="1" xfId="0" applyFont="1" applyFill="1" applyBorder="1" applyAlignment="1">
      <alignment vertical="center" wrapText="1"/>
    </xf>
    <xf numFmtId="0" fontId="8" fillId="14" borderId="0" xfId="0" applyFont="1" applyFill="1">
      <alignment vertical="center"/>
    </xf>
    <xf numFmtId="176" fontId="8" fillId="14" borderId="0" xfId="0" applyNumberFormat="1" applyFont="1" applyFill="1">
      <alignment vertical="center"/>
    </xf>
    <xf numFmtId="41" fontId="47" fillId="14" borderId="0" xfId="1" applyFont="1" applyFill="1">
      <alignment vertical="center"/>
    </xf>
    <xf numFmtId="41" fontId="8" fillId="14" borderId="0" xfId="1" applyFont="1" applyFill="1">
      <alignment vertical="center"/>
    </xf>
    <xf numFmtId="0" fontId="0" fillId="0" borderId="0" xfId="0" applyFont="1" applyAlignment="1">
      <alignment vertical="center"/>
    </xf>
    <xf numFmtId="0" fontId="0" fillId="0" borderId="0" xfId="0" quotePrefix="1" applyFont="1">
      <alignment vertical="center"/>
    </xf>
    <xf numFmtId="0" fontId="5" fillId="0" borderId="1" xfId="0" applyFont="1" applyBorder="1" applyAlignment="1">
      <alignment vertical="center" wrapText="1"/>
    </xf>
    <xf numFmtId="0" fontId="26" fillId="0" borderId="0" xfId="0" quotePrefix="1" applyFont="1">
      <alignment vertical="center"/>
    </xf>
    <xf numFmtId="0" fontId="26" fillId="0" borderId="0" xfId="0" applyFont="1">
      <alignment vertical="center"/>
    </xf>
    <xf numFmtId="0" fontId="5" fillId="15" borderId="1" xfId="0" quotePrefix="1" applyFont="1" applyFill="1" applyBorder="1" applyAlignment="1">
      <alignment vertical="center" wrapText="1"/>
    </xf>
    <xf numFmtId="0" fontId="5" fillId="15" borderId="1" xfId="0" applyFont="1" applyFill="1" applyBorder="1" applyAlignment="1">
      <alignment vertical="center" wrapText="1"/>
    </xf>
    <xf numFmtId="182" fontId="5" fillId="15" borderId="1" xfId="0" applyNumberFormat="1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0" fillId="15" borderId="0" xfId="0" applyFill="1" applyAlignment="1">
      <alignment vertical="center"/>
    </xf>
    <xf numFmtId="0" fontId="0" fillId="15" borderId="0" xfId="0" quotePrefix="1" applyFill="1" applyAlignment="1">
      <alignment vertical="center"/>
    </xf>
    <xf numFmtId="0" fontId="0" fillId="15" borderId="0" xfId="0" applyFill="1">
      <alignment vertical="center"/>
    </xf>
    <xf numFmtId="177" fontId="5" fillId="15" borderId="1" xfId="0" applyNumberFormat="1" applyFont="1" applyFill="1" applyBorder="1" applyAlignment="1">
      <alignment vertical="center" wrapText="1"/>
    </xf>
    <xf numFmtId="0" fontId="0" fillId="15" borderId="0" xfId="0" quotePrefix="1" applyFont="1" applyFill="1" applyAlignment="1">
      <alignment vertical="center"/>
    </xf>
    <xf numFmtId="0" fontId="3" fillId="15" borderId="1" xfId="0" quotePrefix="1" applyFont="1" applyFill="1" applyBorder="1" applyAlignment="1">
      <alignment horizontal="center" vertical="center"/>
    </xf>
    <xf numFmtId="0" fontId="0" fillId="15" borderId="0" xfId="0" quotePrefix="1" applyFill="1">
      <alignment vertical="center"/>
    </xf>
    <xf numFmtId="0" fontId="5" fillId="15" borderId="1" xfId="0" quotePrefix="1" applyFont="1" applyFill="1" applyBorder="1" applyAlignment="1">
      <alignment horizontal="center" vertical="center" wrapText="1"/>
    </xf>
    <xf numFmtId="0" fontId="5" fillId="15" borderId="1" xfId="0" quotePrefix="1" applyFont="1" applyFill="1" applyBorder="1" applyAlignment="1">
      <alignment vertical="top" wrapText="1"/>
    </xf>
    <xf numFmtId="0" fontId="5" fillId="15" borderId="1" xfId="0" applyFont="1" applyFill="1" applyBorder="1" applyAlignment="1">
      <alignment vertical="top" wrapText="1"/>
    </xf>
    <xf numFmtId="182" fontId="5" fillId="15" borderId="1" xfId="0" applyNumberFormat="1" applyFont="1" applyFill="1" applyBorder="1" applyAlignment="1">
      <alignment vertical="top" wrapText="1"/>
    </xf>
    <xf numFmtId="0" fontId="5" fillId="15" borderId="1" xfId="0" applyFont="1" applyFill="1" applyBorder="1" applyAlignment="1">
      <alignment horizontal="center" vertical="top" wrapText="1"/>
    </xf>
    <xf numFmtId="0" fontId="0" fillId="15" borderId="0" xfId="0" applyFill="1" applyAlignment="1">
      <alignment vertical="top"/>
    </xf>
    <xf numFmtId="0" fontId="0" fillId="15" borderId="0" xfId="0" quotePrefix="1" applyFill="1" applyAlignment="1">
      <alignment vertical="top"/>
    </xf>
    <xf numFmtId="41" fontId="31" fillId="15" borderId="1" xfId="1" applyFont="1" applyFill="1" applyBorder="1" applyAlignment="1">
      <alignment horizontal="center" vertical="center"/>
    </xf>
    <xf numFmtId="41" fontId="5" fillId="15" borderId="1" xfId="1" applyFont="1" applyFill="1" applyBorder="1" applyAlignment="1">
      <alignment vertical="center" wrapText="1"/>
    </xf>
    <xf numFmtId="190" fontId="5" fillId="15" borderId="1" xfId="0" applyNumberFormat="1" applyFont="1" applyFill="1" applyBorder="1" applyAlignment="1">
      <alignment vertical="center" wrapText="1"/>
    </xf>
    <xf numFmtId="41" fontId="31" fillId="15" borderId="1" xfId="1" applyFont="1" applyFill="1" applyBorder="1">
      <alignment vertical="center"/>
    </xf>
    <xf numFmtId="0" fontId="31" fillId="15" borderId="1" xfId="0" quotePrefix="1" applyFont="1" applyFill="1" applyBorder="1" applyAlignment="1">
      <alignment vertical="center" wrapText="1"/>
    </xf>
    <xf numFmtId="182" fontId="31" fillId="15" borderId="1" xfId="0" applyNumberFormat="1" applyFont="1" applyFill="1" applyBorder="1" applyAlignment="1">
      <alignment vertical="center" wrapText="1"/>
    </xf>
    <xf numFmtId="41" fontId="31" fillId="15" borderId="1" xfId="1" applyFont="1" applyFill="1" applyBorder="1" applyAlignment="1">
      <alignment vertical="center" wrapText="1"/>
    </xf>
    <xf numFmtId="0" fontId="31" fillId="15" borderId="1" xfId="0" applyFont="1" applyFill="1" applyBorder="1" applyAlignment="1">
      <alignment vertical="center" wrapText="1"/>
    </xf>
    <xf numFmtId="41" fontId="31" fillId="15" borderId="1" xfId="1" applyFont="1" applyFill="1" applyBorder="1" applyAlignment="1">
      <alignment horizontal="left" vertical="center"/>
    </xf>
    <xf numFmtId="182" fontId="31" fillId="15" borderId="1" xfId="1" applyNumberFormat="1" applyFont="1" applyFill="1" applyBorder="1">
      <alignment vertical="center"/>
    </xf>
    <xf numFmtId="182" fontId="31" fillId="15" borderId="1" xfId="1" applyNumberFormat="1" applyFont="1" applyFill="1" applyBorder="1" applyAlignment="1">
      <alignment horizontal="center" vertical="center"/>
    </xf>
    <xf numFmtId="41" fontId="5" fillId="15" borderId="1" xfId="1" applyFont="1" applyFill="1" applyBorder="1" applyAlignment="1">
      <alignment vertical="top" wrapText="1"/>
    </xf>
    <xf numFmtId="41" fontId="5" fillId="15" borderId="1" xfId="0" quotePrefix="1" applyNumberFormat="1" applyFont="1" applyFill="1" applyBorder="1" applyAlignment="1">
      <alignment vertical="center" wrapText="1"/>
    </xf>
    <xf numFmtId="0" fontId="0" fillId="15" borderId="0" xfId="0" applyFont="1" applyFill="1" applyAlignment="1">
      <alignment vertical="center"/>
    </xf>
    <xf numFmtId="0" fontId="0" fillId="15" borderId="0" xfId="0" applyFont="1" applyFill="1">
      <alignment vertical="center"/>
    </xf>
    <xf numFmtId="0" fontId="4" fillId="15" borderId="1" xfId="0" quotePrefix="1" applyFont="1" applyFill="1" applyBorder="1" applyAlignment="1">
      <alignment vertical="center" wrapText="1"/>
    </xf>
    <xf numFmtId="0" fontId="4" fillId="15" borderId="1" xfId="0" applyFont="1" applyFill="1" applyBorder="1" applyAlignment="1">
      <alignment vertical="center" wrapText="1"/>
    </xf>
    <xf numFmtId="182" fontId="4" fillId="15" borderId="1" xfId="0" applyNumberFormat="1" applyFont="1" applyFill="1" applyBorder="1" applyAlignment="1">
      <alignment vertical="center" wrapText="1"/>
    </xf>
    <xf numFmtId="177" fontId="4" fillId="15" borderId="1" xfId="0" applyNumberFormat="1" applyFont="1" applyFill="1" applyBorder="1" applyAlignment="1">
      <alignment vertical="center" wrapText="1"/>
    </xf>
    <xf numFmtId="0" fontId="4" fillId="15" borderId="1" xfId="0" applyFont="1" applyFill="1" applyBorder="1" applyAlignment="1">
      <alignment horizontal="center" vertical="center" wrapText="1"/>
    </xf>
    <xf numFmtId="0" fontId="8" fillId="15" borderId="0" xfId="0" quotePrefix="1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15" borderId="0" xfId="0" applyFont="1" applyFill="1">
      <alignment vertical="center"/>
    </xf>
    <xf numFmtId="0" fontId="38" fillId="15" borderId="1" xfId="5" applyNumberFormat="1" applyFont="1" applyFill="1" applyBorder="1" applyAlignment="1">
      <alignment horizontal="left" vertical="center"/>
    </xf>
    <xf numFmtId="0" fontId="38" fillId="15" borderId="1" xfId="0" applyFont="1" applyFill="1" applyBorder="1">
      <alignment vertical="center"/>
    </xf>
    <xf numFmtId="177" fontId="31" fillId="15" borderId="1" xfId="0" applyNumberFormat="1" applyFont="1" applyFill="1" applyBorder="1" applyAlignment="1">
      <alignment vertical="center" wrapText="1"/>
    </xf>
    <xf numFmtId="183" fontId="3" fillId="15" borderId="1" xfId="0" applyNumberFormat="1" applyFont="1" applyFill="1" applyBorder="1" applyAlignment="1">
      <alignment vertical="center"/>
    </xf>
    <xf numFmtId="182" fontId="3" fillId="15" borderId="1" xfId="0" applyNumberFormat="1" applyFont="1" applyFill="1" applyBorder="1" applyAlignment="1">
      <alignment vertical="center"/>
    </xf>
    <xf numFmtId="183" fontId="3" fillId="15" borderId="1" xfId="0" applyNumberFormat="1" applyFont="1" applyFill="1" applyBorder="1" applyAlignment="1">
      <alignment horizontal="center" vertical="center"/>
    </xf>
    <xf numFmtId="183" fontId="0" fillId="15" borderId="1" xfId="0" quotePrefix="1" applyNumberFormat="1" applyFill="1" applyBorder="1" applyAlignment="1">
      <alignment vertical="center"/>
    </xf>
    <xf numFmtId="182" fontId="0" fillId="15" borderId="1" xfId="0" applyNumberFormat="1" applyFill="1" applyBorder="1" applyAlignment="1">
      <alignment vertical="center"/>
    </xf>
    <xf numFmtId="183" fontId="0" fillId="15" borderId="1" xfId="0" applyNumberFormat="1" applyFill="1" applyBorder="1" applyAlignment="1">
      <alignment vertical="center"/>
    </xf>
    <xf numFmtId="183" fontId="0" fillId="15" borderId="1" xfId="0" applyNumberFormat="1" applyFill="1" applyBorder="1" applyAlignment="1">
      <alignment horizontal="center" vertical="center"/>
    </xf>
    <xf numFmtId="0" fontId="31" fillId="15" borderId="1" xfId="0" applyFont="1" applyFill="1" applyBorder="1" applyAlignment="1">
      <alignment horizontal="left" vertical="center"/>
    </xf>
    <xf numFmtId="183" fontId="31" fillId="15" borderId="1" xfId="4" applyNumberFormat="1" applyFont="1" applyFill="1" applyBorder="1" applyAlignment="1">
      <alignment horizontal="center" vertical="center"/>
    </xf>
    <xf numFmtId="0" fontId="31" fillId="15" borderId="0" xfId="0" applyFont="1" applyFill="1">
      <alignment vertical="center"/>
    </xf>
    <xf numFmtId="41" fontId="5" fillId="15" borderId="1" xfId="0" applyNumberFormat="1" applyFont="1" applyFill="1" applyBorder="1" applyAlignment="1">
      <alignment vertical="center" wrapText="1"/>
    </xf>
    <xf numFmtId="183" fontId="5" fillId="15" borderId="1" xfId="0" applyNumberFormat="1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left" vertical="center"/>
    </xf>
    <xf numFmtId="183" fontId="5" fillId="15" borderId="1" xfId="4" applyNumberFormat="1" applyFont="1" applyFill="1" applyBorder="1" applyAlignment="1">
      <alignment horizontal="center" vertical="center"/>
    </xf>
    <xf numFmtId="182" fontId="0" fillId="15" borderId="0" xfId="0" applyNumberFormat="1" applyFill="1">
      <alignment vertical="center"/>
    </xf>
    <xf numFmtId="0" fontId="0" fillId="15" borderId="0" xfId="0" applyFill="1" applyAlignment="1">
      <alignment horizontal="center" vertical="center"/>
    </xf>
    <xf numFmtId="176" fontId="23" fillId="15" borderId="1" xfId="0" applyNumberFormat="1" applyFont="1" applyFill="1" applyBorder="1" applyAlignment="1">
      <alignment vertical="center" wrapText="1"/>
    </xf>
    <xf numFmtId="41" fontId="47" fillId="0" borderId="0" xfId="1" applyFont="1">
      <alignment vertical="center"/>
    </xf>
    <xf numFmtId="41" fontId="0" fillId="15" borderId="0" xfId="1" applyFont="1" applyFill="1">
      <alignment vertical="center"/>
    </xf>
    <xf numFmtId="183" fontId="4" fillId="0" borderId="1" xfId="0" applyNumberFormat="1" applyFont="1" applyBorder="1" applyAlignment="1">
      <alignment vertical="center" wrapText="1"/>
    </xf>
    <xf numFmtId="176" fontId="8" fillId="0" borderId="0" xfId="0" applyNumberFormat="1" applyFont="1">
      <alignment vertical="center"/>
    </xf>
    <xf numFmtId="183" fontId="62" fillId="14" borderId="1" xfId="0" applyNumberFormat="1" applyFont="1" applyFill="1" applyBorder="1" applyAlignment="1">
      <alignment vertical="center" wrapText="1"/>
    </xf>
    <xf numFmtId="176" fontId="62" fillId="14" borderId="1" xfId="0" applyNumberFormat="1" applyFont="1" applyFill="1" applyBorder="1" applyAlignment="1">
      <alignment vertical="center" wrapText="1"/>
    </xf>
    <xf numFmtId="0" fontId="62" fillId="14" borderId="1" xfId="0" applyFont="1" applyFill="1" applyBorder="1" applyAlignment="1">
      <alignment vertical="center" wrapText="1"/>
    </xf>
    <xf numFmtId="41" fontId="4" fillId="13" borderId="1" xfId="1" applyFont="1" applyFill="1" applyBorder="1" applyAlignment="1">
      <alignment vertical="center" wrapText="1"/>
    </xf>
    <xf numFmtId="176" fontId="62" fillId="0" borderId="1" xfId="0" applyNumberFormat="1" applyFont="1" applyBorder="1" applyAlignment="1">
      <alignment vertical="center" wrapText="1"/>
    </xf>
    <xf numFmtId="0" fontId="62" fillId="0" borderId="1" xfId="0" applyFont="1" applyBorder="1" applyAlignment="1">
      <alignment vertical="center" wrapText="1"/>
    </xf>
    <xf numFmtId="0" fontId="6" fillId="0" borderId="4" xfId="0" quotePrefix="1" applyFont="1" applyBorder="1" applyAlignment="1">
      <alignment vertical="center"/>
    </xf>
    <xf numFmtId="41" fontId="0" fillId="15" borderId="1" xfId="1" applyFont="1" applyFill="1" applyBorder="1" applyAlignment="1">
      <alignment vertical="center"/>
    </xf>
    <xf numFmtId="41" fontId="0" fillId="15" borderId="1" xfId="1" applyFont="1" applyFill="1" applyBorder="1" applyAlignment="1">
      <alignment horizontal="center" vertical="center"/>
    </xf>
    <xf numFmtId="41" fontId="5" fillId="0" borderId="1" xfId="1" applyFont="1" applyBorder="1" applyAlignment="1">
      <alignment vertical="center" wrapText="1"/>
    </xf>
    <xf numFmtId="41" fontId="4" fillId="12" borderId="1" xfId="1" applyFont="1" applyFill="1" applyBorder="1" applyAlignment="1">
      <alignment vertical="center" wrapText="1"/>
    </xf>
    <xf numFmtId="41" fontId="4" fillId="0" borderId="1" xfId="1" applyFont="1" applyBorder="1" applyAlignment="1">
      <alignment vertical="center" wrapText="1"/>
    </xf>
    <xf numFmtId="41" fontId="4" fillId="4" borderId="1" xfId="1" applyFont="1" applyFill="1" applyBorder="1" applyAlignment="1">
      <alignment vertical="center" wrapText="1"/>
    </xf>
    <xf numFmtId="41" fontId="62" fillId="14" borderId="1" xfId="1" applyFont="1" applyFill="1" applyBorder="1" applyAlignment="1">
      <alignment vertical="center" wrapText="1"/>
    </xf>
    <xf numFmtId="0" fontId="5" fillId="0" borderId="1" xfId="0" quotePrefix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9" fillId="11" borderId="55" xfId="20" applyFont="1" applyFill="1" applyBorder="1" applyAlignment="1">
      <alignment horizontal="center" vertical="center"/>
    </xf>
    <xf numFmtId="0" fontId="51" fillId="0" borderId="50" xfId="20" applyFont="1" applyBorder="1" applyAlignment="1">
      <alignment horizontal="center" vertical="center"/>
    </xf>
    <xf numFmtId="0" fontId="31" fillId="0" borderId="50" xfId="20" applyFont="1" applyBorder="1" applyAlignment="1">
      <alignment horizontal="center" vertical="center"/>
    </xf>
    <xf numFmtId="0" fontId="39" fillId="0" borderId="50" xfId="20" applyFont="1" applyBorder="1" applyAlignment="1">
      <alignment horizontal="center" vertical="center"/>
    </xf>
    <xf numFmtId="0" fontId="39" fillId="11" borderId="50" xfId="20" applyFont="1" applyFill="1" applyBorder="1" applyAlignment="1">
      <alignment horizontal="center" vertical="center"/>
    </xf>
    <xf numFmtId="0" fontId="28" fillId="0" borderId="50" xfId="20" applyFont="1" applyBorder="1" applyAlignment="1">
      <alignment horizontal="center" vertical="center"/>
    </xf>
    <xf numFmtId="0" fontId="135" fillId="0" borderId="0" xfId="876" applyFont="1" applyFill="1"/>
    <xf numFmtId="0" fontId="135" fillId="0" borderId="1" xfId="876" applyFont="1" applyFill="1" applyBorder="1" applyAlignment="1">
      <alignment horizontal="center"/>
    </xf>
    <xf numFmtId="0" fontId="40" fillId="0" borderId="1" xfId="876" applyFont="1" applyFill="1" applyBorder="1" applyAlignment="1">
      <alignment horizontal="center"/>
    </xf>
    <xf numFmtId="42" fontId="40" fillId="0" borderId="1" xfId="10" applyNumberFormat="1" applyFont="1" applyFill="1" applyBorder="1" applyAlignment="1">
      <alignment horizontal="center" vertical="center"/>
    </xf>
    <xf numFmtId="256" fontId="40" fillId="0" borderId="1" xfId="10" applyNumberFormat="1" applyFont="1" applyFill="1" applyBorder="1" applyAlignment="1">
      <alignment horizontal="center" vertical="center"/>
    </xf>
    <xf numFmtId="189" fontId="40" fillId="0" borderId="1" xfId="10" applyNumberFormat="1" applyFont="1" applyFill="1" applyBorder="1" applyAlignment="1">
      <alignment vertical="center"/>
    </xf>
    <xf numFmtId="256" fontId="40" fillId="0" borderId="1" xfId="10" applyNumberFormat="1" applyFont="1" applyFill="1" applyBorder="1" applyAlignment="1">
      <alignment vertical="center"/>
    </xf>
    <xf numFmtId="257" fontId="40" fillId="0" borderId="1" xfId="10" applyNumberFormat="1" applyFont="1" applyFill="1" applyBorder="1" applyAlignment="1">
      <alignment horizontal="center" vertical="center"/>
    </xf>
    <xf numFmtId="0" fontId="40" fillId="0" borderId="1" xfId="876" applyFont="1" applyFill="1" applyBorder="1"/>
    <xf numFmtId="0" fontId="135" fillId="0" borderId="84" xfId="876" applyFont="1" applyFill="1" applyBorder="1" applyAlignment="1">
      <alignment horizontal="center"/>
    </xf>
    <xf numFmtId="41" fontId="135" fillId="0" borderId="85" xfId="10" applyFont="1" applyFill="1" applyBorder="1" applyAlignment="1">
      <alignment vertical="center"/>
    </xf>
    <xf numFmtId="256" fontId="135" fillId="0" borderId="9" xfId="10" applyNumberFormat="1" applyFont="1" applyFill="1" applyBorder="1" applyAlignment="1">
      <alignment horizontal="center" vertical="center"/>
    </xf>
    <xf numFmtId="189" fontId="135" fillId="0" borderId="1" xfId="10" applyNumberFormat="1" applyFont="1" applyFill="1" applyBorder="1" applyAlignment="1">
      <alignment horizontal="left" vertical="center"/>
    </xf>
    <xf numFmtId="256" fontId="135" fillId="0" borderId="1" xfId="10" applyNumberFormat="1" applyFont="1" applyFill="1" applyBorder="1" applyAlignment="1">
      <alignment vertical="center"/>
    </xf>
    <xf numFmtId="0" fontId="135" fillId="0" borderId="1" xfId="876" applyFont="1" applyFill="1" applyBorder="1" applyAlignment="1">
      <alignment vertical="center"/>
    </xf>
    <xf numFmtId="0" fontId="135" fillId="0" borderId="1" xfId="876" applyFont="1" applyFill="1" applyBorder="1"/>
    <xf numFmtId="41" fontId="40" fillId="20" borderId="84" xfId="10" applyFont="1" applyFill="1" applyBorder="1" applyAlignment="1">
      <alignment horizontal="center" vertical="center"/>
    </xf>
    <xf numFmtId="42" fontId="40" fillId="20" borderId="85" xfId="10" applyNumberFormat="1" applyFont="1" applyFill="1" applyBorder="1" applyAlignment="1">
      <alignment horizontal="center" vertical="center"/>
    </xf>
    <xf numFmtId="41" fontId="40" fillId="20" borderId="85" xfId="10" quotePrefix="1" applyFont="1" applyFill="1" applyBorder="1" applyAlignment="1">
      <alignment horizontal="center" vertical="center"/>
    </xf>
    <xf numFmtId="256" fontId="40" fillId="20" borderId="9" xfId="10" applyNumberFormat="1" applyFont="1" applyFill="1" applyBorder="1" applyAlignment="1">
      <alignment horizontal="center" vertical="center"/>
    </xf>
    <xf numFmtId="41" fontId="40" fillId="20" borderId="86" xfId="10" applyFont="1" applyFill="1" applyBorder="1" applyAlignment="1">
      <alignment horizontal="center" vertical="center"/>
    </xf>
    <xf numFmtId="42" fontId="40" fillId="20" borderId="0" xfId="10" applyNumberFormat="1" applyFont="1" applyFill="1" applyBorder="1" applyAlignment="1">
      <alignment horizontal="center" vertical="center"/>
    </xf>
    <xf numFmtId="41" fontId="40" fillId="20" borderId="0" xfId="10" quotePrefix="1" applyFont="1" applyFill="1" applyBorder="1" applyAlignment="1">
      <alignment horizontal="center" vertical="center"/>
    </xf>
    <xf numFmtId="256" fontId="40" fillId="20" borderId="87" xfId="10" applyNumberFormat="1" applyFont="1" applyFill="1" applyBorder="1" applyAlignment="1">
      <alignment horizontal="center" vertical="center"/>
    </xf>
    <xf numFmtId="42" fontId="40" fillId="20" borderId="86" xfId="10" applyNumberFormat="1" applyFont="1" applyFill="1" applyBorder="1" applyAlignment="1">
      <alignment horizontal="center" vertical="center"/>
    </xf>
    <xf numFmtId="189" fontId="40" fillId="0" borderId="1" xfId="10" applyNumberFormat="1" applyFont="1" applyFill="1" applyBorder="1" applyAlignment="1">
      <alignment horizontal="left" vertical="center"/>
    </xf>
    <xf numFmtId="0" fontId="40" fillId="20" borderId="88" xfId="876" applyFont="1" applyFill="1" applyBorder="1" applyAlignment="1">
      <alignment horizontal="center" vertical="center"/>
    </xf>
    <xf numFmtId="41" fontId="40" fillId="20" borderId="4" xfId="10" applyFont="1" applyFill="1" applyBorder="1" applyAlignment="1">
      <alignment horizontal="center" vertical="center"/>
    </xf>
    <xf numFmtId="41" fontId="40" fillId="20" borderId="4" xfId="10" quotePrefix="1" applyFont="1" applyFill="1" applyBorder="1" applyAlignment="1">
      <alignment horizontal="center" vertical="center"/>
    </xf>
    <xf numFmtId="256" fontId="40" fillId="20" borderId="8" xfId="10" applyNumberFormat="1" applyFont="1" applyFill="1" applyBorder="1" applyAlignment="1">
      <alignment horizontal="center" vertical="center"/>
    </xf>
    <xf numFmtId="189" fontId="135" fillId="0" borderId="1" xfId="10" applyNumberFormat="1" applyFont="1" applyFill="1" applyBorder="1" applyAlignment="1">
      <alignment vertical="center" wrapText="1"/>
    </xf>
    <xf numFmtId="0" fontId="40" fillId="20" borderId="1" xfId="876" quotePrefix="1" applyFont="1" applyFill="1" applyBorder="1" applyAlignment="1">
      <alignment horizontal="center" vertical="center" wrapText="1"/>
    </xf>
    <xf numFmtId="41" fontId="40" fillId="20" borderId="1" xfId="10" applyFont="1" applyFill="1" applyBorder="1" applyAlignment="1">
      <alignment horizontal="left" vertical="center"/>
    </xf>
    <xf numFmtId="0" fontId="40" fillId="20" borderId="1" xfId="10" applyNumberFormat="1" applyFont="1" applyFill="1" applyBorder="1" applyAlignment="1">
      <alignment vertical="center" shrinkToFit="1"/>
    </xf>
    <xf numFmtId="256" fontId="40" fillId="20" borderId="1" xfId="10" applyNumberFormat="1" applyFont="1" applyFill="1" applyBorder="1" applyAlignment="1">
      <alignment horizontal="center" vertical="center"/>
    </xf>
    <xf numFmtId="189" fontId="40" fillId="20" borderId="1" xfId="10" applyNumberFormat="1" applyFont="1" applyFill="1" applyBorder="1" applyAlignment="1">
      <alignment horizontal="left" indent="1"/>
    </xf>
    <xf numFmtId="256" fontId="40" fillId="20" borderId="1" xfId="10" applyNumberFormat="1" applyFont="1" applyFill="1" applyBorder="1"/>
    <xf numFmtId="0" fontId="135" fillId="20" borderId="1" xfId="10" applyNumberFormat="1" applyFont="1" applyFill="1" applyBorder="1" applyAlignment="1">
      <alignment vertical="center"/>
    </xf>
    <xf numFmtId="0" fontId="135" fillId="0" borderId="1" xfId="876" applyFont="1" applyBorder="1" applyAlignment="1">
      <alignment horizontal="center"/>
    </xf>
    <xf numFmtId="41" fontId="40" fillId="0" borderId="1" xfId="10" applyFont="1" applyBorder="1" applyAlignment="1">
      <alignment horizontal="left" vertical="center"/>
    </xf>
    <xf numFmtId="41" fontId="135" fillId="0" borderId="1" xfId="10" applyFont="1" applyBorder="1" applyAlignment="1">
      <alignment vertical="center"/>
    </xf>
    <xf numFmtId="256" fontId="135" fillId="0" borderId="1" xfId="10" applyNumberFormat="1" applyFont="1" applyBorder="1" applyAlignment="1">
      <alignment horizontal="center" vertical="center"/>
    </xf>
    <xf numFmtId="189" fontId="135" fillId="0" borderId="1" xfId="10" applyNumberFormat="1" applyFont="1" applyBorder="1" applyAlignment="1">
      <alignment horizontal="left" indent="1"/>
    </xf>
    <xf numFmtId="0" fontId="135" fillId="0" borderId="1" xfId="10" applyNumberFormat="1" applyFont="1" applyBorder="1" applyAlignment="1">
      <alignment vertical="center"/>
    </xf>
    <xf numFmtId="0" fontId="135" fillId="0" borderId="1" xfId="876" applyFont="1" applyBorder="1"/>
    <xf numFmtId="41" fontId="135" fillId="0" borderId="1" xfId="10" applyFont="1" applyBorder="1" applyAlignment="1">
      <alignment horizontal="left" vertical="center"/>
    </xf>
    <xf numFmtId="189" fontId="135" fillId="0" borderId="1" xfId="10" applyNumberFormat="1" applyFont="1" applyFill="1" applyBorder="1" applyAlignment="1">
      <alignment horizontal="left" indent="1"/>
    </xf>
    <xf numFmtId="256" fontId="135" fillId="0" borderId="1" xfId="10" applyNumberFormat="1" applyFont="1" applyFill="1" applyBorder="1" applyAlignment="1">
      <alignment horizontal="right" vertical="center"/>
    </xf>
    <xf numFmtId="41" fontId="40" fillId="0" borderId="1" xfId="10" quotePrefix="1" applyFont="1" applyBorder="1" applyAlignment="1">
      <alignment horizontal="left" vertical="center"/>
    </xf>
    <xf numFmtId="41" fontId="40" fillId="0" borderId="1" xfId="10" applyFont="1" applyBorder="1" applyAlignment="1">
      <alignment vertical="center"/>
    </xf>
    <xf numFmtId="41" fontId="135" fillId="0" borderId="1" xfId="10" applyFont="1" applyFill="1" applyBorder="1" applyAlignment="1">
      <alignment vertical="center"/>
    </xf>
    <xf numFmtId="41" fontId="135" fillId="0" borderId="1" xfId="10" applyFont="1" applyFill="1" applyBorder="1" applyAlignment="1">
      <alignment vertical="center" shrinkToFit="1"/>
    </xf>
    <xf numFmtId="256" fontId="135" fillId="0" borderId="1" xfId="10" applyNumberFormat="1" applyFont="1" applyFill="1" applyBorder="1" applyAlignment="1">
      <alignment horizontal="center" vertical="center"/>
    </xf>
    <xf numFmtId="189" fontId="135" fillId="0" borderId="1" xfId="10" applyNumberFormat="1" applyFont="1" applyFill="1" applyBorder="1" applyAlignment="1">
      <alignment horizontal="left" vertical="center" indent="1"/>
    </xf>
    <xf numFmtId="41" fontId="135" fillId="0" borderId="1" xfId="10" applyFont="1" applyFill="1" applyBorder="1" applyAlignment="1">
      <alignment horizontal="left" vertical="center" shrinkToFit="1"/>
    </xf>
    <xf numFmtId="41" fontId="135" fillId="0" borderId="1" xfId="10" applyFont="1" applyBorder="1" applyAlignment="1">
      <alignment vertical="center" shrinkToFit="1"/>
    </xf>
    <xf numFmtId="189" fontId="135" fillId="0" borderId="1" xfId="10" applyNumberFormat="1" applyFont="1" applyBorder="1" applyAlignment="1">
      <alignment horizontal="left" vertical="center" indent="1"/>
    </xf>
    <xf numFmtId="256" fontId="135" fillId="0" borderId="1" xfId="10" applyNumberFormat="1" applyFont="1" applyFill="1" applyBorder="1" applyAlignment="1">
      <alignment horizontal="left" vertical="center"/>
    </xf>
    <xf numFmtId="41" fontId="135" fillId="0" borderId="1" xfId="10" applyFont="1" applyBorder="1" applyAlignment="1">
      <alignment horizontal="left" vertical="center" shrinkToFit="1"/>
    </xf>
    <xf numFmtId="256" fontId="135" fillId="0" borderId="1" xfId="10" applyNumberFormat="1" applyFont="1" applyFill="1" applyBorder="1" applyAlignment="1">
      <alignment horizontal="right" vertical="center" indent="1"/>
    </xf>
    <xf numFmtId="256" fontId="135" fillId="0" borderId="1" xfId="10" applyNumberFormat="1" applyFont="1" applyFill="1" applyBorder="1" applyAlignment="1">
      <alignment horizontal="left" vertical="center" indent="1"/>
    </xf>
    <xf numFmtId="0" fontId="135" fillId="0" borderId="1" xfId="876" applyFont="1" applyBorder="1" applyAlignment="1">
      <alignment horizontal="center" vertical="center"/>
    </xf>
    <xf numFmtId="0" fontId="135" fillId="0" borderId="1" xfId="10" applyNumberFormat="1" applyFont="1" applyBorder="1" applyAlignment="1">
      <alignment horizontal="left" vertical="center"/>
    </xf>
    <xf numFmtId="0" fontId="135" fillId="0" borderId="1" xfId="876" applyFont="1" applyBorder="1" applyAlignment="1">
      <alignment vertical="center"/>
    </xf>
    <xf numFmtId="0" fontId="135" fillId="2" borderId="1" xfId="876" applyFont="1" applyFill="1" applyBorder="1" applyAlignment="1">
      <alignment horizontal="center"/>
    </xf>
    <xf numFmtId="41" fontId="135" fillId="2" borderId="1" xfId="10" applyFont="1" applyFill="1" applyBorder="1" applyAlignment="1">
      <alignment vertical="center"/>
    </xf>
    <xf numFmtId="256" fontId="136" fillId="2" borderId="1" xfId="877" applyNumberFormat="1" applyFont="1" applyFill="1" applyBorder="1" applyAlignment="1">
      <alignment horizontal="center" vertical="center"/>
    </xf>
    <xf numFmtId="0" fontId="135" fillId="2" borderId="1" xfId="10" applyNumberFormat="1" applyFont="1" applyFill="1" applyBorder="1" applyAlignment="1">
      <alignment horizontal="left" vertical="center"/>
    </xf>
    <xf numFmtId="256" fontId="135" fillId="2" borderId="1" xfId="10" applyNumberFormat="1" applyFont="1" applyFill="1" applyBorder="1" applyAlignment="1">
      <alignment vertical="center"/>
    </xf>
    <xf numFmtId="0" fontId="135" fillId="2" borderId="1" xfId="876" applyFont="1" applyFill="1" applyBorder="1" applyAlignment="1">
      <alignment vertical="center"/>
    </xf>
    <xf numFmtId="41" fontId="135" fillId="2" borderId="1" xfId="878" applyNumberFormat="1" applyFont="1" applyFill="1" applyBorder="1" applyAlignment="1">
      <alignment horizontal="left" vertical="center" shrinkToFit="1"/>
    </xf>
    <xf numFmtId="41" fontId="135" fillId="2" borderId="1" xfId="10" applyFont="1" applyFill="1" applyBorder="1" applyAlignment="1">
      <alignment horizontal="left" vertical="center" shrinkToFit="1"/>
    </xf>
    <xf numFmtId="256" fontId="135" fillId="2" borderId="1" xfId="878" applyNumberFormat="1" applyFont="1" applyFill="1" applyBorder="1" applyAlignment="1">
      <alignment horizontal="center" vertical="center"/>
    </xf>
    <xf numFmtId="0" fontId="135" fillId="2" borderId="1" xfId="7" applyFont="1" applyFill="1" applyBorder="1" applyAlignment="1">
      <alignment vertical="center" shrinkToFit="1"/>
    </xf>
    <xf numFmtId="41" fontId="135" fillId="2" borderId="1" xfId="10" applyFont="1" applyFill="1" applyBorder="1" applyAlignment="1">
      <alignment vertical="center" shrinkToFit="1"/>
    </xf>
    <xf numFmtId="256" fontId="135" fillId="2" borderId="1" xfId="10" applyNumberFormat="1" applyFont="1" applyFill="1" applyBorder="1" applyAlignment="1">
      <alignment horizontal="center" vertical="center"/>
    </xf>
    <xf numFmtId="0" fontId="135" fillId="2" borderId="1" xfId="876" applyNumberFormat="1" applyFont="1" applyFill="1" applyBorder="1" applyAlignment="1">
      <alignment horizontal="left" vertical="center"/>
    </xf>
    <xf numFmtId="41" fontId="135" fillId="0" borderId="1" xfId="10" applyFont="1" applyFill="1" applyBorder="1" applyAlignment="1">
      <alignment horizontal="left" vertical="center"/>
    </xf>
    <xf numFmtId="0" fontId="135" fillId="2" borderId="1" xfId="876" applyFont="1" applyFill="1" applyBorder="1"/>
    <xf numFmtId="41" fontId="135" fillId="2" borderId="1" xfId="10" applyFont="1" applyFill="1" applyBorder="1" applyAlignment="1">
      <alignment horizontal="left" vertical="center"/>
    </xf>
    <xf numFmtId="41" fontId="135" fillId="21" borderId="1" xfId="10" applyFont="1" applyFill="1" applyBorder="1" applyAlignment="1">
      <alignment vertical="center"/>
    </xf>
    <xf numFmtId="0" fontId="135" fillId="0" borderId="1" xfId="7" quotePrefix="1" applyFont="1" applyBorder="1" applyAlignment="1">
      <alignment vertical="center" shrinkToFit="1"/>
    </xf>
    <xf numFmtId="189" fontId="135" fillId="0" borderId="1" xfId="10" applyNumberFormat="1" applyFont="1" applyBorder="1" applyAlignment="1">
      <alignment vertical="center"/>
    </xf>
    <xf numFmtId="189" fontId="135" fillId="2" borderId="1" xfId="10" applyNumberFormat="1" applyFont="1" applyFill="1" applyBorder="1" applyAlignment="1">
      <alignment horizontal="left" vertical="center"/>
    </xf>
    <xf numFmtId="0" fontId="135" fillId="0" borderId="1" xfId="876" quotePrefix="1" applyFont="1" applyBorder="1" applyAlignment="1">
      <alignment horizontal="center"/>
    </xf>
    <xf numFmtId="0" fontId="135" fillId="22" borderId="84" xfId="876" applyFont="1" applyFill="1" applyBorder="1" applyAlignment="1">
      <alignment horizontal="center"/>
    </xf>
    <xf numFmtId="41" fontId="135" fillId="22" borderId="85" xfId="10" applyFont="1" applyFill="1" applyBorder="1" applyAlignment="1">
      <alignment vertical="center"/>
    </xf>
    <xf numFmtId="256" fontId="135" fillId="22" borderId="9" xfId="10" applyNumberFormat="1" applyFont="1" applyFill="1" applyBorder="1" applyAlignment="1">
      <alignment horizontal="center" vertical="center"/>
    </xf>
    <xf numFmtId="189" fontId="135" fillId="22" borderId="1" xfId="10" applyNumberFormat="1" applyFont="1" applyFill="1" applyBorder="1" applyAlignment="1">
      <alignment horizontal="left" vertical="center"/>
    </xf>
    <xf numFmtId="256" fontId="135" fillId="22" borderId="1" xfId="10" applyNumberFormat="1" applyFont="1" applyFill="1" applyBorder="1" applyAlignment="1">
      <alignment vertical="center"/>
    </xf>
    <xf numFmtId="0" fontId="135" fillId="22" borderId="1" xfId="876" applyFont="1" applyFill="1" applyBorder="1" applyAlignment="1">
      <alignment vertical="center"/>
    </xf>
    <xf numFmtId="0" fontId="135" fillId="22" borderId="1" xfId="876" applyFont="1" applyFill="1" applyBorder="1"/>
    <xf numFmtId="41" fontId="40" fillId="20" borderId="1" xfId="10" applyFont="1" applyFill="1" applyBorder="1" applyAlignment="1">
      <alignment horizontal="center" vertical="center"/>
    </xf>
    <xf numFmtId="41" fontId="135" fillId="0" borderId="1" xfId="10" applyFont="1" applyFill="1" applyBorder="1" applyAlignment="1" applyProtection="1">
      <alignment vertical="center"/>
    </xf>
    <xf numFmtId="189" fontId="135" fillId="0" borderId="1" xfId="10" applyNumberFormat="1" applyFont="1" applyFill="1" applyBorder="1" applyAlignment="1">
      <alignment vertical="center"/>
    </xf>
    <xf numFmtId="189" fontId="40" fillId="22" borderId="1" xfId="10" applyNumberFormat="1" applyFont="1" applyFill="1" applyBorder="1" applyAlignment="1">
      <alignment horizontal="left" vertical="center"/>
    </xf>
    <xf numFmtId="0" fontId="135" fillId="22" borderId="1" xfId="876" applyFont="1" applyFill="1" applyBorder="1" applyAlignment="1">
      <alignment horizontal="center"/>
    </xf>
    <xf numFmtId="41" fontId="135" fillId="22" borderId="1" xfId="10" applyFont="1" applyFill="1" applyBorder="1" applyAlignment="1">
      <alignment vertical="center"/>
    </xf>
    <xf numFmtId="41" fontId="135" fillId="22" borderId="1" xfId="10" applyFont="1" applyFill="1" applyBorder="1" applyAlignment="1" applyProtection="1">
      <alignment vertical="center"/>
    </xf>
    <xf numFmtId="256" fontId="135" fillId="22" borderId="1" xfId="10" applyNumberFormat="1" applyFont="1" applyFill="1" applyBorder="1" applyAlignment="1">
      <alignment horizontal="center" vertical="center"/>
    </xf>
    <xf numFmtId="189" fontId="135" fillId="22" borderId="1" xfId="10" applyNumberFormat="1" applyFont="1" applyFill="1" applyBorder="1" applyAlignment="1">
      <alignment vertical="center"/>
    </xf>
    <xf numFmtId="0" fontId="135" fillId="22" borderId="0" xfId="876" applyFont="1" applyFill="1"/>
    <xf numFmtId="41" fontId="135" fillId="0" borderId="7" xfId="10" applyFont="1" applyFill="1" applyBorder="1" applyAlignment="1">
      <alignment vertical="center"/>
    </xf>
    <xf numFmtId="41" fontId="135" fillId="0" borderId="2" xfId="10" applyFont="1" applyFill="1" applyBorder="1" applyAlignment="1">
      <alignment vertical="center"/>
    </xf>
    <xf numFmtId="189" fontId="135" fillId="0" borderId="2" xfId="10" applyNumberFormat="1" applyFont="1" applyFill="1" applyBorder="1" applyAlignment="1">
      <alignment horizontal="left" vertical="center"/>
    </xf>
    <xf numFmtId="0" fontId="40" fillId="0" borderId="0" xfId="876" applyFont="1" applyFill="1"/>
    <xf numFmtId="0" fontId="135" fillId="0" borderId="1" xfId="10" applyNumberFormat="1" applyFont="1" applyFill="1" applyBorder="1" applyAlignment="1">
      <alignment vertical="center"/>
    </xf>
    <xf numFmtId="0" fontId="40" fillId="20" borderId="0" xfId="876" applyFont="1" applyFill="1"/>
    <xf numFmtId="189" fontId="40" fillId="20" borderId="1" xfId="10" applyNumberFormat="1" applyFont="1" applyFill="1" applyBorder="1" applyAlignment="1">
      <alignment vertical="center"/>
    </xf>
    <xf numFmtId="256" fontId="40" fillId="20" borderId="1" xfId="10" applyNumberFormat="1" applyFont="1" applyFill="1" applyBorder="1" applyAlignment="1">
      <alignment vertical="center"/>
    </xf>
    <xf numFmtId="0" fontId="40" fillId="20" borderId="1" xfId="10" applyNumberFormat="1" applyFont="1" applyFill="1" applyBorder="1" applyAlignment="1">
      <alignment vertical="center"/>
    </xf>
    <xf numFmtId="0" fontId="135" fillId="0" borderId="0" xfId="876" applyFont="1"/>
    <xf numFmtId="0" fontId="135" fillId="0" borderId="1" xfId="876" applyFont="1" applyBorder="1" applyAlignment="1">
      <alignment horizontal="center" vertical="center" wrapText="1"/>
    </xf>
    <xf numFmtId="41" fontId="136" fillId="15" borderId="1" xfId="10" applyFont="1" applyFill="1" applyBorder="1" applyAlignment="1">
      <alignment vertical="center"/>
    </xf>
    <xf numFmtId="41" fontId="135" fillId="2" borderId="7" xfId="878" applyNumberFormat="1" applyFont="1" applyFill="1" applyBorder="1" applyAlignment="1">
      <alignment horizontal="left" vertical="center" shrinkToFit="1"/>
    </xf>
    <xf numFmtId="41" fontId="135" fillId="0" borderId="89" xfId="10" applyFont="1" applyBorder="1" applyAlignment="1">
      <alignment vertical="center"/>
    </xf>
    <xf numFmtId="41" fontId="135" fillId="2" borderId="7" xfId="10" applyFont="1" applyFill="1" applyBorder="1" applyAlignment="1">
      <alignment vertical="center"/>
    </xf>
    <xf numFmtId="0" fontId="135" fillId="2" borderId="0" xfId="876" applyNumberFormat="1" applyFont="1" applyFill="1" applyAlignment="1">
      <alignment horizontal="left" vertical="center"/>
    </xf>
    <xf numFmtId="2" fontId="135" fillId="2" borderId="1" xfId="10" applyNumberFormat="1" applyFont="1" applyFill="1" applyBorder="1" applyAlignment="1">
      <alignment horizontal="left" vertical="center" shrinkToFit="1"/>
    </xf>
    <xf numFmtId="256" fontId="137" fillId="0" borderId="1" xfId="10" applyNumberFormat="1" applyFont="1" applyFill="1" applyBorder="1" applyAlignment="1">
      <alignment vertical="center"/>
    </xf>
    <xf numFmtId="0" fontId="137" fillId="0" borderId="0" xfId="876" applyFont="1"/>
    <xf numFmtId="41" fontId="135" fillId="0" borderId="1" xfId="10" quotePrefix="1" applyFont="1" applyBorder="1" applyAlignment="1">
      <alignment vertical="center" shrinkToFit="1"/>
    </xf>
    <xf numFmtId="41" fontId="135" fillId="0" borderId="4" xfId="10" applyFont="1" applyBorder="1" applyAlignment="1">
      <alignment horizontal="left" vertical="center" shrinkToFit="1"/>
    </xf>
    <xf numFmtId="41" fontId="135" fillId="2" borderId="2" xfId="10" applyFont="1" applyFill="1" applyBorder="1" applyAlignment="1">
      <alignment vertical="center"/>
    </xf>
    <xf numFmtId="0" fontId="135" fillId="0" borderId="2" xfId="877" applyNumberFormat="1" applyFont="1" applyFill="1" applyBorder="1" applyAlignment="1" applyProtection="1">
      <alignment vertical="center"/>
    </xf>
    <xf numFmtId="0" fontId="135" fillId="0" borderId="2" xfId="10" applyNumberFormat="1" applyFont="1" applyFill="1" applyBorder="1" applyAlignment="1">
      <alignment horizontal="left" vertical="center" wrapText="1"/>
    </xf>
    <xf numFmtId="41" fontId="135" fillId="0" borderId="2" xfId="10" applyFont="1" applyBorder="1" applyAlignment="1">
      <alignment vertical="center"/>
    </xf>
    <xf numFmtId="0" fontId="135" fillId="2" borderId="1" xfId="10" applyNumberFormat="1" applyFont="1" applyFill="1" applyBorder="1" applyAlignment="1">
      <alignment vertical="center" shrinkToFit="1"/>
    </xf>
    <xf numFmtId="189" fontId="40" fillId="0" borderId="4" xfId="10" applyNumberFormat="1" applyFont="1" applyBorder="1" applyAlignment="1">
      <alignment vertical="center"/>
    </xf>
    <xf numFmtId="256" fontId="40" fillId="0" borderId="3" xfId="10" applyNumberFormat="1" applyFont="1" applyFill="1" applyBorder="1" applyAlignment="1">
      <alignment vertical="center"/>
    </xf>
    <xf numFmtId="257" fontId="40" fillId="0" borderId="3" xfId="10" applyNumberFormat="1" applyFont="1" applyBorder="1" applyAlignment="1">
      <alignment horizontal="center" vertical="center"/>
    </xf>
    <xf numFmtId="0" fontId="40" fillId="0" borderId="0" xfId="876" applyFont="1"/>
    <xf numFmtId="42" fontId="40" fillId="20" borderId="0" xfId="10" applyNumberFormat="1" applyFont="1" applyFill="1" applyAlignment="1">
      <alignment horizontal="center" vertical="center"/>
    </xf>
    <xf numFmtId="41" fontId="40" fillId="20" borderId="0" xfId="10" quotePrefix="1" applyFont="1" applyFill="1" applyAlignment="1">
      <alignment horizontal="center" vertical="center"/>
    </xf>
    <xf numFmtId="189" fontId="40" fillId="20" borderId="1" xfId="10" applyNumberFormat="1" applyFont="1" applyFill="1" applyBorder="1" applyAlignment="1">
      <alignment horizontal="left" vertical="center" indent="1"/>
    </xf>
    <xf numFmtId="257" fontId="40" fillId="20" borderId="3" xfId="10" applyNumberFormat="1" applyFont="1" applyFill="1" applyBorder="1" applyAlignment="1">
      <alignment horizontal="center" vertical="center"/>
    </xf>
    <xf numFmtId="256" fontId="135" fillId="0" borderId="1" xfId="10" applyNumberFormat="1" applyFont="1" applyFill="1" applyBorder="1"/>
    <xf numFmtId="42" fontId="40" fillId="0" borderId="1" xfId="10" applyNumberFormat="1" applyFont="1" applyBorder="1" applyAlignment="1">
      <alignment horizontal="center" vertical="center"/>
    </xf>
    <xf numFmtId="42" fontId="40" fillId="2" borderId="1" xfId="10" applyNumberFormat="1" applyFont="1" applyFill="1" applyBorder="1" applyAlignment="1">
      <alignment horizontal="center" vertical="center"/>
    </xf>
    <xf numFmtId="189" fontId="135" fillId="2" borderId="1" xfId="10" applyNumberFormat="1" applyFont="1" applyFill="1" applyBorder="1" applyAlignment="1">
      <alignment horizontal="left" indent="1"/>
    </xf>
    <xf numFmtId="257" fontId="40" fillId="2" borderId="3" xfId="10" applyNumberFormat="1" applyFont="1" applyFill="1" applyBorder="1" applyAlignment="1">
      <alignment horizontal="center" vertical="center"/>
    </xf>
    <xf numFmtId="0" fontId="40" fillId="0" borderId="1" xfId="10" applyNumberFormat="1" applyFont="1" applyBorder="1" applyAlignment="1">
      <alignment vertical="center"/>
    </xf>
    <xf numFmtId="256" fontId="135" fillId="0" borderId="1" xfId="878" applyNumberFormat="1" applyFont="1" applyBorder="1" applyAlignment="1">
      <alignment horizontal="center" vertical="center"/>
    </xf>
    <xf numFmtId="189" fontId="135" fillId="2" borderId="1" xfId="10" quotePrefix="1" applyNumberFormat="1" applyFont="1" applyFill="1" applyBorder="1" applyAlignment="1">
      <alignment horizontal="left" indent="1"/>
    </xf>
    <xf numFmtId="41" fontId="40" fillId="0" borderId="1" xfId="10" applyFont="1" applyBorder="1" applyAlignment="1">
      <alignment horizontal="left" vertical="center" shrinkToFit="1"/>
    </xf>
    <xf numFmtId="0" fontId="135" fillId="0" borderId="1" xfId="10" applyNumberFormat="1" applyFont="1" applyBorder="1" applyAlignment="1">
      <alignment vertical="center" shrinkToFit="1"/>
    </xf>
    <xf numFmtId="41" fontId="135" fillId="0" borderId="1" xfId="10" quotePrefix="1" applyFont="1" applyBorder="1" applyAlignment="1">
      <alignment horizontal="left" vertical="center"/>
    </xf>
    <xf numFmtId="41" fontId="135" fillId="2" borderId="4" xfId="10" applyFont="1" applyFill="1" applyBorder="1" applyAlignment="1">
      <alignment horizontal="left" vertical="center" shrinkToFit="1"/>
    </xf>
    <xf numFmtId="0" fontId="40" fillId="2" borderId="0" xfId="876" applyFont="1" applyFill="1"/>
    <xf numFmtId="0" fontId="135" fillId="2" borderId="0" xfId="876" applyFont="1" applyFill="1"/>
    <xf numFmtId="0" fontId="135" fillId="0" borderId="0" xfId="876" applyFont="1" applyFill="1" applyAlignment="1">
      <alignment horizontal="center"/>
    </xf>
    <xf numFmtId="42" fontId="135" fillId="0" borderId="0" xfId="10" applyNumberFormat="1" applyFont="1" applyFill="1" applyAlignment="1">
      <alignment horizontal="left"/>
    </xf>
    <xf numFmtId="42" fontId="135" fillId="0" borderId="0" xfId="876" applyNumberFormat="1" applyFont="1" applyFill="1" applyAlignment="1"/>
    <xf numFmtId="256" fontId="135" fillId="0" borderId="0" xfId="876" applyNumberFormat="1" applyFont="1" applyFill="1" applyAlignment="1">
      <alignment horizontal="center"/>
    </xf>
    <xf numFmtId="189" fontId="135" fillId="0" borderId="0" xfId="10" applyNumberFormat="1" applyFont="1" applyFill="1" applyBorder="1" applyAlignment="1">
      <alignment vertical="center"/>
    </xf>
    <xf numFmtId="256" fontId="135" fillId="0" borderId="0" xfId="10" applyNumberFormat="1" applyFont="1" applyFill="1" applyAlignment="1">
      <alignment vertical="center"/>
    </xf>
    <xf numFmtId="0" fontId="135" fillId="0" borderId="0" xfId="876" applyFont="1" applyFill="1" applyAlignment="1">
      <alignment vertical="center"/>
    </xf>
    <xf numFmtId="1" fontId="46" fillId="0" borderId="0" xfId="877" applyFont="1" applyFill="1" applyAlignment="1">
      <alignment vertical="center"/>
    </xf>
    <xf numFmtId="1" fontId="177" fillId="0" borderId="4" xfId="877" applyFont="1" applyFill="1" applyBorder="1" applyAlignment="1">
      <alignment horizontal="left" vertical="center"/>
    </xf>
    <xf numFmtId="0" fontId="174" fillId="0" borderId="4" xfId="872" applyFont="1" applyFill="1" applyBorder="1" applyAlignment="1">
      <alignment horizontal="center" vertical="center"/>
    </xf>
    <xf numFmtId="1" fontId="153" fillId="0" borderId="1" xfId="877" applyFont="1" applyFill="1" applyBorder="1" applyAlignment="1">
      <alignment horizontal="center" vertical="center"/>
    </xf>
    <xf numFmtId="1" fontId="179" fillId="0" borderId="1" xfId="877" applyFont="1" applyFill="1" applyBorder="1" applyAlignment="1">
      <alignment horizontal="center" vertical="center"/>
    </xf>
    <xf numFmtId="41" fontId="179" fillId="0" borderId="1" xfId="1839" applyFont="1" applyFill="1" applyBorder="1" applyAlignment="1">
      <alignment horizontal="center" vertical="center"/>
    </xf>
    <xf numFmtId="1" fontId="153" fillId="0" borderId="0" xfId="877" applyFont="1" applyFill="1" applyAlignment="1">
      <alignment vertical="center"/>
    </xf>
    <xf numFmtId="0" fontId="46" fillId="0" borderId="0" xfId="877" applyNumberFormat="1" applyFont="1" applyFill="1" applyAlignment="1">
      <alignment vertical="center"/>
    </xf>
    <xf numFmtId="1" fontId="177" fillId="0" borderId="1" xfId="877" applyFont="1" applyFill="1" applyBorder="1" applyAlignment="1">
      <alignment horizontal="center" vertical="center"/>
    </xf>
    <xf numFmtId="41" fontId="177" fillId="0" borderId="1" xfId="1839" applyFont="1" applyFill="1" applyBorder="1" applyAlignment="1">
      <alignment vertical="center"/>
    </xf>
    <xf numFmtId="41" fontId="177" fillId="0" borderId="1" xfId="1839" applyFont="1" applyFill="1" applyBorder="1" applyAlignment="1">
      <alignment horizontal="center" vertical="center"/>
    </xf>
    <xf numFmtId="1" fontId="177" fillId="0" borderId="1" xfId="877" applyFont="1" applyFill="1" applyBorder="1" applyAlignment="1">
      <alignment vertical="center"/>
    </xf>
    <xf numFmtId="1" fontId="46" fillId="0" borderId="1" xfId="877" applyFont="1" applyFill="1" applyBorder="1" applyAlignment="1">
      <alignment horizontal="center" vertical="center"/>
    </xf>
    <xf numFmtId="41" fontId="46" fillId="0" borderId="1" xfId="1839" applyFont="1" applyFill="1" applyBorder="1" applyAlignment="1">
      <alignment vertical="center"/>
    </xf>
    <xf numFmtId="41" fontId="46" fillId="0" borderId="1" xfId="1839" applyFont="1" applyFill="1" applyBorder="1" applyAlignment="1">
      <alignment horizontal="center" vertical="center"/>
    </xf>
    <xf numFmtId="1" fontId="46" fillId="0" borderId="1" xfId="877" applyFont="1" applyFill="1" applyBorder="1" applyAlignment="1">
      <alignment vertical="center"/>
    </xf>
    <xf numFmtId="0" fontId="183" fillId="0" borderId="0" xfId="877" applyNumberFormat="1" applyFont="1" applyFill="1" applyBorder="1" applyAlignment="1" applyProtection="1">
      <alignment vertical="center"/>
    </xf>
    <xf numFmtId="1" fontId="183" fillId="0" borderId="1" xfId="877" applyFont="1" applyFill="1" applyBorder="1" applyAlignment="1">
      <alignment horizontal="center" vertical="center"/>
    </xf>
    <xf numFmtId="41" fontId="183" fillId="0" borderId="1" xfId="1839" applyFont="1" applyFill="1" applyBorder="1" applyAlignment="1">
      <alignment vertical="center"/>
    </xf>
    <xf numFmtId="41" fontId="183" fillId="0" borderId="1" xfId="1839" applyFont="1" applyFill="1" applyBorder="1" applyAlignment="1">
      <alignment horizontal="center" vertical="center"/>
    </xf>
    <xf numFmtId="1" fontId="183" fillId="0" borderId="1" xfId="877" applyFont="1" applyFill="1" applyBorder="1" applyAlignment="1">
      <alignment vertical="center"/>
    </xf>
    <xf numFmtId="1" fontId="183" fillId="0" borderId="0" xfId="877" applyFont="1" applyFill="1" applyAlignment="1">
      <alignment vertical="center"/>
    </xf>
    <xf numFmtId="1" fontId="184" fillId="0" borderId="1" xfId="877" applyFont="1" applyFill="1" applyBorder="1" applyAlignment="1">
      <alignment horizontal="center" vertical="center"/>
    </xf>
    <xf numFmtId="41" fontId="184" fillId="0" borderId="1" xfId="1839" applyFont="1" applyFill="1" applyBorder="1" applyAlignment="1">
      <alignment horizontal="center" vertical="center"/>
    </xf>
    <xf numFmtId="41" fontId="183" fillId="0" borderId="0" xfId="1839" applyFont="1" applyFill="1" applyBorder="1" applyAlignment="1">
      <alignment vertical="center"/>
    </xf>
    <xf numFmtId="1" fontId="183" fillId="0" borderId="0" xfId="877" applyFont="1" applyFill="1" applyBorder="1" applyAlignment="1">
      <alignment vertical="center"/>
    </xf>
    <xf numFmtId="1" fontId="184" fillId="0" borderId="0" xfId="877" applyFont="1" applyFill="1" applyAlignment="1">
      <alignment vertical="center"/>
    </xf>
    <xf numFmtId="0" fontId="185" fillId="0" borderId="1" xfId="872" applyFont="1" applyFill="1" applyBorder="1" applyAlignment="1">
      <alignment horizontal="center" vertical="center"/>
    </xf>
    <xf numFmtId="0" fontId="136" fillId="0" borderId="0" xfId="872" applyFont="1" applyFill="1"/>
    <xf numFmtId="0" fontId="177" fillId="0" borderId="0" xfId="872" applyFont="1" applyAlignment="1">
      <alignment vertical="center"/>
    </xf>
    <xf numFmtId="0" fontId="177" fillId="0" borderId="0" xfId="872" applyFont="1"/>
    <xf numFmtId="41" fontId="177" fillId="0" borderId="4" xfId="877" applyNumberFormat="1" applyFont="1" applyBorder="1" applyAlignment="1">
      <alignment horizontal="left" vertical="center"/>
    </xf>
    <xf numFmtId="0" fontId="188" fillId="0" borderId="0" xfId="872" applyFont="1" applyAlignment="1">
      <alignment horizontal="center" vertical="center"/>
    </xf>
    <xf numFmtId="0" fontId="188" fillId="0" borderId="4" xfId="872" applyFont="1" applyBorder="1" applyAlignment="1">
      <alignment horizontal="center" vertical="center"/>
    </xf>
    <xf numFmtId="1" fontId="179" fillId="0" borderId="1" xfId="877" applyFont="1" applyBorder="1" applyAlignment="1">
      <alignment horizontal="center" vertical="center"/>
    </xf>
    <xf numFmtId="37" fontId="179" fillId="0" borderId="1" xfId="877" applyNumberFormat="1" applyFont="1" applyBorder="1" applyAlignment="1">
      <alignment horizontal="center" vertical="center"/>
    </xf>
    <xf numFmtId="0" fontId="177" fillId="0" borderId="1" xfId="877" applyNumberFormat="1" applyFont="1" applyBorder="1" applyAlignment="1">
      <alignment horizontal="center" vertical="center"/>
    </xf>
    <xf numFmtId="0" fontId="177" fillId="0" borderId="1" xfId="877" applyNumberFormat="1" applyFont="1" applyBorder="1" applyAlignment="1">
      <alignment horizontal="left" vertical="center"/>
    </xf>
    <xf numFmtId="0" fontId="177" fillId="0" borderId="1" xfId="877" applyNumberFormat="1" applyFont="1" applyBorder="1" applyAlignment="1">
      <alignment vertical="center"/>
    </xf>
    <xf numFmtId="300" fontId="177" fillId="0" borderId="1" xfId="877" applyNumberFormat="1" applyFont="1" applyBorder="1" applyAlignment="1">
      <alignment vertical="center"/>
    </xf>
    <xf numFmtId="301" fontId="177" fillId="0" borderId="1" xfId="877" applyNumberFormat="1" applyFont="1" applyBorder="1" applyAlignment="1">
      <alignment vertical="center"/>
    </xf>
    <xf numFmtId="0" fontId="177" fillId="0" borderId="0" xfId="872" quotePrefix="1" applyFont="1" applyAlignment="1">
      <alignment vertical="center"/>
    </xf>
    <xf numFmtId="10" fontId="177" fillId="0" borderId="1" xfId="877" applyNumberFormat="1" applyFont="1" applyBorder="1" applyAlignment="1">
      <alignment vertical="center"/>
    </xf>
    <xf numFmtId="0" fontId="177" fillId="0" borderId="1" xfId="872" applyFont="1" applyBorder="1" applyAlignment="1">
      <alignment horizontal="left" vertical="center" wrapText="1"/>
    </xf>
    <xf numFmtId="0" fontId="189" fillId="0" borderId="1" xfId="2450" applyFont="1" applyBorder="1" applyAlignment="1">
      <alignment horizontal="center" vertical="center"/>
    </xf>
    <xf numFmtId="41" fontId="177" fillId="0" borderId="1" xfId="1839" applyFont="1" applyBorder="1" applyAlignment="1">
      <alignment vertical="center"/>
    </xf>
    <xf numFmtId="300" fontId="177" fillId="0" borderId="1" xfId="877" applyNumberFormat="1" applyFont="1" applyBorder="1" applyAlignment="1">
      <alignment horizontal="left" vertical="center"/>
    </xf>
    <xf numFmtId="301" fontId="177" fillId="0" borderId="1" xfId="877" applyNumberFormat="1" applyFont="1" applyBorder="1" applyAlignment="1">
      <alignment horizontal="left" vertical="center"/>
    </xf>
    <xf numFmtId="0" fontId="177" fillId="0" borderId="0" xfId="872" quotePrefix="1" applyFont="1" applyAlignment="1">
      <alignment horizontal="right" vertical="center"/>
    </xf>
    <xf numFmtId="0" fontId="177" fillId="0" borderId="0" xfId="872" applyFont="1" applyAlignment="1">
      <alignment horizontal="left"/>
    </xf>
    <xf numFmtId="0" fontId="177" fillId="0" borderId="0" xfId="872" quotePrefix="1" applyFont="1" applyAlignment="1">
      <alignment horizontal="left" vertical="center"/>
    </xf>
    <xf numFmtId="41" fontId="177" fillId="0" borderId="1" xfId="1839" applyFont="1" applyBorder="1" applyAlignment="1">
      <alignment horizontal="left" vertical="center"/>
    </xf>
    <xf numFmtId="0" fontId="177" fillId="0" borderId="91" xfId="872" applyFont="1" applyBorder="1" applyAlignment="1">
      <alignment horizontal="left" vertical="center" wrapText="1"/>
    </xf>
    <xf numFmtId="256" fontId="177" fillId="0" borderId="1" xfId="1839" applyNumberFormat="1" applyFont="1" applyBorder="1" applyAlignment="1">
      <alignment vertical="center"/>
    </xf>
    <xf numFmtId="41" fontId="46" fillId="15" borderId="1" xfId="1839" applyFont="1" applyFill="1" applyBorder="1" applyAlignment="1">
      <alignment vertical="center"/>
    </xf>
    <xf numFmtId="302" fontId="108" fillId="0" borderId="1" xfId="1839" applyNumberFormat="1" applyFont="1" applyBorder="1" applyAlignment="1">
      <alignment vertical="center"/>
    </xf>
    <xf numFmtId="0" fontId="46" fillId="0" borderId="1" xfId="1839" applyNumberFormat="1" applyFont="1" applyBorder="1" applyAlignment="1">
      <alignment horizontal="center" vertical="center"/>
    </xf>
    <xf numFmtId="41" fontId="177" fillId="15" borderId="1" xfId="1839" applyFont="1" applyFill="1" applyBorder="1" applyAlignment="1">
      <alignment vertical="center"/>
    </xf>
    <xf numFmtId="0" fontId="177" fillId="0" borderId="1" xfId="872" quotePrefix="1" applyFont="1" applyBorder="1" applyAlignment="1">
      <alignment vertical="center" wrapText="1"/>
    </xf>
    <xf numFmtId="0" fontId="177" fillId="0" borderId="1" xfId="877" applyNumberFormat="1" applyFont="1" applyBorder="1" applyAlignment="1">
      <alignment horizontal="left" vertical="center" shrinkToFit="1"/>
    </xf>
    <xf numFmtId="14" fontId="177" fillId="0" borderId="1" xfId="1839" applyNumberFormat="1" applyFont="1" applyBorder="1" applyAlignment="1">
      <alignment horizontal="left" vertical="center" wrapText="1"/>
    </xf>
    <xf numFmtId="14" fontId="177" fillId="0" borderId="1" xfId="1839" applyNumberFormat="1" applyFont="1" applyBorder="1" applyAlignment="1">
      <alignment vertical="center" wrapText="1"/>
    </xf>
    <xf numFmtId="41" fontId="177" fillId="0" borderId="1" xfId="1839" applyFont="1" applyBorder="1" applyAlignment="1">
      <alignment horizontal="left" vertical="center" shrinkToFit="1"/>
    </xf>
    <xf numFmtId="0" fontId="177" fillId="0" borderId="1" xfId="878" applyFont="1" applyBorder="1" applyAlignment="1">
      <alignment vertical="center" shrinkToFit="1"/>
    </xf>
    <xf numFmtId="2" fontId="177" fillId="0" borderId="1" xfId="877" applyNumberFormat="1" applyFont="1" applyBorder="1" applyAlignment="1">
      <alignment vertical="center"/>
    </xf>
    <xf numFmtId="0" fontId="177" fillId="0" borderId="1" xfId="1839" applyNumberFormat="1" applyFont="1" applyBorder="1" applyAlignment="1">
      <alignment horizontal="left" vertical="center"/>
    </xf>
    <xf numFmtId="0" fontId="177" fillId="0" borderId="1" xfId="872" quotePrefix="1" applyFont="1" applyBorder="1" applyAlignment="1">
      <alignment horizontal="left" vertical="center" wrapText="1"/>
    </xf>
    <xf numFmtId="300" fontId="177" fillId="0" borderId="1" xfId="1839" applyNumberFormat="1" applyFont="1" applyBorder="1" applyAlignment="1">
      <alignment vertical="center"/>
    </xf>
    <xf numFmtId="41" fontId="190" fillId="0" borderId="1" xfId="1839" applyFont="1" applyBorder="1" applyAlignment="1">
      <alignment horizontal="left" vertical="center"/>
    </xf>
    <xf numFmtId="41" fontId="46" fillId="15" borderId="2" xfId="1839" applyFont="1" applyFill="1" applyBorder="1" applyAlignment="1">
      <alignment vertical="center"/>
    </xf>
    <xf numFmtId="41" fontId="177" fillId="0" borderId="2" xfId="1839" applyFont="1" applyBorder="1" applyAlignment="1">
      <alignment vertical="center"/>
    </xf>
    <xf numFmtId="0" fontId="177" fillId="0" borderId="7" xfId="877" applyNumberFormat="1" applyFont="1" applyBorder="1" applyAlignment="1">
      <alignment horizontal="left" vertical="center"/>
    </xf>
    <xf numFmtId="0" fontId="46" fillId="0" borderId="7" xfId="2455" applyFont="1" applyBorder="1" applyAlignment="1">
      <alignment horizontal="left" vertical="center"/>
    </xf>
    <xf numFmtId="0" fontId="46" fillId="0" borderId="1" xfId="872" applyFont="1" applyBorder="1" applyAlignment="1">
      <alignment horizontal="center" vertical="center"/>
    </xf>
    <xf numFmtId="0" fontId="177" fillId="0" borderId="1" xfId="872" applyFont="1" applyBorder="1" applyAlignment="1">
      <alignment vertical="center" wrapText="1"/>
    </xf>
    <xf numFmtId="0" fontId="146" fillId="0" borderId="1" xfId="2450" applyFont="1" applyBorder="1" applyAlignment="1">
      <alignment horizontal="left" vertical="center" shrinkToFit="1"/>
    </xf>
    <xf numFmtId="0" fontId="146" fillId="0" borderId="1" xfId="2450" applyFont="1" applyBorder="1" applyAlignment="1">
      <alignment horizontal="center" vertical="center"/>
    </xf>
    <xf numFmtId="302" fontId="177" fillId="0" borderId="1" xfId="1839" applyNumberFormat="1" applyFont="1" applyBorder="1" applyAlignment="1">
      <alignment vertical="center"/>
    </xf>
    <xf numFmtId="256" fontId="146" fillId="0" borderId="1" xfId="1839" applyNumberFormat="1" applyFont="1" applyBorder="1" applyAlignment="1">
      <alignment vertical="center"/>
    </xf>
    <xf numFmtId="303" fontId="146" fillId="0" borderId="3" xfId="1839" applyNumberFormat="1" applyFont="1" applyBorder="1" applyAlignment="1">
      <alignment vertical="center"/>
    </xf>
    <xf numFmtId="303" fontId="146" fillId="0" borderId="0" xfId="1839" applyNumberFormat="1" applyFont="1" applyAlignment="1">
      <alignment vertical="center"/>
    </xf>
    <xf numFmtId="0" fontId="177" fillId="0" borderId="70" xfId="2450" applyFont="1" applyBorder="1" applyAlignment="1">
      <alignment vertical="center"/>
    </xf>
    <xf numFmtId="0" fontId="177" fillId="0" borderId="1" xfId="2450" applyFont="1" applyBorder="1" applyAlignment="1">
      <alignment horizontal="left" vertical="center" shrinkToFit="1"/>
    </xf>
    <xf numFmtId="0" fontId="177" fillId="0" borderId="2" xfId="2450" applyFont="1" applyBorder="1" applyAlignment="1">
      <alignment horizontal="center" vertical="center"/>
    </xf>
    <xf numFmtId="49" fontId="177" fillId="0" borderId="70" xfId="872" applyNumberFormat="1" applyFont="1" applyBorder="1" applyAlignment="1">
      <alignment vertical="center"/>
    </xf>
    <xf numFmtId="49" fontId="177" fillId="0" borderId="1" xfId="2452" applyNumberFormat="1" applyFont="1" applyBorder="1" applyAlignment="1">
      <alignment horizontal="left" vertical="center" shrinkToFit="1"/>
    </xf>
    <xf numFmtId="183" fontId="177" fillId="0" borderId="2" xfId="2451" applyNumberFormat="1" applyFont="1" applyBorder="1" applyAlignment="1">
      <alignment horizontal="center" vertical="center"/>
    </xf>
    <xf numFmtId="0" fontId="177" fillId="0" borderId="1" xfId="2450" applyFont="1" applyBorder="1" applyAlignment="1">
      <alignment horizontal="center" vertical="center"/>
    </xf>
    <xf numFmtId="303" fontId="177" fillId="0" borderId="1" xfId="1839" applyNumberFormat="1" applyFont="1" applyBorder="1" applyAlignment="1">
      <alignment vertical="center"/>
    </xf>
    <xf numFmtId="303" fontId="177" fillId="0" borderId="3" xfId="1839" applyNumberFormat="1" applyFont="1" applyBorder="1" applyAlignment="1">
      <alignment vertical="center"/>
    </xf>
    <xf numFmtId="303" fontId="177" fillId="0" borderId="0" xfId="1839" applyNumberFormat="1" applyFont="1" applyAlignment="1">
      <alignment vertical="center"/>
    </xf>
    <xf numFmtId="304" fontId="177" fillId="0" borderId="1" xfId="1839" applyNumberFormat="1" applyFont="1" applyBorder="1" applyAlignment="1">
      <alignment vertical="center"/>
    </xf>
    <xf numFmtId="49" fontId="177" fillId="0" borderId="70" xfId="2450" applyNumberFormat="1" applyFont="1" applyBorder="1" applyAlignment="1">
      <alignment vertical="center"/>
    </xf>
    <xf numFmtId="49" fontId="177" fillId="0" borderId="1" xfId="2450" applyNumberFormat="1" applyFont="1" applyBorder="1" applyAlignment="1">
      <alignment horizontal="left" vertical="center" shrinkToFit="1"/>
    </xf>
    <xf numFmtId="49" fontId="177" fillId="0" borderId="1" xfId="2450" applyNumberFormat="1" applyFont="1" applyBorder="1" applyAlignment="1">
      <alignment horizontal="left" vertical="center"/>
    </xf>
    <xf numFmtId="0" fontId="189" fillId="0" borderId="70" xfId="2450" applyFont="1" applyBorder="1" applyAlignment="1">
      <alignment vertical="center"/>
    </xf>
    <xf numFmtId="0" fontId="189" fillId="0" borderId="1" xfId="2450" applyFont="1" applyBorder="1" applyAlignment="1">
      <alignment horizontal="left" vertical="center" shrinkToFit="1"/>
    </xf>
    <xf numFmtId="304" fontId="189" fillId="0" borderId="1" xfId="1839" applyNumberFormat="1" applyFont="1" applyBorder="1" applyAlignment="1">
      <alignment vertical="center"/>
    </xf>
    <xf numFmtId="0" fontId="146" fillId="0" borderId="1" xfId="872" applyFont="1" applyBorder="1" applyAlignment="1">
      <alignment horizontal="center" vertical="center"/>
    </xf>
    <xf numFmtId="41" fontId="46" fillId="15" borderId="1" xfId="1839" applyFont="1" applyFill="1" applyBorder="1" applyAlignment="1">
      <alignment horizontal="center" vertical="center"/>
    </xf>
    <xf numFmtId="0" fontId="177" fillId="0" borderId="1" xfId="872" applyFont="1" applyBorder="1" applyAlignment="1">
      <alignment horizontal="center" vertical="center" wrapText="1"/>
    </xf>
    <xf numFmtId="41" fontId="177" fillId="15" borderId="1" xfId="1839" applyFont="1" applyFill="1" applyBorder="1" applyAlignment="1">
      <alignment horizontal="center" vertical="center"/>
    </xf>
    <xf numFmtId="0" fontId="177" fillId="15" borderId="1" xfId="878" applyFont="1" applyFill="1" applyBorder="1" applyAlignment="1">
      <alignment horizontal="center" vertical="center"/>
    </xf>
    <xf numFmtId="0" fontId="177" fillId="0" borderId="1" xfId="877" quotePrefix="1" applyNumberFormat="1" applyFont="1" applyBorder="1" applyAlignment="1">
      <alignment horizontal="left" vertical="center"/>
    </xf>
    <xf numFmtId="0" fontId="190" fillId="0" borderId="1" xfId="877" applyNumberFormat="1" applyFont="1" applyBorder="1" applyAlignment="1">
      <alignment vertical="center"/>
    </xf>
    <xf numFmtId="0" fontId="177" fillId="15" borderId="1" xfId="1839" applyNumberFormat="1" applyFont="1" applyFill="1" applyBorder="1" applyAlignment="1">
      <alignment horizontal="left" vertical="center" shrinkToFit="1"/>
    </xf>
    <xf numFmtId="0" fontId="46" fillId="0" borderId="1" xfId="1839" applyNumberFormat="1" applyFont="1" applyBorder="1" applyAlignment="1">
      <alignment horizontal="left" vertical="center" shrinkToFit="1"/>
    </xf>
    <xf numFmtId="41" fontId="177" fillId="0" borderId="89" xfId="1839" applyFont="1" applyBorder="1" applyAlignment="1">
      <alignment vertical="center"/>
    </xf>
    <xf numFmtId="41" fontId="177" fillId="0" borderId="1" xfId="1839" applyFont="1" applyBorder="1" applyAlignment="1">
      <alignment horizontal="center" vertical="center"/>
    </xf>
    <xf numFmtId="0" fontId="136" fillId="0" borderId="0" xfId="872" applyFont="1" applyFill="1" applyProtection="1"/>
    <xf numFmtId="0" fontId="136" fillId="0" borderId="0" xfId="872" applyFont="1" applyFill="1" applyAlignment="1" applyProtection="1">
      <alignment horizontal="left"/>
    </xf>
    <xf numFmtId="0" fontId="135" fillId="0" borderId="0" xfId="872" applyFont="1" applyFill="1"/>
    <xf numFmtId="0" fontId="196" fillId="15" borderId="0" xfId="872" applyFont="1" applyFill="1"/>
    <xf numFmtId="0" fontId="196" fillId="15" borderId="0" xfId="872" applyFont="1" applyFill="1" applyBorder="1" applyAlignment="1">
      <alignment horizontal="center"/>
    </xf>
    <xf numFmtId="0" fontId="196" fillId="0" borderId="0" xfId="872" applyFont="1" applyFill="1"/>
    <xf numFmtId="0" fontId="195" fillId="15" borderId="4" xfId="872" applyFont="1" applyFill="1" applyBorder="1" applyAlignment="1">
      <alignment horizontal="center" vertical="center"/>
    </xf>
    <xf numFmtId="0" fontId="195" fillId="0" borderId="4" xfId="872" applyFont="1" applyFill="1" applyBorder="1" applyAlignment="1">
      <alignment horizontal="center" vertical="center"/>
    </xf>
    <xf numFmtId="0" fontId="195" fillId="0" borderId="4" xfId="872" applyFont="1" applyFill="1" applyBorder="1" applyAlignment="1">
      <alignment horizontal="right" vertical="center"/>
    </xf>
    <xf numFmtId="0" fontId="195" fillId="15" borderId="0" xfId="872" applyFont="1" applyFill="1" applyBorder="1" applyAlignment="1">
      <alignment horizontal="center" vertical="center"/>
    </xf>
    <xf numFmtId="0" fontId="40" fillId="15" borderId="4" xfId="872" applyFont="1" applyFill="1" applyBorder="1" applyAlignment="1">
      <alignment horizontal="center" vertical="center"/>
    </xf>
    <xf numFmtId="0" fontId="197" fillId="0" borderId="0" xfId="872" applyFont="1" applyFill="1"/>
    <xf numFmtId="0" fontId="197" fillId="15" borderId="0" xfId="872" applyFont="1" applyFill="1"/>
    <xf numFmtId="0" fontId="197" fillId="15" borderId="0" xfId="872" applyFont="1" applyFill="1" applyBorder="1" applyAlignment="1">
      <alignment horizontal="center"/>
    </xf>
    <xf numFmtId="0" fontId="197" fillId="0" borderId="1" xfId="872" applyFont="1" applyFill="1" applyBorder="1" applyAlignment="1">
      <alignment horizontal="center" vertical="center"/>
    </xf>
    <xf numFmtId="10" fontId="197" fillId="15" borderId="0" xfId="872" applyNumberFormat="1" applyFont="1" applyFill="1"/>
    <xf numFmtId="0" fontId="136" fillId="0" borderId="0" xfId="877" applyNumberFormat="1" applyFont="1" applyFill="1" applyBorder="1" applyAlignment="1" applyProtection="1">
      <alignment vertical="center"/>
    </xf>
    <xf numFmtId="0" fontId="177" fillId="0" borderId="1" xfId="872" applyFont="1" applyBorder="1" applyAlignment="1">
      <alignment horizontal="center" vertical="center"/>
    </xf>
    <xf numFmtId="41" fontId="177" fillId="0" borderId="1" xfId="1839" applyFont="1" applyBorder="1" applyAlignment="1">
      <alignment horizontal="right" vertical="center"/>
    </xf>
    <xf numFmtId="41" fontId="136" fillId="15" borderId="1" xfId="1839" applyFont="1" applyFill="1" applyBorder="1" applyAlignment="1">
      <alignment vertical="center"/>
    </xf>
    <xf numFmtId="9" fontId="136" fillId="15" borderId="1" xfId="872" applyNumberFormat="1" applyFont="1" applyFill="1" applyBorder="1" applyAlignment="1">
      <alignment vertical="center"/>
    </xf>
    <xf numFmtId="0" fontId="136" fillId="15" borderId="0" xfId="872" applyFont="1" applyFill="1"/>
    <xf numFmtId="0" fontId="136" fillId="15" borderId="0" xfId="872" applyFont="1" applyFill="1" applyBorder="1" applyAlignment="1">
      <alignment horizontal="center"/>
    </xf>
    <xf numFmtId="0" fontId="136" fillId="15" borderId="1" xfId="872" applyFont="1" applyFill="1" applyBorder="1" applyAlignment="1">
      <alignment vertical="center"/>
    </xf>
    <xf numFmtId="41" fontId="12" fillId="0" borderId="1" xfId="1839" applyFont="1" applyFill="1" applyBorder="1" applyAlignment="1">
      <alignment horizontal="right" vertical="center"/>
    </xf>
    <xf numFmtId="183" fontId="12" fillId="0" borderId="1" xfId="872" applyNumberFormat="1" applyFont="1" applyFill="1" applyBorder="1" applyAlignment="1">
      <alignment vertical="center"/>
    </xf>
    <xf numFmtId="41" fontId="12" fillId="0" borderId="0" xfId="1839" applyFont="1" applyFill="1" applyBorder="1" applyAlignment="1">
      <alignment horizontal="center" vertical="center"/>
    </xf>
    <xf numFmtId="0" fontId="12" fillId="0" borderId="0" xfId="872" applyFont="1" applyFill="1"/>
    <xf numFmtId="42" fontId="177" fillId="0" borderId="70" xfId="872" applyNumberFormat="1" applyFont="1" applyBorder="1" applyAlignment="1">
      <alignment vertical="center"/>
    </xf>
    <xf numFmtId="49" fontId="177" fillId="0" borderId="1" xfId="2452" applyNumberFormat="1" applyFont="1" applyBorder="1" applyAlignment="1">
      <alignment horizontal="left" vertical="center" wrapText="1"/>
    </xf>
    <xf numFmtId="0" fontId="136" fillId="8" borderId="0" xfId="872" applyFont="1" applyFill="1"/>
    <xf numFmtId="0" fontId="136" fillId="15" borderId="1" xfId="872" applyFont="1" applyFill="1" applyBorder="1"/>
    <xf numFmtId="41" fontId="177" fillId="15" borderId="1" xfId="1839" applyFont="1" applyFill="1" applyBorder="1" applyAlignment="1">
      <alignment horizontal="right" vertical="center"/>
    </xf>
    <xf numFmtId="41" fontId="177" fillId="0" borderId="1" xfId="1839" applyFont="1" applyBorder="1" applyAlignment="1">
      <alignment vertical="center" shrinkToFit="1"/>
    </xf>
    <xf numFmtId="41" fontId="177" fillId="0" borderId="1" xfId="1839" applyFont="1" applyBorder="1" applyAlignment="1">
      <alignment horizontal="right" vertical="center" shrinkToFit="1"/>
    </xf>
    <xf numFmtId="41" fontId="136" fillId="0" borderId="1" xfId="1839" applyFont="1" applyFill="1" applyBorder="1" applyAlignment="1">
      <alignment vertical="center"/>
    </xf>
    <xf numFmtId="9" fontId="136" fillId="0" borderId="1" xfId="872" applyNumberFormat="1" applyFont="1" applyFill="1" applyBorder="1" applyAlignment="1">
      <alignment vertical="center"/>
    </xf>
    <xf numFmtId="0" fontId="136" fillId="0" borderId="0" xfId="872" applyFont="1" applyFill="1" applyBorder="1" applyAlignment="1">
      <alignment horizontal="center"/>
    </xf>
    <xf numFmtId="41" fontId="136" fillId="0" borderId="1" xfId="1839" applyFont="1" applyFill="1" applyBorder="1" applyAlignment="1">
      <alignment horizontal="center" vertical="center"/>
    </xf>
    <xf numFmtId="183" fontId="12" fillId="0" borderId="1" xfId="2449" applyNumberFormat="1" applyFont="1" applyFill="1" applyBorder="1" applyAlignment="1">
      <alignment horizontal="right" vertical="center"/>
    </xf>
    <xf numFmtId="305" fontId="12" fillId="0" borderId="1" xfId="1839" applyNumberFormat="1" applyFont="1" applyFill="1" applyBorder="1" applyAlignment="1">
      <alignment vertical="center"/>
    </xf>
    <xf numFmtId="0" fontId="177" fillId="0" borderId="1" xfId="872" applyFont="1" applyBorder="1" applyAlignment="1">
      <alignment vertical="center"/>
    </xf>
    <xf numFmtId="41" fontId="177" fillId="0" borderId="7" xfId="1839" applyFont="1" applyBorder="1" applyAlignment="1">
      <alignment vertical="center"/>
    </xf>
    <xf numFmtId="10" fontId="177" fillId="0" borderId="1" xfId="1839" applyNumberFormat="1" applyFont="1" applyBorder="1" applyAlignment="1">
      <alignment horizontal="left" vertical="center"/>
    </xf>
    <xf numFmtId="41" fontId="136" fillId="0" borderId="1" xfId="1839" applyFont="1" applyFill="1" applyBorder="1" applyAlignment="1">
      <alignment horizontal="right" vertical="center" shrinkToFit="1"/>
    </xf>
    <xf numFmtId="41" fontId="136" fillId="0" borderId="1" xfId="1839" applyFont="1" applyFill="1" applyBorder="1" applyAlignment="1">
      <alignment horizontal="right" vertical="center"/>
    </xf>
    <xf numFmtId="191" fontId="136" fillId="0" borderId="1" xfId="1839" applyNumberFormat="1" applyFont="1" applyFill="1" applyBorder="1" applyAlignment="1">
      <alignment horizontal="right" vertical="center" shrinkToFit="1"/>
    </xf>
    <xf numFmtId="192" fontId="136" fillId="0" borderId="0" xfId="1839" applyNumberFormat="1" applyFont="1" applyFill="1" applyBorder="1" applyAlignment="1">
      <alignment horizontal="center" vertical="center"/>
    </xf>
    <xf numFmtId="0" fontId="136" fillId="0" borderId="0" xfId="872" applyFont="1" applyFill="1" applyBorder="1" applyAlignment="1">
      <alignment vertical="center"/>
    </xf>
    <xf numFmtId="41" fontId="136" fillId="0" borderId="1" xfId="1839" applyFont="1" applyBorder="1" applyAlignment="1">
      <alignment horizontal="center" vertical="center"/>
    </xf>
    <xf numFmtId="41" fontId="177" fillId="0" borderId="7" xfId="872" applyNumberFormat="1" applyFont="1" applyBorder="1" applyAlignment="1">
      <alignment horizontal="left" vertical="center"/>
    </xf>
    <xf numFmtId="41" fontId="177" fillId="0" borderId="70" xfId="7" applyNumberFormat="1" applyFont="1" applyBorder="1" applyAlignment="1">
      <alignment horizontal="left" vertical="center"/>
    </xf>
    <xf numFmtId="0" fontId="177" fillId="0" borderId="1" xfId="872" applyFont="1" applyBorder="1" applyAlignment="1">
      <alignment horizontal="left" vertical="center"/>
    </xf>
    <xf numFmtId="41" fontId="177" fillId="0" borderId="70" xfId="872" applyNumberFormat="1" applyFont="1" applyBorder="1" applyAlignment="1">
      <alignment vertical="center"/>
    </xf>
    <xf numFmtId="41" fontId="177" fillId="0" borderId="70" xfId="2450" applyNumberFormat="1" applyFont="1" applyBorder="1" applyAlignment="1">
      <alignment vertical="center"/>
    </xf>
    <xf numFmtId="41" fontId="177" fillId="0" borderId="1" xfId="1842" applyFont="1" applyBorder="1" applyAlignment="1">
      <alignment vertical="center" shrinkToFit="1"/>
    </xf>
    <xf numFmtId="0" fontId="177" fillId="0" borderId="1" xfId="872" applyFont="1" applyFill="1" applyBorder="1" applyAlignment="1">
      <alignment horizontal="center" vertical="center"/>
    </xf>
    <xf numFmtId="41" fontId="177" fillId="0" borderId="7" xfId="1839" applyFont="1" applyFill="1" applyBorder="1" applyAlignment="1">
      <alignment vertical="center"/>
    </xf>
    <xf numFmtId="41" fontId="177" fillId="0" borderId="1" xfId="1839" applyFont="1" applyFill="1" applyBorder="1" applyAlignment="1">
      <alignment horizontal="right" vertical="center"/>
    </xf>
    <xf numFmtId="41" fontId="177" fillId="0" borderId="1" xfId="1842" applyFont="1" applyFill="1" applyBorder="1" applyAlignment="1">
      <alignment vertical="center" shrinkToFit="1"/>
    </xf>
    <xf numFmtId="183" fontId="177" fillId="0" borderId="1" xfId="872" applyNumberFormat="1" applyFont="1" applyFill="1" applyBorder="1" applyAlignment="1">
      <alignment vertical="center"/>
    </xf>
    <xf numFmtId="41" fontId="177" fillId="0" borderId="70" xfId="2450" applyNumberFormat="1" applyFont="1" applyFill="1" applyBorder="1" applyAlignment="1">
      <alignment vertical="center"/>
    </xf>
    <xf numFmtId="0" fontId="177" fillId="0" borderId="1" xfId="872" applyFont="1" applyFill="1" applyBorder="1" applyAlignment="1">
      <alignment horizontal="left" vertical="center"/>
    </xf>
    <xf numFmtId="0" fontId="177" fillId="0" borderId="1" xfId="2450" applyFont="1" applyFill="1" applyBorder="1" applyAlignment="1">
      <alignment horizontal="center" vertical="center"/>
    </xf>
    <xf numFmtId="183" fontId="177" fillId="0" borderId="1" xfId="2449" applyNumberFormat="1" applyFont="1" applyFill="1" applyBorder="1" applyAlignment="1">
      <alignment horizontal="right" vertical="center"/>
    </xf>
    <xf numFmtId="41" fontId="177" fillId="0" borderId="7" xfId="2450" applyNumberFormat="1" applyFont="1" applyBorder="1" applyAlignment="1" applyProtection="1">
      <alignment vertical="center" shrinkToFit="1"/>
      <protection locked="0"/>
    </xf>
    <xf numFmtId="0" fontId="177" fillId="0" borderId="1" xfId="2450" applyFont="1" applyBorder="1" applyAlignment="1" applyProtection="1">
      <alignment horizontal="left" vertical="center" shrinkToFit="1"/>
      <protection locked="0"/>
    </xf>
    <xf numFmtId="41" fontId="177" fillId="0" borderId="1" xfId="1839" applyFont="1" applyBorder="1" applyAlignment="1" applyProtection="1">
      <alignment horizontal="right" vertical="center" shrinkToFit="1"/>
      <protection locked="0"/>
    </xf>
    <xf numFmtId="41" fontId="177" fillId="0" borderId="1" xfId="1839" applyFont="1" applyBorder="1" applyAlignment="1" applyProtection="1">
      <alignment vertical="center" shrinkToFit="1"/>
      <protection locked="0"/>
    </xf>
    <xf numFmtId="0" fontId="177" fillId="0" borderId="1" xfId="878" applyFont="1" applyBorder="1" applyAlignment="1">
      <alignment horizontal="center" vertical="center"/>
    </xf>
    <xf numFmtId="41" fontId="177" fillId="0" borderId="7" xfId="878" applyNumberFormat="1" applyFont="1" applyBorder="1" applyAlignment="1">
      <alignment horizontal="left" vertical="center" shrinkToFit="1"/>
    </xf>
    <xf numFmtId="0" fontId="177" fillId="0" borderId="1" xfId="1839" applyNumberFormat="1" applyFont="1" applyBorder="1" applyAlignment="1">
      <alignment horizontal="left" vertical="center" shrinkToFit="1"/>
    </xf>
    <xf numFmtId="41" fontId="177" fillId="0" borderId="7" xfId="1839" applyFont="1" applyBorder="1" applyAlignment="1">
      <alignment horizontal="left" vertical="center" shrinkToFit="1"/>
    </xf>
    <xf numFmtId="42" fontId="177" fillId="0" borderId="1" xfId="877" applyNumberFormat="1" applyFont="1" applyBorder="1" applyAlignment="1">
      <alignment vertical="center"/>
    </xf>
    <xf numFmtId="0" fontId="177" fillId="0" borderId="7" xfId="2450" applyFont="1" applyBorder="1" applyAlignment="1" applyProtection="1">
      <alignment vertical="center" shrinkToFit="1"/>
      <protection locked="0"/>
    </xf>
    <xf numFmtId="41" fontId="0" fillId="0" borderId="7" xfId="1839" applyFont="1" applyBorder="1" applyAlignment="1">
      <alignment horizontal="left" vertical="center" shrinkToFit="1"/>
    </xf>
    <xf numFmtId="41" fontId="177" fillId="0" borderId="7" xfId="1839" quotePrefix="1" applyFont="1" applyBorder="1" applyAlignment="1">
      <alignment horizontal="left" vertical="center" shrinkToFit="1"/>
    </xf>
    <xf numFmtId="0" fontId="0" fillId="0" borderId="1" xfId="878" applyFont="1" applyBorder="1" applyAlignment="1">
      <alignment horizontal="center" vertical="center"/>
    </xf>
    <xf numFmtId="0" fontId="136" fillId="0" borderId="0" xfId="872" applyFont="1" applyFill="1" applyAlignment="1">
      <alignment horizontal="right"/>
    </xf>
    <xf numFmtId="0" fontId="198" fillId="0" borderId="0" xfId="872" applyFont="1" applyFill="1" applyBorder="1" applyAlignment="1">
      <alignment vertical="center" wrapText="1"/>
    </xf>
    <xf numFmtId="0" fontId="185" fillId="0" borderId="0" xfId="872" applyFont="1" applyFill="1" applyBorder="1"/>
    <xf numFmtId="0" fontId="199" fillId="0" borderId="0" xfId="872" applyFont="1" applyFill="1" applyBorder="1" applyAlignment="1">
      <alignment horizontal="center" vertical="center" wrapText="1"/>
    </xf>
    <xf numFmtId="0" fontId="185" fillId="0" borderId="0" xfId="872" applyFont="1" applyFill="1" applyBorder="1" applyAlignment="1">
      <alignment horizontal="center" vertical="center" wrapText="1"/>
    </xf>
    <xf numFmtId="0" fontId="183" fillId="0" borderId="4" xfId="872" applyFont="1" applyFill="1" applyBorder="1" applyAlignment="1">
      <alignment vertical="center" wrapText="1"/>
    </xf>
    <xf numFmtId="10" fontId="185" fillId="0" borderId="0" xfId="872" applyNumberFormat="1" applyFont="1"/>
    <xf numFmtId="0" fontId="185" fillId="0" borderId="1" xfId="872" applyFont="1" applyFill="1" applyBorder="1"/>
    <xf numFmtId="0" fontId="185" fillId="0" borderId="1" xfId="872" applyFont="1" applyFill="1" applyBorder="1" applyAlignment="1">
      <alignment horizontal="center" vertical="center" shrinkToFit="1"/>
    </xf>
    <xf numFmtId="0" fontId="185" fillId="0" borderId="0" xfId="872" applyFont="1"/>
    <xf numFmtId="0" fontId="185" fillId="0" borderId="1" xfId="872" applyFont="1" applyBorder="1" applyAlignment="1">
      <alignment horizontal="center" vertical="center"/>
    </xf>
    <xf numFmtId="0" fontId="183" fillId="0" borderId="8" xfId="872" applyFont="1" applyFill="1" applyBorder="1" applyAlignment="1">
      <alignment horizontal="center" vertical="center" wrapText="1"/>
    </xf>
    <xf numFmtId="0" fontId="200" fillId="0" borderId="1" xfId="872" applyFont="1" applyBorder="1" applyAlignment="1">
      <alignment horizontal="center" vertical="center"/>
    </xf>
    <xf numFmtId="0" fontId="31" fillId="0" borderId="1" xfId="872" applyFont="1" applyBorder="1" applyAlignment="1">
      <alignment horizontal="center" vertical="center" wrapText="1"/>
    </xf>
    <xf numFmtId="0" fontId="201" fillId="0" borderId="1" xfId="872" applyFont="1" applyBorder="1" applyAlignment="1">
      <alignment horizontal="center" vertical="center"/>
    </xf>
    <xf numFmtId="41" fontId="200" fillId="0" borderId="1" xfId="1839" applyFont="1" applyBorder="1" applyAlignment="1">
      <alignment horizontal="center" vertical="center"/>
    </xf>
    <xf numFmtId="3" fontId="136" fillId="0" borderId="2" xfId="872" applyNumberFormat="1" applyFont="1" applyFill="1" applyBorder="1" applyAlignment="1">
      <alignment horizontal="center" vertical="center" wrapText="1"/>
    </xf>
    <xf numFmtId="0" fontId="202" fillId="0" borderId="1" xfId="872" applyFont="1" applyBorder="1" applyAlignment="1">
      <alignment horizontal="center" vertical="center" wrapText="1"/>
    </xf>
    <xf numFmtId="0" fontId="203" fillId="0" borderId="1" xfId="872" applyFont="1" applyBorder="1" applyAlignment="1">
      <alignment horizontal="center" vertical="center"/>
    </xf>
    <xf numFmtId="0" fontId="204" fillId="0" borderId="1" xfId="872" applyFont="1" applyBorder="1" applyAlignment="1">
      <alignment horizontal="center" vertical="center" wrapText="1"/>
    </xf>
    <xf numFmtId="0" fontId="135" fillId="15" borderId="1" xfId="710" applyNumberFormat="1" applyFont="1" applyFill="1" applyBorder="1" applyAlignment="1">
      <alignment horizontal="center" vertical="center"/>
    </xf>
    <xf numFmtId="41" fontId="135" fillId="0" borderId="1" xfId="1839" applyFont="1" applyFill="1" applyBorder="1" applyAlignment="1">
      <alignment horizontal="center" vertical="center"/>
    </xf>
    <xf numFmtId="0" fontId="5" fillId="0" borderId="1" xfId="872" quotePrefix="1" applyFont="1" applyBorder="1" applyAlignment="1">
      <alignment horizontal="center" vertical="center" wrapText="1"/>
    </xf>
    <xf numFmtId="0" fontId="183" fillId="0" borderId="1" xfId="872" applyFont="1" applyBorder="1" applyAlignment="1">
      <alignment horizontal="center" vertical="center"/>
    </xf>
    <xf numFmtId="0" fontId="183" fillId="0" borderId="1" xfId="872" applyFont="1" applyFill="1" applyBorder="1" applyAlignment="1">
      <alignment horizontal="center" vertical="center"/>
    </xf>
    <xf numFmtId="0" fontId="205" fillId="0" borderId="1" xfId="872" applyFont="1" applyFill="1" applyBorder="1" applyAlignment="1">
      <alignment horizontal="center" vertical="center"/>
    </xf>
    <xf numFmtId="0" fontId="200" fillId="0" borderId="1" xfId="872" applyFont="1" applyFill="1" applyBorder="1" applyAlignment="1">
      <alignment horizontal="center" vertical="center"/>
    </xf>
    <xf numFmtId="41" fontId="46" fillId="0" borderId="1" xfId="1839" applyFont="1" applyBorder="1" applyAlignment="1">
      <alignment horizontal="center" vertical="center"/>
    </xf>
    <xf numFmtId="41" fontId="135" fillId="0" borderId="84" xfId="1839" quotePrefix="1" applyFont="1" applyFill="1" applyBorder="1" applyAlignment="1">
      <alignment horizontal="left" vertical="center"/>
    </xf>
    <xf numFmtId="0" fontId="136" fillId="10" borderId="85" xfId="2454" applyNumberFormat="1" applyFont="1" applyFill="1" applyBorder="1" applyAlignment="1">
      <alignment horizontal="center" vertical="center"/>
    </xf>
    <xf numFmtId="0" fontId="136" fillId="0" borderId="85" xfId="2454" applyNumberFormat="1" applyFont="1" applyFill="1" applyBorder="1" applyAlignment="1">
      <alignment vertical="center"/>
    </xf>
    <xf numFmtId="0" fontId="135" fillId="10" borderId="85" xfId="2454" applyNumberFormat="1" applyFont="1" applyFill="1" applyBorder="1" applyAlignment="1">
      <alignment vertical="center"/>
    </xf>
    <xf numFmtId="0" fontId="135" fillId="0" borderId="85" xfId="2454" applyNumberFormat="1" applyFont="1" applyFill="1" applyBorder="1" applyAlignment="1">
      <alignment vertical="center"/>
    </xf>
    <xf numFmtId="41" fontId="135" fillId="10" borderId="85" xfId="1839" applyFont="1" applyFill="1" applyBorder="1" applyAlignment="1">
      <alignment vertical="center"/>
    </xf>
    <xf numFmtId="41" fontId="135" fillId="10" borderId="9" xfId="1839" applyFont="1" applyFill="1" applyBorder="1" applyAlignment="1">
      <alignment vertical="center"/>
    </xf>
    <xf numFmtId="41" fontId="135" fillId="10" borderId="0" xfId="1839" applyFont="1" applyFill="1" applyBorder="1" applyAlignment="1">
      <alignment vertical="center"/>
    </xf>
    <xf numFmtId="201" fontId="135" fillId="0" borderId="86" xfId="2454" applyNumberFormat="1" applyFont="1" applyFill="1" applyBorder="1" applyAlignment="1">
      <alignment horizontal="left" vertical="center"/>
    </xf>
    <xf numFmtId="0" fontId="136" fillId="10" borderId="0" xfId="2453" applyFont="1" applyFill="1" applyBorder="1" applyAlignment="1">
      <alignment horizontal="center" vertical="center"/>
    </xf>
    <xf numFmtId="0" fontId="136" fillId="0" borderId="0" xfId="2453" applyFont="1" applyFill="1" applyBorder="1" applyAlignment="1">
      <alignment vertical="center"/>
    </xf>
    <xf numFmtId="0" fontId="135" fillId="10" borderId="0" xfId="2453" applyFont="1" applyFill="1" applyBorder="1" applyAlignment="1">
      <alignment vertical="center"/>
    </xf>
    <xf numFmtId="3" fontId="135" fillId="0" borderId="0" xfId="2453" applyNumberFormat="1" applyFont="1" applyFill="1" applyBorder="1" applyAlignment="1">
      <alignment vertical="center"/>
    </xf>
    <xf numFmtId="3" fontId="135" fillId="10" borderId="0" xfId="2453" applyNumberFormat="1" applyFont="1" applyFill="1" applyBorder="1" applyAlignment="1">
      <alignment vertical="center"/>
    </xf>
    <xf numFmtId="3" fontId="135" fillId="10" borderId="87" xfId="2453" applyNumberFormat="1" applyFont="1" applyFill="1" applyBorder="1" applyAlignment="1">
      <alignment vertical="center"/>
    </xf>
    <xf numFmtId="201" fontId="135" fillId="0" borderId="88" xfId="2454" applyNumberFormat="1" applyFont="1" applyFill="1" applyBorder="1" applyAlignment="1">
      <alignment horizontal="left" vertical="center"/>
    </xf>
    <xf numFmtId="0" fontId="136" fillId="10" borderId="4" xfId="2453" applyFont="1" applyFill="1" applyBorder="1" applyAlignment="1">
      <alignment horizontal="center" vertical="center"/>
    </xf>
    <xf numFmtId="0" fontId="136" fillId="0" borderId="4" xfId="2453" applyFont="1" applyFill="1" applyBorder="1" applyAlignment="1">
      <alignment vertical="center"/>
    </xf>
    <xf numFmtId="0" fontId="135" fillId="10" borderId="4" xfId="2453" applyFont="1" applyFill="1" applyBorder="1" applyAlignment="1">
      <alignment vertical="center"/>
    </xf>
    <xf numFmtId="3" fontId="135" fillId="0" borderId="4" xfId="2453" applyNumberFormat="1" applyFont="1" applyFill="1" applyBorder="1" applyAlignment="1">
      <alignment vertical="center"/>
    </xf>
    <xf numFmtId="3" fontId="135" fillId="10" borderId="4" xfId="2453" applyNumberFormat="1" applyFont="1" applyFill="1" applyBorder="1" applyAlignment="1">
      <alignment vertical="center"/>
    </xf>
    <xf numFmtId="3" fontId="135" fillId="10" borderId="8" xfId="2453" applyNumberFormat="1" applyFont="1" applyFill="1" applyBorder="1" applyAlignment="1">
      <alignment vertical="center"/>
    </xf>
    <xf numFmtId="0" fontId="185" fillId="0" borderId="0" xfId="872" applyFont="1" applyAlignment="1">
      <alignment horizontal="center"/>
    </xf>
    <xf numFmtId="0" fontId="185" fillId="0" borderId="0" xfId="872" applyFont="1" applyAlignment="1">
      <alignment horizontal="distributed"/>
    </xf>
    <xf numFmtId="41" fontId="185" fillId="0" borderId="0" xfId="1839" applyFont="1" applyFill="1"/>
    <xf numFmtId="41" fontId="185" fillId="0" borderId="0" xfId="1839" applyFont="1"/>
    <xf numFmtId="0" fontId="185" fillId="0" borderId="0" xfId="872" applyFont="1" applyFill="1"/>
    <xf numFmtId="0" fontId="135" fillId="0" borderId="0" xfId="8538" applyFont="1" applyFill="1" applyBorder="1"/>
    <xf numFmtId="41" fontId="135" fillId="0" borderId="0" xfId="1839" applyFont="1" applyFill="1" applyBorder="1" applyAlignment="1">
      <alignment horizontal="left" vertical="center"/>
    </xf>
    <xf numFmtId="0" fontId="135" fillId="0" borderId="0" xfId="872" applyFont="1" applyFill="1" applyBorder="1" applyAlignment="1">
      <alignment horizontal="center" vertical="center" shrinkToFit="1"/>
    </xf>
    <xf numFmtId="0" fontId="135" fillId="0" borderId="0" xfId="872" applyFont="1" applyFill="1" applyBorder="1" applyAlignment="1">
      <alignment horizontal="left" vertical="center" shrinkToFit="1"/>
    </xf>
    <xf numFmtId="0" fontId="135" fillId="0" borderId="0" xfId="872" applyFont="1" applyFill="1" applyBorder="1" applyAlignment="1">
      <alignment horizontal="center" vertical="center"/>
    </xf>
    <xf numFmtId="41" fontId="135" fillId="0" borderId="1" xfId="1839" applyFont="1" applyFill="1" applyBorder="1" applyAlignment="1" applyProtection="1">
      <alignment vertical="center"/>
    </xf>
    <xf numFmtId="306" fontId="135" fillId="0" borderId="2" xfId="1839" applyNumberFormat="1" applyFont="1" applyFill="1" applyBorder="1" applyAlignment="1">
      <alignment horizontal="center" vertical="center" shrinkToFit="1"/>
    </xf>
    <xf numFmtId="41" fontId="135" fillId="0" borderId="1" xfId="1839" applyFont="1" applyFill="1" applyBorder="1" applyAlignment="1">
      <alignment horizontal="center" vertical="center" shrinkToFit="1"/>
    </xf>
    <xf numFmtId="41" fontId="135" fillId="0" borderId="1" xfId="1839" applyNumberFormat="1" applyFont="1" applyFill="1" applyBorder="1" applyAlignment="1">
      <alignment horizontal="left" vertical="center"/>
    </xf>
    <xf numFmtId="41" fontId="135" fillId="0" borderId="1" xfId="1839" applyFont="1" applyFill="1" applyBorder="1" applyAlignment="1">
      <alignment horizontal="left" vertical="center" shrinkToFit="1"/>
    </xf>
    <xf numFmtId="0" fontId="135" fillId="0" borderId="1" xfId="1839" applyNumberFormat="1" applyFont="1" applyFill="1" applyBorder="1" applyAlignment="1">
      <alignment horizontal="center" vertical="center"/>
    </xf>
    <xf numFmtId="41" fontId="135" fillId="0" borderId="1" xfId="1839" quotePrefix="1" applyNumberFormat="1" applyFont="1" applyFill="1" applyBorder="1" applyAlignment="1">
      <alignment horizontal="center" vertical="center"/>
    </xf>
    <xf numFmtId="41" fontId="135" fillId="0" borderId="1" xfId="1839" applyNumberFormat="1" applyFont="1" applyFill="1" applyBorder="1" applyAlignment="1">
      <alignment horizontal="center" vertical="center"/>
    </xf>
    <xf numFmtId="41" fontId="46" fillId="0" borderId="1" xfId="1839" applyFont="1" applyFill="1" applyBorder="1" applyAlignment="1">
      <alignment horizontal="center" vertical="center" shrinkToFit="1"/>
    </xf>
    <xf numFmtId="0" fontId="135" fillId="0" borderId="7" xfId="1839" applyNumberFormat="1" applyFont="1" applyFill="1" applyBorder="1" applyAlignment="1">
      <alignment horizontal="left" vertical="center" shrinkToFit="1"/>
    </xf>
    <xf numFmtId="0" fontId="135" fillId="0" borderId="2" xfId="1839" applyNumberFormat="1" applyFont="1" applyFill="1" applyBorder="1" applyAlignment="1">
      <alignment horizontal="left" vertical="center" shrinkToFit="1"/>
    </xf>
    <xf numFmtId="186" fontId="135" fillId="0" borderId="1" xfId="1839" applyNumberFormat="1" applyFont="1" applyFill="1" applyBorder="1" applyAlignment="1">
      <alignment horizontal="center" vertical="center" shrinkToFit="1"/>
    </xf>
    <xf numFmtId="42" fontId="40" fillId="0" borderId="1" xfId="1839" applyNumberFormat="1" applyFont="1" applyFill="1" applyBorder="1" applyAlignment="1">
      <alignment horizontal="left" vertical="center" shrinkToFit="1"/>
    </xf>
    <xf numFmtId="41" fontId="40" fillId="0" borderId="1" xfId="1839" applyFont="1" applyFill="1" applyBorder="1" applyAlignment="1" applyProtection="1">
      <alignment vertical="center"/>
    </xf>
    <xf numFmtId="41" fontId="40" fillId="0" borderId="1" xfId="1839" applyFont="1" applyFill="1" applyBorder="1" applyAlignment="1">
      <alignment horizontal="center" vertical="center"/>
    </xf>
    <xf numFmtId="306" fontId="40" fillId="0" borderId="2" xfId="1839" applyNumberFormat="1" applyFont="1" applyFill="1" applyBorder="1" applyAlignment="1">
      <alignment horizontal="center" vertical="center" shrinkToFit="1"/>
    </xf>
    <xf numFmtId="41" fontId="40" fillId="0" borderId="1" xfId="1839" applyFont="1" applyFill="1" applyBorder="1" applyAlignment="1">
      <alignment vertical="center" shrinkToFit="1"/>
    </xf>
    <xf numFmtId="0" fontId="40" fillId="0" borderId="0" xfId="8538" applyFont="1" applyFill="1" applyBorder="1"/>
    <xf numFmtId="0" fontId="40" fillId="0" borderId="1" xfId="1839" quotePrefix="1" applyNumberFormat="1" applyFont="1" applyFill="1" applyBorder="1" applyAlignment="1">
      <alignment horizontal="left" vertical="center"/>
    </xf>
    <xf numFmtId="41" fontId="40" fillId="0" borderId="1" xfId="1839" applyFont="1" applyFill="1" applyBorder="1" applyAlignment="1">
      <alignment horizontal="left" vertical="center" shrinkToFit="1"/>
    </xf>
    <xf numFmtId="41" fontId="40" fillId="0" borderId="2" xfId="1839" applyFont="1" applyFill="1" applyBorder="1" applyAlignment="1">
      <alignment vertical="center"/>
    </xf>
    <xf numFmtId="0" fontId="135" fillId="0" borderId="1" xfId="1839" applyNumberFormat="1" applyFont="1" applyFill="1" applyBorder="1" applyAlignment="1">
      <alignment horizontal="left" vertical="center"/>
    </xf>
    <xf numFmtId="42" fontId="135" fillId="0" borderId="1" xfId="1839" applyNumberFormat="1" applyFont="1" applyFill="1" applyBorder="1" applyAlignment="1">
      <alignment horizontal="left" vertical="center" shrinkToFit="1"/>
    </xf>
    <xf numFmtId="41" fontId="135" fillId="0" borderId="2" xfId="1839" applyFont="1" applyFill="1" applyBorder="1" applyAlignment="1">
      <alignment vertical="center"/>
    </xf>
    <xf numFmtId="41" fontId="135" fillId="0" borderId="1" xfId="1839" applyFont="1" applyFill="1" applyBorder="1" applyAlignment="1">
      <alignment vertical="center" shrinkToFit="1"/>
    </xf>
    <xf numFmtId="0" fontId="40" fillId="0" borderId="1" xfId="1839" applyNumberFormat="1" applyFont="1" applyFill="1" applyBorder="1" applyAlignment="1">
      <alignment horizontal="left" vertical="center"/>
    </xf>
    <xf numFmtId="41" fontId="40" fillId="0" borderId="1" xfId="1839" applyFont="1" applyFill="1" applyBorder="1" applyAlignment="1">
      <alignment vertical="center"/>
    </xf>
    <xf numFmtId="0" fontId="135" fillId="0" borderId="1" xfId="1839" quotePrefix="1" applyNumberFormat="1" applyFont="1" applyFill="1" applyBorder="1" applyAlignment="1">
      <alignment horizontal="left" vertical="center"/>
    </xf>
    <xf numFmtId="185" fontId="40" fillId="0" borderId="1" xfId="1839" applyNumberFormat="1" applyFont="1" applyFill="1" applyBorder="1" applyAlignment="1">
      <alignment horizontal="center" vertical="center" shrinkToFit="1"/>
    </xf>
    <xf numFmtId="0" fontId="135" fillId="0" borderId="0" xfId="8538" applyFont="1" applyFill="1" applyAlignment="1">
      <alignment horizontal="left"/>
    </xf>
    <xf numFmtId="42" fontId="135" fillId="0" borderId="0" xfId="1839" applyNumberFormat="1" applyFont="1" applyFill="1" applyAlignment="1">
      <alignment horizontal="left" shrinkToFit="1"/>
    </xf>
    <xf numFmtId="41" fontId="135" fillId="0" borderId="0" xfId="1839" applyFont="1" applyFill="1" applyAlignment="1">
      <alignment horizontal="left" shrinkToFit="1"/>
    </xf>
    <xf numFmtId="41" fontId="135" fillId="0" borderId="0" xfId="1839" applyFont="1" applyFill="1" applyAlignment="1"/>
    <xf numFmtId="41" fontId="135" fillId="0" borderId="0" xfId="1839" applyFont="1" applyFill="1"/>
    <xf numFmtId="41" fontId="135" fillId="0" borderId="0" xfId="1839" applyFont="1" applyFill="1" applyAlignment="1">
      <alignment horizontal="center" vertical="center"/>
    </xf>
    <xf numFmtId="306" fontId="135" fillId="0" borderId="0" xfId="1839" applyNumberFormat="1" applyFont="1" applyFill="1" applyAlignment="1">
      <alignment horizontal="center" shrinkToFit="1"/>
    </xf>
    <xf numFmtId="41" fontId="135" fillId="0" borderId="0" xfId="1839" applyFont="1" applyFill="1" applyAlignment="1">
      <alignment shrinkToFit="1"/>
    </xf>
    <xf numFmtId="41" fontId="135" fillId="0" borderId="87" xfId="1839" applyFont="1" applyFill="1" applyBorder="1"/>
    <xf numFmtId="0" fontId="209" fillId="0" borderId="0" xfId="872" applyFont="1" applyAlignment="1">
      <alignment horizontal="centerContinuous" vertical="center"/>
    </xf>
    <xf numFmtId="0" fontId="210" fillId="0" borderId="0" xfId="872" applyFont="1" applyAlignment="1">
      <alignment horizontal="centerContinuous" vertical="center"/>
    </xf>
    <xf numFmtId="41" fontId="211" fillId="0" borderId="0" xfId="1839" applyFont="1" applyAlignment="1">
      <alignment horizontal="centerContinuous" vertical="center"/>
    </xf>
    <xf numFmtId="41" fontId="211" fillId="0" borderId="0" xfId="1839" applyFont="1" applyAlignment="1">
      <alignment horizontal="center" vertical="center"/>
    </xf>
    <xf numFmtId="0" fontId="211" fillId="0" borderId="0" xfId="8542" applyFont="1"/>
    <xf numFmtId="41" fontId="12" fillId="0" borderId="0" xfId="1839" applyFont="1" applyAlignment="1">
      <alignment vertical="center"/>
    </xf>
    <xf numFmtId="41" fontId="12" fillId="0" borderId="0" xfId="1839" applyFont="1" applyAlignment="1">
      <alignment horizontal="center" vertical="center"/>
    </xf>
    <xf numFmtId="0" fontId="12" fillId="0" borderId="0" xfId="8542" applyFont="1"/>
    <xf numFmtId="201" fontId="12" fillId="0" borderId="4" xfId="1839" applyNumberFormat="1" applyFont="1" applyBorder="1" applyAlignment="1">
      <alignment horizontal="left" vertical="center"/>
    </xf>
    <xf numFmtId="0" fontId="12" fillId="0" borderId="0" xfId="1839" applyNumberFormat="1" applyFont="1" applyAlignment="1">
      <alignment vertical="center"/>
    </xf>
    <xf numFmtId="41" fontId="12" fillId="0" borderId="0" xfId="1839" applyFont="1"/>
    <xf numFmtId="41" fontId="12" fillId="0" borderId="0" xfId="1839" quotePrefix="1" applyFont="1" applyAlignment="1">
      <alignment horizontal="right" vertical="center"/>
    </xf>
    <xf numFmtId="41" fontId="12" fillId="0" borderId="84" xfId="1839" applyFont="1" applyBorder="1" applyAlignment="1">
      <alignment vertical="center"/>
    </xf>
    <xf numFmtId="41" fontId="12" fillId="0" borderId="85" xfId="1839" applyFont="1" applyBorder="1" applyAlignment="1">
      <alignment vertical="center"/>
    </xf>
    <xf numFmtId="41" fontId="12" fillId="0" borderId="85" xfId="1839" applyFont="1" applyBorder="1" applyAlignment="1">
      <alignment horizontal="right" vertical="center"/>
    </xf>
    <xf numFmtId="41" fontId="12" fillId="0" borderId="85" xfId="1839" applyFont="1" applyBorder="1" applyAlignment="1">
      <alignment horizontal="center" vertical="center"/>
    </xf>
    <xf numFmtId="41" fontId="12" fillId="0" borderId="88" xfId="1839" applyFont="1" applyBorder="1" applyAlignment="1">
      <alignment vertical="center"/>
    </xf>
    <xf numFmtId="41" fontId="12" fillId="0" borderId="4" xfId="1839" applyFont="1" applyBorder="1" applyAlignment="1">
      <alignment vertical="center"/>
    </xf>
    <xf numFmtId="41" fontId="12" fillId="0" borderId="4" xfId="1839" applyFont="1" applyBorder="1" applyAlignment="1">
      <alignment horizontal="center" vertical="center"/>
    </xf>
    <xf numFmtId="41" fontId="12" fillId="0" borderId="84" xfId="1839" applyFont="1" applyBorder="1" applyAlignment="1">
      <alignment horizontal="center" vertical="center"/>
    </xf>
    <xf numFmtId="41" fontId="12" fillId="0" borderId="84" xfId="1839" applyFont="1" applyBorder="1" applyAlignment="1">
      <alignment horizontal="center"/>
    </xf>
    <xf numFmtId="1" fontId="12" fillId="0" borderId="85" xfId="1839" applyNumberFormat="1" applyFont="1" applyBorder="1" applyAlignment="1">
      <alignment horizontal="distributed" vertical="center"/>
    </xf>
    <xf numFmtId="1" fontId="12" fillId="0" borderId="85" xfId="1839" applyNumberFormat="1" applyFont="1" applyBorder="1" applyAlignment="1">
      <alignment horizontal="center" vertical="center"/>
    </xf>
    <xf numFmtId="1" fontId="12" fillId="0" borderId="84" xfId="1839" applyNumberFormat="1" applyFont="1" applyBorder="1" applyAlignment="1">
      <alignment horizontal="center" vertical="center"/>
    </xf>
    <xf numFmtId="41" fontId="12" fillId="0" borderId="9" xfId="1839" applyFont="1" applyBorder="1" applyAlignment="1">
      <alignment horizontal="center" vertical="center"/>
    </xf>
    <xf numFmtId="41" fontId="12" fillId="0" borderId="86" xfId="1839" applyFont="1" applyBorder="1" applyAlignment="1">
      <alignment horizontal="center" vertical="center"/>
    </xf>
    <xf numFmtId="41" fontId="12" fillId="0" borderId="86" xfId="1839" applyFont="1" applyBorder="1" applyAlignment="1">
      <alignment horizontal="center"/>
    </xf>
    <xf numFmtId="1" fontId="12" fillId="0" borderId="0" xfId="1839" applyNumberFormat="1" applyFont="1" applyAlignment="1">
      <alignment horizontal="distributed" vertical="center"/>
    </xf>
    <xf numFmtId="1" fontId="12" fillId="0" borderId="0" xfId="1839" applyNumberFormat="1" applyFont="1" applyAlignment="1">
      <alignment horizontal="center" vertical="center"/>
    </xf>
    <xf numFmtId="1" fontId="12" fillId="0" borderId="86" xfId="1839" applyNumberFormat="1" applyFont="1" applyBorder="1" applyAlignment="1">
      <alignment horizontal="center" vertical="center"/>
    </xf>
    <xf numFmtId="196" fontId="12" fillId="0" borderId="0" xfId="1823" applyNumberFormat="1" applyFont="1" applyAlignment="1">
      <alignment horizontal="left" vertical="center"/>
    </xf>
    <xf numFmtId="196" fontId="12" fillId="0" borderId="87" xfId="1823" applyNumberFormat="1" applyFont="1" applyBorder="1" applyAlignment="1">
      <alignment horizontal="left" vertical="center"/>
    </xf>
    <xf numFmtId="41" fontId="12" fillId="0" borderId="7" xfId="1839" applyFont="1" applyBorder="1" applyAlignment="1">
      <alignment horizontal="center" vertical="center"/>
    </xf>
    <xf numFmtId="1" fontId="12" fillId="0" borderId="70" xfId="1839" applyNumberFormat="1" applyFont="1" applyBorder="1" applyAlignment="1">
      <alignment horizontal="distributed" vertical="center"/>
    </xf>
    <xf numFmtId="1" fontId="12" fillId="0" borderId="70" xfId="1839" applyNumberFormat="1" applyFont="1" applyBorder="1" applyAlignment="1">
      <alignment horizontal="center" vertical="center"/>
    </xf>
    <xf numFmtId="41" fontId="12" fillId="0" borderId="1" xfId="1839" applyFont="1" applyBorder="1" applyAlignment="1">
      <alignment horizontal="center" vertical="center"/>
    </xf>
    <xf numFmtId="196" fontId="12" fillId="0" borderId="7" xfId="1823" applyNumberFormat="1" applyFont="1" applyBorder="1" applyAlignment="1">
      <alignment horizontal="center" vertical="center"/>
    </xf>
    <xf numFmtId="1" fontId="12" fillId="0" borderId="7" xfId="1839" applyNumberFormat="1" applyFont="1" applyBorder="1" applyAlignment="1">
      <alignment horizontal="center" vertical="center"/>
    </xf>
    <xf numFmtId="41" fontId="12" fillId="0" borderId="70" xfId="1839" applyFont="1" applyBorder="1" applyAlignment="1">
      <alignment horizontal="center" vertical="center"/>
    </xf>
    <xf numFmtId="41" fontId="12" fillId="0" borderId="2" xfId="1839" applyFont="1" applyBorder="1" applyAlignment="1">
      <alignment horizontal="center" vertical="center"/>
    </xf>
    <xf numFmtId="328" fontId="12" fillId="0" borderId="0" xfId="1839" applyNumberFormat="1" applyFont="1" applyAlignment="1">
      <alignment horizontal="center" vertical="center"/>
    </xf>
    <xf numFmtId="196" fontId="12" fillId="0" borderId="84" xfId="1839" applyNumberFormat="1" applyFont="1" applyBorder="1" applyAlignment="1">
      <alignment horizontal="center" vertical="center"/>
    </xf>
    <xf numFmtId="1" fontId="12" fillId="0" borderId="84" xfId="1839" quotePrefix="1" applyNumberFormat="1" applyFont="1" applyBorder="1" applyAlignment="1">
      <alignment horizontal="left" vertical="center"/>
    </xf>
    <xf numFmtId="1" fontId="12" fillId="0" borderId="4" xfId="1839" applyNumberFormat="1" applyFont="1" applyBorder="1" applyAlignment="1">
      <alignment horizontal="distributed" vertical="center"/>
    </xf>
    <xf numFmtId="1" fontId="12" fillId="0" borderId="4" xfId="1839" applyNumberFormat="1" applyFont="1" applyBorder="1" applyAlignment="1">
      <alignment horizontal="center" vertical="center"/>
    </xf>
    <xf numFmtId="41" fontId="12" fillId="0" borderId="3" xfId="1839" applyFont="1" applyBorder="1" applyAlignment="1">
      <alignment horizontal="center" vertical="center"/>
    </xf>
    <xf numFmtId="196" fontId="12" fillId="0" borderId="88" xfId="1839" applyNumberFormat="1" applyFont="1" applyBorder="1" applyAlignment="1">
      <alignment horizontal="center" vertical="center"/>
    </xf>
    <xf numFmtId="1" fontId="12" fillId="0" borderId="88" xfId="1839" applyNumberFormat="1" applyFont="1" applyBorder="1" applyAlignment="1">
      <alignment horizontal="left" vertical="center"/>
    </xf>
    <xf numFmtId="192" fontId="12" fillId="0" borderId="4" xfId="1823" applyNumberFormat="1" applyFont="1" applyBorder="1" applyAlignment="1">
      <alignment horizontal="left" vertical="center"/>
    </xf>
    <xf numFmtId="192" fontId="12" fillId="0" borderId="8" xfId="1823" applyNumberFormat="1" applyFont="1" applyBorder="1" applyAlignment="1">
      <alignment horizontal="left" vertical="center"/>
    </xf>
    <xf numFmtId="192" fontId="12" fillId="0" borderId="0" xfId="1823" applyNumberFormat="1" applyFont="1" applyAlignment="1">
      <alignment horizontal="center" vertical="center"/>
    </xf>
    <xf numFmtId="41" fontId="12" fillId="0" borderId="88" xfId="1839" applyFont="1" applyBorder="1" applyAlignment="1">
      <alignment horizontal="center" vertical="center"/>
    </xf>
    <xf numFmtId="1" fontId="12" fillId="0" borderId="7" xfId="1839" applyNumberFormat="1" applyFont="1" applyBorder="1" applyAlignment="1">
      <alignment horizontal="left" vertical="center"/>
    </xf>
    <xf numFmtId="192" fontId="12" fillId="0" borderId="70" xfId="1839" applyNumberFormat="1" applyFont="1" applyBorder="1" applyAlignment="1">
      <alignment horizontal="center" vertical="center"/>
    </xf>
    <xf numFmtId="192" fontId="12" fillId="0" borderId="2" xfId="1839" applyNumberFormat="1" applyFont="1" applyBorder="1" applyAlignment="1">
      <alignment horizontal="center" vertical="center"/>
    </xf>
    <xf numFmtId="0" fontId="12" fillId="0" borderId="85" xfId="872" quotePrefix="1" applyFont="1" applyBorder="1" applyAlignment="1">
      <alignment horizontal="distributed" vertical="center" wrapText="1" indent="1"/>
    </xf>
    <xf numFmtId="0" fontId="12" fillId="0" borderId="0" xfId="8541" applyFont="1" applyAlignment="1">
      <alignment horizontal="center" vertical="center"/>
    </xf>
    <xf numFmtId="41" fontId="136" fillId="0" borderId="86" xfId="1839" applyFont="1" applyBorder="1" applyAlignment="1">
      <alignment horizontal="center" vertical="center"/>
    </xf>
    <xf numFmtId="41" fontId="12" fillId="0" borderId="6" xfId="1839" applyFont="1" applyBorder="1" applyAlignment="1">
      <alignment horizontal="center" vertical="center"/>
    </xf>
    <xf numFmtId="0" fontId="12" fillId="0" borderId="84" xfId="872" quotePrefix="1" applyFont="1" applyBorder="1" applyAlignment="1">
      <alignment vertical="center" wrapText="1"/>
    </xf>
    <xf numFmtId="207" fontId="136" fillId="0" borderId="0" xfId="1823" applyNumberFormat="1" applyFont="1" applyAlignment="1">
      <alignment vertical="center"/>
    </xf>
    <xf numFmtId="192" fontId="12" fillId="0" borderId="0" xfId="1823" applyNumberFormat="1" applyFont="1" applyAlignment="1">
      <alignment horizontal="left" vertical="center"/>
    </xf>
    <xf numFmtId="192" fontId="12" fillId="0" borderId="87" xfId="1823" applyNumberFormat="1" applyFont="1" applyBorder="1" applyAlignment="1">
      <alignment horizontal="left" vertical="center"/>
    </xf>
    <xf numFmtId="0" fontId="12" fillId="0" borderId="0" xfId="872" quotePrefix="1" applyFont="1" applyBorder="1" applyAlignment="1">
      <alignment horizontal="distributed" vertical="center" wrapText="1" indent="1"/>
    </xf>
    <xf numFmtId="0" fontId="136" fillId="0" borderId="0" xfId="8541" applyFont="1" applyAlignment="1">
      <alignment horizontal="center" vertical="center"/>
    </xf>
    <xf numFmtId="0" fontId="12" fillId="0" borderId="86" xfId="872" quotePrefix="1" applyFont="1" applyBorder="1" applyAlignment="1">
      <alignment vertical="center" wrapText="1"/>
    </xf>
    <xf numFmtId="192" fontId="12" fillId="0" borderId="0" xfId="1823" quotePrefix="1" applyNumberFormat="1" applyFont="1" applyAlignment="1">
      <alignment horizontal="left" vertical="center"/>
    </xf>
    <xf numFmtId="41" fontId="12" fillId="0" borderId="87" xfId="1839" quotePrefix="1" applyFont="1" applyBorder="1" applyAlignment="1">
      <alignment horizontal="left" vertical="center" wrapText="1"/>
    </xf>
    <xf numFmtId="0" fontId="12" fillId="0" borderId="4" xfId="872" quotePrefix="1" applyFont="1" applyBorder="1" applyAlignment="1">
      <alignment horizontal="distributed" vertical="center" wrapText="1" indent="1"/>
    </xf>
    <xf numFmtId="0" fontId="12" fillId="0" borderId="88" xfId="872" quotePrefix="1" applyFont="1" applyBorder="1" applyAlignment="1">
      <alignment vertical="center" wrapText="1"/>
    </xf>
    <xf numFmtId="192" fontId="136" fillId="0" borderId="0" xfId="1823" applyNumberFormat="1" applyFont="1" applyAlignment="1">
      <alignment horizontal="left" vertical="center"/>
    </xf>
    <xf numFmtId="192" fontId="136" fillId="0" borderId="87" xfId="1823" applyNumberFormat="1" applyFont="1" applyBorder="1" applyAlignment="1">
      <alignment horizontal="left" vertical="center"/>
    </xf>
    <xf numFmtId="41" fontId="12" fillId="0" borderId="7" xfId="1839" applyFont="1" applyBorder="1" applyAlignment="1">
      <alignment horizontal="centerContinuous" vertical="center"/>
    </xf>
    <xf numFmtId="41" fontId="12" fillId="0" borderId="70" xfId="1839" applyFont="1" applyBorder="1" applyAlignment="1">
      <alignment horizontal="centerContinuous" vertical="center"/>
    </xf>
    <xf numFmtId="41" fontId="12" fillId="0" borderId="1" xfId="1839" applyFont="1" applyBorder="1" applyAlignment="1">
      <alignment vertical="center"/>
    </xf>
    <xf numFmtId="41" fontId="12" fillId="0" borderId="88" xfId="1839" applyFont="1" applyBorder="1" applyAlignment="1">
      <alignment horizontal="centerContinuous" vertical="center"/>
    </xf>
    <xf numFmtId="41" fontId="12" fillId="0" borderId="70" xfId="1839" applyFont="1" applyBorder="1" applyAlignment="1">
      <alignment horizontal="centerContinuous"/>
    </xf>
    <xf numFmtId="41" fontId="12" fillId="0" borderId="4" xfId="1839" applyFont="1" applyBorder="1" applyAlignment="1">
      <alignment horizontal="centerContinuous"/>
    </xf>
    <xf numFmtId="41" fontId="12" fillId="0" borderId="3" xfId="1839" applyFont="1" applyBorder="1" applyAlignment="1">
      <alignment vertical="center"/>
    </xf>
    <xf numFmtId="192" fontId="12" fillId="0" borderId="70" xfId="1823" applyNumberFormat="1" applyFont="1" applyBorder="1" applyAlignment="1">
      <alignment horizontal="left" vertical="center"/>
    </xf>
    <xf numFmtId="192" fontId="12" fillId="0" borderId="2" xfId="1823" applyNumberFormat="1" applyFont="1" applyBorder="1" applyAlignment="1">
      <alignment horizontal="left" vertical="center"/>
    </xf>
    <xf numFmtId="41" fontId="12" fillId="0" borderId="4" xfId="1839" applyFont="1" applyBorder="1" applyAlignment="1">
      <alignment horizontal="centerContinuous" vertical="center"/>
    </xf>
    <xf numFmtId="201" fontId="12" fillId="0" borderId="7" xfId="1839" applyNumberFormat="1" applyFont="1" applyBorder="1" applyAlignment="1">
      <alignment horizontal="center" vertical="center"/>
    </xf>
    <xf numFmtId="0" fontId="0" fillId="0" borderId="0" xfId="0" quotePrefix="1" applyFont="1" applyAlignment="1">
      <alignment vertical="center"/>
    </xf>
    <xf numFmtId="180" fontId="0" fillId="0" borderId="0" xfId="0" applyNumberFormat="1" applyFont="1" applyAlignment="1">
      <alignment vertical="center"/>
    </xf>
    <xf numFmtId="0" fontId="3" fillId="0" borderId="1" xfId="0" quotePrefix="1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190" fontId="213" fillId="0" borderId="27" xfId="16" applyNumberFormat="1" applyFont="1" applyBorder="1" applyAlignment="1" applyProtection="1">
      <alignment horizontal="right" vertical="center"/>
    </xf>
    <xf numFmtId="190" fontId="213" fillId="0" borderId="24" xfId="16" applyNumberFormat="1" applyFont="1" applyBorder="1" applyAlignment="1" applyProtection="1">
      <alignment horizontal="right" vertical="center"/>
    </xf>
    <xf numFmtId="190" fontId="213" fillId="0" borderId="21" xfId="16" applyNumberFormat="1" applyFont="1" applyBorder="1" applyAlignment="1" applyProtection="1">
      <alignment horizontal="right" vertical="center"/>
    </xf>
    <xf numFmtId="190" fontId="213" fillId="0" borderId="20" xfId="16" applyNumberFormat="1" applyFont="1" applyBorder="1" applyAlignment="1" applyProtection="1">
      <alignment horizontal="right" vertical="center"/>
    </xf>
    <xf numFmtId="190" fontId="213" fillId="0" borderId="37" xfId="16" applyNumberFormat="1" applyFont="1" applyBorder="1" applyAlignment="1" applyProtection="1">
      <alignment horizontal="right" vertical="center"/>
    </xf>
    <xf numFmtId="190" fontId="213" fillId="8" borderId="20" xfId="16" applyNumberFormat="1" applyFont="1" applyFill="1" applyBorder="1" applyAlignment="1" applyProtection="1">
      <alignment horizontal="right" vertical="center"/>
    </xf>
    <xf numFmtId="190" fontId="214" fillId="9" borderId="41" xfId="16" applyNumberFormat="1" applyFont="1" applyFill="1" applyBorder="1" applyAlignment="1" applyProtection="1">
      <alignment horizontal="right" vertical="center" shrinkToFit="1"/>
    </xf>
    <xf numFmtId="41" fontId="214" fillId="5" borderId="21" xfId="16" applyFont="1" applyFill="1" applyBorder="1" applyAlignment="1" applyProtection="1">
      <alignment horizontal="center" vertical="center"/>
    </xf>
    <xf numFmtId="190" fontId="213" fillId="0" borderId="56" xfId="16" applyNumberFormat="1" applyFont="1" applyBorder="1" applyAlignment="1" applyProtection="1">
      <alignment horizontal="right" vertical="center"/>
    </xf>
    <xf numFmtId="190" fontId="213" fillId="0" borderId="59" xfId="16" applyNumberFormat="1" applyFont="1" applyBorder="1" applyAlignment="1" applyProtection="1">
      <alignment horizontal="right" vertical="center"/>
    </xf>
    <xf numFmtId="190" fontId="213" fillId="0" borderId="42" xfId="16" applyNumberFormat="1" applyFont="1" applyBorder="1" applyAlignment="1" applyProtection="1">
      <alignment horizontal="right" vertical="center"/>
    </xf>
    <xf numFmtId="190" fontId="213" fillId="8" borderId="59" xfId="16" applyNumberFormat="1" applyFont="1" applyFill="1" applyBorder="1" applyAlignment="1" applyProtection="1">
      <alignment horizontal="right" vertical="center"/>
    </xf>
    <xf numFmtId="190" fontId="214" fillId="9" borderId="42" xfId="16" applyNumberFormat="1" applyFont="1" applyFill="1" applyBorder="1" applyAlignment="1" applyProtection="1">
      <alignment horizontal="right" vertical="center" shrinkToFit="1"/>
    </xf>
    <xf numFmtId="190" fontId="214" fillId="0" borderId="42" xfId="16" applyNumberFormat="1" applyFont="1" applyBorder="1" applyAlignment="1" applyProtection="1">
      <alignment horizontal="right" vertical="center" shrinkToFit="1"/>
    </xf>
    <xf numFmtId="190" fontId="215" fillId="0" borderId="44" xfId="20" applyNumberFormat="1" applyFont="1" applyBorder="1" applyAlignment="1">
      <alignment horizontal="center" vertical="center"/>
    </xf>
    <xf numFmtId="3" fontId="215" fillId="0" borderId="47" xfId="20" applyNumberFormat="1" applyFont="1" applyBorder="1" applyAlignment="1">
      <alignment horizontal="left" vertical="center" wrapText="1" indent="1"/>
    </xf>
    <xf numFmtId="190" fontId="216" fillId="0" borderId="49" xfId="20" applyNumberFormat="1" applyFont="1" applyBorder="1" applyAlignment="1">
      <alignment vertical="center"/>
    </xf>
    <xf numFmtId="41" fontId="217" fillId="0" borderId="49" xfId="20" applyNumberFormat="1" applyFont="1" applyBorder="1" applyAlignment="1">
      <alignment vertical="center"/>
    </xf>
    <xf numFmtId="183" fontId="217" fillId="0" borderId="49" xfId="20" applyNumberFormat="1" applyFont="1" applyBorder="1" applyAlignment="1">
      <alignment vertical="center"/>
    </xf>
    <xf numFmtId="41" fontId="217" fillId="0" borderId="49" xfId="20" applyNumberFormat="1" applyFont="1" applyFill="1" applyBorder="1" applyAlignment="1">
      <alignment vertical="center"/>
    </xf>
    <xf numFmtId="41" fontId="217" fillId="11" borderId="49" xfId="20" applyNumberFormat="1" applyFont="1" applyFill="1" applyBorder="1" applyAlignment="1">
      <alignment vertical="center"/>
    </xf>
    <xf numFmtId="41" fontId="217" fillId="0" borderId="49" xfId="20" applyNumberFormat="1" applyFont="1" applyBorder="1" applyAlignment="1">
      <alignment horizontal="center" vertical="center"/>
    </xf>
    <xf numFmtId="41" fontId="217" fillId="11" borderId="54" xfId="20" applyNumberFormat="1" applyFont="1" applyFill="1" applyBorder="1" applyAlignment="1">
      <alignment vertical="center"/>
    </xf>
    <xf numFmtId="41" fontId="217" fillId="0" borderId="0" xfId="20" applyNumberFormat="1" applyFont="1" applyBorder="1" applyAlignment="1">
      <alignment vertical="center"/>
    </xf>
    <xf numFmtId="41" fontId="217" fillId="0" borderId="0" xfId="20" applyNumberFormat="1" applyFont="1" applyAlignment="1">
      <alignment vertical="center"/>
    </xf>
    <xf numFmtId="41" fontId="218" fillId="0" borderId="0" xfId="20" applyNumberFormat="1" applyFont="1" applyBorder="1" applyAlignment="1">
      <alignment vertical="center"/>
    </xf>
    <xf numFmtId="41" fontId="219" fillId="0" borderId="0" xfId="20" applyNumberFormat="1" applyFont="1" applyBorder="1" applyAlignment="1">
      <alignment vertical="center"/>
    </xf>
    <xf numFmtId="41" fontId="219" fillId="0" borderId="0" xfId="20" applyNumberFormat="1" applyFont="1" applyAlignment="1">
      <alignment vertical="center"/>
    </xf>
    <xf numFmtId="190" fontId="219" fillId="0" borderId="0" xfId="20" applyNumberFormat="1" applyFont="1" applyAlignment="1">
      <alignment vertical="center"/>
    </xf>
    <xf numFmtId="190" fontId="215" fillId="0" borderId="48" xfId="20" applyNumberFormat="1" applyFont="1" applyBorder="1" applyAlignment="1">
      <alignment horizontal="left" vertical="center" wrapText="1" indent="1"/>
    </xf>
    <xf numFmtId="41" fontId="217" fillId="0" borderId="49" xfId="20" applyNumberFormat="1" applyFont="1" applyBorder="1" applyAlignment="1">
      <alignment horizontal="right" vertical="center"/>
    </xf>
    <xf numFmtId="41" fontId="217" fillId="0" borderId="0" xfId="20" applyNumberFormat="1" applyFont="1" applyBorder="1" applyAlignment="1">
      <alignment horizontal="right" vertical="center"/>
    </xf>
    <xf numFmtId="190" fontId="217" fillId="0" borderId="0" xfId="20" applyNumberFormat="1" applyFont="1" applyAlignment="1">
      <alignment vertical="center"/>
    </xf>
    <xf numFmtId="41" fontId="220" fillId="0" borderId="0" xfId="20" applyNumberFormat="1" applyFont="1" applyBorder="1" applyAlignment="1">
      <alignment vertical="center"/>
    </xf>
    <xf numFmtId="190" fontId="218" fillId="0" borderId="0" xfId="20" applyNumberFormat="1" applyFont="1" applyAlignment="1">
      <alignment vertical="center"/>
    </xf>
    <xf numFmtId="190" fontId="215" fillId="0" borderId="49" xfId="20" applyNumberFormat="1" applyFont="1" applyBorder="1" applyAlignment="1">
      <alignment vertical="center"/>
    </xf>
    <xf numFmtId="0" fontId="215" fillId="0" borderId="1" xfId="0" quotePrefix="1" applyFont="1" applyBorder="1" applyAlignment="1">
      <alignment horizontal="center" vertical="center" wrapText="1"/>
    </xf>
    <xf numFmtId="176" fontId="222" fillId="0" borderId="1" xfId="0" applyNumberFormat="1" applyFont="1" applyBorder="1" applyAlignment="1">
      <alignment vertical="center" wrapText="1"/>
    </xf>
    <xf numFmtId="176" fontId="222" fillId="2" borderId="1" xfId="0" applyNumberFormat="1" applyFont="1" applyFill="1" applyBorder="1" applyAlignment="1">
      <alignment vertical="center" wrapText="1"/>
    </xf>
    <xf numFmtId="176" fontId="216" fillId="0" borderId="1" xfId="0" applyNumberFormat="1" applyFont="1" applyBorder="1" applyAlignment="1">
      <alignment vertical="center" wrapText="1"/>
    </xf>
    <xf numFmtId="176" fontId="215" fillId="12" borderId="1" xfId="0" applyNumberFormat="1" applyFont="1" applyFill="1" applyBorder="1" applyAlignment="1">
      <alignment vertical="center" wrapText="1"/>
    </xf>
    <xf numFmtId="176" fontId="215" fillId="0" borderId="1" xfId="0" applyNumberFormat="1" applyFont="1" applyBorder="1" applyAlignment="1">
      <alignment vertical="center" wrapText="1"/>
    </xf>
    <xf numFmtId="176" fontId="215" fillId="4" borderId="1" xfId="0" applyNumberFormat="1" applyFont="1" applyFill="1" applyBorder="1" applyAlignment="1">
      <alignment vertical="center" wrapText="1"/>
    </xf>
    <xf numFmtId="183" fontId="216" fillId="0" borderId="1" xfId="0" applyNumberFormat="1" applyFont="1" applyBorder="1" applyAlignment="1">
      <alignment vertical="center" wrapText="1"/>
    </xf>
    <xf numFmtId="183" fontId="220" fillId="14" borderId="1" xfId="0" applyNumberFormat="1" applyFont="1" applyFill="1" applyBorder="1" applyAlignment="1">
      <alignment vertical="center" wrapText="1"/>
    </xf>
    <xf numFmtId="183" fontId="215" fillId="0" borderId="1" xfId="0" applyNumberFormat="1" applyFont="1" applyBorder="1" applyAlignment="1">
      <alignment vertical="center" wrapText="1"/>
    </xf>
    <xf numFmtId="41" fontId="215" fillId="13" borderId="1" xfId="1" applyFont="1" applyFill="1" applyBorder="1" applyAlignment="1">
      <alignment vertical="center" wrapText="1"/>
    </xf>
    <xf numFmtId="41" fontId="216" fillId="0" borderId="1" xfId="1" applyFont="1" applyBorder="1" applyAlignment="1">
      <alignment vertical="center" wrapText="1"/>
    </xf>
    <xf numFmtId="0" fontId="215" fillId="0" borderId="1" xfId="0" applyFont="1" applyBorder="1" applyAlignment="1">
      <alignment vertical="center" wrapText="1"/>
    </xf>
    <xf numFmtId="0" fontId="223" fillId="0" borderId="0" xfId="0" applyFont="1">
      <alignment vertical="center"/>
    </xf>
    <xf numFmtId="176" fontId="220" fillId="14" borderId="1" xfId="0" applyNumberFormat="1" applyFont="1" applyFill="1" applyBorder="1" applyAlignment="1">
      <alignment vertical="center" wrapText="1"/>
    </xf>
    <xf numFmtId="41" fontId="215" fillId="0" borderId="1" xfId="0" applyNumberFormat="1" applyFont="1" applyBorder="1" applyAlignment="1">
      <alignment vertical="center" wrapText="1"/>
    </xf>
    <xf numFmtId="41" fontId="216" fillId="0" borderId="1" xfId="0" applyNumberFormat="1" applyFont="1" applyBorder="1" applyAlignment="1">
      <alignment vertical="center" wrapText="1"/>
    </xf>
    <xf numFmtId="0" fontId="220" fillId="0" borderId="1" xfId="0" applyFont="1" applyBorder="1" applyAlignment="1">
      <alignment vertical="center" wrapText="1"/>
    </xf>
    <xf numFmtId="176" fontId="220" fillId="0" borderId="1" xfId="0" applyNumberFormat="1" applyFont="1" applyBorder="1" applyAlignment="1">
      <alignment vertical="center" wrapText="1"/>
    </xf>
    <xf numFmtId="41" fontId="215" fillId="12" borderId="1" xfId="0" applyNumberFormat="1" applyFont="1" applyFill="1" applyBorder="1" applyAlignment="1">
      <alignment vertical="center" wrapText="1"/>
    </xf>
    <xf numFmtId="41" fontId="215" fillId="4" borderId="1" xfId="0" applyNumberFormat="1" applyFont="1" applyFill="1" applyBorder="1" applyAlignment="1">
      <alignment vertical="center" wrapText="1"/>
    </xf>
    <xf numFmtId="41" fontId="220" fillId="14" borderId="1" xfId="0" applyNumberFormat="1" applyFont="1" applyFill="1" applyBorder="1" applyAlignment="1">
      <alignment vertical="center" wrapText="1"/>
    </xf>
    <xf numFmtId="41" fontId="215" fillId="0" borderId="1" xfId="1" applyFont="1" applyBorder="1" applyAlignment="1">
      <alignment vertical="center" wrapText="1"/>
    </xf>
    <xf numFmtId="183" fontId="215" fillId="13" borderId="1" xfId="1" applyNumberFormat="1" applyFont="1" applyFill="1" applyBorder="1" applyAlignment="1">
      <alignment vertical="center" wrapText="1"/>
    </xf>
    <xf numFmtId="176" fontId="215" fillId="13" borderId="1" xfId="1" applyNumberFormat="1" applyFont="1" applyFill="1" applyBorder="1" applyAlignment="1">
      <alignment vertical="center" wrapText="1"/>
    </xf>
    <xf numFmtId="176" fontId="216" fillId="0" borderId="1" xfId="1" applyNumberFormat="1" applyFont="1" applyBorder="1" applyAlignment="1">
      <alignment vertical="center" wrapText="1"/>
    </xf>
    <xf numFmtId="0" fontId="216" fillId="0" borderId="1" xfId="0" applyFont="1" applyBorder="1" applyAlignment="1">
      <alignment vertical="center" wrapText="1"/>
    </xf>
    <xf numFmtId="183" fontId="223" fillId="0" borderId="0" xfId="0" applyNumberFormat="1" applyFont="1">
      <alignment vertical="center"/>
    </xf>
    <xf numFmtId="176" fontId="215" fillId="2" borderId="1" xfId="0" applyNumberFormat="1" applyFont="1" applyFill="1" applyBorder="1" applyAlignment="1">
      <alignment vertical="center" wrapText="1"/>
    </xf>
    <xf numFmtId="176" fontId="215" fillId="12" borderId="1" xfId="1" applyNumberFormat="1" applyFont="1" applyFill="1" applyBorder="1" applyAlignment="1">
      <alignment vertical="center" wrapText="1"/>
    </xf>
    <xf numFmtId="176" fontId="215" fillId="0" borderId="1" xfId="1" applyNumberFormat="1" applyFont="1" applyBorder="1" applyAlignment="1">
      <alignment vertical="center" wrapText="1"/>
    </xf>
    <xf numFmtId="176" fontId="215" fillId="4" borderId="1" xfId="1" applyNumberFormat="1" applyFont="1" applyFill="1" applyBorder="1" applyAlignment="1">
      <alignment vertical="center" wrapText="1"/>
    </xf>
    <xf numFmtId="176" fontId="220" fillId="14" borderId="1" xfId="1" applyNumberFormat="1" applyFont="1" applyFill="1" applyBorder="1" applyAlignment="1">
      <alignment vertical="center" wrapText="1"/>
    </xf>
    <xf numFmtId="176" fontId="215" fillId="13" borderId="1" xfId="0" applyNumberFormat="1" applyFont="1" applyFill="1" applyBorder="1" applyAlignment="1">
      <alignment vertical="center" wrapText="1"/>
    </xf>
    <xf numFmtId="0" fontId="215" fillId="2" borderId="1" xfId="0" quotePrefix="1" applyFont="1" applyFill="1" applyBorder="1" applyAlignment="1">
      <alignment vertical="center" wrapText="1"/>
    </xf>
    <xf numFmtId="182" fontId="216" fillId="15" borderId="1" xfId="0" applyNumberFormat="1" applyFont="1" applyFill="1" applyBorder="1" applyAlignment="1">
      <alignment vertical="center" wrapText="1"/>
    </xf>
    <xf numFmtId="182" fontId="216" fillId="15" borderId="1" xfId="0" applyNumberFormat="1" applyFont="1" applyFill="1" applyBorder="1" applyAlignment="1">
      <alignment vertical="top" wrapText="1"/>
    </xf>
    <xf numFmtId="182" fontId="216" fillId="15" borderId="1" xfId="1" applyNumberFormat="1" applyFont="1" applyFill="1" applyBorder="1">
      <alignment vertical="center"/>
    </xf>
    <xf numFmtId="182" fontId="216" fillId="15" borderId="1" xfId="1" applyNumberFormat="1" applyFont="1" applyFill="1" applyBorder="1" applyAlignment="1">
      <alignment horizontal="center" vertical="center"/>
    </xf>
    <xf numFmtId="0" fontId="215" fillId="12" borderId="1" xfId="0" applyFont="1" applyFill="1" applyBorder="1" applyAlignment="1">
      <alignment vertical="center" wrapText="1"/>
    </xf>
    <xf numFmtId="0" fontId="215" fillId="4" borderId="1" xfId="0" applyFont="1" applyFill="1" applyBorder="1" applyAlignment="1">
      <alignment vertical="center" wrapText="1"/>
    </xf>
    <xf numFmtId="182" fontId="223" fillId="15" borderId="1" xfId="0" applyNumberFormat="1" applyFont="1" applyFill="1" applyBorder="1" applyAlignment="1">
      <alignment vertical="center"/>
    </xf>
    <xf numFmtId="0" fontId="215" fillId="14" borderId="1" xfId="0" applyFont="1" applyFill="1" applyBorder="1" applyAlignment="1">
      <alignment vertical="center" wrapText="1"/>
    </xf>
    <xf numFmtId="182" fontId="215" fillId="15" borderId="1" xfId="0" applyNumberFormat="1" applyFont="1" applyFill="1" applyBorder="1" applyAlignment="1">
      <alignment vertical="center" wrapText="1"/>
    </xf>
    <xf numFmtId="182" fontId="221" fillId="15" borderId="1" xfId="0" applyNumberFormat="1" applyFont="1" applyFill="1" applyBorder="1" applyAlignment="1">
      <alignment vertical="center"/>
    </xf>
    <xf numFmtId="0" fontId="215" fillId="13" borderId="1" xfId="0" applyFont="1" applyFill="1" applyBorder="1" applyAlignment="1">
      <alignment vertical="center" wrapText="1"/>
    </xf>
    <xf numFmtId="182" fontId="223" fillId="15" borderId="0" xfId="0" applyNumberFormat="1" applyFont="1" applyFill="1">
      <alignment vertical="center"/>
    </xf>
    <xf numFmtId="0" fontId="221" fillId="15" borderId="1" xfId="0" quotePrefix="1" applyFont="1" applyFill="1" applyBorder="1" applyAlignment="1">
      <alignment horizontal="center" vertical="center"/>
    </xf>
    <xf numFmtId="0" fontId="216" fillId="15" borderId="1" xfId="0" applyFont="1" applyFill="1" applyBorder="1" applyAlignment="1">
      <alignment vertical="center" wrapText="1"/>
    </xf>
    <xf numFmtId="177" fontId="216" fillId="15" borderId="1" xfId="0" applyNumberFormat="1" applyFont="1" applyFill="1" applyBorder="1" applyAlignment="1">
      <alignment vertical="center" wrapText="1"/>
    </xf>
    <xf numFmtId="0" fontId="216" fillId="15" borderId="1" xfId="0" applyFont="1" applyFill="1" applyBorder="1" applyAlignment="1">
      <alignment vertical="top" wrapText="1"/>
    </xf>
    <xf numFmtId="41" fontId="216" fillId="15" borderId="1" xfId="1" applyFont="1" applyFill="1" applyBorder="1" applyAlignment="1">
      <alignment vertical="center" wrapText="1"/>
    </xf>
    <xf numFmtId="177" fontId="216" fillId="15" borderId="1" xfId="1" applyNumberFormat="1" applyFont="1" applyFill="1" applyBorder="1" applyAlignment="1">
      <alignment vertical="center" wrapText="1"/>
    </xf>
    <xf numFmtId="41" fontId="216" fillId="15" borderId="1" xfId="1" applyFont="1" applyFill="1" applyBorder="1" applyAlignment="1">
      <alignment vertical="top" wrapText="1"/>
    </xf>
    <xf numFmtId="0" fontId="216" fillId="15" borderId="1" xfId="1" applyNumberFormat="1" applyFont="1" applyFill="1" applyBorder="1" applyAlignment="1">
      <alignment vertical="top" wrapText="1"/>
    </xf>
    <xf numFmtId="183" fontId="223" fillId="15" borderId="1" xfId="0" applyNumberFormat="1" applyFont="1" applyFill="1" applyBorder="1" applyAlignment="1">
      <alignment vertical="center"/>
    </xf>
    <xf numFmtId="0" fontId="215" fillId="15" borderId="1" xfId="0" applyFont="1" applyFill="1" applyBorder="1" applyAlignment="1">
      <alignment vertical="center" wrapText="1"/>
    </xf>
    <xf numFmtId="177" fontId="215" fillId="15" borderId="1" xfId="0" applyNumberFormat="1" applyFont="1" applyFill="1" applyBorder="1" applyAlignment="1">
      <alignment vertical="center" wrapText="1"/>
    </xf>
    <xf numFmtId="183" fontId="216" fillId="15" borderId="1" xfId="0" applyNumberFormat="1" applyFont="1" applyFill="1" applyBorder="1" applyAlignment="1">
      <alignment vertical="center" wrapText="1"/>
    </xf>
    <xf numFmtId="183" fontId="221" fillId="15" borderId="1" xfId="0" applyNumberFormat="1" applyFont="1" applyFill="1" applyBorder="1" applyAlignment="1">
      <alignment vertical="center"/>
    </xf>
    <xf numFmtId="41" fontId="223" fillId="15" borderId="1" xfId="1" applyFont="1" applyFill="1" applyBorder="1" applyAlignment="1">
      <alignment vertical="center"/>
    </xf>
    <xf numFmtId="0" fontId="223" fillId="15" borderId="0" xfId="0" applyFont="1" applyFill="1">
      <alignment vertical="center"/>
    </xf>
    <xf numFmtId="190" fontId="216" fillId="15" borderId="1" xfId="0" applyNumberFormat="1" applyFont="1" applyFill="1" applyBorder="1" applyAlignment="1">
      <alignment vertical="center" wrapText="1"/>
    </xf>
    <xf numFmtId="41" fontId="216" fillId="15" borderId="1" xfId="0" applyNumberFormat="1" applyFont="1" applyFill="1" applyBorder="1" applyAlignment="1">
      <alignment vertical="center" wrapText="1"/>
    </xf>
    <xf numFmtId="0" fontId="216" fillId="15" borderId="1" xfId="1" applyNumberFormat="1" applyFont="1" applyFill="1" applyBorder="1" applyAlignment="1">
      <alignment vertical="center" wrapText="1"/>
    </xf>
    <xf numFmtId="183" fontId="215" fillId="13" borderId="1" xfId="0" applyNumberFormat="1" applyFont="1" applyFill="1" applyBorder="1" applyAlignment="1">
      <alignment vertical="center" wrapText="1"/>
    </xf>
    <xf numFmtId="0" fontId="0" fillId="0" borderId="0" xfId="0" quotePrefix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221" fillId="0" borderId="1" xfId="0" quotePrefix="1" applyFont="1" applyBorder="1" applyAlignment="1">
      <alignment horizontal="center" vertical="center"/>
    </xf>
    <xf numFmtId="179" fontId="216" fillId="0" borderId="1" xfId="0" applyNumberFormat="1" applyFont="1" applyBorder="1" applyAlignment="1">
      <alignment vertical="center" wrapText="1"/>
    </xf>
    <xf numFmtId="179" fontId="0" fillId="0" borderId="0" xfId="0" applyNumberFormat="1">
      <alignment vertical="center"/>
    </xf>
    <xf numFmtId="0" fontId="224" fillId="0" borderId="1" xfId="0" applyFont="1" applyBorder="1" applyAlignment="1">
      <alignment vertical="center" wrapText="1"/>
    </xf>
    <xf numFmtId="0" fontId="224" fillId="0" borderId="1" xfId="0" quotePrefix="1" applyFont="1" applyBorder="1" applyAlignment="1">
      <alignment vertical="center" wrapText="1"/>
    </xf>
    <xf numFmtId="178" fontId="224" fillId="0" borderId="1" xfId="0" applyNumberFormat="1" applyFont="1" applyBorder="1" applyAlignment="1">
      <alignment vertical="center" wrapText="1"/>
    </xf>
    <xf numFmtId="179" fontId="224" fillId="0" borderId="1" xfId="0" applyNumberFormat="1" applyFont="1" applyBorder="1" applyAlignment="1">
      <alignment vertical="center" wrapText="1"/>
    </xf>
    <xf numFmtId="0" fontId="224" fillId="0" borderId="1" xfId="0" quotePrefix="1" applyFont="1" applyBorder="1" applyAlignment="1">
      <alignment horizontal="center" vertical="center" wrapText="1"/>
    </xf>
    <xf numFmtId="181" fontId="224" fillId="0" borderId="1" xfId="0" applyNumberFormat="1" applyFont="1" applyFill="1" applyBorder="1" applyAlignment="1">
      <alignment vertical="center" wrapText="1"/>
    </xf>
    <xf numFmtId="181" fontId="224" fillId="0" borderId="1" xfId="0" quotePrefix="1" applyNumberFormat="1" applyFont="1" applyFill="1" applyBorder="1" applyAlignment="1">
      <alignment vertical="center" wrapText="1"/>
    </xf>
    <xf numFmtId="0" fontId="5" fillId="8" borderId="1" xfId="0" quotePrefix="1" applyFont="1" applyFill="1" applyBorder="1" applyAlignment="1">
      <alignment vertical="center" wrapText="1"/>
    </xf>
    <xf numFmtId="180" fontId="5" fillId="8" borderId="1" xfId="0" quotePrefix="1" applyNumberFormat="1" applyFont="1" applyFill="1" applyBorder="1" applyAlignment="1">
      <alignment vertical="center" wrapText="1"/>
    </xf>
    <xf numFmtId="181" fontId="5" fillId="8" borderId="1" xfId="0" applyNumberFormat="1" applyFont="1" applyFill="1" applyBorder="1" applyAlignment="1">
      <alignment vertical="center" wrapText="1"/>
    </xf>
    <xf numFmtId="181" fontId="5" fillId="8" borderId="1" xfId="0" quotePrefix="1" applyNumberFormat="1" applyFont="1" applyFill="1" applyBorder="1" applyAlignment="1">
      <alignment vertical="center" wrapText="1"/>
    </xf>
    <xf numFmtId="181" fontId="224" fillId="8" borderId="1" xfId="0" applyNumberFormat="1" applyFont="1" applyFill="1" applyBorder="1" applyAlignment="1">
      <alignment vertical="center" wrapText="1"/>
    </xf>
    <xf numFmtId="181" fontId="224" fillId="8" borderId="1" xfId="0" quotePrefix="1" applyNumberFormat="1" applyFont="1" applyFill="1" applyBorder="1" applyAlignment="1">
      <alignment vertical="center" wrapText="1"/>
    </xf>
    <xf numFmtId="180" fontId="5" fillId="8" borderId="1" xfId="0" applyNumberFormat="1" applyFont="1" applyFill="1" applyBorder="1" applyAlignment="1">
      <alignment vertical="center" wrapText="1"/>
    </xf>
    <xf numFmtId="0" fontId="31" fillId="0" borderId="1" xfId="0" quotePrefix="1" applyFont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178" fontId="31" fillId="0" borderId="1" xfId="0" applyNumberFormat="1" applyFont="1" applyBorder="1" applyAlignment="1">
      <alignment vertical="center" wrapText="1"/>
    </xf>
    <xf numFmtId="179" fontId="31" fillId="0" borderId="1" xfId="0" applyNumberFormat="1" applyFont="1" applyBorder="1" applyAlignment="1">
      <alignment vertical="center" wrapText="1"/>
    </xf>
    <xf numFmtId="0" fontId="31" fillId="0" borderId="1" xfId="0" quotePrefix="1" applyFont="1" applyBorder="1" applyAlignment="1">
      <alignment horizontal="center" vertical="center" wrapText="1"/>
    </xf>
    <xf numFmtId="0" fontId="224" fillId="8" borderId="1" xfId="0" quotePrefix="1" applyFont="1" applyFill="1" applyBorder="1" applyAlignment="1">
      <alignment vertical="center" wrapText="1"/>
    </xf>
    <xf numFmtId="179" fontId="224" fillId="8" borderId="1" xfId="0" applyNumberFormat="1" applyFont="1" applyFill="1" applyBorder="1" applyAlignment="1">
      <alignment vertical="center" wrapText="1"/>
    </xf>
    <xf numFmtId="41" fontId="31" fillId="8" borderId="1" xfId="1" applyFont="1" applyFill="1" applyBorder="1">
      <alignment vertical="center"/>
    </xf>
    <xf numFmtId="41" fontId="31" fillId="8" borderId="1" xfId="1" applyFont="1" applyFill="1" applyBorder="1" applyAlignment="1">
      <alignment horizontal="center" vertical="center"/>
    </xf>
    <xf numFmtId="182" fontId="216" fillId="8" borderId="1" xfId="0" applyNumberFormat="1" applyFont="1" applyFill="1" applyBorder="1" applyAlignment="1">
      <alignment vertical="center" wrapText="1"/>
    </xf>
    <xf numFmtId="182" fontId="5" fillId="8" borderId="1" xfId="0" applyNumberFormat="1" applyFont="1" applyFill="1" applyBorder="1" applyAlignment="1">
      <alignment vertical="center" wrapText="1"/>
    </xf>
    <xf numFmtId="41" fontId="216" fillId="8" borderId="1" xfId="1" applyFont="1" applyFill="1" applyBorder="1" applyAlignment="1">
      <alignment vertical="center" wrapText="1"/>
    </xf>
    <xf numFmtId="177" fontId="216" fillId="8" borderId="1" xfId="1" applyNumberFormat="1" applyFont="1" applyFill="1" applyBorder="1" applyAlignment="1">
      <alignment vertical="center" wrapText="1"/>
    </xf>
    <xf numFmtId="177" fontId="5" fillId="8" borderId="1" xfId="0" applyNumberFormat="1" applyFont="1" applyFill="1" applyBorder="1" applyAlignment="1">
      <alignment vertical="center" wrapText="1"/>
    </xf>
    <xf numFmtId="190" fontId="216" fillId="8" borderId="1" xfId="0" applyNumberFormat="1" applyFont="1" applyFill="1" applyBorder="1" applyAlignment="1">
      <alignment vertical="center" wrapText="1"/>
    </xf>
    <xf numFmtId="177" fontId="216" fillId="8" borderId="1" xfId="0" applyNumberFormat="1" applyFont="1" applyFill="1" applyBorder="1" applyAlignment="1">
      <alignment vertical="center" wrapText="1"/>
    </xf>
    <xf numFmtId="0" fontId="216" fillId="8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vertical="center" wrapText="1"/>
    </xf>
    <xf numFmtId="41" fontId="224" fillId="8" borderId="1" xfId="1" applyFont="1" applyFill="1" applyBorder="1" applyAlignment="1">
      <alignment vertical="center" wrapText="1"/>
    </xf>
    <xf numFmtId="190" fontId="224" fillId="8" borderId="1" xfId="0" applyNumberFormat="1" applyFont="1" applyFill="1" applyBorder="1" applyAlignment="1">
      <alignment vertical="center" wrapText="1"/>
    </xf>
    <xf numFmtId="0" fontId="224" fillId="8" borderId="1" xfId="0" applyFont="1" applyFill="1" applyBorder="1" applyAlignment="1">
      <alignment vertical="center" wrapText="1"/>
    </xf>
    <xf numFmtId="177" fontId="224" fillId="8" borderId="1" xfId="0" applyNumberFormat="1" applyFont="1" applyFill="1" applyBorder="1" applyAlignment="1">
      <alignment vertical="center" wrapText="1"/>
    </xf>
    <xf numFmtId="0" fontId="224" fillId="15" borderId="1" xfId="0" quotePrefix="1" applyFont="1" applyFill="1" applyBorder="1" applyAlignment="1">
      <alignment vertical="center" wrapText="1"/>
    </xf>
    <xf numFmtId="182" fontId="216" fillId="0" borderId="1" xfId="0" applyNumberFormat="1" applyFont="1" applyFill="1" applyBorder="1" applyAlignment="1">
      <alignment vertical="center" wrapText="1"/>
    </xf>
    <xf numFmtId="182" fontId="5" fillId="0" borderId="1" xfId="0" applyNumberFormat="1" applyFont="1" applyFill="1" applyBorder="1" applyAlignment="1">
      <alignment vertical="center" wrapText="1"/>
    </xf>
    <xf numFmtId="177" fontId="216" fillId="0" borderId="1" xfId="0" applyNumberFormat="1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vertical="center" wrapText="1"/>
    </xf>
    <xf numFmtId="0" fontId="5" fillId="0" borderId="1" xfId="0" quotePrefix="1" applyFont="1" applyFill="1" applyBorder="1" applyAlignment="1">
      <alignment horizontal="center" vertical="center" wrapText="1"/>
    </xf>
    <xf numFmtId="0" fontId="0" fillId="0" borderId="0" xfId="0" quotePrefix="1">
      <alignment vertical="center"/>
    </xf>
    <xf numFmtId="0" fontId="224" fillId="8" borderId="1" xfId="0" applyFont="1" applyFill="1" applyBorder="1" applyAlignment="1">
      <alignment vertical="center" wrapText="1"/>
    </xf>
    <xf numFmtId="179" fontId="224" fillId="8" borderId="1" xfId="0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224" fillId="0" borderId="1" xfId="0" applyFont="1" applyBorder="1" applyAlignment="1">
      <alignment horizontal="center" vertical="center" wrapText="1"/>
    </xf>
    <xf numFmtId="182" fontId="224" fillId="8" borderId="1" xfId="0" applyNumberFormat="1" applyFont="1" applyFill="1" applyBorder="1" applyAlignment="1">
      <alignment vertical="center" wrapText="1"/>
    </xf>
    <xf numFmtId="0" fontId="5" fillId="8" borderId="1" xfId="0" quotePrefix="1" applyFont="1" applyFill="1" applyBorder="1" applyAlignment="1">
      <alignment horizontal="center" vertical="center" wrapText="1"/>
    </xf>
    <xf numFmtId="0" fontId="21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79" fontId="5" fillId="0" borderId="1" xfId="0" applyNumberFormat="1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39" fillId="24" borderId="52" xfId="20" applyFont="1" applyFill="1" applyBorder="1" applyAlignment="1">
      <alignment horizontal="left" vertical="center"/>
    </xf>
    <xf numFmtId="0" fontId="39" fillId="24" borderId="48" xfId="20" applyFont="1" applyFill="1" applyBorder="1" applyAlignment="1">
      <alignment horizontal="center" vertical="center"/>
    </xf>
    <xf numFmtId="0" fontId="39" fillId="24" borderId="49" xfId="20" applyFont="1" applyFill="1" applyBorder="1" applyAlignment="1">
      <alignment horizontal="center" vertical="center"/>
    </xf>
    <xf numFmtId="41" fontId="217" fillId="24" borderId="49" xfId="20" applyNumberFormat="1" applyFont="1" applyFill="1" applyBorder="1" applyAlignment="1">
      <alignment vertical="center"/>
    </xf>
    <xf numFmtId="41" fontId="225" fillId="24" borderId="49" xfId="20" applyNumberFormat="1" applyFont="1" applyFill="1" applyBorder="1" applyAlignment="1">
      <alignment vertical="center"/>
    </xf>
    <xf numFmtId="0" fontId="39" fillId="24" borderId="50" xfId="20" applyFont="1" applyFill="1" applyBorder="1" applyAlignment="1">
      <alignment horizontal="center" vertical="center"/>
    </xf>
    <xf numFmtId="0" fontId="224" fillId="8" borderId="1" xfId="0" applyFont="1" applyFill="1" applyBorder="1" applyAlignment="1">
      <alignment horizontal="center" vertical="center" wrapText="1"/>
    </xf>
    <xf numFmtId="0" fontId="181" fillId="0" borderId="0" xfId="0" applyFont="1">
      <alignment vertical="center"/>
    </xf>
    <xf numFmtId="0" fontId="227" fillId="0" borderId="0" xfId="0" applyFont="1">
      <alignment vertical="center"/>
    </xf>
    <xf numFmtId="0" fontId="229" fillId="0" borderId="0" xfId="0" applyFont="1">
      <alignment vertical="center"/>
    </xf>
    <xf numFmtId="0" fontId="230" fillId="0" borderId="0" xfId="0" quotePrefix="1" applyFont="1" applyAlignment="1">
      <alignment horizontal="left" vertical="center"/>
    </xf>
    <xf numFmtId="0" fontId="229" fillId="0" borderId="0" xfId="0" applyFont="1" applyAlignment="1">
      <alignment horizontal="right" vertical="center"/>
    </xf>
    <xf numFmtId="0" fontId="134" fillId="25" borderId="88" xfId="0" applyFont="1" applyFill="1" applyBorder="1" applyAlignment="1">
      <alignment horizontal="center" vertical="center"/>
    </xf>
    <xf numFmtId="0" fontId="134" fillId="25" borderId="98" xfId="0" applyFont="1" applyFill="1" applyBorder="1" applyAlignment="1">
      <alignment horizontal="center" vertical="center"/>
    </xf>
    <xf numFmtId="329" fontId="134" fillId="26" borderId="1" xfId="0" applyNumberFormat="1" applyFont="1" applyFill="1" applyBorder="1" applyAlignment="1">
      <alignment horizontal="right" vertical="center" shrinkToFit="1"/>
    </xf>
    <xf numFmtId="329" fontId="134" fillId="26" borderId="1" xfId="0" applyNumberFormat="1" applyFont="1" applyFill="1" applyBorder="1" applyAlignment="1">
      <alignment vertical="center" shrinkToFit="1"/>
    </xf>
    <xf numFmtId="0" fontId="229" fillId="26" borderId="1" xfId="0" applyFont="1" applyFill="1" applyBorder="1" applyAlignment="1">
      <alignment horizontal="center" vertical="center"/>
    </xf>
    <xf numFmtId="0" fontId="229" fillId="26" borderId="100" xfId="0" applyFont="1" applyFill="1" applyBorder="1" applyAlignment="1">
      <alignment horizontal="center" vertical="center"/>
    </xf>
    <xf numFmtId="329" fontId="134" fillId="26" borderId="6" xfId="0" applyNumberFormat="1" applyFont="1" applyFill="1" applyBorder="1" applyAlignment="1">
      <alignment horizontal="right" vertical="center" shrinkToFit="1"/>
    </xf>
    <xf numFmtId="0" fontId="229" fillId="26" borderId="9" xfId="0" applyFont="1" applyFill="1" applyBorder="1" applyAlignment="1">
      <alignment horizontal="center" vertical="center"/>
    </xf>
    <xf numFmtId="0" fontId="229" fillId="26" borderId="101" xfId="0" applyFont="1" applyFill="1" applyBorder="1" applyAlignment="1">
      <alignment horizontal="center" vertical="center"/>
    </xf>
    <xf numFmtId="0" fontId="229" fillId="0" borderId="102" xfId="0" applyFont="1" applyBorder="1">
      <alignment vertical="center"/>
    </xf>
    <xf numFmtId="0" fontId="231" fillId="0" borderId="103" xfId="0" applyFont="1" applyBorder="1" applyAlignment="1">
      <alignment horizontal="left" vertical="center" shrinkToFit="1"/>
    </xf>
    <xf numFmtId="329" fontId="231" fillId="0" borderId="103" xfId="0" applyNumberFormat="1" applyFont="1" applyBorder="1" applyAlignment="1">
      <alignment vertical="center" shrinkToFit="1"/>
    </xf>
    <xf numFmtId="0" fontId="231" fillId="0" borderId="104" xfId="0" applyFont="1" applyBorder="1" applyAlignment="1">
      <alignment horizontal="center" vertical="center"/>
    </xf>
    <xf numFmtId="0" fontId="231" fillId="0" borderId="105" xfId="0" applyFont="1" applyBorder="1" applyAlignment="1">
      <alignment horizontal="center" vertical="center"/>
    </xf>
    <xf numFmtId="0" fontId="231" fillId="0" borderId="66" xfId="0" applyFont="1" applyBorder="1" applyAlignment="1">
      <alignment horizontal="left" vertical="center" shrinkToFit="1"/>
    </xf>
    <xf numFmtId="329" fontId="231" fillId="0" borderId="66" xfId="0" applyNumberFormat="1" applyFont="1" applyBorder="1" applyAlignment="1">
      <alignment vertical="center" shrinkToFit="1"/>
    </xf>
    <xf numFmtId="0" fontId="231" fillId="0" borderId="106" xfId="0" applyFont="1" applyBorder="1" applyAlignment="1">
      <alignment horizontal="center" vertical="center"/>
    </xf>
    <xf numFmtId="0" fontId="231" fillId="0" borderId="107" xfId="0" applyFont="1" applyBorder="1" applyAlignment="1">
      <alignment horizontal="center" vertical="center"/>
    </xf>
    <xf numFmtId="0" fontId="231" fillId="0" borderId="106" xfId="0" applyFont="1" applyBorder="1" applyAlignment="1">
      <alignment horizontal="center" vertical="center" shrinkToFit="1"/>
    </xf>
    <xf numFmtId="0" fontId="231" fillId="0" borderId="107" xfId="0" applyFont="1" applyBorder="1" applyAlignment="1">
      <alignment horizontal="center" vertical="center" shrinkToFit="1"/>
    </xf>
    <xf numFmtId="182" fontId="231" fillId="0" borderId="106" xfId="0" applyNumberFormat="1" applyFont="1" applyBorder="1" applyAlignment="1">
      <alignment horizontal="center" vertical="center"/>
    </xf>
    <xf numFmtId="182" fontId="231" fillId="0" borderId="107" xfId="0" applyNumberFormat="1" applyFont="1" applyBorder="1" applyAlignment="1">
      <alignment horizontal="center" vertical="center"/>
    </xf>
    <xf numFmtId="0" fontId="229" fillId="0" borderId="66" xfId="0" applyFont="1" applyBorder="1" applyAlignment="1">
      <alignment horizontal="left" vertical="center" shrinkToFit="1"/>
    </xf>
    <xf numFmtId="329" fontId="232" fillId="27" borderId="1" xfId="0" applyNumberFormat="1" applyFont="1" applyFill="1" applyBorder="1" applyAlignment="1">
      <alignment vertical="center" shrinkToFit="1"/>
    </xf>
    <xf numFmtId="182" fontId="232" fillId="27" borderId="2" xfId="0" applyNumberFormat="1" applyFont="1" applyFill="1" applyBorder="1" applyAlignment="1">
      <alignment horizontal="center" vertical="center"/>
    </xf>
    <xf numFmtId="182" fontId="232" fillId="27" borderId="76" xfId="0" applyNumberFormat="1" applyFont="1" applyFill="1" applyBorder="1" applyAlignment="1">
      <alignment horizontal="center" vertical="center"/>
    </xf>
    <xf numFmtId="329" fontId="232" fillId="0" borderId="1" xfId="0" applyNumberFormat="1" applyFont="1" applyFill="1" applyBorder="1" applyAlignment="1">
      <alignment vertical="center" shrinkToFit="1"/>
    </xf>
    <xf numFmtId="182" fontId="232" fillId="0" borderId="2" xfId="0" applyNumberFormat="1" applyFont="1" applyFill="1" applyBorder="1" applyAlignment="1">
      <alignment horizontal="center" vertical="center"/>
    </xf>
    <xf numFmtId="182" fontId="232" fillId="0" borderId="76" xfId="0" applyNumberFormat="1" applyFont="1" applyFill="1" applyBorder="1" applyAlignment="1">
      <alignment horizontal="center" vertical="center"/>
    </xf>
    <xf numFmtId="329" fontId="232" fillId="28" borderId="6" xfId="0" applyNumberFormat="1" applyFont="1" applyFill="1" applyBorder="1" applyAlignment="1">
      <alignment vertical="center" shrinkToFit="1"/>
    </xf>
    <xf numFmtId="0" fontId="232" fillId="28" borderId="9" xfId="0" applyFont="1" applyFill="1" applyBorder="1" applyAlignment="1">
      <alignment horizontal="center" vertical="center"/>
    </xf>
    <xf numFmtId="10" fontId="232" fillId="28" borderId="109" xfId="0" applyNumberFormat="1" applyFont="1" applyFill="1" applyBorder="1" applyAlignment="1">
      <alignment horizontal="center" vertical="center"/>
    </xf>
    <xf numFmtId="0" fontId="232" fillId="0" borderId="2" xfId="0" applyFont="1" applyFill="1" applyBorder="1" applyAlignment="1">
      <alignment horizontal="center" vertical="center"/>
    </xf>
    <xf numFmtId="10" fontId="232" fillId="0" borderId="76" xfId="0" applyNumberFormat="1" applyFont="1" applyFill="1" applyBorder="1" applyAlignment="1">
      <alignment horizontal="center" vertical="center"/>
    </xf>
    <xf numFmtId="329" fontId="232" fillId="28" borderId="112" xfId="0" applyNumberFormat="1" applyFont="1" applyFill="1" applyBorder="1" applyAlignment="1">
      <alignment vertical="center" shrinkToFit="1"/>
    </xf>
    <xf numFmtId="0" fontId="232" fillId="28" borderId="111" xfId="0" applyFont="1" applyFill="1" applyBorder="1" applyAlignment="1">
      <alignment horizontal="center" vertical="center"/>
    </xf>
    <xf numFmtId="10" fontId="232" fillId="28" borderId="113" xfId="0" applyNumberFormat="1" applyFont="1" applyFill="1" applyBorder="1" applyAlignment="1">
      <alignment horizontal="center" vertical="center"/>
    </xf>
    <xf numFmtId="0" fontId="229" fillId="0" borderId="0" xfId="0" applyFont="1" applyAlignment="1">
      <alignment vertical="center"/>
    </xf>
    <xf numFmtId="0" fontId="229" fillId="0" borderId="0" xfId="0" applyFont="1" applyAlignment="1">
      <alignment horizontal="left" vertical="center"/>
    </xf>
    <xf numFmtId="0" fontId="229" fillId="0" borderId="0" xfId="0" applyFont="1" applyBorder="1" applyAlignment="1">
      <alignment vertical="center" wrapText="1" shrinkToFit="1"/>
    </xf>
    <xf numFmtId="0" fontId="231" fillId="0" borderId="102" xfId="0" applyFont="1" applyBorder="1" applyAlignment="1">
      <alignment vertical="center"/>
    </xf>
    <xf numFmtId="0" fontId="231" fillId="0" borderId="0" xfId="0" applyFont="1" applyBorder="1" applyAlignment="1">
      <alignment vertical="center"/>
    </xf>
    <xf numFmtId="0" fontId="231" fillId="0" borderId="116" xfId="0" applyFont="1" applyBorder="1" applyAlignment="1">
      <alignment vertical="center"/>
    </xf>
    <xf numFmtId="0" fontId="229" fillId="0" borderId="0" xfId="0" applyFont="1" applyBorder="1" applyAlignment="1">
      <alignment vertical="center"/>
    </xf>
    <xf numFmtId="0" fontId="229" fillId="0" borderId="116" xfId="0" applyFont="1" applyBorder="1" applyAlignment="1">
      <alignment vertical="center"/>
    </xf>
    <xf numFmtId="0" fontId="231" fillId="0" borderId="72" xfId="0" applyFont="1" applyBorder="1" applyAlignment="1">
      <alignment vertical="center"/>
    </xf>
    <xf numFmtId="0" fontId="229" fillId="0" borderId="72" xfId="0" applyFont="1" applyBorder="1" applyAlignment="1">
      <alignment vertical="center"/>
    </xf>
    <xf numFmtId="0" fontId="229" fillId="0" borderId="117" xfId="0" applyFont="1" applyBorder="1" applyAlignment="1">
      <alignment vertical="center"/>
    </xf>
    <xf numFmtId="0" fontId="233" fillId="8" borderId="37" xfId="16" applyNumberFormat="1" applyFont="1" applyFill="1" applyBorder="1" applyAlignment="1" applyProtection="1">
      <alignment horizontal="distributed" vertical="center" indent="1"/>
    </xf>
    <xf numFmtId="190" fontId="233" fillId="8" borderId="37" xfId="16" applyNumberFormat="1" applyFont="1" applyFill="1" applyBorder="1" applyAlignment="1" applyProtection="1">
      <alignment horizontal="right" vertical="center"/>
    </xf>
    <xf numFmtId="191" fontId="233" fillId="8" borderId="27" xfId="16" applyNumberFormat="1" applyFont="1" applyFill="1" applyBorder="1" applyAlignment="1" applyProtection="1">
      <alignment horizontal="right" vertical="center"/>
    </xf>
    <xf numFmtId="190" fontId="233" fillId="8" borderId="27" xfId="16" applyNumberFormat="1" applyFont="1" applyFill="1" applyBorder="1" applyAlignment="1" applyProtection="1">
      <alignment horizontal="right" vertical="center"/>
    </xf>
    <xf numFmtId="41" fontId="233" fillId="8" borderId="33" xfId="16" applyFont="1" applyFill="1" applyBorder="1" applyAlignment="1" applyProtection="1">
      <alignment horizontal="left" vertical="center"/>
    </xf>
    <xf numFmtId="0" fontId="0" fillId="0" borderId="0" xfId="0" quotePrefix="1" applyFill="1" applyAlignment="1">
      <alignment vertical="center"/>
    </xf>
    <xf numFmtId="0" fontId="0" fillId="0" borderId="0" xfId="0" applyFill="1" applyAlignment="1">
      <alignment vertical="center"/>
    </xf>
    <xf numFmtId="41" fontId="31" fillId="0" borderId="1" xfId="1" applyFont="1" applyFill="1" applyBorder="1" applyAlignment="1">
      <alignment horizontal="center" vertical="center"/>
    </xf>
    <xf numFmtId="41" fontId="216" fillId="0" borderId="1" xfId="1" applyFont="1" applyFill="1" applyBorder="1" applyAlignment="1">
      <alignment vertical="center" wrapText="1"/>
    </xf>
    <xf numFmtId="177" fontId="216" fillId="0" borderId="1" xfId="1" applyNumberFormat="1" applyFont="1" applyFill="1" applyBorder="1" applyAlignment="1">
      <alignment vertical="center" wrapText="1"/>
    </xf>
    <xf numFmtId="41" fontId="5" fillId="0" borderId="1" xfId="1" applyFont="1" applyFill="1" applyBorder="1" applyAlignment="1">
      <alignment vertical="center" wrapText="1"/>
    </xf>
    <xf numFmtId="41" fontId="216" fillId="0" borderId="1" xfId="0" applyNumberFormat="1" applyFont="1" applyFill="1" applyBorder="1" applyAlignment="1">
      <alignment vertical="center" wrapText="1"/>
    </xf>
    <xf numFmtId="180" fontId="0" fillId="0" borderId="0" xfId="0" applyNumberFormat="1" applyFill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82" fontId="224" fillId="0" borderId="1" xfId="0" applyNumberFormat="1" applyFont="1" applyFill="1" applyBorder="1" applyAlignment="1">
      <alignment vertical="center" wrapText="1"/>
    </xf>
    <xf numFmtId="182" fontId="0" fillId="0" borderId="0" xfId="0" applyNumberFormat="1" applyFill="1">
      <alignment vertical="center"/>
    </xf>
    <xf numFmtId="329" fontId="231" fillId="0" borderId="0" xfId="0" applyNumberFormat="1" applyFont="1" applyBorder="1" applyAlignment="1">
      <alignment vertical="center"/>
    </xf>
    <xf numFmtId="0" fontId="15" fillId="0" borderId="0" xfId="2" applyFont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19" fillId="0" borderId="0" xfId="2" applyFont="1" applyAlignment="1">
      <alignment horizontal="center" vertical="center" shrinkToFit="1"/>
    </xf>
    <xf numFmtId="0" fontId="17" fillId="0" borderId="0" xfId="2" applyFont="1" applyAlignment="1">
      <alignment horizontal="center"/>
    </xf>
    <xf numFmtId="0" fontId="134" fillId="28" borderId="110" xfId="0" applyFont="1" applyFill="1" applyBorder="1" applyAlignment="1">
      <alignment vertical="center"/>
    </xf>
    <xf numFmtId="0" fontId="134" fillId="28" borderId="111" xfId="0" applyFont="1" applyFill="1" applyBorder="1" applyAlignment="1">
      <alignment vertical="center"/>
    </xf>
    <xf numFmtId="0" fontId="134" fillId="25" borderId="114" xfId="0" applyFont="1" applyFill="1" applyBorder="1" applyAlignment="1">
      <alignment horizontal="left" vertical="center"/>
    </xf>
    <xf numFmtId="0" fontId="134" fillId="25" borderId="115" xfId="0" applyFont="1" applyFill="1" applyBorder="1" applyAlignment="1">
      <alignment horizontal="left" vertical="center"/>
    </xf>
    <xf numFmtId="0" fontId="134" fillId="25" borderId="96" xfId="0" applyFont="1" applyFill="1" applyBorder="1" applyAlignment="1">
      <alignment horizontal="left" vertical="center"/>
    </xf>
    <xf numFmtId="0" fontId="229" fillId="0" borderId="110" xfId="0" applyFont="1" applyBorder="1" applyAlignment="1">
      <alignment horizontal="center"/>
    </xf>
    <xf numFmtId="0" fontId="229" fillId="0" borderId="72" xfId="0" applyFont="1" applyBorder="1" applyAlignment="1">
      <alignment horizontal="center"/>
    </xf>
    <xf numFmtId="0" fontId="134" fillId="26" borderId="99" xfId="0" applyFont="1" applyFill="1" applyBorder="1" applyAlignment="1">
      <alignment horizontal="left" vertical="center" shrinkToFit="1"/>
    </xf>
    <xf numFmtId="0" fontId="134" fillId="26" borderId="2" xfId="0" applyFont="1" applyFill="1" applyBorder="1" applyAlignment="1">
      <alignment horizontal="left" vertical="center" shrinkToFit="1"/>
    </xf>
    <xf numFmtId="0" fontId="134" fillId="27" borderId="99" xfId="0" applyFont="1" applyFill="1" applyBorder="1" applyAlignment="1">
      <alignment horizontal="left" vertical="center" shrinkToFit="1"/>
    </xf>
    <xf numFmtId="0" fontId="134" fillId="27" borderId="2" xfId="0" applyFont="1" applyFill="1" applyBorder="1" applyAlignment="1">
      <alignment horizontal="left" vertical="center" shrinkToFit="1"/>
    </xf>
    <xf numFmtId="0" fontId="134" fillId="0" borderId="99" xfId="0" applyFont="1" applyFill="1" applyBorder="1" applyAlignment="1">
      <alignment horizontal="left" vertical="center" shrinkToFit="1"/>
    </xf>
    <xf numFmtId="0" fontId="134" fillId="0" borderId="2" xfId="0" applyFont="1" applyFill="1" applyBorder="1" applyAlignment="1">
      <alignment horizontal="left" vertical="center" shrinkToFit="1"/>
    </xf>
    <xf numFmtId="0" fontId="134" fillId="28" borderId="108" xfId="0" applyFont="1" applyFill="1" applyBorder="1" applyAlignment="1">
      <alignment vertical="center"/>
    </xf>
    <xf numFmtId="0" fontId="134" fillId="28" borderId="9" xfId="0" applyFont="1" applyFill="1" applyBorder="1" applyAlignment="1">
      <alignment vertical="center"/>
    </xf>
    <xf numFmtId="0" fontId="134" fillId="0" borderId="99" xfId="0" applyFont="1" applyFill="1" applyBorder="1" applyAlignment="1">
      <alignment vertical="center"/>
    </xf>
    <xf numFmtId="0" fontId="134" fillId="0" borderId="2" xfId="0" applyFont="1" applyFill="1" applyBorder="1" applyAlignment="1">
      <alignment vertical="center"/>
    </xf>
    <xf numFmtId="0" fontId="226" fillId="0" borderId="0" xfId="0" applyFont="1" applyAlignment="1">
      <alignment horizontal="center" vertical="center"/>
    </xf>
    <xf numFmtId="0" fontId="228" fillId="0" borderId="0" xfId="0" applyFont="1" applyAlignment="1">
      <alignment horizontal="left" vertical="center"/>
    </xf>
    <xf numFmtId="0" fontId="134" fillId="25" borderId="90" xfId="0" applyFont="1" applyFill="1" applyBorder="1" applyAlignment="1">
      <alignment horizontal="center" vertical="center"/>
    </xf>
    <xf numFmtId="0" fontId="134" fillId="25" borderId="93" xfId="0" applyFont="1" applyFill="1" applyBorder="1" applyAlignment="1">
      <alignment horizontal="center" vertical="center"/>
    </xf>
    <xf numFmtId="0" fontId="134" fillId="25" borderId="97" xfId="0" applyFont="1" applyFill="1" applyBorder="1" applyAlignment="1">
      <alignment horizontal="center" vertical="center"/>
    </xf>
    <xf numFmtId="0" fontId="134" fillId="25" borderId="8" xfId="0" applyFont="1" applyFill="1" applyBorder="1" applyAlignment="1">
      <alignment horizontal="center" vertical="center"/>
    </xf>
    <xf numFmtId="0" fontId="134" fillId="25" borderId="94" xfId="0" applyFont="1" applyFill="1" applyBorder="1" applyAlignment="1">
      <alignment horizontal="center" vertical="center"/>
    </xf>
    <xf numFmtId="0" fontId="134" fillId="25" borderId="3" xfId="0" applyFont="1" applyFill="1" applyBorder="1" applyAlignment="1">
      <alignment horizontal="center" vertical="center"/>
    </xf>
    <xf numFmtId="0" fontId="134" fillId="25" borderId="95" xfId="0" applyFont="1" applyFill="1" applyBorder="1" applyAlignment="1">
      <alignment horizontal="center" vertical="center"/>
    </xf>
    <xf numFmtId="0" fontId="134" fillId="25" borderId="96" xfId="0" applyFont="1" applyFill="1" applyBorder="1" applyAlignment="1">
      <alignment horizontal="center" vertical="center"/>
    </xf>
    <xf numFmtId="0" fontId="57" fillId="0" borderId="15" xfId="16" applyNumberFormat="1" applyFont="1" applyBorder="1" applyAlignment="1" applyProtection="1">
      <alignment horizontal="distributed" vertical="center" indent="2"/>
    </xf>
    <xf numFmtId="0" fontId="57" fillId="0" borderId="16" xfId="16" applyNumberFormat="1" applyFont="1" applyBorder="1" applyAlignment="1" applyProtection="1">
      <alignment horizontal="distributed" vertical="center" indent="2"/>
    </xf>
    <xf numFmtId="0" fontId="57" fillId="0" borderId="17" xfId="16" applyNumberFormat="1" applyFont="1" applyBorder="1" applyAlignment="1" applyProtection="1">
      <alignment horizontal="distributed" vertical="center" indent="2"/>
    </xf>
    <xf numFmtId="0" fontId="58" fillId="9" borderId="38" xfId="16" applyNumberFormat="1" applyFont="1" applyFill="1" applyBorder="1" applyAlignment="1" applyProtection="1">
      <alignment horizontal="distributed" vertical="center" shrinkToFit="1"/>
    </xf>
    <xf numFmtId="0" fontId="58" fillId="9" borderId="39" xfId="16" applyNumberFormat="1" applyFont="1" applyFill="1" applyBorder="1" applyAlignment="1" applyProtection="1">
      <alignment horizontal="distributed" vertical="center" shrinkToFit="1"/>
    </xf>
    <xf numFmtId="0" fontId="58" fillId="9" borderId="40" xfId="16" applyNumberFormat="1" applyFont="1" applyFill="1" applyBorder="1" applyAlignment="1" applyProtection="1">
      <alignment horizontal="distributed" vertical="center" shrinkToFit="1"/>
    </xf>
    <xf numFmtId="41" fontId="57" fillId="0" borderId="15" xfId="16" applyFont="1" applyBorder="1" applyAlignment="1" applyProtection="1">
      <alignment horizontal="left" vertical="center"/>
    </xf>
    <xf numFmtId="41" fontId="57" fillId="0" borderId="16" xfId="16" applyFont="1" applyBorder="1" applyAlignment="1" applyProtection="1">
      <alignment horizontal="left" vertical="center"/>
    </xf>
    <xf numFmtId="0" fontId="57" fillId="8" borderId="15" xfId="16" applyNumberFormat="1" applyFont="1" applyFill="1" applyBorder="1" applyAlignment="1" applyProtection="1">
      <alignment horizontal="distributed" vertical="center" indent="2"/>
    </xf>
    <xf numFmtId="0" fontId="57" fillId="8" borderId="16" xfId="16" applyNumberFormat="1" applyFont="1" applyFill="1" applyBorder="1" applyAlignment="1" applyProtection="1">
      <alignment horizontal="distributed" vertical="center" indent="2"/>
    </xf>
    <xf numFmtId="0" fontId="57" fillId="8" borderId="17" xfId="16" applyNumberFormat="1" applyFont="1" applyFill="1" applyBorder="1" applyAlignment="1" applyProtection="1">
      <alignment horizontal="distributed" vertical="center" indent="2"/>
    </xf>
    <xf numFmtId="41" fontId="57" fillId="8" borderId="15" xfId="16" applyFont="1" applyFill="1" applyBorder="1" applyAlignment="1" applyProtection="1">
      <alignment horizontal="left" vertical="center"/>
    </xf>
    <xf numFmtId="41" fontId="57" fillId="8" borderId="16" xfId="16" applyFont="1" applyFill="1" applyBorder="1" applyAlignment="1" applyProtection="1">
      <alignment horizontal="left" vertical="center"/>
    </xf>
    <xf numFmtId="41" fontId="57" fillId="0" borderId="18" xfId="16" applyFont="1" applyBorder="1" applyAlignment="1" applyProtection="1">
      <alignment horizontal="left" vertical="center"/>
    </xf>
    <xf numFmtId="41" fontId="57" fillId="0" borderId="22" xfId="16" applyFont="1" applyBorder="1" applyAlignment="1" applyProtection="1">
      <alignment horizontal="left" vertical="center"/>
    </xf>
    <xf numFmtId="41" fontId="57" fillId="0" borderId="15" xfId="16" quotePrefix="1" applyFont="1" applyBorder="1" applyAlignment="1" applyProtection="1">
      <alignment horizontal="left" vertical="center"/>
    </xf>
    <xf numFmtId="41" fontId="57" fillId="0" borderId="16" xfId="16" quotePrefix="1" applyFont="1" applyBorder="1" applyAlignment="1" applyProtection="1">
      <alignment horizontal="left" vertical="center"/>
    </xf>
    <xf numFmtId="41" fontId="57" fillId="0" borderId="34" xfId="16" applyFont="1" applyBorder="1" applyAlignment="1" applyProtection="1">
      <alignment horizontal="left" vertical="center"/>
    </xf>
    <xf numFmtId="41" fontId="57" fillId="0" borderId="35" xfId="16" applyFont="1" applyBorder="1" applyAlignment="1" applyProtection="1">
      <alignment horizontal="left" vertical="center"/>
    </xf>
    <xf numFmtId="41" fontId="233" fillId="8" borderId="34" xfId="16" applyFont="1" applyFill="1" applyBorder="1" applyAlignment="1" applyProtection="1">
      <alignment horizontal="left" vertical="center"/>
    </xf>
    <xf numFmtId="41" fontId="233" fillId="8" borderId="35" xfId="16" applyFont="1" applyFill="1" applyBorder="1" applyAlignment="1" applyProtection="1">
      <alignment horizontal="left" vertical="center"/>
    </xf>
    <xf numFmtId="41" fontId="57" fillId="0" borderId="57" xfId="16" applyFont="1" applyBorder="1" applyAlignment="1" applyProtection="1">
      <alignment horizontal="left" vertical="center"/>
    </xf>
    <xf numFmtId="41" fontId="57" fillId="0" borderId="58" xfId="16" applyFont="1" applyBorder="1" applyAlignment="1" applyProtection="1">
      <alignment horizontal="left" vertical="center"/>
    </xf>
    <xf numFmtId="41" fontId="57" fillId="0" borderId="60" xfId="16" applyFont="1" applyBorder="1" applyAlignment="1" applyProtection="1">
      <alignment horizontal="left" vertical="center"/>
    </xf>
    <xf numFmtId="41" fontId="57" fillId="0" borderId="2" xfId="16" applyFont="1" applyBorder="1" applyAlignment="1" applyProtection="1">
      <alignment horizontal="left" vertical="center"/>
    </xf>
    <xf numFmtId="0" fontId="61" fillId="0" borderId="36" xfId="17" applyFont="1" applyBorder="1">
      <alignment vertical="center"/>
    </xf>
    <xf numFmtId="41" fontId="57" fillId="0" borderId="24" xfId="16" applyFont="1" applyBorder="1" applyAlignment="1" applyProtection="1">
      <alignment horizontal="center" vertical="center" textRotation="255"/>
    </xf>
    <xf numFmtId="41" fontId="57" fillId="0" borderId="20" xfId="16" applyFont="1" applyBorder="1" applyAlignment="1" applyProtection="1">
      <alignment horizontal="center" vertical="center" textRotation="255"/>
    </xf>
    <xf numFmtId="41" fontId="57" fillId="0" borderId="28" xfId="16" applyFont="1" applyBorder="1" applyAlignment="1" applyProtection="1">
      <alignment horizontal="left" vertical="center"/>
    </xf>
    <xf numFmtId="41" fontId="57" fillId="0" borderId="29" xfId="16" applyFont="1" applyBorder="1" applyAlignment="1" applyProtection="1">
      <alignment horizontal="left" vertical="center"/>
    </xf>
    <xf numFmtId="41" fontId="57" fillId="0" borderId="28" xfId="16" applyFont="1" applyBorder="1" applyAlignment="1" applyProtection="1">
      <alignment horizontal="center" vertical="center"/>
    </xf>
    <xf numFmtId="41" fontId="57" fillId="0" borderId="29" xfId="16" applyFont="1" applyBorder="1" applyAlignment="1" applyProtection="1">
      <alignment horizontal="center" vertical="center"/>
    </xf>
    <xf numFmtId="41" fontId="57" fillId="0" borderId="60" xfId="16" applyFont="1" applyBorder="1" applyAlignment="1" applyProtection="1">
      <alignment horizontal="center" vertical="center"/>
    </xf>
    <xf numFmtId="41" fontId="57" fillId="0" borderId="2" xfId="16" applyFont="1" applyBorder="1" applyAlignment="1" applyProtection="1">
      <alignment horizontal="center" vertical="center"/>
    </xf>
    <xf numFmtId="41" fontId="56" fillId="0" borderId="0" xfId="16" applyFont="1" applyAlignment="1" applyProtection="1">
      <alignment horizontal="center"/>
    </xf>
    <xf numFmtId="41" fontId="58" fillId="5" borderId="12" xfId="16" applyFont="1" applyFill="1" applyBorder="1" applyAlignment="1" applyProtection="1">
      <alignment horizontal="center" vertical="center"/>
    </xf>
    <xf numFmtId="41" fontId="58" fillId="5" borderId="13" xfId="16" applyFont="1" applyFill="1" applyBorder="1" applyAlignment="1" applyProtection="1">
      <alignment horizontal="center" vertical="center"/>
    </xf>
    <xf numFmtId="41" fontId="58" fillId="5" borderId="18" xfId="16" applyFont="1" applyFill="1" applyBorder="1" applyAlignment="1" applyProtection="1">
      <alignment horizontal="center" vertical="center"/>
    </xf>
    <xf numFmtId="41" fontId="58" fillId="5" borderId="19" xfId="16" applyFont="1" applyFill="1" applyBorder="1" applyAlignment="1" applyProtection="1">
      <alignment horizontal="center" vertical="center"/>
    </xf>
    <xf numFmtId="41" fontId="58" fillId="5" borderId="14" xfId="16" applyFont="1" applyFill="1" applyBorder="1" applyAlignment="1" applyProtection="1">
      <alignment horizontal="center" vertical="center"/>
    </xf>
    <xf numFmtId="41" fontId="58" fillId="5" borderId="20" xfId="16" applyFont="1" applyFill="1" applyBorder="1" applyAlignment="1" applyProtection="1">
      <alignment horizontal="center" vertical="center"/>
    </xf>
    <xf numFmtId="41" fontId="59" fillId="5" borderId="15" xfId="16" applyFont="1" applyFill="1" applyBorder="1" applyAlignment="1" applyProtection="1">
      <alignment horizontal="center" vertical="center"/>
    </xf>
    <xf numFmtId="41" fontId="59" fillId="5" borderId="16" xfId="16" applyFont="1" applyFill="1" applyBorder="1" applyAlignment="1" applyProtection="1">
      <alignment horizontal="center" vertical="center"/>
    </xf>
    <xf numFmtId="41" fontId="59" fillId="5" borderId="17" xfId="16" applyFont="1" applyFill="1" applyBorder="1" applyAlignment="1" applyProtection="1">
      <alignment horizontal="center" vertical="center"/>
    </xf>
    <xf numFmtId="41" fontId="58" fillId="5" borderId="15" xfId="16" applyFont="1" applyFill="1" applyBorder="1" applyAlignment="1" applyProtection="1">
      <alignment horizontal="center" vertical="center"/>
    </xf>
    <xf numFmtId="41" fontId="58" fillId="5" borderId="17" xfId="16" applyFont="1" applyFill="1" applyBorder="1" applyAlignment="1" applyProtection="1">
      <alignment horizontal="center" vertical="center"/>
    </xf>
    <xf numFmtId="0" fontId="50" fillId="0" borderId="4" xfId="20" applyFont="1" applyBorder="1" applyAlignment="1">
      <alignment horizontal="center" vertical="center" wrapText="1"/>
    </xf>
    <xf numFmtId="0" fontId="2" fillId="0" borderId="0" xfId="0" quotePrefix="1" applyFont="1" applyAlignment="1">
      <alignment horizontal="center" vertical="center"/>
    </xf>
    <xf numFmtId="0" fontId="0" fillId="0" borderId="0" xfId="0" quotePrefix="1" applyFont="1" applyAlignment="1">
      <alignment vertical="center"/>
    </xf>
    <xf numFmtId="0" fontId="3" fillId="0" borderId="1" xfId="0" quotePrefix="1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 wrapText="1"/>
    </xf>
    <xf numFmtId="0" fontId="221" fillId="0" borderId="7" xfId="0" quotePrefix="1" applyFont="1" applyBorder="1" applyAlignment="1">
      <alignment horizontal="center" vertical="center"/>
    </xf>
    <xf numFmtId="0" fontId="221" fillId="0" borderId="2" xfId="0" quotePrefix="1" applyFont="1" applyBorder="1" applyAlignment="1">
      <alignment horizontal="center" vertical="center"/>
    </xf>
    <xf numFmtId="0" fontId="0" fillId="0" borderId="0" xfId="0" quotePrefix="1">
      <alignment vertical="center"/>
    </xf>
    <xf numFmtId="0" fontId="0" fillId="15" borderId="0" xfId="0" quotePrefix="1" applyFill="1">
      <alignment vertical="center"/>
    </xf>
    <xf numFmtId="0" fontId="3" fillId="15" borderId="1" xfId="0" quotePrefix="1" applyFont="1" applyFill="1" applyBorder="1" applyAlignment="1">
      <alignment horizontal="center" vertical="center"/>
    </xf>
    <xf numFmtId="182" fontId="3" fillId="15" borderId="1" xfId="0" quotePrefix="1" applyNumberFormat="1" applyFont="1" applyFill="1" applyBorder="1" applyAlignment="1">
      <alignment horizontal="center" vertical="center"/>
    </xf>
    <xf numFmtId="182" fontId="221" fillId="15" borderId="6" xfId="0" quotePrefix="1" applyNumberFormat="1" applyFont="1" applyFill="1" applyBorder="1" applyAlignment="1">
      <alignment horizontal="center" vertical="center"/>
    </xf>
    <xf numFmtId="182" fontId="221" fillId="15" borderId="3" xfId="0" quotePrefix="1" applyNumberFormat="1" applyFont="1" applyFill="1" applyBorder="1" applyAlignment="1">
      <alignment horizontal="center" vertical="center"/>
    </xf>
    <xf numFmtId="0" fontId="221" fillId="15" borderId="7" xfId="0" quotePrefix="1" applyFont="1" applyFill="1" applyBorder="1" applyAlignment="1">
      <alignment horizontal="center" vertical="center"/>
    </xf>
    <xf numFmtId="0" fontId="221" fillId="15" borderId="2" xfId="0" quotePrefix="1" applyFont="1" applyFill="1" applyBorder="1" applyAlignment="1">
      <alignment horizontal="center" vertical="center"/>
    </xf>
    <xf numFmtId="0" fontId="224" fillId="8" borderId="1" xfId="0" applyFont="1" applyFill="1" applyBorder="1" applyAlignment="1">
      <alignment vertical="center" wrapText="1"/>
    </xf>
    <xf numFmtId="178" fontId="224" fillId="8" borderId="1" xfId="0" applyNumberFormat="1" applyFont="1" applyFill="1" applyBorder="1" applyAlignment="1">
      <alignment vertical="center" wrapText="1"/>
    </xf>
    <xf numFmtId="179" fontId="224" fillId="8" borderId="1" xfId="0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 wrapText="1"/>
    </xf>
    <xf numFmtId="178" fontId="5" fillId="8" borderId="1" xfId="0" applyNumberFormat="1" applyFont="1" applyFill="1" applyBorder="1" applyAlignment="1">
      <alignment vertical="center" wrapText="1"/>
    </xf>
    <xf numFmtId="179" fontId="5" fillId="8" borderId="1" xfId="0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178" fontId="5" fillId="0" borderId="1" xfId="0" applyNumberFormat="1" applyFont="1" applyFill="1" applyBorder="1" applyAlignment="1">
      <alignment vertical="center" wrapText="1"/>
    </xf>
    <xf numFmtId="179" fontId="5" fillId="0" borderId="1" xfId="0" applyNumberFormat="1" applyFont="1" applyFill="1" applyBorder="1" applyAlignment="1">
      <alignment vertical="center" wrapText="1"/>
    </xf>
    <xf numFmtId="0" fontId="0" fillId="8" borderId="1" xfId="0" applyFont="1" applyFill="1" applyBorder="1" applyAlignment="1">
      <alignment vertical="center" wrapText="1"/>
    </xf>
    <xf numFmtId="0" fontId="3" fillId="0" borderId="1" xfId="0" quotePrefix="1" applyFont="1" applyFill="1" applyBorder="1" applyAlignment="1">
      <alignment horizontal="center" vertical="center"/>
    </xf>
    <xf numFmtId="41" fontId="33" fillId="0" borderId="0" xfId="1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41" fontId="12" fillId="0" borderId="6" xfId="1839" applyFont="1" applyBorder="1" applyAlignment="1">
      <alignment horizontal="center" vertical="center"/>
    </xf>
    <xf numFmtId="41" fontId="12" fillId="0" borderId="3" xfId="1839" applyFont="1" applyBorder="1" applyAlignment="1">
      <alignment horizontal="center" vertical="center"/>
    </xf>
    <xf numFmtId="41" fontId="12" fillId="0" borderId="84" xfId="1839" applyFont="1" applyBorder="1" applyAlignment="1">
      <alignment horizontal="center" vertical="center"/>
    </xf>
    <xf numFmtId="41" fontId="12" fillId="0" borderId="85" xfId="1839" applyFont="1" applyBorder="1" applyAlignment="1">
      <alignment horizontal="center" vertical="center"/>
    </xf>
    <xf numFmtId="41" fontId="12" fillId="0" borderId="9" xfId="1839" applyFont="1" applyBorder="1" applyAlignment="1">
      <alignment horizontal="center" vertical="center"/>
    </xf>
    <xf numFmtId="41" fontId="12" fillId="0" borderId="88" xfId="1839" applyFont="1" applyBorder="1" applyAlignment="1">
      <alignment horizontal="center" vertical="center"/>
    </xf>
    <xf numFmtId="41" fontId="12" fillId="0" borderId="4" xfId="1839" applyFont="1" applyBorder="1" applyAlignment="1">
      <alignment horizontal="center" vertical="center"/>
    </xf>
    <xf numFmtId="41" fontId="12" fillId="0" borderId="8" xfId="1839" applyFont="1" applyBorder="1" applyAlignment="1">
      <alignment horizontal="center" vertical="center"/>
    </xf>
    <xf numFmtId="41" fontId="12" fillId="0" borderId="6" xfId="1839" applyFont="1" applyBorder="1" applyAlignment="1">
      <alignment horizontal="center" vertical="center" wrapText="1"/>
    </xf>
    <xf numFmtId="41" fontId="12" fillId="0" borderId="5" xfId="1839" applyFont="1" applyBorder="1" applyAlignment="1">
      <alignment horizontal="center" vertical="center"/>
    </xf>
    <xf numFmtId="41" fontId="40" fillId="0" borderId="7" xfId="1839" applyFont="1" applyFill="1" applyBorder="1" applyAlignment="1">
      <alignment horizontal="center" vertical="center" shrinkToFit="1"/>
    </xf>
    <xf numFmtId="41" fontId="40" fillId="0" borderId="2" xfId="1839" applyFont="1" applyFill="1" applyBorder="1" applyAlignment="1">
      <alignment horizontal="center" vertical="center" shrinkToFit="1"/>
    </xf>
    <xf numFmtId="0" fontId="135" fillId="0" borderId="7" xfId="1839" applyNumberFormat="1" applyFont="1" applyFill="1" applyBorder="1" applyAlignment="1">
      <alignment horizontal="left" vertical="center" shrinkToFit="1"/>
    </xf>
    <xf numFmtId="0" fontId="135" fillId="0" borderId="2" xfId="1839" applyNumberFormat="1" applyFont="1" applyFill="1" applyBorder="1" applyAlignment="1">
      <alignment horizontal="left" vertical="center" shrinkToFit="1"/>
    </xf>
    <xf numFmtId="41" fontId="196" fillId="0" borderId="87" xfId="1839" applyFont="1" applyFill="1" applyBorder="1" applyAlignment="1">
      <alignment horizontal="center" vertical="center"/>
    </xf>
    <xf numFmtId="0" fontId="196" fillId="0" borderId="5" xfId="872" applyFont="1" applyFill="1" applyBorder="1" applyAlignment="1">
      <alignment horizontal="center" vertical="center"/>
    </xf>
    <xf numFmtId="0" fontId="196" fillId="0" borderId="86" xfId="872" applyFont="1" applyFill="1" applyBorder="1" applyAlignment="1">
      <alignment horizontal="center" vertical="center"/>
    </xf>
    <xf numFmtId="41" fontId="135" fillId="0" borderId="6" xfId="1839" applyFont="1" applyFill="1" applyBorder="1" applyAlignment="1">
      <alignment horizontal="center" vertical="center"/>
    </xf>
    <xf numFmtId="41" fontId="135" fillId="0" borderId="3" xfId="1839" applyFont="1" applyFill="1" applyBorder="1" applyAlignment="1">
      <alignment horizontal="center" vertical="center"/>
    </xf>
    <xf numFmtId="42" fontId="135" fillId="0" borderId="6" xfId="1839" applyNumberFormat="1" applyFont="1" applyFill="1" applyBorder="1" applyAlignment="1">
      <alignment horizontal="center" vertical="center" shrinkToFit="1"/>
    </xf>
    <xf numFmtId="42" fontId="135" fillId="0" borderId="3" xfId="1839" applyNumberFormat="1" applyFont="1" applyFill="1" applyBorder="1" applyAlignment="1">
      <alignment horizontal="center" vertical="center" shrinkToFit="1"/>
    </xf>
    <xf numFmtId="41" fontId="135" fillId="0" borderId="84" xfId="1839" applyFont="1" applyFill="1" applyBorder="1" applyAlignment="1">
      <alignment horizontal="center" vertical="center" shrinkToFit="1"/>
    </xf>
    <xf numFmtId="41" fontId="135" fillId="0" borderId="9" xfId="1839" applyFont="1" applyFill="1" applyBorder="1" applyAlignment="1">
      <alignment horizontal="center" vertical="center" shrinkToFit="1"/>
    </xf>
    <xf numFmtId="41" fontId="135" fillId="0" borderId="88" xfId="1839" applyFont="1" applyFill="1" applyBorder="1" applyAlignment="1">
      <alignment horizontal="center" vertical="center" shrinkToFit="1"/>
    </xf>
    <xf numFmtId="41" fontId="135" fillId="0" borderId="8" xfId="1839" applyFont="1" applyFill="1" applyBorder="1" applyAlignment="1">
      <alignment horizontal="center" vertical="center" shrinkToFit="1"/>
    </xf>
    <xf numFmtId="306" fontId="135" fillId="0" borderId="2" xfId="1839" applyNumberFormat="1" applyFont="1" applyFill="1" applyBorder="1" applyAlignment="1">
      <alignment horizontal="center" vertical="center" shrinkToFit="1"/>
    </xf>
    <xf numFmtId="41" fontId="135" fillId="0" borderId="1" xfId="1839" applyFont="1" applyFill="1" applyBorder="1" applyAlignment="1">
      <alignment horizontal="center" vertical="center" shrinkToFit="1"/>
    </xf>
    <xf numFmtId="41" fontId="135" fillId="0" borderId="7" xfId="1839" applyFont="1" applyFill="1" applyBorder="1" applyAlignment="1">
      <alignment horizontal="center" vertical="center" shrinkToFit="1"/>
    </xf>
    <xf numFmtId="41" fontId="135" fillId="0" borderId="2" xfId="1839" applyFont="1" applyFill="1" applyBorder="1" applyAlignment="1">
      <alignment horizontal="center" vertical="center" shrinkToFit="1"/>
    </xf>
    <xf numFmtId="41" fontId="134" fillId="0" borderId="0" xfId="10" applyFont="1" applyFill="1" applyBorder="1" applyAlignment="1">
      <alignment horizontal="center" vertical="center"/>
    </xf>
    <xf numFmtId="0" fontId="134" fillId="0" borderId="0" xfId="872" applyFont="1" applyFill="1" applyBorder="1" applyAlignment="1">
      <alignment horizontal="center" vertical="center"/>
    </xf>
    <xf numFmtId="41" fontId="40" fillId="0" borderId="1" xfId="10" applyFont="1" applyFill="1" applyBorder="1" applyAlignment="1">
      <alignment horizontal="center" vertical="center"/>
    </xf>
    <xf numFmtId="42" fontId="40" fillId="0" borderId="1" xfId="10" applyNumberFormat="1" applyFont="1" applyFill="1" applyBorder="1" applyAlignment="1">
      <alignment horizontal="center" vertical="center"/>
    </xf>
    <xf numFmtId="256" fontId="40" fillId="0" borderId="1" xfId="10" applyNumberFormat="1" applyFont="1" applyFill="1" applyBorder="1" applyAlignment="1">
      <alignment horizontal="center" vertical="center"/>
    </xf>
    <xf numFmtId="189" fontId="40" fillId="0" borderId="1" xfId="10" applyNumberFormat="1" applyFont="1" applyFill="1" applyBorder="1" applyAlignment="1">
      <alignment horizontal="center" vertical="center"/>
    </xf>
    <xf numFmtId="257" fontId="40" fillId="0" borderId="1" xfId="10" applyNumberFormat="1" applyFont="1" applyFill="1" applyBorder="1" applyAlignment="1">
      <alignment horizontal="center" vertical="center"/>
    </xf>
    <xf numFmtId="1" fontId="174" fillId="0" borderId="0" xfId="877" applyFont="1" applyFill="1" applyAlignment="1">
      <alignment horizontal="center" vertical="center"/>
    </xf>
    <xf numFmtId="0" fontId="174" fillId="0" borderId="0" xfId="872" applyFont="1" applyFill="1" applyAlignment="1">
      <alignment horizontal="center" vertical="center"/>
    </xf>
    <xf numFmtId="1" fontId="179" fillId="0" borderId="1" xfId="877" applyFont="1" applyBorder="1" applyAlignment="1">
      <alignment horizontal="center" vertical="center"/>
    </xf>
    <xf numFmtId="0" fontId="186" fillId="0" borderId="0" xfId="877" applyNumberFormat="1" applyFont="1" applyAlignment="1">
      <alignment horizontal="center" vertical="center"/>
    </xf>
    <xf numFmtId="0" fontId="186" fillId="0" borderId="0" xfId="872" applyFont="1" applyAlignment="1">
      <alignment horizontal="center" vertical="center"/>
    </xf>
    <xf numFmtId="1" fontId="179" fillId="0" borderId="6" xfId="877" applyFont="1" applyBorder="1" applyAlignment="1">
      <alignment horizontal="center" vertical="center"/>
    </xf>
    <xf numFmtId="1" fontId="177" fillId="0" borderId="3" xfId="877" applyFont="1" applyBorder="1" applyAlignment="1">
      <alignment horizontal="center" vertical="center"/>
    </xf>
    <xf numFmtId="1" fontId="177" fillId="0" borderId="1" xfId="877" applyFont="1" applyBorder="1" applyAlignment="1">
      <alignment vertical="center"/>
    </xf>
    <xf numFmtId="187" fontId="179" fillId="0" borderId="1" xfId="877" applyNumberFormat="1" applyFont="1" applyBorder="1" applyAlignment="1">
      <alignment horizontal="center" vertical="center"/>
    </xf>
    <xf numFmtId="37" fontId="179" fillId="0" borderId="1" xfId="877" applyNumberFormat="1" applyFont="1" applyBorder="1" applyAlignment="1">
      <alignment horizontal="center" vertical="center"/>
    </xf>
    <xf numFmtId="0" fontId="197" fillId="15" borderId="1" xfId="872" applyFont="1" applyFill="1" applyBorder="1" applyAlignment="1">
      <alignment horizontal="center" vertical="center"/>
    </xf>
    <xf numFmtId="0" fontId="195" fillId="15" borderId="0" xfId="872" applyFont="1" applyFill="1" applyBorder="1" applyAlignment="1">
      <alignment horizontal="center" vertical="center"/>
    </xf>
    <xf numFmtId="0" fontId="197" fillId="0" borderId="1" xfId="872" applyFont="1" applyFill="1" applyBorder="1" applyAlignment="1">
      <alignment horizontal="center" vertical="center"/>
    </xf>
    <xf numFmtId="0" fontId="197" fillId="15" borderId="6" xfId="872" applyFont="1" applyFill="1" applyBorder="1" applyAlignment="1">
      <alignment horizontal="center" vertical="center"/>
    </xf>
    <xf numFmtId="0" fontId="197" fillId="15" borderId="3" xfId="872" applyFont="1" applyFill="1" applyBorder="1" applyAlignment="1">
      <alignment horizontal="center" vertical="center"/>
    </xf>
    <xf numFmtId="0" fontId="198" fillId="0" borderId="0" xfId="872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0" fontId="13" fillId="0" borderId="0" xfId="3" quotePrefix="1" applyFont="1">
      <alignment vertical="center"/>
    </xf>
    <xf numFmtId="0" fontId="13" fillId="0" borderId="1" xfId="3" applyFont="1" applyBorder="1" applyAlignment="1">
      <alignment horizontal="center" vertical="center"/>
    </xf>
    <xf numFmtId="0" fontId="12" fillId="0" borderId="0" xfId="3" quotePrefix="1">
      <alignment vertical="center"/>
    </xf>
    <xf numFmtId="0" fontId="13" fillId="0" borderId="1" xfId="3" applyNumberFormat="1" applyFont="1" applyBorder="1" applyAlignment="1">
      <alignment horizontal="center" vertical="center"/>
    </xf>
    <xf numFmtId="186" fontId="13" fillId="0" borderId="1" xfId="3" applyNumberFormat="1" applyFont="1" applyBorder="1" applyAlignment="1">
      <alignment horizontal="center" vertical="center"/>
    </xf>
    <xf numFmtId="0" fontId="37" fillId="0" borderId="4" xfId="15" applyFont="1" applyBorder="1" applyAlignment="1"/>
    <xf numFmtId="0" fontId="9" fillId="0" borderId="4" xfId="15" applyBorder="1" applyAlignment="1"/>
    <xf numFmtId="0" fontId="37" fillId="0" borderId="6" xfId="15" applyFont="1" applyBorder="1" applyAlignment="1">
      <alignment horizontal="center" vertical="center"/>
    </xf>
    <xf numFmtId="0" fontId="37" fillId="0" borderId="5" xfId="15" applyFont="1" applyBorder="1" applyAlignment="1">
      <alignment horizontal="center" vertical="center"/>
    </xf>
    <xf numFmtId="0" fontId="37" fillId="0" borderId="3" xfId="15" applyFont="1" applyBorder="1" applyAlignment="1">
      <alignment horizontal="center" vertical="center"/>
    </xf>
    <xf numFmtId="49" fontId="37" fillId="0" borderId="6" xfId="15" applyNumberFormat="1" applyFont="1" applyBorder="1" applyAlignment="1">
      <alignment horizontal="center" vertical="center"/>
    </xf>
    <xf numFmtId="49" fontId="37" fillId="0" borderId="3" xfId="15" applyNumberFormat="1" applyFont="1" applyBorder="1" applyAlignment="1">
      <alignment horizontal="center" vertical="center"/>
    </xf>
    <xf numFmtId="190" fontId="42" fillId="0" borderId="7" xfId="0" quotePrefix="1" applyNumberFormat="1" applyFont="1" applyFill="1" applyBorder="1" applyAlignment="1">
      <alignment horizontal="center" vertical="center" wrapText="1"/>
    </xf>
    <xf numFmtId="190" fontId="42" fillId="0" borderId="2" xfId="0" quotePrefix="1" applyNumberFormat="1" applyFont="1" applyFill="1" applyBorder="1" applyAlignment="1">
      <alignment horizontal="center" vertical="center" wrapText="1"/>
    </xf>
    <xf numFmtId="190" fontId="42" fillId="0" borderId="7" xfId="0" quotePrefix="1" applyNumberFormat="1" applyFont="1" applyFill="1" applyBorder="1" applyAlignment="1">
      <alignment horizontal="left" vertical="center" wrapText="1"/>
    </xf>
    <xf numFmtId="190" fontId="42" fillId="0" borderId="2" xfId="0" quotePrefix="1" applyNumberFormat="1" applyFont="1" applyFill="1" applyBorder="1" applyAlignment="1">
      <alignment horizontal="left" vertical="center" wrapText="1"/>
    </xf>
    <xf numFmtId="190" fontId="39" fillId="0" borderId="6" xfId="0" applyNumberFormat="1" applyFont="1" applyFill="1" applyBorder="1" applyAlignment="1">
      <alignment horizontal="center" vertical="center" wrapText="1"/>
    </xf>
    <xf numFmtId="190" fontId="39" fillId="0" borderId="5" xfId="0" applyNumberFormat="1" applyFont="1" applyFill="1" applyBorder="1" applyAlignment="1">
      <alignment horizontal="center" vertical="center" wrapText="1"/>
    </xf>
    <xf numFmtId="190" fontId="39" fillId="0" borderId="3" xfId="0" applyNumberFormat="1" applyFont="1" applyFill="1" applyBorder="1" applyAlignment="1">
      <alignment horizontal="center" vertical="center" wrapText="1"/>
    </xf>
    <xf numFmtId="190" fontId="39" fillId="0" borderId="6" xfId="0" quotePrefix="1" applyNumberFormat="1" applyFont="1" applyFill="1" applyBorder="1" applyAlignment="1">
      <alignment horizontal="left" vertical="center" wrapText="1"/>
    </xf>
    <xf numFmtId="190" fontId="39" fillId="0" borderId="5" xfId="0" quotePrefix="1" applyNumberFormat="1" applyFont="1" applyFill="1" applyBorder="1" applyAlignment="1">
      <alignment horizontal="left" vertical="center" wrapText="1"/>
    </xf>
    <xf numFmtId="190" fontId="39" fillId="0" borderId="3" xfId="0" quotePrefix="1" applyNumberFormat="1" applyFont="1" applyFill="1" applyBorder="1" applyAlignment="1">
      <alignment horizontal="left" vertical="center" wrapText="1"/>
    </xf>
    <xf numFmtId="190" fontId="39" fillId="2" borderId="6" xfId="0" applyNumberFormat="1" applyFont="1" applyFill="1" applyBorder="1" applyAlignment="1">
      <alignment horizontal="center" vertical="center" wrapText="1"/>
    </xf>
    <xf numFmtId="190" fontId="39" fillId="2" borderId="5" xfId="0" applyNumberFormat="1" applyFont="1" applyFill="1" applyBorder="1" applyAlignment="1">
      <alignment horizontal="center" vertical="center" wrapText="1"/>
    </xf>
    <xf numFmtId="190" fontId="39" fillId="2" borderId="3" xfId="0" applyNumberFormat="1" applyFont="1" applyFill="1" applyBorder="1" applyAlignment="1">
      <alignment horizontal="center" vertical="center" wrapText="1"/>
    </xf>
    <xf numFmtId="190" fontId="42" fillId="4" borderId="6" xfId="0" applyNumberFormat="1" applyFont="1" applyFill="1" applyBorder="1" applyAlignment="1">
      <alignment horizontal="center" vertical="center" wrapText="1"/>
    </xf>
    <xf numFmtId="190" fontId="42" fillId="4" borderId="5" xfId="0" applyNumberFormat="1" applyFont="1" applyFill="1" applyBorder="1" applyAlignment="1">
      <alignment horizontal="center" vertical="center" wrapText="1"/>
    </xf>
    <xf numFmtId="190" fontId="42" fillId="4" borderId="3" xfId="0" applyNumberFormat="1" applyFont="1" applyFill="1" applyBorder="1" applyAlignment="1">
      <alignment horizontal="center" vertical="center" wrapText="1"/>
    </xf>
    <xf numFmtId="190" fontId="40" fillId="0" borderId="1" xfId="0" quotePrefix="1" applyNumberFormat="1" applyFont="1" applyFill="1" applyBorder="1" applyAlignment="1">
      <alignment horizontal="center" vertical="center"/>
    </xf>
    <xf numFmtId="190" fontId="42" fillId="0" borderId="1" xfId="0" quotePrefix="1" applyNumberFormat="1" applyFont="1" applyFill="1" applyBorder="1" applyAlignment="1">
      <alignment horizontal="center" vertical="center" wrapText="1"/>
    </xf>
    <xf numFmtId="190" fontId="40" fillId="0" borderId="7" xfId="0" quotePrefix="1" applyNumberFormat="1" applyFont="1" applyFill="1" applyBorder="1" applyAlignment="1">
      <alignment horizontal="center" vertical="center"/>
    </xf>
    <xf numFmtId="190" fontId="40" fillId="0" borderId="2" xfId="0" quotePrefix="1" applyNumberFormat="1" applyFont="1" applyFill="1" applyBorder="1" applyAlignment="1">
      <alignment horizontal="center" vertical="center"/>
    </xf>
  </cellXfs>
  <cellStyles count="8543">
    <cellStyle name="' '" xfId="879"/>
    <cellStyle name="          _x000d__x000a_386grabber=vga.3gr_x000d__x000a_" xfId="880"/>
    <cellStyle name="Ი_x000b_" xfId="881"/>
    <cellStyle name="&quot;" xfId="21"/>
    <cellStyle name="&quot;_1)광주과학관시설" xfId="882"/>
    <cellStyle name="&quot;_1)광주과학관시설0331" xfId="883"/>
    <cellStyle name="&quot;_덧마루제작설치(계약)" xfId="22"/>
    <cellStyle name="&quot;_덧마루제작설치(계약)_미술관(최종)" xfId="23"/>
    <cellStyle name="&quot;_미술관(최종)." xfId="24"/>
    <cellStyle name="#" xfId="25"/>
    <cellStyle name="#,##0" xfId="26"/>
    <cellStyle name="#,##0 10" xfId="2886"/>
    <cellStyle name="#,##0 11" xfId="4099"/>
    <cellStyle name="#,##0 12" xfId="2595"/>
    <cellStyle name="#,##0 13" xfId="4210"/>
    <cellStyle name="#,##0 14" xfId="2486"/>
    <cellStyle name="#,##0 15" xfId="2539"/>
    <cellStyle name="#,##0 16" xfId="3894"/>
    <cellStyle name="#,##0 17" xfId="3872"/>
    <cellStyle name="#,##0 18" xfId="2799"/>
    <cellStyle name="#,##0 19" xfId="3628"/>
    <cellStyle name="#,##0 2" xfId="2470"/>
    <cellStyle name="#,##0 20" xfId="3008"/>
    <cellStyle name="#,##0 21" xfId="4940"/>
    <cellStyle name="#,##0 22" xfId="2851"/>
    <cellStyle name="#,##0 23" xfId="3966"/>
    <cellStyle name="#,##0 24" xfId="3112"/>
    <cellStyle name="#,##0 25" xfId="4026"/>
    <cellStyle name="#,##0 26" xfId="2668"/>
    <cellStyle name="#,##0 27" xfId="4156"/>
    <cellStyle name="#,##0 28" xfId="4337"/>
    <cellStyle name="#,##0 29" xfId="5458"/>
    <cellStyle name="#,##0 3" xfId="3729"/>
    <cellStyle name="#,##0 30" xfId="5347"/>
    <cellStyle name="#,##0 31" xfId="4512"/>
    <cellStyle name="#,##0 32" xfId="3651"/>
    <cellStyle name="#,##0 33" xfId="5164"/>
    <cellStyle name="#,##0 34" xfId="3906"/>
    <cellStyle name="#,##0 35" xfId="5368"/>
    <cellStyle name="#,##0 36" xfId="4308"/>
    <cellStyle name="#,##0 37" xfId="4366"/>
    <cellStyle name="#,##0 38" xfId="5198"/>
    <cellStyle name="#,##0 39" xfId="5302"/>
    <cellStyle name="#,##0 4" xfId="3891"/>
    <cellStyle name="#,##0 40" xfId="5402"/>
    <cellStyle name="#,##0 41" xfId="5506"/>
    <cellStyle name="#,##0 42" xfId="5606"/>
    <cellStyle name="#,##0 43" xfId="6182"/>
    <cellStyle name="#,##0 44" xfId="4624"/>
    <cellStyle name="#,##0 45" xfId="6374"/>
    <cellStyle name="#,##0 46" xfId="4997"/>
    <cellStyle name="#,##0 47" xfId="5097"/>
    <cellStyle name="#,##0 48" xfId="6658"/>
    <cellStyle name="#,##0 49" xfId="3820"/>
    <cellStyle name="#,##0 5" xfId="2785"/>
    <cellStyle name="#,##0 50" xfId="5498"/>
    <cellStyle name="#,##0 51" xfId="6660"/>
    <cellStyle name="#,##0 52" xfId="6597"/>
    <cellStyle name="#,##0 53" xfId="6840"/>
    <cellStyle name="#,##0 54" xfId="6781"/>
    <cellStyle name="#,##0 55" xfId="6094"/>
    <cellStyle name="#,##0 56" xfId="6959"/>
    <cellStyle name="#,##0 57" xfId="7044"/>
    <cellStyle name="#,##0 6" xfId="3643"/>
    <cellStyle name="#,##0 7" xfId="2995"/>
    <cellStyle name="#,##0 8" xfId="3668"/>
    <cellStyle name="#,##0 9" xfId="2973"/>
    <cellStyle name="#,##0.0" xfId="27"/>
    <cellStyle name="#,##0.00" xfId="28"/>
    <cellStyle name="#,##0.000" xfId="29"/>
    <cellStyle name="#,##0_11.11 덕수궁미술관 락카룸 조성공사" xfId="30"/>
    <cellStyle name="#_1)농경문화관 전시" xfId="884"/>
    <cellStyle name="#_1. 의장-1" xfId="885"/>
    <cellStyle name="#_5.영상HW-3" xfId="886"/>
    <cellStyle name="#_덧마루제작설치(계약)" xfId="31"/>
    <cellStyle name="#_덧마루제작설치(계약)_미술관(최종)" xfId="32"/>
    <cellStyle name="#_실시설계(060905)양식" xfId="887"/>
    <cellStyle name="#_실시설계(070305)" xfId="888"/>
    <cellStyle name="#_우표제작" xfId="889"/>
    <cellStyle name="#_회의실장관실최종(1)" xfId="33"/>
    <cellStyle name="$" xfId="34"/>
    <cellStyle name="_x0004__x0004__x0019__x001b__x0004_$_x0010__x0010__x0008__x0001_" xfId="890"/>
    <cellStyle name="$_0008금감원통합감독검사정보시스템" xfId="891"/>
    <cellStyle name="$_0009김포공항LED교체공사(광일)" xfId="35"/>
    <cellStyle name="$_0011KIST소각설비제작설치" xfId="36"/>
    <cellStyle name="$_0011긴급전화기정산(99년형광일)" xfId="37"/>
    <cellStyle name="$_0011부산종합경기장전광판" xfId="38"/>
    <cellStyle name="$_0011부산종합경기장전광판_1)농경문화관 전시" xfId="892"/>
    <cellStyle name="$_0011부산종합경기장전광판_강원지역본부(2006년_060109)" xfId="893"/>
    <cellStyle name="$_0011부산종합경기장전광판_경남지역본부-" xfId="894"/>
    <cellStyle name="$_0011부산종합경기장전광판_경북지역본부-" xfId="895"/>
    <cellStyle name="$_0011부산종합경기장전광판_중부지역본부-" xfId="896"/>
    <cellStyle name="$_0011부산종합경기장전광판_충청지역본부-" xfId="897"/>
    <cellStyle name="$_0011부산종합경기장전광판_통행료면탈방지시스템(최종)" xfId="898"/>
    <cellStyle name="$_0011부산종합경기장전광판_호남지역본부-" xfId="899"/>
    <cellStyle name="$_0012문화유적지표석제작설치" xfId="39"/>
    <cellStyle name="$_0102국제조명신공항분수조명" xfId="900"/>
    <cellStyle name="$_0102국제조명신공항분수조명_1)농경문화관 전시" xfId="901"/>
    <cellStyle name="$_0102국제조명신공항분수조명_강원지역본부(2006년_060109)" xfId="902"/>
    <cellStyle name="$_0102국제조명신공항분수조명_경남지역본부-" xfId="903"/>
    <cellStyle name="$_0102국제조명신공항분수조명_경북지역본부-" xfId="904"/>
    <cellStyle name="$_0102국제조명신공항분수조명_중부지역본부-" xfId="905"/>
    <cellStyle name="$_0102국제조명신공항분수조명_충청지역본부-" xfId="906"/>
    <cellStyle name="$_0102국제조명신공항분수조명_통행료면탈방지시스템(최종)" xfId="907"/>
    <cellStyle name="$_0102국제조명신공항분수조명_호남지역본부-" xfId="908"/>
    <cellStyle name="$_0103회전식현수막게시대제작설치" xfId="909"/>
    <cellStyle name="$_0104포항시침출수처리시스템" xfId="910"/>
    <cellStyle name="$_0105담배자판기개조원가" xfId="40"/>
    <cellStyle name="$_0105담배자판기개조원가_1)농경문화관 전시" xfId="911"/>
    <cellStyle name="$_0105담배자판기개조원가_강원지역본부(2006년_060109)" xfId="912"/>
    <cellStyle name="$_0105담배자판기개조원가_경남지역본부-" xfId="913"/>
    <cellStyle name="$_0105담배자판기개조원가_경북지역본부-" xfId="914"/>
    <cellStyle name="$_0105담배자판기개조원가_중부지역본부-" xfId="915"/>
    <cellStyle name="$_0105담배자판기개조원가_충청지역본부-" xfId="916"/>
    <cellStyle name="$_0105담배자판기개조원가_통행료면탈방지시스템(최종)" xfId="917"/>
    <cellStyle name="$_0105담배자판기개조원가_호남지역본부-" xfId="918"/>
    <cellStyle name="$_0106LG인버터냉난방기제작-1" xfId="41"/>
    <cellStyle name="$_0106LG인버터냉난방기제작-1_1)농경문화관 전시" xfId="919"/>
    <cellStyle name="$_0106LG인버터냉난방기제작-1_강원지역본부(2006년_060109)" xfId="920"/>
    <cellStyle name="$_0106LG인버터냉난방기제작-1_경남지역본부-" xfId="921"/>
    <cellStyle name="$_0106LG인버터냉난방기제작-1_경북지역본부-" xfId="922"/>
    <cellStyle name="$_0106LG인버터냉난방기제작-1_중부지역본부-" xfId="923"/>
    <cellStyle name="$_0106LG인버터냉난방기제작-1_충청지역본부-" xfId="924"/>
    <cellStyle name="$_0106LG인버터냉난방기제작-1_통행료면탈방지시스템(최종)" xfId="925"/>
    <cellStyle name="$_0106LG인버터냉난방기제작-1_호남지역본부-" xfId="926"/>
    <cellStyle name="$_0107광전송장비구매설치" xfId="927"/>
    <cellStyle name="$_0107도공IBS설비SW부문(참조)" xfId="42"/>
    <cellStyle name="$_0107문화재복원용목재-8월6일" xfId="43"/>
    <cellStyle name="$_0107문화재복원용목재-8월6일_1)농경문화관 전시" xfId="928"/>
    <cellStyle name="$_0107문화재복원용목재-8월6일_강원지역본부(2006년_060109)" xfId="929"/>
    <cellStyle name="$_0107문화재복원용목재-8월6일_경남지역본부-" xfId="930"/>
    <cellStyle name="$_0107문화재복원용목재-8월6일_경북지역본부-" xfId="931"/>
    <cellStyle name="$_0107문화재복원용목재-8월6일_중부지역본부-" xfId="932"/>
    <cellStyle name="$_0107문화재복원용목재-8월6일_충청지역본부-" xfId="933"/>
    <cellStyle name="$_0107문화재복원용목재-8월6일_통행료면탈방지시스템(최종)" xfId="934"/>
    <cellStyle name="$_0107문화재복원용목재-8월6일_호남지역본부-" xfId="935"/>
    <cellStyle name="$_0107포천영중수배전반(제조,설치)" xfId="44"/>
    <cellStyle name="$_0108농기반미곡건조기제작설치" xfId="936"/>
    <cellStyle name="$_0108담배인삼공사영업춘추복" xfId="45"/>
    <cellStyle name="$_0108한국전기교통-LED교통신호등((원본))" xfId="46"/>
    <cellStyle name="$_0108한국전기교통-LED교통신호등((원본))_1)농경문화관 전시" xfId="937"/>
    <cellStyle name="$_0108한국전기교통-LED교통신호등((원본))_강원지역본부(2006년_060109)" xfId="938"/>
    <cellStyle name="$_0108한국전기교통-LED교통신호등((원본))_경남지역본부-" xfId="939"/>
    <cellStyle name="$_0108한국전기교통-LED교통신호등((원본))_경북지역본부-" xfId="940"/>
    <cellStyle name="$_0108한국전기교통-LED교통신호등((원본))_중부지역본부-" xfId="941"/>
    <cellStyle name="$_0108한국전기교통-LED교통신호등((원본))_충청지역본부-" xfId="942"/>
    <cellStyle name="$_0108한국전기교통-LED교통신호등((원본))_통행료면탈방지시스템(최종)" xfId="943"/>
    <cellStyle name="$_0108한국전기교통-LED교통신호등((원본))_호남지역본부-" xfId="944"/>
    <cellStyle name="$_0111해양수산부등명기제작" xfId="47"/>
    <cellStyle name="$_0111핸디소프트-전자표준문서시스템" xfId="48"/>
    <cellStyle name="$_0112금감원사무자동화시스템" xfId="49"/>
    <cellStyle name="$_0112수도권매립지SW원가" xfId="50"/>
    <cellStyle name="$_0112중고원-HRD종합정보망구축(完)" xfId="945"/>
    <cellStyle name="$_0201종합예술회관의자제작설치" xfId="946"/>
    <cellStyle name="$_0201종합예술회관의자제작설치-1" xfId="947"/>
    <cellStyle name="$_0202마사회근무복" xfId="948"/>
    <cellStyle name="$_0202마사회근무복_1)농경문화관 전시" xfId="949"/>
    <cellStyle name="$_0202마사회근무복_강원지역본부(2006년_060109)" xfId="950"/>
    <cellStyle name="$_0202마사회근무복_경남지역본부-" xfId="951"/>
    <cellStyle name="$_0202마사회근무복_경북지역본부-" xfId="952"/>
    <cellStyle name="$_0202마사회근무복_중부지역본부-" xfId="953"/>
    <cellStyle name="$_0202마사회근무복_충청지역본부-" xfId="954"/>
    <cellStyle name="$_0202마사회근무복_통행료면탈방지시스템(최종)" xfId="955"/>
    <cellStyle name="$_0202마사회근무복_호남지역본부-" xfId="956"/>
    <cellStyle name="$_0202부경교재-승강칠판" xfId="957"/>
    <cellStyle name="$_0202부경교재-승강칠판_1)농경문화관 전시" xfId="958"/>
    <cellStyle name="$_0202부경교재-승강칠판_강원지역본부(2006년_060109)" xfId="959"/>
    <cellStyle name="$_0202부경교재-승강칠판_경남지역본부-" xfId="960"/>
    <cellStyle name="$_0202부경교재-승강칠판_경북지역본부-" xfId="961"/>
    <cellStyle name="$_0202부경교재-승강칠판_중부지역본부-" xfId="962"/>
    <cellStyle name="$_0202부경교재-승강칠판_충청지역본부-" xfId="963"/>
    <cellStyle name="$_0202부경교재-승강칠판_통행료면탈방지시스템(최종)" xfId="964"/>
    <cellStyle name="$_0202부경교재-승강칠판_호남지역본부-" xfId="965"/>
    <cellStyle name="$_0204한국석묘납골함-1규격" xfId="966"/>
    <cellStyle name="$_0205TTMS-긴급전화기&amp;전체총괄" xfId="967"/>
    <cellStyle name="$_0206금감원금융정보교환망재구축" xfId="968"/>
    <cellStyle name="$_0206정통부수납장표기기제작설치" xfId="969"/>
    <cellStyle name="$_0207담배인삼공사-담요" xfId="970"/>
    <cellStyle name="$_0208레비텍-다층여과기설계변경" xfId="971"/>
    <cellStyle name="$_0209이산화염소발생기-설치(50K)" xfId="972"/>
    <cellStyle name="$_0210현대정보기술-TD이중계" xfId="973"/>
    <cellStyle name="$_0211조달청-#1대북지원사업정산(1월7일)" xfId="974"/>
    <cellStyle name="$_0212금감원-법규정보시스템(完)" xfId="51"/>
    <cellStyle name="$_0301교통방송-CCTV유지보수" xfId="975"/>
    <cellStyle name="$_0302인천경찰청-무인단속기위탁관리" xfId="976"/>
    <cellStyle name="$_0302조달청-대북지원2차(안성연)" xfId="977"/>
    <cellStyle name="$_0302조달청-대북지원2차(최수현)" xfId="978"/>
    <cellStyle name="$_0302표준문서-쌍용정보통신(신)" xfId="979"/>
    <cellStyle name="$_0304소프트파워-정부표준전자문서시스템" xfId="980"/>
    <cellStyle name="$_0304소프트파워-정부표준전자문서시스템(完)" xfId="981"/>
    <cellStyle name="$_0304철도청-주변환장치-1" xfId="982"/>
    <cellStyle name="$_0305금감원-금융통계정보시스템구축(完)" xfId="983"/>
    <cellStyle name="$_0305제낭조합-면범포지" xfId="984"/>
    <cellStyle name="$_0306제낭공업협동조합-면범포지원단(경비까지)" xfId="985"/>
    <cellStyle name="$_0307경찰청-무인교통단속표준SW개발용역(完)" xfId="986"/>
    <cellStyle name="$_0308조달청-#8대북지원사업정산" xfId="987"/>
    <cellStyle name="$_0309두합크린텍-설치원가" xfId="988"/>
    <cellStyle name="$_0309조달청-#9대북지원사업정산" xfId="989"/>
    <cellStyle name="$_0310여주상수도-탈수기(유천ENG)" xfId="990"/>
    <cellStyle name="$_0311대기해양작업시간" xfId="991"/>
    <cellStyle name="$_0311대기해양중형등명기" xfId="992"/>
    <cellStyle name="$_0312국민체육진흥공단-전기부문" xfId="993"/>
    <cellStyle name="$_0312대기해양-중형등명기제작설치" xfId="994"/>
    <cellStyle name="$_0312라이준-칼라아스콘4규격" xfId="995"/>
    <cellStyle name="$_0401집진기프로그램SW개발비산정" xfId="996"/>
    <cellStyle name="$_1)농경문화관 전시" xfId="997"/>
    <cellStyle name="$_13. 관리동" xfId="998"/>
    <cellStyle name="$_2001-06조달청신성-한냉지형" xfId="999"/>
    <cellStyle name="$_2002-03경찰대학-졸업식" xfId="52"/>
    <cellStyle name="$_2002-03경찰청-경찰표지장" xfId="1000"/>
    <cellStyle name="$_2002-03반디-가로등(열주형)" xfId="1001"/>
    <cellStyle name="$_2002-03신화전자-감지기" xfId="53"/>
    <cellStyle name="$_2002-04강원랜드-슬러트머신" xfId="54"/>
    <cellStyle name="$_2002-04메가컴-외주무대" xfId="1002"/>
    <cellStyle name="$_2002-04엘지애드-무대" xfId="1003"/>
    <cellStyle name="$_2002-05강원랜드-슬러트머신(넥스터)" xfId="1004"/>
    <cellStyle name="$_2002-05경기경찰청-냉온수기공사" xfId="1005"/>
    <cellStyle name="$_2002-05대통령비서실-카페트" xfId="1006"/>
    <cellStyle name="$_2002결과표" xfId="55"/>
    <cellStyle name="$_2002결과표_1)농경문화관 전시" xfId="1007"/>
    <cellStyle name="$_2002결과표_강원지역본부(2006년_060109)" xfId="1008"/>
    <cellStyle name="$_2002결과표_경남지역본부-" xfId="1009"/>
    <cellStyle name="$_2002결과표_경북지역본부-" xfId="1010"/>
    <cellStyle name="$_2002결과표_중부지역본부-" xfId="1011"/>
    <cellStyle name="$_2002결과표_충청지역본부-" xfId="1012"/>
    <cellStyle name="$_2002결과표_통행료면탈방지시스템(최종)" xfId="1013"/>
    <cellStyle name="$_2002결과표_호남지역본부-" xfId="1014"/>
    <cellStyle name="$_2002결과표1" xfId="56"/>
    <cellStyle name="$_2003-01정일사-표창5종" xfId="1015"/>
    <cellStyle name="$_db진흥" xfId="57"/>
    <cellStyle name="$_Pilot플랜트-계변경" xfId="58"/>
    <cellStyle name="$_Pilot플랜트이전설치-변경최종" xfId="59"/>
    <cellStyle name="$_SE40" xfId="60"/>
    <cellStyle name="$_SW(케이비)" xfId="61"/>
    <cellStyle name="$_간지,목차,페이지,표지" xfId="1016"/>
    <cellStyle name="$_강원지역본부(2006년_060109)" xfId="1017"/>
    <cellStyle name="$_견적2" xfId="62"/>
    <cellStyle name="$_경남지역본부-" xfId="1018"/>
    <cellStyle name="$_경북지역본부-" xfId="1019"/>
    <cellStyle name="$_경찰청-근무,기동복" xfId="63"/>
    <cellStyle name="$_공사일반관리비양식" xfId="1020"/>
    <cellStyle name="$_관리동sw" xfId="1021"/>
    <cellStyle name="$_기아" xfId="64"/>
    <cellStyle name="$_기초공사" xfId="1022"/>
    <cellStyle name="$_네인텍정보기술-회로카드(수현)" xfId="65"/>
    <cellStyle name="$_대기해양노무비" xfId="1023"/>
    <cellStyle name="$_대북자재8월분" xfId="1024"/>
    <cellStyle name="$_대북자재8월분-1" xfId="1025"/>
    <cellStyle name="$_동산용사촌수현(원본)" xfId="66"/>
    <cellStyle name="$_목차" xfId="1026"/>
    <cellStyle name="$_백제군사전시1" xfId="1027"/>
    <cellStyle name="$_수초제거기(대양기계)" xfId="67"/>
    <cellStyle name="$_수초제거기(대양기계)_1)농경문화관 전시" xfId="1028"/>
    <cellStyle name="$_수초제거기(대양기계)_강원지역본부(2006년_060109)" xfId="1029"/>
    <cellStyle name="$_수초제거기(대양기계)_경남지역본부-" xfId="1030"/>
    <cellStyle name="$_수초제거기(대양기계)_경북지역본부-" xfId="1031"/>
    <cellStyle name="$_수초제거기(대양기계)_중부지역본부-" xfId="1032"/>
    <cellStyle name="$_수초제거기(대양기계)_충청지역본부-" xfId="1033"/>
    <cellStyle name="$_수초제거기(대양기계)_통행료면탈방지시스템(최종)" xfId="1034"/>
    <cellStyle name="$_수초제거기(대양기계)_호남지역본부-" xfId="1035"/>
    <cellStyle name="$_시설용역" xfId="1036"/>
    <cellStyle name="$_암전정밀실체현미경(수현)" xfId="1037"/>
    <cellStyle name="$_오리엔탈" xfId="1038"/>
    <cellStyle name="$_원본 - 한국전기교통-개선형신호등 4종" xfId="68"/>
    <cellStyle name="$_원본 - 한국전기교통-개선형신호등 4종_1)농경문화관 전시" xfId="1039"/>
    <cellStyle name="$_원본 - 한국전기교통-개선형신호등 4종_강원지역본부(2006년_060109)" xfId="1040"/>
    <cellStyle name="$_원본 - 한국전기교통-개선형신호등 4종_경남지역본부-" xfId="1041"/>
    <cellStyle name="$_원본 - 한국전기교통-개선형신호등 4종_경북지역본부-" xfId="1042"/>
    <cellStyle name="$_원본 - 한국전기교통-개선형신호등 4종_중부지역본부-" xfId="1043"/>
    <cellStyle name="$_원본 - 한국전기교통-개선형신호등 4종_충청지역본부-" xfId="1044"/>
    <cellStyle name="$_원본 - 한국전기교통-개선형신호등 4종_통행료면탈방지시스템(최종)" xfId="1045"/>
    <cellStyle name="$_원본 - 한국전기교통-개선형신호등 4종_호남지역본부-" xfId="1046"/>
    <cellStyle name="$_제경비율모음" xfId="1047"/>
    <cellStyle name="$_제조원가" xfId="1048"/>
    <cellStyle name="$_조달청-B판사천강교제작(최종본)" xfId="1049"/>
    <cellStyle name="$_조달청-대북지원3차(최수현)" xfId="1050"/>
    <cellStyle name="$_조달청-대북지원4차(최수현)" xfId="1051"/>
    <cellStyle name="$_조달청-대북지원5차(최수현)" xfId="1052"/>
    <cellStyle name="$_조달청-대북지원6차(번호)" xfId="1053"/>
    <cellStyle name="$_조달청-대북지원6차(최수현)" xfId="1054"/>
    <cellStyle name="$_조달청-대북지원7차(최수현)" xfId="1055"/>
    <cellStyle name="$_조달청-대북지원8차(최수현)" xfId="1056"/>
    <cellStyle name="$_조달청-대북지원9차(최수현)" xfId="1057"/>
    <cellStyle name="$_중부지역본부-" xfId="1058"/>
    <cellStyle name="$_중앙선관위(투표,개표)" xfId="69"/>
    <cellStyle name="$_중앙선관위(투표,개표)-사본" xfId="1059"/>
    <cellStyle name="$_철공가공조립" xfId="1060"/>
    <cellStyle name="$_최종-한국전기교통-개선형신호등 4종(공수조정)" xfId="70"/>
    <cellStyle name="$_최종-한국전기교통-개선형신호등 4종(공수조정)_1)농경문화관 전시" xfId="1061"/>
    <cellStyle name="$_최종-한국전기교통-개선형신호등 4종(공수조정)_강원지역본부(2006년_060109)" xfId="1062"/>
    <cellStyle name="$_최종-한국전기교통-개선형신호등 4종(공수조정)_경남지역본부-" xfId="1063"/>
    <cellStyle name="$_최종-한국전기교통-개선형신호등 4종(공수조정)_경북지역본부-" xfId="1064"/>
    <cellStyle name="$_최종-한국전기교통-개선형신호등 4종(공수조정)_중부지역본부-" xfId="1065"/>
    <cellStyle name="$_최종-한국전기교통-개선형신호등 4종(공수조정)_충청지역본부-" xfId="1066"/>
    <cellStyle name="$_최종-한국전기교통-개선형신호등 4종(공수조정)_통행료면탈방지시스템(최종)" xfId="1067"/>
    <cellStyle name="$_최종-한국전기교통-개선형신호등 4종(공수조정)_호남지역본부-" xfId="1068"/>
    <cellStyle name="$_충청지역본부-" xfId="1069"/>
    <cellStyle name="$_코솔라-제조원가" xfId="1070"/>
    <cellStyle name="$_토지공사-간접비" xfId="1071"/>
    <cellStyle name="$_통행료면탈방지시스템(최종)" xfId="1072"/>
    <cellStyle name="$_한국도로공사" xfId="71"/>
    <cellStyle name="$_한전내역서-최종" xfId="72"/>
    <cellStyle name="$_호남지역본부-" xfId="1073"/>
    <cellStyle name="(##.00)" xfId="1074"/>
    <cellStyle name="??&amp;5_x0007_?._x0007_9_x0008_??_x0007__x0001__x0001_" xfId="73"/>
    <cellStyle name="??&amp;6_x0007_?/_x0007_9_x0008_??_x0007__x0001__x0001_" xfId="74"/>
    <cellStyle name="??&amp;O?&amp;H?_x0008__x000f__x0007_?_x0007__x0001__x0001_" xfId="75"/>
    <cellStyle name="??&amp;O?&amp;H?_x0008_??_x0007__x0001__x0001_" xfId="76"/>
    <cellStyle name="??&amp;멅?둃9_x0008_??_x0007__x0001__x0001_" xfId="77"/>
    <cellStyle name="??&amp;쏗?뷐9_x0008__x0011__x0007_?_x0007__x0001__x0001_" xfId="78"/>
    <cellStyle name="???­ [0]_¸ð??¸·" xfId="1075"/>
    <cellStyle name="???­_¸ð??¸·" xfId="1076"/>
    <cellStyle name="???Ø_¸ð??¸·" xfId="1077"/>
    <cellStyle name="?Þ¸¶ [0]_¸ð??¸·" xfId="1078"/>
    <cellStyle name="?Þ¸¶_¸ð??¸·" xfId="1079"/>
    <cellStyle name="?W?_laroux" xfId="79"/>
    <cellStyle name="?曹%U?&amp;H?_x0008_?s_x000a__x0007__x0001__x0001_" xfId="80"/>
    <cellStyle name="@_laroux" xfId="1080"/>
    <cellStyle name="@_laroux_제트베인" xfId="1081"/>
    <cellStyle name="@_laroux_제트베인_1" xfId="1082"/>
    <cellStyle name="_(20041229)" xfId="1083"/>
    <cellStyle name="_(수정)한강물환경생태 산출서" xfId="1084"/>
    <cellStyle name="_0.VMS내역서-A,B사" xfId="1085"/>
    <cellStyle name="_01)전시물" xfId="1086"/>
    <cellStyle name="_01.시설(의왕)0129" xfId="1087"/>
    <cellStyle name="_01.전시시설(곡성심청)" xfId="1088"/>
    <cellStyle name="_01.전시시설물(남원국악2층)" xfId="1089"/>
    <cellStyle name="_0106-06-007 금속 및 수장공사 단가견적- 대림" xfId="1090"/>
    <cellStyle name="_02 원가계산서" xfId="1091"/>
    <cellStyle name="_02.연출조명(남원국악2층)" xfId="1092"/>
    <cellStyle name="_03.실물모형연출(곡성심청)" xfId="1093"/>
    <cellStyle name="_04 일위대가표" xfId="1094"/>
    <cellStyle name="_05 단가산출조서" xfId="1095"/>
    <cellStyle name="_05 산출근거(방송)" xfId="1096"/>
    <cellStyle name="_050726_gg_hw" xfId="1097"/>
    <cellStyle name="_06년)하이패스_점검내역" xfId="1098"/>
    <cellStyle name="_1)가재전시" xfId="1099"/>
    <cellStyle name="_1)경찰전시" xfId="81"/>
    <cellStyle name="_1)낙동강전시(변)" xfId="1100"/>
    <cellStyle name="_1)대구안전전시" xfId="1101"/>
    <cellStyle name="_1)문경자연생태전시(변환)" xfId="1102"/>
    <cellStyle name="_1)차소리전시" xfId="1103"/>
    <cellStyle name="_1. 경기35차로하이패스" xfId="1104"/>
    <cellStyle name="_1. 의장-11" xfId="1105"/>
    <cellStyle name="_1. 총괄(제조+설치)" xfId="1106"/>
    <cellStyle name="_1.남가좌동가재조형물(설치-충무)" xfId="1107"/>
    <cellStyle name="_1.남북교류센터(총괄)" xfId="1108"/>
    <cellStyle name="_1.이에이스(의정부제조)-전시" xfId="1109"/>
    <cellStyle name="_1.조명탑 설치" xfId="1110"/>
    <cellStyle name="_1.조선테마(전시시설)" xfId="1111"/>
    <cellStyle name="_1_터널교통관리시설구축_공사설계서(달성12터널외2개소)" xfId="1112"/>
    <cellStyle name="_1+2.무인발매기(제조+구매)-2" xfId="82"/>
    <cellStyle name="_10)한국만화수장고" xfId="1113"/>
    <cellStyle name="_1-1. 조명탑" xfId="1114"/>
    <cellStyle name="_11.통합보안관리서버" xfId="83"/>
    <cellStyle name="_1220-원가조사-전자지불" xfId="84"/>
    <cellStyle name="_1-전시시설" xfId="1115"/>
    <cellStyle name="_2)강원도사인" xfId="1116"/>
    <cellStyle name="_2)대구박물관모형-수정1005" xfId="1117"/>
    <cellStyle name="_2)문경사인" xfId="1118"/>
    <cellStyle name="_2)봉황동패총" xfId="1119"/>
    <cellStyle name="_2)안산사인" xfId="1120"/>
    <cellStyle name="_2)연천사인" xfId="1121"/>
    <cellStyle name="_2)한국만화사인" xfId="1122"/>
    <cellStyle name="_2. 모형제조" xfId="1123"/>
    <cellStyle name="_2.민속박물관(제조-전시)-완" xfId="1124"/>
    <cellStyle name="_2001 장애조치" xfId="1125"/>
    <cellStyle name="_2002결과표1" xfId="85"/>
    <cellStyle name="_20071015(세화여고급식소-설비내역)" xfId="1126"/>
    <cellStyle name="_20071205(후포초등급식소-기계설비)" xfId="1127"/>
    <cellStyle name="_2-1. 실물모형" xfId="1128"/>
    <cellStyle name="_2-1.전시모형부분" xfId="1129"/>
    <cellStyle name="_2-사인" xfId="1130"/>
    <cellStyle name="_3)강원도모형" xfId="1131"/>
    <cellStyle name="_3)기획예산처방송통신1" xfId="86"/>
    <cellStyle name="_3)우리은행모형" xfId="1132"/>
    <cellStyle name="_3)우주모형" xfId="1133"/>
    <cellStyle name="_3)제주모형(2차)" xfId="1134"/>
    <cellStyle name="_3)한국만화모형" xfId="1135"/>
    <cellStyle name="_3. 영상SW(용역)" xfId="1136"/>
    <cellStyle name="_4)수원역사영상HW" xfId="1137"/>
    <cellStyle name="_4)한국만화HW" xfId="1138"/>
    <cellStyle name="_4.파주시(용역_정보영상)" xfId="1139"/>
    <cellStyle name="_4-1.전시용영상장비" xfId="1140"/>
    <cellStyle name="_5)강원도SW" xfId="1141"/>
    <cellStyle name="_5)연천영상sw" xfId="1142"/>
    <cellStyle name="_5.남북(정보영상)" xfId="1143"/>
    <cellStyle name="_5.영상HW-1" xfId="1144"/>
    <cellStyle name="_6)소설태백전기(변환)" xfId="1145"/>
    <cellStyle name="_6)수원역사정보HW" xfId="1146"/>
    <cellStyle name="_6)연천정보영상hw" xfId="1147"/>
    <cellStyle name="_6)전기" xfId="1148"/>
    <cellStyle name="_6.조선테마(전시용정보영상장비)" xfId="1149"/>
    <cellStyle name="_6.태백산맥(전기)" xfId="1150"/>
    <cellStyle name="_7)문경자연생태정보영상" xfId="1151"/>
    <cellStyle name="_7)서해대교전기" xfId="1152"/>
    <cellStyle name="_7)연천전기" xfId="1153"/>
    <cellStyle name="_7)진열장" xfId="1154"/>
    <cellStyle name="_7.조선테마(정보영상)" xfId="1155"/>
    <cellStyle name="_8)경찰전기" xfId="87"/>
    <cellStyle name="_8)교통안전전기" xfId="1156"/>
    <cellStyle name="_8)백운산전기(변환)" xfId="1157"/>
    <cellStyle name="_8)수원역사전기(변환)" xfId="1158"/>
    <cellStyle name="_8)연천정보영상SW" xfId="1159"/>
    <cellStyle name="_8.우주조명 및 음향" xfId="1160"/>
    <cellStyle name="_8.차소리전기" xfId="1161"/>
    <cellStyle name="_9)강원도수장고(변환)" xfId="1162"/>
    <cellStyle name="_Book1" xfId="88"/>
    <cellStyle name="_Book1_1" xfId="1163"/>
    <cellStyle name="_Book1_Book1" xfId="1164"/>
    <cellStyle name="_Book1_생물반응조설비-최종" xfId="1165"/>
    <cellStyle name="_Book1_일위진행중" xfId="1166"/>
    <cellStyle name="_C앤C" xfId="89"/>
    <cellStyle name="_C앤C(네트웍)" xfId="90"/>
    <cellStyle name="_C앤C원가계산" xfId="91"/>
    <cellStyle name="_dec-공개sw기반의ubiquitousoffice구축용역(개발비)(1)" xfId="92"/>
    <cellStyle name="_DZ WALL(6규격)최종040524" xfId="93"/>
    <cellStyle name="_GN_극동건설(주)_덕정병원_토목(작업)-1" xfId="1167"/>
    <cellStyle name="_HW" xfId="1168"/>
    <cellStyle name="_HW내역서" xfId="94"/>
    <cellStyle name="_KKK(GS)" xfId="1169"/>
    <cellStyle name="_KKK(GS)_2.전시모형" xfId="1170"/>
    <cellStyle name="_LLL(송림)" xfId="1171"/>
    <cellStyle name="_LLL(송림)_2.전시모형" xfId="1172"/>
    <cellStyle name="_port" xfId="95"/>
    <cellStyle name="_PRS 교량 거더-최종 결과-수정" xfId="1173"/>
    <cellStyle name="_r양주회암사지-전기산출서" xfId="1174"/>
    <cellStyle name="_SK건설추정견적" xfId="96"/>
    <cellStyle name="_SW비교견적2" xfId="1175"/>
    <cellStyle name="_TCS 영업소(050214)" xfId="1176"/>
    <cellStyle name="_UPS(1안)" xfId="1177"/>
    <cellStyle name="_X" xfId="1178"/>
    <cellStyle name="_가산동" xfId="97"/>
    <cellStyle name="_간지" xfId="1179"/>
    <cellStyle name="_간지,목차,페이지,표지" xfId="98"/>
    <cellStyle name="_감가상각(01년도) (2)" xfId="1180"/>
    <cellStyle name="_감가상각(01년도) (3)" xfId="1181"/>
    <cellStyle name="_감귤박물관영상제작설치내역(뷰로테크)" xfId="99"/>
    <cellStyle name="_강남 상면 환경공사" xfId="1182"/>
    <cellStyle name="_강산FRP" xfId="100"/>
    <cellStyle name="_강원지역본부(2006년_060109)" xfId="1183"/>
    <cellStyle name="_개신초등학교 다목적강당 방송설비" xfId="1184"/>
    <cellStyle name="_개요" xfId="101"/>
    <cellStyle name="_개요(봉림)-참고용" xfId="102"/>
    <cellStyle name="_개요(봉림)-최종" xfId="103"/>
    <cellStyle name="_개요(주안-인천)" xfId="104"/>
    <cellStyle name="_거게관광호텔 일위대가" xfId="1185"/>
    <cellStyle name="_거래실례" xfId="105"/>
    <cellStyle name="_거제포로유적공원(배정)" xfId="1186"/>
    <cellStyle name="_건축" xfId="106"/>
    <cellStyle name="_견적샘플" xfId="1187"/>
    <cellStyle name="_견적서(040713)" xfId="107"/>
    <cellStyle name="_견적서(한국경제정책연구소)-20050128" xfId="108"/>
    <cellStyle name="_견적서_모바일경기-정현창" xfId="1188"/>
    <cellStyle name="_견적서-클래러스-경기도청-이정환이사님-SUN 480.xls" xfId="1189"/>
    <cellStyle name="_견적요청자료(일위대가)(1)" xfId="1190"/>
    <cellStyle name="_결과" xfId="109"/>
    <cellStyle name="_결재문서 정보공개시스템" xfId="1191"/>
    <cellStyle name="_경기산림전시관전기공사" xfId="1192"/>
    <cellStyle name="_경남유통CCTV(040302)최종" xfId="1193"/>
    <cellStyle name="_경남지역본부-" xfId="1194"/>
    <cellStyle name="_경동-군위군유물전시관견적(수정)" xfId="110"/>
    <cellStyle name="_경북031002" xfId="111"/>
    <cellStyle name="_경북지역본부-" xfId="1195"/>
    <cellStyle name="_경산시립박물관 2006년 공사" xfId="1196"/>
    <cellStyle name="_경산전시보완계약내역" xfId="1197"/>
    <cellStyle name="_경찰역사관(1차설변-최종)-작업" xfId="112"/>
    <cellStyle name="_경찰역사관-시공테크" xfId="1198"/>
    <cellStyle name="_경찰역사관-에덴" xfId="113"/>
    <cellStyle name="_계산서(공릉동)" xfId="1199"/>
    <cellStyle name="_계산서(공릉동)_2.전시모형" xfId="1200"/>
    <cellStyle name="_계약-기성" xfId="1201"/>
    <cellStyle name="_계중기(051216)" xfId="1202"/>
    <cellStyle name="_고객서비스모니터링" xfId="1203"/>
    <cellStyle name="_고령최종견적서" xfId="1204"/>
    <cellStyle name="_공통" xfId="1205"/>
    <cellStyle name="_과학의 날 행사용 영상물제작" xfId="1206"/>
    <cellStyle name="_광가입자전송장비(FLC)삼성" xfId="114"/>
    <cellStyle name="_광안리내역서(구도)" xfId="1207"/>
    <cellStyle name="_광케이블_SNI_LGCNS_1" xfId="1208"/>
    <cellStyle name="_구로지사 증축 및 보수공사 2차(최종)-12.16(신규)" xfId="1209"/>
    <cellStyle name="_구로지사 증축 및 보수공사(최종)+개요" xfId="1210"/>
    <cellStyle name="_국립남도국악원시각조형물-(조정)" xfId="115"/>
    <cellStyle name="_국립중앙도서관" xfId="116"/>
    <cellStyle name="_군위내역서(A동)" xfId="1211"/>
    <cellStyle name="_기존+신규추가소프트웨어" xfId="1212"/>
    <cellStyle name="_기초공사" xfId="1213"/>
    <cellStyle name="_길동생태문화센터전시" xfId="1214"/>
    <cellStyle name="_나노엔텍(임금)" xfId="117"/>
    <cellStyle name="_나주모형-충무" xfId="118"/>
    <cellStyle name="_나주사인-충무" xfId="119"/>
    <cellStyle name="_나주의장" xfId="120"/>
    <cellStyle name="_난계국악당일위대가" xfId="1215"/>
    <cellStyle name="_난계국악당일위대가_1" xfId="1216"/>
    <cellStyle name="_난계국악당일위대가_2" xfId="1217"/>
    <cellStyle name="_남원국악2층-전기공사" xfId="1218"/>
    <cellStyle name="_남원국악2층-전기공사-수정" xfId="1219"/>
    <cellStyle name="_내역" xfId="121"/>
    <cellStyle name="_내역(991895-7)" xfId="122"/>
    <cellStyle name="_내역(991895-7)-01" xfId="123"/>
    <cellStyle name="_내역(991895-7)-12-3일작업" xfId="124"/>
    <cellStyle name="_내역(AV)" xfId="125"/>
    <cellStyle name="_내역_1" xfId="1220"/>
    <cellStyle name="_내역-1" xfId="126"/>
    <cellStyle name="_내역서" xfId="1221"/>
    <cellStyle name="_내역서(서남권)" xfId="1222"/>
    <cellStyle name="_내역서_ALD SYSTEM" xfId="1223"/>
    <cellStyle name="_내역서_가로등주" xfId="1224"/>
    <cellStyle name="_내역서_승강기 및 CRT 감시반(0416)" xfId="1225"/>
    <cellStyle name="_내역서_신기술제품_내식성실험대" xfId="1226"/>
    <cellStyle name="_내역서_전송_물량공수" xfId="1227"/>
    <cellStyle name="_내역서_컴퓨터시스템-최종(11.12)" xfId="1228"/>
    <cellStyle name="_내역서+개요(월배통신)" xfId="127"/>
    <cellStyle name="_내역서+개요(전기)-6.7(최종)" xfId="128"/>
    <cellStyle name="_내역서+개요(통신)" xfId="129"/>
    <cellStyle name="_냉온수기 세관보수" xfId="1229"/>
    <cellStyle name="_농수로3종외-최종" xfId="130"/>
    <cellStyle name="_다산묘역" xfId="1230"/>
    <cellStyle name="_단가" xfId="1231"/>
    <cellStyle name="_단가 산출조서" xfId="1232"/>
    <cellStyle name="_단가,제조노임업데이트(2006.1)" xfId="1233"/>
    <cellStyle name="_단가비교" xfId="1234"/>
    <cellStyle name="_대구박물관_내역서" xfId="131"/>
    <cellStyle name="_대구시립미술관 문화교육동 예산내역서(임대분리)" xfId="1235"/>
    <cellStyle name="_대전망운용국 대수선 전기공사+개요" xfId="132"/>
    <cellStyle name="_데이터 베이스" xfId="133"/>
    <cellStyle name="_동목포전화국제4회기성청구서" xfId="134"/>
    <cellStyle name="_동학농민(전기)(02.09.05)" xfId="1236"/>
    <cellStyle name="_디지털콘텐츠상거래기반시스템(기업)" xfId="135"/>
    <cellStyle name="_롯데2층일위대가-1" xfId="1237"/>
    <cellStyle name="_롯데2층일위대가-1_1" xfId="1238"/>
    <cellStyle name="_마산-우매" xfId="136"/>
    <cellStyle name="_마산-우매_현대미술관홍보실-최종" xfId="137"/>
    <cellStyle name="_마트계약내역서" xfId="1239"/>
    <cellStyle name="_만경강-산출서" xfId="1240"/>
    <cellStyle name="_모바일 경기넷 구축 사업(최종)" xfId="1241"/>
    <cellStyle name="_모형-내역서(12)" xfId="1242"/>
    <cellStyle name="_모형업체견적(총괄)" xfId="1243"/>
    <cellStyle name="_목동운동장 전광판(제조-최종)" xfId="1244"/>
    <cellStyle name="_목록" xfId="1245"/>
    <cellStyle name="_목차" xfId="1246"/>
    <cellStyle name="_무역 전시회 지원성과" xfId="1247"/>
    <cellStyle name="_문경자연생태계약내역" xfId="1248"/>
    <cellStyle name="_물량" xfId="1249"/>
    <cellStyle name="_미일실행" xfId="138"/>
    <cellStyle name="_미일실행_현대미술관홍보실-최종" xfId="139"/>
    <cellStyle name="_발명왕 해밀턴의 숲속 모험" xfId="140"/>
    <cellStyle name="_방이동오피스텔-압구정 아크로빌-천안두정아파트(제일하이텍)" xfId="141"/>
    <cellStyle name="_배정통보조합제출용" xfId="1250"/>
    <cellStyle name="_백제역사박물관 (공량표)" xfId="1251"/>
    <cellStyle name="_백제역사박물관 (산출서)" xfId="1252"/>
    <cellStyle name="_변경내역서 -3" xfId="1253"/>
    <cellStyle name="_변경전 내역검토(참고용)" xfId="1254"/>
    <cellStyle name="_별첨-1" xfId="1255"/>
    <cellStyle name="_별첨-1_2.전시모형" xfId="1256"/>
    <cellStyle name="_보고서" xfId="1257"/>
    <cellStyle name="_본사용(원가분석)" xfId="1258"/>
    <cellStyle name="_본사준공내역서(진짜)" xfId="1259"/>
    <cellStyle name="_봉림고교 교사신축(최종)" xfId="142"/>
    <cellStyle name="_봉림고교 교사신축(최종)-참고용" xfId="143"/>
    <cellStyle name="_부대토목(최종분)" xfId="144"/>
    <cellStyle name="_북한영상관실시설계(040309)" xfId="145"/>
    <cellStyle name="_분당실행 산출근거" xfId="146"/>
    <cellStyle name="_브랜드개발" xfId="1260"/>
    <cellStyle name="_사물함(최종)" xfId="1261"/>
    <cellStyle name="_사이버 컴퓨터 보드외 5종-최종" xfId="1262"/>
    <cellStyle name="_산동 농협동로지소 청사 신축공사-1" xfId="1263"/>
    <cellStyle name="_산동 농협동로지소 청사 신축공사-1_1" xfId="1264"/>
    <cellStyle name="_산림청(휴양림)" xfId="147"/>
    <cellStyle name="_새마을계약내역(수정)" xfId="1265"/>
    <cellStyle name="_생물반응조설비-최종" xfId="1266"/>
    <cellStyle name="_샤워식분무기(최종)" xfId="1267"/>
    <cellStyle name="_서울과학관의장" xfId="1268"/>
    <cellStyle name="_설계서(040701)" xfId="1269"/>
    <cellStyle name="_설계서(0522)" xfId="148"/>
    <cellStyle name="_설명패널" xfId="1270"/>
    <cellStyle name="_설명패널_1" xfId="1271"/>
    <cellStyle name="_섬진강 산출서" xfId="1272"/>
    <cellStyle name="_세원IBS-한림대학교" xfId="1273"/>
    <cellStyle name="_소각시설용량증대_대경에스코_하동군청(제조)" xfId="1274"/>
    <cellStyle name="_소금배정내역" xfId="1275"/>
    <cellStyle name="_소화계산서(공릉동)" xfId="1276"/>
    <cellStyle name="_소화계산서(공릉동)_2.전시모형" xfId="1277"/>
    <cellStyle name="_속초실향민원가-수정-메일" xfId="1278"/>
    <cellStyle name="_수산과학관-최종-01" xfId="1279"/>
    <cellStyle name="_스포츠외교" xfId="1280"/>
    <cellStyle name="_승강기 및 CRT 감시반(0416)" xfId="1281"/>
    <cellStyle name="_승강기 및 CRT 감시반(설치)" xfId="1282"/>
    <cellStyle name="_시공견적서(표지)" xfId="1283"/>
    <cellStyle name="_시공-광양항3" xfId="1284"/>
    <cellStyle name="_시설물내장공사" xfId="149"/>
    <cellStyle name="_시스템" xfId="1285"/>
    <cellStyle name="_시스템개선공사" xfId="1286"/>
    <cellStyle name="_신진상가" xfId="1287"/>
    <cellStyle name="_신흥기업사-최종" xfId="1288"/>
    <cellStyle name="_실물모형" xfId="1289"/>
    <cellStyle name="_실시설계(031201)" xfId="150"/>
    <cellStyle name="_실시설계(040218)" xfId="151"/>
    <cellStyle name="_실시설계(040623)" xfId="152"/>
    <cellStyle name="_실시설계(041229)" xfId="1290"/>
    <cellStyle name="_실시설계(051213)" xfId="1291"/>
    <cellStyle name="_실시설계(070305)" xfId="1292"/>
    <cellStyle name="_실시설계내역서060322" xfId="1293"/>
    <cellStyle name="_실행(갑지)" xfId="153"/>
    <cellStyle name="_실행(갑지)_건축" xfId="154"/>
    <cellStyle name="_실행(갑지)_토목실행(최종)" xfId="155"/>
    <cellStyle name="_실행견적" xfId="1294"/>
    <cellStyle name="_실행견적_1" xfId="1295"/>
    <cellStyle name="_실행견적1" xfId="156"/>
    <cellStyle name="_아파트(송림)" xfId="1296"/>
    <cellStyle name="_아파트(송림)_2.전시모형" xfId="1297"/>
    <cellStyle name="_안산어촌계약내역" xfId="1298"/>
    <cellStyle name="_안성공도설계내역(최종)" xfId="157"/>
    <cellStyle name="_안양지식산업진흥원" xfId="1299"/>
    <cellStyle name="_압구정지점" xfId="1300"/>
    <cellStyle name="_에너지근거자료(GS)" xfId="1301"/>
    <cellStyle name="_에너지근거자료(GS)_2.전시모형" xfId="1302"/>
    <cellStyle name="_에너지근거자료(신봉)" xfId="1303"/>
    <cellStyle name="_에너지근거자료(신봉)_2.전시모형" xfId="1304"/>
    <cellStyle name="_여과기(마이크로 스크린)" xfId="158"/>
    <cellStyle name="_연구원실험대(24종)-최종" xfId="1305"/>
    <cellStyle name="_연천어린이교통안전체험-전기산출서" xfId="1306"/>
    <cellStyle name="_영덕" xfId="1307"/>
    <cellStyle name="_영덕어촌계약내역" xfId="1308"/>
    <cellStyle name="_영상 HW 일위대가" xfId="1309"/>
    <cellStyle name="_영상HW 실시설계(051101)" xfId="1310"/>
    <cellStyle name="_영상-HW(수정)배관배선" xfId="1311"/>
    <cellStyle name="_영상S" xfId="1312"/>
    <cellStyle name="_영상SW" xfId="159"/>
    <cellStyle name="_예술종합학교서초동견적서" xfId="160"/>
    <cellStyle name="_옥전유물계약내역" xfId="1313"/>
    <cellStyle name="_요약" xfId="1314"/>
    <cellStyle name="_우주체험관계약내역(1차분)" xfId="1315"/>
    <cellStyle name="_우편물자동파속기 3호(최종)" xfId="1316"/>
    <cellStyle name="_원가계산" xfId="1317"/>
    <cellStyle name="_원가계산서" xfId="1318"/>
    <cellStyle name="_원격유지관리시스템(2004)" xfId="1319"/>
    <cellStyle name="_유선설비(051216)" xfId="1320"/>
    <cellStyle name="_익산마한관(조합)제출(단가-분류)" xfId="1321"/>
    <cellStyle name="_익산마한관(충무)제출" xfId="1322"/>
    <cellStyle name="_인천서구(노무비법)040505" xfId="161"/>
    <cellStyle name="_일위대가" xfId="162"/>
    <cellStyle name="_일위대가 10" xfId="3842"/>
    <cellStyle name="_일위대가 11" xfId="3446"/>
    <cellStyle name="_일위대가 12" xfId="4745"/>
    <cellStyle name="_일위대가 13" xfId="3625"/>
    <cellStyle name="_일위대가 14" xfId="3655"/>
    <cellStyle name="_일위대가 15" xfId="2732"/>
    <cellStyle name="_일위대가 16" xfId="2720"/>
    <cellStyle name="_일위대가 17" xfId="3958"/>
    <cellStyle name="_일위대가 18" xfId="3769"/>
    <cellStyle name="_일위대가 19" xfId="2806"/>
    <cellStyle name="_일위대가 2" xfId="2912"/>
    <cellStyle name="_일위대가 20" xfId="3622"/>
    <cellStyle name="_일위대가 21" xfId="3532"/>
    <cellStyle name="_일위대가 22" xfId="3419"/>
    <cellStyle name="_일위대가 23" xfId="3121"/>
    <cellStyle name="_일위대가 24" xfId="4417"/>
    <cellStyle name="_일위대가 25" xfId="3207"/>
    <cellStyle name="_일위대가 26" xfId="4022"/>
    <cellStyle name="_일위대가 27" xfId="2674"/>
    <cellStyle name="_일위대가 28" xfId="4151"/>
    <cellStyle name="_일위대가 29" xfId="5664"/>
    <cellStyle name="_일위대가 3" xfId="3519"/>
    <cellStyle name="_일위대가 30" xfId="3722"/>
    <cellStyle name="_일위대가 31" xfId="5652"/>
    <cellStyle name="_일위대가 32" xfId="6746"/>
    <cellStyle name="_일위대가 33" xfId="6034"/>
    <cellStyle name="_일위대가 34" xfId="4933"/>
    <cellStyle name="_일위대가 35" xfId="6230"/>
    <cellStyle name="_일위대가 36" xfId="2969"/>
    <cellStyle name="_일위대가 37" xfId="4058"/>
    <cellStyle name="_일위대가 38" xfId="5601"/>
    <cellStyle name="_일위대가 39" xfId="7353"/>
    <cellStyle name="_일위대가 4" xfId="3783"/>
    <cellStyle name="_일위대가 40" xfId="6699"/>
    <cellStyle name="_일위대가 41" xfId="5651"/>
    <cellStyle name="_일위대가 42" xfId="6879"/>
    <cellStyle name="_일위대가 43" xfId="6261"/>
    <cellStyle name="_일위대가 44" xfId="7183"/>
    <cellStyle name="_일위대가 45" xfId="6544"/>
    <cellStyle name="_일위대가 46" xfId="7352"/>
    <cellStyle name="_일위대가 47" xfId="6728"/>
    <cellStyle name="_일위대가 48" xfId="7517"/>
    <cellStyle name="_일위대가 49" xfId="6906"/>
    <cellStyle name="_일위대가 5" xfId="3881"/>
    <cellStyle name="_일위대가 50" xfId="6311"/>
    <cellStyle name="_일위대가 51" xfId="7085"/>
    <cellStyle name="_일위대가 52" xfId="6501"/>
    <cellStyle name="_일위대가 53" xfId="6592"/>
    <cellStyle name="_일위대가 54" xfId="6686"/>
    <cellStyle name="_일위대가 55" xfId="6776"/>
    <cellStyle name="_일위대가 56" xfId="6864"/>
    <cellStyle name="_일위대가 57" xfId="6954"/>
    <cellStyle name="_일위대가 6" xfId="3753"/>
    <cellStyle name="_일위대가 7" xfId="2898"/>
    <cellStyle name="_일위대가 8" xfId="3460"/>
    <cellStyle name="_일위대가 9" xfId="3780"/>
    <cellStyle name="_일위대가(2005)" xfId="1323"/>
    <cellStyle name="_일위대가_1" xfId="1324"/>
    <cellStyle name="_일위대가_2" xfId="1325"/>
    <cellStyle name="_일위대가목록" xfId="1326"/>
    <cellStyle name="_일위진행중" xfId="1327"/>
    <cellStyle name="_임율" xfId="1328"/>
    <cellStyle name="_자동선별기보고서" xfId="1329"/>
    <cellStyle name="_자동제어" xfId="1330"/>
    <cellStyle name="_자재비교표" xfId="1331"/>
    <cellStyle name="_장비및부하계산서" xfId="1332"/>
    <cellStyle name="_장비및부하계산서_2.전시모형" xfId="1333"/>
    <cellStyle name="_장현중(내역서+개요)" xfId="163"/>
    <cellStyle name="_재료비" xfId="1334"/>
    <cellStyle name="_전기공사" xfId="1335"/>
    <cellStyle name="_전기로비(실정보고수정) 20050114" xfId="1336"/>
    <cellStyle name="_전남도청사최종납품" xfId="1337"/>
    <cellStyle name="_전남도청사최종납품(작업이)2" xfId="1338"/>
    <cellStyle name="_전동차검사(수정)" xfId="164"/>
    <cellStyle name="_전시과학(031015)" xfId="165"/>
    <cellStyle name="_전시과학(031016)_인쇄" xfId="166"/>
    <cellStyle name="_전시시설물" xfId="167"/>
    <cellStyle name="_전시시설물_1)농경문화관 전시" xfId="1339"/>
    <cellStyle name="_전시시설물_경산전시보완계약내역" xfId="1340"/>
    <cellStyle name="_전시시설물_배정통보조합제출용" xfId="1341"/>
    <cellStyle name="_전시용영상HW" xfId="1342"/>
    <cellStyle name="_전시용정보영상장비" xfId="1343"/>
    <cellStyle name="_전시품050205" xfId="1344"/>
    <cellStyle name="_전자지불(삼성SDS)" xfId="168"/>
    <cellStyle name="_전자지불-(케이비)" xfId="169"/>
    <cellStyle name="_정림사지모형(시공분)설변내역" xfId="1345"/>
    <cellStyle name="_정보통신-광통신망관리(050214)" xfId="1346"/>
    <cellStyle name="_제일은행하계근무복" xfId="1347"/>
    <cellStyle name="_제작업체견적(스테이지넷)" xfId="1348"/>
    <cellStyle name="_제조샘플(다품목)" xfId="1349"/>
    <cellStyle name="_제조원가(최종)" xfId="1350"/>
    <cellStyle name="_제주어촌 모형 설변내역 05_10_25(제출용-2)" xfId="1351"/>
    <cellStyle name="_제주한화콘도" xfId="170"/>
    <cellStyle name="_조목스크린-제작" xfId="1352"/>
    <cellStyle name="_조합견적" xfId="171"/>
    <cellStyle name="_중부지역본부-" xfId="1353"/>
    <cellStyle name="_증권예탁원_퇴직연금시스템_구축_요약_Ver2" xfId="1354"/>
    <cellStyle name="_지도계약내역" xfId="1355"/>
    <cellStyle name="_직접경비" xfId="172"/>
    <cellStyle name="_진입로 정비" xfId="1356"/>
    <cellStyle name="_집계" xfId="173"/>
    <cellStyle name="_창(에리트(설치제외)" xfId="174"/>
    <cellStyle name="_책상 및 의자 4종(전송)" xfId="1357"/>
    <cellStyle name="_천안 삼성코닝 SP 납품(대선기공)" xfId="175"/>
    <cellStyle name="_첨단실행" xfId="176"/>
    <cellStyle name="_첨단실행_현대미술관홍보실-최종" xfId="177"/>
    <cellStyle name="_청계천문화관-시설관리" xfId="1358"/>
    <cellStyle name="_청문당 내역보완" xfId="1359"/>
    <cellStyle name="_청소년수련관산출근거조서" xfId="1360"/>
    <cellStyle name="_청소년수련관산출근거조서_1" xfId="1361"/>
    <cellStyle name="_청소년수련관일위대가" xfId="1362"/>
    <cellStyle name="_청소년수련관일위대가_1" xfId="1363"/>
    <cellStyle name="_총괄(최종)" xfId="1364"/>
    <cellStyle name="_최종(040309)" xfId="178"/>
    <cellStyle name="_최종검토" xfId="1365"/>
    <cellStyle name="_최종내역(공사)" xfId="179"/>
    <cellStyle name="_최종내역(자재)" xfId="180"/>
    <cellStyle name="_최종-황순원산출서" xfId="1366"/>
    <cellStyle name="_추정(갑지)" xfId="181"/>
    <cellStyle name="_춘천전화국증축통신+개요" xfId="182"/>
    <cellStyle name="_춘천합동내역+개요(수정한최종)" xfId="183"/>
    <cellStyle name="_충무1.민속박물관(설치-충무)" xfId="1367"/>
    <cellStyle name="_충청지역본부-" xfId="1368"/>
    <cellStyle name="_충효예(장비)(1)-류빈" xfId="184"/>
    <cellStyle name="_침상, 관물함3" xfId="1369"/>
    <cellStyle name="_컨텐츠 제작" xfId="185"/>
    <cellStyle name="_코스모스씨앤티(손익계산서,제조원가명세서)" xfId="1370"/>
    <cellStyle name="_타견적" xfId="186"/>
    <cellStyle name="_터널진입차단시설(제조)" xfId="1371"/>
    <cellStyle name="_테니스장(030922)" xfId="187"/>
    <cellStyle name="_테마공사새로03" xfId="1372"/>
    <cellStyle name="_토목실행(최종)" xfId="188"/>
    <cellStyle name="_토목실행(최종)_현대미술관홍보실-최종" xfId="189"/>
    <cellStyle name="_통행료 전자지불 SW" xfId="1373"/>
    <cellStyle name="_통행료면탈방지시스템(최종)" xfId="1374"/>
    <cellStyle name="_퇴직연금 기록관리 시스템" xfId="1375"/>
    <cellStyle name="_파동의 중첩-전시과학-최종" xfId="190"/>
    <cellStyle name="_표준" xfId="1376"/>
    <cellStyle name="_표준_2.전시모형" xfId="1377"/>
    <cellStyle name="_표지" xfId="1378"/>
    <cellStyle name="_하이패스 전자지불(050214)" xfId="1379"/>
    <cellStyle name="_하이패스(최종)" xfId="1380"/>
    <cellStyle name="_학생사물함18종" xfId="1381"/>
    <cellStyle name="_한강물환경생태 산출서" xfId="1382"/>
    <cellStyle name="_한라탐방안내소-계약내역11월" xfId="1383"/>
    <cellStyle name="_한일청소년" xfId="1384"/>
    <cellStyle name="_항측판독용역" xfId="1385"/>
    <cellStyle name="_해신.21" xfId="191"/>
    <cellStyle name="_헤이스견적서" xfId="1386"/>
    <cellStyle name="_혁신도시홍보관가내역" xfId="1387"/>
    <cellStyle name="_현수막 추가" xfId="192"/>
    <cellStyle name="_형광등기구최종-조일전기" xfId="1388"/>
    <cellStyle name="_형광의신비3종(제출)" xfId="1389"/>
    <cellStyle name="_호남지역본부-" xfId="1390"/>
    <cellStyle name="_호남지역본부-20041220" xfId="1391"/>
    <cellStyle name="_호안블럭5종내역(노무비법)" xfId="1392"/>
    <cellStyle name="_화성동탄 계약내역" xfId="1393"/>
    <cellStyle name="_휴대용바코드" xfId="1394"/>
    <cellStyle name="_흙막이공사(일위)" xfId="193"/>
    <cellStyle name="´þ·?" xfId="1395"/>
    <cellStyle name="’E‰Y [0.00]_laroux" xfId="194"/>
    <cellStyle name="’E‰Y_laroux" xfId="195"/>
    <cellStyle name="¤@?e_TEST-1 " xfId="196"/>
    <cellStyle name="\MNPREF32.DLL&amp;" xfId="197"/>
    <cellStyle name="+,-,0" xfId="1396"/>
    <cellStyle name="△ []" xfId="1397"/>
    <cellStyle name="△ [0]" xfId="1398"/>
    <cellStyle name="°ia¤¼o¼ya¡" xfId="1399"/>
    <cellStyle name="°ia¤aa·a1" xfId="1400"/>
    <cellStyle name="°ia¤aa·a2" xfId="1401"/>
    <cellStyle name="؀ŀŀ䅀؀ŀŀ䅀؀ŀ฀䅀؀฀฀䅀؀฀฀䅀؀฀฀䅀؀฀฀䅀؀฀฀䅀؀฀฀䅀؀฀฀䅀؀฀฀䅀؀฀฀䅀؀฀฀䁀" xfId="1402"/>
    <cellStyle name="؀฀฀䅀؀฀฀䅀؀฀฀䅀؀฀฀䅀؀฀฀䅀؀฀฀䅀؀฀฀䅀؀฀฀䁀" xfId="1403"/>
    <cellStyle name="؀฀฀䅀؀฀฀䅀؀฀฀䅀؀฀฀䅀؀฀฀䅀؀฀฀䁀" xfId="1404"/>
    <cellStyle name="؀฀฀䅀؀฀฀䅀؀฀฀䅀؀฀฀䁀" xfId="1405"/>
    <cellStyle name="" xfId="198"/>
    <cellStyle name="_2-1. 실물모형" xfId="1406"/>
    <cellStyle name="_2-1.전시모형부분" xfId="1407"/>
    <cellStyle name="_TCS_축중기" xfId="1408"/>
    <cellStyle name="_TCS_축중기_1. 전시시설물-1" xfId="1409"/>
    <cellStyle name="_TTMS위탁수량(KHC)" xfId="1410"/>
    <cellStyle name="_가로등주" xfId="1411"/>
    <cellStyle name="_가로등주_1. 전시시설물-1" xfId="1412"/>
    <cellStyle name="_강원지역본부" xfId="1413"/>
    <cellStyle name="_강원지역본부(2006년)" xfId="1414"/>
    <cellStyle name="_강원지역본부(2006년_060109)" xfId="1415"/>
    <cellStyle name="_강원지역본부(2006년-051228)" xfId="1416"/>
    <cellStyle name="_강원지역본부(2006년-060102)" xfId="1417"/>
    <cellStyle name="_강원지역본부_1. 전시시설물-1" xfId="1418"/>
    <cellStyle name="_건조기최종" xfId="1419"/>
    <cellStyle name="_건조기최종_1. 전시시설물-1" xfId="1420"/>
    <cellStyle name="_경남본부_2006년도_유지관리대상수량" xfId="1421"/>
    <cellStyle name="_경남본부_2006년도_유지관리대상수량_경남지역본부(2006년)" xfId="1422"/>
    <cellStyle name="_경남본부_2006년도_유지관리대상수량_경남지역본부(2006년도)" xfId="1423"/>
    <cellStyle name="_경남지역본부-" xfId="1424"/>
    <cellStyle name="_경남지역본부_20041220_상반기" xfId="1425"/>
    <cellStyle name="_경남지역본부_20041220_상반기_2005년도급내역서" xfId="1426"/>
    <cellStyle name="_경남지역본부_20041220_상반기_2005년도급내역서_TTMS위탁수량(KHC)" xfId="1427"/>
    <cellStyle name="_경남지역본부_20041220_상반기_2005년도급내역서_강원지역본부(2006년)" xfId="1428"/>
    <cellStyle name="_경남지역본부_20041220_상반기_2005년도급내역서_강원지역본부(2006년-051228)" xfId="1429"/>
    <cellStyle name="_경남지역본부_20041220_상반기_2005년도급내역서_강원지역본부(2006년-060102)" xfId="1430"/>
    <cellStyle name="_경남지역본부_20041220_상반기_2005년도급내역서_경남본부_2006년도_유지관리대상수량" xfId="1431"/>
    <cellStyle name="_경남지역본부_20041220_상반기_2005년도급내역서_경남본부_2006년도_유지관리대상수량_경남지역본부(2006년)" xfId="1432"/>
    <cellStyle name="_경남지역본부_20041220_상반기_2005년도급내역서_경남본부_2006년도_유지관리대상수량_경남지역본부(2006년도)" xfId="1433"/>
    <cellStyle name="_경남지역본부_20041220_상반기_2005년도급내역서_중부지역본부(2006년)_기준" xfId="1434"/>
    <cellStyle name="_경남지역본부_20041220_상반기_2005년도급내역서_중부지역본부(2006년)_기준_경남지역본부(2006년)" xfId="1435"/>
    <cellStyle name="_경남지역본부_20041220_상반기_2005년도급내역서_중부지역본부(2006년)_기준_경남지역본부(2006년도)" xfId="1436"/>
    <cellStyle name="_경남지역본부_20041220_상반기_2005년도급내역서_중부지역본부(2006년)_기준_경북지역본부(2006년)" xfId="1437"/>
    <cellStyle name="_경남지역본부_20041220_상반기_2005년도급내역서_중부지역본부(2006년)_기준_경북지역본부(2006년도)" xfId="1438"/>
    <cellStyle name="_경남지역본부_20041220_상반기_2005년도급내역서_중부지역본부(2006년-051220)" xfId="1439"/>
    <cellStyle name="_경남지역본부_20041220_상반기_2005년도급내역서_중부지역본부(2006년-051228)" xfId="1440"/>
    <cellStyle name="_경남지역본부_20041220_상반기_2005년도급내역서_중부지역본부(2006년-060102)" xfId="1441"/>
    <cellStyle name="_경남지역본부_20041220_상반기_TTMS위탁수량(KHC)" xfId="1442"/>
    <cellStyle name="_경남지역본부_20041220_상반기_강원지역본부(2006년)" xfId="1443"/>
    <cellStyle name="_경남지역본부_20041220_상반기_강원지역본부(2006년-051228)" xfId="1444"/>
    <cellStyle name="_경남지역본부_20041220_상반기_강원지역본부(2006년-060102)" xfId="1445"/>
    <cellStyle name="_경남지역본부_20041220_상반기_경남본부_2006년도_유지관리대상수량" xfId="1446"/>
    <cellStyle name="_경남지역본부_20041220_상반기_경남본부_2006년도_유지관리대상수량_경남지역본부(2006년)" xfId="1447"/>
    <cellStyle name="_경남지역본부_20041220_상반기_경남본부_2006년도_유지관리대상수량_경남지역본부(2006년도)" xfId="1448"/>
    <cellStyle name="_경남지역본부_20041220_상반기_중부지역본부(2006년)_기준" xfId="1449"/>
    <cellStyle name="_경남지역본부_20041220_상반기_중부지역본부(2006년)_기준_경남지역본부(2006년)" xfId="1450"/>
    <cellStyle name="_경남지역본부_20041220_상반기_중부지역본부(2006년)_기준_경남지역본부(2006년도)" xfId="1451"/>
    <cellStyle name="_경남지역본부_20041220_상반기_중부지역본부(2006년)_기준_경북지역본부(2006년)" xfId="1452"/>
    <cellStyle name="_경남지역본부_20041220_상반기_중부지역본부(2006년)_기준_경북지역본부(2006년도)" xfId="1453"/>
    <cellStyle name="_경남지역본부_20041220_상반기_중부지역본부(2006년-051220)" xfId="1454"/>
    <cellStyle name="_경남지역본부_20041220_상반기_중부지역본부(2006년-051228)" xfId="1455"/>
    <cellStyle name="_경남지역본부_20041220_상반기_중부지역본부(2006년-060102)" xfId="1456"/>
    <cellStyle name="_경북지역본부-" xfId="1457"/>
    <cellStyle name="_덧마루제작설치(계약)" xfId="199"/>
    <cellStyle name="_마지막" xfId="200"/>
    <cellStyle name="_미술관" xfId="201"/>
    <cellStyle name="_미술관(최종)" xfId="202"/>
    <cellStyle name="_민속박물관" xfId="203"/>
    <cellStyle name="_민속박물관 화장실" xfId="204"/>
    <cellStyle name="_승강기 및 CRT 감시반(0416)" xfId="1458"/>
    <cellStyle name="_원가계산서(지하화장실 및 샤워실 환경개선)" xfId="205"/>
    <cellStyle name="_중부지역본부-" xfId="1459"/>
    <cellStyle name="_중부지역본부(2006년)_기준" xfId="1460"/>
    <cellStyle name="_중부지역본부(2006년)_기준_경남지역본부(2006년)" xfId="1461"/>
    <cellStyle name="_중부지역본부(2006년)_기준_경남지역본부(2006년도)" xfId="1462"/>
    <cellStyle name="_중부지역본부(2006년)_기준_경북지역본부(2006년)" xfId="1463"/>
    <cellStyle name="_중부지역본부(2006년)_기준_경북지역본부(2006년도)" xfId="1464"/>
    <cellStyle name="_중부지역본부(2006년-051220)" xfId="1465"/>
    <cellStyle name="_중부지역본부(2006년-051228)" xfId="1466"/>
    <cellStyle name="_중부지역본부(2006년-060102)" xfId="1467"/>
    <cellStyle name="_컴퓨터시스템-최종(11.12)" xfId="1468"/>
    <cellStyle name="_컴퓨터시스템-최종(11.12)_1. 전시시설물-1" xfId="1469"/>
    <cellStyle name="_통행료면탈방지시스템(최종)" xfId="1470"/>
    <cellStyle name="_한국중부발전(주)-최종(1)" xfId="206"/>
    <cellStyle name="_x0007_ _x000d__x000d_­­_x0007_ ­" xfId="1471"/>
    <cellStyle name="0" xfId="207"/>
    <cellStyle name="0%" xfId="208"/>
    <cellStyle name="0,0_x000d__x000a_NA_x000d__x000a_" xfId="1472"/>
    <cellStyle name="0.0" xfId="209"/>
    <cellStyle name="0.0%" xfId="210"/>
    <cellStyle name="0.0_1)농경문화관 전시" xfId="1473"/>
    <cellStyle name="0.00" xfId="211"/>
    <cellStyle name="0.00%" xfId="212"/>
    <cellStyle name="0.00_1)농경문화관 전시" xfId="1474"/>
    <cellStyle name="0.000%" xfId="213"/>
    <cellStyle name="0.0000%" xfId="214"/>
    <cellStyle name="0_덧마루제작설치(계약)" xfId="215"/>
    <cellStyle name="0_덧마루제작설치(계약)_미술관(최종)" xfId="216"/>
    <cellStyle name="0_회의실장관실최종(1)" xfId="217"/>
    <cellStyle name="00" xfId="218"/>
    <cellStyle name="¼yAU(R)" xfId="1475"/>
    <cellStyle name="¼yAU(R) 2" xfId="1476"/>
    <cellStyle name="1" xfId="219"/>
    <cellStyle name="1 000 Kč_RESULTS" xfId="220"/>
    <cellStyle name="1 10" xfId="4391"/>
    <cellStyle name="1 11" xfId="4490"/>
    <cellStyle name="1 12" xfId="4594"/>
    <cellStyle name="1 13" xfId="4699"/>
    <cellStyle name="1 14" xfId="4805"/>
    <cellStyle name="1 15" xfId="4908"/>
    <cellStyle name="1 16" xfId="5016"/>
    <cellStyle name="1 17" xfId="5116"/>
    <cellStyle name="1 18" xfId="5219"/>
    <cellStyle name="1 19" xfId="5321"/>
    <cellStyle name="1 2" xfId="3075"/>
    <cellStyle name="1 20" xfId="5420"/>
    <cellStyle name="1 21" xfId="5524"/>
    <cellStyle name="1 22" xfId="5627"/>
    <cellStyle name="1 23" xfId="5733"/>
    <cellStyle name="1 24" xfId="5838"/>
    <cellStyle name="1 25" xfId="5939"/>
    <cellStyle name="1 26" xfId="6041"/>
    <cellStyle name="1 27" xfId="6142"/>
    <cellStyle name="1 28" xfId="6237"/>
    <cellStyle name="1 29" xfId="6331"/>
    <cellStyle name="1 3" xfId="3367"/>
    <cellStyle name="1 30" xfId="6429"/>
    <cellStyle name="1 31" xfId="6521"/>
    <cellStyle name="1 32" xfId="6614"/>
    <cellStyle name="1 33" xfId="6705"/>
    <cellStyle name="1 34" xfId="6798"/>
    <cellStyle name="1 35" xfId="6884"/>
    <cellStyle name="1 36" xfId="6973"/>
    <cellStyle name="1 37" xfId="7063"/>
    <cellStyle name="1 38" xfId="7146"/>
    <cellStyle name="1 39" xfId="7232"/>
    <cellStyle name="1 4" xfId="3158"/>
    <cellStyle name="1 40" xfId="7315"/>
    <cellStyle name="1 41" xfId="7401"/>
    <cellStyle name="1 42" xfId="7481"/>
    <cellStyle name="1 43" xfId="7564"/>
    <cellStyle name="1 44" xfId="7640"/>
    <cellStyle name="1 45" xfId="7712"/>
    <cellStyle name="1 46" xfId="7781"/>
    <cellStyle name="1 47" xfId="7847"/>
    <cellStyle name="1 48" xfId="7913"/>
    <cellStyle name="1 49" xfId="7976"/>
    <cellStyle name="1 5" xfId="4068"/>
    <cellStyle name="1 50" xfId="8039"/>
    <cellStyle name="1 51" xfId="8099"/>
    <cellStyle name="1 52" xfId="8158"/>
    <cellStyle name="1 53" xfId="8216"/>
    <cellStyle name="1 54" xfId="8271"/>
    <cellStyle name="1 55" xfId="8322"/>
    <cellStyle name="1 56" xfId="8370"/>
    <cellStyle name="1 57" xfId="8414"/>
    <cellStyle name="1 6" xfId="2627"/>
    <cellStyle name="1 7" xfId="4177"/>
    <cellStyle name="1 8" xfId="2526"/>
    <cellStyle name="1 9" xfId="4279"/>
    <cellStyle name="1_1.전시시설물" xfId="1477"/>
    <cellStyle name="1_1전시시설물(근대)최종-1" xfId="1478"/>
    <cellStyle name="1_2.전시모형" xfId="1479"/>
    <cellStyle name="1_2005년도 폐고무아스콘" xfId="1480"/>
    <cellStyle name="1_2005년도 폐고무아스콘_1.전시시설물" xfId="1481"/>
    <cellStyle name="1_2005년도 폐고무아스콘_1전시시설물(근대)최종-1" xfId="1482"/>
    <cellStyle name="1_2005년도 폐고무아스콘_2.전시모형" xfId="1483"/>
    <cellStyle name="1_2005년도 폐고무아스콘_단가" xfId="1484"/>
    <cellStyle name="1_2005년도 폐고무아스콘_물량" xfId="1485"/>
    <cellStyle name="1_ALD SYSTEM" xfId="1486"/>
    <cellStyle name="1_Book1" xfId="1487"/>
    <cellStyle name="1_sw,hw" xfId="221"/>
    <cellStyle name="1_total" xfId="222"/>
    <cellStyle name="1_total_1.전시시설물" xfId="1488"/>
    <cellStyle name="1_total_1전시시설물(근대)최종-1" xfId="1489"/>
    <cellStyle name="1_total_2.전시모형" xfId="1490"/>
    <cellStyle name="1_total_2005년도 직포매트" xfId="223"/>
    <cellStyle name="1_total_2005년도 직포매트_1.전시시설물" xfId="1491"/>
    <cellStyle name="1_total_2005년도 직포매트_1전시시설물(근대)최종-1" xfId="1492"/>
    <cellStyle name="1_total_2005년도 직포매트_2.전시모형" xfId="1493"/>
    <cellStyle name="1_total_2005년도 직포매트_덧마루제작설치(계약)" xfId="224"/>
    <cellStyle name="1_total_2005년도 직포매트_덧마루제작설치(계약)_올해의작가-박기원전 전시실 조성공사(일위대가포함)" xfId="225"/>
    <cellStyle name="1_total_2005년도 직포매트_덧마루제작설치(계약)_작품출입구내부보수공사" xfId="226"/>
    <cellStyle name="1_total_2005년도 직포매트_덧마루제작설치(계약)_현대미술관" xfId="227"/>
    <cellStyle name="1_total_2005년도 직포매트_덧마루제작설치(계약)_현대미술관 수장고" xfId="228"/>
    <cellStyle name="1_total_2005년도 직포매트_마지막" xfId="229"/>
    <cellStyle name="1_total_2005년도 직포매트_마지막_올해의작가-박기원전 전시실 조성공사(일위대가포함)" xfId="230"/>
    <cellStyle name="1_total_2005년도 직포매트_마지막_작품출입구내부보수공사" xfId="231"/>
    <cellStyle name="1_total_2005년도 직포매트_마지막_현대미술관" xfId="232"/>
    <cellStyle name="1_total_2005년도 직포매트_마지막_현대미술관 수장고" xfId="233"/>
    <cellStyle name="1_total_2005년도 직포매트_문화관광부 장관실및회의실" xfId="234"/>
    <cellStyle name="1_total_2005년도 직포매트_문화관광부 장관실및회의실_문화관광부 장관실및회의실" xfId="235"/>
    <cellStyle name="1_total_2005년도 직포매트_문화관광부 장관실및회의실_문화관광부 장관실및회의실_작품출입구내부보수공사" xfId="236"/>
    <cellStyle name="1_total_2005년도 직포매트_문화관광부 장관실및회의실_문화관광부 장관실및회의실_현대미술관" xfId="237"/>
    <cellStyle name="1_total_2005년도 직포매트_문화관광부 장관실및회의실_문화관광부 장관실및회의실_현대미술관 수장고" xfId="238"/>
    <cellStyle name="1_total_2005년도 직포매트_문화관광부 장관실및회의실_작품출입구내부보수공사" xfId="239"/>
    <cellStyle name="1_total_2005년도 직포매트_문화관광부 장관실및회의실_현대미술관" xfId="240"/>
    <cellStyle name="1_total_2005년도 직포매트_문화관광부 장관실및회의실_현대미술관 수장고" xfId="241"/>
    <cellStyle name="1_total_2005년도 직포매트_문화관광부 장관실및회의실_회의실장관실최종" xfId="242"/>
    <cellStyle name="1_total_2005년도 직포매트_문화관광부 장관실및회의실_회의실장관실최종_작품출입구내부보수공사" xfId="243"/>
    <cellStyle name="1_total_2005년도 직포매트_문화관광부 장관실및회의실_회의실장관실최종_현대미술관" xfId="244"/>
    <cellStyle name="1_total_2005년도 직포매트_문화관광부 장관실및회의실_회의실장관실최종_현대미술관 수장고" xfId="245"/>
    <cellStyle name="1_total_2005년도 직포매트_미술관" xfId="246"/>
    <cellStyle name="1_total_2005년도 직포매트_미술관(최종)" xfId="247"/>
    <cellStyle name="1_total_2005년도 직포매트_미술관_올해의작가-박기원전 전시실 조성공사(일위대가포함)" xfId="248"/>
    <cellStyle name="1_total_2005년도 직포매트_미술관_작품출입구내부보수공사" xfId="249"/>
    <cellStyle name="1_total_2005년도 직포매트_미술관_현대미술관" xfId="250"/>
    <cellStyle name="1_total_2005년도 직포매트_미술관_현대미술관 수장고" xfId="251"/>
    <cellStyle name="1_total_2005년도 직포매트_민속박물관 화장실" xfId="252"/>
    <cellStyle name="1_total_2005년도 직포매트_민속박물관 화장실_올해의작가-박기원전 전시실 조성공사(일위대가포함)" xfId="253"/>
    <cellStyle name="1_total_2005년도 직포매트_민속박물관 화장실_작품출입구내부보수공사" xfId="254"/>
    <cellStyle name="1_total_2005년도 직포매트_민속박물관 화장실_현대미술관" xfId="255"/>
    <cellStyle name="1_total_2005년도 직포매트_민속박물관 화장실_현대미술관 수장고" xfId="256"/>
    <cellStyle name="1_total_2005년도 직포매트_올해의작가-박기원전 전시실 조성공사(일위대가포함)" xfId="257"/>
    <cellStyle name="1_total_2005년도 직포매트_원가계산서(지하화장실 및 샤워실 환경개선)" xfId="258"/>
    <cellStyle name="1_total_2005년도 직포매트_원가계산서(지하화장실 및 샤워실 환경개선)_올해의작가-박기원전 전시실 조성공사(일위대가포함)" xfId="259"/>
    <cellStyle name="1_total_2005년도 직포매트_원가계산서(지하화장실 및 샤워실 환경개선)_작품출입구내부보수공사" xfId="260"/>
    <cellStyle name="1_total_2005년도 직포매트_원가계산서(지하화장실 및 샤워실 환경개선)_현대미술관" xfId="261"/>
    <cellStyle name="1_total_2005년도 직포매트_원가계산서(지하화장실 및 샤워실 환경개선)_현대미술관 수장고" xfId="262"/>
    <cellStyle name="1_total_2005년도 직포매트_작품출입구내부보수공사" xfId="263"/>
    <cellStyle name="1_total_2005년도 직포매트_한국중부발전(주)-최종(1)" xfId="264"/>
    <cellStyle name="1_total_2005년도 직포매트_현대미술관" xfId="265"/>
    <cellStyle name="1_total_2005년도 직포매트_현대미술관 수장고" xfId="266"/>
    <cellStyle name="1_total_덧마루제작설치(계약)" xfId="267"/>
    <cellStyle name="1_total_덧마루제작설치(계약)_올해의작가-박기원전 전시실 조성공사(일위대가포함)" xfId="268"/>
    <cellStyle name="1_total_덧마루제작설치(계약)_작품출입구내부보수공사" xfId="269"/>
    <cellStyle name="1_total_덧마루제작설치(계약)_현대미술관" xfId="270"/>
    <cellStyle name="1_total_덧마루제작설치(계약)_현대미술관 수장고" xfId="271"/>
    <cellStyle name="1_total_마지막" xfId="272"/>
    <cellStyle name="1_total_마지막_올해의작가-박기원전 전시실 조성공사(일위대가포함)" xfId="273"/>
    <cellStyle name="1_total_마지막_작품출입구내부보수공사" xfId="274"/>
    <cellStyle name="1_total_마지막_현대미술관" xfId="275"/>
    <cellStyle name="1_total_마지막_현대미술관 수장고" xfId="276"/>
    <cellStyle name="1_total_문화관광부 장관실및회의실" xfId="277"/>
    <cellStyle name="1_total_문화관광부 장관실및회의실_문화관광부 장관실및회의실" xfId="278"/>
    <cellStyle name="1_total_문화관광부 장관실및회의실_문화관광부 장관실및회의실_작품출입구내부보수공사" xfId="279"/>
    <cellStyle name="1_total_문화관광부 장관실및회의실_문화관광부 장관실및회의실_현대미술관" xfId="280"/>
    <cellStyle name="1_total_문화관광부 장관실및회의실_문화관광부 장관실및회의실_현대미술관 수장고" xfId="281"/>
    <cellStyle name="1_total_문화관광부 장관실및회의실_작품출입구내부보수공사" xfId="282"/>
    <cellStyle name="1_total_문화관광부 장관실및회의실_현대미술관" xfId="283"/>
    <cellStyle name="1_total_문화관광부 장관실및회의실_현대미술관 수장고" xfId="284"/>
    <cellStyle name="1_total_문화관광부 장관실및회의실_회의실장관실최종" xfId="285"/>
    <cellStyle name="1_total_문화관광부 장관실및회의실_회의실장관실최종_작품출입구내부보수공사" xfId="286"/>
    <cellStyle name="1_total_문화관광부 장관실및회의실_회의실장관실최종_현대미술관" xfId="287"/>
    <cellStyle name="1_total_문화관광부 장관실및회의실_회의실장관실최종_현대미술관 수장고" xfId="288"/>
    <cellStyle name="1_total_미술관" xfId="289"/>
    <cellStyle name="1_total_미술관(최종)" xfId="290"/>
    <cellStyle name="1_total_미술관_올해의작가-박기원전 전시실 조성공사(일위대가포함)" xfId="291"/>
    <cellStyle name="1_total_미술관_작품출입구내부보수공사" xfId="292"/>
    <cellStyle name="1_total_미술관_현대미술관" xfId="293"/>
    <cellStyle name="1_total_미술관_현대미술관 수장고" xfId="294"/>
    <cellStyle name="1_total_민속박물관 화장실" xfId="295"/>
    <cellStyle name="1_total_민속박물관 화장실_올해의작가-박기원전 전시실 조성공사(일위대가포함)" xfId="296"/>
    <cellStyle name="1_total_민속박물관 화장실_작품출입구내부보수공사" xfId="297"/>
    <cellStyle name="1_total_민속박물관 화장실_현대미술관" xfId="298"/>
    <cellStyle name="1_total_민속박물관 화장실_현대미술관 수장고" xfId="299"/>
    <cellStyle name="1_total_올해의작가-박기원전 전시실 조성공사(일위대가포함)" xfId="300"/>
    <cellStyle name="1_total_원가계산서(지하화장실 및 샤워실 환경개선)" xfId="301"/>
    <cellStyle name="1_total_원가계산서(지하화장실 및 샤워실 환경개선)_올해의작가-박기원전 전시실 조성공사(일위대가포함)" xfId="302"/>
    <cellStyle name="1_total_원가계산서(지하화장실 및 샤워실 환경개선)_작품출입구내부보수공사" xfId="303"/>
    <cellStyle name="1_total_원가계산서(지하화장실 및 샤워실 환경개선)_현대미술관" xfId="304"/>
    <cellStyle name="1_total_원가계산서(지하화장실 및 샤워실 환경개선)_현대미술관 수장고" xfId="305"/>
    <cellStyle name="1_total_작품출입구내부보수공사" xfId="306"/>
    <cellStyle name="1_total_한국중부발전(주)-최종(1)" xfId="307"/>
    <cellStyle name="1_total_현대미술관" xfId="308"/>
    <cellStyle name="1_total_현대미술관 수장고" xfId="309"/>
    <cellStyle name="1_tree" xfId="310"/>
    <cellStyle name="1_tree_1.전시시설물" xfId="1494"/>
    <cellStyle name="1_tree_1전시시설물(근대)최종-1" xfId="1495"/>
    <cellStyle name="1_tree_2.전시모형" xfId="1496"/>
    <cellStyle name="1_tree_2005년도 직포매트" xfId="311"/>
    <cellStyle name="1_tree_2005년도 직포매트_1.전시시설물" xfId="1497"/>
    <cellStyle name="1_tree_2005년도 직포매트_1전시시설물(근대)최종-1" xfId="1498"/>
    <cellStyle name="1_tree_2005년도 직포매트_2.전시모형" xfId="1499"/>
    <cellStyle name="1_tree_2005년도 직포매트_덧마루제작설치(계약)" xfId="312"/>
    <cellStyle name="1_tree_2005년도 직포매트_덧마루제작설치(계약)_올해의작가-박기원전 전시실 조성공사(일위대가포함)" xfId="313"/>
    <cellStyle name="1_tree_2005년도 직포매트_덧마루제작설치(계약)_작품출입구내부보수공사" xfId="314"/>
    <cellStyle name="1_tree_2005년도 직포매트_덧마루제작설치(계약)_현대미술관" xfId="315"/>
    <cellStyle name="1_tree_2005년도 직포매트_덧마루제작설치(계약)_현대미술관 수장고" xfId="316"/>
    <cellStyle name="1_tree_2005년도 직포매트_마지막" xfId="317"/>
    <cellStyle name="1_tree_2005년도 직포매트_마지막_올해의작가-박기원전 전시실 조성공사(일위대가포함)" xfId="318"/>
    <cellStyle name="1_tree_2005년도 직포매트_마지막_작품출입구내부보수공사" xfId="319"/>
    <cellStyle name="1_tree_2005년도 직포매트_마지막_현대미술관" xfId="320"/>
    <cellStyle name="1_tree_2005년도 직포매트_마지막_현대미술관 수장고" xfId="321"/>
    <cellStyle name="1_tree_2005년도 직포매트_문화관광부 장관실및회의실" xfId="322"/>
    <cellStyle name="1_tree_2005년도 직포매트_문화관광부 장관실및회의실_문화관광부 장관실및회의실" xfId="323"/>
    <cellStyle name="1_tree_2005년도 직포매트_문화관광부 장관실및회의실_문화관광부 장관실및회의실_작품출입구내부보수공사" xfId="324"/>
    <cellStyle name="1_tree_2005년도 직포매트_문화관광부 장관실및회의실_문화관광부 장관실및회의실_현대미술관" xfId="325"/>
    <cellStyle name="1_tree_2005년도 직포매트_문화관광부 장관실및회의실_문화관광부 장관실및회의실_현대미술관 수장고" xfId="326"/>
    <cellStyle name="1_tree_2005년도 직포매트_문화관광부 장관실및회의실_작품출입구내부보수공사" xfId="327"/>
    <cellStyle name="1_tree_2005년도 직포매트_문화관광부 장관실및회의실_현대미술관" xfId="328"/>
    <cellStyle name="1_tree_2005년도 직포매트_문화관광부 장관실및회의실_현대미술관 수장고" xfId="329"/>
    <cellStyle name="1_tree_2005년도 직포매트_문화관광부 장관실및회의실_회의실장관실최종" xfId="330"/>
    <cellStyle name="1_tree_2005년도 직포매트_문화관광부 장관실및회의실_회의실장관실최종_작품출입구내부보수공사" xfId="331"/>
    <cellStyle name="1_tree_2005년도 직포매트_문화관광부 장관실및회의실_회의실장관실최종_현대미술관" xfId="332"/>
    <cellStyle name="1_tree_2005년도 직포매트_문화관광부 장관실및회의실_회의실장관실최종_현대미술관 수장고" xfId="333"/>
    <cellStyle name="1_tree_2005년도 직포매트_미술관" xfId="334"/>
    <cellStyle name="1_tree_2005년도 직포매트_미술관(최종)" xfId="335"/>
    <cellStyle name="1_tree_2005년도 직포매트_미술관_올해의작가-박기원전 전시실 조성공사(일위대가포함)" xfId="336"/>
    <cellStyle name="1_tree_2005년도 직포매트_미술관_작품출입구내부보수공사" xfId="337"/>
    <cellStyle name="1_tree_2005년도 직포매트_미술관_현대미술관" xfId="338"/>
    <cellStyle name="1_tree_2005년도 직포매트_미술관_현대미술관 수장고" xfId="339"/>
    <cellStyle name="1_tree_2005년도 직포매트_민속박물관 화장실" xfId="340"/>
    <cellStyle name="1_tree_2005년도 직포매트_민속박물관 화장실_올해의작가-박기원전 전시실 조성공사(일위대가포함)" xfId="341"/>
    <cellStyle name="1_tree_2005년도 직포매트_민속박물관 화장실_작품출입구내부보수공사" xfId="342"/>
    <cellStyle name="1_tree_2005년도 직포매트_민속박물관 화장실_현대미술관" xfId="343"/>
    <cellStyle name="1_tree_2005년도 직포매트_민속박물관 화장실_현대미술관 수장고" xfId="344"/>
    <cellStyle name="1_tree_2005년도 직포매트_올해의작가-박기원전 전시실 조성공사(일위대가포함)" xfId="345"/>
    <cellStyle name="1_tree_2005년도 직포매트_원가계산서(지하화장실 및 샤워실 환경개선)" xfId="346"/>
    <cellStyle name="1_tree_2005년도 직포매트_원가계산서(지하화장실 및 샤워실 환경개선)_올해의작가-박기원전 전시실 조성공사(일위대가포함)" xfId="347"/>
    <cellStyle name="1_tree_2005년도 직포매트_원가계산서(지하화장실 및 샤워실 환경개선)_작품출입구내부보수공사" xfId="348"/>
    <cellStyle name="1_tree_2005년도 직포매트_원가계산서(지하화장실 및 샤워실 환경개선)_현대미술관" xfId="349"/>
    <cellStyle name="1_tree_2005년도 직포매트_원가계산서(지하화장실 및 샤워실 환경개선)_현대미술관 수장고" xfId="350"/>
    <cellStyle name="1_tree_2005년도 직포매트_작품출입구내부보수공사" xfId="351"/>
    <cellStyle name="1_tree_2005년도 직포매트_한국중부발전(주)-최종(1)" xfId="352"/>
    <cellStyle name="1_tree_2005년도 직포매트_현대미술관" xfId="353"/>
    <cellStyle name="1_tree_2005년도 직포매트_현대미술관 수장고" xfId="354"/>
    <cellStyle name="1_tree_덧마루제작설치(계약)" xfId="355"/>
    <cellStyle name="1_tree_덧마루제작설치(계약)_올해의작가-박기원전 전시실 조성공사(일위대가포함)" xfId="356"/>
    <cellStyle name="1_tree_덧마루제작설치(계약)_작품출입구내부보수공사" xfId="357"/>
    <cellStyle name="1_tree_덧마루제작설치(계약)_현대미술관" xfId="358"/>
    <cellStyle name="1_tree_덧마루제작설치(계약)_현대미술관 수장고" xfId="359"/>
    <cellStyle name="1_tree_마지막" xfId="360"/>
    <cellStyle name="1_tree_마지막_올해의작가-박기원전 전시실 조성공사(일위대가포함)" xfId="361"/>
    <cellStyle name="1_tree_마지막_작품출입구내부보수공사" xfId="362"/>
    <cellStyle name="1_tree_마지막_현대미술관" xfId="363"/>
    <cellStyle name="1_tree_마지막_현대미술관 수장고" xfId="364"/>
    <cellStyle name="1_tree_문화관광부 장관실및회의실" xfId="365"/>
    <cellStyle name="1_tree_문화관광부 장관실및회의실_문화관광부 장관실및회의실" xfId="366"/>
    <cellStyle name="1_tree_문화관광부 장관실및회의실_문화관광부 장관실및회의실_작품출입구내부보수공사" xfId="367"/>
    <cellStyle name="1_tree_문화관광부 장관실및회의실_문화관광부 장관실및회의실_현대미술관" xfId="368"/>
    <cellStyle name="1_tree_문화관광부 장관실및회의실_문화관광부 장관실및회의실_현대미술관 수장고" xfId="369"/>
    <cellStyle name="1_tree_문화관광부 장관실및회의실_작품출입구내부보수공사" xfId="370"/>
    <cellStyle name="1_tree_문화관광부 장관실및회의실_현대미술관" xfId="371"/>
    <cellStyle name="1_tree_문화관광부 장관실및회의실_현대미술관 수장고" xfId="372"/>
    <cellStyle name="1_tree_문화관광부 장관실및회의실_회의실장관실최종" xfId="373"/>
    <cellStyle name="1_tree_문화관광부 장관실및회의실_회의실장관실최종_작품출입구내부보수공사" xfId="374"/>
    <cellStyle name="1_tree_문화관광부 장관실및회의실_회의실장관실최종_현대미술관" xfId="375"/>
    <cellStyle name="1_tree_문화관광부 장관실및회의실_회의실장관실최종_현대미술관 수장고" xfId="376"/>
    <cellStyle name="1_tree_미술관" xfId="377"/>
    <cellStyle name="1_tree_미술관(최종)" xfId="378"/>
    <cellStyle name="1_tree_미술관_올해의작가-박기원전 전시실 조성공사(일위대가포함)" xfId="379"/>
    <cellStyle name="1_tree_미술관_작품출입구내부보수공사" xfId="380"/>
    <cellStyle name="1_tree_미술관_현대미술관" xfId="381"/>
    <cellStyle name="1_tree_미술관_현대미술관 수장고" xfId="382"/>
    <cellStyle name="1_tree_민속박물관 화장실" xfId="383"/>
    <cellStyle name="1_tree_민속박물관 화장실_올해의작가-박기원전 전시실 조성공사(일위대가포함)" xfId="384"/>
    <cellStyle name="1_tree_민속박물관 화장실_작품출입구내부보수공사" xfId="385"/>
    <cellStyle name="1_tree_민속박물관 화장실_현대미술관" xfId="386"/>
    <cellStyle name="1_tree_민속박물관 화장실_현대미술관 수장고" xfId="387"/>
    <cellStyle name="1_tree_수량산출" xfId="388"/>
    <cellStyle name="1_tree_수량산출_1.전시시설물" xfId="1500"/>
    <cellStyle name="1_tree_수량산출_1전시시설물(근대)최종-1" xfId="1501"/>
    <cellStyle name="1_tree_수량산출_2.전시모형" xfId="1502"/>
    <cellStyle name="1_tree_수량산출_2005년도 직포매트" xfId="389"/>
    <cellStyle name="1_tree_수량산출_2005년도 직포매트_1.전시시설물" xfId="1503"/>
    <cellStyle name="1_tree_수량산출_2005년도 직포매트_1전시시설물(근대)최종-1" xfId="1504"/>
    <cellStyle name="1_tree_수량산출_2005년도 직포매트_2.전시모형" xfId="1505"/>
    <cellStyle name="1_tree_수량산출_2005년도 직포매트_덧마루제작설치(계약)" xfId="390"/>
    <cellStyle name="1_tree_수량산출_2005년도 직포매트_덧마루제작설치(계약)_올해의작가-박기원전 전시실 조성공사(일위대가포함)" xfId="391"/>
    <cellStyle name="1_tree_수량산출_2005년도 직포매트_덧마루제작설치(계약)_작품출입구내부보수공사" xfId="392"/>
    <cellStyle name="1_tree_수량산출_2005년도 직포매트_덧마루제작설치(계약)_현대미술관" xfId="393"/>
    <cellStyle name="1_tree_수량산출_2005년도 직포매트_덧마루제작설치(계약)_현대미술관 수장고" xfId="394"/>
    <cellStyle name="1_tree_수량산출_2005년도 직포매트_마지막" xfId="395"/>
    <cellStyle name="1_tree_수량산출_2005년도 직포매트_마지막_올해의작가-박기원전 전시실 조성공사(일위대가포함)" xfId="396"/>
    <cellStyle name="1_tree_수량산출_2005년도 직포매트_마지막_작품출입구내부보수공사" xfId="397"/>
    <cellStyle name="1_tree_수량산출_2005년도 직포매트_마지막_현대미술관" xfId="398"/>
    <cellStyle name="1_tree_수량산출_2005년도 직포매트_마지막_현대미술관 수장고" xfId="399"/>
    <cellStyle name="1_tree_수량산출_2005년도 직포매트_문화관광부 장관실및회의실" xfId="400"/>
    <cellStyle name="1_tree_수량산출_2005년도 직포매트_문화관광부 장관실및회의실_문화관광부 장관실및회의실" xfId="401"/>
    <cellStyle name="1_tree_수량산출_2005년도 직포매트_문화관광부 장관실및회의실_문화관광부 장관실및회의실_작품출입구내부보수공사" xfId="402"/>
    <cellStyle name="1_tree_수량산출_2005년도 직포매트_문화관광부 장관실및회의실_문화관광부 장관실및회의실_현대미술관" xfId="403"/>
    <cellStyle name="1_tree_수량산출_2005년도 직포매트_문화관광부 장관실및회의실_문화관광부 장관실및회의실_현대미술관 수장고" xfId="404"/>
    <cellStyle name="1_tree_수량산출_2005년도 직포매트_문화관광부 장관실및회의실_작품출입구내부보수공사" xfId="405"/>
    <cellStyle name="1_tree_수량산출_2005년도 직포매트_문화관광부 장관실및회의실_현대미술관" xfId="406"/>
    <cellStyle name="1_tree_수량산출_2005년도 직포매트_문화관광부 장관실및회의실_현대미술관 수장고" xfId="407"/>
    <cellStyle name="1_tree_수량산출_2005년도 직포매트_문화관광부 장관실및회의실_회의실장관실최종" xfId="408"/>
    <cellStyle name="1_tree_수량산출_2005년도 직포매트_문화관광부 장관실및회의실_회의실장관실최종_작품출입구내부보수공사" xfId="409"/>
    <cellStyle name="1_tree_수량산출_2005년도 직포매트_문화관광부 장관실및회의실_회의실장관실최종_현대미술관" xfId="410"/>
    <cellStyle name="1_tree_수량산출_2005년도 직포매트_문화관광부 장관실및회의실_회의실장관실최종_현대미술관 수장고" xfId="411"/>
    <cellStyle name="1_tree_수량산출_2005년도 직포매트_미술관" xfId="412"/>
    <cellStyle name="1_tree_수량산출_2005년도 직포매트_미술관(최종)" xfId="413"/>
    <cellStyle name="1_tree_수량산출_2005년도 직포매트_미술관_올해의작가-박기원전 전시실 조성공사(일위대가포함)" xfId="414"/>
    <cellStyle name="1_tree_수량산출_2005년도 직포매트_미술관_작품출입구내부보수공사" xfId="415"/>
    <cellStyle name="1_tree_수량산출_2005년도 직포매트_미술관_현대미술관" xfId="416"/>
    <cellStyle name="1_tree_수량산출_2005년도 직포매트_미술관_현대미술관 수장고" xfId="417"/>
    <cellStyle name="1_tree_수량산출_2005년도 직포매트_민속박물관 화장실" xfId="418"/>
    <cellStyle name="1_tree_수량산출_2005년도 직포매트_민속박물관 화장실_올해의작가-박기원전 전시실 조성공사(일위대가포함)" xfId="419"/>
    <cellStyle name="1_tree_수량산출_2005년도 직포매트_민속박물관 화장실_작품출입구내부보수공사" xfId="420"/>
    <cellStyle name="1_tree_수량산출_2005년도 직포매트_민속박물관 화장실_현대미술관" xfId="421"/>
    <cellStyle name="1_tree_수량산출_2005년도 직포매트_민속박물관 화장실_현대미술관 수장고" xfId="422"/>
    <cellStyle name="1_tree_수량산출_2005년도 직포매트_올해의작가-박기원전 전시실 조성공사(일위대가포함)" xfId="423"/>
    <cellStyle name="1_tree_수량산출_2005년도 직포매트_원가계산서(지하화장실 및 샤워실 환경개선)" xfId="424"/>
    <cellStyle name="1_tree_수량산출_2005년도 직포매트_원가계산서(지하화장실 및 샤워실 환경개선)_올해의작가-박기원전 전시실 조성공사(일위대가포함)" xfId="425"/>
    <cellStyle name="1_tree_수량산출_2005년도 직포매트_원가계산서(지하화장실 및 샤워실 환경개선)_작품출입구내부보수공사" xfId="426"/>
    <cellStyle name="1_tree_수량산출_2005년도 직포매트_원가계산서(지하화장실 및 샤워실 환경개선)_현대미술관" xfId="427"/>
    <cellStyle name="1_tree_수량산출_2005년도 직포매트_원가계산서(지하화장실 및 샤워실 환경개선)_현대미술관 수장고" xfId="428"/>
    <cellStyle name="1_tree_수량산출_2005년도 직포매트_작품출입구내부보수공사" xfId="429"/>
    <cellStyle name="1_tree_수량산출_2005년도 직포매트_한국중부발전(주)-최종(1)" xfId="430"/>
    <cellStyle name="1_tree_수량산출_2005년도 직포매트_현대미술관" xfId="431"/>
    <cellStyle name="1_tree_수량산출_2005년도 직포매트_현대미술관 수장고" xfId="432"/>
    <cellStyle name="1_tree_수량산출_덧마루제작설치(계약)" xfId="433"/>
    <cellStyle name="1_tree_수량산출_덧마루제작설치(계약)_올해의작가-박기원전 전시실 조성공사(일위대가포함)" xfId="434"/>
    <cellStyle name="1_tree_수량산출_덧마루제작설치(계약)_작품출입구내부보수공사" xfId="435"/>
    <cellStyle name="1_tree_수량산출_덧마루제작설치(계약)_현대미술관" xfId="436"/>
    <cellStyle name="1_tree_수량산출_덧마루제작설치(계약)_현대미술관 수장고" xfId="437"/>
    <cellStyle name="1_tree_수량산출_마지막" xfId="438"/>
    <cellStyle name="1_tree_수량산출_마지막_올해의작가-박기원전 전시실 조성공사(일위대가포함)" xfId="439"/>
    <cellStyle name="1_tree_수량산출_마지막_작품출입구내부보수공사" xfId="440"/>
    <cellStyle name="1_tree_수량산출_마지막_현대미술관" xfId="441"/>
    <cellStyle name="1_tree_수량산출_마지막_현대미술관 수장고" xfId="442"/>
    <cellStyle name="1_tree_수량산출_문화관광부 장관실및회의실" xfId="443"/>
    <cellStyle name="1_tree_수량산출_문화관광부 장관실및회의실_문화관광부 장관실및회의실" xfId="444"/>
    <cellStyle name="1_tree_수량산출_문화관광부 장관실및회의실_문화관광부 장관실및회의실_작품출입구내부보수공사" xfId="445"/>
    <cellStyle name="1_tree_수량산출_문화관광부 장관실및회의실_문화관광부 장관실및회의실_현대미술관" xfId="446"/>
    <cellStyle name="1_tree_수량산출_문화관광부 장관실및회의실_문화관광부 장관실및회의실_현대미술관 수장고" xfId="447"/>
    <cellStyle name="1_tree_수량산출_문화관광부 장관실및회의실_작품출입구내부보수공사" xfId="448"/>
    <cellStyle name="1_tree_수량산출_문화관광부 장관실및회의실_현대미술관" xfId="449"/>
    <cellStyle name="1_tree_수량산출_문화관광부 장관실및회의실_현대미술관 수장고" xfId="450"/>
    <cellStyle name="1_tree_수량산출_문화관광부 장관실및회의실_회의실장관실최종" xfId="451"/>
    <cellStyle name="1_tree_수량산출_문화관광부 장관실및회의실_회의실장관실최종_작품출입구내부보수공사" xfId="452"/>
    <cellStyle name="1_tree_수량산출_문화관광부 장관실및회의실_회의실장관실최종_현대미술관" xfId="453"/>
    <cellStyle name="1_tree_수량산출_문화관광부 장관실및회의실_회의실장관실최종_현대미술관 수장고" xfId="454"/>
    <cellStyle name="1_tree_수량산출_미술관" xfId="455"/>
    <cellStyle name="1_tree_수량산출_미술관(최종)" xfId="456"/>
    <cellStyle name="1_tree_수량산출_미술관_올해의작가-박기원전 전시실 조성공사(일위대가포함)" xfId="457"/>
    <cellStyle name="1_tree_수량산출_미술관_작품출입구내부보수공사" xfId="458"/>
    <cellStyle name="1_tree_수량산출_미술관_현대미술관" xfId="459"/>
    <cellStyle name="1_tree_수량산출_미술관_현대미술관 수장고" xfId="460"/>
    <cellStyle name="1_tree_수량산출_민속박물관 화장실" xfId="461"/>
    <cellStyle name="1_tree_수량산출_민속박물관 화장실_올해의작가-박기원전 전시실 조성공사(일위대가포함)" xfId="462"/>
    <cellStyle name="1_tree_수량산출_민속박물관 화장실_작품출입구내부보수공사" xfId="463"/>
    <cellStyle name="1_tree_수량산출_민속박물관 화장실_현대미술관" xfId="464"/>
    <cellStyle name="1_tree_수량산출_민속박물관 화장실_현대미술관 수장고" xfId="465"/>
    <cellStyle name="1_tree_수량산출_올해의작가-박기원전 전시실 조성공사(일위대가포함)" xfId="466"/>
    <cellStyle name="1_tree_수량산출_원가계산서(지하화장실 및 샤워실 환경개선)" xfId="467"/>
    <cellStyle name="1_tree_수량산출_원가계산서(지하화장실 및 샤워실 환경개선)_올해의작가-박기원전 전시실 조성공사(일위대가포함)" xfId="468"/>
    <cellStyle name="1_tree_수량산출_원가계산서(지하화장실 및 샤워실 환경개선)_작품출입구내부보수공사" xfId="469"/>
    <cellStyle name="1_tree_수량산출_원가계산서(지하화장실 및 샤워실 환경개선)_현대미술관" xfId="470"/>
    <cellStyle name="1_tree_수량산출_원가계산서(지하화장실 및 샤워실 환경개선)_현대미술관 수장고" xfId="471"/>
    <cellStyle name="1_tree_수량산출_작품출입구내부보수공사" xfId="472"/>
    <cellStyle name="1_tree_수량산출_한국중부발전(주)-최종(1)" xfId="473"/>
    <cellStyle name="1_tree_수량산출_현대미술관" xfId="474"/>
    <cellStyle name="1_tree_수량산출_현대미술관 수장고" xfId="475"/>
    <cellStyle name="1_tree_올해의작가-박기원전 전시실 조성공사(일위대가포함)" xfId="476"/>
    <cellStyle name="1_tree_원가계산서(지하화장실 및 샤워실 환경개선)" xfId="477"/>
    <cellStyle name="1_tree_원가계산서(지하화장실 및 샤워실 환경개선)_올해의작가-박기원전 전시실 조성공사(일위대가포함)" xfId="478"/>
    <cellStyle name="1_tree_원가계산서(지하화장실 및 샤워실 환경개선)_작품출입구내부보수공사" xfId="479"/>
    <cellStyle name="1_tree_원가계산서(지하화장실 및 샤워실 환경개선)_현대미술관" xfId="480"/>
    <cellStyle name="1_tree_원가계산서(지하화장실 및 샤워실 환경개선)_현대미술관 수장고" xfId="481"/>
    <cellStyle name="1_tree_작품출입구내부보수공사" xfId="482"/>
    <cellStyle name="1_tree_한국중부발전(주)-최종(1)" xfId="483"/>
    <cellStyle name="1_tree_현대미술관" xfId="484"/>
    <cellStyle name="1_tree_현대미술관 수장고" xfId="485"/>
    <cellStyle name="1_가로등주" xfId="1506"/>
    <cellStyle name="1_국립서울과학관 상설전시관-퍼펙트-디스켓" xfId="1507"/>
    <cellStyle name="1_단가" xfId="1508"/>
    <cellStyle name="1_물량" xfId="1509"/>
    <cellStyle name="1_사인물 작업" xfId="1510"/>
    <cellStyle name="1_사인물 작업_1.전시시설물" xfId="1511"/>
    <cellStyle name="1_사인물 작업_1전시시설물(근대)최종-1" xfId="1512"/>
    <cellStyle name="1_사인물 작업_2.전시모형" xfId="1513"/>
    <cellStyle name="1_사인물 작업_단가" xfId="1514"/>
    <cellStyle name="1_사인물 작업_물량" xfId="1515"/>
    <cellStyle name="1_산청군한약박물관_작업" xfId="1516"/>
    <cellStyle name="1_산청군한약박물관_작업_1.전시시설물" xfId="1517"/>
    <cellStyle name="1_산청군한약박물관_작업_1전시시설물(근대)최종-1" xfId="1518"/>
    <cellStyle name="1_산청군한약박물관_작업_2.전시모형" xfId="1519"/>
    <cellStyle name="1_산청군한약박물관_작업_단가" xfId="1520"/>
    <cellStyle name="1_산청군한약박물관_작업_물량" xfId="1521"/>
    <cellStyle name="1_산청군한약박물관_작업-CD" xfId="1522"/>
    <cellStyle name="1_산청군한약박물관_작업-CD_1.전시시설물" xfId="1523"/>
    <cellStyle name="1_산청군한약박물관_작업-CD_1전시시설물(근대)최종-1" xfId="1524"/>
    <cellStyle name="1_산청군한약박물관_작업-CD_2.전시모형" xfId="1525"/>
    <cellStyle name="1_산청군한약박물관_작업-CD_단가" xfId="1526"/>
    <cellStyle name="1_산청군한약박물관_작업-CD_물량" xfId="1527"/>
    <cellStyle name="1_속초실향민원가-수정-메일" xfId="1528"/>
    <cellStyle name="1_슬기샘도서관(장안) 탐구과학 전시실" xfId="1529"/>
    <cellStyle name="1_슬기샘도서관(장안) 탐구과학 전시실-충무용사촌00" xfId="1530"/>
    <cellStyle name="1_신기술제품_내식성실험대" xfId="1531"/>
    <cellStyle name="1_영양민물생태관-수정" xfId="486"/>
    <cellStyle name="1_영양민물생태관-수정디스켓" xfId="487"/>
    <cellStyle name="1_일위진행중" xfId="1532"/>
    <cellStyle name="1_전송_물량공수" xfId="1533"/>
    <cellStyle name="1_전시내역서(최종0408)-작업" xfId="488"/>
    <cellStyle name="1_전시내역서(최종0408)-작업_1.전시시설물" xfId="1534"/>
    <cellStyle name="1_전시내역서(최종0408)-작업_1전시시설물(근대)최종-1" xfId="1535"/>
    <cellStyle name="1_전시내역서(최종0408)-작업_2.전시모형" xfId="1536"/>
    <cellStyle name="1_전시내역서(최종0408)-작업_단가" xfId="1537"/>
    <cellStyle name="1_전시내역서(최종0408)-작업_물량" xfId="1538"/>
    <cellStyle name="1_제2세월교" xfId="1539"/>
    <cellStyle name="1_제2세월교_1.전시시설물" xfId="1540"/>
    <cellStyle name="1_제2세월교_1전시시설물(근대)최종-1" xfId="1541"/>
    <cellStyle name="1_제2세월교_2.전시모형" xfId="1542"/>
    <cellStyle name="1_제2세월교_단가" xfId="1543"/>
    <cellStyle name="1_제2세월교_물량" xfId="1544"/>
    <cellStyle name="1_진입로 정비" xfId="1545"/>
    <cellStyle name="1_진입로 정비_1.전시시설물" xfId="1546"/>
    <cellStyle name="1_진입로 정비_1전시시설물(근대)최종-1" xfId="1547"/>
    <cellStyle name="1_진입로 정비_2.전시모형" xfId="1548"/>
    <cellStyle name="1_진입로 정비_단가" xfId="1549"/>
    <cellStyle name="1_진입로 정비_물량" xfId="1550"/>
    <cellStyle name="1_칼라아스콘-최종" xfId="1551"/>
    <cellStyle name="1_칼라아스콘-최종_1.전시시설물" xfId="1552"/>
    <cellStyle name="1_칼라아스콘-최종_1전시시설물(근대)최종-1" xfId="1553"/>
    <cellStyle name="1_칼라아스콘-최종_2.전시모형" xfId="1554"/>
    <cellStyle name="1_칼라아스콘-최종_단가" xfId="1555"/>
    <cellStyle name="1_칼라아스콘-최종_물량" xfId="1556"/>
    <cellStyle name="1_컴퓨터시스템-최종(11.12)" xfId="1557"/>
    <cellStyle name="10" xfId="489"/>
    <cellStyle name="10 10" xfId="3050"/>
    <cellStyle name="10 11" xfId="4476"/>
    <cellStyle name="10 12" xfId="4581"/>
    <cellStyle name="10 13" xfId="2966"/>
    <cellStyle name="10 14" xfId="4790"/>
    <cellStyle name="10 15" xfId="4894"/>
    <cellStyle name="10 16" xfId="5001"/>
    <cellStyle name="10 17" xfId="5102"/>
    <cellStyle name="10 18" xfId="5204"/>
    <cellStyle name="10 19" xfId="5307"/>
    <cellStyle name="10 2" xfId="3082"/>
    <cellStyle name="10 20" xfId="5406"/>
    <cellStyle name="10 21" xfId="5510"/>
    <cellStyle name="10 22" xfId="5612"/>
    <cellStyle name="10 23" xfId="5718"/>
    <cellStyle name="10 24" xfId="5823"/>
    <cellStyle name="10 25" xfId="5926"/>
    <cellStyle name="10 26" xfId="6027"/>
    <cellStyle name="10 27" xfId="6128"/>
    <cellStyle name="10 28" xfId="6223"/>
    <cellStyle name="10 29" xfId="4633"/>
    <cellStyle name="10 3" xfId="3354"/>
    <cellStyle name="10 30" xfId="6415"/>
    <cellStyle name="10 31" xfId="4853"/>
    <cellStyle name="10 32" xfId="5161"/>
    <cellStyle name="10 33" xfId="5064"/>
    <cellStyle name="10 34" xfId="6786"/>
    <cellStyle name="10 35" xfId="6872"/>
    <cellStyle name="10 36" xfId="5369"/>
    <cellStyle name="10 37" xfId="7049"/>
    <cellStyle name="10 38" xfId="6186"/>
    <cellStyle name="10 39" xfId="6096"/>
    <cellStyle name="10 4" xfId="3176"/>
    <cellStyle name="10 40" xfId="6379"/>
    <cellStyle name="10 41" xfId="7389"/>
    <cellStyle name="10 42" xfId="7469"/>
    <cellStyle name="10 43" xfId="7552"/>
    <cellStyle name="10 44" xfId="7628"/>
    <cellStyle name="10 45" xfId="7701"/>
    <cellStyle name="10 46" xfId="7770"/>
    <cellStyle name="10 47" xfId="7836"/>
    <cellStyle name="10 48" xfId="7902"/>
    <cellStyle name="10 49" xfId="7965"/>
    <cellStyle name="10 5" xfId="4052"/>
    <cellStyle name="10 50" xfId="8028"/>
    <cellStyle name="10 51" xfId="8088"/>
    <cellStyle name="10 52" xfId="8147"/>
    <cellStyle name="10 53" xfId="8206"/>
    <cellStyle name="10 54" xfId="8261"/>
    <cellStyle name="10 55" xfId="8312"/>
    <cellStyle name="10 56" xfId="8360"/>
    <cellStyle name="10 57" xfId="8404"/>
    <cellStyle name="10 6" xfId="2643"/>
    <cellStyle name="10 7" xfId="4162"/>
    <cellStyle name="10 8" xfId="2937"/>
    <cellStyle name="10 9" xfId="3498"/>
    <cellStyle name="100" xfId="490"/>
    <cellStyle name="11" xfId="491"/>
    <cellStyle name="111" xfId="492"/>
    <cellStyle name="120" xfId="1558"/>
    <cellStyle name="19990216" xfId="493"/>
    <cellStyle name="¹éº" xfId="494"/>
    <cellStyle name="¹éº 10" xfId="3940"/>
    <cellStyle name="¹éº 11" xfId="2745"/>
    <cellStyle name="¹éº 12" xfId="3680"/>
    <cellStyle name="¹éº 13" xfId="2963"/>
    <cellStyle name="¹éº 14" xfId="3468"/>
    <cellStyle name="¹éº 15" xfId="3093"/>
    <cellStyle name="¹éº 16" xfId="3848"/>
    <cellStyle name="¹éº 17" xfId="2824"/>
    <cellStyle name="¹éº 18" xfId="3617"/>
    <cellStyle name="¹éº 19" xfId="3034"/>
    <cellStyle name="¹éº 2" xfId="3085"/>
    <cellStyle name="¹éº 20" xfId="3401"/>
    <cellStyle name="¹éº 21" xfId="3127"/>
    <cellStyle name="¹éº 22" xfId="3745"/>
    <cellStyle name="¹éº 23" xfId="4426"/>
    <cellStyle name="¹éº 24" xfId="4525"/>
    <cellStyle name="¹éº 25" xfId="4630"/>
    <cellStyle name="¹éº 26" xfId="4733"/>
    <cellStyle name="¹éº 27" xfId="4840"/>
    <cellStyle name="¹éº 28" xfId="3373"/>
    <cellStyle name="¹éº 29" xfId="5888"/>
    <cellStyle name="¹éº 3" xfId="3350"/>
    <cellStyle name="¹éº 30" xfId="4719"/>
    <cellStyle name="¹éº 31" xfId="5045"/>
    <cellStyle name="¹éº 32" xfId="4928"/>
    <cellStyle name="¹éº 33" xfId="5248"/>
    <cellStyle name="¹éº 34" xfId="5136"/>
    <cellStyle name="¹éº 35" xfId="5448"/>
    <cellStyle name="¹éº 36" xfId="5397"/>
    <cellStyle name="¹éº 37" xfId="5870"/>
    <cellStyle name="¹éº 38" xfId="5764"/>
    <cellStyle name="¹éº 39" xfId="5265"/>
    <cellStyle name="¹éº 4" xfId="3180"/>
    <cellStyle name="¹éº 40" xfId="5967"/>
    <cellStyle name="¹éº 41" xfId="6288"/>
    <cellStyle name="¹éº 42" xfId="6168"/>
    <cellStyle name="¹éº 43" xfId="5009"/>
    <cellStyle name="¹éº 44" xfId="6072"/>
    <cellStyle name="¹éº 45" xfId="5212"/>
    <cellStyle name="¹éº 46" xfId="6368"/>
    <cellStyle name="¹éº 47" xfId="6191"/>
    <cellStyle name="¹éº 48" xfId="6554"/>
    <cellStyle name="¹éº 49" xfId="6384"/>
    <cellStyle name="¹éº 5" xfId="4048"/>
    <cellStyle name="¹éº 50" xfId="6497"/>
    <cellStyle name="¹éº 51" xfId="6839"/>
    <cellStyle name="¹éº 52" xfId="6683"/>
    <cellStyle name="¹éº 53" xfId="7015"/>
    <cellStyle name="¹éº 54" xfId="6861"/>
    <cellStyle name="¹éº 55" xfId="7187"/>
    <cellStyle name="¹éº 56" xfId="7592"/>
    <cellStyle name="¹éº 57" xfId="7667"/>
    <cellStyle name="¹éº 6" xfId="2647"/>
    <cellStyle name="¹éº 7" xfId="3707"/>
    <cellStyle name="¹éº 8" xfId="2999"/>
    <cellStyle name="¹éº 9" xfId="3433"/>
    <cellStyle name="¹eºÐA²_AIAIC°AuCoE² " xfId="1559"/>
    <cellStyle name="1월" xfId="495"/>
    <cellStyle name="1월 2" xfId="1560"/>
    <cellStyle name="2)" xfId="496"/>
    <cellStyle name="2자리" xfId="497"/>
    <cellStyle name="³?a￥" xfId="1561"/>
    <cellStyle name="60" xfId="1562"/>
    <cellStyle name="_x0014_7." xfId="498"/>
    <cellStyle name="82" xfId="1563"/>
    <cellStyle name="90" xfId="499"/>
    <cellStyle name="A¨­￠￢￠O [0]_INQUIRY ￠?￥i¨u¡AAⓒ￢Aⓒª " xfId="500"/>
    <cellStyle name="A¨­￠￢￠O_INQUIRY ￠?￥i¨u¡AAⓒ￢Aⓒª " xfId="501"/>
    <cellStyle name="AA" xfId="1564"/>
    <cellStyle name="aa 2" xfId="1565"/>
    <cellStyle name="Actual Date" xfId="502"/>
    <cellStyle name="Åë" xfId="503"/>
    <cellStyle name="Åë 10" xfId="4118"/>
    <cellStyle name="Åë 11" xfId="2577"/>
    <cellStyle name="Åë 12" xfId="4228"/>
    <cellStyle name="Åë 13" xfId="2474"/>
    <cellStyle name="Åë 14" xfId="4344"/>
    <cellStyle name="Åë 15" xfId="3521"/>
    <cellStyle name="Åë 16" xfId="4551"/>
    <cellStyle name="Åë 17" xfId="4654"/>
    <cellStyle name="Åë 18" xfId="4759"/>
    <cellStyle name="Åë 19" xfId="4859"/>
    <cellStyle name="Åë 2" xfId="3098"/>
    <cellStyle name="Åë 20" xfId="4964"/>
    <cellStyle name="Åë 21" xfId="5075"/>
    <cellStyle name="Åë 22" xfId="5173"/>
    <cellStyle name="Åë 23" xfId="5278"/>
    <cellStyle name="Åë 24" xfId="5377"/>
    <cellStyle name="Åë 25" xfId="5478"/>
    <cellStyle name="Åë 26" xfId="5583"/>
    <cellStyle name="Åë 27" xfId="5685"/>
    <cellStyle name="Åë 28" xfId="5794"/>
    <cellStyle name="Åë 29" xfId="3619"/>
    <cellStyle name="Åë 3" xfId="3856"/>
    <cellStyle name="Åë 30" xfId="4617"/>
    <cellStyle name="Åë 31" xfId="2847"/>
    <cellStyle name="Åë 32" xfId="4828"/>
    <cellStyle name="Åë 33" xfId="3057"/>
    <cellStyle name="Åë 34" xfId="5039"/>
    <cellStyle name="Åë 35" xfId="3128"/>
    <cellStyle name="Åë 36" xfId="5243"/>
    <cellStyle name="Åë 37" xfId="6668"/>
    <cellStyle name="Åë 38" xfId="5572"/>
    <cellStyle name="Åë 39" xfId="6847"/>
    <cellStyle name="Åë 4" xfId="2816"/>
    <cellStyle name="Åë 40" xfId="5781"/>
    <cellStyle name="Åë 41" xfId="2482"/>
    <cellStyle name="Åë 42" xfId="5983"/>
    <cellStyle name="Åë 43" xfId="2924"/>
    <cellStyle name="Åë 44" xfId="4799"/>
    <cellStyle name="Åë 45" xfId="3789"/>
    <cellStyle name="Åë 46" xfId="5010"/>
    <cellStyle name="Åë 47" xfId="7522"/>
    <cellStyle name="Åë 48" xfId="7605"/>
    <cellStyle name="Åë 49" xfId="7679"/>
    <cellStyle name="Åë 5" xfId="3612"/>
    <cellStyle name="Åë 50" xfId="7748"/>
    <cellStyle name="Åë 51" xfId="7814"/>
    <cellStyle name="Åë 52" xfId="7880"/>
    <cellStyle name="Åë 53" xfId="7945"/>
    <cellStyle name="Åë 54" xfId="8008"/>
    <cellStyle name="Åë 55" xfId="8068"/>
    <cellStyle name="Åë 56" xfId="8127"/>
    <cellStyle name="Åë 57" xfId="8186"/>
    <cellStyle name="Åë 6" xfId="3026"/>
    <cellStyle name="Åë 7" xfId="3409"/>
    <cellStyle name="Åë 8" xfId="3990"/>
    <cellStyle name="Åë 9" xfId="3819"/>
    <cellStyle name="Aee­ " xfId="504"/>
    <cellStyle name="Åëè­ [" xfId="505"/>
    <cellStyle name="Åëè­ [ 10" xfId="4116"/>
    <cellStyle name="Åëè­ [ 11" xfId="2579"/>
    <cellStyle name="Åëè­ [ 12" xfId="4226"/>
    <cellStyle name="Åëè­ [ 13" xfId="3741"/>
    <cellStyle name="Åëè­ [ 14" xfId="2909"/>
    <cellStyle name="Åëè­ [ 15" xfId="3624"/>
    <cellStyle name="Åëè­ [ 16" xfId="3923"/>
    <cellStyle name="Åëè­ [ 17" xfId="2761"/>
    <cellStyle name="Åëè­ [ 18" xfId="3666"/>
    <cellStyle name="Åëè­ [ 19" xfId="3893"/>
    <cellStyle name="Åëè­ [ 2" xfId="3100"/>
    <cellStyle name="Åëè­ [ 20" xfId="3456"/>
    <cellStyle name="Åëè­ [ 21" xfId="3952"/>
    <cellStyle name="Åëè­ [ 22" xfId="3776"/>
    <cellStyle name="Åëè­ [ 23" xfId="4092"/>
    <cellStyle name="Åëè­ [ 24" xfId="2605"/>
    <cellStyle name="Åëè­ [ 25" xfId="4201"/>
    <cellStyle name="Åëè­ [ 26" xfId="2495"/>
    <cellStyle name="Åëè­ [ 27" xfId="2952"/>
    <cellStyle name="Åëè­ [ 28" xfId="2974"/>
    <cellStyle name="Åëè­ [ 29" xfId="2901"/>
    <cellStyle name="Åëè­ [ 3" xfId="3858"/>
    <cellStyle name="Åëè­ [ 30" xfId="6078"/>
    <cellStyle name="Åëè­ [ 31" xfId="4722"/>
    <cellStyle name="Åëè­ [ 32" xfId="6273"/>
    <cellStyle name="Åëè­ [ 33" xfId="4931"/>
    <cellStyle name="Åëè­ [ 34" xfId="6462"/>
    <cellStyle name="Åëè­ [ 35" xfId="5139"/>
    <cellStyle name="Åëè­ [ 36" xfId="6568"/>
    <cellStyle name="Åëè­ [ 37" xfId="5345"/>
    <cellStyle name="Åëè­ [ 38" xfId="5444"/>
    <cellStyle name="Åëè­ [ 39" xfId="5548"/>
    <cellStyle name="Åëè­ [ 4" xfId="2814"/>
    <cellStyle name="Åëè­ [ 40" xfId="5649"/>
    <cellStyle name="Åëè­ [ 41" xfId="7093"/>
    <cellStyle name="Åëè­ [ 42" xfId="5861"/>
    <cellStyle name="Åëè­ [ 43" xfId="7263"/>
    <cellStyle name="Åëè­ [ 44" xfId="6066"/>
    <cellStyle name="Åëè­ [ 45" xfId="7430"/>
    <cellStyle name="Åëè­ [ 46" xfId="6259"/>
    <cellStyle name="Åëè­ [ 47" xfId="5063"/>
    <cellStyle name="Åëè­ [ 48" xfId="6451"/>
    <cellStyle name="Åëè­ [ 49" xfId="5266"/>
    <cellStyle name="Åëè­ [ 5" xfId="3614"/>
    <cellStyle name="Åëè­ [ 50" xfId="6637"/>
    <cellStyle name="Åëè­ [ 51" xfId="6317"/>
    <cellStyle name="Åëè­ [ 52" xfId="6820"/>
    <cellStyle name="Åëè­ [ 53" xfId="7349"/>
    <cellStyle name="Åëè­ [ 54" xfId="7000"/>
    <cellStyle name="Åëè­ [ 55" xfId="7514"/>
    <cellStyle name="Åëè­ [ 56" xfId="7169"/>
    <cellStyle name="Åëè­ [ 57" xfId="7255"/>
    <cellStyle name="Åëè­ [ 6" xfId="3024"/>
    <cellStyle name="Åëè­ [ 7" xfId="3411"/>
    <cellStyle name="Åëè­ [ 8" xfId="2950"/>
    <cellStyle name="Åëè­ [ 9" xfId="3587"/>
    <cellStyle name="AeE­ [0]_  A¾  CO  " xfId="1566"/>
    <cellStyle name="ÅëÈ­ [0]_¸ðÇü¸·" xfId="506"/>
    <cellStyle name="AeE­ [0]_¿­¸° INT" xfId="1567"/>
    <cellStyle name="ÅëÈ­ [0]_°ø»çºñ¿¹»ê¼­" xfId="507"/>
    <cellStyle name="AeE­ [0]_¼oAI¼º " xfId="508"/>
    <cellStyle name="ÅëÈ­ [0]_Á¤»ê¼­°©Áö" xfId="1568"/>
    <cellStyle name="AeE­ [0]_A¾CO½A¼³ " xfId="1569"/>
    <cellStyle name="ÅëÈ­ [0]_laroux" xfId="1570"/>
    <cellStyle name="AeE­ [0]_laroux_1" xfId="1571"/>
    <cellStyle name="ÅëÈ­ [0]_laroux_1" xfId="1572"/>
    <cellStyle name="AeE­ [0]_laroux_1_국학진흥원(정산6-13)" xfId="1573"/>
    <cellStyle name="ÅëÈ­ [0]_laroux_1_국학진흥원(정산6-13)" xfId="1574"/>
    <cellStyle name="AeE­ [0]_laroux_1_대구종합전시관" xfId="1575"/>
    <cellStyle name="ÅëÈ­ [0]_laroux_1_대구종합전시관" xfId="1576"/>
    <cellStyle name="AeE­ [0]_laroux_2" xfId="1577"/>
    <cellStyle name="ÅëÈ­ [0]_laroux_2" xfId="1578"/>
    <cellStyle name="AeE­ [0]_laroux_2_국학진흥원(정산6-13)" xfId="1579"/>
    <cellStyle name="ÅëÈ­ [0]_laroux_2_국학진흥원(정산6-13)" xfId="1580"/>
    <cellStyle name="AeE­ [0]_laroux_2_대구종합전시관" xfId="1581"/>
    <cellStyle name="ÅëÈ­ [0]_laroux_2_대구종합전시관" xfId="1582"/>
    <cellStyle name="AeE­ [0]_laroux_국학진흥원(정산6-13)" xfId="1583"/>
    <cellStyle name="ÅëÈ­ [0]_laroux_국학진흥원(정산6-13)" xfId="1584"/>
    <cellStyle name="AeE­ [0]_laroux_대구종합전시관" xfId="1585"/>
    <cellStyle name="ÅëÈ­ [0]_laroux_대구종합전시관" xfId="1586"/>
    <cellStyle name="Aee­ _06년)하이패스_점검내역" xfId="1587"/>
    <cellStyle name="AeE­_  A¾  CO  " xfId="1588"/>
    <cellStyle name="ÅëÈ­_¸ðÇü¸·" xfId="509"/>
    <cellStyle name="AeE­_¿­¸° INT" xfId="1589"/>
    <cellStyle name="ÅëÈ­_°ø»çºñ¿¹»ê¼­" xfId="510"/>
    <cellStyle name="AeE­_¼oAI¼º " xfId="511"/>
    <cellStyle name="ÅëÈ­_Á¤»ê¼­°©Áö" xfId="1590"/>
    <cellStyle name="AeE­_A¾CO½A¼³ " xfId="1591"/>
    <cellStyle name="ÅëÈ­_laroux" xfId="1592"/>
    <cellStyle name="AeE­_laroux_1" xfId="1593"/>
    <cellStyle name="ÅëÈ­_laroux_1" xfId="1594"/>
    <cellStyle name="AeE­_laroux_1_국학진흥원(정산6-13)" xfId="1595"/>
    <cellStyle name="ÅëÈ­_laroux_1_국학진흥원(정산6-13)" xfId="1596"/>
    <cellStyle name="AeE­_laroux_1_대구종합전시관" xfId="1597"/>
    <cellStyle name="ÅëÈ­_laroux_1_대구종합전시관" xfId="1598"/>
    <cellStyle name="AeE­_laroux_2" xfId="1599"/>
    <cellStyle name="ÅëÈ­_laroux_2" xfId="1600"/>
    <cellStyle name="AeE­_laroux_2_국학진흥원(정산6-13)" xfId="1601"/>
    <cellStyle name="ÅëÈ­_laroux_2_국학진흥원(정산6-13)" xfId="1602"/>
    <cellStyle name="AeE­_laroux_2_대구종합전시관" xfId="1603"/>
    <cellStyle name="ÅëÈ­_laroux_2_대구종합전시관" xfId="1604"/>
    <cellStyle name="AeE­_laroux_국학진흥원(정산6-13)" xfId="1605"/>
    <cellStyle name="ÅëÈ­_laroux_국학진흥원(정산6-13)" xfId="1606"/>
    <cellStyle name="AeE­_laroux_대구종합전시관" xfId="1607"/>
    <cellStyle name="ÅëÈ­_laroux_대구종합전시관" xfId="1608"/>
    <cellStyle name="AeE¡© [0]_RESULTS" xfId="512"/>
    <cellStyle name="AeE¡©_RESULTS" xfId="513"/>
    <cellStyle name="AeE¡ⓒ [0]_INQUIRY ￠?￥i¨u¡AAⓒ￢Aⓒª " xfId="514"/>
    <cellStyle name="AeE¡ⓒ_INQUIRY ￠?￥i¨u¡AAⓒ￢Aⓒª " xfId="515"/>
    <cellStyle name="Æu¼¾æR" xfId="1609"/>
    <cellStyle name="ALIGNMENT" xfId="516"/>
    <cellStyle name="args.style" xfId="517"/>
    <cellStyle name="Äþ" xfId="518"/>
    <cellStyle name="Äþ 10" xfId="4367"/>
    <cellStyle name="Äþ 11" xfId="4469"/>
    <cellStyle name="Äþ 12" xfId="4574"/>
    <cellStyle name="Äþ 13" xfId="4677"/>
    <cellStyle name="Äþ 14" xfId="4781"/>
    <cellStyle name="Äþ 15" xfId="4886"/>
    <cellStyle name="Äþ 16" xfId="4994"/>
    <cellStyle name="Äþ 17" xfId="5095"/>
    <cellStyle name="Äþ 18" xfId="5196"/>
    <cellStyle name="Äþ 19" xfId="5299"/>
    <cellStyle name="Äþ 2" xfId="3116"/>
    <cellStyle name="Äþ 20" xfId="5400"/>
    <cellStyle name="Äþ 21" xfId="5503"/>
    <cellStyle name="Äþ 22" xfId="5604"/>
    <cellStyle name="Äþ 23" xfId="5710"/>
    <cellStyle name="Äþ 24" xfId="5817"/>
    <cellStyle name="Äþ 25" xfId="5917"/>
    <cellStyle name="Äþ 26" xfId="6019"/>
    <cellStyle name="Äþ 27" xfId="6121"/>
    <cellStyle name="Äþ 28" xfId="6216"/>
    <cellStyle name="Äþ 29" xfId="6314"/>
    <cellStyle name="Äþ 3" xfId="3333"/>
    <cellStyle name="Äþ 30" xfId="6409"/>
    <cellStyle name="Äþ 31" xfId="6504"/>
    <cellStyle name="Äþ 32" xfId="6595"/>
    <cellStyle name="Äþ 33" xfId="6688"/>
    <cellStyle name="Äþ 34" xfId="6779"/>
    <cellStyle name="Äþ 35" xfId="6866"/>
    <cellStyle name="Äþ 36" xfId="6957"/>
    <cellStyle name="Äþ 37" xfId="7042"/>
    <cellStyle name="Äþ 38" xfId="7129"/>
    <cellStyle name="Äþ 39" xfId="7216"/>
    <cellStyle name="Äþ 4" xfId="3205"/>
    <cellStyle name="Äþ 40" xfId="7299"/>
    <cellStyle name="Äþ 41" xfId="7384"/>
    <cellStyle name="Äþ 42" xfId="7464"/>
    <cellStyle name="Äþ 43" xfId="7547"/>
    <cellStyle name="Äþ 44" xfId="7623"/>
    <cellStyle name="Äþ 45" xfId="7697"/>
    <cellStyle name="Äþ 46" xfId="7766"/>
    <cellStyle name="Äþ 47" xfId="7832"/>
    <cellStyle name="Äþ 48" xfId="7898"/>
    <cellStyle name="Äþ 49" xfId="7962"/>
    <cellStyle name="Äþ 5" xfId="4024"/>
    <cellStyle name="Äþ 50" xfId="8025"/>
    <cellStyle name="Äþ 51" xfId="8085"/>
    <cellStyle name="Äþ 52" xfId="8144"/>
    <cellStyle name="Äþ 53" xfId="8203"/>
    <cellStyle name="Äþ 54" xfId="8258"/>
    <cellStyle name="Äþ 55" xfId="8309"/>
    <cellStyle name="Äþ 56" xfId="8357"/>
    <cellStyle name="Äþ 57" xfId="8401"/>
    <cellStyle name="Äþ 6" xfId="2671"/>
    <cellStyle name="Äþ 7" xfId="4153"/>
    <cellStyle name="Äþ 8" xfId="4851"/>
    <cellStyle name="Äþ 9" xfId="4954"/>
    <cellStyle name="Äþ¸¶ [" xfId="519"/>
    <cellStyle name="Äþ¸¶ [ 10" xfId="4455"/>
    <cellStyle name="Äþ¸¶ [ 11" xfId="4468"/>
    <cellStyle name="Äþ¸¶ [ 12" xfId="4573"/>
    <cellStyle name="Äþ¸¶ [ 13" xfId="4676"/>
    <cellStyle name="Äþ¸¶ [ 14" xfId="4780"/>
    <cellStyle name="Äþ¸¶ [ 15" xfId="4885"/>
    <cellStyle name="Äþ¸¶ [ 16" xfId="4993"/>
    <cellStyle name="Äþ¸¶ [ 17" xfId="5094"/>
    <cellStyle name="Äþ¸¶ [ 18" xfId="5195"/>
    <cellStyle name="Äþ¸¶ [ 19" xfId="5298"/>
    <cellStyle name="Äþ¸¶ [ 2" xfId="3117"/>
    <cellStyle name="Äþ¸¶ [ 20" xfId="5399"/>
    <cellStyle name="Äþ¸¶ [ 21" xfId="5502"/>
    <cellStyle name="Äþ¸¶ [ 22" xfId="5603"/>
    <cellStyle name="Äþ¸¶ [ 23" xfId="5709"/>
    <cellStyle name="Äþ¸¶ [ 24" xfId="5816"/>
    <cellStyle name="Äþ¸¶ [ 25" xfId="5916"/>
    <cellStyle name="Äþ¸¶ [ 26" xfId="6018"/>
    <cellStyle name="Äþ¸¶ [ 27" xfId="6120"/>
    <cellStyle name="Äþ¸¶ [ 28" xfId="6215"/>
    <cellStyle name="Äþ¸¶ [ 29" xfId="6313"/>
    <cellStyle name="Äþ¸¶ [ 3" xfId="3332"/>
    <cellStyle name="Äþ¸¶ [ 30" xfId="6408"/>
    <cellStyle name="Äþ¸¶ [ 31" xfId="6503"/>
    <cellStyle name="Äþ¸¶ [ 32" xfId="6594"/>
    <cellStyle name="Äþ¸¶ [ 33" xfId="6687"/>
    <cellStyle name="Äþ¸¶ [ 34" xfId="6778"/>
    <cellStyle name="Äþ¸¶ [ 35" xfId="6865"/>
    <cellStyle name="Äþ¸¶ [ 36" xfId="6956"/>
    <cellStyle name="Äþ¸¶ [ 37" xfId="7041"/>
    <cellStyle name="Äþ¸¶ [ 38" xfId="7128"/>
    <cellStyle name="Äþ¸¶ [ 39" xfId="7215"/>
    <cellStyle name="Äþ¸¶ [ 4" xfId="3206"/>
    <cellStyle name="Äþ¸¶ [ 40" xfId="7298"/>
    <cellStyle name="Äþ¸¶ [ 41" xfId="7383"/>
    <cellStyle name="Äþ¸¶ [ 42" xfId="7463"/>
    <cellStyle name="Äþ¸¶ [ 43" xfId="7546"/>
    <cellStyle name="Äþ¸¶ [ 44" xfId="7622"/>
    <cellStyle name="Äþ¸¶ [ 45" xfId="7696"/>
    <cellStyle name="Äþ¸¶ [ 46" xfId="7765"/>
    <cellStyle name="Äþ¸¶ [ 47" xfId="7831"/>
    <cellStyle name="Äþ¸¶ [ 48" xfId="7897"/>
    <cellStyle name="Äþ¸¶ [ 49" xfId="7961"/>
    <cellStyle name="Äþ¸¶ [ 5" xfId="4023"/>
    <cellStyle name="Äþ¸¶ [ 50" xfId="8024"/>
    <cellStyle name="Äþ¸¶ [ 51" xfId="8084"/>
    <cellStyle name="Äþ¸¶ [ 52" xfId="8143"/>
    <cellStyle name="Äþ¸¶ [ 53" xfId="8202"/>
    <cellStyle name="Äþ¸¶ [ 54" xfId="8257"/>
    <cellStyle name="Äþ¸¶ [ 55" xfId="8308"/>
    <cellStyle name="Äþ¸¶ [ 56" xfId="8356"/>
    <cellStyle name="Äþ¸¶ [ 57" xfId="8400"/>
    <cellStyle name="Äþ¸¶ [ 6" xfId="2672"/>
    <cellStyle name="Äþ¸¶ [ 7" xfId="4152"/>
    <cellStyle name="Äþ¸¶ [ 8" xfId="4440"/>
    <cellStyle name="Äþ¸¶ [ 9" xfId="4543"/>
    <cellStyle name="AÞ¸¶ [0]_  A¾  CO  " xfId="1610"/>
    <cellStyle name="ÄÞ¸¶ [0]_¸ðÇü¸·" xfId="520"/>
    <cellStyle name="AÞ¸¶ [0]_¿­¸° INT" xfId="1611"/>
    <cellStyle name="ÄÞ¸¶ [0]_°ø»çºñ¿¹»ê¼­" xfId="521"/>
    <cellStyle name="AÞ¸¶ [0]_¼oAI¼º " xfId="8515"/>
    <cellStyle name="ÄÞ¸¶ [0]_Á¤»ê¼­°©Áö" xfId="8539"/>
    <cellStyle name="AÞ¸¶ [0]_A¾CO½A¼³ " xfId="8540"/>
    <cellStyle name="ÄÞ¸¶ [0]_laroux" xfId="1612"/>
    <cellStyle name="AÞ¸¶ [0]_laroux_1" xfId="1613"/>
    <cellStyle name="ÄÞ¸¶ [0]_laroux_1" xfId="1614"/>
    <cellStyle name="AÞ¸¶ [0]_laroux_1_국학진흥원(정산6-13)" xfId="1615"/>
    <cellStyle name="ÄÞ¸¶ [0]_laroux_1_국학진흥원(정산6-13)" xfId="1616"/>
    <cellStyle name="AÞ¸¶ [0]_laroux_1_대구종합전시관" xfId="1617"/>
    <cellStyle name="ÄÞ¸¶ [0]_laroux_1_대구종합전시관" xfId="1618"/>
    <cellStyle name="AÞ¸¶ [0]_laroux_2" xfId="1619"/>
    <cellStyle name="ÄÞ¸¶ [0]_laroux_2" xfId="1620"/>
    <cellStyle name="AÞ¸¶ [0]_laroux_국학진흥원(정산6-13)" xfId="1621"/>
    <cellStyle name="ÄÞ¸¶ [0]_laroux_국학진흥원(정산6-13)" xfId="1622"/>
    <cellStyle name="AÞ¸¶ [0]_laroux_대구종합전시관" xfId="1623"/>
    <cellStyle name="ÄÞ¸¶ [0]_laroux_대구종합전시관" xfId="1624"/>
    <cellStyle name="AÞ¸¶_  A¾  CO  " xfId="1625"/>
    <cellStyle name="ÄÞ¸¶_¸ðÇü¸·" xfId="522"/>
    <cellStyle name="AÞ¸¶_¿­¸° INT" xfId="1626"/>
    <cellStyle name="ÄÞ¸¶_°ø»çºñ¿¹»ê¼­" xfId="523"/>
    <cellStyle name="AÞ¸¶_¼oAI¼º " xfId="524"/>
    <cellStyle name="ÄÞ¸¶_Á¤»ê¼­°©Áö" xfId="1627"/>
    <cellStyle name="AÞ¸¶_A¾CO½A¼³ " xfId="1628"/>
    <cellStyle name="ÄÞ¸¶_laroux" xfId="1629"/>
    <cellStyle name="AÞ¸¶_laroux_1" xfId="1630"/>
    <cellStyle name="ÄÞ¸¶_laroux_1" xfId="1631"/>
    <cellStyle name="AÞ¸¶_laroux_1_국학진흥원(정산6-13)" xfId="1632"/>
    <cellStyle name="ÄÞ¸¶_laroux_1_국학진흥원(정산6-13)" xfId="1633"/>
    <cellStyle name="AÞ¸¶_laroux_1_대구종합전시관" xfId="1634"/>
    <cellStyle name="ÄÞ¸¶_laroux_1_대구종합전시관" xfId="1635"/>
    <cellStyle name="AÞ¸¶_laroux_2" xfId="1636"/>
    <cellStyle name="ÄÞ¸¶_laroux_2" xfId="1637"/>
    <cellStyle name="AÞ¸¶_laroux_국학진흥원(정산6-13)" xfId="1638"/>
    <cellStyle name="ÄÞ¸¶_laroux_국학진흥원(정산6-13)" xfId="1639"/>
    <cellStyle name="AÞ¸¶_laroux_대구종합전시관" xfId="1640"/>
    <cellStyle name="ÄÞ¸¶_laroux_대구종합전시관" xfId="1641"/>
    <cellStyle name="Au¸R¼o" xfId="1642"/>
    <cellStyle name="Au¸R¼o0" xfId="1643"/>
    <cellStyle name="_x0001_b" xfId="525"/>
    <cellStyle name="b?þ?b?þ?b?þ?b?þ?b?þ?b?þ?b?þ?b?þ?b?þ?b?þ?b灌þ?b?þ?&lt;?b?þ?b濬þ?b?þ?b?þ昰_x0018_?þ????_x0008_" xfId="1644"/>
    <cellStyle name="b?þ?b?þ?b?þ?b灌þ?b?þ?&lt;?b?þ?b濬þ?b?þ?b?þ昰_x0018_?þ????_x0008_" xfId="1645"/>
    <cellStyle name="b␌þකb濰þඪb瀠þයb灌þ්b炈þ宐&lt;෢b濈þෲb濬þขb瀐þฒb瀰þ昰_x0018_⋸þ㤕䰀ጤܕ_x0008_" xfId="526"/>
    <cellStyle name="blank" xfId="527"/>
    <cellStyle name="blank - Style1" xfId="528"/>
    <cellStyle name="body" xfId="1646"/>
    <cellStyle name="Border" xfId="1647"/>
    <cellStyle name="b嬜þപb嬼þഺb孬þൊb⍜þ൚b⍼þ൪b⎨þൺb⏜þඊb␌þකb濰þඪb瀠þයb灌þ්b炈þ宐&lt;෢b濈þෲb濬þขb瀐þฒb瀰þ昰_x0018_⋸þ㤕䰀ጤܕ_x0008_" xfId="529"/>
    <cellStyle name="b嬜þപb嬼þഺb孬þൊb⍜þ൚b⍼þ൪b⎨þൺb⏜þඊb␌þකb濰þඪb瀠þයb灌þ්b炈þ宐&lt;෢b濈þෲb濬þขb瀐þฒb瀰þ昰_x0018_⋸þ㤕䰀ጤܕ_x0008_ 10" xfId="4609"/>
    <cellStyle name="b嬜þപb嬼þഺb孬þൊb⍜þ൚b⍼þ൪b⎨þൺb⏜þඊb␌þකb濰þඪb瀠þයb灌þ්b炈þ宐&lt;෢b濈þෲb濬þขb瀐þฒb瀰þ昰_x0018_⋸þ㤕䰀ጤܕ_x0008_ 11" xfId="4714"/>
    <cellStyle name="b嬜þപb嬼þഺb孬þൊb⍜þ൚b⍼þ൪b⎨þൺb⏜þඊb␌þකb濰þඪb瀠þයb灌þ්b炈þ宐&lt;෢b濈þෲb濬þขb瀐þฒb瀰þ昰_x0018_⋸þ㤕䰀ጤܕ_x0008_ 12" xfId="4820"/>
    <cellStyle name="b嬜þപb嬼þഺb孬þൊb⍜þ൚b⍼þ൪b⎨þൺb⏜þඊb␌þකb濰þඪb瀠þයb灌þ්b炈þ宐&lt;෢b濈þෲb濬þขb瀐þฒb瀰þ昰_x0018_⋸þ㤕䰀ጤܕ_x0008_ 13" xfId="4923"/>
    <cellStyle name="b嬜þപb嬼þഺb孬þൊb⍜þ൚b⍼þ൪b⎨þൺb⏜þඊb␌þකb濰þඪb瀠þයb灌þ්b炈þ宐&lt;෢b濈þෲb濬þขb瀐þฒb瀰þ昰_x0018_⋸þ㤕䰀ጤܕ_x0008_ 14" xfId="5031"/>
    <cellStyle name="b嬜þപb嬼þഺb孬þൊb⍜þ൚b⍼þ൪b⎨þൺb⏜þඊb␌þකb濰þඪb瀠þයb灌þ්b炈þ宐&lt;෢b濈þෲb濬þขb瀐þฒb瀰þ昰_x0018_⋸þ㤕䰀ጤܕ_x0008_ 15" xfId="5131"/>
    <cellStyle name="b嬜þപb嬼þഺb孬þൊb⍜þ൚b⍼þ൪b⎨þൺb⏜þඊb␌þකb濰þඪb瀠þයb灌þ්b炈þ宐&lt;෢b濈þෲb濬þขb瀐þฒb瀰þ昰_x0018_⋸þ㤕䰀ጤܕ_x0008_ 16" xfId="5234"/>
    <cellStyle name="b嬜þപb嬼þഺb孬þൊb⍜þ൚b⍼þ൪b⎨þൺb⏜þඊb␌þකb濰þඪb瀠þයb灌þ්b炈þ宐&lt;෢b濈þෲb濬þขb瀐þฒb瀰þ昰_x0018_⋸þ㤕䰀ጤܕ_x0008_ 17" xfId="5336"/>
    <cellStyle name="b嬜þപb嬼þഺb孬þൊb⍜þ൚b⍼þ൪b⎨þൺb⏜þඊb␌þකb濰þඪb瀠þයb灌þ්b炈þ宐&lt;෢b濈þෲb濬þขb瀐þฒb瀰þ昰_x0018_⋸þ㤕䰀ጤܕ_x0008_ 18" xfId="5435"/>
    <cellStyle name="b嬜þപb嬼þഺb孬þൊb⍜þ൚b⍼þ൪b⎨þൺb⏜þඊb␌þකb濰þඪb瀠þයb灌þ්b炈þ宐&lt;෢b濈þෲb濬þขb瀐þฒb瀰þ昰_x0018_⋸þ㤕䰀ጤܕ_x0008_ 19" xfId="5539"/>
    <cellStyle name="b嬜þപb嬼þഺb孬þൊb⍜þ൚b⍼þ൪b⎨þൺb⏜þඊb␌þකb濰þඪb瀠þයb灌þ්b炈þ宐&lt;෢b濈þෲb濬þขb瀐þฒb瀰þ昰_x0018_⋸þ㤕䰀ጤܕ_x0008_ 2" xfId="3137"/>
    <cellStyle name="b嬜þപb嬼þഺb孬þൊb⍜þ൚b⍼þ൪b⎨þൺb⏜þඊb␌þකb濰þඪb瀠þයb灌þ්b炈þ宐&lt;෢b濈þෲb濬þขb瀐þฒb瀰þ昰_x0018_⋸þ㤕䰀ጤܕ_x0008_ 20" xfId="5641"/>
    <cellStyle name="b嬜þപb嬼þഺb孬þൊb⍜þ൚b⍼þ൪b⎨þൺb⏜þඊb␌þකb濰þඪb瀠þයb灌þ්b炈þ宐&lt;෢b濈þෲb濬þขb瀐þฒb瀰þ昰_x0018_⋸þ㤕䰀ጤܕ_x0008_ 21" xfId="5749"/>
    <cellStyle name="b嬜þപb嬼þഺb孬þൊb⍜þ൚b⍼þ൪b⎨þൺb⏜þඊb␌þකb濰þඪb瀠þයb灌þ්b炈þ宐&lt;෢b濈þෲb濬þขb瀐þฒb瀰þ昰_x0018_⋸þ㤕䰀ጤܕ_x0008_ 22" xfId="5852"/>
    <cellStyle name="b嬜þപb嬼þഺb孬þൊb⍜þ൚b⍼þ൪b⎨þൺb⏜þඊb␌þකb濰þඪb瀠þයb灌þ්b炈þ宐&lt;෢b濈þෲb濬þขb瀐þฒb瀰þ昰_x0018_⋸þ㤕䰀ጤܕ_x0008_ 23" xfId="5954"/>
    <cellStyle name="b嬜þപb嬼þഺb孬þൊb⍜þ൚b⍼þ൪b⎨þൺb⏜þඊb␌þකb濰þඪb瀠þයb灌þ්b炈þ宐&lt;෢b濈þෲb濬þขb瀐þฒb瀰þ昰_x0018_⋸þ㤕䰀ጤܕ_x0008_ 24" xfId="6057"/>
    <cellStyle name="b嬜þപb嬼þഺb孬þൊb⍜þ൚b⍼þ൪b⎨þൺb⏜þඊb␌þකb濰þඪb瀠þයb灌þ්b炈þ宐&lt;෢b濈þෲb濬þขb瀐þฒb瀰þ昰_x0018_⋸þ㤕䰀ጤܕ_x0008_ 25" xfId="6157"/>
    <cellStyle name="b嬜þപb嬼þഺb孬þൊb⍜þ൚b⍼þ൪b⎨þൺb⏜þඊb␌þකb濰þඪb瀠þයb灌þ්b炈þ宐&lt;෢b濈þෲb濬þขb瀐þฒb瀰þ昰_x0018_⋸þ㤕䰀ጤܕ_x0008_ 26" xfId="6252"/>
    <cellStyle name="b嬜þപb嬼þഺb孬þൊb⍜þ൚b⍼þ൪b⎨þൺb⏜þඊb␌þකb濰þඪb瀠þයb灌þ්b炈þ宐&lt;෢b濈þෲb濬þขb瀐þฒb瀰þ昰_x0018_⋸þ㤕䰀ጤܕ_x0008_ 27" xfId="6350"/>
    <cellStyle name="b嬜þപb嬼þഺb孬þൊb⍜þ൚b⍼þ൪b⎨þൺb⏜þඊb␌þකb濰þඪb瀠þයb灌þ්b炈þ宐&lt;෢b濈þෲb濬þขb瀐þฒb瀰þ昰_x0018_⋸þ㤕䰀ጤܕ_x0008_ 28" xfId="6442"/>
    <cellStyle name="b嬜þപb嬼þഺb孬þൊb⍜þ൚b⍼þ൪b⎨þൺb⏜þඊb␌þකb濰þඪb瀠þයb灌þ්b炈þ宐&lt;෢b濈þෲb濬þขb瀐þฒb瀰þ昰_x0018_⋸þ㤕䰀ጤܕ_x0008_ 29" xfId="5792"/>
    <cellStyle name="b嬜þപb嬼þഺb孬þൊb⍜þ൚b⍼þ൪b⎨þൺb⏜þඊb␌þකb濰þඪb瀠þයb灌þ්b炈þ宐&lt;෢b濈þෲb濬þขb瀐þฒb瀰þ昰_x0018_⋸þ㤕䰀ጤܕ_x0008_ 3" xfId="4083"/>
    <cellStyle name="b嬜þപb嬼þഺb孬þൊb⍜þ൚b⍼þ൪b⎨þൺb⏜þඊb␌þකb濰þඪb瀠þයb灌þ්b炈þ宐&lt;෢b濈þෲb濬þขb瀐þฒb瀰þ昰_x0018_⋸þ㤕䰀ጤܕ_x0008_ 30" xfId="6629"/>
    <cellStyle name="b嬜þപb嬼þഺb孬þൊb⍜þ൚b⍼þ൪b⎨þൺb⏜þඊb␌þකb濰þඪb瀠þයb灌þ්b炈þ宐&lt;෢b濈þෲb濬þขb瀐þฒb瀰þ昰_x0018_⋸þ㤕䰀ጤܕ_x0008_ 31" xfId="6720"/>
    <cellStyle name="b嬜þപb嬼þഺb孬þൊb⍜þ൚b⍼þ൪b⎨þൺb⏜þඊb␌þකb濰þඪb瀠þයb灌þ්b炈þ宐&lt;෢b濈þෲb濬þขb瀐þฒb瀰þ昰_x0018_⋸þ㤕䰀ጤܕ_x0008_ 32" xfId="6813"/>
    <cellStyle name="b嬜þപb嬼þഺb孬þൊb⍜þ൚b⍼þ൪b⎨þൺb⏜þඊb␌þකb濰þඪb瀠þයb灌þ්b炈þ宐&lt;෢b濈þෲb濬þขb瀐þฒb瀰þ昰_x0018_⋸þ㤕䰀ጤܕ_x0008_ 33" xfId="6899"/>
    <cellStyle name="b嬜þപb嬼þഺb孬þൊb⍜þ൚b⍼þ൪b⎨þൺb⏜þඊb␌þකb濰þඪb瀠þයb灌þ්b炈þ宐&lt;෢b濈þෲb濬þขb瀐þฒb瀰þ昰_x0018_⋸þ㤕䰀ጤܕ_x0008_ 34" xfId="6992"/>
    <cellStyle name="b嬜þപb嬼þഺb孬þൊb⍜þ൚b⍼þ൪b⎨þൺb⏜þඊb␌þකb濰þඪb瀠þයb灌þ්b炈þ宐&lt;෢b濈þෲb濬þขb瀐þฒb瀰þ昰_x0018_⋸þ㤕䰀ጤܕ_x0008_ 35" xfId="7076"/>
    <cellStyle name="b嬜þപb嬼þഺb孬þൊb⍜þ൚b⍼þ൪b⎨þൺb⏜þඊb␌þකb濰þඪb瀠þයb灌þ්b炈þ宐&lt;෢b濈þෲb濬þขb瀐þฒb瀰þ昰_x0018_⋸þ㤕䰀ጤܕ_x0008_ 36" xfId="6478"/>
    <cellStyle name="b嬜þപb嬼þഺb孬þൊb⍜þ൚b⍼þ൪b⎨þൺb⏜þඊb␌þකb濰þඪb瀠þයb灌þ්b炈þ宐&lt;෢b濈þෲb濬þขb瀐þฒb瀰þ昰_x0018_⋸þ㤕䰀ጤܕ_x0008_ 37" xfId="7247"/>
    <cellStyle name="b嬜þപb嬼þഺb孬þൊb⍜þ൚b⍼þ൪b⎨þൺb⏜þඊb␌þකb濰þඪb瀠þයb灌þ්b炈þ宐&lt;෢b濈þෲb濬þขb瀐þฒb瀰þ昰_x0018_⋸þ㤕䰀ጤܕ_x0008_ 38" xfId="7330"/>
    <cellStyle name="b嬜þപb嬼þഺb孬þൊb⍜þ൚b⍼þ൪b⎨þൺb⏜þඊb␌þකb濰þඪb瀠þයb灌þ්b炈þ宐&lt;෢b濈þෲb濬þขb瀐þฒb瀰þ昰_x0018_⋸þ㤕䰀ጤܕ_x0008_ 39" xfId="7416"/>
    <cellStyle name="b嬜þപb嬼þഺb孬þൊb⍜þ൚b⍼þ൪b⎨þൺb⏜þඊb␌þකb濰þඪb瀠þයb灌þ්b炈þ宐&lt;෢b濈þෲb濬þขb瀐þฒb瀰þ昰_x0018_⋸þ㤕䰀ጤܕ_x0008_ 4" xfId="2613"/>
    <cellStyle name="b嬜þപb嬼þഺb孬þൊb⍜þ൚b⍼þ൪b⎨þൺb⏜þඊb␌þකb濰þඪb瀠þයb灌þ්b炈þ宐&lt;෢b濈þෲb濬þขb瀐þฒb瀰þ昰_x0018_⋸þ㤕䰀ጤܕ_x0008_ 40" xfId="7496"/>
    <cellStyle name="b嬜þപb嬼þഺb孬þൊb⍜þ൚b⍼þ൪b⎨þൺb⏜þඊb␌þකb濰þඪb瀠þයb灌þ්b炈þ宐&lt;෢b濈þෲb濬þขb瀐þฒb瀰þ昰_x0018_⋸þ㤕䰀ጤܕ_x0008_ 41" xfId="7579"/>
    <cellStyle name="b嬜þപb嬼þഺb孬þൊb⍜þ൚b⍼þ൪b⎨þൺb⏜þඊb␌þකb濰þඪb瀠þයb灌þ්b炈þ宐&lt;෢b濈þෲb濬þขb瀐þฒb瀰þ昰_x0018_⋸þ㤕䰀ጤܕ_x0008_ 42" xfId="7655"/>
    <cellStyle name="b嬜þപb嬼þഺb孬þൊb⍜þ൚b⍼þ൪b⎨þൺb⏜þඊb␌þකb濰þඪb瀠þයb灌þ්b炈þ宐&lt;෢b濈þෲb濬þขb瀐þฒb瀰þ昰_x0018_⋸þ㤕䰀ጤܕ_x0008_ 43" xfId="7727"/>
    <cellStyle name="b嬜þപb嬼þഺb孬þൊb⍜þ൚b⍼þ൪b⎨þൺb⏜þඊb␌þකb濰þඪb瀠þයb灌þ්b炈þ宐&lt;෢b濈þෲb濬þขb瀐þฒb瀰þ昰_x0018_⋸þ㤕䰀ጤܕ_x0008_ 44" xfId="7795"/>
    <cellStyle name="b嬜þപb嬼þഺb孬þൊb⍜þ൚b⍼þ൪b⎨þൺb⏜þඊb␌þකb濰þඪb瀠þයb灌þ්b炈þ宐&lt;෢b濈þෲb濬þขb瀐þฒb瀰þ昰_x0018_⋸þ㤕䰀ጤܕ_x0008_ 45" xfId="7861"/>
    <cellStyle name="b嬜þപb嬼þഺb孬þൊb⍜þ൚b⍼þ൪b⎨þൺb⏜þඊb␌þකb濰þඪb瀠þයb灌þ්b炈þ宐&lt;෢b濈þෲb濬þขb瀐þฒb瀰þ昰_x0018_⋸þ㤕䰀ጤܕ_x0008_ 46" xfId="7927"/>
    <cellStyle name="b嬜þപb嬼þഺb孬þൊb⍜þ൚b⍼þ൪b⎨þൺb⏜þඊb␌þකb濰þඪb瀠þයb灌þ්b炈þ宐&lt;෢b濈þෲb濬þขb瀐þฒb瀰þ昰_x0018_⋸þ㤕䰀ጤܕ_x0008_ 47" xfId="7990"/>
    <cellStyle name="b嬜þപb嬼þഺb孬þൊb⍜þ൚b⍼þ൪b⎨þൺb⏜þඊb␌þකb濰þඪb瀠þයb灌þ්b炈þ宐&lt;෢b濈þෲb濬þขb瀐þฒb瀰þ昰_x0018_⋸þ㤕䰀ጤܕ_x0008_ 48" xfId="8053"/>
    <cellStyle name="b嬜þപb嬼þഺb孬þൊb⍜þ൚b⍼þ൪b⎨þൺb⏜þඊb␌þකb濰þඪb瀠þයb灌þ්b炈þ宐&lt;෢b濈þෲb濬þขb瀐þฒb瀰þ昰_x0018_⋸þ㤕䰀ጤܕ_x0008_ 49" xfId="8112"/>
    <cellStyle name="b嬜þപb嬼þഺb孬þൊb⍜þ൚b⍼þ൪b⎨þൺb⏜þඊb␌þකb濰þඪb瀠þයb灌þ්b炈þ宐&lt;෢b濈þෲb濬þขb瀐þฒb瀰þ昰_x0018_⋸þ㤕䰀ጤܕ_x0008_ 5" xfId="4192"/>
    <cellStyle name="b嬜þപb嬼þഺb孬þൊb⍜þ൚b⍼þ൪b⎨þൺb⏜þඊb␌þකb濰þඪb瀠þයb灌þ්b炈þ宐&lt;෢b濈þෲb濬þขb瀐þฒb瀰þ昰_x0018_⋸þ㤕䰀ጤܕ_x0008_ 50" xfId="8171"/>
    <cellStyle name="b嬜þപb嬼þഺb孬þൊb⍜þ൚b⍼þ൪b⎨þൺb⏜þඊb␌þකb濰þඪb瀠þයb灌þ්b炈þ宐&lt;෢b濈þෲb濬þขb瀐þฒb瀰þ昰_x0018_⋸þ㤕䰀ጤܕ_x0008_ 51" xfId="8228"/>
    <cellStyle name="b嬜þപb嬼þഺb孬þൊb⍜þ൚b⍼þ൪b⎨þൺb⏜þඊb␌þකb濰þඪb瀠þයb灌þ්b炈þ宐&lt;෢b濈þෲb濬þขb瀐þฒb瀰þ昰_x0018_⋸þ㤕䰀ጤܕ_x0008_ 52" xfId="8281"/>
    <cellStyle name="b嬜þപb嬼þഺb孬þൊb⍜þ൚b⍼þ൪b⎨þൺb⏜þඊb␌þකb濰þඪb瀠þයb灌þ්b炈þ宐&lt;෢b濈þෲb濬þขb瀐þฒb瀰þ昰_x0018_⋸þ㤕䰀ጤܕ_x0008_ 53" xfId="8332"/>
    <cellStyle name="b嬜þപb嬼þഺb孬þൊb⍜þ൚b⍼þ൪b⎨þൺb⏜þඊb␌þකb濰þඪb瀠þයb灌þ්b炈þ宐&lt;෢b濈þෲb濬þขb瀐þฒb瀰þ昰_x0018_⋸þ㤕䰀ጤܕ_x0008_ 54" xfId="8380"/>
    <cellStyle name="b嬜þപb嬼þഺb孬þൊb⍜þ൚b⍼þ൪b⎨þൺb⏜þඊb␌þකb濰þඪb瀠þයb灌þ්b炈þ宐&lt;෢b濈þෲb濬þขb瀐þฒb瀰þ昰_x0018_⋸þ㤕䰀ጤܕ_x0008_ 55" xfId="8424"/>
    <cellStyle name="b嬜þപb嬼þഺb孬þൊb⍜þ൚b⍼þ൪b⎨þൺb⏜þඊb␌þකb濰þඪb瀠þයb灌þ්b炈þ宐&lt;෢b濈þෲb濬þขb瀐þฒb瀰þ昰_x0018_⋸þ㤕䰀ጤܕ_x0008_ 56" xfId="8463"/>
    <cellStyle name="b嬜þപb嬼þഺb孬þൊb⍜þ൚b⍼þ൪b⎨þൺb⏜þඊb␌þකb濰þඪb瀠þයb灌þ්b炈þ宐&lt;෢b濈þෲb濬þขb瀐þฒb瀰þ昰_x0018_⋸þ㤕䰀ጤܕ_x0008_ 57" xfId="8490"/>
    <cellStyle name="b嬜þപb嬼þഺb孬þൊb⍜þ൚b⍼þ൪b⎨þൺb⏜þඊb␌þකb濰þඪb瀠þයb灌þ්b炈þ宐&lt;෢b濈þෲb濬þขb瀐þฒb瀰þ昰_x0018_⋸þ㤕䰀ጤܕ_x0008_ 6" xfId="2504"/>
    <cellStyle name="b嬜þപb嬼þഺb孬þൊb⍜þ൚b⍼þ൪b⎨þൺb⏜þඊb␌þකb濰þඪb瀠þයb灌þ්b炈þ宐&lt;෢b濈þෲb濬þขb瀐þฒb瀰þ昰_x0018_⋸þ㤕䰀ጤܕ_x0008_ 7" xfId="4298"/>
    <cellStyle name="b嬜þപb嬼þഺb孬þൊb⍜þ൚b⍼þ൪b⎨þൺb⏜þඊb␌þකb濰þඪb瀠þයb灌þ්b炈þ宐&lt;෢b濈þෲb濬þขb瀐þฒb瀰þ昰_x0018_⋸þ㤕䰀ጤܕ_x0008_ 8" xfId="3541"/>
    <cellStyle name="b嬜þപb嬼þഺb孬þൊb⍜þ൚b⍼þ൪b⎨þൺb⏜þඊb␌þකb濰þඪb瀠þයb灌þ්b炈þ宐&lt;෢b濈þෲb濬þขb瀐þฒb瀰þ昰_x0018_⋸þ㤕䰀ጤܕ_x0008_ 9" xfId="4197"/>
    <cellStyle name="C¡IA¨ª_¡ic¨u¡A¨￢I¨￢¡Æ AN¡Æe " xfId="530"/>
    <cellStyle name="C¡ÍA¨ª_RESULTS" xfId="531"/>
    <cellStyle name="Ç¥" xfId="532"/>
    <cellStyle name="Ç¥ 10" xfId="2767"/>
    <cellStyle name="Ç¥ 11" xfId="3110"/>
    <cellStyle name="Ç¥ 12" xfId="4410"/>
    <cellStyle name="Ç¥ 13" xfId="3199"/>
    <cellStyle name="Ç¥ 14" xfId="4029"/>
    <cellStyle name="Ç¥ 15" xfId="2665"/>
    <cellStyle name="Ç¥ 16" xfId="4159"/>
    <cellStyle name="Ç¥ 17" xfId="2535"/>
    <cellStyle name="Ç¥ 18" xfId="4265"/>
    <cellStyle name="Ç¥ 19" xfId="4373"/>
    <cellStyle name="Ç¥ 2" xfId="3138"/>
    <cellStyle name="Ç¥ 20" xfId="4473"/>
    <cellStyle name="Ç¥ 21" xfId="4578"/>
    <cellStyle name="Ç¥ 22" xfId="4683"/>
    <cellStyle name="Ç¥ 23" xfId="4787"/>
    <cellStyle name="Ç¥ 24" xfId="4891"/>
    <cellStyle name="Ç¥ 25" xfId="4998"/>
    <cellStyle name="Ç¥ 26" xfId="5099"/>
    <cellStyle name="Ç¥ 27" xfId="5201"/>
    <cellStyle name="Ç¥ 28" xfId="5304"/>
    <cellStyle name="Ç¥ 29" xfId="5775"/>
    <cellStyle name="Ç¥ 3" xfId="3816"/>
    <cellStyle name="Ç¥ 30" xfId="5894"/>
    <cellStyle name="Ç¥ 31" xfId="5977"/>
    <cellStyle name="Ç¥ 32" xfId="6447"/>
    <cellStyle name="Ç¥ 33" xfId="6091"/>
    <cellStyle name="Ç¥ 34" xfId="5922"/>
    <cellStyle name="Ç¥ 35" xfId="6285"/>
    <cellStyle name="Ç¥ 36" xfId="5549"/>
    <cellStyle name="Ç¥ 37" xfId="6572"/>
    <cellStyle name="Ç¥ 38" xfId="5301"/>
    <cellStyle name="Ç¥ 39" xfId="7081"/>
    <cellStyle name="Ç¥ 4" xfId="2854"/>
    <cellStyle name="Ç¥ 40" xfId="6748"/>
    <cellStyle name="Ç¥ 41" xfId="6599"/>
    <cellStyle name="Ç¥ 42" xfId="6928"/>
    <cellStyle name="Ç¥ 43" xfId="6783"/>
    <cellStyle name="Ç¥ 44" xfId="7106"/>
    <cellStyle name="Ç¥ 45" xfId="6961"/>
    <cellStyle name="Ç¥ 46" xfId="7046"/>
    <cellStyle name="Ç¥ 47" xfId="7131"/>
    <cellStyle name="Ç¥ 48" xfId="7218"/>
    <cellStyle name="Ç¥ 49" xfId="7301"/>
    <cellStyle name="Ç¥ 5" xfId="3574"/>
    <cellStyle name="Ç¥ 50" xfId="7386"/>
    <cellStyle name="Ç¥ 51" xfId="7466"/>
    <cellStyle name="Ç¥ 52" xfId="7549"/>
    <cellStyle name="Ç¥ 53" xfId="7625"/>
    <cellStyle name="Ç¥ 54" xfId="7698"/>
    <cellStyle name="Ç¥ 55" xfId="7767"/>
    <cellStyle name="Ç¥ 56" xfId="7833"/>
    <cellStyle name="Ç¥ 57" xfId="7899"/>
    <cellStyle name="Ç¥ 6" xfId="3895"/>
    <cellStyle name="Ç¥ 7" xfId="2782"/>
    <cellStyle name="Ç¥ 8" xfId="3078"/>
    <cellStyle name="Ç¥ 9" xfId="2991"/>
    <cellStyle name="C￥AØ_  A¾  CO  " xfId="1648"/>
    <cellStyle name="Ç¥ÁØ_¸ðÇü¸·" xfId="533"/>
    <cellStyle name="C￥AØ_¿­¸° INT" xfId="1649"/>
    <cellStyle name="Ç¥ÁØ_°¡¼³" xfId="1650"/>
    <cellStyle name="C￥AØ_°A·¡≫oE²" xfId="1651"/>
    <cellStyle name="Ç¥ÁØ_laroux_1" xfId="1652"/>
    <cellStyle name="C￥AØ_PERSONAL" xfId="534"/>
    <cellStyle name="Calc Currency (0)" xfId="535"/>
    <cellStyle name="Calc Currency (2)" xfId="536"/>
    <cellStyle name="Calc Currency (2) 10" xfId="4605"/>
    <cellStyle name="Calc Currency (2) 11" xfId="4710"/>
    <cellStyle name="Calc Currency (2) 12" xfId="4816"/>
    <cellStyle name="Calc Currency (2) 13" xfId="4919"/>
    <cellStyle name="Calc Currency (2) 14" xfId="5027"/>
    <cellStyle name="Calc Currency (2) 15" xfId="5127"/>
    <cellStyle name="Calc Currency (2) 16" xfId="5230"/>
    <cellStyle name="Calc Currency (2) 17" xfId="5332"/>
    <cellStyle name="Calc Currency (2) 18" xfId="5431"/>
    <cellStyle name="Calc Currency (2) 19" xfId="5535"/>
    <cellStyle name="Calc Currency (2) 2" xfId="3145"/>
    <cellStyle name="Calc Currency (2) 20" xfId="5638"/>
    <cellStyle name="Calc Currency (2) 21" xfId="5745"/>
    <cellStyle name="Calc Currency (2) 22" xfId="5849"/>
    <cellStyle name="Calc Currency (2) 23" xfId="5950"/>
    <cellStyle name="Calc Currency (2) 24" xfId="6053"/>
    <cellStyle name="Calc Currency (2) 25" xfId="6153"/>
    <cellStyle name="Calc Currency (2) 26" xfId="6249"/>
    <cellStyle name="Calc Currency (2) 27" xfId="6346"/>
    <cellStyle name="Calc Currency (2) 28" xfId="6439"/>
    <cellStyle name="Calc Currency (2) 29" xfId="6532"/>
    <cellStyle name="Calc Currency (2) 3" xfId="4079"/>
    <cellStyle name="Calc Currency (2) 30" xfId="6625"/>
    <cellStyle name="Calc Currency (2) 31" xfId="6717"/>
    <cellStyle name="Calc Currency (2) 32" xfId="6809"/>
    <cellStyle name="Calc Currency (2) 33" xfId="6896"/>
    <cellStyle name="Calc Currency (2) 34" xfId="6988"/>
    <cellStyle name="Calc Currency (2) 35" xfId="7073"/>
    <cellStyle name="Calc Currency (2) 36" xfId="7157"/>
    <cellStyle name="Calc Currency (2) 37" xfId="7243"/>
    <cellStyle name="Calc Currency (2) 38" xfId="7326"/>
    <cellStyle name="Calc Currency (2) 39" xfId="7412"/>
    <cellStyle name="Calc Currency (2) 4" xfId="2617"/>
    <cellStyle name="Calc Currency (2) 40" xfId="7492"/>
    <cellStyle name="Calc Currency (2) 41" xfId="7575"/>
    <cellStyle name="Calc Currency (2) 42" xfId="7651"/>
    <cellStyle name="Calc Currency (2) 43" xfId="7723"/>
    <cellStyle name="Calc Currency (2) 44" xfId="7791"/>
    <cellStyle name="Calc Currency (2) 45" xfId="7857"/>
    <cellStyle name="Calc Currency (2) 46" xfId="7923"/>
    <cellStyle name="Calc Currency (2) 47" xfId="7986"/>
    <cellStyle name="Calc Currency (2) 48" xfId="8049"/>
    <cellStyle name="Calc Currency (2) 49" xfId="8109"/>
    <cellStyle name="Calc Currency (2) 5" xfId="4188"/>
    <cellStyle name="Calc Currency (2) 50" xfId="8168"/>
    <cellStyle name="Calc Currency (2) 51" xfId="8225"/>
    <cellStyle name="Calc Currency (2) 52" xfId="8279"/>
    <cellStyle name="Calc Currency (2) 53" xfId="8330"/>
    <cellStyle name="Calc Currency (2) 54" xfId="8378"/>
    <cellStyle name="Calc Currency (2) 55" xfId="8422"/>
    <cellStyle name="Calc Currency (2) 56" xfId="8461"/>
    <cellStyle name="Calc Currency (2) 57" xfId="8489"/>
    <cellStyle name="Calc Currency (2) 6" xfId="2508"/>
    <cellStyle name="Calc Currency (2) 7" xfId="4294"/>
    <cellStyle name="Calc Currency (2) 8" xfId="3000"/>
    <cellStyle name="Calc Currency (2) 9" xfId="3912"/>
    <cellStyle name="Calc Percent (0)" xfId="537"/>
    <cellStyle name="Calc Percent (0) 10" xfId="4604"/>
    <cellStyle name="Calc Percent (0) 11" xfId="4709"/>
    <cellStyle name="Calc Percent (0) 12" xfId="4815"/>
    <cellStyle name="Calc Percent (0) 13" xfId="4918"/>
    <cellStyle name="Calc Percent (0) 14" xfId="5026"/>
    <cellStyle name="Calc Percent (0) 15" xfId="5126"/>
    <cellStyle name="Calc Percent (0) 16" xfId="5229"/>
    <cellStyle name="Calc Percent (0) 17" xfId="5331"/>
    <cellStyle name="Calc Percent (0) 18" xfId="5430"/>
    <cellStyle name="Calc Percent (0) 19" xfId="5534"/>
    <cellStyle name="Calc Percent (0) 2" xfId="3146"/>
    <cellStyle name="Calc Percent (0) 20" xfId="5637"/>
    <cellStyle name="Calc Percent (0) 21" xfId="5744"/>
    <cellStyle name="Calc Percent (0) 22" xfId="5848"/>
    <cellStyle name="Calc Percent (0) 23" xfId="5949"/>
    <cellStyle name="Calc Percent (0) 24" xfId="6052"/>
    <cellStyle name="Calc Percent (0) 25" xfId="6152"/>
    <cellStyle name="Calc Percent (0) 26" xfId="6248"/>
    <cellStyle name="Calc Percent (0) 27" xfId="6345"/>
    <cellStyle name="Calc Percent (0) 28" xfId="6438"/>
    <cellStyle name="Calc Percent (0) 29" xfId="6531"/>
    <cellStyle name="Calc Percent (0) 3" xfId="4078"/>
    <cellStyle name="Calc Percent (0) 30" xfId="6624"/>
    <cellStyle name="Calc Percent (0) 31" xfId="6716"/>
    <cellStyle name="Calc Percent (0) 32" xfId="6808"/>
    <cellStyle name="Calc Percent (0) 33" xfId="6895"/>
    <cellStyle name="Calc Percent (0) 34" xfId="6987"/>
    <cellStyle name="Calc Percent (0) 35" xfId="7072"/>
    <cellStyle name="Calc Percent (0) 36" xfId="7156"/>
    <cellStyle name="Calc Percent (0) 37" xfId="7242"/>
    <cellStyle name="Calc Percent (0) 38" xfId="7325"/>
    <cellStyle name="Calc Percent (0) 39" xfId="7411"/>
    <cellStyle name="Calc Percent (0) 4" xfId="2618"/>
    <cellStyle name="Calc Percent (0) 40" xfId="7491"/>
    <cellStyle name="Calc Percent (0) 41" xfId="7574"/>
    <cellStyle name="Calc Percent (0) 42" xfId="7650"/>
    <cellStyle name="Calc Percent (0) 43" xfId="7722"/>
    <cellStyle name="Calc Percent (0) 44" xfId="7790"/>
    <cellStyle name="Calc Percent (0) 45" xfId="7856"/>
    <cellStyle name="Calc Percent (0) 46" xfId="7922"/>
    <cellStyle name="Calc Percent (0) 47" xfId="7985"/>
    <cellStyle name="Calc Percent (0) 48" xfId="8048"/>
    <cellStyle name="Calc Percent (0) 49" xfId="8108"/>
    <cellStyle name="Calc Percent (0) 5" xfId="4187"/>
    <cellStyle name="Calc Percent (0) 50" xfId="8167"/>
    <cellStyle name="Calc Percent (0) 51" xfId="8224"/>
    <cellStyle name="Calc Percent (0) 52" xfId="8278"/>
    <cellStyle name="Calc Percent (0) 53" xfId="8329"/>
    <cellStyle name="Calc Percent (0) 54" xfId="8377"/>
    <cellStyle name="Calc Percent (0) 55" xfId="8421"/>
    <cellStyle name="Calc Percent (0) 56" xfId="8460"/>
    <cellStyle name="Calc Percent (0) 57" xfId="8488"/>
    <cellStyle name="Calc Percent (0) 6" xfId="2509"/>
    <cellStyle name="Calc Percent (0) 7" xfId="4293"/>
    <cellStyle name="Calc Percent (0) 8" xfId="4399"/>
    <cellStyle name="Calc Percent (0) 9" xfId="4501"/>
    <cellStyle name="Calc Percent (1)" xfId="538"/>
    <cellStyle name="Calc Percent (1) 10" xfId="4603"/>
    <cellStyle name="Calc Percent (1) 11" xfId="4708"/>
    <cellStyle name="Calc Percent (1) 12" xfId="4814"/>
    <cellStyle name="Calc Percent (1) 13" xfId="4917"/>
    <cellStyle name="Calc Percent (1) 14" xfId="5025"/>
    <cellStyle name="Calc Percent (1) 15" xfId="5125"/>
    <cellStyle name="Calc Percent (1) 16" xfId="5228"/>
    <cellStyle name="Calc Percent (1) 17" xfId="5330"/>
    <cellStyle name="Calc Percent (1) 18" xfId="5429"/>
    <cellStyle name="Calc Percent (1) 19" xfId="5533"/>
    <cellStyle name="Calc Percent (1) 2" xfId="3147"/>
    <cellStyle name="Calc Percent (1) 20" xfId="5636"/>
    <cellStyle name="Calc Percent (1) 21" xfId="5743"/>
    <cellStyle name="Calc Percent (1) 22" xfId="5847"/>
    <cellStyle name="Calc Percent (1) 23" xfId="5948"/>
    <cellStyle name="Calc Percent (1) 24" xfId="6051"/>
    <cellStyle name="Calc Percent (1) 25" xfId="6151"/>
    <cellStyle name="Calc Percent (1) 26" xfId="6247"/>
    <cellStyle name="Calc Percent (1) 27" xfId="6344"/>
    <cellStyle name="Calc Percent (1) 28" xfId="6437"/>
    <cellStyle name="Calc Percent (1) 29" xfId="4535"/>
    <cellStyle name="Calc Percent (1) 3" xfId="4077"/>
    <cellStyle name="Calc Percent (1) 30" xfId="6623"/>
    <cellStyle name="Calc Percent (1) 31" xfId="6715"/>
    <cellStyle name="Calc Percent (1) 32" xfId="6807"/>
    <cellStyle name="Calc Percent (1) 33" xfId="6894"/>
    <cellStyle name="Calc Percent (1) 34" xfId="6986"/>
    <cellStyle name="Calc Percent (1) 35" xfId="7071"/>
    <cellStyle name="Calc Percent (1) 36" xfId="5311"/>
    <cellStyle name="Calc Percent (1) 37" xfId="7241"/>
    <cellStyle name="Calc Percent (1) 38" xfId="7324"/>
    <cellStyle name="Calc Percent (1) 39" xfId="7410"/>
    <cellStyle name="Calc Percent (1) 4" xfId="2619"/>
    <cellStyle name="Calc Percent (1) 40" xfId="7490"/>
    <cellStyle name="Calc Percent (1) 41" xfId="7573"/>
    <cellStyle name="Calc Percent (1) 42" xfId="7649"/>
    <cellStyle name="Calc Percent (1) 43" xfId="7721"/>
    <cellStyle name="Calc Percent (1) 44" xfId="7789"/>
    <cellStyle name="Calc Percent (1) 45" xfId="7855"/>
    <cellStyle name="Calc Percent (1) 46" xfId="7921"/>
    <cellStyle name="Calc Percent (1) 47" xfId="7984"/>
    <cellStyle name="Calc Percent (1) 48" xfId="8047"/>
    <cellStyle name="Calc Percent (1) 49" xfId="8107"/>
    <cellStyle name="Calc Percent (1) 5" xfId="4186"/>
    <cellStyle name="Calc Percent (1) 50" xfId="8166"/>
    <cellStyle name="Calc Percent (1) 51" xfId="8223"/>
    <cellStyle name="Calc Percent (1) 52" xfId="8277"/>
    <cellStyle name="Calc Percent (1) 53" xfId="8328"/>
    <cellStyle name="Calc Percent (1) 54" xfId="8376"/>
    <cellStyle name="Calc Percent (1) 55" xfId="8420"/>
    <cellStyle name="Calc Percent (1) 56" xfId="8459"/>
    <cellStyle name="Calc Percent (1) 57" xfId="8487"/>
    <cellStyle name="Calc Percent (1) 6" xfId="2510"/>
    <cellStyle name="Calc Percent (1) 7" xfId="4292"/>
    <cellStyle name="Calc Percent (1) 8" xfId="4398"/>
    <cellStyle name="Calc Percent (1) 9" xfId="4500"/>
    <cellStyle name="Calc Percent (2)" xfId="539"/>
    <cellStyle name="Calc Percent (2) 10" xfId="2502"/>
    <cellStyle name="Calc Percent (2) 11" xfId="2634"/>
    <cellStyle name="Calc Percent (2) 12" xfId="4103"/>
    <cellStyle name="Calc Percent (2) 13" xfId="2591"/>
    <cellStyle name="Calc Percent (2) 14" xfId="4214"/>
    <cellStyle name="Calc Percent (2) 15" xfId="2483"/>
    <cellStyle name="Calc Percent (2) 16" xfId="3721"/>
    <cellStyle name="Calc Percent (2) 17" xfId="3765"/>
    <cellStyle name="Calc Percent (2) 18" xfId="3761"/>
    <cellStyle name="Calc Percent (2) 19" xfId="2895"/>
    <cellStyle name="Calc Percent (2) 2" xfId="3148"/>
    <cellStyle name="Calc Percent (2) 20" xfId="3536"/>
    <cellStyle name="Calc Percent (2) 21" xfId="3779"/>
    <cellStyle name="Calc Percent (2) 22" xfId="2698"/>
    <cellStyle name="Calc Percent (2) 23" xfId="2638"/>
    <cellStyle name="Calc Percent (2) 24" xfId="3012"/>
    <cellStyle name="Calc Percent (2) 25" xfId="3451"/>
    <cellStyle name="Calc Percent (2) 26" xfId="3656"/>
    <cellStyle name="Calc Percent (2) 27" xfId="2730"/>
    <cellStyle name="Calc Percent (2) 28" xfId="2721"/>
    <cellStyle name="Calc Percent (2) 29" xfId="6530"/>
    <cellStyle name="Calc Percent (2) 3" xfId="3812"/>
    <cellStyle name="Calc Percent (2) 30" xfId="5831"/>
    <cellStyle name="Calc Percent (2) 31" xfId="4206"/>
    <cellStyle name="Calc Percent (2) 32" xfId="4898"/>
    <cellStyle name="Calc Percent (2) 33" xfId="4311"/>
    <cellStyle name="Calc Percent (2) 34" xfId="5106"/>
    <cellStyle name="Calc Percent (2) 35" xfId="4517"/>
    <cellStyle name="Calc Percent (2) 36" xfId="7155"/>
    <cellStyle name="Calc Percent (2) 37" xfId="6515"/>
    <cellStyle name="Calc Percent (2) 38" xfId="5463"/>
    <cellStyle name="Calc Percent (2) 39" xfId="5569"/>
    <cellStyle name="Calc Percent (2) 4" xfId="3758"/>
    <cellStyle name="Calc Percent (2) 40" xfId="5670"/>
    <cellStyle name="Calc Percent (2) 41" xfId="5778"/>
    <cellStyle name="Calc Percent (2) 42" xfId="5879"/>
    <cellStyle name="Calc Percent (2) 43" xfId="5980"/>
    <cellStyle name="Calc Percent (2) 44" xfId="6132"/>
    <cellStyle name="Calc Percent (2) 45" xfId="5553"/>
    <cellStyle name="Calc Percent (2) 46" xfId="5653"/>
    <cellStyle name="Calc Percent (2) 47" xfId="6059"/>
    <cellStyle name="Calc Percent (2) 48" xfId="5863"/>
    <cellStyle name="Calc Percent (2) 49" xfId="6606"/>
    <cellStyle name="Calc Percent (2) 5" xfId="3886"/>
    <cellStyle name="Calc Percent (2) 50" xfId="6069"/>
    <cellStyle name="Calc Percent (2) 51" xfId="7516"/>
    <cellStyle name="Calc Percent (2) 52" xfId="4832"/>
    <cellStyle name="Calc Percent (2) 53" xfId="6920"/>
    <cellStyle name="Calc Percent (2) 54" xfId="5797"/>
    <cellStyle name="Calc Percent (2) 55" xfId="5602"/>
    <cellStyle name="Calc Percent (2) 56" xfId="7098"/>
    <cellStyle name="Calc Percent (2) 57" xfId="5815"/>
    <cellStyle name="Calc Percent (2) 6" xfId="2790"/>
    <cellStyle name="Calc Percent (2) 7" xfId="3638"/>
    <cellStyle name="Calc Percent (2) 8" xfId="4397"/>
    <cellStyle name="Calc Percent (2) 9" xfId="4499"/>
    <cellStyle name="Calc Units (0)" xfId="540"/>
    <cellStyle name="Calc Units (0) 10" xfId="4602"/>
    <cellStyle name="Calc Units (0) 11" xfId="4707"/>
    <cellStyle name="Calc Units (0) 12" xfId="4813"/>
    <cellStyle name="Calc Units (0) 13" xfId="4916"/>
    <cellStyle name="Calc Units (0) 14" xfId="5024"/>
    <cellStyle name="Calc Units (0) 15" xfId="5124"/>
    <cellStyle name="Calc Units (0) 16" xfId="5227"/>
    <cellStyle name="Calc Units (0) 17" xfId="5329"/>
    <cellStyle name="Calc Units (0) 18" xfId="5428"/>
    <cellStyle name="Calc Units (0) 19" xfId="5532"/>
    <cellStyle name="Calc Units (0) 2" xfId="3149"/>
    <cellStyle name="Calc Units (0) 20" xfId="5635"/>
    <cellStyle name="Calc Units (0) 21" xfId="5742"/>
    <cellStyle name="Calc Units (0) 22" xfId="5846"/>
    <cellStyle name="Calc Units (0) 23" xfId="5947"/>
    <cellStyle name="Calc Units (0) 24" xfId="6050"/>
    <cellStyle name="Calc Units (0) 25" xfId="6150"/>
    <cellStyle name="Calc Units (0) 26" xfId="6246"/>
    <cellStyle name="Calc Units (0) 27" xfId="6343"/>
    <cellStyle name="Calc Units (0) 28" xfId="6436"/>
    <cellStyle name="Calc Units (0) 29" xfId="6529"/>
    <cellStyle name="Calc Units (0) 3" xfId="4076"/>
    <cellStyle name="Calc Units (0) 30" xfId="6622"/>
    <cellStyle name="Calc Units (0) 31" xfId="6714"/>
    <cellStyle name="Calc Units (0) 32" xfId="6806"/>
    <cellStyle name="Calc Units (0) 33" xfId="6893"/>
    <cellStyle name="Calc Units (0) 34" xfId="6985"/>
    <cellStyle name="Calc Units (0) 35" xfId="7070"/>
    <cellStyle name="Calc Units (0) 36" xfId="7154"/>
    <cellStyle name="Calc Units (0) 37" xfId="7240"/>
    <cellStyle name="Calc Units (0) 38" xfId="7323"/>
    <cellStyle name="Calc Units (0) 39" xfId="7409"/>
    <cellStyle name="Calc Units (0) 4" xfId="2620"/>
    <cellStyle name="Calc Units (0) 40" xfId="7489"/>
    <cellStyle name="Calc Units (0) 41" xfId="7572"/>
    <cellStyle name="Calc Units (0) 42" xfId="7648"/>
    <cellStyle name="Calc Units (0) 43" xfId="7720"/>
    <cellStyle name="Calc Units (0) 44" xfId="7788"/>
    <cellStyle name="Calc Units (0) 45" xfId="7854"/>
    <cellStyle name="Calc Units (0) 46" xfId="7920"/>
    <cellStyle name="Calc Units (0) 47" xfId="7983"/>
    <cellStyle name="Calc Units (0) 48" xfId="8046"/>
    <cellStyle name="Calc Units (0) 49" xfId="8106"/>
    <cellStyle name="Calc Units (0) 5" xfId="4185"/>
    <cellStyle name="Calc Units (0) 50" xfId="8165"/>
    <cellStyle name="Calc Units (0) 51" xfId="8222"/>
    <cellStyle name="Calc Units (0) 52" xfId="8276"/>
    <cellStyle name="Calc Units (0) 53" xfId="8327"/>
    <cellStyle name="Calc Units (0) 54" xfId="8375"/>
    <cellStyle name="Calc Units (0) 55" xfId="8419"/>
    <cellStyle name="Calc Units (0) 56" xfId="8458"/>
    <cellStyle name="Calc Units (0) 57" xfId="8486"/>
    <cellStyle name="Calc Units (0) 6" xfId="2511"/>
    <cellStyle name="Calc Units (0) 7" xfId="4291"/>
    <cellStyle name="Calc Units (0) 8" xfId="4396"/>
    <cellStyle name="Calc Units (0) 9" xfId="4498"/>
    <cellStyle name="Calc Units (1)" xfId="541"/>
    <cellStyle name="Calc Units (1) 10" xfId="4601"/>
    <cellStyle name="Calc Units (1) 11" xfId="4706"/>
    <cellStyle name="Calc Units (1) 12" xfId="4812"/>
    <cellStyle name="Calc Units (1) 13" xfId="4915"/>
    <cellStyle name="Calc Units (1) 14" xfId="5023"/>
    <cellStyle name="Calc Units (1) 15" xfId="5123"/>
    <cellStyle name="Calc Units (1) 16" xfId="5226"/>
    <cellStyle name="Calc Units (1) 17" xfId="5328"/>
    <cellStyle name="Calc Units (1) 18" xfId="5427"/>
    <cellStyle name="Calc Units (1) 19" xfId="5531"/>
    <cellStyle name="Calc Units (1) 2" xfId="3150"/>
    <cellStyle name="Calc Units (1) 20" xfId="5634"/>
    <cellStyle name="Calc Units (1) 21" xfId="5741"/>
    <cellStyle name="Calc Units (1) 22" xfId="5845"/>
    <cellStyle name="Calc Units (1) 23" xfId="5946"/>
    <cellStyle name="Calc Units (1) 24" xfId="6049"/>
    <cellStyle name="Calc Units (1) 25" xfId="6149"/>
    <cellStyle name="Calc Units (1) 26" xfId="6245"/>
    <cellStyle name="Calc Units (1) 27" xfId="6342"/>
    <cellStyle name="Calc Units (1) 28" xfId="6435"/>
    <cellStyle name="Calc Units (1) 29" xfId="6528"/>
    <cellStyle name="Calc Units (1) 3" xfId="4075"/>
    <cellStyle name="Calc Units (1) 30" xfId="6621"/>
    <cellStyle name="Calc Units (1) 31" xfId="6713"/>
    <cellStyle name="Calc Units (1) 32" xfId="6805"/>
    <cellStyle name="Calc Units (1) 33" xfId="6892"/>
    <cellStyle name="Calc Units (1) 34" xfId="6984"/>
    <cellStyle name="Calc Units (1) 35" xfId="7069"/>
    <cellStyle name="Calc Units (1) 36" xfId="7153"/>
    <cellStyle name="Calc Units (1) 37" xfId="7239"/>
    <cellStyle name="Calc Units (1) 38" xfId="7322"/>
    <cellStyle name="Calc Units (1) 39" xfId="7408"/>
    <cellStyle name="Calc Units (1) 4" xfId="2621"/>
    <cellStyle name="Calc Units (1) 40" xfId="7488"/>
    <cellStyle name="Calc Units (1) 41" xfId="7571"/>
    <cellStyle name="Calc Units (1) 42" xfId="7647"/>
    <cellStyle name="Calc Units (1) 43" xfId="7719"/>
    <cellStyle name="Calc Units (1) 44" xfId="7787"/>
    <cellStyle name="Calc Units (1) 45" xfId="7853"/>
    <cellStyle name="Calc Units (1) 46" xfId="7919"/>
    <cellStyle name="Calc Units (1) 47" xfId="7982"/>
    <cellStyle name="Calc Units (1) 48" xfId="8045"/>
    <cellStyle name="Calc Units (1) 49" xfId="8105"/>
    <cellStyle name="Calc Units (1) 5" xfId="4184"/>
    <cellStyle name="Calc Units (1) 50" xfId="8164"/>
    <cellStyle name="Calc Units (1) 51" xfId="8221"/>
    <cellStyle name="Calc Units (1) 52" xfId="8275"/>
    <cellStyle name="Calc Units (1) 53" xfId="8326"/>
    <cellStyle name="Calc Units (1) 54" xfId="8374"/>
    <cellStyle name="Calc Units (1) 55" xfId="8418"/>
    <cellStyle name="Calc Units (1) 56" xfId="8457"/>
    <cellStyle name="Calc Units (1) 57" xfId="8485"/>
    <cellStyle name="Calc Units (1) 6" xfId="2512"/>
    <cellStyle name="Calc Units (1) 7" xfId="4290"/>
    <cellStyle name="Calc Units (1) 8" xfId="4395"/>
    <cellStyle name="Calc Units (1) 9" xfId="4497"/>
    <cellStyle name="Calc Units (2)" xfId="542"/>
    <cellStyle name="Calc Units (2) 10" xfId="4600"/>
    <cellStyle name="Calc Units (2) 11" xfId="4705"/>
    <cellStyle name="Calc Units (2) 12" xfId="4811"/>
    <cellStyle name="Calc Units (2) 13" xfId="4914"/>
    <cellStyle name="Calc Units (2) 14" xfId="5022"/>
    <cellStyle name="Calc Units (2) 15" xfId="5122"/>
    <cellStyle name="Calc Units (2) 16" xfId="5225"/>
    <cellStyle name="Calc Units (2) 17" xfId="5327"/>
    <cellStyle name="Calc Units (2) 18" xfId="5426"/>
    <cellStyle name="Calc Units (2) 19" xfId="5530"/>
    <cellStyle name="Calc Units (2) 2" xfId="3151"/>
    <cellStyle name="Calc Units (2) 20" xfId="5633"/>
    <cellStyle name="Calc Units (2) 21" xfId="5740"/>
    <cellStyle name="Calc Units (2) 22" xfId="5844"/>
    <cellStyle name="Calc Units (2) 23" xfId="5945"/>
    <cellStyle name="Calc Units (2) 24" xfId="6048"/>
    <cellStyle name="Calc Units (2) 25" xfId="6148"/>
    <cellStyle name="Calc Units (2) 26" xfId="6244"/>
    <cellStyle name="Calc Units (2) 27" xfId="6341"/>
    <cellStyle name="Calc Units (2) 28" xfId="6434"/>
    <cellStyle name="Calc Units (2) 29" xfId="6527"/>
    <cellStyle name="Calc Units (2) 3" xfId="4074"/>
    <cellStyle name="Calc Units (2) 30" xfId="6620"/>
    <cellStyle name="Calc Units (2) 31" xfId="6712"/>
    <cellStyle name="Calc Units (2) 32" xfId="6804"/>
    <cellStyle name="Calc Units (2) 33" xfId="6891"/>
    <cellStyle name="Calc Units (2) 34" xfId="6983"/>
    <cellStyle name="Calc Units (2) 35" xfId="7068"/>
    <cellStyle name="Calc Units (2) 36" xfId="7152"/>
    <cellStyle name="Calc Units (2) 37" xfId="7238"/>
    <cellStyle name="Calc Units (2) 38" xfId="7321"/>
    <cellStyle name="Calc Units (2) 39" xfId="7407"/>
    <cellStyle name="Calc Units (2) 4" xfId="2622"/>
    <cellStyle name="Calc Units (2) 40" xfId="7487"/>
    <cellStyle name="Calc Units (2) 41" xfId="7570"/>
    <cellStyle name="Calc Units (2) 42" xfId="7646"/>
    <cellStyle name="Calc Units (2) 43" xfId="7718"/>
    <cellStyle name="Calc Units (2) 44" xfId="7786"/>
    <cellStyle name="Calc Units (2) 45" xfId="7852"/>
    <cellStyle name="Calc Units (2) 46" xfId="7918"/>
    <cellStyle name="Calc Units (2) 47" xfId="7981"/>
    <cellStyle name="Calc Units (2) 48" xfId="8044"/>
    <cellStyle name="Calc Units (2) 49" xfId="8104"/>
    <cellStyle name="Calc Units (2) 5" xfId="4183"/>
    <cellStyle name="Calc Units (2) 50" xfId="8163"/>
    <cellStyle name="Calc Units (2) 51" xfId="8220"/>
    <cellStyle name="Calc Units (2) 52" xfId="8274"/>
    <cellStyle name="Calc Units (2) 53" xfId="8325"/>
    <cellStyle name="Calc Units (2) 54" xfId="8373"/>
    <cellStyle name="Calc Units (2) 55" xfId="8417"/>
    <cellStyle name="Calc Units (2) 56" xfId="8456"/>
    <cellStyle name="Calc Units (2) 57" xfId="8484"/>
    <cellStyle name="Calc Units (2) 6" xfId="2513"/>
    <cellStyle name="Calc Units (2) 7" xfId="4289"/>
    <cellStyle name="Calc Units (2) 8" xfId="4394"/>
    <cellStyle name="Calc Units (2) 9" xfId="4496"/>
    <cellStyle name="category" xfId="543"/>
    <cellStyle name="CIAIÆU¸μAⓒ" xfId="544"/>
    <cellStyle name="Co≫e" xfId="1653"/>
    <cellStyle name="columns_array" xfId="545"/>
    <cellStyle name="Comma" xfId="546"/>
    <cellStyle name="Comma  - Style2" xfId="547"/>
    <cellStyle name="Comma  - Style3" xfId="548"/>
    <cellStyle name="Comma  - Style4" xfId="549"/>
    <cellStyle name="Comma  - Style5" xfId="550"/>
    <cellStyle name="Comma  - Style6" xfId="551"/>
    <cellStyle name="Comma  - Style7" xfId="552"/>
    <cellStyle name="Comma  - Style8" xfId="553"/>
    <cellStyle name="Comma [0]" xfId="554"/>
    <cellStyle name="Comma [0] 10" xfId="4491"/>
    <cellStyle name="Comma [0] 11" xfId="4595"/>
    <cellStyle name="Comma [0] 12" xfId="4700"/>
    <cellStyle name="Comma [0] 13" xfId="4806"/>
    <cellStyle name="Comma [0] 14" xfId="4909"/>
    <cellStyle name="Comma [0] 15" xfId="5017"/>
    <cellStyle name="Comma [0] 16" xfId="5117"/>
    <cellStyle name="Comma [0] 17" xfId="5220"/>
    <cellStyle name="Comma [0] 18" xfId="5322"/>
    <cellStyle name="Comma [0] 19" xfId="5421"/>
    <cellStyle name="Comma [0] 2" xfId="1654"/>
    <cellStyle name="Comma [0] 20" xfId="5525"/>
    <cellStyle name="Comma [0] 21" xfId="5628"/>
    <cellStyle name="Comma [0] 22" xfId="5734"/>
    <cellStyle name="Comma [0] 23" xfId="5839"/>
    <cellStyle name="Comma [0] 24" xfId="5940"/>
    <cellStyle name="Comma [0] 25" xfId="6042"/>
    <cellStyle name="Comma [0] 26" xfId="6143"/>
    <cellStyle name="Comma [0] 27" xfId="6238"/>
    <cellStyle name="Comma [0] 28" xfId="6336"/>
    <cellStyle name="Comma [0] 29" xfId="6428"/>
    <cellStyle name="Comma [0] 3" xfId="3157"/>
    <cellStyle name="Comma [0] 30" xfId="6522"/>
    <cellStyle name="Comma [0] 31" xfId="6615"/>
    <cellStyle name="Comma [0] 32" xfId="6706"/>
    <cellStyle name="Comma [0] 33" xfId="6799"/>
    <cellStyle name="Comma [0] 34" xfId="6885"/>
    <cellStyle name="Comma [0] 35" xfId="6978"/>
    <cellStyle name="Comma [0] 36" xfId="7062"/>
    <cellStyle name="Comma [0] 37" xfId="7147"/>
    <cellStyle name="Comma [0] 38" xfId="7233"/>
    <cellStyle name="Comma [0] 39" xfId="7316"/>
    <cellStyle name="Comma [0] 4" xfId="4069"/>
    <cellStyle name="Comma [0] 40" xfId="7402"/>
    <cellStyle name="Comma [0] 41" xfId="7482"/>
    <cellStyle name="Comma [0] 42" xfId="7565"/>
    <cellStyle name="Comma [0] 43" xfId="7641"/>
    <cellStyle name="Comma [0] 44" xfId="7713"/>
    <cellStyle name="Comma [0] 45" xfId="7782"/>
    <cellStyle name="Comma [0] 46" xfId="7848"/>
    <cellStyle name="Comma [0] 47" xfId="7914"/>
    <cellStyle name="Comma [0] 48" xfId="7977"/>
    <cellStyle name="Comma [0] 49" xfId="8040"/>
    <cellStyle name="Comma [0] 5" xfId="2626"/>
    <cellStyle name="Comma [0] 50" xfId="8100"/>
    <cellStyle name="Comma [0] 51" xfId="8159"/>
    <cellStyle name="Comma [0] 52" xfId="8217"/>
    <cellStyle name="Comma [0] 53" xfId="8272"/>
    <cellStyle name="Comma [0] 54" xfId="8323"/>
    <cellStyle name="Comma [0] 55" xfId="8371"/>
    <cellStyle name="Comma [0] 56" xfId="8415"/>
    <cellStyle name="Comma [0] 57" xfId="8454"/>
    <cellStyle name="Comma [0] 58" xfId="8483"/>
    <cellStyle name="Comma [0] 6" xfId="4178"/>
    <cellStyle name="Comma [0] 7" xfId="2518"/>
    <cellStyle name="Comma [0] 8" xfId="4284"/>
    <cellStyle name="Comma [0] 9" xfId="4388"/>
    <cellStyle name="Comma [00]" xfId="555"/>
    <cellStyle name="Comma [00] 10" xfId="4593"/>
    <cellStyle name="Comma [00] 11" xfId="4698"/>
    <cellStyle name="Comma [00] 12" xfId="4804"/>
    <cellStyle name="Comma [00] 13" xfId="4907"/>
    <cellStyle name="Comma [00] 14" xfId="5015"/>
    <cellStyle name="Comma [00] 15" xfId="5115"/>
    <cellStyle name="Comma [00] 16" xfId="5218"/>
    <cellStyle name="Comma [00] 17" xfId="5320"/>
    <cellStyle name="Comma [00] 18" xfId="5419"/>
    <cellStyle name="Comma [00] 19" xfId="5523"/>
    <cellStyle name="Comma [00] 2" xfId="3159"/>
    <cellStyle name="Comma [00] 20" xfId="5626"/>
    <cellStyle name="Comma [00] 21" xfId="5732"/>
    <cellStyle name="Comma [00] 22" xfId="5837"/>
    <cellStyle name="Comma [00] 23" xfId="5938"/>
    <cellStyle name="Comma [00] 24" xfId="6040"/>
    <cellStyle name="Comma [00] 25" xfId="6141"/>
    <cellStyle name="Comma [00] 26" xfId="6236"/>
    <cellStyle name="Comma [00] 27" xfId="6334"/>
    <cellStyle name="Comma [00] 28" xfId="6426"/>
    <cellStyle name="Comma [00] 29" xfId="6520"/>
    <cellStyle name="Comma [00] 3" xfId="4067"/>
    <cellStyle name="Comma [00] 30" xfId="6613"/>
    <cellStyle name="Comma [00] 31" xfId="6704"/>
    <cellStyle name="Comma [00] 32" xfId="6797"/>
    <cellStyle name="Comma [00] 33" xfId="6883"/>
    <cellStyle name="Comma [00] 34" xfId="6976"/>
    <cellStyle name="Comma [00] 35" xfId="7060"/>
    <cellStyle name="Comma [00] 36" xfId="7145"/>
    <cellStyle name="Comma [00] 37" xfId="7231"/>
    <cellStyle name="Comma [00] 38" xfId="7314"/>
    <cellStyle name="Comma [00] 39" xfId="7400"/>
    <cellStyle name="Comma [00] 4" xfId="2628"/>
    <cellStyle name="Comma [00] 40" xfId="7480"/>
    <cellStyle name="Comma [00] 41" xfId="7563"/>
    <cellStyle name="Comma [00] 42" xfId="7639"/>
    <cellStyle name="Comma [00] 43" xfId="7711"/>
    <cellStyle name="Comma [00] 44" xfId="7780"/>
    <cellStyle name="Comma [00] 45" xfId="7846"/>
    <cellStyle name="Comma [00] 46" xfId="7912"/>
    <cellStyle name="Comma [00] 47" xfId="7975"/>
    <cellStyle name="Comma [00] 48" xfId="8038"/>
    <cellStyle name="Comma [00] 49" xfId="8098"/>
    <cellStyle name="Comma [00] 5" xfId="4176"/>
    <cellStyle name="Comma [00] 50" xfId="8157"/>
    <cellStyle name="Comma [00] 51" xfId="8215"/>
    <cellStyle name="Comma [00] 52" xfId="8270"/>
    <cellStyle name="Comma [00] 53" xfId="8321"/>
    <cellStyle name="Comma [00] 54" xfId="8369"/>
    <cellStyle name="Comma [00] 55" xfId="8413"/>
    <cellStyle name="Comma [00] 56" xfId="8453"/>
    <cellStyle name="Comma [00] 57" xfId="8482"/>
    <cellStyle name="Comma [00] 6" xfId="2520"/>
    <cellStyle name="Comma [00] 7" xfId="4282"/>
    <cellStyle name="Comma [00] 8" xfId="4386"/>
    <cellStyle name="Comma [00] 9" xfId="4489"/>
    <cellStyle name="comma zerodec" xfId="556"/>
    <cellStyle name="comma zerodec 10" xfId="4488"/>
    <cellStyle name="comma zerodec 11" xfId="4592"/>
    <cellStyle name="comma zerodec 12" xfId="4697"/>
    <cellStyle name="comma zerodec 13" xfId="4803"/>
    <cellStyle name="comma zerodec 14" xfId="4906"/>
    <cellStyle name="comma zerodec 15" xfId="5014"/>
    <cellStyle name="comma zerodec 16" xfId="5114"/>
    <cellStyle name="comma zerodec 17" xfId="5217"/>
    <cellStyle name="comma zerodec 18" xfId="5319"/>
    <cellStyle name="comma zerodec 19" xfId="5418"/>
    <cellStyle name="comma zerodec 2" xfId="1655"/>
    <cellStyle name="comma zerodec 20" xfId="5522"/>
    <cellStyle name="comma zerodec 21" xfId="5625"/>
    <cellStyle name="comma zerodec 22" xfId="5731"/>
    <cellStyle name="comma zerodec 23" xfId="5836"/>
    <cellStyle name="comma zerodec 24" xfId="5937"/>
    <cellStyle name="comma zerodec 25" xfId="6039"/>
    <cellStyle name="comma zerodec 26" xfId="6140"/>
    <cellStyle name="comma zerodec 27" xfId="6235"/>
    <cellStyle name="comma zerodec 28" xfId="6333"/>
    <cellStyle name="comma zerodec 29" xfId="6425"/>
    <cellStyle name="comma zerodec 3" xfId="3160"/>
    <cellStyle name="comma zerodec 30" xfId="6519"/>
    <cellStyle name="comma zerodec 31" xfId="6612"/>
    <cellStyle name="comma zerodec 32" xfId="6703"/>
    <cellStyle name="comma zerodec 33" xfId="6796"/>
    <cellStyle name="comma zerodec 34" xfId="6882"/>
    <cellStyle name="comma zerodec 35" xfId="6975"/>
    <cellStyle name="comma zerodec 36" xfId="7059"/>
    <cellStyle name="comma zerodec 37" xfId="7144"/>
    <cellStyle name="comma zerodec 38" xfId="7230"/>
    <cellStyle name="comma zerodec 39" xfId="7313"/>
    <cellStyle name="comma zerodec 4" xfId="4066"/>
    <cellStyle name="comma zerodec 40" xfId="7399"/>
    <cellStyle name="comma zerodec 41" xfId="7479"/>
    <cellStyle name="comma zerodec 42" xfId="7562"/>
    <cellStyle name="comma zerodec 43" xfId="7638"/>
    <cellStyle name="comma zerodec 44" xfId="7710"/>
    <cellStyle name="comma zerodec 45" xfId="7779"/>
    <cellStyle name="comma zerodec 46" xfId="7845"/>
    <cellStyle name="comma zerodec 47" xfId="7911"/>
    <cellStyle name="comma zerodec 48" xfId="7974"/>
    <cellStyle name="comma zerodec 49" xfId="8037"/>
    <cellStyle name="comma zerodec 5" xfId="2629"/>
    <cellStyle name="comma zerodec 50" xfId="8097"/>
    <cellStyle name="comma zerodec 51" xfId="8156"/>
    <cellStyle name="comma zerodec 52" xfId="8214"/>
    <cellStyle name="comma zerodec 53" xfId="8269"/>
    <cellStyle name="comma zerodec 54" xfId="8320"/>
    <cellStyle name="comma zerodec 55" xfId="8368"/>
    <cellStyle name="comma zerodec 56" xfId="8412"/>
    <cellStyle name="comma zerodec 57" xfId="8452"/>
    <cellStyle name="comma zerodec 58" xfId="8481"/>
    <cellStyle name="comma zerodec 6" xfId="4175"/>
    <cellStyle name="comma zerodec 7" xfId="2521"/>
    <cellStyle name="comma zerodec 8" xfId="4281"/>
    <cellStyle name="comma zerodec 9" xfId="4385"/>
    <cellStyle name="Comma_ SG&amp;A Bridge" xfId="1656"/>
    <cellStyle name="Comma0" xfId="557"/>
    <cellStyle name="Comma0 10" xfId="4589"/>
    <cellStyle name="Comma0 11" xfId="4694"/>
    <cellStyle name="Comma0 12" xfId="4800"/>
    <cellStyle name="Comma0 13" xfId="4903"/>
    <cellStyle name="Comma0 14" xfId="5011"/>
    <cellStyle name="Comma0 15" xfId="5111"/>
    <cellStyle name="Comma0 16" xfId="5214"/>
    <cellStyle name="Comma0 17" xfId="5316"/>
    <cellStyle name="Comma0 18" xfId="5415"/>
    <cellStyle name="Comma0 19" xfId="5519"/>
    <cellStyle name="Comma0 2" xfId="3163"/>
    <cellStyle name="Comma0 20" xfId="5622"/>
    <cellStyle name="Comma0 21" xfId="5728"/>
    <cellStyle name="Comma0 22" xfId="5833"/>
    <cellStyle name="Comma0 23" xfId="5934"/>
    <cellStyle name="Comma0 24" xfId="6036"/>
    <cellStyle name="Comma0 25" xfId="6137"/>
    <cellStyle name="Comma0 26" xfId="6232"/>
    <cellStyle name="Comma0 27" xfId="6330"/>
    <cellStyle name="Comma0 28" xfId="6422"/>
    <cellStyle name="Comma0 29" xfId="6516"/>
    <cellStyle name="Comma0 3" xfId="4063"/>
    <cellStyle name="Comma0 30" xfId="6609"/>
    <cellStyle name="Comma0 31" xfId="6700"/>
    <cellStyle name="Comma0 32" xfId="6793"/>
    <cellStyle name="Comma0 33" xfId="6880"/>
    <cellStyle name="Comma0 34" xfId="6972"/>
    <cellStyle name="Comma0 35" xfId="7056"/>
    <cellStyle name="Comma0 36" xfId="7141"/>
    <cellStyle name="Comma0 37" xfId="7227"/>
    <cellStyle name="Comma0 38" xfId="7310"/>
    <cellStyle name="Comma0 39" xfId="7396"/>
    <cellStyle name="Comma0 4" xfId="2632"/>
    <cellStyle name="Comma0 40" xfId="7476"/>
    <cellStyle name="Comma0 41" xfId="7559"/>
    <cellStyle name="Comma0 42" xfId="7635"/>
    <cellStyle name="Comma0 43" xfId="7707"/>
    <cellStyle name="Comma0 44" xfId="7776"/>
    <cellStyle name="Comma0 45" xfId="7842"/>
    <cellStyle name="Comma0 46" xfId="7908"/>
    <cellStyle name="Comma0 47" xfId="7971"/>
    <cellStyle name="Comma0 48" xfId="8034"/>
    <cellStyle name="Comma0 49" xfId="8094"/>
    <cellStyle name="Comma0 5" xfId="4172"/>
    <cellStyle name="Comma0 50" xfId="8153"/>
    <cellStyle name="Comma0 51" xfId="8212"/>
    <cellStyle name="Comma0 52" xfId="8267"/>
    <cellStyle name="Comma0 53" xfId="8318"/>
    <cellStyle name="Comma0 54" xfId="8366"/>
    <cellStyle name="Comma0 55" xfId="8410"/>
    <cellStyle name="Comma0 56" xfId="8450"/>
    <cellStyle name="Comma0 57" xfId="8480"/>
    <cellStyle name="Comma0 6" xfId="2524"/>
    <cellStyle name="Comma0 7" xfId="4278"/>
    <cellStyle name="Comma0 8" xfId="4383"/>
    <cellStyle name="Comma0 9" xfId="4485"/>
    <cellStyle name="Comm뼬_E&amp;ONW2" xfId="1657"/>
    <cellStyle name="Copied" xfId="558"/>
    <cellStyle name="Curren?_x0012_퐀_x0017_?" xfId="559"/>
    <cellStyle name="Currency" xfId="560"/>
    <cellStyle name="Currency [0]" xfId="561"/>
    <cellStyle name="Currency [0] 10" xfId="3362"/>
    <cellStyle name="Currency [0] 11" xfId="4586"/>
    <cellStyle name="Currency [0] 12" xfId="4690"/>
    <cellStyle name="Currency [0] 13" xfId="4796"/>
    <cellStyle name="Currency [0] 14" xfId="4899"/>
    <cellStyle name="Currency [0] 15" xfId="5007"/>
    <cellStyle name="Currency [0] 16" xfId="5107"/>
    <cellStyle name="Currency [0] 17" xfId="5210"/>
    <cellStyle name="Currency [0] 18" xfId="5312"/>
    <cellStyle name="Currency [0] 19" xfId="5411"/>
    <cellStyle name="Currency [0] 2" xfId="1658"/>
    <cellStyle name="Currency [0] 20" xfId="5515"/>
    <cellStyle name="Currency [0] 21" xfId="5618"/>
    <cellStyle name="Currency [0] 22" xfId="5724"/>
    <cellStyle name="Currency [0] 23" xfId="5829"/>
    <cellStyle name="Currency [0] 24" xfId="5931"/>
    <cellStyle name="Currency [0] 25" xfId="6032"/>
    <cellStyle name="Currency [0] 26" xfId="6134"/>
    <cellStyle name="Currency [0] 27" xfId="6228"/>
    <cellStyle name="Currency [0] 28" xfId="6327"/>
    <cellStyle name="Currency [0] 29" xfId="6419"/>
    <cellStyle name="Currency [0] 3" xfId="3167"/>
    <cellStyle name="Currency [0] 30" xfId="6513"/>
    <cellStyle name="Currency [0] 31" xfId="6607"/>
    <cellStyle name="Currency [0] 32" xfId="6697"/>
    <cellStyle name="Currency [0] 33" xfId="6791"/>
    <cellStyle name="Currency [0] 34" xfId="6877"/>
    <cellStyle name="Currency [0] 35" xfId="6969"/>
    <cellStyle name="Currency [0] 36" xfId="7053"/>
    <cellStyle name="Currency [0] 37" xfId="7138"/>
    <cellStyle name="Currency [0] 38" xfId="7224"/>
    <cellStyle name="Currency [0] 39" xfId="7307"/>
    <cellStyle name="Currency [0] 4" xfId="4059"/>
    <cellStyle name="Currency [0] 40" xfId="7393"/>
    <cellStyle name="Currency [0] 41" xfId="7473"/>
    <cellStyle name="Currency [0] 42" xfId="7556"/>
    <cellStyle name="Currency [0] 43" xfId="7632"/>
    <cellStyle name="Currency [0] 44" xfId="7705"/>
    <cellStyle name="Currency [0] 45" xfId="7774"/>
    <cellStyle name="Currency [0] 46" xfId="7840"/>
    <cellStyle name="Currency [0] 47" xfId="7906"/>
    <cellStyle name="Currency [0] 48" xfId="7969"/>
    <cellStyle name="Currency [0] 49" xfId="8032"/>
    <cellStyle name="Currency [0] 5" xfId="2636"/>
    <cellStyle name="Currency [0] 50" xfId="8092"/>
    <cellStyle name="Currency [0] 51" xfId="8151"/>
    <cellStyle name="Currency [0] 52" xfId="8210"/>
    <cellStyle name="Currency [0] 53" xfId="8265"/>
    <cellStyle name="Currency [0] 54" xfId="8316"/>
    <cellStyle name="Currency [0] 55" xfId="8364"/>
    <cellStyle name="Currency [0] 56" xfId="8408"/>
    <cellStyle name="Currency [0] 57" xfId="8448"/>
    <cellStyle name="Currency [0] 58" xfId="8479"/>
    <cellStyle name="Currency [0] 6" xfId="4168"/>
    <cellStyle name="Currency [0] 7" xfId="2528"/>
    <cellStyle name="Currency [0] 8" xfId="4274"/>
    <cellStyle name="Currency [0] 9" xfId="2611"/>
    <cellStyle name="Currency [00]" xfId="562"/>
    <cellStyle name="Currency [00] 10" xfId="2615"/>
    <cellStyle name="Currency [00] 11" xfId="4301"/>
    <cellStyle name="Currency [00] 12" xfId="3340"/>
    <cellStyle name="Currency [00] 13" xfId="3533"/>
    <cellStyle name="Currency [00] 14" xfId="4612"/>
    <cellStyle name="Currency [00] 15" xfId="4717"/>
    <cellStyle name="Currency [00] 16" xfId="4823"/>
    <cellStyle name="Currency [00] 17" xfId="4926"/>
    <cellStyle name="Currency [00] 18" xfId="5034"/>
    <cellStyle name="Currency [00] 19" xfId="5134"/>
    <cellStyle name="Currency [00] 2" xfId="3169"/>
    <cellStyle name="Currency [00] 20" xfId="5237"/>
    <cellStyle name="Currency [00] 21" xfId="5339"/>
    <cellStyle name="Currency [00] 22" xfId="5438"/>
    <cellStyle name="Currency [00] 23" xfId="5542"/>
    <cellStyle name="Currency [00] 24" xfId="5644"/>
    <cellStyle name="Currency [00] 25" xfId="5752"/>
    <cellStyle name="Currency [00] 26" xfId="5855"/>
    <cellStyle name="Currency [00] 27" xfId="5957"/>
    <cellStyle name="Currency [00] 28" xfId="6060"/>
    <cellStyle name="Currency [00] 29" xfId="6159"/>
    <cellStyle name="Currency [00] 3" xfId="3811"/>
    <cellStyle name="Currency [00] 30" xfId="2980"/>
    <cellStyle name="Currency [00] 31" xfId="6352"/>
    <cellStyle name="Currency [00] 32" xfId="6446"/>
    <cellStyle name="Currency [00] 33" xfId="6538"/>
    <cellStyle name="Currency [00] 34" xfId="6632"/>
    <cellStyle name="Currency [00] 35" xfId="6723"/>
    <cellStyle name="Currency [00] 36" xfId="6815"/>
    <cellStyle name="Currency [00] 37" xfId="4725"/>
    <cellStyle name="Currency [00] 38" xfId="6994"/>
    <cellStyle name="Currency [00] 39" xfId="7080"/>
    <cellStyle name="Currency [00] 4" xfId="2857"/>
    <cellStyle name="Currency [00] 40" xfId="7164"/>
    <cellStyle name="Currency [00] 41" xfId="7250"/>
    <cellStyle name="Currency [00] 42" xfId="7333"/>
    <cellStyle name="Currency [00] 43" xfId="7419"/>
    <cellStyle name="Currency [00] 44" xfId="7499"/>
    <cellStyle name="Currency [00] 45" xfId="7582"/>
    <cellStyle name="Currency [00] 46" xfId="7658"/>
    <cellStyle name="Currency [00] 47" xfId="7730"/>
    <cellStyle name="Currency [00] 48" xfId="7798"/>
    <cellStyle name="Currency [00] 49" xfId="7864"/>
    <cellStyle name="Currency [00] 5" xfId="3571"/>
    <cellStyle name="Currency [00] 50" xfId="7930"/>
    <cellStyle name="Currency [00] 51" xfId="7993"/>
    <cellStyle name="Currency [00] 52" xfId="8056"/>
    <cellStyle name="Currency [00] 53" xfId="8115"/>
    <cellStyle name="Currency [00] 54" xfId="8174"/>
    <cellStyle name="Currency [00] 55" xfId="8231"/>
    <cellStyle name="Currency [00] 56" xfId="8284"/>
    <cellStyle name="Currency [00] 57" xfId="8334"/>
    <cellStyle name="Currency [00] 6" xfId="3065"/>
    <cellStyle name="Currency [00] 7" xfId="4086"/>
    <cellStyle name="Currency [00] 8" xfId="4379"/>
    <cellStyle name="Currency [00] 9" xfId="4482"/>
    <cellStyle name="Currency 2" xfId="1659"/>
    <cellStyle name="currency-$" xfId="1660"/>
    <cellStyle name="currency-$ 2" xfId="1661"/>
    <cellStyle name="currency-$_표지 " xfId="563"/>
    <cellStyle name="Currency_ SG&amp;A Bridge " xfId="1662"/>
    <cellStyle name="Currency0" xfId="564"/>
    <cellStyle name="Currency0 10" xfId="4582"/>
    <cellStyle name="Currency0 11" xfId="2967"/>
    <cellStyle name="Currency0 12" xfId="4791"/>
    <cellStyle name="Currency0 13" xfId="4895"/>
    <cellStyle name="Currency0 14" xfId="5002"/>
    <cellStyle name="Currency0 15" xfId="5103"/>
    <cellStyle name="Currency0 16" xfId="5205"/>
    <cellStyle name="Currency0 17" xfId="5308"/>
    <cellStyle name="Currency0 18" xfId="5407"/>
    <cellStyle name="Currency0 19" xfId="5511"/>
    <cellStyle name="Currency0 2" xfId="3174"/>
    <cellStyle name="Currency0 20" xfId="5613"/>
    <cellStyle name="Currency0 21" xfId="5719"/>
    <cellStyle name="Currency0 22" xfId="5824"/>
    <cellStyle name="Currency0 23" xfId="5927"/>
    <cellStyle name="Currency0 24" xfId="6028"/>
    <cellStyle name="Currency0 25" xfId="6129"/>
    <cellStyle name="Currency0 26" xfId="6224"/>
    <cellStyle name="Currency0 27" xfId="6323"/>
    <cellStyle name="Currency0 28" xfId="6414"/>
    <cellStyle name="Currency0 29" xfId="5060"/>
    <cellStyle name="Currency0 3" xfId="4054"/>
    <cellStyle name="Currency0 30" xfId="6603"/>
    <cellStyle name="Currency0 31" xfId="5263"/>
    <cellStyle name="Currency0 32" xfId="6787"/>
    <cellStyle name="Currency0 33" xfId="6873"/>
    <cellStyle name="Currency0 34" xfId="6965"/>
    <cellStyle name="Currency0 35" xfId="7048"/>
    <cellStyle name="Currency0 36" xfId="4571"/>
    <cellStyle name="Currency0 37" xfId="7221"/>
    <cellStyle name="Currency0 38" xfId="6187"/>
    <cellStyle name="Currency0 39" xfId="7390"/>
    <cellStyle name="Currency0 4" xfId="2641"/>
    <cellStyle name="Currency0 40" xfId="7470"/>
    <cellStyle name="Currency0 41" xfId="7553"/>
    <cellStyle name="Currency0 42" xfId="7629"/>
    <cellStyle name="Currency0 43" xfId="7702"/>
    <cellStyle name="Currency0 44" xfId="7771"/>
    <cellStyle name="Currency0 45" xfId="7837"/>
    <cellStyle name="Currency0 46" xfId="7903"/>
    <cellStyle name="Currency0 47" xfId="7966"/>
    <cellStyle name="Currency0 48" xfId="8029"/>
    <cellStyle name="Currency0 49" xfId="8089"/>
    <cellStyle name="Currency0 5" xfId="4163"/>
    <cellStyle name="Currency0 50" xfId="8148"/>
    <cellStyle name="Currency0 51" xfId="8207"/>
    <cellStyle name="Currency0 52" xfId="8262"/>
    <cellStyle name="Currency0 53" xfId="8313"/>
    <cellStyle name="Currency0 54" xfId="8361"/>
    <cellStyle name="Currency0 55" xfId="8405"/>
    <cellStyle name="Currency0 56" xfId="8445"/>
    <cellStyle name="Currency0 57" xfId="8478"/>
    <cellStyle name="Currency0 6" xfId="2532"/>
    <cellStyle name="Currency0 7" xfId="4269"/>
    <cellStyle name="Currency0 8" xfId="3936"/>
    <cellStyle name="Currency0 9" xfId="4477"/>
    <cellStyle name="Currency1" xfId="565"/>
    <cellStyle name="Currency1 10" xfId="3863"/>
    <cellStyle name="Currency1 11" xfId="2809"/>
    <cellStyle name="Currency1 12" xfId="3900"/>
    <cellStyle name="Currency1 13" xfId="3031"/>
    <cellStyle name="Currency1 14" xfId="3416"/>
    <cellStyle name="Currency1 15" xfId="3978"/>
    <cellStyle name="Currency1 16" xfId="2712"/>
    <cellStyle name="Currency1 17" xfId="4113"/>
    <cellStyle name="Currency1 18" xfId="3525"/>
    <cellStyle name="Currency1 19" xfId="3782"/>
    <cellStyle name="Currency1 2" xfId="1663"/>
    <cellStyle name="Currency1 20" xfId="3882"/>
    <cellStyle name="Currency1 21" xfId="3069"/>
    <cellStyle name="Currency1 22" xfId="3621"/>
    <cellStyle name="Currency1 23" xfId="4329"/>
    <cellStyle name="Currency1 24" xfId="4435"/>
    <cellStyle name="Currency1 25" xfId="3120"/>
    <cellStyle name="Currency1 26" xfId="4434"/>
    <cellStyle name="Currency1 27" xfId="4744"/>
    <cellStyle name="Currency1 28" xfId="4849"/>
    <cellStyle name="Currency1 29" xfId="4217"/>
    <cellStyle name="Currency1 3" xfId="3175"/>
    <cellStyle name="Currency1 30" xfId="6509"/>
    <cellStyle name="Currency1 31" xfId="6602"/>
    <cellStyle name="Currency1 32" xfId="6693"/>
    <cellStyle name="Currency1 33" xfId="5892"/>
    <cellStyle name="Currency1 34" xfId="4972"/>
    <cellStyle name="Currency1 35" xfId="5279"/>
    <cellStyle name="Currency1 36" xfId="3459"/>
    <cellStyle name="Currency1 37" xfId="7134"/>
    <cellStyle name="Currency1 38" xfId="7220"/>
    <cellStyle name="Currency1 39" xfId="7304"/>
    <cellStyle name="Currency1 4" xfId="4053"/>
    <cellStyle name="Currency1 40" xfId="6569"/>
    <cellStyle name="Currency1 41" xfId="2694"/>
    <cellStyle name="Currency1 42" xfId="3114"/>
    <cellStyle name="Currency1 43" xfId="4109"/>
    <cellStyle name="Currency1 44" xfId="6474"/>
    <cellStyle name="Currency1 45" xfId="6751"/>
    <cellStyle name="Currency1 46" xfId="6842"/>
    <cellStyle name="Currency1 47" xfId="6931"/>
    <cellStyle name="Currency1 48" xfId="7017"/>
    <cellStyle name="Currency1 49" xfId="7110"/>
    <cellStyle name="Currency1 5" xfId="2642"/>
    <cellStyle name="Currency1 50" xfId="6376"/>
    <cellStyle name="Currency1 51" xfId="6837"/>
    <cellStyle name="Currency1 52" xfId="6564"/>
    <cellStyle name="Currency1 53" xfId="5862"/>
    <cellStyle name="Currency1 54" xfId="5617"/>
    <cellStyle name="Currency1 55" xfId="7435"/>
    <cellStyle name="Currency1 56" xfId="5828"/>
    <cellStyle name="Currency1 57" xfId="7598"/>
    <cellStyle name="Currency1 58" xfId="7673"/>
    <cellStyle name="Currency1 6" xfId="3832"/>
    <cellStyle name="Currency1 7" xfId="2840"/>
    <cellStyle name="Currency1 8" xfId="3588"/>
    <cellStyle name="Currency1 9" xfId="3937"/>
    <cellStyle name="Date" xfId="566"/>
    <cellStyle name="Date 2" xfId="1664"/>
    <cellStyle name="Date Short" xfId="567"/>
    <cellStyle name="Date_1)광주과학관시설" xfId="1665"/>
    <cellStyle name="DELTA" xfId="568"/>
    <cellStyle name="Dezimal [0]_Ausdruck RUND (D)" xfId="569"/>
    <cellStyle name="Dezimal_Ausdruck RUND (D)" xfId="570"/>
    <cellStyle name="Dollar (zero dec)" xfId="571"/>
    <cellStyle name="Dollar (zero dec) 10" xfId="2743"/>
    <cellStyle name="Dollar (zero dec) 11" xfId="3683"/>
    <cellStyle name="Dollar (zero dec) 12" xfId="2961"/>
    <cellStyle name="Dollar (zero dec) 13" xfId="3471"/>
    <cellStyle name="Dollar (zero dec) 14" xfId="3090"/>
    <cellStyle name="Dollar (zero dec) 15" xfId="3640"/>
    <cellStyle name="Dollar (zero dec) 16" xfId="2818"/>
    <cellStyle name="Dollar (zero dec) 17" xfId="3002"/>
    <cellStyle name="Dollar (zero dec) 18" xfId="3028"/>
    <cellStyle name="Dollar (zero dec) 19" xfId="3407"/>
    <cellStyle name="Dollar (zero dec) 2" xfId="1666"/>
    <cellStyle name="Dollar (zero dec) 20" xfId="3994"/>
    <cellStyle name="Dollar (zero dec) 21" xfId="3327"/>
    <cellStyle name="Dollar (zero dec) 22" xfId="4119"/>
    <cellStyle name="Dollar (zero dec) 23" xfId="2576"/>
    <cellStyle name="Dollar (zero dec) 24" xfId="4229"/>
    <cellStyle name="Dollar (zero dec) 25" xfId="3739"/>
    <cellStyle name="Dollar (zero dec) 26" xfId="3763"/>
    <cellStyle name="Dollar (zero dec) 27" xfId="3883"/>
    <cellStyle name="Dollar (zero dec) 28" xfId="2793"/>
    <cellStyle name="Dollar (zero dec) 29" xfId="3635"/>
    <cellStyle name="Dollar (zero dec) 3" xfId="3183"/>
    <cellStyle name="Dollar (zero dec) 30" xfId="4437"/>
    <cellStyle name="Dollar (zero dec) 31" xfId="3671"/>
    <cellStyle name="Dollar (zero dec) 32" xfId="4641"/>
    <cellStyle name="Dollar (zero dec) 33" xfId="2773"/>
    <cellStyle name="Dollar (zero dec) 34" xfId="2541"/>
    <cellStyle name="Dollar (zero dec) 35" xfId="4343"/>
    <cellStyle name="Dollar (zero dec) 36" xfId="5062"/>
    <cellStyle name="Dollar (zero dec) 37" xfId="2480"/>
    <cellStyle name="Dollar (zero dec) 38" xfId="3724"/>
    <cellStyle name="Dollar (zero dec) 39" xfId="4794"/>
    <cellStyle name="Dollar (zero dec) 4" xfId="4045"/>
    <cellStyle name="Dollar (zero dec) 40" xfId="3509"/>
    <cellStyle name="Dollar (zero dec) 41" xfId="5005"/>
    <cellStyle name="Dollar (zero dec) 42" xfId="6463"/>
    <cellStyle name="Dollar (zero dec) 43" xfId="5208"/>
    <cellStyle name="Dollar (zero dec) 44" xfId="6649"/>
    <cellStyle name="Dollar (zero dec) 45" xfId="7014"/>
    <cellStyle name="Dollar (zero dec) 46" xfId="6830"/>
    <cellStyle name="Dollar (zero dec) 47" xfId="7185"/>
    <cellStyle name="Dollar (zero dec) 48" xfId="4442"/>
    <cellStyle name="Dollar (zero dec) 49" xfId="2776"/>
    <cellStyle name="Dollar (zero dec) 5" xfId="2650"/>
    <cellStyle name="Dollar (zero dec) 50" xfId="2729"/>
    <cellStyle name="Dollar (zero dec) 51" xfId="3847"/>
    <cellStyle name="Dollar (zero dec) 52" xfId="6937"/>
    <cellStyle name="Dollar (zero dec) 53" xfId="3961"/>
    <cellStyle name="Dollar (zero dec) 54" xfId="2544"/>
    <cellStyle name="Dollar (zero dec) 55" xfId="7196"/>
    <cellStyle name="Dollar (zero dec) 56" xfId="5874"/>
    <cellStyle name="Dollar (zero dec) 57" xfId="7365"/>
    <cellStyle name="Dollar (zero dec) 58" xfId="6079"/>
    <cellStyle name="Dollar (zero dec) 6" xfId="3704"/>
    <cellStyle name="Dollar (zero dec) 7" xfId="2940"/>
    <cellStyle name="Dollar (zero dec) 8" xfId="3491"/>
    <cellStyle name="Dollar (zero dec) 9" xfId="3944"/>
    <cellStyle name="E­æo±ae￡" xfId="1667"/>
    <cellStyle name="E­æo±ae￡0" xfId="1668"/>
    <cellStyle name="Enter Currency (0)" xfId="572"/>
    <cellStyle name="Enter Currency (0) 10" xfId="3828"/>
    <cellStyle name="Enter Currency (0) 11" xfId="3755"/>
    <cellStyle name="Enter Currency (0) 12" xfId="3762"/>
    <cellStyle name="Enter Currency (0) 13" xfId="3884"/>
    <cellStyle name="Enter Currency (0) 14" xfId="2792"/>
    <cellStyle name="Enter Currency (0) 15" xfId="3636"/>
    <cellStyle name="Enter Currency (0) 16" xfId="3887"/>
    <cellStyle name="Enter Currency (0) 17" xfId="3032"/>
    <cellStyle name="Enter Currency (0) 18" xfId="2723"/>
    <cellStyle name="Enter Currency (0) 19" xfId="3450"/>
    <cellStyle name="Enter Currency (0) 2" xfId="3187"/>
    <cellStyle name="Enter Currency (0) 20" xfId="4105"/>
    <cellStyle name="Enter Currency (0) 21" xfId="2589"/>
    <cellStyle name="Enter Currency (0) 22" xfId="4215"/>
    <cellStyle name="Enter Currency (0) 23" xfId="2481"/>
    <cellStyle name="Enter Currency (0) 24" xfId="3723"/>
    <cellStyle name="Enter Currency (0) 25" xfId="2923"/>
    <cellStyle name="Enter Currency (0) 26" xfId="3508"/>
    <cellStyle name="Enter Currency (0) 27" xfId="3788"/>
    <cellStyle name="Enter Currency (0) 28" xfId="2876"/>
    <cellStyle name="Enter Currency (0) 29" xfId="2691"/>
    <cellStyle name="Enter Currency (0) 3" xfId="4041"/>
    <cellStyle name="Enter Currency (0) 30" xfId="5373"/>
    <cellStyle name="Enter Currency (0) 31" xfId="4145"/>
    <cellStyle name="Enter Currency (0) 32" xfId="5579"/>
    <cellStyle name="Enter Currency (0) 33" xfId="4509"/>
    <cellStyle name="Enter Currency (0) 34" xfId="5787"/>
    <cellStyle name="Enter Currency (0) 35" xfId="6477"/>
    <cellStyle name="Enter Currency (0) 36" xfId="5765"/>
    <cellStyle name="Enter Currency (0) 37" xfId="4275"/>
    <cellStyle name="Enter Currency (0) 38" xfId="5968"/>
    <cellStyle name="Enter Currency (0) 39" xfId="5788"/>
    <cellStyle name="Enter Currency (0) 4" xfId="2654"/>
    <cellStyle name="Enter Currency (0) 40" xfId="6169"/>
    <cellStyle name="Enter Currency (0) 41" xfId="3104"/>
    <cellStyle name="Enter Currency (0) 42" xfId="7111"/>
    <cellStyle name="Enter Currency (0) 43" xfId="3534"/>
    <cellStyle name="Enter Currency (0) 44" xfId="5370"/>
    <cellStyle name="Enter Currency (0) 45" xfId="4786"/>
    <cellStyle name="Enter Currency (0) 46" xfId="5213"/>
    <cellStyle name="Enter Currency (0) 47" xfId="5315"/>
    <cellStyle name="Enter Currency (0) 48" xfId="5414"/>
    <cellStyle name="Enter Currency (0) 49" xfId="5518"/>
    <cellStyle name="Enter Currency (0) 5" xfId="3701"/>
    <cellStyle name="Enter Currency (0) 50" xfId="5621"/>
    <cellStyle name="Enter Currency (0) 51" xfId="5727"/>
    <cellStyle name="Enter Currency (0) 52" xfId="5832"/>
    <cellStyle name="Enter Currency (0) 53" xfId="5933"/>
    <cellStyle name="Enter Currency (0) 54" xfId="6035"/>
    <cellStyle name="Enter Currency (0) 55" xfId="6136"/>
    <cellStyle name="Enter Currency (0) 56" xfId="6231"/>
    <cellStyle name="Enter Currency (0) 57" xfId="4260"/>
    <cellStyle name="Enter Currency (0) 6" xfId="2943"/>
    <cellStyle name="Enter Currency (0) 7" xfId="3488"/>
    <cellStyle name="Enter Currency (0) 8" xfId="3947"/>
    <cellStyle name="Enter Currency (0) 9" xfId="2740"/>
    <cellStyle name="Enter Currency (2)" xfId="573"/>
    <cellStyle name="Enter Currency (2) 10" xfId="3557"/>
    <cellStyle name="Enter Currency (2) 11" xfId="3898"/>
    <cellStyle name="Enter Currency (2) 12" xfId="2778"/>
    <cellStyle name="Enter Currency (2) 13" xfId="3649"/>
    <cellStyle name="Enter Currency (2) 14" xfId="4340"/>
    <cellStyle name="Enter Currency (2) 15" xfId="3442"/>
    <cellStyle name="Enter Currency (2) 16" xfId="3107"/>
    <cellStyle name="Enter Currency (2) 17" xfId="2726"/>
    <cellStyle name="Enter Currency (2) 18" xfId="3195"/>
    <cellStyle name="Enter Currency (2) 19" xfId="4033"/>
    <cellStyle name="Enter Currency (2) 2" xfId="3188"/>
    <cellStyle name="Enter Currency (2) 20" xfId="2662"/>
    <cellStyle name="Enter Currency (2) 21" xfId="3830"/>
    <cellStyle name="Enter Currency (2) 22" xfId="3835"/>
    <cellStyle name="Enter Currency (2) 23" xfId="3432"/>
    <cellStyle name="Enter Currency (2) 24" xfId="3052"/>
    <cellStyle name="Enter Currency (2) 25" xfId="3383"/>
    <cellStyle name="Enter Currency (2) 26" xfId="3133"/>
    <cellStyle name="Enter Currency (2) 27" xfId="4686"/>
    <cellStyle name="Enter Currency (2) 28" xfId="2716"/>
    <cellStyle name="Enter Currency (2) 29" xfId="5891"/>
    <cellStyle name="Enter Currency (2) 3" xfId="4040"/>
    <cellStyle name="Enter Currency (2) 30" xfId="3077"/>
    <cellStyle name="Enter Currency (2) 31" xfId="6097"/>
    <cellStyle name="Enter Currency (2) 32" xfId="3164"/>
    <cellStyle name="Enter Currency (2) 33" xfId="6290"/>
    <cellStyle name="Enter Currency (2) 34" xfId="2633"/>
    <cellStyle name="Enter Currency (2) 35" xfId="2600"/>
    <cellStyle name="Enter Currency (2) 36" xfId="3777"/>
    <cellStyle name="Enter Currency (2) 37" xfId="5580"/>
    <cellStyle name="Enter Currency (2) 38" xfId="5679"/>
    <cellStyle name="Enter Currency (2) 39" xfId="4952"/>
    <cellStyle name="Enter Currency (2) 4" xfId="2655"/>
    <cellStyle name="Enter Currency (2) 40" xfId="5050"/>
    <cellStyle name="Enter Currency (2) 41" xfId="3657"/>
    <cellStyle name="Enter Currency (2) 42" xfId="5110"/>
    <cellStyle name="Enter Currency (2) 43" xfId="5467"/>
    <cellStyle name="Enter Currency (2) 44" xfId="6166"/>
    <cellStyle name="Enter Currency (2) 45" xfId="5674"/>
    <cellStyle name="Enter Currency (2) 46" xfId="6600"/>
    <cellStyle name="Enter Currency (2) 47" xfId="5883"/>
    <cellStyle name="Enter Currency (2) 48" xfId="4934"/>
    <cellStyle name="Enter Currency (2) 49" xfId="7003"/>
    <cellStyle name="Enter Currency (2) 5" xfId="3700"/>
    <cellStyle name="Enter Currency (2) 50" xfId="5142"/>
    <cellStyle name="Enter Currency (2) 51" xfId="4031"/>
    <cellStyle name="Enter Currency (2) 52" xfId="7133"/>
    <cellStyle name="Enter Currency (2) 53" xfId="3691"/>
    <cellStyle name="Enter Currency (2) 54" xfId="7303"/>
    <cellStyle name="Enter Currency (2) 55" xfId="6752"/>
    <cellStyle name="Enter Currency (2) 56" xfId="6180"/>
    <cellStyle name="Enter Currency (2) 57" xfId="6932"/>
    <cellStyle name="Enter Currency (2) 6" xfId="2944"/>
    <cellStyle name="Enter Currency (2) 7" xfId="3487"/>
    <cellStyle name="Enter Currency (2) 8" xfId="3948"/>
    <cellStyle name="Enter Currency (2) 9" xfId="2871"/>
    <cellStyle name="Enter Units (0)" xfId="574"/>
    <cellStyle name="Enter Units (0) 10" xfId="3689"/>
    <cellStyle name="Enter Units (0) 11" xfId="2953"/>
    <cellStyle name="Enter Units (0) 12" xfId="3477"/>
    <cellStyle name="Enter Units (0) 13" xfId="3084"/>
    <cellStyle name="Enter Units (0) 14" xfId="3352"/>
    <cellStyle name="Enter Units (0) 15" xfId="4446"/>
    <cellStyle name="Enter Units (0) 16" xfId="3618"/>
    <cellStyle name="Enter Units (0) 17" xfId="4650"/>
    <cellStyle name="Enter Units (0) 18" xfId="4755"/>
    <cellStyle name="Enter Units (0) 19" xfId="3972"/>
    <cellStyle name="Enter Units (0) 2" xfId="3189"/>
    <cellStyle name="Enter Units (0) 20" xfId="3328"/>
    <cellStyle name="Enter Units (0) 21" xfId="5071"/>
    <cellStyle name="Enter Units (0) 22" xfId="5171"/>
    <cellStyle name="Enter Units (0) 23" xfId="5274"/>
    <cellStyle name="Enter Units (0) 24" xfId="5375"/>
    <cellStyle name="Enter Units (0) 25" xfId="5474"/>
    <cellStyle name="Enter Units (0) 26" xfId="5581"/>
    <cellStyle name="Enter Units (0) 27" xfId="5681"/>
    <cellStyle name="Enter Units (0) 28" xfId="5789"/>
    <cellStyle name="Enter Units (0) 29" xfId="3616"/>
    <cellStyle name="Enter Units (0) 3" xfId="4039"/>
    <cellStyle name="Enter Units (0) 30" xfId="4134"/>
    <cellStyle name="Enter Units (0) 31" xfId="3413"/>
    <cellStyle name="Enter Units (0) 32" xfId="4241"/>
    <cellStyle name="Enter Units (0) 33" xfId="2711"/>
    <cellStyle name="Enter Units (0) 34" xfId="4359"/>
    <cellStyle name="Enter Units (0) 35" xfId="2581"/>
    <cellStyle name="Enter Units (0) 36" xfId="6566"/>
    <cellStyle name="Enter Units (0) 37" xfId="5445"/>
    <cellStyle name="Enter Units (0) 38" xfId="6754"/>
    <cellStyle name="Enter Units (0) 39" xfId="4267"/>
    <cellStyle name="Enter Units (0) 4" xfId="2656"/>
    <cellStyle name="Enter Units (0) 40" xfId="6934"/>
    <cellStyle name="Enter Units (0) 41" xfId="2870"/>
    <cellStyle name="Enter Units (0) 42" xfId="4825"/>
    <cellStyle name="Enter Units (0) 43" xfId="3447"/>
    <cellStyle name="Enter Units (0) 44" xfId="5036"/>
    <cellStyle name="Enter Units (0) 45" xfId="6213"/>
    <cellStyle name="Enter Units (0) 46" xfId="3208"/>
    <cellStyle name="Enter Units (0) 47" xfId="5341"/>
    <cellStyle name="Enter Units (0) 48" xfId="7602"/>
    <cellStyle name="Enter Units (0) 49" xfId="7677"/>
    <cellStyle name="Enter Units (0) 5" xfId="3699"/>
    <cellStyle name="Enter Units (0) 50" xfId="7746"/>
    <cellStyle name="Enter Units (0) 51" xfId="7812"/>
    <cellStyle name="Enter Units (0) 52" xfId="7878"/>
    <cellStyle name="Enter Units (0) 53" xfId="7943"/>
    <cellStyle name="Enter Units (0) 54" xfId="8006"/>
    <cellStyle name="Enter Units (0) 55" xfId="8066"/>
    <cellStyle name="Enter Units (0) 56" xfId="8125"/>
    <cellStyle name="Enter Units (0) 57" xfId="8184"/>
    <cellStyle name="Enter Units (0) 6" xfId="2945"/>
    <cellStyle name="Enter Units (0) 7" xfId="3486"/>
    <cellStyle name="Enter Units (0) 8" xfId="3538"/>
    <cellStyle name="Enter Units (0) 9" xfId="2739"/>
    <cellStyle name="Enter Units (1)" xfId="575"/>
    <cellStyle name="Enter Units (1) 10" xfId="3690"/>
    <cellStyle name="Enter Units (1) 11" xfId="2608"/>
    <cellStyle name="Enter Units (1) 12" xfId="3478"/>
    <cellStyle name="Enter Units (1) 13" xfId="3083"/>
    <cellStyle name="Enter Units (1) 14" xfId="3862"/>
    <cellStyle name="Enter Units (1) 15" xfId="3178"/>
    <cellStyle name="Enter Units (1) 16" xfId="3321"/>
    <cellStyle name="Enter Units (1) 17" xfId="2645"/>
    <cellStyle name="Enter Units (1) 18" xfId="3710"/>
    <cellStyle name="Enter Units (1) 19" xfId="4536"/>
    <cellStyle name="Enter Units (1) 2" xfId="3190"/>
    <cellStyle name="Enter Units (1) 20" xfId="3331"/>
    <cellStyle name="Enter Units (1) 21" xfId="4376"/>
    <cellStyle name="Enter Units (1) 22" xfId="2748"/>
    <cellStyle name="Enter Units (1) 23" xfId="3678"/>
    <cellStyle name="Enter Units (1) 24" xfId="2964"/>
    <cellStyle name="Enter Units (1) 25" xfId="3467"/>
    <cellStyle name="Enter Units (1) 26" xfId="3095"/>
    <cellStyle name="Enter Units (1) 27" xfId="3864"/>
    <cellStyle name="Enter Units (1) 28" xfId="2812"/>
    <cellStyle name="Enter Units (1) 29" xfId="4754"/>
    <cellStyle name="Enter Units (1) 3" xfId="4038"/>
    <cellStyle name="Enter Units (1) 30" xfId="5992"/>
    <cellStyle name="Enter Units (1) 31" xfId="4966"/>
    <cellStyle name="Enter Units (1) 32" xfId="6190"/>
    <cellStyle name="Enter Units (1) 33" xfId="5170"/>
    <cellStyle name="Enter Units (1) 34" xfId="6383"/>
    <cellStyle name="Enter Units (1) 35" xfId="5374"/>
    <cellStyle name="Enter Units (1) 36" xfId="4224"/>
    <cellStyle name="Enter Units (1) 37" xfId="4321"/>
    <cellStyle name="Enter Units (1) 38" xfId="6188"/>
    <cellStyle name="Enter Units (1) 39" xfId="4528"/>
    <cellStyle name="Enter Units (1) 4" xfId="2657"/>
    <cellStyle name="Enter Units (1) 40" xfId="6381"/>
    <cellStyle name="Enter Units (1) 41" xfId="7020"/>
    <cellStyle name="Enter Units (1) 42" xfId="5165"/>
    <cellStyle name="Enter Units (1) 43" xfId="7191"/>
    <cellStyle name="Enter Units (1) 44" xfId="6185"/>
    <cellStyle name="Enter Units (1) 45" xfId="7360"/>
    <cellStyle name="Enter Units (1) 46" xfId="6378"/>
    <cellStyle name="Enter Units (1) 47" xfId="7523"/>
    <cellStyle name="Enter Units (1) 48" xfId="5456"/>
    <cellStyle name="Enter Units (1) 49" xfId="4150"/>
    <cellStyle name="Enter Units (1) 5" xfId="3698"/>
    <cellStyle name="Enter Units (1) 50" xfId="5663"/>
    <cellStyle name="Enter Units (1) 51" xfId="5361"/>
    <cellStyle name="Enter Units (1) 52" xfId="5873"/>
    <cellStyle name="Enter Units (1) 53" xfId="4202"/>
    <cellStyle name="Enter Units (1) 54" xfId="6460"/>
    <cellStyle name="Enter Units (1) 55" xfId="5713"/>
    <cellStyle name="Enter Units (1) 56" xfId="6646"/>
    <cellStyle name="Enter Units (1) 57" xfId="5920"/>
    <cellStyle name="Enter Units (1) 6" xfId="2946"/>
    <cellStyle name="Enter Units (1) 7" xfId="3485"/>
    <cellStyle name="Enter Units (1) 8" xfId="3081"/>
    <cellStyle name="Enter Units (1) 9" xfId="2738"/>
    <cellStyle name="Enter Units (2)" xfId="576"/>
    <cellStyle name="Enter Units (2) 10" xfId="3829"/>
    <cellStyle name="Enter Units (2) 11" xfId="3546"/>
    <cellStyle name="Enter Units (2) 12" xfId="3585"/>
    <cellStyle name="Enter Units (2) 13" xfId="3053"/>
    <cellStyle name="Enter Units (2) 14" xfId="2988"/>
    <cellStyle name="Enter Units (2) 15" xfId="2810"/>
    <cellStyle name="Enter Units (2) 16" xfId="3607"/>
    <cellStyle name="Enter Units (2) 17" xfId="3020"/>
    <cellStyle name="Enter Units (2) 18" xfId="3415"/>
    <cellStyle name="Enter Units (2) 19" xfId="3979"/>
    <cellStyle name="Enter Units (2) 2" xfId="3191"/>
    <cellStyle name="Enter Units (2) 20" xfId="3377"/>
    <cellStyle name="Enter Units (2) 21" xfId="2907"/>
    <cellStyle name="Enter Units (2) 22" xfId="2582"/>
    <cellStyle name="Enter Units (2) 23" xfId="4223"/>
    <cellStyle name="Enter Units (2) 24" xfId="2475"/>
    <cellStyle name="Enter Units (2) 25" xfId="4858"/>
    <cellStyle name="Enter Units (2) 26" xfId="4443"/>
    <cellStyle name="Enter Units (2) 27" xfId="4546"/>
    <cellStyle name="Enter Units (2) 28" xfId="4649"/>
    <cellStyle name="Enter Units (2) 29" xfId="5668"/>
    <cellStyle name="Enter Units (2) 3" xfId="4037"/>
    <cellStyle name="Enter Units (2) 30" xfId="3022"/>
    <cellStyle name="Enter Units (2) 31" xfId="5877"/>
    <cellStyle name="Enter Units (2) 32" xfId="2765"/>
    <cellStyle name="Enter Units (2) 33" xfId="6256"/>
    <cellStyle name="Enter Units (2) 34" xfId="4114"/>
    <cellStyle name="Enter Units (2) 35" xfId="6448"/>
    <cellStyle name="Enter Units (2) 36" xfId="6467"/>
    <cellStyle name="Enter Units (2) 37" xfId="3108"/>
    <cellStyle name="Enter Units (2) 38" xfId="6653"/>
    <cellStyle name="Enter Units (2) 39" xfId="3197"/>
    <cellStyle name="Enter Units (2) 4" xfId="2658"/>
    <cellStyle name="Enter Units (2) 40" xfId="6904"/>
    <cellStyle name="Enter Units (2) 41" xfId="4748"/>
    <cellStyle name="Enter Units (2) 42" xfId="7082"/>
    <cellStyle name="Enter Units (2) 43" xfId="4513"/>
    <cellStyle name="Enter Units (2) 44" xfId="6576"/>
    <cellStyle name="Enter Units (2) 45" xfId="3027"/>
    <cellStyle name="Enter Units (2) 46" xfId="6760"/>
    <cellStyle name="Enter Units (2) 47" xfId="7018"/>
    <cellStyle name="Enter Units (2) 48" xfId="5784"/>
    <cellStyle name="Enter Units (2) 49" xfId="6561"/>
    <cellStyle name="Enter Units (2) 5" xfId="3697"/>
    <cellStyle name="Enter Units (2) 50" xfId="4365"/>
    <cellStyle name="Enter Units (2) 51" xfId="6470"/>
    <cellStyle name="Enter Units (2) 52" xfId="6836"/>
    <cellStyle name="Enter Units (2) 53" xfId="6656"/>
    <cellStyle name="Enter Units (2) 54" xfId="7189"/>
    <cellStyle name="Enter Units (2) 55" xfId="7347"/>
    <cellStyle name="Enter Units (2) 56" xfId="7358"/>
    <cellStyle name="Enter Units (2) 57" xfId="7512"/>
    <cellStyle name="Enter Units (2) 6" xfId="2947"/>
    <cellStyle name="Enter Units (2) 7" xfId="3484"/>
    <cellStyle name="Enter Units (2) 8" xfId="3794"/>
    <cellStyle name="Enter Units (2) 9" xfId="2737"/>
    <cellStyle name="Entered" xfId="577"/>
    <cellStyle name="Euro" xfId="578"/>
    <cellStyle name="F2" xfId="579"/>
    <cellStyle name="F3" xfId="580"/>
    <cellStyle name="F4" xfId="581"/>
    <cellStyle name="F5" xfId="582"/>
    <cellStyle name="F6" xfId="583"/>
    <cellStyle name="F7" xfId="584"/>
    <cellStyle name="F8" xfId="585"/>
    <cellStyle name="Fixed" xfId="586"/>
    <cellStyle name="Fixed 2" xfId="1669"/>
    <cellStyle name="Followed Hyperlink" xfId="1670"/>
    <cellStyle name="G/표준" xfId="1671"/>
    <cellStyle name="G10" xfId="587"/>
    <cellStyle name="ǦǦ_x0003_" xfId="1672"/>
    <cellStyle name="Grey" xfId="588"/>
    <cellStyle name="head" xfId="1673"/>
    <cellStyle name="head 1" xfId="1674"/>
    <cellStyle name="head 1-1" xfId="1675"/>
    <cellStyle name="HEADER" xfId="589"/>
    <cellStyle name="Header1" xfId="590"/>
    <cellStyle name="Header2" xfId="591"/>
    <cellStyle name="Heading 1" xfId="592"/>
    <cellStyle name="Heading 1 10" xfId="4570"/>
    <cellStyle name="Heading 1 11" xfId="4672"/>
    <cellStyle name="Heading 1 12" xfId="4778"/>
    <cellStyle name="Heading 1 13" xfId="4883"/>
    <cellStyle name="Heading 1 14" xfId="4990"/>
    <cellStyle name="Heading 1 15" xfId="5092"/>
    <cellStyle name="Heading 1 16" xfId="5192"/>
    <cellStyle name="Heading 1 17" xfId="5296"/>
    <cellStyle name="Heading 1 18" xfId="5396"/>
    <cellStyle name="Heading 1 19" xfId="5497"/>
    <cellStyle name="Heading 1 2" xfId="3209"/>
    <cellStyle name="Heading 1 20" xfId="5600"/>
    <cellStyle name="Heading 1 21" xfId="5704"/>
    <cellStyle name="Heading 1 22" xfId="5812"/>
    <cellStyle name="Heading 1 23" xfId="5914"/>
    <cellStyle name="Heading 1 24" xfId="6015"/>
    <cellStyle name="Heading 1 25" xfId="6118"/>
    <cellStyle name="Heading 1 26" xfId="6212"/>
    <cellStyle name="Heading 1 27" xfId="6309"/>
    <cellStyle name="Heading 1 28" xfId="6404"/>
    <cellStyle name="Heading 1 29" xfId="5952"/>
    <cellStyle name="Heading 1 3" xfId="4020"/>
    <cellStyle name="Heading 1 30" xfId="6591"/>
    <cellStyle name="Heading 1 31" xfId="6684"/>
    <cellStyle name="Heading 1 32" xfId="6775"/>
    <cellStyle name="Heading 1 33" xfId="6862"/>
    <cellStyle name="Heading 1 34" xfId="6953"/>
    <cellStyle name="Heading 1 35" xfId="7039"/>
    <cellStyle name="Heading 1 36" xfId="6627"/>
    <cellStyle name="Heading 1 37" xfId="7214"/>
    <cellStyle name="Heading 1 38" xfId="7297"/>
    <cellStyle name="Heading 1 39" xfId="7382"/>
    <cellStyle name="Heading 1 4" xfId="2676"/>
    <cellStyle name="Heading 1 40" xfId="7462"/>
    <cellStyle name="Heading 1 41" xfId="7545"/>
    <cellStyle name="Heading 1 42" xfId="7621"/>
    <cellStyle name="Heading 1 43" xfId="7695"/>
    <cellStyle name="Heading 1 44" xfId="7764"/>
    <cellStyle name="Heading 1 45" xfId="7830"/>
    <cellStyle name="Heading 1 46" xfId="7896"/>
    <cellStyle name="Heading 1 47" xfId="7960"/>
    <cellStyle name="Heading 1 48" xfId="8023"/>
    <cellStyle name="Heading 1 49" xfId="8083"/>
    <cellStyle name="Heading 1 5" xfId="4149"/>
    <cellStyle name="Heading 1 50" xfId="8142"/>
    <cellStyle name="Heading 1 51" xfId="8201"/>
    <cellStyle name="Heading 1 52" xfId="8256"/>
    <cellStyle name="Heading 1 53" xfId="8307"/>
    <cellStyle name="Heading 1 54" xfId="8355"/>
    <cellStyle name="Heading 1 55" xfId="8399"/>
    <cellStyle name="Heading 1 56" xfId="8442"/>
    <cellStyle name="Heading 1 57" xfId="8477"/>
    <cellStyle name="Heading 1 6" xfId="2546"/>
    <cellStyle name="Heading 1 7" xfId="4257"/>
    <cellStyle name="Heading 1 8" xfId="4002"/>
    <cellStyle name="Heading 1 9" xfId="4194"/>
    <cellStyle name="Heading 2" xfId="593"/>
    <cellStyle name="Heading 2 10" xfId="2977"/>
    <cellStyle name="Heading 2 11" xfId="4190"/>
    <cellStyle name="Heading 2 12" xfId="2506"/>
    <cellStyle name="Heading 2 13" xfId="4296"/>
    <cellStyle name="Heading 2 14" xfId="4404"/>
    <cellStyle name="Heading 2 15" xfId="4503"/>
    <cellStyle name="Heading 2 16" xfId="4607"/>
    <cellStyle name="Heading 2 17" xfId="4712"/>
    <cellStyle name="Heading 2 18" xfId="4818"/>
    <cellStyle name="Heading 2 19" xfId="4921"/>
    <cellStyle name="Heading 2 2" xfId="3210"/>
    <cellStyle name="Heading 2 20" xfId="5029"/>
    <cellStyle name="Heading 2 21" xfId="5129"/>
    <cellStyle name="Heading 2 22" xfId="5232"/>
    <cellStyle name="Heading 2 23" xfId="5334"/>
    <cellStyle name="Heading 2 24" xfId="5433"/>
    <cellStyle name="Heading 2 25" xfId="5537"/>
    <cellStyle name="Heading 2 26" xfId="5639"/>
    <cellStyle name="Heading 2 27" xfId="5747"/>
    <cellStyle name="Heading 2 28" xfId="5850"/>
    <cellStyle name="Heading 2 29" xfId="2586"/>
    <cellStyle name="Heading 2 3" xfId="3809"/>
    <cellStyle name="Heading 2 30" xfId="6254"/>
    <cellStyle name="Heading 2 31" xfId="2478"/>
    <cellStyle name="Heading 2 32" xfId="6444"/>
    <cellStyle name="Heading 2 33" xfId="4451"/>
    <cellStyle name="Heading 2 34" xfId="6441"/>
    <cellStyle name="Heading 2 35" xfId="6533"/>
    <cellStyle name="Heading 2 36" xfId="5044"/>
    <cellStyle name="Heading 2 37" xfId="6901"/>
    <cellStyle name="Heading 2 38" xfId="5247"/>
    <cellStyle name="Heading 2 39" xfId="7078"/>
    <cellStyle name="Heading 2 4" xfId="2859"/>
    <cellStyle name="Heading 2 40" xfId="5464"/>
    <cellStyle name="Heading 2 41" xfId="7075"/>
    <cellStyle name="Heading 2 42" xfId="7159"/>
    <cellStyle name="Heading 2 43" xfId="7245"/>
    <cellStyle name="Heading 2 44" xfId="7328"/>
    <cellStyle name="Heading 2 45" xfId="7414"/>
    <cellStyle name="Heading 2 46" xfId="7494"/>
    <cellStyle name="Heading 2 47" xfId="7577"/>
    <cellStyle name="Heading 2 48" xfId="7653"/>
    <cellStyle name="Heading 2 49" xfId="7725"/>
    <cellStyle name="Heading 2 5" xfId="3569"/>
    <cellStyle name="Heading 2 50" xfId="7793"/>
    <cellStyle name="Heading 2 51" xfId="7859"/>
    <cellStyle name="Heading 2 52" xfId="7925"/>
    <cellStyle name="Heading 2 53" xfId="7988"/>
    <cellStyle name="Heading 2 54" xfId="8051"/>
    <cellStyle name="Heading 2 55" xfId="8110"/>
    <cellStyle name="Heading 2 56" xfId="8169"/>
    <cellStyle name="Heading 2 57" xfId="8226"/>
    <cellStyle name="Heading 2 6" xfId="3067"/>
    <cellStyle name="Heading 2 7" xfId="3375"/>
    <cellStyle name="Heading 2 8" xfId="4362"/>
    <cellStyle name="Heading 2 9" xfId="4467"/>
    <cellStyle name="Heading1" xfId="594"/>
    <cellStyle name="Heading1 2" xfId="1676"/>
    <cellStyle name="Heading2" xfId="595"/>
    <cellStyle name="Heading2 2" xfId="1677"/>
    <cellStyle name="HEADINGS" xfId="596"/>
    <cellStyle name="HEADINGSTOP" xfId="597"/>
    <cellStyle name="Helv8_PFD4.XLS" xfId="1678"/>
    <cellStyle name="HIGHLIGHT" xfId="598"/>
    <cellStyle name="Hyperlink" xfId="599"/>
    <cellStyle name="Hyperlink 10" xfId="4080"/>
    <cellStyle name="Hyperlink 11" xfId="4567"/>
    <cellStyle name="Hyperlink 12" xfId="4669"/>
    <cellStyle name="Hyperlink 13" xfId="4775"/>
    <cellStyle name="Hyperlink 14" xfId="4880"/>
    <cellStyle name="Hyperlink 15" xfId="4987"/>
    <cellStyle name="Hyperlink 16" xfId="5089"/>
    <cellStyle name="Hyperlink 17" xfId="5189"/>
    <cellStyle name="Hyperlink 18" xfId="5293"/>
    <cellStyle name="Hyperlink 19" xfId="5393"/>
    <cellStyle name="Hyperlink 2" xfId="1679"/>
    <cellStyle name="Hyperlink 20" xfId="5494"/>
    <cellStyle name="Hyperlink 21" xfId="5597"/>
    <cellStyle name="Hyperlink 22" xfId="5701"/>
    <cellStyle name="Hyperlink 23" xfId="5809"/>
    <cellStyle name="Hyperlink 24" xfId="5911"/>
    <cellStyle name="Hyperlink 25" xfId="6012"/>
    <cellStyle name="Hyperlink 26" xfId="6115"/>
    <cellStyle name="Hyperlink 27" xfId="6209"/>
    <cellStyle name="Hyperlink 28" xfId="6306"/>
    <cellStyle name="Hyperlink 29" xfId="6401"/>
    <cellStyle name="Hyperlink 3" xfId="3217"/>
    <cellStyle name="Hyperlink 30" xfId="6495"/>
    <cellStyle name="Hyperlink 31" xfId="6588"/>
    <cellStyle name="Hyperlink 32" xfId="6681"/>
    <cellStyle name="Hyperlink 33" xfId="6772"/>
    <cellStyle name="Hyperlink 34" xfId="6859"/>
    <cellStyle name="Hyperlink 35" xfId="6950"/>
    <cellStyle name="Hyperlink 36" xfId="7036"/>
    <cellStyle name="Hyperlink 37" xfId="7125"/>
    <cellStyle name="Hyperlink 38" xfId="7211"/>
    <cellStyle name="Hyperlink 39" xfId="7294"/>
    <cellStyle name="Hyperlink 4" xfId="4017"/>
    <cellStyle name="Hyperlink 40" xfId="7379"/>
    <cellStyle name="Hyperlink 41" xfId="7459"/>
    <cellStyle name="Hyperlink 42" xfId="7542"/>
    <cellStyle name="Hyperlink 43" xfId="7618"/>
    <cellStyle name="Hyperlink 44" xfId="7692"/>
    <cellStyle name="Hyperlink 45" xfId="7761"/>
    <cellStyle name="Hyperlink 46" xfId="7827"/>
    <cellStyle name="Hyperlink 47" xfId="7893"/>
    <cellStyle name="Hyperlink 48" xfId="7958"/>
    <cellStyle name="Hyperlink 49" xfId="8021"/>
    <cellStyle name="Hyperlink 5" xfId="2679"/>
    <cellStyle name="Hyperlink 50" xfId="8081"/>
    <cellStyle name="Hyperlink 51" xfId="8140"/>
    <cellStyle name="Hyperlink 52" xfId="8199"/>
    <cellStyle name="Hyperlink 53" xfId="8254"/>
    <cellStyle name="Hyperlink 54" xfId="8305"/>
    <cellStyle name="Hyperlink 55" xfId="8353"/>
    <cellStyle name="Hyperlink 56" xfId="8397"/>
    <cellStyle name="Hyperlink 57" xfId="8440"/>
    <cellStyle name="Hyperlink 58" xfId="8476"/>
    <cellStyle name="Hyperlink 6" xfId="4146"/>
    <cellStyle name="Hyperlink 7" xfId="2549"/>
    <cellStyle name="Hyperlink 8" xfId="4254"/>
    <cellStyle name="Hyperlink 9" xfId="3152"/>
    <cellStyle name="Hyperlink_°ßÀû¼­_20040506.xls" xfId="1680"/>
    <cellStyle name="Input [yellow]" xfId="600"/>
    <cellStyle name="jin" xfId="1681"/>
    <cellStyle name="_x0001__x0002_ĵĵ_x0007_ ĵĵ_x000d__x000d_ƨƬ_x0001__x0002_ƨƬ_x0007__x000d_ǒǓ _x000d_ǜǜ_x000d__x000d_ǪǪ_x0007__x0007__x0005__x0005__x0010__x0001_ဠ" xfId="1682"/>
    <cellStyle name="Komma [0]_BINV" xfId="1683"/>
    <cellStyle name="Komma_BINV" xfId="1684"/>
    <cellStyle name="L`" xfId="601"/>
    <cellStyle name="Link Currency (0)" xfId="602"/>
    <cellStyle name="Link Currency (0) 10" xfId="4563"/>
    <cellStyle name="Link Currency (0) 11" xfId="4665"/>
    <cellStyle name="Link Currency (0) 12" xfId="4771"/>
    <cellStyle name="Link Currency (0) 13" xfId="4876"/>
    <cellStyle name="Link Currency (0) 14" xfId="4983"/>
    <cellStyle name="Link Currency (0) 15" xfId="5085"/>
    <cellStyle name="Link Currency (0) 16" xfId="5185"/>
    <cellStyle name="Link Currency (0) 17" xfId="5289"/>
    <cellStyle name="Link Currency (0) 18" xfId="5389"/>
    <cellStyle name="Link Currency (0) 19" xfId="5490"/>
    <cellStyle name="Link Currency (0) 2" xfId="3221"/>
    <cellStyle name="Link Currency (0) 20" xfId="5593"/>
    <cellStyle name="Link Currency (0) 21" xfId="5697"/>
    <cellStyle name="Link Currency (0) 22" xfId="5805"/>
    <cellStyle name="Link Currency (0) 23" xfId="5907"/>
    <cellStyle name="Link Currency (0) 24" xfId="6008"/>
    <cellStyle name="Link Currency (0) 25" xfId="6111"/>
    <cellStyle name="Link Currency (0) 26" xfId="6206"/>
    <cellStyle name="Link Currency (0) 27" xfId="6304"/>
    <cellStyle name="Link Currency (0) 28" xfId="6398"/>
    <cellStyle name="Link Currency (0) 29" xfId="6492"/>
    <cellStyle name="Link Currency (0) 3" xfId="4013"/>
    <cellStyle name="Link Currency (0) 30" xfId="6584"/>
    <cellStyle name="Link Currency (0) 31" xfId="6677"/>
    <cellStyle name="Link Currency (0) 32" xfId="6768"/>
    <cellStyle name="Link Currency (0) 33" xfId="6856"/>
    <cellStyle name="Link Currency (0) 34" xfId="6948"/>
    <cellStyle name="Link Currency (0) 35" xfId="7033"/>
    <cellStyle name="Link Currency (0) 36" xfId="7122"/>
    <cellStyle name="Link Currency (0) 37" xfId="7207"/>
    <cellStyle name="Link Currency (0) 38" xfId="7290"/>
    <cellStyle name="Link Currency (0) 39" xfId="7375"/>
    <cellStyle name="Link Currency (0) 4" xfId="2683"/>
    <cellStyle name="Link Currency (0) 40" xfId="7455"/>
    <cellStyle name="Link Currency (0) 41" xfId="7538"/>
    <cellStyle name="Link Currency (0) 42" xfId="7614"/>
    <cellStyle name="Link Currency (0) 43" xfId="7688"/>
    <cellStyle name="Link Currency (0) 44" xfId="7757"/>
    <cellStyle name="Link Currency (0) 45" xfId="7823"/>
    <cellStyle name="Link Currency (0) 46" xfId="7889"/>
    <cellStyle name="Link Currency (0) 47" xfId="7954"/>
    <cellStyle name="Link Currency (0) 48" xfId="8017"/>
    <cellStyle name="Link Currency (0) 49" xfId="8077"/>
    <cellStyle name="Link Currency (0) 5" xfId="4142"/>
    <cellStyle name="Link Currency (0) 50" xfId="8136"/>
    <cellStyle name="Link Currency (0) 51" xfId="8195"/>
    <cellStyle name="Link Currency (0) 52" xfId="8250"/>
    <cellStyle name="Link Currency (0) 53" xfId="8302"/>
    <cellStyle name="Link Currency (0) 54" xfId="8351"/>
    <cellStyle name="Link Currency (0) 55" xfId="8396"/>
    <cellStyle name="Link Currency (0) 56" xfId="8439"/>
    <cellStyle name="Link Currency (0) 57" xfId="8475"/>
    <cellStyle name="Link Currency (0) 6" xfId="2552"/>
    <cellStyle name="Link Currency (0) 7" xfId="4250"/>
    <cellStyle name="Link Currency (0) 8" xfId="4354"/>
    <cellStyle name="Link Currency (0) 9" xfId="4460"/>
    <cellStyle name="Link Currency (2)" xfId="603"/>
    <cellStyle name="Link Currency (2) 10" xfId="4562"/>
    <cellStyle name="Link Currency (2) 11" xfId="4664"/>
    <cellStyle name="Link Currency (2) 12" xfId="4770"/>
    <cellStyle name="Link Currency (2) 13" xfId="4875"/>
    <cellStyle name="Link Currency (2) 14" xfId="4982"/>
    <cellStyle name="Link Currency (2) 15" xfId="5084"/>
    <cellStyle name="Link Currency (2) 16" xfId="5184"/>
    <cellStyle name="Link Currency (2) 17" xfId="5288"/>
    <cellStyle name="Link Currency (2) 18" xfId="5388"/>
    <cellStyle name="Link Currency (2) 19" xfId="5489"/>
    <cellStyle name="Link Currency (2) 2" xfId="3222"/>
    <cellStyle name="Link Currency (2) 20" xfId="5592"/>
    <cellStyle name="Link Currency (2) 21" xfId="5696"/>
    <cellStyle name="Link Currency (2) 22" xfId="5804"/>
    <cellStyle name="Link Currency (2) 23" xfId="5906"/>
    <cellStyle name="Link Currency (2) 24" xfId="6007"/>
    <cellStyle name="Link Currency (2) 25" xfId="6110"/>
    <cellStyle name="Link Currency (2) 26" xfId="6205"/>
    <cellStyle name="Link Currency (2) 27" xfId="6303"/>
    <cellStyle name="Link Currency (2) 28" xfId="6397"/>
    <cellStyle name="Link Currency (2) 29" xfId="6491"/>
    <cellStyle name="Link Currency (2) 3" xfId="4012"/>
    <cellStyle name="Link Currency (2) 30" xfId="6583"/>
    <cellStyle name="Link Currency (2) 31" xfId="6676"/>
    <cellStyle name="Link Currency (2) 32" xfId="6767"/>
    <cellStyle name="Link Currency (2) 33" xfId="6855"/>
    <cellStyle name="Link Currency (2) 34" xfId="6947"/>
    <cellStyle name="Link Currency (2) 35" xfId="7032"/>
    <cellStyle name="Link Currency (2) 36" xfId="7121"/>
    <cellStyle name="Link Currency (2) 37" xfId="7206"/>
    <cellStyle name="Link Currency (2) 38" xfId="7289"/>
    <cellStyle name="Link Currency (2) 39" xfId="7374"/>
    <cellStyle name="Link Currency (2) 4" xfId="2684"/>
    <cellStyle name="Link Currency (2) 40" xfId="7454"/>
    <cellStyle name="Link Currency (2) 41" xfId="7537"/>
    <cellStyle name="Link Currency (2) 42" xfId="7613"/>
    <cellStyle name="Link Currency (2) 43" xfId="7687"/>
    <cellStyle name="Link Currency (2) 44" xfId="7756"/>
    <cellStyle name="Link Currency (2) 45" xfId="7822"/>
    <cellStyle name="Link Currency (2) 46" xfId="7888"/>
    <cellStyle name="Link Currency (2) 47" xfId="7953"/>
    <cellStyle name="Link Currency (2) 48" xfId="8016"/>
    <cellStyle name="Link Currency (2) 49" xfId="8076"/>
    <cellStyle name="Link Currency (2) 5" xfId="4141"/>
    <cellStyle name="Link Currency (2) 50" xfId="8135"/>
    <cellStyle name="Link Currency (2) 51" xfId="8194"/>
    <cellStyle name="Link Currency (2) 52" xfId="8249"/>
    <cellStyle name="Link Currency (2) 53" xfId="8301"/>
    <cellStyle name="Link Currency (2) 54" xfId="8350"/>
    <cellStyle name="Link Currency (2) 55" xfId="8395"/>
    <cellStyle name="Link Currency (2) 56" xfId="8438"/>
    <cellStyle name="Link Currency (2) 57" xfId="8474"/>
    <cellStyle name="Link Currency (2) 6" xfId="2553"/>
    <cellStyle name="Link Currency (2) 7" xfId="4249"/>
    <cellStyle name="Link Currency (2) 8" xfId="3153"/>
    <cellStyle name="Link Currency (2) 9" xfId="3974"/>
    <cellStyle name="Link Units (0)" xfId="604"/>
    <cellStyle name="Link Units (0) 10" xfId="4561"/>
    <cellStyle name="Link Units (0) 11" xfId="4663"/>
    <cellStyle name="Link Units (0) 12" xfId="4769"/>
    <cellStyle name="Link Units (0) 13" xfId="4874"/>
    <cellStyle name="Link Units (0) 14" xfId="4981"/>
    <cellStyle name="Link Units (0) 15" xfId="5083"/>
    <cellStyle name="Link Units (0) 16" xfId="5183"/>
    <cellStyle name="Link Units (0) 17" xfId="5287"/>
    <cellStyle name="Link Units (0) 18" xfId="5387"/>
    <cellStyle name="Link Units (0) 19" xfId="5488"/>
    <cellStyle name="Link Units (0) 2" xfId="3223"/>
    <cellStyle name="Link Units (0) 20" xfId="5591"/>
    <cellStyle name="Link Units (0) 21" xfId="5695"/>
    <cellStyle name="Link Units (0) 22" xfId="5803"/>
    <cellStyle name="Link Units (0) 23" xfId="5905"/>
    <cellStyle name="Link Units (0) 24" xfId="6006"/>
    <cellStyle name="Link Units (0) 25" xfId="6109"/>
    <cellStyle name="Link Units (0) 26" xfId="6204"/>
    <cellStyle name="Link Units (0) 27" xfId="6302"/>
    <cellStyle name="Link Units (0) 28" xfId="6396"/>
    <cellStyle name="Link Units (0) 29" xfId="6490"/>
    <cellStyle name="Link Units (0) 3" xfId="4011"/>
    <cellStyle name="Link Units (0) 30" xfId="6582"/>
    <cellStyle name="Link Units (0) 31" xfId="6675"/>
    <cellStyle name="Link Units (0) 32" xfId="6766"/>
    <cellStyle name="Link Units (0) 33" xfId="6854"/>
    <cellStyle name="Link Units (0) 34" xfId="6946"/>
    <cellStyle name="Link Units (0) 35" xfId="7031"/>
    <cellStyle name="Link Units (0) 36" xfId="7120"/>
    <cellStyle name="Link Units (0) 37" xfId="7205"/>
    <cellStyle name="Link Units (0) 38" xfId="7288"/>
    <cellStyle name="Link Units (0) 39" xfId="7373"/>
    <cellStyle name="Link Units (0) 4" xfId="2685"/>
    <cellStyle name="Link Units (0) 40" xfId="7453"/>
    <cellStyle name="Link Units (0) 41" xfId="7536"/>
    <cellStyle name="Link Units (0) 42" xfId="7612"/>
    <cellStyle name="Link Units (0) 43" xfId="7686"/>
    <cellStyle name="Link Units (0) 44" xfId="7755"/>
    <cellStyle name="Link Units (0) 45" xfId="7821"/>
    <cellStyle name="Link Units (0) 46" xfId="7887"/>
    <cellStyle name="Link Units (0) 47" xfId="7952"/>
    <cellStyle name="Link Units (0) 48" xfId="8015"/>
    <cellStyle name="Link Units (0) 49" xfId="8075"/>
    <cellStyle name="Link Units (0) 5" xfId="4140"/>
    <cellStyle name="Link Units (0) 50" xfId="8134"/>
    <cellStyle name="Link Units (0) 51" xfId="8193"/>
    <cellStyle name="Link Units (0) 52" xfId="8248"/>
    <cellStyle name="Link Units (0) 53" xfId="8300"/>
    <cellStyle name="Link Units (0) 54" xfId="8349"/>
    <cellStyle name="Link Units (0) 55" xfId="8394"/>
    <cellStyle name="Link Units (0) 56" xfId="8437"/>
    <cellStyle name="Link Units (0) 57" xfId="8473"/>
    <cellStyle name="Link Units (0) 6" xfId="2554"/>
    <cellStyle name="Link Units (0) 7" xfId="4248"/>
    <cellStyle name="Link Units (0) 8" xfId="3154"/>
    <cellStyle name="Link Units (0) 9" xfId="3973"/>
    <cellStyle name="Link Units (1)" xfId="605"/>
    <cellStyle name="Link Units (1) 10" xfId="4560"/>
    <cellStyle name="Link Units (1) 11" xfId="4662"/>
    <cellStyle name="Link Units (1) 12" xfId="4768"/>
    <cellStyle name="Link Units (1) 13" xfId="4873"/>
    <cellStyle name="Link Units (1) 14" xfId="4980"/>
    <cellStyle name="Link Units (1) 15" xfId="5082"/>
    <cellStyle name="Link Units (1) 16" xfId="5182"/>
    <cellStyle name="Link Units (1) 17" xfId="5286"/>
    <cellStyle name="Link Units (1) 18" xfId="5386"/>
    <cellStyle name="Link Units (1) 19" xfId="5487"/>
    <cellStyle name="Link Units (1) 2" xfId="3224"/>
    <cellStyle name="Link Units (1) 20" xfId="5590"/>
    <cellStyle name="Link Units (1) 21" xfId="5694"/>
    <cellStyle name="Link Units (1) 22" xfId="5802"/>
    <cellStyle name="Link Units (1) 23" xfId="5904"/>
    <cellStyle name="Link Units (1) 24" xfId="6005"/>
    <cellStyle name="Link Units (1) 25" xfId="6108"/>
    <cellStyle name="Link Units (1) 26" xfId="6203"/>
    <cellStyle name="Link Units (1) 27" xfId="6301"/>
    <cellStyle name="Link Units (1) 28" xfId="6395"/>
    <cellStyle name="Link Units (1) 29" xfId="5944"/>
    <cellStyle name="Link Units (1) 3" xfId="4010"/>
    <cellStyle name="Link Units (1) 30" xfId="6581"/>
    <cellStyle name="Link Units (1) 31" xfId="6674"/>
    <cellStyle name="Link Units (1) 32" xfId="6765"/>
    <cellStyle name="Link Units (1) 33" xfId="6853"/>
    <cellStyle name="Link Units (1) 34" xfId="6945"/>
    <cellStyle name="Link Units (1) 35" xfId="7030"/>
    <cellStyle name="Link Units (1) 36" xfId="6619"/>
    <cellStyle name="Link Units (1) 37" xfId="7204"/>
    <cellStyle name="Link Units (1) 38" xfId="7287"/>
    <cellStyle name="Link Units (1) 39" xfId="7372"/>
    <cellStyle name="Link Units (1) 4" xfId="2686"/>
    <cellStyle name="Link Units (1) 40" xfId="7452"/>
    <cellStyle name="Link Units (1) 41" xfId="7535"/>
    <cellStyle name="Link Units (1) 42" xfId="7611"/>
    <cellStyle name="Link Units (1) 43" xfId="7685"/>
    <cellStyle name="Link Units (1) 44" xfId="7754"/>
    <cellStyle name="Link Units (1) 45" xfId="7820"/>
    <cellStyle name="Link Units (1) 46" xfId="7886"/>
    <cellStyle name="Link Units (1) 47" xfId="7951"/>
    <cellStyle name="Link Units (1) 48" xfId="8014"/>
    <cellStyle name="Link Units (1) 49" xfId="8074"/>
    <cellStyle name="Link Units (1) 5" xfId="4139"/>
    <cellStyle name="Link Units (1) 50" xfId="8133"/>
    <cellStyle name="Link Units (1) 51" xfId="8192"/>
    <cellStyle name="Link Units (1) 52" xfId="8247"/>
    <cellStyle name="Link Units (1) 53" xfId="8299"/>
    <cellStyle name="Link Units (1) 54" xfId="8348"/>
    <cellStyle name="Link Units (1) 55" xfId="8393"/>
    <cellStyle name="Link Units (1) 56" xfId="8436"/>
    <cellStyle name="Link Units (1) 57" xfId="8472"/>
    <cellStyle name="Link Units (1) 6" xfId="2555"/>
    <cellStyle name="Link Units (1) 7" xfId="4247"/>
    <cellStyle name="Link Units (1) 8" xfId="3988"/>
    <cellStyle name="Link Units (1) 9" xfId="2706"/>
    <cellStyle name="Link Units (2)" xfId="606"/>
    <cellStyle name="Link Units (2) 10" xfId="4640"/>
    <cellStyle name="Link Units (2) 11" xfId="4182"/>
    <cellStyle name="Link Units (2) 12" xfId="2514"/>
    <cellStyle name="Link Units (2) 13" xfId="4287"/>
    <cellStyle name="Link Units (2) 14" xfId="4453"/>
    <cellStyle name="Link Units (2) 15" xfId="4495"/>
    <cellStyle name="Link Units (2) 16" xfId="4599"/>
    <cellStyle name="Link Units (2) 17" xfId="4704"/>
    <cellStyle name="Link Units (2) 18" xfId="4810"/>
    <cellStyle name="Link Units (2) 19" xfId="4913"/>
    <cellStyle name="Link Units (2) 2" xfId="3225"/>
    <cellStyle name="Link Units (2) 20" xfId="5021"/>
    <cellStyle name="Link Units (2) 21" xfId="5121"/>
    <cellStyle name="Link Units (2) 22" xfId="5224"/>
    <cellStyle name="Link Units (2) 23" xfId="5326"/>
    <cellStyle name="Link Units (2) 24" xfId="5425"/>
    <cellStyle name="Link Units (2) 25" xfId="5529"/>
    <cellStyle name="Link Units (2) 26" xfId="5632"/>
    <cellStyle name="Link Units (2) 27" xfId="5738"/>
    <cellStyle name="Link Units (2) 28" xfId="5843"/>
    <cellStyle name="Link Units (2) 29" xfId="5943"/>
    <cellStyle name="Link Units (2) 3" xfId="3804"/>
    <cellStyle name="Link Units (2) 30" xfId="6047"/>
    <cellStyle name="Link Units (2) 31" xfId="6146"/>
    <cellStyle name="Link Units (2) 32" xfId="6243"/>
    <cellStyle name="Link Units (2) 33" xfId="6339"/>
    <cellStyle name="Link Units (2) 34" xfId="6433"/>
    <cellStyle name="Link Units (2) 35" xfId="6526"/>
    <cellStyle name="Link Units (2) 36" xfId="6618"/>
    <cellStyle name="Link Units (2) 37" xfId="6711"/>
    <cellStyle name="Link Units (2) 38" xfId="6802"/>
    <cellStyle name="Link Units (2) 39" xfId="6890"/>
    <cellStyle name="Link Units (2) 4" xfId="2863"/>
    <cellStyle name="Link Units (2) 40" xfId="6981"/>
    <cellStyle name="Link Units (2) 41" xfId="7067"/>
    <cellStyle name="Link Units (2) 42" xfId="7151"/>
    <cellStyle name="Link Units (2) 43" xfId="7237"/>
    <cellStyle name="Link Units (2) 44" xfId="7320"/>
    <cellStyle name="Link Units (2) 45" xfId="7406"/>
    <cellStyle name="Link Units (2) 46" xfId="7486"/>
    <cellStyle name="Link Units (2) 47" xfId="7569"/>
    <cellStyle name="Link Units (2) 48" xfId="7645"/>
    <cellStyle name="Link Units (2) 49" xfId="7717"/>
    <cellStyle name="Link Units (2) 5" xfId="3565"/>
    <cellStyle name="Link Units (2) 50" xfId="7785"/>
    <cellStyle name="Link Units (2) 51" xfId="7851"/>
    <cellStyle name="Link Units (2) 52" xfId="7917"/>
    <cellStyle name="Link Units (2) 53" xfId="7980"/>
    <cellStyle name="Link Units (2) 54" xfId="8043"/>
    <cellStyle name="Link Units (2) 55" xfId="8103"/>
    <cellStyle name="Link Units (2) 56" xfId="8162"/>
    <cellStyle name="Link Units (2) 57" xfId="8219"/>
    <cellStyle name="Link Units (2) 6" xfId="3072"/>
    <cellStyle name="Link Units (2) 7" xfId="3371"/>
    <cellStyle name="Link Units (2) 8" xfId="3995"/>
    <cellStyle name="Link Units (2) 9" xfId="2700"/>
    <cellStyle name="ŀ䅀؀ŀŀ䅀؀ŀŀ䅀؀ŀŀ䅀؀ŀŀ䅀؀ŀŀ䅀؀ŀŀ䅀؀ŀŀ䅀؀ŀŀ䅀؀ŀ฀䅀؀฀฀䅀؀฀฀䅀؀฀฀䅀؀฀฀䅀؀฀฀䅀؀฀฀䅀؀฀฀䅀؀฀฀䅀؀฀฀䅀؀฀฀䁀" xfId="1685"/>
    <cellStyle name="ŀ䅀؀ŀŀ䅀؀ŀŀ䅀؀ŀŀ䅀؀ŀŀ䅀؀ŀ฀䅀؀฀฀䅀؀฀฀䅀؀฀฀䅀؀฀฀䅀؀฀฀䅀؀฀฀䅀؀฀฀䅀؀฀฀䅀؀฀฀䅀؀฀฀䁀" xfId="1686"/>
    <cellStyle name="měny_Copy of zdroj" xfId="607"/>
    <cellStyle name="Milliers [0]_Arabian Spec" xfId="608"/>
    <cellStyle name="Milliers_Arabian Spec" xfId="609"/>
    <cellStyle name="Model" xfId="610"/>
    <cellStyle name="Mon?aire [0]_Arabian Spec" xfId="611"/>
    <cellStyle name="Mon?aire_Arabian Spec" xfId="612"/>
    <cellStyle name="MS Proofing Tools" xfId="613"/>
    <cellStyle name="no dec" xfId="614"/>
    <cellStyle name="nohs" xfId="1687"/>
    <cellStyle name="Normal - Style1" xfId="615"/>
    <cellStyle name="Normal - Style1 10" xfId="3071"/>
    <cellStyle name="Normal - Style1 11" xfId="4349"/>
    <cellStyle name="Normal - Style1 12" xfId="4358"/>
    <cellStyle name="Normal - Style1 13" xfId="4462"/>
    <cellStyle name="Normal - Style1 14" xfId="4565"/>
    <cellStyle name="Normal - Style1 15" xfId="4667"/>
    <cellStyle name="Normal - Style1 16" xfId="4773"/>
    <cellStyle name="Normal - Style1 17" xfId="4878"/>
    <cellStyle name="Normal - Style1 18" xfId="4985"/>
    <cellStyle name="Normal - Style1 19" xfId="5087"/>
    <cellStyle name="Normal - Style1 2" xfId="3234"/>
    <cellStyle name="Normal - Style1 20" xfId="5187"/>
    <cellStyle name="Normal - Style1 21" xfId="5291"/>
    <cellStyle name="Normal - Style1 22" xfId="5391"/>
    <cellStyle name="Normal - Style1 23" xfId="5492"/>
    <cellStyle name="Normal - Style1 24" xfId="5595"/>
    <cellStyle name="Normal - Style1 25" xfId="5699"/>
    <cellStyle name="Normal - Style1 26" xfId="5807"/>
    <cellStyle name="Normal - Style1 27" xfId="5909"/>
    <cellStyle name="Normal - Style1 28" xfId="6010"/>
    <cellStyle name="Normal - Style1 29" xfId="6112"/>
    <cellStyle name="Normal - Style1 3" xfId="3315"/>
    <cellStyle name="Normal - Style1 30" xfId="5766"/>
    <cellStyle name="Normal - Style1 31" xfId="6305"/>
    <cellStyle name="Normal - Style1 32" xfId="6485"/>
    <cellStyle name="Normal - Style1 33" xfId="6494"/>
    <cellStyle name="Normal - Style1 34" xfId="6586"/>
    <cellStyle name="Normal - Style1 35" xfId="6679"/>
    <cellStyle name="Normal - Style1 36" xfId="6769"/>
    <cellStyle name="Normal - Style1 37" xfId="3713"/>
    <cellStyle name="Normal - Style1 38" xfId="6949"/>
    <cellStyle name="Normal - Style1 39" xfId="7115"/>
    <cellStyle name="Normal - Style1 4" xfId="3229"/>
    <cellStyle name="Normal - Style1 40" xfId="7124"/>
    <cellStyle name="Normal - Style1 41" xfId="7209"/>
    <cellStyle name="Normal - Style1 42" xfId="7292"/>
    <cellStyle name="Normal - Style1 43" xfId="7377"/>
    <cellStyle name="Normal - Style1 44" xfId="7457"/>
    <cellStyle name="Normal - Style1 45" xfId="7540"/>
    <cellStyle name="Normal - Style1 46" xfId="7616"/>
    <cellStyle name="Normal - Style1 47" xfId="7690"/>
    <cellStyle name="Normal - Style1 48" xfId="7759"/>
    <cellStyle name="Normal - Style1 49" xfId="7825"/>
    <cellStyle name="Normal - Style1 5" xfId="3320"/>
    <cellStyle name="Normal - Style1 50" xfId="7891"/>
    <cellStyle name="Normal - Style1 51" xfId="7956"/>
    <cellStyle name="Normal - Style1 52" xfId="8019"/>
    <cellStyle name="Normal - Style1 53" xfId="8079"/>
    <cellStyle name="Normal - Style1 54" xfId="8138"/>
    <cellStyle name="Normal - Style1 55" xfId="8197"/>
    <cellStyle name="Normal - Style1 56" xfId="8252"/>
    <cellStyle name="Normal - Style1 57" xfId="8303"/>
    <cellStyle name="Normal - Style1 6" xfId="3219"/>
    <cellStyle name="Normal - Style1 7" xfId="4015"/>
    <cellStyle name="Normal - Style1 8" xfId="2864"/>
    <cellStyle name="Normal - Style1 9" xfId="4144"/>
    <cellStyle name="Normal - Style2" xfId="616"/>
    <cellStyle name="Normal - Style3" xfId="617"/>
    <cellStyle name="Normal - Style4" xfId="618"/>
    <cellStyle name="Normal - Style5" xfId="619"/>
    <cellStyle name="Normal - Style6" xfId="620"/>
    <cellStyle name="Normal - Style7" xfId="621"/>
    <cellStyle name="Normal - Style8" xfId="622"/>
    <cellStyle name="Normal - 유형1" xfId="623"/>
    <cellStyle name="Normal_ SG&amp;A Bridge" xfId="1688"/>
    <cellStyle name="normální_Copy of zdroj" xfId="624"/>
    <cellStyle name="Œ…?æ맖?e [0.00]_guyan" xfId="1689"/>
    <cellStyle name="Œ…?æ맖?e_guyan" xfId="1690"/>
    <cellStyle name="oft Excel]_x000d__x000a_Comment=The open=/f lines load custom functions into the Paste Function list._x000d__x000a_Maximized=3_x000d__x000a_AutoFormat=" xfId="1691"/>
    <cellStyle name="oh" xfId="625"/>
    <cellStyle name="omma [0]_Mktg Prog" xfId="1692"/>
    <cellStyle name="ormal_Sheet1_1" xfId="1693"/>
    <cellStyle name="per.style" xfId="626"/>
    <cellStyle name="Percent" xfId="627"/>
    <cellStyle name="Percent (0)" xfId="628"/>
    <cellStyle name="Percent [0]" xfId="629"/>
    <cellStyle name="Percent [0] 10" xfId="3227"/>
    <cellStyle name="Percent [0] 11" xfId="3853"/>
    <cellStyle name="Percent [0] 12" xfId="2819"/>
    <cellStyle name="Percent [0] 13" xfId="4322"/>
    <cellStyle name="Percent [0] 14" xfId="3029"/>
    <cellStyle name="Percent [0] 15" xfId="3406"/>
    <cellStyle name="Percent [0] 16" xfId="4356"/>
    <cellStyle name="Percent [0] 17" xfId="4348"/>
    <cellStyle name="Percent [0] 18" xfId="4120"/>
    <cellStyle name="Percent [0] 19" xfId="2575"/>
    <cellStyle name="Percent [0] 2" xfId="3248"/>
    <cellStyle name="Percent [0] 20" xfId="4230"/>
    <cellStyle name="Percent [0] 21" xfId="2473"/>
    <cellStyle name="Percent [0] 22" xfId="3738"/>
    <cellStyle name="Percent [0] 23" xfId="2911"/>
    <cellStyle name="Percent [0] 24" xfId="3520"/>
    <cellStyle name="Percent [0] 25" xfId="3925"/>
    <cellStyle name="Percent [0] 26" xfId="2759"/>
    <cellStyle name="Percent [0] 27" xfId="4862"/>
    <cellStyle name="Percent [0] 28" xfId="4960"/>
    <cellStyle name="Percent [0] 29" xfId="5046"/>
    <cellStyle name="Percent [0] 3" xfId="3300"/>
    <cellStyle name="Percent [0] 30" xfId="5223"/>
    <cellStyle name="Percent [0] 31" xfId="5249"/>
    <cellStyle name="Percent [0] 32" xfId="5840"/>
    <cellStyle name="Percent [0] 33" xfId="5449"/>
    <cellStyle name="Percent [0] 34" xfId="5631"/>
    <cellStyle name="Percent [0] 35" xfId="5656"/>
    <cellStyle name="Percent [0] 36" xfId="2951"/>
    <cellStyle name="Percent [0] 37" xfId="3815"/>
    <cellStyle name="Percent [0] 38" xfId="5074"/>
    <cellStyle name="Percent [0] 39" xfId="6523"/>
    <cellStyle name="Percent [0] 4" xfId="3243"/>
    <cellStyle name="Percent [0] 40" xfId="5277"/>
    <cellStyle name="Percent [0] 41" xfId="6337"/>
    <cellStyle name="Percent [0] 42" xfId="5477"/>
    <cellStyle name="Percent [0] 43" xfId="6525"/>
    <cellStyle name="Percent [0] 44" xfId="5684"/>
    <cellStyle name="Percent [0] 45" xfId="2719"/>
    <cellStyle name="Percent [0] 46" xfId="6055"/>
    <cellStyle name="Percent [0] 47" xfId="4104"/>
    <cellStyle name="Percent [0] 48" xfId="6250"/>
    <cellStyle name="Percent [0] 49" xfId="4783"/>
    <cellStyle name="Percent [0] 5" xfId="3305"/>
    <cellStyle name="Percent [0] 50" xfId="7112"/>
    <cellStyle name="Percent [0] 51" xfId="6835"/>
    <cellStyle name="Percent [0] 52" xfId="7279"/>
    <cellStyle name="Percent [0] 53" xfId="5209"/>
    <cellStyle name="Percent [0] 54" xfId="7444"/>
    <cellStyle name="Percent [0] 55" xfId="7528"/>
    <cellStyle name="Percent [0] 56" xfId="5244"/>
    <cellStyle name="Percent [0] 57" xfId="5550"/>
    <cellStyle name="Percent [0] 6" xfId="3239"/>
    <cellStyle name="Percent [0] 7" xfId="3311"/>
    <cellStyle name="Percent [0] 8" xfId="2833"/>
    <cellStyle name="Percent [0] 9" xfId="3317"/>
    <cellStyle name="Percent [00]" xfId="630"/>
    <cellStyle name="Percent [00] 10" xfId="3228"/>
    <cellStyle name="Percent [00] 11" xfId="3840"/>
    <cellStyle name="Percent [00] 12" xfId="2832"/>
    <cellStyle name="Percent [00] 13" xfId="3596"/>
    <cellStyle name="Percent [00] 14" xfId="3042"/>
    <cellStyle name="Percent [00] 15" xfId="3393"/>
    <cellStyle name="Percent [00] 16" xfId="4355"/>
    <cellStyle name="Percent [00] 17" xfId="3005"/>
    <cellStyle name="Percent [00] 18" xfId="4125"/>
    <cellStyle name="Percent [00] 19" xfId="2569"/>
    <cellStyle name="Percent [00] 2" xfId="3249"/>
    <cellStyle name="Percent [00] 20" xfId="4236"/>
    <cellStyle name="Percent [00] 21" xfId="3606"/>
    <cellStyle name="Percent [00] 22" xfId="4314"/>
    <cellStyle name="Percent [00] 23" xfId="4422"/>
    <cellStyle name="Percent [00] 24" xfId="4521"/>
    <cellStyle name="Percent [00] 25" xfId="4626"/>
    <cellStyle name="Percent [00] 26" xfId="4729"/>
    <cellStyle name="Percent [00] 27" xfId="4836"/>
    <cellStyle name="Percent [00] 28" xfId="3964"/>
    <cellStyle name="Percent [00] 29" xfId="3916"/>
    <cellStyle name="Percent [00] 3" xfId="3299"/>
    <cellStyle name="Percent [00] 30" xfId="3106"/>
    <cellStyle name="Percent [00] 31" xfId="2881"/>
    <cellStyle name="Percent [00] 32" xfId="3194"/>
    <cellStyle name="Percent [00] 33" xfId="2722"/>
    <cellStyle name="Percent [00] 34" xfId="2661"/>
    <cellStyle name="Percent [00] 35" xfId="6113"/>
    <cellStyle name="Percent [00] 36" xfId="6207"/>
    <cellStyle name="Percent [00] 37" xfId="5866"/>
    <cellStyle name="Percent [00] 38" xfId="6045"/>
    <cellStyle name="Percent [00] 39" xfId="4452"/>
    <cellStyle name="Percent [00] 4" xfId="3244"/>
    <cellStyle name="Percent [00] 40" xfId="6241"/>
    <cellStyle name="Percent [00] 41" xfId="3428"/>
    <cellStyle name="Percent [00] 42" xfId="6770"/>
    <cellStyle name="Percent [00] 43" xfId="6479"/>
    <cellStyle name="Percent [00] 44" xfId="6440"/>
    <cellStyle name="Percent [00] 45" xfId="6642"/>
    <cellStyle name="Percent [00] 46" xfId="6731"/>
    <cellStyle name="Percent [00] 47" xfId="6824"/>
    <cellStyle name="Percent [00] 48" xfId="6910"/>
    <cellStyle name="Percent [00] 49" xfId="4866"/>
    <cellStyle name="Percent [00] 5" xfId="3304"/>
    <cellStyle name="Percent [00] 50" xfId="4470"/>
    <cellStyle name="Percent [00] 51" xfId="2479"/>
    <cellStyle name="Percent [00] 52" xfId="4680"/>
    <cellStyle name="Percent [00] 53" xfId="2921"/>
    <cellStyle name="Percent [00] 54" xfId="4888"/>
    <cellStyle name="Percent [00] 55" xfId="3079"/>
    <cellStyle name="Percent [00] 56" xfId="7588"/>
    <cellStyle name="Percent [00] 57" xfId="7663"/>
    <cellStyle name="Percent [00] 6" xfId="3240"/>
    <cellStyle name="Percent [00] 7" xfId="3310"/>
    <cellStyle name="Percent [00] 8" xfId="2780"/>
    <cellStyle name="Percent [00] 9" xfId="3316"/>
    <cellStyle name="Percent [2]" xfId="631"/>
    <cellStyle name="Percent 10" xfId="3318"/>
    <cellStyle name="Percent 11" xfId="3226"/>
    <cellStyle name="Percent 12" xfId="3368"/>
    <cellStyle name="Percent 13" xfId="3772"/>
    <cellStyle name="Percent 14" xfId="2888"/>
    <cellStyle name="Percent 15" xfId="3073"/>
    <cellStyle name="Percent 16" xfId="3370"/>
    <cellStyle name="Percent 17" xfId="4456"/>
    <cellStyle name="Percent 18" xfId="4253"/>
    <cellStyle name="Percent 19" xfId="3548"/>
    <cellStyle name="Percent 2" xfId="1694"/>
    <cellStyle name="Percent 20" xfId="4181"/>
    <cellStyle name="Percent 21" xfId="2515"/>
    <cellStyle name="Percent 22" xfId="4285"/>
    <cellStyle name="Percent 23" xfId="4400"/>
    <cellStyle name="Percent 24" xfId="4494"/>
    <cellStyle name="Percent 25" xfId="4598"/>
    <cellStyle name="Percent 26" xfId="4703"/>
    <cellStyle name="Percent 27" xfId="4809"/>
    <cellStyle name="Percent 28" xfId="4912"/>
    <cellStyle name="Percent 29" xfId="5020"/>
    <cellStyle name="Percent 3" xfId="3247"/>
    <cellStyle name="Percent 30" xfId="3458"/>
    <cellStyle name="Percent 31" xfId="3591"/>
    <cellStyle name="Percent 32" xfId="3342"/>
    <cellStyle name="Percent 33" xfId="3954"/>
    <cellStyle name="Percent 34" xfId="5941"/>
    <cellStyle name="Percent 35" xfId="4093"/>
    <cellStyle name="Percent 36" xfId="3692"/>
    <cellStyle name="Percent 37" xfId="5842"/>
    <cellStyle name="Percent 38" xfId="4678"/>
    <cellStyle name="Percent 39" xfId="2877"/>
    <cellStyle name="Percent 4" xfId="3301"/>
    <cellStyle name="Percent 40" xfId="5551"/>
    <cellStyle name="Percent 41" xfId="6616"/>
    <cellStyle name="Percent 42" xfId="6370"/>
    <cellStyle name="Percent 43" xfId="3653"/>
    <cellStyle name="Percent 44" xfId="7034"/>
    <cellStyle name="Percent 45" xfId="2890"/>
    <cellStyle name="Percent 46" xfId="6710"/>
    <cellStyle name="Percent 47" xfId="5759"/>
    <cellStyle name="Percent 48" xfId="6889"/>
    <cellStyle name="Percent 49" xfId="6979"/>
    <cellStyle name="Percent 5" xfId="3242"/>
    <cellStyle name="Percent 50" xfId="7066"/>
    <cellStyle name="Percent 51" xfId="7150"/>
    <cellStyle name="Percent 52" xfId="7236"/>
    <cellStyle name="Percent 53" xfId="7319"/>
    <cellStyle name="Percent 54" xfId="7405"/>
    <cellStyle name="Percent 55" xfId="7485"/>
    <cellStyle name="Percent 56" xfId="7568"/>
    <cellStyle name="Percent 57" xfId="7644"/>
    <cellStyle name="Percent 58" xfId="7716"/>
    <cellStyle name="Percent 6" xfId="3307"/>
    <cellStyle name="Percent 7" xfId="3237"/>
    <cellStyle name="Percent 8" xfId="3312"/>
    <cellStyle name="Percent 9" xfId="3236"/>
    <cellStyle name="Percent_#6 Temps &amp; Contractors" xfId="632"/>
    <cellStyle name="PrePop Currency (0)" xfId="633"/>
    <cellStyle name="PrePop Currency (0) 10" xfId="3232"/>
    <cellStyle name="PrePop Currency (0) 11" xfId="4556"/>
    <cellStyle name="PrePop Currency (0) 12" xfId="4658"/>
    <cellStyle name="PrePop Currency (0) 13" xfId="4764"/>
    <cellStyle name="PrePop Currency (0) 14" xfId="4869"/>
    <cellStyle name="PrePop Currency (0) 15" xfId="4976"/>
    <cellStyle name="PrePop Currency (0) 16" xfId="5078"/>
    <cellStyle name="PrePop Currency (0) 17" xfId="5178"/>
    <cellStyle name="PrePop Currency (0) 18" xfId="5282"/>
    <cellStyle name="PrePop Currency (0) 19" xfId="5382"/>
    <cellStyle name="PrePop Currency (0) 2" xfId="3252"/>
    <cellStyle name="PrePop Currency (0) 20" xfId="5483"/>
    <cellStyle name="PrePop Currency (0) 21" xfId="5586"/>
    <cellStyle name="PrePop Currency (0) 22" xfId="5690"/>
    <cellStyle name="PrePop Currency (0) 23" xfId="5798"/>
    <cellStyle name="PrePop Currency (0) 24" xfId="5900"/>
    <cellStyle name="PrePop Currency (0) 25" xfId="6001"/>
    <cellStyle name="PrePop Currency (0) 26" xfId="6104"/>
    <cellStyle name="PrePop Currency (0) 27" xfId="6199"/>
    <cellStyle name="PrePop Currency (0) 28" xfId="6297"/>
    <cellStyle name="PrePop Currency (0) 29" xfId="6392"/>
    <cellStyle name="PrePop Currency (0) 3" xfId="3296"/>
    <cellStyle name="PrePop Currency (0) 30" xfId="5677"/>
    <cellStyle name="PrePop Currency (0) 31" xfId="6577"/>
    <cellStyle name="PrePop Currency (0) 32" xfId="6670"/>
    <cellStyle name="PrePop Currency (0) 33" xfId="6761"/>
    <cellStyle name="PrePop Currency (0) 34" xfId="6849"/>
    <cellStyle name="PrePop Currency (0) 35" xfId="6941"/>
    <cellStyle name="PrePop Currency (0) 36" xfId="7027"/>
    <cellStyle name="PrePop Currency (0) 37" xfId="6377"/>
    <cellStyle name="PrePop Currency (0) 38" xfId="7200"/>
    <cellStyle name="PrePop Currency (0) 39" xfId="7283"/>
    <cellStyle name="PrePop Currency (0) 4" xfId="4006"/>
    <cellStyle name="PrePop Currency (0) 40" xfId="7368"/>
    <cellStyle name="PrePop Currency (0) 41" xfId="7448"/>
    <cellStyle name="PrePop Currency (0) 42" xfId="7531"/>
    <cellStyle name="PrePop Currency (0) 43" xfId="7607"/>
    <cellStyle name="PrePop Currency (0) 44" xfId="7681"/>
    <cellStyle name="PrePop Currency (0) 45" xfId="7750"/>
    <cellStyle name="PrePop Currency (0) 46" xfId="7816"/>
    <cellStyle name="PrePop Currency (0) 47" xfId="7882"/>
    <cellStyle name="PrePop Currency (0) 48" xfId="7947"/>
    <cellStyle name="PrePop Currency (0) 49" xfId="8010"/>
    <cellStyle name="PrePop Currency (0) 5" xfId="2690"/>
    <cellStyle name="PrePop Currency (0) 50" xfId="8070"/>
    <cellStyle name="PrePop Currency (0) 51" xfId="8129"/>
    <cellStyle name="PrePop Currency (0) 52" xfId="8188"/>
    <cellStyle name="PrePop Currency (0) 53" xfId="8243"/>
    <cellStyle name="PrePop Currency (0) 54" xfId="8295"/>
    <cellStyle name="PrePop Currency (0) 55" xfId="8344"/>
    <cellStyle name="PrePop Currency (0) 56" xfId="8389"/>
    <cellStyle name="PrePop Currency (0) 57" xfId="8433"/>
    <cellStyle name="PrePop Currency (0) 6" xfId="4135"/>
    <cellStyle name="PrePop Currency (0) 7" xfId="2559"/>
    <cellStyle name="PrePop Currency (0) 8" xfId="3241"/>
    <cellStyle name="PrePop Currency (0) 9" xfId="4350"/>
    <cellStyle name="PrePop Currency (2)" xfId="634"/>
    <cellStyle name="PrePop Currency (2) 10" xfId="3233"/>
    <cellStyle name="PrePop Currency (2) 11" xfId="4557"/>
    <cellStyle name="PrePop Currency (2) 12" xfId="4659"/>
    <cellStyle name="PrePop Currency (2) 13" xfId="4765"/>
    <cellStyle name="PrePop Currency (2) 14" xfId="4870"/>
    <cellStyle name="PrePop Currency (2) 15" xfId="4977"/>
    <cellStyle name="PrePop Currency (2) 16" xfId="5079"/>
    <cellStyle name="PrePop Currency (2) 17" xfId="5179"/>
    <cellStyle name="PrePop Currency (2) 18" xfId="5283"/>
    <cellStyle name="PrePop Currency (2) 19" xfId="5383"/>
    <cellStyle name="PrePop Currency (2) 2" xfId="3253"/>
    <cellStyle name="PrePop Currency (2) 20" xfId="5484"/>
    <cellStyle name="PrePop Currency (2) 21" xfId="5587"/>
    <cellStyle name="PrePop Currency (2) 22" xfId="5691"/>
    <cellStyle name="PrePop Currency (2) 23" xfId="5799"/>
    <cellStyle name="PrePop Currency (2) 24" xfId="5901"/>
    <cellStyle name="PrePop Currency (2) 25" xfId="6002"/>
    <cellStyle name="PrePop Currency (2) 26" xfId="6105"/>
    <cellStyle name="PrePop Currency (2) 27" xfId="6200"/>
    <cellStyle name="PrePop Currency (2) 28" xfId="6298"/>
    <cellStyle name="PrePop Currency (2) 29" xfId="4325"/>
    <cellStyle name="PrePop Currency (2) 3" xfId="3295"/>
    <cellStyle name="PrePop Currency (2) 30" xfId="6486"/>
    <cellStyle name="PrePop Currency (2) 31" xfId="6578"/>
    <cellStyle name="PrePop Currency (2) 32" xfId="6671"/>
    <cellStyle name="PrePop Currency (2) 33" xfId="6762"/>
    <cellStyle name="PrePop Currency (2) 34" xfId="6850"/>
    <cellStyle name="PrePop Currency (2) 35" xfId="6942"/>
    <cellStyle name="PrePop Currency (2) 36" xfId="6009"/>
    <cellStyle name="PrePop Currency (2) 37" xfId="7116"/>
    <cellStyle name="PrePop Currency (2) 38" xfId="7201"/>
    <cellStyle name="PrePop Currency (2) 39" xfId="7284"/>
    <cellStyle name="PrePop Currency (2) 4" xfId="4007"/>
    <cellStyle name="PrePop Currency (2) 40" xfId="7369"/>
    <cellStyle name="PrePop Currency (2) 41" xfId="7449"/>
    <cellStyle name="PrePop Currency (2) 42" xfId="7532"/>
    <cellStyle name="PrePop Currency (2) 43" xfId="7608"/>
    <cellStyle name="PrePop Currency (2) 44" xfId="7682"/>
    <cellStyle name="PrePop Currency (2) 45" xfId="7751"/>
    <cellStyle name="PrePop Currency (2) 46" xfId="7817"/>
    <cellStyle name="PrePop Currency (2) 47" xfId="7883"/>
    <cellStyle name="PrePop Currency (2) 48" xfId="7948"/>
    <cellStyle name="PrePop Currency (2) 49" xfId="8011"/>
    <cellStyle name="PrePop Currency (2) 5" xfId="2689"/>
    <cellStyle name="PrePop Currency (2) 50" xfId="8071"/>
    <cellStyle name="PrePop Currency (2) 51" xfId="8130"/>
    <cellStyle name="PrePop Currency (2) 52" xfId="8189"/>
    <cellStyle name="PrePop Currency (2) 53" xfId="8244"/>
    <cellStyle name="PrePop Currency (2) 54" xfId="8296"/>
    <cellStyle name="PrePop Currency (2) 55" xfId="8345"/>
    <cellStyle name="PrePop Currency (2) 56" xfId="8390"/>
    <cellStyle name="PrePop Currency (2) 57" xfId="8434"/>
    <cellStyle name="PrePop Currency (2) 6" xfId="4136"/>
    <cellStyle name="PrePop Currency (2) 7" xfId="2558"/>
    <cellStyle name="PrePop Currency (2) 8" xfId="3593"/>
    <cellStyle name="PrePop Currency (2) 9" xfId="4072"/>
    <cellStyle name="PrePop Units (0)" xfId="635"/>
    <cellStyle name="PrePop Units (0) 10" xfId="3045"/>
    <cellStyle name="PrePop Units (0) 11" xfId="3313"/>
    <cellStyle name="PrePop Units (0) 12" xfId="3231"/>
    <cellStyle name="PrePop Units (0) 13" xfId="3802"/>
    <cellStyle name="PrePop Units (0) 14" xfId="2865"/>
    <cellStyle name="PrePop Units (0) 15" xfId="3563"/>
    <cellStyle name="PrePop Units (0) 16" xfId="2682"/>
    <cellStyle name="PrePop Units (0) 17" xfId="4143"/>
    <cellStyle name="PrePop Units (0) 18" xfId="2551"/>
    <cellStyle name="PrePop Units (0) 19" xfId="4251"/>
    <cellStyle name="PrePop Units (0) 2" xfId="3254"/>
    <cellStyle name="PrePop Units (0) 20" xfId="3752"/>
    <cellStyle name="PrePop Units (0) 21" xfId="2899"/>
    <cellStyle name="PrePop Units (0) 22" xfId="2517"/>
    <cellStyle name="PrePop Units (0) 23" xfId="3449"/>
    <cellStyle name="PrePop Units (0) 24" xfId="3750"/>
    <cellStyle name="PrePop Units (0) 25" xfId="4324"/>
    <cellStyle name="PrePop Units (0) 26" xfId="3976"/>
    <cellStyle name="PrePop Units (0) 27" xfId="3781"/>
    <cellStyle name="PrePop Units (0) 28" xfId="3760"/>
    <cellStyle name="PrePop Units (0) 29" xfId="2594"/>
    <cellStyle name="PrePop Units (0) 3" xfId="3294"/>
    <cellStyle name="PrePop Units (0) 30" xfId="6487"/>
    <cellStyle name="PrePop Units (0) 31" xfId="2485"/>
    <cellStyle name="PrePop Units (0) 32" xfId="5146"/>
    <cellStyle name="PrePop Units (0) 33" xfId="3875"/>
    <cellStyle name="PrePop Units (0) 34" xfId="5351"/>
    <cellStyle name="PrePop Units (0) 35" xfId="3047"/>
    <cellStyle name="PrePop Units (0) 36" xfId="5969"/>
    <cellStyle name="PrePop Units (0) 37" xfId="7117"/>
    <cellStyle name="PrePop Units (0) 38" xfId="6170"/>
    <cellStyle name="PrePop Units (0) 39" xfId="5739"/>
    <cellStyle name="PrePop Units (0) 4" xfId="3250"/>
    <cellStyle name="PrePop Units (0) 40" xfId="6361"/>
    <cellStyle name="PrePop Units (0) 41" xfId="3999"/>
    <cellStyle name="PrePop Units (0) 42" xfId="6547"/>
    <cellStyle name="PrePop Units (0) 43" xfId="6678"/>
    <cellStyle name="PrePop Units (0) 44" xfId="6242"/>
    <cellStyle name="PrePop Units (0) 45" xfId="6857"/>
    <cellStyle name="PrePop Units (0) 46" xfId="6432"/>
    <cellStyle name="PrePop Units (0) 47" xfId="6709"/>
    <cellStyle name="PrePop Units (0) 48" xfId="6800"/>
    <cellStyle name="PrePop Units (0) 49" xfId="6888"/>
    <cellStyle name="PrePop Units (0) 5" xfId="3298"/>
    <cellStyle name="PrePop Units (0) 50" xfId="6741"/>
    <cellStyle name="PrePop Units (0) 51" xfId="6919"/>
    <cellStyle name="PrePop Units (0) 52" xfId="7011"/>
    <cellStyle name="PrePop Units (0) 53" xfId="7097"/>
    <cellStyle name="PrePop Units (0) 54" xfId="6068"/>
    <cellStyle name="PrePop Units (0) 55" xfId="4682"/>
    <cellStyle name="PrePop Units (0) 56" xfId="6262"/>
    <cellStyle name="PrePop Units (0) 57" xfId="6639"/>
    <cellStyle name="PrePop Units (0) 6" xfId="3245"/>
    <cellStyle name="PrePop Units (0) 7" xfId="3303"/>
    <cellStyle name="PrePop Units (0) 8" xfId="3257"/>
    <cellStyle name="PrePop Units (0) 9" xfId="4351"/>
    <cellStyle name="PrePop Units (1)" xfId="636"/>
    <cellStyle name="PrePop Units (1) 10" xfId="4457"/>
    <cellStyle name="PrePop Units (1) 11" xfId="3595"/>
    <cellStyle name="PrePop Units (1) 12" xfId="3043"/>
    <cellStyle name="PrePop Units (1) 13" xfId="3392"/>
    <cellStyle name="PrePop Units (1) 14" xfId="3996"/>
    <cellStyle name="PrePop Units (1) 15" xfId="3803"/>
    <cellStyle name="PrePop Units (1) 16" xfId="4126"/>
    <cellStyle name="PrePop Units (1) 17" xfId="2568"/>
    <cellStyle name="PrePop Units (1) 18" xfId="4237"/>
    <cellStyle name="PrePop Units (1) 19" xfId="2466"/>
    <cellStyle name="PrePop Units (1) 2" xfId="3255"/>
    <cellStyle name="PrePop Units (1) 20" xfId="3733"/>
    <cellStyle name="PrePop Units (1) 21" xfId="3890"/>
    <cellStyle name="PrePop Units (1) 22" xfId="2786"/>
    <cellStyle name="PrePop Units (1) 23" xfId="3642"/>
    <cellStyle name="PrePop Units (1) 24" xfId="2996"/>
    <cellStyle name="PrePop Units (1) 25" xfId="4970"/>
    <cellStyle name="PrePop Units (1) 26" xfId="2801"/>
    <cellStyle name="PrePop Units (1) 27" xfId="3919"/>
    <cellStyle name="PrePop Units (1) 28" xfId="4100"/>
    <cellStyle name="PrePop Units (1) 29" xfId="2713"/>
    <cellStyle name="PrePop Units (1) 3" xfId="3293"/>
    <cellStyle name="PrePop Units (1) 30" xfId="2904"/>
    <cellStyle name="PrePop Units (1) 31" xfId="5577"/>
    <cellStyle name="PrePop Units (1) 32" xfId="2766"/>
    <cellStyle name="PrePop Units (1) 33" xfId="5120"/>
    <cellStyle name="PrePop Units (1) 34" xfId="4326"/>
    <cellStyle name="PrePop Units (1) 35" xfId="5325"/>
    <cellStyle name="PrePop Units (1) 36" xfId="5275"/>
    <cellStyle name="PrePop Units (1) 37" xfId="5528"/>
    <cellStyle name="PrePop Units (1) 38" xfId="3795"/>
    <cellStyle name="PrePop Units (1) 39" xfId="5737"/>
    <cellStyle name="PrePop Units (1) 4" xfId="3251"/>
    <cellStyle name="PrePop Units (1) 40" xfId="6399"/>
    <cellStyle name="PrePop Units (1) 41" xfId="6144"/>
    <cellStyle name="PrePop Units (1) 42" xfId="6046"/>
    <cellStyle name="PrePop Units (1) 43" xfId="3499"/>
    <cellStyle name="PrePop Units (1) 44" xfId="3630"/>
    <cellStyle name="PrePop Units (1) 45" xfId="2873"/>
    <cellStyle name="PrePop Units (1) 46" xfId="3555"/>
    <cellStyle name="PrePop Units (1) 47" xfId="7004"/>
    <cellStyle name="PrePop Units (1) 48" xfId="6085"/>
    <cellStyle name="PrePop Units (1) 49" xfId="7173"/>
    <cellStyle name="PrePop Units (1) 5" xfId="3297"/>
    <cellStyle name="PrePop Units (1) 50" xfId="6277"/>
    <cellStyle name="PrePop Units (1) 51" xfId="7341"/>
    <cellStyle name="PrePop Units (1) 52" xfId="5898"/>
    <cellStyle name="PrePop Units (1) 53" xfId="7506"/>
    <cellStyle name="PrePop Units (1) 54" xfId="6102"/>
    <cellStyle name="PrePop Units (1) 55" xfId="2598"/>
    <cellStyle name="PrePop Units (1) 56" xfId="3662"/>
    <cellStyle name="PrePop Units (1) 57" xfId="2489"/>
    <cellStyle name="PrePop Units (1) 6" xfId="3246"/>
    <cellStyle name="PrePop Units (1) 7" xfId="3302"/>
    <cellStyle name="PrePop Units (1) 8" xfId="3258"/>
    <cellStyle name="PrePop Units (1) 9" xfId="3308"/>
    <cellStyle name="PrePop Units (2)" xfId="637"/>
    <cellStyle name="PrePop Units (2) 10" xfId="3824"/>
    <cellStyle name="PrePop Units (2) 11" xfId="2846"/>
    <cellStyle name="PrePop Units (2) 12" xfId="2523"/>
    <cellStyle name="PrePop Units (2) 13" xfId="3056"/>
    <cellStyle name="PrePop Units (2) 14" xfId="3379"/>
    <cellStyle name="PrePop Units (2) 15" xfId="3139"/>
    <cellStyle name="PrePop Units (2) 16" xfId="3876"/>
    <cellStyle name="PrePop Units (2) 17" xfId="4646"/>
    <cellStyle name="PrePop Units (2) 18" xfId="3573"/>
    <cellStyle name="PrePop Units (2) 19" xfId="3771"/>
    <cellStyle name="PrePop Units (2) 2" xfId="3256"/>
    <cellStyle name="PrePop Units (2) 20" xfId="4957"/>
    <cellStyle name="PrePop Units (2) 21" xfId="4406"/>
    <cellStyle name="PrePop Units (2) 22" xfId="4507"/>
    <cellStyle name="PrePop Units (2) 23" xfId="2500"/>
    <cellStyle name="PrePop Units (2) 24" xfId="3660"/>
    <cellStyle name="PrePop Units (2) 25" xfId="4409"/>
    <cellStyle name="PrePop Units (2) 26" xfId="2770"/>
    <cellStyle name="PrePop Units (2) 27" xfId="3955"/>
    <cellStyle name="PrePop Units (2) 28" xfId="4328"/>
    <cellStyle name="PrePop Units (2) 29" xfId="3292"/>
    <cellStyle name="PrePop Units (2) 3" xfId="3800"/>
    <cellStyle name="PrePop Units (2) 30" xfId="6043"/>
    <cellStyle name="PrePop Units (2) 31" xfId="6138"/>
    <cellStyle name="PrePop Units (2) 32" xfId="6239"/>
    <cellStyle name="PrePop Units (2) 33" xfId="2540"/>
    <cellStyle name="PrePop Units (2) 34" xfId="5072"/>
    <cellStyle name="PrePop Units (2) 35" xfId="4368"/>
    <cellStyle name="PrePop Units (2) 36" xfId="4211"/>
    <cellStyle name="PrePop Units (2) 37" xfId="6707"/>
    <cellStyle name="PrePop Units (2) 38" xfId="6794"/>
    <cellStyle name="PrePop Units (2) 39" xfId="6886"/>
    <cellStyle name="PrePop Units (2) 4" xfId="2867"/>
    <cellStyle name="PrePop Units (2) 40" xfId="5682"/>
    <cellStyle name="PrePop Units (2) 41" xfId="4995"/>
    <cellStyle name="PrePop Units (2) 42" xfId="4212"/>
    <cellStyle name="PrePop Units (2) 43" xfId="5995"/>
    <cellStyle name="PrePop Units (2) 44" xfId="5609"/>
    <cellStyle name="PrePop Units (2) 45" xfId="7357"/>
    <cellStyle name="PrePop Units (2) 46" xfId="6540"/>
    <cellStyle name="PrePop Units (2) 47" xfId="7520"/>
    <cellStyle name="PrePop Units (2) 48" xfId="7077"/>
    <cellStyle name="PrePop Units (2) 49" xfId="6816"/>
    <cellStyle name="PrePop Units (2) 5" xfId="3561"/>
    <cellStyle name="PrePop Units (2) 50" xfId="6473"/>
    <cellStyle name="PrePop Units (2) 51" xfId="6996"/>
    <cellStyle name="PrePop Units (2) 52" xfId="6412"/>
    <cellStyle name="PrePop Units (2) 53" xfId="5964"/>
    <cellStyle name="PrePop Units (2) 54" xfId="5141"/>
    <cellStyle name="PrePop Units (2) 55" xfId="6276"/>
    <cellStyle name="PrePop Units (2) 56" xfId="4472"/>
    <cellStyle name="PrePop Units (2) 57" xfId="7181"/>
    <cellStyle name="PrePop Units (2) 6" xfId="3837"/>
    <cellStyle name="PrePop Units (2) 7" xfId="2835"/>
    <cellStyle name="PrePop Units (2) 8" xfId="2781"/>
    <cellStyle name="PrePop Units (2) 9" xfId="3839"/>
    <cellStyle name="Procent_BINV" xfId="1695"/>
    <cellStyle name="regstoresfromspecstores" xfId="638"/>
    <cellStyle name="RevList" xfId="639"/>
    <cellStyle name="sh" xfId="640"/>
    <cellStyle name="SHADEDSTORES" xfId="641"/>
    <cellStyle name="specstores" xfId="642"/>
    <cellStyle name="ssh" xfId="643"/>
    <cellStyle name="_x0001__x0002_ƨƬ_x0007__x000d_ǒǓ _x000d_ǜǜ_x000d__x000d_ǪǪ_x0007__x0007__x0005__x0005__x0010__x0001_ဠ" xfId="1696"/>
    <cellStyle name="Standaard_BINV" xfId="1697"/>
    <cellStyle name="STANDARD" xfId="644"/>
    <cellStyle name="STANDARD 10" xfId="3162"/>
    <cellStyle name="STANDARD 11" xfId="3365"/>
    <cellStyle name="STANDARD 12" xfId="2631"/>
    <cellStyle name="STANDARD 13" xfId="4173"/>
    <cellStyle name="STANDARD 14" xfId="3908"/>
    <cellStyle name="STANDARD 15" xfId="4277"/>
    <cellStyle name="STANDARD 16" xfId="4389"/>
    <cellStyle name="STANDARD 17" xfId="4486"/>
    <cellStyle name="STANDARD 18" xfId="4590"/>
    <cellStyle name="STANDARD 19" xfId="4695"/>
    <cellStyle name="STANDARD 2" xfId="1698"/>
    <cellStyle name="STANDARD 20" xfId="4801"/>
    <cellStyle name="STANDARD 21" xfId="4904"/>
    <cellStyle name="STANDARD 22" xfId="5012"/>
    <cellStyle name="STANDARD 23" xfId="5112"/>
    <cellStyle name="STANDARD 24" xfId="5215"/>
    <cellStyle name="STANDARD 25" xfId="5317"/>
    <cellStyle name="STANDARD 26" xfId="5416"/>
    <cellStyle name="STANDARD 27" xfId="5520"/>
    <cellStyle name="STANDARD 28" xfId="5623"/>
    <cellStyle name="STANDARD 29" xfId="5729"/>
    <cellStyle name="STANDARD 3" xfId="3260"/>
    <cellStyle name="STANDARD 30" xfId="4154"/>
    <cellStyle name="STANDARD 31" xfId="5676"/>
    <cellStyle name="STANDARD 32" xfId="4531"/>
    <cellStyle name="STANDARD 33" xfId="5885"/>
    <cellStyle name="STANDARD 34" xfId="4739"/>
    <cellStyle name="STANDARD 35" xfId="6329"/>
    <cellStyle name="STANDARD 36" xfId="6424"/>
    <cellStyle name="STANDARD 37" xfId="3329"/>
    <cellStyle name="STANDARD 38" xfId="6125"/>
    <cellStyle name="STANDARD 39" xfId="5646"/>
    <cellStyle name="STANDARD 4" xfId="3289"/>
    <cellStyle name="STANDARD 40" xfId="6320"/>
    <cellStyle name="STANDARD 41" xfId="5857"/>
    <cellStyle name="STANDARD 42" xfId="6971"/>
    <cellStyle name="STANDARD 43" xfId="7058"/>
    <cellStyle name="STANDARD 44" xfId="7142"/>
    <cellStyle name="STANDARD 45" xfId="7228"/>
    <cellStyle name="STANDARD 46" xfId="7311"/>
    <cellStyle name="STANDARD 47" xfId="7397"/>
    <cellStyle name="STANDARD 48" xfId="7477"/>
    <cellStyle name="STANDARD 49" xfId="7560"/>
    <cellStyle name="STANDARD 5" xfId="3799"/>
    <cellStyle name="STANDARD 50" xfId="7636"/>
    <cellStyle name="STANDARD 51" xfId="7708"/>
    <cellStyle name="STANDARD 52" xfId="7777"/>
    <cellStyle name="STANDARD 53" xfId="7843"/>
    <cellStyle name="STANDARD 54" xfId="7909"/>
    <cellStyle name="STANDARD 55" xfId="7972"/>
    <cellStyle name="STANDARD 56" xfId="8035"/>
    <cellStyle name="STANDARD 57" xfId="8095"/>
    <cellStyle name="STANDARD 58" xfId="8154"/>
    <cellStyle name="STANDARD 6" xfId="2868"/>
    <cellStyle name="STANDARD 7" xfId="3560"/>
    <cellStyle name="STANDARD 8" xfId="3076"/>
    <cellStyle name="STANDARD 9" xfId="3044"/>
    <cellStyle name="STD" xfId="645"/>
    <cellStyle name="subhead" xfId="646"/>
    <cellStyle name="Subtotal" xfId="647"/>
    <cellStyle name="Text Indent A" xfId="648"/>
    <cellStyle name="Text Indent B" xfId="649"/>
    <cellStyle name="Text Indent B 10" xfId="3559"/>
    <cellStyle name="Text Indent B 11" xfId="3896"/>
    <cellStyle name="Text Indent B 12" xfId="3911"/>
    <cellStyle name="Text Indent B 13" xfId="4459"/>
    <cellStyle name="Text Indent B 14" xfId="4127"/>
    <cellStyle name="Text Indent B 15" xfId="2567"/>
    <cellStyle name="Text Indent B 16" xfId="4238"/>
    <cellStyle name="Text Indent B 17" xfId="2465"/>
    <cellStyle name="Text Indent B 18" xfId="3734"/>
    <cellStyle name="Text Indent B 19" xfId="3634"/>
    <cellStyle name="Text Indent B 2" xfId="3266"/>
    <cellStyle name="Text Indent B 20" xfId="2894"/>
    <cellStyle name="Text Indent B 21" xfId="3537"/>
    <cellStyle name="Text Indent B 22" xfId="3914"/>
    <cellStyle name="Text Indent B 23" xfId="4971"/>
    <cellStyle name="Text Indent B 24" xfId="2972"/>
    <cellStyle name="Text Indent B 25" xfId="3461"/>
    <cellStyle name="Text Indent B 26" xfId="2892"/>
    <cellStyle name="Text Indent B 27" xfId="3422"/>
    <cellStyle name="Text Indent B 28" xfId="3118"/>
    <cellStyle name="Text Indent B 29" xfId="6300"/>
    <cellStyle name="Text Indent B 3" xfId="3284"/>
    <cellStyle name="Text Indent B 30" xfId="5269"/>
    <cellStyle name="Text Indent B 31" xfId="6489"/>
    <cellStyle name="Text Indent B 32" xfId="5469"/>
    <cellStyle name="Text Indent B 33" xfId="5371"/>
    <cellStyle name="Text Indent B 34" xfId="3389"/>
    <cellStyle name="Text Indent B 35" xfId="4331"/>
    <cellStyle name="Text Indent B 36" xfId="6944"/>
    <cellStyle name="Text Indent B 37" xfId="6233"/>
    <cellStyle name="Text Indent B 38" xfId="7119"/>
    <cellStyle name="Text Indent B 39" xfId="5923"/>
    <cellStyle name="Text Indent B 4" xfId="3263"/>
    <cellStyle name="Text Indent B 40" xfId="6092"/>
    <cellStyle name="Text Indent B 41" xfId="4887"/>
    <cellStyle name="Text Indent B 42" xfId="6443"/>
    <cellStyle name="Text Indent B 43" xfId="5096"/>
    <cellStyle name="Text Indent B 44" xfId="5507"/>
    <cellStyle name="Text Indent B 45" xfId="5300"/>
    <cellStyle name="Text Indent B 46" xfId="6193"/>
    <cellStyle name="Text Indent B 47" xfId="4751"/>
    <cellStyle name="Text Indent B 48" xfId="6386"/>
    <cellStyle name="Text Indent B 49" xfId="4956"/>
    <cellStyle name="Text Indent B 5" xfId="3286"/>
    <cellStyle name="Text Indent B 50" xfId="3510"/>
    <cellStyle name="Text Indent B 51" xfId="5167"/>
    <cellStyle name="Text Indent B 52" xfId="6846"/>
    <cellStyle name="Text Indent B 53" xfId="5194"/>
    <cellStyle name="Text Indent B 54" xfId="6217"/>
    <cellStyle name="Text Indent B 55" xfId="6464"/>
    <cellStyle name="Text Indent B 56" xfId="6407"/>
    <cellStyle name="Text Indent B 57" xfId="6575"/>
    <cellStyle name="Text Indent B 6" xfId="3261"/>
    <cellStyle name="Text Indent B 7" xfId="3838"/>
    <cellStyle name="Text Indent B 8" xfId="3262"/>
    <cellStyle name="Text Indent B 9" xfId="3594"/>
    <cellStyle name="Text Indent C" xfId="650"/>
    <cellStyle name="Text Indent C 10" xfId="4353"/>
    <cellStyle name="Text Indent C 11" xfId="3391"/>
    <cellStyle name="Text Indent C 12" xfId="4559"/>
    <cellStyle name="Text Indent C 13" xfId="4661"/>
    <cellStyle name="Text Indent C 14" xfId="4767"/>
    <cellStyle name="Text Indent C 15" xfId="4872"/>
    <cellStyle name="Text Indent C 16" xfId="4979"/>
    <cellStyle name="Text Indent C 17" xfId="5081"/>
    <cellStyle name="Text Indent C 18" xfId="5181"/>
    <cellStyle name="Text Indent C 19" xfId="5285"/>
    <cellStyle name="Text Indent C 2" xfId="3267"/>
    <cellStyle name="Text Indent C 20" xfId="5385"/>
    <cellStyle name="Text Indent C 21" xfId="5486"/>
    <cellStyle name="Text Indent C 22" xfId="5589"/>
    <cellStyle name="Text Indent C 23" xfId="5693"/>
    <cellStyle name="Text Indent C 24" xfId="5801"/>
    <cellStyle name="Text Indent C 25" xfId="5903"/>
    <cellStyle name="Text Indent C 26" xfId="6004"/>
    <cellStyle name="Text Indent C 27" xfId="6107"/>
    <cellStyle name="Text Indent C 28" xfId="6202"/>
    <cellStyle name="Text Indent C 29" xfId="4955"/>
    <cellStyle name="Text Indent C 3" xfId="3283"/>
    <cellStyle name="Text Indent C 30" xfId="3204"/>
    <cellStyle name="Text Indent C 31" xfId="5166"/>
    <cellStyle name="Text Indent C 32" xfId="6580"/>
    <cellStyle name="Text Indent C 33" xfId="6673"/>
    <cellStyle name="Text Indent C 34" xfId="6764"/>
    <cellStyle name="Text Indent C 35" xfId="6852"/>
    <cellStyle name="Text Indent C 36" xfId="4243"/>
    <cellStyle name="Text Indent C 37" xfId="5156"/>
    <cellStyle name="Text Indent C 38" xfId="5886"/>
    <cellStyle name="Text Indent C 39" xfId="7203"/>
    <cellStyle name="Text Indent C 4" xfId="3264"/>
    <cellStyle name="Text Indent C 40" xfId="7286"/>
    <cellStyle name="Text Indent C 41" xfId="7371"/>
    <cellStyle name="Text Indent C 42" xfId="7451"/>
    <cellStyle name="Text Indent C 43" xfId="7534"/>
    <cellStyle name="Text Indent C 44" xfId="7610"/>
    <cellStyle name="Text Indent C 45" xfId="7684"/>
    <cellStyle name="Text Indent C 46" xfId="7753"/>
    <cellStyle name="Text Indent C 47" xfId="7819"/>
    <cellStyle name="Text Indent C 48" xfId="7885"/>
    <cellStyle name="Text Indent C 49" xfId="7950"/>
    <cellStyle name="Text Indent C 5" xfId="4009"/>
    <cellStyle name="Text Indent C 50" xfId="8013"/>
    <cellStyle name="Text Indent C 51" xfId="8073"/>
    <cellStyle name="Text Indent C 52" xfId="8132"/>
    <cellStyle name="Text Indent C 53" xfId="8191"/>
    <cellStyle name="Text Indent C 54" xfId="8246"/>
    <cellStyle name="Text Indent C 55" xfId="8298"/>
    <cellStyle name="Text Indent C 56" xfId="8347"/>
    <cellStyle name="Text Indent C 57" xfId="8392"/>
    <cellStyle name="Text Indent C 6" xfId="2687"/>
    <cellStyle name="Text Indent C 7" xfId="4138"/>
    <cellStyle name="Text Indent C 8" xfId="3265"/>
    <cellStyle name="Text Indent C 9" xfId="4246"/>
    <cellStyle name="þ?b?þ?b?þ?b?þ?b?þ?b?þ?b?þ?b灌þ?b?þ?&lt;?b?þ?b濬þ?b?þ?b?þ昰_x0018_?þ????_x0008_" xfId="1699"/>
    <cellStyle name="þ൚b⍼þ൪b⎨þൺb⏜þඊb␌þකb濰þඪb瀠þයb灌þ්b炈þ宐&lt;෢b濈þෲb濬þขb瀐þฒb瀰þ昰_x0018_⋸þ㤕䰀ጤܕ_x0008_" xfId="651"/>
    <cellStyle name="Title" xfId="1700"/>
    <cellStyle name="title [1]" xfId="652"/>
    <cellStyle name="title [2]" xfId="653"/>
    <cellStyle name="Title 2" xfId="1701"/>
    <cellStyle name="Title_1)농경문화관 전시" xfId="1702"/>
    <cellStyle name="Total" xfId="654"/>
    <cellStyle name="Total 10" xfId="3271"/>
    <cellStyle name="Total 11" xfId="3278"/>
    <cellStyle name="Total 12" xfId="3270"/>
    <cellStyle name="Total 13" xfId="3279"/>
    <cellStyle name="Total 14" xfId="3269"/>
    <cellStyle name="Total 15" xfId="3280"/>
    <cellStyle name="Total 16" xfId="3268"/>
    <cellStyle name="Total 17" xfId="3282"/>
    <cellStyle name="Total 18" xfId="3259"/>
    <cellStyle name="Total 19" xfId="3285"/>
    <cellStyle name="Total 2" xfId="1703"/>
    <cellStyle name="Total 20" xfId="2556"/>
    <cellStyle name="Total 21" xfId="3287"/>
    <cellStyle name="Total 22" xfId="2834"/>
    <cellStyle name="Total 23" xfId="3290"/>
    <cellStyle name="Total 24" xfId="3798"/>
    <cellStyle name="Total 25" xfId="2869"/>
    <cellStyle name="Total 26" xfId="4458"/>
    <cellStyle name="Total 27" xfId="4352"/>
    <cellStyle name="Total 28" xfId="4070"/>
    <cellStyle name="Total 29" xfId="3647"/>
    <cellStyle name="Total 3" xfId="3275"/>
    <cellStyle name="Total 30" xfId="3109"/>
    <cellStyle name="Total 31" xfId="4244"/>
    <cellStyle name="Total 32" xfId="2848"/>
    <cellStyle name="Total 33" xfId="3439"/>
    <cellStyle name="Total 34" xfId="3058"/>
    <cellStyle name="Total 35" xfId="2525"/>
    <cellStyle name="Total 36" xfId="4441"/>
    <cellStyle name="Total 37" xfId="4335"/>
    <cellStyle name="Total 38" xfId="3580"/>
    <cellStyle name="Total 39" xfId="4266"/>
    <cellStyle name="Total 4" xfId="3274"/>
    <cellStyle name="Total 40" xfId="2976"/>
    <cellStyle name="Total 41" xfId="4750"/>
    <cellStyle name="Total 42" xfId="4855"/>
    <cellStyle name="Total 43" xfId="4430"/>
    <cellStyle name="Total 44" xfId="5066"/>
    <cellStyle name="Total 45" xfId="4025"/>
    <cellStyle name="Total 46" xfId="6394"/>
    <cellStyle name="Total 47" xfId="5834"/>
    <cellStyle name="Total 48" xfId="2670"/>
    <cellStyle name="Total 49" xfId="6037"/>
    <cellStyle name="Total 5" xfId="3276"/>
    <cellStyle name="Total 50" xfId="6488"/>
    <cellStyle name="Total 51" xfId="7029"/>
    <cellStyle name="Total 52" xfId="4941"/>
    <cellStyle name="Total 53" xfId="5475"/>
    <cellStyle name="Total 54" xfId="2565"/>
    <cellStyle name="Total 55" xfId="7118"/>
    <cellStyle name="Total 56" xfId="6517"/>
    <cellStyle name="Total 57" xfId="5576"/>
    <cellStyle name="Total 58" xfId="6701"/>
    <cellStyle name="Total 6" xfId="3273"/>
    <cellStyle name="Total 7" xfId="3277"/>
    <cellStyle name="Total 8" xfId="3272"/>
    <cellStyle name="Total 9" xfId="3281"/>
    <cellStyle name="UM" xfId="655"/>
    <cellStyle name="Unprot" xfId="656"/>
    <cellStyle name="Unprot$" xfId="657"/>
    <cellStyle name="Unprotect" xfId="658"/>
    <cellStyle name="Valuta [0]_BINV" xfId="1704"/>
    <cellStyle name="Valuta_BINV" xfId="1705"/>
    <cellStyle name="W?rung [0]_Ausdruck RUND (D)" xfId="659"/>
    <cellStyle name="W?rung_Ausdruck RUND (D)" xfId="660"/>
    <cellStyle name="_x0008_z" xfId="661"/>
    <cellStyle name="μU¿¡ ¿A´A CIAIÆU¸μAⓒ" xfId="662"/>
    <cellStyle name="_x0010__x0001_ဠ" xfId="1706"/>
    <cellStyle name="|?ドE" xfId="663"/>
    <cellStyle name="견적" xfId="1707"/>
    <cellStyle name="견적 2" xfId="1708"/>
    <cellStyle name="견적 3" xfId="1709"/>
    <cellStyle name="고정소숫점" xfId="664"/>
    <cellStyle name="고정소숫점 10" xfId="3997"/>
    <cellStyle name="고정소숫점 11" xfId="4558"/>
    <cellStyle name="고정소숫점 12" xfId="4660"/>
    <cellStyle name="고정소숫점 13" xfId="4766"/>
    <cellStyle name="고정소숫점 14" xfId="4871"/>
    <cellStyle name="고정소숫점 15" xfId="4978"/>
    <cellStyle name="고정소숫점 16" xfId="5080"/>
    <cellStyle name="고정소숫점 17" xfId="5180"/>
    <cellStyle name="고정소숫점 18" xfId="5284"/>
    <cellStyle name="고정소숫점 19" xfId="5384"/>
    <cellStyle name="고정소숫점 2" xfId="1710"/>
    <cellStyle name="고정소숫점 20" xfId="5485"/>
    <cellStyle name="고정소숫점 21" xfId="5588"/>
    <cellStyle name="고정소숫점 22" xfId="5692"/>
    <cellStyle name="고정소숫점 23" xfId="5800"/>
    <cellStyle name="고정소숫점 24" xfId="5902"/>
    <cellStyle name="고정소숫점 25" xfId="6003"/>
    <cellStyle name="고정소숫점 26" xfId="6106"/>
    <cellStyle name="고정소숫점 27" xfId="6201"/>
    <cellStyle name="고정소숫점 28" xfId="6299"/>
    <cellStyle name="고정소숫점 29" xfId="6393"/>
    <cellStyle name="고정소숫점 3" xfId="3288"/>
    <cellStyle name="고정소숫점 30" xfId="5935"/>
    <cellStyle name="고정소숫점 31" xfId="6579"/>
    <cellStyle name="고정소숫점 32" xfId="6672"/>
    <cellStyle name="고정소숫점 33" xfId="6763"/>
    <cellStyle name="고정소숫점 34" xfId="6851"/>
    <cellStyle name="고정소숫점 35" xfId="6943"/>
    <cellStyle name="고정소숫점 36" xfId="7028"/>
    <cellStyle name="고정소숫점 37" xfId="6610"/>
    <cellStyle name="고정소숫점 38" xfId="7202"/>
    <cellStyle name="고정소숫점 39" xfId="7285"/>
    <cellStyle name="고정소숫점 4" xfId="4008"/>
    <cellStyle name="고정소숫점 40" xfId="7370"/>
    <cellStyle name="고정소숫점 41" xfId="7450"/>
    <cellStyle name="고정소숫점 42" xfId="7533"/>
    <cellStyle name="고정소숫점 43" xfId="7609"/>
    <cellStyle name="고정소숫점 44" xfId="7683"/>
    <cellStyle name="고정소숫점 45" xfId="7752"/>
    <cellStyle name="고정소숫점 46" xfId="7818"/>
    <cellStyle name="고정소숫점 47" xfId="7884"/>
    <cellStyle name="고정소숫점 48" xfId="7949"/>
    <cellStyle name="고정소숫점 49" xfId="8012"/>
    <cellStyle name="고정소숫점 5" xfId="2688"/>
    <cellStyle name="고정소숫점 50" xfId="8072"/>
    <cellStyle name="고정소숫점 51" xfId="8131"/>
    <cellStyle name="고정소숫점 52" xfId="8190"/>
    <cellStyle name="고정소숫점 53" xfId="8245"/>
    <cellStyle name="고정소숫점 54" xfId="8297"/>
    <cellStyle name="고정소숫점 55" xfId="8346"/>
    <cellStyle name="고정소숫점 56" xfId="8391"/>
    <cellStyle name="고정소숫점 57" xfId="8435"/>
    <cellStyle name="고정소숫점 58" xfId="8471"/>
    <cellStyle name="고정소숫점 6" xfId="4137"/>
    <cellStyle name="고정소숫점 7" xfId="2557"/>
    <cellStyle name="고정소숫점 8" xfId="4245"/>
    <cellStyle name="고정소숫점 9" xfId="3291"/>
    <cellStyle name="고정출력1" xfId="665"/>
    <cellStyle name="고정출력2" xfId="666"/>
    <cellStyle name="공사원가계산서(조경)" xfId="1711"/>
    <cellStyle name="공종" xfId="667"/>
    <cellStyle name="咬訌裝?INCOM1" xfId="668"/>
    <cellStyle name="咬訌裝?INCOM10" xfId="669"/>
    <cellStyle name="咬訌裝?INCOM2" xfId="670"/>
    <cellStyle name="咬訌裝?INCOM3" xfId="671"/>
    <cellStyle name="咬訌裝?INCOM4" xfId="672"/>
    <cellStyle name="咬訌裝?INCOM5" xfId="673"/>
    <cellStyle name="咬訌裝?INCOM6" xfId="674"/>
    <cellStyle name="咬訌裝?INCOM7" xfId="675"/>
    <cellStyle name="咬訌裝?INCOM8" xfId="676"/>
    <cellStyle name="咬訌裝?INCOM9" xfId="677"/>
    <cellStyle name="咬訌裝?PRIB11" xfId="678"/>
    <cellStyle name="구        분" xfId="1712"/>
    <cellStyle name="금액" xfId="1713"/>
    <cellStyle name="금액 2" xfId="1714"/>
    <cellStyle name="기계" xfId="679"/>
    <cellStyle name="기계 10" xfId="4014"/>
    <cellStyle name="기계 11" xfId="3156"/>
    <cellStyle name="기계 12" xfId="3609"/>
    <cellStyle name="기계 13" xfId="2625"/>
    <cellStyle name="기계 14" xfId="4179"/>
    <cellStyle name="기계 15" xfId="2519"/>
    <cellStyle name="기계 16" xfId="4280"/>
    <cellStyle name="기계 17" xfId="4392"/>
    <cellStyle name="기계 18" xfId="4492"/>
    <cellStyle name="기계 19" xfId="4596"/>
    <cellStyle name="기계 2" xfId="1715"/>
    <cellStyle name="기계 20" xfId="4701"/>
    <cellStyle name="기계 21" xfId="4807"/>
    <cellStyle name="기계 22" xfId="4910"/>
    <cellStyle name="기계 23" xfId="5018"/>
    <cellStyle name="기계 24" xfId="5118"/>
    <cellStyle name="기계 25" xfId="5221"/>
    <cellStyle name="기계 26" xfId="5323"/>
    <cellStyle name="기계 27" xfId="5422"/>
    <cellStyle name="기계 28" xfId="5526"/>
    <cellStyle name="기계 29" xfId="5629"/>
    <cellStyle name="기계 3" xfId="1716"/>
    <cellStyle name="기계 30" xfId="5735"/>
    <cellStyle name="기계 31" xfId="5424"/>
    <cellStyle name="기계 32" xfId="4034"/>
    <cellStyle name="기계 33" xfId="4203"/>
    <cellStyle name="기계 34" xfId="4635"/>
    <cellStyle name="기계 35" xfId="4309"/>
    <cellStyle name="기계 36" xfId="6335"/>
    <cellStyle name="기계 37" xfId="6430"/>
    <cellStyle name="기계 38" xfId="2493"/>
    <cellStyle name="기계 39" xfId="3903"/>
    <cellStyle name="기계 4" xfId="3306"/>
    <cellStyle name="기계 40" xfId="4572"/>
    <cellStyle name="기계 41" xfId="6750"/>
    <cellStyle name="기계 42" xfId="4779"/>
    <cellStyle name="기계 43" xfId="6977"/>
    <cellStyle name="기계 44" xfId="7064"/>
    <cellStyle name="기계 45" xfId="7148"/>
    <cellStyle name="기계 46" xfId="7234"/>
    <cellStyle name="기계 47" xfId="7317"/>
    <cellStyle name="기계 48" xfId="7403"/>
    <cellStyle name="기계 49" xfId="7483"/>
    <cellStyle name="기계 5" xfId="3238"/>
    <cellStyle name="기계 50" xfId="7566"/>
    <cellStyle name="기계 51" xfId="7642"/>
    <cellStyle name="기계 52" xfId="7714"/>
    <cellStyle name="기계 53" xfId="7783"/>
    <cellStyle name="기계 54" xfId="7849"/>
    <cellStyle name="기계 55" xfId="7915"/>
    <cellStyle name="기계 56" xfId="7978"/>
    <cellStyle name="기계 57" xfId="8041"/>
    <cellStyle name="기계 58" xfId="8101"/>
    <cellStyle name="기계 59" xfId="8160"/>
    <cellStyle name="기계 6" xfId="3801"/>
    <cellStyle name="기계 7" xfId="2866"/>
    <cellStyle name="기계 8" xfId="3562"/>
    <cellStyle name="기계 9" xfId="3074"/>
    <cellStyle name="김해전기" xfId="1717"/>
    <cellStyle name="끼_x0001_?" xfId="680"/>
    <cellStyle name="날짜" xfId="681"/>
    <cellStyle name="날짜 10" xfId="4073"/>
    <cellStyle name="날짜 11" xfId="4242"/>
    <cellStyle name="날짜 12" xfId="4252"/>
    <cellStyle name="날짜 13" xfId="4357"/>
    <cellStyle name="날짜 14" xfId="4461"/>
    <cellStyle name="날짜 15" xfId="4564"/>
    <cellStyle name="날짜 16" xfId="4666"/>
    <cellStyle name="날짜 17" xfId="4772"/>
    <cellStyle name="날짜 18" xfId="4877"/>
    <cellStyle name="날짜 19" xfId="4984"/>
    <cellStyle name="날짜 2" xfId="3309"/>
    <cellStyle name="날짜 20" xfId="5086"/>
    <cellStyle name="날짜 21" xfId="5186"/>
    <cellStyle name="날짜 22" xfId="5290"/>
    <cellStyle name="날짜 23" xfId="5390"/>
    <cellStyle name="날짜 24" xfId="5491"/>
    <cellStyle name="날짜 25" xfId="5594"/>
    <cellStyle name="날짜 26" xfId="5698"/>
    <cellStyle name="날짜 27" xfId="5806"/>
    <cellStyle name="날짜 28" xfId="5908"/>
    <cellStyle name="날짜 29" xfId="5557"/>
    <cellStyle name="날짜 3" xfId="3235"/>
    <cellStyle name="날짜 30" xfId="3747"/>
    <cellStyle name="날짜 31" xfId="6208"/>
    <cellStyle name="날짜 32" xfId="2603"/>
    <cellStyle name="날짜 33" xfId="6400"/>
    <cellStyle name="날짜 34" xfId="6493"/>
    <cellStyle name="날짜 35" xfId="6585"/>
    <cellStyle name="날짜 36" xfId="4129"/>
    <cellStyle name="날짜 37" xfId="6275"/>
    <cellStyle name="날짜 38" xfId="6858"/>
    <cellStyle name="날짜 39" xfId="6465"/>
    <cellStyle name="날짜 4" xfId="3314"/>
    <cellStyle name="날짜 40" xfId="7035"/>
    <cellStyle name="날짜 41" xfId="7123"/>
    <cellStyle name="날짜 42" xfId="7208"/>
    <cellStyle name="날짜 43" xfId="7291"/>
    <cellStyle name="날짜 44" xfId="7376"/>
    <cellStyle name="날짜 45" xfId="7456"/>
    <cellStyle name="날짜 46" xfId="7539"/>
    <cellStyle name="날짜 47" xfId="7615"/>
    <cellStyle name="날짜 48" xfId="7689"/>
    <cellStyle name="날짜 49" xfId="7758"/>
    <cellStyle name="날짜 5" xfId="3230"/>
    <cellStyle name="날짜 50" xfId="7824"/>
    <cellStyle name="날짜 51" xfId="7890"/>
    <cellStyle name="날짜 52" xfId="7955"/>
    <cellStyle name="날짜 53" xfId="8018"/>
    <cellStyle name="날짜 54" xfId="8078"/>
    <cellStyle name="날짜 55" xfId="8137"/>
    <cellStyle name="날짜 56" xfId="8196"/>
    <cellStyle name="날짜 57" xfId="8251"/>
    <cellStyle name="날짜 6" xfId="3319"/>
    <cellStyle name="날짜 7" xfId="3220"/>
    <cellStyle name="날짜 8" xfId="3564"/>
    <cellStyle name="날짜 9" xfId="2681"/>
    <cellStyle name="내역" xfId="1718"/>
    <cellStyle name="내역서" xfId="682"/>
    <cellStyle name="네모제목" xfId="683"/>
    <cellStyle name="단위" xfId="1719"/>
    <cellStyle name="단위(원)" xfId="684"/>
    <cellStyle name="달러" xfId="685"/>
    <cellStyle name="뒤에 오는 하이퍼링크" xfId="686"/>
    <cellStyle name="똿뗦먛귟 [0.00]_laroux" xfId="1720"/>
    <cellStyle name="똿뗦먛귟_laroux" xfId="1721"/>
    <cellStyle name="฀䅀؀฀฀䅀؀฀฀䅀؀฀฀䅀؀฀฀䅀؀฀฀䅀؀฀฀䅀؀฀฀䅀؀฀฀䅀؀฀฀䁀" xfId="1722"/>
    <cellStyle name="마이너스키" xfId="687"/>
    <cellStyle name="믅됞 [0.00]_laroux" xfId="1723"/>
    <cellStyle name="믅됞_laroux" xfId="1724"/>
    <cellStyle name="배분" xfId="1725"/>
    <cellStyle name="배분 2" xfId="1726"/>
    <cellStyle name="배분 2 2" xfId="1727"/>
    <cellStyle name="배분 2 3" xfId="1728"/>
    <cellStyle name="백" xfId="688"/>
    <cellStyle name="백_2005년도 폐고무아스콘" xfId="1729"/>
    <cellStyle name="백_Book1" xfId="1730"/>
    <cellStyle name="백_Book1_2.전시모형" xfId="1731"/>
    <cellStyle name="백_KKK(GS)" xfId="1732"/>
    <cellStyle name="백_KKK(GS)_2.전시모형" xfId="1733"/>
    <cellStyle name="백_LLL(송림)" xfId="1734"/>
    <cellStyle name="백_LLL(송림)_2.전시모형" xfId="1735"/>
    <cellStyle name="백_PRS 교량 거더-최종 결과-수정" xfId="1736"/>
    <cellStyle name="백_sw,hw" xfId="689"/>
    <cellStyle name="백_계산서(공릉동)" xfId="1737"/>
    <cellStyle name="백_계산서(공릉동)_2.전시모형" xfId="1738"/>
    <cellStyle name="백_국립서울과학관 상설전시관-퍼펙트-디스켓" xfId="1739"/>
    <cellStyle name="백_내역서(조선왕궁유물전시관)" xfId="690"/>
    <cellStyle name="백_별첨-1" xfId="1740"/>
    <cellStyle name="백_별첨-1_2.전시모형" xfId="1741"/>
    <cellStyle name="백_사인물 작업" xfId="1742"/>
    <cellStyle name="백_산청군한약박물관_작업" xfId="1743"/>
    <cellStyle name="백_산청군한약박물관_작업-CD" xfId="1744"/>
    <cellStyle name="백_석촌동꽃마을빌딩" xfId="1745"/>
    <cellStyle name="백_석촌동꽃마을빌딩_2.전시모형" xfId="1746"/>
    <cellStyle name="백_석촌동꽃마을빌딩_KKK(GS)" xfId="1747"/>
    <cellStyle name="백_석촌동꽃마을빌딩_KKK(GS)_2.전시모형" xfId="1748"/>
    <cellStyle name="백_석촌동꽃마을빌딩_LLL(송림)" xfId="1749"/>
    <cellStyle name="백_석촌동꽃마을빌딩_LLL(송림)_2.전시모형" xfId="1750"/>
    <cellStyle name="백_석촌동꽃마을빌딩_계산서(공릉동)" xfId="1751"/>
    <cellStyle name="백_석촌동꽃마을빌딩_계산서(공릉동)_2.전시모형" xfId="1752"/>
    <cellStyle name="백_석촌동꽃마을빌딩_별첨-1" xfId="1753"/>
    <cellStyle name="백_석촌동꽃마을빌딩_별첨-1_2.전시모형" xfId="1754"/>
    <cellStyle name="백_석촌동꽃마을빌딩_소화계산서(공릉동)" xfId="1755"/>
    <cellStyle name="백_석촌동꽃마을빌딩_소화계산서(공릉동)_2.전시모형" xfId="1756"/>
    <cellStyle name="백_석촌동꽃마을빌딩_아파트(송림)" xfId="1757"/>
    <cellStyle name="백_석촌동꽃마을빌딩_아파트(송림)_2.전시모형" xfId="1758"/>
    <cellStyle name="백_석촌동꽃마을빌딩_에너지근거자료(GS)" xfId="1759"/>
    <cellStyle name="백_석촌동꽃마을빌딩_에너지근거자료(GS)_2.전시모형" xfId="1760"/>
    <cellStyle name="백_석촌동꽃마을빌딩_에너지근거자료(신봉)" xfId="1761"/>
    <cellStyle name="백_석촌동꽃마을빌딩_에너지근거자료(신봉)_2.전시모형" xfId="1762"/>
    <cellStyle name="백_석촌동꽃마을빌딩_표준" xfId="1763"/>
    <cellStyle name="백_석촌동꽃마을빌딩_표준_2.전시모형" xfId="1764"/>
    <cellStyle name="백_성산아파트" xfId="1765"/>
    <cellStyle name="백_성산아파트_2.전시모형" xfId="1766"/>
    <cellStyle name="백_성산아파트_KKK(GS)" xfId="1767"/>
    <cellStyle name="백_성산아파트_KKK(GS)_2.전시모형" xfId="1768"/>
    <cellStyle name="백_성산아파트_LLL(송림)" xfId="1769"/>
    <cellStyle name="백_성산아파트_LLL(송림)_2.전시모형" xfId="1770"/>
    <cellStyle name="백_성산아파트_계산서(공릉동)" xfId="1771"/>
    <cellStyle name="백_성산아파트_계산서(공릉동)_2.전시모형" xfId="1772"/>
    <cellStyle name="백_성산아파트_별첨-1" xfId="1773"/>
    <cellStyle name="백_성산아파트_별첨-1_2.전시모형" xfId="1774"/>
    <cellStyle name="백_성산아파트_소화계산서(공릉동)" xfId="1775"/>
    <cellStyle name="백_성산아파트_소화계산서(공릉동)_2.전시모형" xfId="1776"/>
    <cellStyle name="백_성산아파트_아파트(송림)" xfId="1777"/>
    <cellStyle name="백_성산아파트_아파트(송림)_2.전시모형" xfId="1778"/>
    <cellStyle name="백_성산아파트_에너지근거자료(GS)" xfId="1779"/>
    <cellStyle name="백_성산아파트_에너지근거자료(GS)_2.전시모형" xfId="1780"/>
    <cellStyle name="백_성산아파트_에너지근거자료(신봉)" xfId="1781"/>
    <cellStyle name="백_성산아파트_에너지근거자료(신봉)_2.전시모형" xfId="1782"/>
    <cellStyle name="백_성산아파트_표준" xfId="1783"/>
    <cellStyle name="백_성산아파트_표준_2.전시모형" xfId="1784"/>
    <cellStyle name="백_소화계산서(공릉동)" xfId="1785"/>
    <cellStyle name="백_소화계산서(공릉동)_2.전시모형" xfId="1786"/>
    <cellStyle name="백_슬기샘도서관(장안) 탐구과학 전시실" xfId="1787"/>
    <cellStyle name="백_슬기샘도서관(장안) 탐구과학 전시실-충무용사촌00" xfId="1788"/>
    <cellStyle name="백_신성교회" xfId="1789"/>
    <cellStyle name="백_신성교회_2.전시모형" xfId="1790"/>
    <cellStyle name="백_신성교회_KKK(GS)" xfId="1791"/>
    <cellStyle name="백_신성교회_KKK(GS)_2.전시모형" xfId="1792"/>
    <cellStyle name="백_신성교회_LLL(송림)" xfId="1793"/>
    <cellStyle name="백_신성교회_LLL(송림)_2.전시모형" xfId="1794"/>
    <cellStyle name="백_신성교회_계산서(공릉동)" xfId="1795"/>
    <cellStyle name="백_신성교회_계산서(공릉동)_2.전시모형" xfId="1796"/>
    <cellStyle name="백_신성교회_별첨-1" xfId="1797"/>
    <cellStyle name="백_신성교회_별첨-1_2.전시모형" xfId="1798"/>
    <cellStyle name="백_신성교회_소화계산서(공릉동)" xfId="1799"/>
    <cellStyle name="백_신성교회_소화계산서(공릉동)_2.전시모형" xfId="1800"/>
    <cellStyle name="백_신성교회_아파트(송림)" xfId="1801"/>
    <cellStyle name="백_신성교회_아파트(송림)_2.전시모형" xfId="1802"/>
    <cellStyle name="백_신성교회_에너지근거자료(GS)" xfId="1803"/>
    <cellStyle name="백_신성교회_에너지근거자료(GS)_2.전시모형" xfId="1804"/>
    <cellStyle name="백_신성교회_에너지근거자료(신봉)" xfId="1805"/>
    <cellStyle name="백_신성교회_에너지근거자료(신봉)_2.전시모형" xfId="1806"/>
    <cellStyle name="백_신성교회_표준" xfId="1807"/>
    <cellStyle name="백_신성교회_표준_2.전시모형" xfId="1808"/>
    <cellStyle name="백_신진상가" xfId="1809"/>
    <cellStyle name="백_아파트(송림)" xfId="1810"/>
    <cellStyle name="백_아파트(송림)_2.전시모형" xfId="1811"/>
    <cellStyle name="백_에너지근거자료(GS)" xfId="1812"/>
    <cellStyle name="백_에너지근거자료(GS)_2.전시모형" xfId="1813"/>
    <cellStyle name="백_에너지근거자료(신봉)" xfId="1814"/>
    <cellStyle name="백_에너지근거자료(신봉)_2.전시모형" xfId="1815"/>
    <cellStyle name="백_영양민물생태관-수정" xfId="691"/>
    <cellStyle name="백_영양민물생태관-수정디스켓" xfId="692"/>
    <cellStyle name="백_일위진행중" xfId="1816"/>
    <cellStyle name="백_제2세월교" xfId="1817"/>
    <cellStyle name="백_칼라아스콘-최종" xfId="1818"/>
    <cellStyle name="백_표준" xfId="1819"/>
    <cellStyle name="백_표준_2.전시모형" xfId="1820"/>
    <cellStyle name="백_현대미술관홍보실-최종" xfId="693"/>
    <cellStyle name="백_화개장터시설내역서최종)" xfId="694"/>
    <cellStyle name="백_화개장터장옥내역서" xfId="695"/>
    <cellStyle name="백분율 [△1]" xfId="1821"/>
    <cellStyle name="백분율 [△2]" xfId="1822"/>
    <cellStyle name="백분율 [0]" xfId="696"/>
    <cellStyle name="백분율 [2]" xfId="697"/>
    <cellStyle name="백분율 10" xfId="1823"/>
    <cellStyle name="백분율 2" xfId="1824"/>
    <cellStyle name="백분율 2 2" xfId="18"/>
    <cellStyle name="백분율 2 2 10" xfId="4361"/>
    <cellStyle name="백분율 2 2 11" xfId="4465"/>
    <cellStyle name="백분율 2 2 12" xfId="4568"/>
    <cellStyle name="백분율 2 2 13" xfId="4670"/>
    <cellStyle name="백분율 2 2 14" xfId="4776"/>
    <cellStyle name="백분율 2 2 15" xfId="4881"/>
    <cellStyle name="백분율 2 2 16" xfId="4988"/>
    <cellStyle name="백분율 2 2 17" xfId="5090"/>
    <cellStyle name="백분율 2 2 18" xfId="5190"/>
    <cellStyle name="백분율 2 2 19" xfId="5294"/>
    <cellStyle name="백분율 2 2 2" xfId="19"/>
    <cellStyle name="백분율 2 2 20" xfId="5394"/>
    <cellStyle name="백분율 2 2 21" xfId="5495"/>
    <cellStyle name="백분율 2 2 22" xfId="5598"/>
    <cellStyle name="백분율 2 2 23" xfId="5702"/>
    <cellStyle name="백분율 2 2 24" xfId="5810"/>
    <cellStyle name="백분율 2 2 25" xfId="5912"/>
    <cellStyle name="백분율 2 2 26" xfId="6013"/>
    <cellStyle name="백분율 2 2 27" xfId="6116"/>
    <cellStyle name="백분율 2 2 28" xfId="6210"/>
    <cellStyle name="백분율 2 2 29" xfId="6307"/>
    <cellStyle name="백분율 2 2 3" xfId="3325"/>
    <cellStyle name="백분율 2 2 30" xfId="6403"/>
    <cellStyle name="백분율 2 2 31" xfId="5951"/>
    <cellStyle name="백분율 2 2 32" xfId="6589"/>
    <cellStyle name="백분율 2 2 33" xfId="6682"/>
    <cellStyle name="백분율 2 2 34" xfId="6773"/>
    <cellStyle name="백분율 2 2 35" xfId="6860"/>
    <cellStyle name="백분율 2 2 36" xfId="6951"/>
    <cellStyle name="백분율 2 2 37" xfId="7038"/>
    <cellStyle name="백분율 2 2 38" xfId="6626"/>
    <cellStyle name="백분율 2 2 39" xfId="7212"/>
    <cellStyle name="백분율 2 2 4" xfId="3214"/>
    <cellStyle name="백분율 2 2 40" xfId="7295"/>
    <cellStyle name="백분율 2 2 41" xfId="7380"/>
    <cellStyle name="백분율 2 2 42" xfId="7460"/>
    <cellStyle name="백분율 2 2 43" xfId="7543"/>
    <cellStyle name="백분율 2 2 44" xfId="7619"/>
    <cellStyle name="백분율 2 2 45" xfId="7693"/>
    <cellStyle name="백분율 2 2 46" xfId="7762"/>
    <cellStyle name="백분율 2 2 47" xfId="7828"/>
    <cellStyle name="백분율 2 2 48" xfId="7894"/>
    <cellStyle name="백분율 2 2 49" xfId="7959"/>
    <cellStyle name="백분율 2 2 5" xfId="4018"/>
    <cellStyle name="백분율 2 2 50" xfId="8022"/>
    <cellStyle name="백분율 2 2 51" xfId="8082"/>
    <cellStyle name="백분율 2 2 52" xfId="8141"/>
    <cellStyle name="백분율 2 2 53" xfId="8200"/>
    <cellStyle name="백분율 2 2 54" xfId="8255"/>
    <cellStyle name="백분율 2 2 55" xfId="8306"/>
    <cellStyle name="백분율 2 2 56" xfId="8354"/>
    <cellStyle name="백분율 2 2 57" xfId="8398"/>
    <cellStyle name="백분율 2 2 58" xfId="8441"/>
    <cellStyle name="백분율 2 2 6" xfId="2678"/>
    <cellStyle name="백분율 2 2 7" xfId="4147"/>
    <cellStyle name="백분율 2 2 8" xfId="2548"/>
    <cellStyle name="백분율 2 2 9" xfId="3374"/>
    <cellStyle name="백분율 3" xfId="1825"/>
    <cellStyle name="백분율 4" xfId="1826"/>
    <cellStyle name="백분율 5" xfId="1827"/>
    <cellStyle name="백분율［△1］" xfId="1828"/>
    <cellStyle name="백분율［△1］ 2" xfId="1829"/>
    <cellStyle name="백분율［△2］" xfId="1830"/>
    <cellStyle name="백분율［△2］ 2" xfId="1831"/>
    <cellStyle name="뷭?" xfId="1832"/>
    <cellStyle name="빨간색" xfId="698"/>
    <cellStyle name="常规_cs802" xfId="1833"/>
    <cellStyle name="선택영역의 가운데로" xfId="1834"/>
    <cellStyle name="선택영역의 가운데로 2" xfId="1835"/>
    <cellStyle name="설계서" xfId="1836"/>
    <cellStyle name="설계서-내용" xfId="699"/>
    <cellStyle name="설계서-내용-소수점" xfId="700"/>
    <cellStyle name="설계서-내용-우" xfId="701"/>
    <cellStyle name="설계서-내용-좌" xfId="702"/>
    <cellStyle name="설계서-소제목" xfId="703"/>
    <cellStyle name="설계서-타이틀" xfId="704"/>
    <cellStyle name="설계서-항목" xfId="705"/>
    <cellStyle name="수량" xfId="706"/>
    <cellStyle name="수량 10" xfId="4474"/>
    <cellStyle name="수량 11" xfId="4579"/>
    <cellStyle name="수량 12" xfId="4684"/>
    <cellStyle name="수량 13" xfId="4788"/>
    <cellStyle name="수량 14" xfId="4892"/>
    <cellStyle name="수량 15" xfId="4999"/>
    <cellStyle name="수량 16" xfId="5100"/>
    <cellStyle name="수량 17" xfId="5202"/>
    <cellStyle name="수량 18" xfId="5305"/>
    <cellStyle name="수량 19" xfId="5404"/>
    <cellStyle name="수량 2" xfId="3339"/>
    <cellStyle name="수량 20" xfId="5508"/>
    <cellStyle name="수량 21" xfId="5610"/>
    <cellStyle name="수량 22" xfId="5716"/>
    <cellStyle name="수량 23" xfId="5821"/>
    <cellStyle name="수량 24" xfId="5924"/>
    <cellStyle name="수량 25" xfId="6025"/>
    <cellStyle name="수량 26" xfId="6126"/>
    <cellStyle name="수량 27" xfId="6221"/>
    <cellStyle name="수량 28" xfId="6321"/>
    <cellStyle name="수량 29" xfId="2779"/>
    <cellStyle name="수량 3" xfId="3198"/>
    <cellStyle name="수량 30" xfId="6508"/>
    <cellStyle name="수량 31" xfId="4860"/>
    <cellStyle name="수량 32" xfId="6692"/>
    <cellStyle name="수량 33" xfId="6784"/>
    <cellStyle name="수량 34" xfId="6870"/>
    <cellStyle name="수량 35" xfId="6962"/>
    <cellStyle name="수량 36" xfId="6655"/>
    <cellStyle name="수량 37" xfId="7132"/>
    <cellStyle name="수량 38" xfId="5987"/>
    <cellStyle name="수량 39" xfId="7302"/>
    <cellStyle name="수량 4" xfId="4030"/>
    <cellStyle name="수량 40" xfId="7387"/>
    <cellStyle name="수량 41" xfId="7467"/>
    <cellStyle name="수량 42" xfId="7550"/>
    <cellStyle name="수량 43" xfId="7626"/>
    <cellStyle name="수량 44" xfId="7699"/>
    <cellStyle name="수량 45" xfId="7768"/>
    <cellStyle name="수량 46" xfId="7834"/>
    <cellStyle name="수량 47" xfId="7900"/>
    <cellStyle name="수량 48" xfId="7963"/>
    <cellStyle name="수량 49" xfId="8026"/>
    <cellStyle name="수량 5" xfId="2664"/>
    <cellStyle name="수량 50" xfId="8086"/>
    <cellStyle name="수량 51" xfId="8145"/>
    <cellStyle name="수량 52" xfId="8204"/>
    <cellStyle name="수량 53" xfId="8259"/>
    <cellStyle name="수량 54" xfId="8310"/>
    <cellStyle name="수량 55" xfId="8358"/>
    <cellStyle name="수량 56" xfId="8402"/>
    <cellStyle name="수량 57" xfId="8443"/>
    <cellStyle name="수량 6" xfId="4160"/>
    <cellStyle name="수량 7" xfId="2534"/>
    <cellStyle name="수량 8" xfId="3586"/>
    <cellStyle name="수량 9" xfId="4374"/>
    <cellStyle name="수량1" xfId="707"/>
    <cellStyle name="수목명" xfId="708"/>
    <cellStyle name="수산" xfId="1837"/>
    <cellStyle name="숫자(R)" xfId="709"/>
    <cellStyle name="숫자(R) 10" xfId="4375"/>
    <cellStyle name="숫자(R) 11" xfId="4475"/>
    <cellStyle name="숫자(R) 12" xfId="4580"/>
    <cellStyle name="숫자(R) 13" xfId="4685"/>
    <cellStyle name="숫자(R) 14" xfId="4789"/>
    <cellStyle name="숫자(R) 15" xfId="4893"/>
    <cellStyle name="숫자(R) 16" xfId="5000"/>
    <cellStyle name="숫자(R) 17" xfId="5101"/>
    <cellStyle name="숫자(R) 18" xfId="5203"/>
    <cellStyle name="숫자(R) 19" xfId="5306"/>
    <cellStyle name="숫자(R) 2" xfId="1838"/>
    <cellStyle name="숫자(R) 20" xfId="5405"/>
    <cellStyle name="숫자(R) 21" xfId="5509"/>
    <cellStyle name="숫자(R) 22" xfId="5611"/>
    <cellStyle name="숫자(R) 23" xfId="5717"/>
    <cellStyle name="숫자(R) 24" xfId="5822"/>
    <cellStyle name="숫자(R) 25" xfId="5925"/>
    <cellStyle name="숫자(R) 26" xfId="6026"/>
    <cellStyle name="숫자(R) 27" xfId="6127"/>
    <cellStyle name="숫자(R) 28" xfId="6222"/>
    <cellStyle name="숫자(R) 29" xfId="6322"/>
    <cellStyle name="숫자(R) 3" xfId="3341"/>
    <cellStyle name="숫자(R) 30" xfId="5482"/>
    <cellStyle name="숫자(R) 31" xfId="3648"/>
    <cellStyle name="숫자(R) 32" xfId="5689"/>
    <cellStyle name="숫자(R) 33" xfId="3441"/>
    <cellStyle name="숫자(R) 34" xfId="6785"/>
    <cellStyle name="숫자(R) 35" xfId="6871"/>
    <cellStyle name="숫자(R) 36" xfId="6963"/>
    <cellStyle name="숫자(R) 37" xfId="5890"/>
    <cellStyle name="숫자(R) 38" xfId="5346"/>
    <cellStyle name="숫자(R) 39" xfId="5109"/>
    <cellStyle name="숫자(R) 4" xfId="3196"/>
    <cellStyle name="숫자(R) 40" xfId="4868"/>
    <cellStyle name="숫자(R) 41" xfId="7388"/>
    <cellStyle name="숫자(R) 42" xfId="7468"/>
    <cellStyle name="숫자(R) 43" xfId="7551"/>
    <cellStyle name="숫자(R) 44" xfId="7627"/>
    <cellStyle name="숫자(R) 45" xfId="7700"/>
    <cellStyle name="숫자(R) 46" xfId="7769"/>
    <cellStyle name="숫자(R) 47" xfId="7835"/>
    <cellStyle name="숫자(R) 48" xfId="7901"/>
    <cellStyle name="숫자(R) 49" xfId="7964"/>
    <cellStyle name="숫자(R) 5" xfId="4032"/>
    <cellStyle name="숫자(R) 50" xfId="8027"/>
    <cellStyle name="숫자(R) 51" xfId="8087"/>
    <cellStyle name="숫자(R) 52" xfId="8146"/>
    <cellStyle name="숫자(R) 53" xfId="8205"/>
    <cellStyle name="숫자(R) 54" xfId="8260"/>
    <cellStyle name="숫자(R) 55" xfId="8311"/>
    <cellStyle name="숫자(R) 56" xfId="8359"/>
    <cellStyle name="숫자(R) 57" xfId="8403"/>
    <cellStyle name="숫자(R) 58" xfId="8444"/>
    <cellStyle name="숫자(R) 6" xfId="2663"/>
    <cellStyle name="숫자(R) 7" xfId="4161"/>
    <cellStyle name="숫자(R) 8" xfId="2533"/>
    <cellStyle name="숫자(R) 9" xfId="3480"/>
    <cellStyle name="쉼표 [0]" xfId="1" builtinId="6"/>
    <cellStyle name="쉼표 [0] 10" xfId="1839"/>
    <cellStyle name="쉼표 [0] 10 2" xfId="1840"/>
    <cellStyle name="쉼표 [0] 10 3" xfId="1841"/>
    <cellStyle name="쉼표 [0] 2" xfId="10"/>
    <cellStyle name="쉼표 [0] 2 17" xfId="1842"/>
    <cellStyle name="쉼표 [0] 2 2" xfId="4"/>
    <cellStyle name="쉼표 [0] 2 2 10" xfId="3767"/>
    <cellStyle name="쉼표 [0] 2 2 11" xfId="3490"/>
    <cellStyle name="쉼표 [0] 2 2 12" xfId="3945"/>
    <cellStyle name="쉼표 [0] 2 2 13" xfId="3778"/>
    <cellStyle name="쉼표 [0] 2 2 14" xfId="2883"/>
    <cellStyle name="쉼표 [0] 2 2 15" xfId="2607"/>
    <cellStyle name="쉼표 [0] 2 2 16" xfId="4199"/>
    <cellStyle name="쉼표 [0] 2 2 17" xfId="2885"/>
    <cellStyle name="쉼표 [0] 2 2 18" xfId="3544"/>
    <cellStyle name="쉼표 [0] 2 2 19" xfId="3115"/>
    <cellStyle name="쉼표 [0] 2 2 2" xfId="16"/>
    <cellStyle name="쉼표 [0] 2 2 2 10" xfId="3492"/>
    <cellStyle name="쉼표 [0] 2 2 2 11" xfId="3051"/>
    <cellStyle name="쉼표 [0] 2 2 2 12" xfId="2741"/>
    <cellStyle name="쉼표 [0] 2 2 2 13" xfId="3827"/>
    <cellStyle name="쉼표 [0] 2 2 2 14" xfId="2844"/>
    <cellStyle name="쉼표 [0] 2 2 2 15" xfId="3584"/>
    <cellStyle name="쉼표 [0] 2 2 2 16" xfId="3054"/>
    <cellStyle name="쉼표 [0] 2 2 2 17" xfId="3850"/>
    <cellStyle name="쉼표 [0] 2 2 2 18" xfId="2822"/>
    <cellStyle name="쉼표 [0] 2 2 2 19" xfId="4526"/>
    <cellStyle name="쉼표 [0] 2 2 2 2" xfId="1843"/>
    <cellStyle name="쉼표 [0] 2 2 2 20" xfId="2853"/>
    <cellStyle name="쉼표 [0] 2 2 2 21" xfId="3403"/>
    <cellStyle name="쉼표 [0] 2 2 2 22" xfId="3125"/>
    <cellStyle name="쉼표 [0] 2 2 2 23" xfId="4959"/>
    <cellStyle name="쉼표 [0] 2 2 2 24" xfId="4444"/>
    <cellStyle name="쉼표 [0] 2 2 2 25" xfId="4545"/>
    <cellStyle name="쉼표 [0] 2 2 2 26" xfId="4648"/>
    <cellStyle name="쉼표 [0] 2 2 2 27" xfId="4753"/>
    <cellStyle name="쉼표 [0] 2 2 2 28" xfId="3730"/>
    <cellStyle name="쉼표 [0] 2 2 2 29" xfId="4542"/>
    <cellStyle name="쉼표 [0] 2 2 2 3" xfId="1844"/>
    <cellStyle name="쉼표 [0] 2 2 2 30" xfId="5069"/>
    <cellStyle name="쉼표 [0] 2 2 2 31" xfId="4402"/>
    <cellStyle name="쉼표 [0] 2 2 2 32" xfId="3553"/>
    <cellStyle name="쉼표 [0] 2 2 2 33" xfId="3517"/>
    <cellStyle name="쉼표 [0] 2 2 2 34" xfId="3363"/>
    <cellStyle name="쉼표 [0] 2 2 2 35" xfId="4746"/>
    <cellStyle name="쉼표 [0] 2 2 2 36" xfId="2983"/>
    <cellStyle name="쉼표 [0] 2 2 2 37" xfId="4262"/>
    <cellStyle name="쉼표 [0] 2 2 2 38" xfId="6198"/>
    <cellStyle name="쉼표 [0] 2 2 2 39" xfId="5990"/>
    <cellStyle name="쉼표 [0] 2 2 2 4" xfId="3345"/>
    <cellStyle name="쉼표 [0] 2 2 2 40" xfId="6565"/>
    <cellStyle name="쉼표 [0] 2 2 2 41" xfId="5367"/>
    <cellStyle name="쉼표 [0] 2 2 2 42" xfId="4645"/>
    <cellStyle name="쉼표 [0] 2 2 2 43" xfId="2491"/>
    <cellStyle name="쉼표 [0] 2 2 2 44" xfId="4856"/>
    <cellStyle name="쉼표 [0] 2 2 2 45" xfId="4419"/>
    <cellStyle name="쉼표 [0] 2 2 2 46" xfId="5067"/>
    <cellStyle name="쉼표 [0] 2 2 2 47" xfId="4622"/>
    <cellStyle name="쉼표 [0] 2 2 2 48" xfId="5413"/>
    <cellStyle name="쉼표 [0] 2 2 2 49" xfId="5575"/>
    <cellStyle name="쉼표 [0] 2 2 2 5" xfId="3186"/>
    <cellStyle name="쉼표 [0] 2 2 2 50" xfId="6634"/>
    <cellStyle name="쉼표 [0] 2 2 2 51" xfId="6498"/>
    <cellStyle name="쉼표 [0] 2 2 2 52" xfId="6590"/>
    <cellStyle name="쉼표 [0] 2 2 2 53" xfId="6154"/>
    <cellStyle name="쉼표 [0] 2 2 2 54" xfId="6774"/>
    <cellStyle name="쉼표 [0] 2 2 2 55" xfId="6347"/>
    <cellStyle name="쉼표 [0] 2 2 2 56" xfId="6952"/>
    <cellStyle name="쉼표 [0] 2 2 2 57" xfId="7601"/>
    <cellStyle name="쉼표 [0] 2 2 2 58" xfId="7676"/>
    <cellStyle name="쉼표 [0] 2 2 2 59" xfId="7745"/>
    <cellStyle name="쉼표 [0] 2 2 2 6" xfId="4042"/>
    <cellStyle name="쉼표 [0] 2 2 2 7" xfId="2653"/>
    <cellStyle name="쉼표 [0] 2 2 2 8" xfId="3702"/>
    <cellStyle name="쉼표 [0] 2 2 2 9" xfId="2942"/>
    <cellStyle name="쉼표 [0] 2 2 20" xfId="3970"/>
    <cellStyle name="쉼표 [0] 2 2 21" xfId="4432"/>
    <cellStyle name="쉼표 [0] 2 2 22" xfId="3868"/>
    <cellStyle name="쉼표 [0] 2 2 23" xfId="4637"/>
    <cellStyle name="쉼표 [0] 2 2 24" xfId="4741"/>
    <cellStyle name="쉼표 [0] 2 2 25" xfId="3909"/>
    <cellStyle name="쉼표 [0] 2 2 26" xfId="2805"/>
    <cellStyle name="쉼표 [0] 2 2 27" xfId="5058"/>
    <cellStyle name="쉼표 [0] 2 2 28" xfId="5158"/>
    <cellStyle name="쉼표 [0] 2 2 29" xfId="5261"/>
    <cellStyle name="쉼표 [0] 2 2 3" xfId="863"/>
    <cellStyle name="쉼표 [0] 2 2 3 10" xfId="2572"/>
    <cellStyle name="쉼표 [0] 2 2 3 11" xfId="4233"/>
    <cellStyle name="쉼표 [0] 2 2 3 12" xfId="2469"/>
    <cellStyle name="쉼표 [0] 2 2 3 13" xfId="3631"/>
    <cellStyle name="쉼표 [0] 2 2 3 14" xfId="2920"/>
    <cellStyle name="쉼표 [0] 2 2 3 15" xfId="3513"/>
    <cellStyle name="쉼표 [0] 2 2 3 16" xfId="3784"/>
    <cellStyle name="쉼표 [0] 2 2 3 17" xfId="2880"/>
    <cellStyle name="쉼표 [0] 2 2 3 18" xfId="3549"/>
    <cellStyle name="쉼표 [0] 2 2 3 19" xfId="4965"/>
    <cellStyle name="쉼표 [0] 2 2 3 2" xfId="3844"/>
    <cellStyle name="쉼표 [0] 2 2 3 20" xfId="3336"/>
    <cellStyle name="쉼표 [0] 2 2 3 21" xfId="3654"/>
    <cellStyle name="쉼표 [0] 2 2 3 22" xfId="3845"/>
    <cellStyle name="쉼표 [0] 2 2 3 23" xfId="3445"/>
    <cellStyle name="쉼표 [0] 2 2 3 24" xfId="3959"/>
    <cellStyle name="쉼표 [0] 2 2 3 25" xfId="4639"/>
    <cellStyle name="쉼표 [0] 2 2 3 26" xfId="4094"/>
    <cellStyle name="쉼표 [0] 2 2 3 27" xfId="2601"/>
    <cellStyle name="쉼표 [0] 2 2 3 28" xfId="4205"/>
    <cellStyle name="쉼표 [0] 2 2 3 29" xfId="4061"/>
    <cellStyle name="쉼표 [0] 2 2 3 3" xfId="2828"/>
    <cellStyle name="쉼표 [0] 2 2 3 30" xfId="2992"/>
    <cellStyle name="쉼표 [0] 2 2 3 31" xfId="3015"/>
    <cellStyle name="쉼표 [0] 2 2 3 32" xfId="4532"/>
    <cellStyle name="쉼표 [0] 2 2 3 33" xfId="4845"/>
    <cellStyle name="쉼표 [0] 2 2 3 34" xfId="4740"/>
    <cellStyle name="쉼표 [0] 2 2 3 35" xfId="5055"/>
    <cellStyle name="쉼표 [0] 2 2 3 36" xfId="4935"/>
    <cellStyle name="쉼표 [0] 2 2 3 37" xfId="5042"/>
    <cellStyle name="쉼표 [0] 2 2 3 38" xfId="5143"/>
    <cellStyle name="쉼표 [0] 2 2 3 39" xfId="5245"/>
    <cellStyle name="쉼표 [0] 2 2 3 4" xfId="3600"/>
    <cellStyle name="쉼표 [0] 2 2 3 40" xfId="3953"/>
    <cellStyle name="쉼표 [0] 2 2 3 41" xfId="5446"/>
    <cellStyle name="쉼표 [0] 2 2 3 42" xfId="3530"/>
    <cellStyle name="쉼표 [0] 2 2 3 43" xfId="2768"/>
    <cellStyle name="쉼표 [0] 2 2 3 44" xfId="3821"/>
    <cellStyle name="쉼표 [0] 2 2 3 45" xfId="4890"/>
    <cellStyle name="쉼표 [0] 2 2 3 46" xfId="4533"/>
    <cellStyle name="쉼표 [0] 2 2 3 47" xfId="5098"/>
    <cellStyle name="쉼표 [0] 2 2 3 48" xfId="6832"/>
    <cellStyle name="쉼표 [0] 2 2 3 49" xfId="5303"/>
    <cellStyle name="쉼표 [0] 2 2 3 5" xfId="3038"/>
    <cellStyle name="쉼표 [0] 2 2 3 50" xfId="6743"/>
    <cellStyle name="쉼표 [0] 2 2 3 51" xfId="6452"/>
    <cellStyle name="쉼표 [0] 2 2 3 52" xfId="6922"/>
    <cellStyle name="쉼표 [0] 2 2 3 53" xfId="5915"/>
    <cellStyle name="쉼표 [0] 2 2 3 54" xfId="6558"/>
    <cellStyle name="쉼표 [0] 2 2 3 55" xfId="6119"/>
    <cellStyle name="쉼표 [0] 2 2 3 56" xfId="6907"/>
    <cellStyle name="쉼표 [0] 2 2 3 57" xfId="6310"/>
    <cellStyle name="쉼표 [0] 2 2 3 6" xfId="3397"/>
    <cellStyle name="쉼표 [0] 2 2 3 7" xfId="3991"/>
    <cellStyle name="쉼표 [0] 2 2 3 8" xfId="3663"/>
    <cellStyle name="쉼표 [0] 2 2 3 9" xfId="3967"/>
    <cellStyle name="쉼표 [0] 2 2 30" xfId="5363"/>
    <cellStyle name="쉼표 [0] 2 2 31" xfId="5461"/>
    <cellStyle name="쉼표 [0] 2 2 32" xfId="5169"/>
    <cellStyle name="쉼표 [0] 2 2 33" xfId="3338"/>
    <cellStyle name="쉼표 [0] 2 2 34" xfId="3623"/>
    <cellStyle name="쉼표 [0] 2 2 35" xfId="3770"/>
    <cellStyle name="쉼표 [0] 2 2 36" xfId="6162"/>
    <cellStyle name="쉼표 [0] 2 2 37" xfId="5481"/>
    <cellStyle name="쉼표 [0] 2 2 38" xfId="5504"/>
    <cellStyle name="쉼표 [0] 2 2 39" xfId="4171"/>
    <cellStyle name="쉼표 [0] 2 2 4" xfId="1845"/>
    <cellStyle name="쉼표 [0] 2 2 4 2" xfId="8517"/>
    <cellStyle name="쉼표 [0] 2 2 40" xfId="6416"/>
    <cellStyle name="쉼표 [0] 2 2 41" xfId="5899"/>
    <cellStyle name="쉼표 [0] 2 2 42" xfId="6747"/>
    <cellStyle name="쉼표 [0] 2 2 43" xfId="6818"/>
    <cellStyle name="쉼표 [0] 2 2 44" xfId="6122"/>
    <cellStyle name="쉼표 [0] 2 2 45" xfId="6295"/>
    <cellStyle name="쉼표 [0] 2 2 46" xfId="6315"/>
    <cellStyle name="쉼표 [0] 2 2 47" xfId="7100"/>
    <cellStyle name="쉼표 [0] 2 2 48" xfId="5706"/>
    <cellStyle name="쉼표 [0] 2 2 49" xfId="7269"/>
    <cellStyle name="쉼표 [0] 2 2 5" xfId="3344"/>
    <cellStyle name="쉼표 [0] 2 2 50" xfId="5505"/>
    <cellStyle name="쉼표 [0] 2 2 51" xfId="6650"/>
    <cellStyle name="쉼표 [0] 2 2 52" xfId="5712"/>
    <cellStyle name="쉼표 [0] 2 2 53" xfId="7096"/>
    <cellStyle name="쉼표 [0] 2 2 54" xfId="7596"/>
    <cellStyle name="쉼표 [0] 2 2 55" xfId="7671"/>
    <cellStyle name="쉼표 [0] 2 2 56" xfId="7741"/>
    <cellStyle name="쉼표 [0] 2 2 57" xfId="7808"/>
    <cellStyle name="쉼표 [0] 2 2 58" xfId="7874"/>
    <cellStyle name="쉼표 [0] 2 2 59" xfId="7939"/>
    <cellStyle name="쉼표 [0] 2 2 6" xfId="3192"/>
    <cellStyle name="쉼표 [0] 2 2 60" xfId="8002"/>
    <cellStyle name="쉼표 [0] 2 2 61" xfId="8516"/>
    <cellStyle name="쉼표 [0] 2 2 7" xfId="4036"/>
    <cellStyle name="쉼표 [0] 2 2 8" xfId="2659"/>
    <cellStyle name="쉼표 [0] 2 2 9" xfId="3695"/>
    <cellStyle name="쉼표 [0] 2 3" xfId="11"/>
    <cellStyle name="쉼표 [0] 2 3 10" xfId="2571"/>
    <cellStyle name="쉼표 [0] 2 3 11" xfId="4234"/>
    <cellStyle name="쉼표 [0] 2 3 12" xfId="2468"/>
    <cellStyle name="쉼표 [0] 2 3 13" xfId="3731"/>
    <cellStyle name="쉼표 [0] 2 3 14" xfId="2918"/>
    <cellStyle name="쉼표 [0] 2 3 15" xfId="3514"/>
    <cellStyle name="쉼표 [0] 2 3 16" xfId="3930"/>
    <cellStyle name="쉼표 [0] 2 3 17" xfId="3748"/>
    <cellStyle name="쉼표 [0] 2 3 18" xfId="2903"/>
    <cellStyle name="쉼표 [0] 2 3 19" xfId="3963"/>
    <cellStyle name="쉼표 [0] 2 3 2" xfId="3843"/>
    <cellStyle name="쉼표 [0] 2 3 20" xfId="3775"/>
    <cellStyle name="쉼표 [0] 2 3 21" xfId="3749"/>
    <cellStyle name="쉼표 [0] 2 3 22" xfId="2902"/>
    <cellStyle name="쉼표 [0] 2 3 23" xfId="4449"/>
    <cellStyle name="쉼표 [0] 2 3 24" xfId="3918"/>
    <cellStyle name="쉼표 [0] 2 3 25" xfId="2763"/>
    <cellStyle name="쉼표 [0] 2 3 26" xfId="2982"/>
    <cellStyle name="쉼표 [0] 2 3 27" xfId="3334"/>
    <cellStyle name="쉼표 [0] 2 3 28" xfId="3454"/>
    <cellStyle name="쉼표 [0] 2 3 29" xfId="2492"/>
    <cellStyle name="쉼표 [0] 2 3 3" xfId="2829"/>
    <cellStyle name="쉼표 [0] 2 3 30" xfId="6555"/>
    <cellStyle name="쉼표 [0] 2 3 31" xfId="4418"/>
    <cellStyle name="쉼표 [0] 2 3 32" xfId="6739"/>
    <cellStyle name="쉼표 [0] 2 3 33" xfId="4621"/>
    <cellStyle name="쉼표 [0] 2 3 34" xfId="6918"/>
    <cellStyle name="쉼표 [0] 2 3 35" xfId="4831"/>
    <cellStyle name="쉼표 [0] 2 3 36" xfId="4414"/>
    <cellStyle name="쉼표 [0] 2 3 37" xfId="7180"/>
    <cellStyle name="쉼표 [0] 2 3 38" xfId="5157"/>
    <cellStyle name="쉼표 [0] 2 3 39" xfId="7348"/>
    <cellStyle name="쉼표 [0] 2 3 4" xfId="3599"/>
    <cellStyle name="쉼표 [0] 2 3 40" xfId="5362"/>
    <cellStyle name="쉼표 [0] 2 3 41" xfId="7513"/>
    <cellStyle name="쉼표 [0] 2 3 42" xfId="5567"/>
    <cellStyle name="쉼표 [0] 2 3 43" xfId="5667"/>
    <cellStyle name="쉼표 [0] 2 3 44" xfId="4991"/>
    <cellStyle name="쉼표 [0] 2 3 45" xfId="3867"/>
    <cellStyle name="쉼표 [0] 2 3 46" xfId="5193"/>
    <cellStyle name="쉼표 [0] 2 3 47" xfId="3956"/>
    <cellStyle name="쉼표 [0] 2 3 48" xfId="5398"/>
    <cellStyle name="쉼표 [0] 2 3 49" xfId="7024"/>
    <cellStyle name="쉼표 [0] 2 3 5" xfId="3039"/>
    <cellStyle name="쉼표 [0] 2 3 50" xfId="4310"/>
    <cellStyle name="쉼표 [0] 2 3 51" xfId="5921"/>
    <cellStyle name="쉼표 [0] 2 3 52" xfId="6557"/>
    <cellStyle name="쉼표 [0] 2 3 53" xfId="6124"/>
    <cellStyle name="쉼표 [0] 2 3 54" xfId="5820"/>
    <cellStyle name="쉼표 [0] 2 3 55" xfId="2536"/>
    <cellStyle name="쉼표 [0] 2 3 56" xfId="6024"/>
    <cellStyle name="쉼표 [0] 2 3 57" xfId="4372"/>
    <cellStyle name="쉼표 [0] 2 3 6" xfId="3396"/>
    <cellStyle name="쉼표 [0] 2 3 7" xfId="3992"/>
    <cellStyle name="쉼표 [0] 2 3 8" xfId="2703"/>
    <cellStyle name="쉼표 [0] 2 3 9" xfId="4123"/>
    <cellStyle name="쉼표 [0] 2 4" xfId="1846"/>
    <cellStyle name="쉼표 [0] 20" xfId="3879"/>
    <cellStyle name="쉼표 [0] 3" xfId="9"/>
    <cellStyle name="쉼표 [0] 3 10" xfId="3493"/>
    <cellStyle name="쉼표 [0] 3 11" xfId="3943"/>
    <cellStyle name="쉼표 [0] 3 12" xfId="3851"/>
    <cellStyle name="쉼표 [0] 3 13" xfId="2821"/>
    <cellStyle name="쉼표 [0] 3 14" xfId="3756"/>
    <cellStyle name="쉼표 [0] 3 15" xfId="4005"/>
    <cellStyle name="쉼표 [0] 3 16" xfId="3404"/>
    <cellStyle name="쉼표 [0] 3 17" xfId="3124"/>
    <cellStyle name="쉼표 [0] 3 18" xfId="2704"/>
    <cellStyle name="쉼표 [0] 3 19" xfId="3212"/>
    <cellStyle name="쉼표 [0] 3 2" xfId="866"/>
    <cellStyle name="쉼표 [0] 3 2 10" xfId="2574"/>
    <cellStyle name="쉼표 [0] 3 2 11" xfId="4231"/>
    <cellStyle name="쉼표 [0] 3 2 12" xfId="2472"/>
    <cellStyle name="쉼표 [0] 3 2 13" xfId="4438"/>
    <cellStyle name="쉼표 [0] 3 2 14" xfId="4448"/>
    <cellStyle name="쉼표 [0] 3 2 15" xfId="4549"/>
    <cellStyle name="쉼표 [0] 3 2 16" xfId="4652"/>
    <cellStyle name="쉼표 [0] 3 2 17" xfId="4757"/>
    <cellStyle name="쉼표 [0] 3 2 18" xfId="3551"/>
    <cellStyle name="쉼표 [0] 3 2 19" xfId="4962"/>
    <cellStyle name="쉼표 [0] 3 2 2" xfId="3846"/>
    <cellStyle name="쉼표 [0] 3 2 2 2" xfId="8518"/>
    <cellStyle name="쉼표 [0] 3 2 20" xfId="5073"/>
    <cellStyle name="쉼표 [0] 3 2 21" xfId="5172"/>
    <cellStyle name="쉼표 [0] 3 2 22" xfId="5276"/>
    <cellStyle name="쉼표 [0] 3 2 23" xfId="5376"/>
    <cellStyle name="쉼표 [0] 3 2 24" xfId="5476"/>
    <cellStyle name="쉼표 [0] 3 2 25" xfId="5582"/>
    <cellStyle name="쉼표 [0] 3 2 26" xfId="5683"/>
    <cellStyle name="쉼표 [0] 3 2 27" xfId="5791"/>
    <cellStyle name="쉼표 [0] 3 2 28" xfId="5893"/>
    <cellStyle name="쉼표 [0] 3 2 29" xfId="3200"/>
    <cellStyle name="쉼표 [0] 3 2 3" xfId="2826"/>
    <cellStyle name="쉼표 [0] 3 2 30" xfId="4530"/>
    <cellStyle name="쉼표 [0] 3 2 31" xfId="6283"/>
    <cellStyle name="쉼표 [0] 3 2 32" xfId="4738"/>
    <cellStyle name="쉼표 [0] 3 2 33" xfId="6472"/>
    <cellStyle name="쉼표 [0] 3 2 34" xfId="4416"/>
    <cellStyle name="쉼표 [0] 3 2 35" xfId="4307"/>
    <cellStyle name="쉼표 [0] 3 2 36" xfId="6260"/>
    <cellStyle name="쉼표 [0] 3 2 37" xfId="6756"/>
    <cellStyle name="쉼표 [0] 3 2 38" xfId="6927"/>
    <cellStyle name="쉼표 [0] 3 2 39" xfId="6935"/>
    <cellStyle name="쉼표 [0] 3 2 4" xfId="3602"/>
    <cellStyle name="쉼표 [0] 3 2 40" xfId="7105"/>
    <cellStyle name="쉼표 [0] 3 2 41" xfId="6133"/>
    <cellStyle name="쉼표 [0] 3 2 42" xfId="5860"/>
    <cellStyle name="쉼표 [0] 3 2 43" xfId="2673"/>
    <cellStyle name="쉼표 [0] 3 2 44" xfId="6065"/>
    <cellStyle name="쉼표 [0] 3 2 45" xfId="2543"/>
    <cellStyle name="쉼표 [0] 3 2 46" xfId="6258"/>
    <cellStyle name="쉼표 [0] 3 2 47" xfId="7604"/>
    <cellStyle name="쉼표 [0] 3 2 48" xfId="7678"/>
    <cellStyle name="쉼표 [0] 3 2 49" xfId="7747"/>
    <cellStyle name="쉼표 [0] 3 2 5" xfId="3036"/>
    <cellStyle name="쉼표 [0] 3 2 50" xfId="7813"/>
    <cellStyle name="쉼표 [0] 3 2 51" xfId="7879"/>
    <cellStyle name="쉼표 [0] 3 2 52" xfId="7944"/>
    <cellStyle name="쉼표 [0] 3 2 53" xfId="8007"/>
    <cellStyle name="쉼표 [0] 3 2 54" xfId="8067"/>
    <cellStyle name="쉼표 [0] 3 2 55" xfId="8126"/>
    <cellStyle name="쉼표 [0] 3 2 56" xfId="8185"/>
    <cellStyle name="쉼표 [0] 3 2 57" xfId="8241"/>
    <cellStyle name="쉼표 [0] 3 2 6" xfId="3399"/>
    <cellStyle name="쉼표 [0] 3 2 7" xfId="3989"/>
    <cellStyle name="쉼표 [0] 3 2 8" xfId="4318"/>
    <cellStyle name="쉼표 [0] 3 2 9" xfId="4121"/>
    <cellStyle name="쉼표 [0] 3 20" xfId="3807"/>
    <cellStyle name="쉼표 [0] 3 21" xfId="2861"/>
    <cellStyle name="쉼표 [0] 3 22" xfId="3567"/>
    <cellStyle name="쉼표 [0] 3 23" xfId="3726"/>
    <cellStyle name="쉼표 [0] 3 24" xfId="4945"/>
    <cellStyle name="쉼표 [0] 3 25" xfId="3143"/>
    <cellStyle name="쉼표 [0] 3 26" xfId="4081"/>
    <cellStyle name="쉼표 [0] 3 27" xfId="4131"/>
    <cellStyle name="쉼표 [0] 3 28" xfId="2563"/>
    <cellStyle name="쉼표 [0] 3 29" xfId="4239"/>
    <cellStyle name="쉼표 [0] 3 3" xfId="710"/>
    <cellStyle name="쉼표 [0] 3 30" xfId="2463"/>
    <cellStyle name="쉼표 [0] 3 31" xfId="4431"/>
    <cellStyle name="쉼표 [0] 3 32" xfId="5272"/>
    <cellStyle name="쉼표 [0] 3 33" xfId="4537"/>
    <cellStyle name="쉼표 [0] 3 34" xfId="5472"/>
    <cellStyle name="쉼표 [0] 3 35" xfId="5365"/>
    <cellStyle name="쉼표 [0] 3 36" xfId="6000"/>
    <cellStyle name="쉼표 [0] 3 37" xfId="5570"/>
    <cellStyle name="쉼표 [0] 3 38" xfId="5889"/>
    <cellStyle name="쉼표 [0] 3 39" xfId="5163"/>
    <cellStyle name="쉼표 [0] 3 4" xfId="3346"/>
    <cellStyle name="쉼표 [0] 3 40" xfId="6095"/>
    <cellStyle name="쉼표 [0] 3 41" xfId="5754"/>
    <cellStyle name="쉼표 [0] 3 42" xfId="6289"/>
    <cellStyle name="쉼표 [0] 3 43" xfId="6669"/>
    <cellStyle name="쉼표 [0] 3 44" xfId="6476"/>
    <cellStyle name="쉼표 [0] 3 45" xfId="6848"/>
    <cellStyle name="쉼표 [0] 3 46" xfId="3481"/>
    <cellStyle name="쉼표 [0] 3 47" xfId="7190"/>
    <cellStyle name="쉼표 [0] 3 48" xfId="2787"/>
    <cellStyle name="쉼표 [0] 3 49" xfId="7359"/>
    <cellStyle name="쉼표 [0] 3 5" xfId="3185"/>
    <cellStyle name="쉼표 [0] 3 50" xfId="2997"/>
    <cellStyle name="쉼표 [0] 3 51" xfId="7521"/>
    <cellStyle name="쉼표 [0] 3 52" xfId="4450"/>
    <cellStyle name="쉼표 [0] 3 53" xfId="7127"/>
    <cellStyle name="쉼표 [0] 3 54" xfId="4101"/>
    <cellStyle name="쉼표 [0] 3 55" xfId="6810"/>
    <cellStyle name="쉼표 [0] 3 56" xfId="6089"/>
    <cellStyle name="쉼표 [0] 3 57" xfId="6989"/>
    <cellStyle name="쉼표 [0] 3 58" xfId="6282"/>
    <cellStyle name="쉼표 [0] 3 59" xfId="7197"/>
    <cellStyle name="쉼표 [0] 3 6" xfId="4043"/>
    <cellStyle name="쉼표 [0] 3 7" xfId="2652"/>
    <cellStyle name="쉼표 [0] 3 8" xfId="3831"/>
    <cellStyle name="쉼표 [0] 3 9" xfId="2841"/>
    <cellStyle name="쉼표 [0] 30" xfId="2731"/>
    <cellStyle name="쉼표 [0] 31" xfId="3905"/>
    <cellStyle name="쉼표 [0] 32" xfId="2602"/>
    <cellStyle name="쉼표 [0] 4" xfId="711"/>
    <cellStyle name="쉼표 [0] 4 2" xfId="860"/>
    <cellStyle name="쉼표 [0] 4 2 10" xfId="3494"/>
    <cellStyle name="쉼표 [0] 4 2 11" xfId="3942"/>
    <cellStyle name="쉼표 [0] 4 2 12" xfId="2742"/>
    <cellStyle name="쉼표 [0] 4 2 13" xfId="3826"/>
    <cellStyle name="쉼표 [0] 4 2 14" xfId="2960"/>
    <cellStyle name="쉼표 [0] 4 2 15" xfId="3888"/>
    <cellStyle name="쉼표 [0] 4 2 16" xfId="2788"/>
    <cellStyle name="쉼표 [0] 4 2 17" xfId="3535"/>
    <cellStyle name="쉼표 [0] 4 2 18" xfId="2998"/>
    <cellStyle name="쉼표 [0] 4 2 19" xfId="3610"/>
    <cellStyle name="쉼표 [0] 4 2 2" xfId="1847"/>
    <cellStyle name="쉼표 [0] 4 2 20" xfId="2855"/>
    <cellStyle name="쉼표 [0] 4 2 21" xfId="3746"/>
    <cellStyle name="쉼표 [0] 4 2 22" xfId="2905"/>
    <cellStyle name="쉼표 [0] 4 2 23" xfId="3526"/>
    <cellStyle name="쉼표 [0] 4 2 24" xfId="3920"/>
    <cellStyle name="쉼표 [0] 4 2 25" xfId="3870"/>
    <cellStyle name="쉼표 [0] 4 2 26" xfId="2803"/>
    <cellStyle name="쉼표 [0] 4 2 27" xfId="2931"/>
    <cellStyle name="쉼표 [0] 4 2 28" xfId="3013"/>
    <cellStyle name="쉼표 [0] 4 2 29" xfId="3421"/>
    <cellStyle name="쉼표 [0] 4 2 3" xfId="1848"/>
    <cellStyle name="쉼표 [0] 4 2 30" xfId="3119"/>
    <cellStyle name="쉼표 [0] 4 2 31" xfId="3929"/>
    <cellStyle name="쉼표 [0] 4 2 32" xfId="2914"/>
    <cellStyle name="쉼표 [0] 4 2 33" xfId="4865"/>
    <cellStyle name="쉼표 [0] 4 2 34" xfId="3927"/>
    <cellStyle name="쉼표 [0] 4 2 35" xfId="2771"/>
    <cellStyle name="쉼표 [0] 4 2 36" xfId="5680"/>
    <cellStyle name="쉼표 [0] 4 2 37" xfId="2588"/>
    <cellStyle name="쉼표 [0] 4 2 38" xfId="4216"/>
    <cellStyle name="쉼표 [0] 4 2 39" xfId="3566"/>
    <cellStyle name="쉼표 [0] 4 2 4" xfId="3347"/>
    <cellStyle name="쉼표 [0] 4 2 40" xfId="6373"/>
    <cellStyle name="쉼표 [0] 4 2 41" xfId="4540"/>
    <cellStyle name="쉼표 [0] 4 2 42" xfId="6562"/>
    <cellStyle name="쉼표 [0] 4 2 43" xfId="5959"/>
    <cellStyle name="쉼표 [0] 4 2 44" xfId="3822"/>
    <cellStyle name="쉼표 [0] 4 2 45" xfId="5913"/>
    <cellStyle name="쉼표 [0] 4 2 46" xfId="3581"/>
    <cellStyle name="쉼표 [0] 4 2 47" xfId="6117"/>
    <cellStyle name="쉼표 [0] 4 2 48" xfId="5270"/>
    <cellStyle name="쉼표 [0] 4 2 49" xfId="5616"/>
    <cellStyle name="쉼표 [0] 4 2 5" xfId="3184"/>
    <cellStyle name="쉼표 [0] 4 2 50" xfId="5470"/>
    <cellStyle name="쉼표 [0] 4 2 51" xfId="5827"/>
    <cellStyle name="쉼표 [0] 4 2 52" xfId="5678"/>
    <cellStyle name="쉼표 [0] 4 2 53" xfId="5152"/>
    <cellStyle name="쉼표 [0] 4 2 54" xfId="5447"/>
    <cellStyle name="쉼표 [0] 4 2 55" xfId="6082"/>
    <cellStyle name="쉼표 [0] 4 2 56" xfId="7101"/>
    <cellStyle name="쉼표 [0] 4 2 57" xfId="5714"/>
    <cellStyle name="쉼표 [0] 4 2 58" xfId="6659"/>
    <cellStyle name="쉼표 [0] 4 2 59" xfId="6502"/>
    <cellStyle name="쉼표 [0] 4 2 6" xfId="4044"/>
    <cellStyle name="쉼표 [0] 4 2 60" xfId="8519"/>
    <cellStyle name="쉼표 [0] 4 2 7" xfId="2651"/>
    <cellStyle name="쉼표 [0] 4 2 8" xfId="3703"/>
    <cellStyle name="쉼표 [0] 4 2 9" xfId="2941"/>
    <cellStyle name="쉼표 [0] 4 3" xfId="1849"/>
    <cellStyle name="쉼표 [0] 4 4" xfId="1850"/>
    <cellStyle name="쉼표 [0] 5" xfId="875"/>
    <cellStyle name="쉼표 [0] 5 10" xfId="3495"/>
    <cellStyle name="쉼표 [0] 5 11" xfId="3941"/>
    <cellStyle name="쉼표 [0] 5 12" xfId="2744"/>
    <cellStyle name="쉼표 [0] 5 13" xfId="3682"/>
    <cellStyle name="쉼표 [0] 5 14" xfId="3323"/>
    <cellStyle name="쉼표 [0] 5 15" xfId="3470"/>
    <cellStyle name="쉼표 [0] 5 16" xfId="3091"/>
    <cellStyle name="쉼표 [0] 5 17" xfId="3854"/>
    <cellStyle name="쉼표 [0] 5 18" xfId="2831"/>
    <cellStyle name="쉼표 [0] 5 19" xfId="3597"/>
    <cellStyle name="쉼표 [0] 5 2" xfId="1851"/>
    <cellStyle name="쉼표 [0] 5 2 2" xfId="8521"/>
    <cellStyle name="쉼표 [0] 5 20" xfId="3041"/>
    <cellStyle name="쉼표 [0] 5 21" xfId="3394"/>
    <cellStyle name="쉼표 [0] 5 22" xfId="3980"/>
    <cellStyle name="쉼표 [0] 5 23" xfId="3330"/>
    <cellStyle name="쉼표 [0] 5 24" xfId="4124"/>
    <cellStyle name="쉼표 [0] 5 25" xfId="2570"/>
    <cellStyle name="쉼표 [0] 5 26" xfId="4235"/>
    <cellStyle name="쉼표 [0] 5 27" xfId="2467"/>
    <cellStyle name="쉼표 [0] 5 28" xfId="3732"/>
    <cellStyle name="쉼표 [0] 5 29" xfId="2916"/>
    <cellStyle name="쉼표 [0] 5 3" xfId="1852"/>
    <cellStyle name="쉼표 [0] 5 30" xfId="3515"/>
    <cellStyle name="쉼표 [0] 5 31" xfId="4938"/>
    <cellStyle name="쉼표 [0] 5 32" xfId="3003"/>
    <cellStyle name="쉼표 [0] 5 33" xfId="5145"/>
    <cellStyle name="쉼표 [0] 5 34" xfId="3457"/>
    <cellStyle name="쉼표 [0] 5 35" xfId="5350"/>
    <cellStyle name="쉼표 [0] 5 36" xfId="4106"/>
    <cellStyle name="쉼표 [0] 5 37" xfId="5556"/>
    <cellStyle name="쉼표 [0] 5 38" xfId="4555"/>
    <cellStyle name="쉼표 [0] 5 39" xfId="4550"/>
    <cellStyle name="쉼표 [0] 5 4" xfId="3348"/>
    <cellStyle name="쉼표 [0] 5 40" xfId="4763"/>
    <cellStyle name="쉼표 [0] 5 41" xfId="4758"/>
    <cellStyle name="쉼표 [0] 5 42" xfId="4975"/>
    <cellStyle name="쉼표 [0] 5 43" xfId="2702"/>
    <cellStyle name="쉼표 [0] 5 44" xfId="5177"/>
    <cellStyle name="쉼표 [0] 5 45" xfId="3759"/>
    <cellStyle name="쉼표 [0] 5 46" xfId="6014"/>
    <cellStyle name="쉼표 [0] 5 47" xfId="4687"/>
    <cellStyle name="쉼표 [0] 5 48" xfId="6382"/>
    <cellStyle name="쉼표 [0] 5 49" xfId="3001"/>
    <cellStyle name="쉼표 [0] 5 5" xfId="3182"/>
    <cellStyle name="쉼표 [0] 5 50" xfId="6372"/>
    <cellStyle name="쉼표 [0] 5 51" xfId="7095"/>
    <cellStyle name="쉼표 [0] 5 52" xfId="5895"/>
    <cellStyle name="쉼표 [0] 5 53" xfId="7265"/>
    <cellStyle name="쉼표 [0] 5 54" xfId="6099"/>
    <cellStyle name="쉼표 [0] 5 55" xfId="7432"/>
    <cellStyle name="쉼표 [0] 5 56" xfId="7087"/>
    <cellStyle name="쉼표 [0] 5 57" xfId="6387"/>
    <cellStyle name="쉼표 [0] 5 58" xfId="7257"/>
    <cellStyle name="쉼표 [0] 5 59" xfId="5200"/>
    <cellStyle name="쉼표 [0] 5 6" xfId="4046"/>
    <cellStyle name="쉼표 [0] 5 60" xfId="8520"/>
    <cellStyle name="쉼표 [0] 5 7" xfId="2649"/>
    <cellStyle name="쉼표 [0] 5 8" xfId="3705"/>
    <cellStyle name="쉼표 [0] 5 9" xfId="2939"/>
    <cellStyle name="쉼표 [0] 6" xfId="1853"/>
    <cellStyle name="쉼표 [0] 6 2" xfId="8522"/>
    <cellStyle name="쉼표 [0] 7" xfId="1854"/>
    <cellStyle name="쉼표 [0] 8" xfId="1855"/>
    <cellStyle name="쉼표 2" xfId="12"/>
    <cellStyle name="쉼표 2 2" xfId="1856"/>
    <cellStyle name="쉼표 2 3" xfId="1857"/>
    <cellStyle name="스타일 1" xfId="13"/>
    <cellStyle name="스타일 1 10" xfId="3792"/>
    <cellStyle name="스타일 1 11" xfId="2872"/>
    <cellStyle name="스타일 1 12" xfId="3556"/>
    <cellStyle name="스타일 1 13" xfId="3899"/>
    <cellStyle name="스타일 1 14" xfId="2777"/>
    <cellStyle name="스타일 1 15" xfId="3650"/>
    <cellStyle name="스타일 1 16" xfId="3841"/>
    <cellStyle name="스타일 1 17" xfId="3443"/>
    <cellStyle name="스타일 1 18" xfId="3962"/>
    <cellStyle name="스타일 1 19" xfId="2727"/>
    <cellStyle name="스타일 1 2" xfId="1858"/>
    <cellStyle name="스타일 1 2 2" xfId="1859"/>
    <cellStyle name="스타일 1 20" xfId="4097"/>
    <cellStyle name="스타일 1 21" xfId="2597"/>
    <cellStyle name="스타일 1 22" xfId="4208"/>
    <cellStyle name="스타일 1 23" xfId="2488"/>
    <cellStyle name="스타일 1 24" xfId="4313"/>
    <cellStyle name="스타일 1 25" xfId="4421"/>
    <cellStyle name="스타일 1 26" xfId="4520"/>
    <cellStyle name="스타일 1 27" xfId="4625"/>
    <cellStyle name="스타일 1 28" xfId="4728"/>
    <cellStyle name="스타일 1 29" xfId="4835"/>
    <cellStyle name="스타일 1 3" xfId="3349"/>
    <cellStyle name="스타일 1 30" xfId="5150"/>
    <cellStyle name="스타일 1 31" xfId="2755"/>
    <cellStyle name="스타일 1 32" xfId="5355"/>
    <cellStyle name="스타일 1 33" xfId="2971"/>
    <cellStyle name="스타일 1 34" xfId="5561"/>
    <cellStyle name="스타일 1 35" xfId="3102"/>
    <cellStyle name="스타일 1 36" xfId="5770"/>
    <cellStyle name="스타일 1 37" xfId="3193"/>
    <cellStyle name="스타일 1 38" xfId="5973"/>
    <cellStyle name="스타일 1 39" xfId="4644"/>
    <cellStyle name="스타일 1 4" xfId="3181"/>
    <cellStyle name="스타일 1 40" xfId="4749"/>
    <cellStyle name="스타일 1 41" xfId="4854"/>
    <cellStyle name="스타일 1 42" xfId="4299"/>
    <cellStyle name="스타일 1 43" xfId="5811"/>
    <cellStyle name="스타일 1 44" xfId="6360"/>
    <cellStyle name="스타일 1 45" xfId="6455"/>
    <cellStyle name="스타일 1 46" xfId="4516"/>
    <cellStyle name="스타일 1 47" xfId="6641"/>
    <cellStyle name="스타일 1 48" xfId="4724"/>
    <cellStyle name="스타일 1 49" xfId="6823"/>
    <cellStyle name="스타일 1 5" xfId="4047"/>
    <cellStyle name="스타일 1 50" xfId="3424"/>
    <cellStyle name="스타일 1 51" xfId="7002"/>
    <cellStyle name="스타일 1 52" xfId="5174"/>
    <cellStyle name="스타일 1 53" xfId="7171"/>
    <cellStyle name="스타일 1 54" xfId="5378"/>
    <cellStyle name="스타일 1 55" xfId="7339"/>
    <cellStyle name="스타일 1 56" xfId="5746"/>
    <cellStyle name="스타일 1 57" xfId="7504"/>
    <cellStyle name="스타일 1 58" xfId="7587"/>
    <cellStyle name="스타일 1 6" xfId="2648"/>
    <cellStyle name="스타일 1 7" xfId="3706"/>
    <cellStyle name="스타일 1 8" xfId="2938"/>
    <cellStyle name="스타일 1 9" xfId="3497"/>
    <cellStyle name="스타일 10" xfId="712"/>
    <cellStyle name="스타일 10 10" xfId="3939"/>
    <cellStyle name="스타일 10 11" xfId="2746"/>
    <cellStyle name="스타일 10 12" xfId="3825"/>
    <cellStyle name="스타일 10 13" xfId="2845"/>
    <cellStyle name="스타일 10 14" xfId="3583"/>
    <cellStyle name="스타일 10 15" xfId="3055"/>
    <cellStyle name="스타일 10 16" xfId="3381"/>
    <cellStyle name="스타일 10 17" xfId="3135"/>
    <cellStyle name="스타일 10 18" xfId="3604"/>
    <cellStyle name="스타일 10 19" xfId="3968"/>
    <cellStyle name="스타일 10 2" xfId="1860"/>
    <cellStyle name="스타일 10 20" xfId="3575"/>
    <cellStyle name="스타일 10 21" xfId="3063"/>
    <cellStyle name="스타일 10 22" xfId="4958"/>
    <cellStyle name="스타일 10 23" xfId="2609"/>
    <cellStyle name="스타일 10 24" xfId="4538"/>
    <cellStyle name="스타일 10 25" xfId="2499"/>
    <cellStyle name="스타일 10 26" xfId="4303"/>
    <cellStyle name="스타일 10 27" xfId="4411"/>
    <cellStyle name="스타일 10 28" xfId="4510"/>
    <cellStyle name="스타일 10 29" xfId="4614"/>
    <cellStyle name="스타일 10 3" xfId="3351"/>
    <cellStyle name="스타일 10 30" xfId="4736"/>
    <cellStyle name="스타일 10 31" xfId="5253"/>
    <cellStyle name="스타일 10 32" xfId="3965"/>
    <cellStyle name="스타일 10 33" xfId="5453"/>
    <cellStyle name="스타일 10 34" xfId="4948"/>
    <cellStyle name="스타일 10 35" xfId="5660"/>
    <cellStyle name="스타일 10 36" xfId="4021"/>
    <cellStyle name="스타일 10 37" xfId="2675"/>
    <cellStyle name="스타일 10 38" xfId="5544"/>
    <cellStyle name="스타일 10 39" xfId="2545"/>
    <cellStyle name="스타일 10 4" xfId="3179"/>
    <cellStyle name="스타일 10 40" xfId="4961"/>
    <cellStyle name="스타일 10 41" xfId="6271"/>
    <cellStyle name="스타일 10 42" xfId="4195"/>
    <cellStyle name="스타일 10 43" xfId="5989"/>
    <cellStyle name="스타일 10 44" xfId="6183"/>
    <cellStyle name="스타일 10 45" xfId="4673"/>
    <cellStyle name="스타일 10 46" xfId="5410"/>
    <cellStyle name="스타일 10 47" xfId="5715"/>
    <cellStyle name="스타일 10 48" xfId="6308"/>
    <cellStyle name="스타일 10 49" xfId="4675"/>
    <cellStyle name="스타일 10 5" xfId="4049"/>
    <cellStyle name="스타일 10 50" xfId="6535"/>
    <cellStyle name="스타일 10 51" xfId="7163"/>
    <cellStyle name="스타일 10 52" xfId="5998"/>
    <cellStyle name="스타일 10 53" xfId="6319"/>
    <cellStyle name="스타일 10 54" xfId="4674"/>
    <cellStyle name="스타일 10 55" xfId="7166"/>
    <cellStyle name="스타일 10 56" xfId="7252"/>
    <cellStyle name="스타일 10 57" xfId="7335"/>
    <cellStyle name="스타일 10 58" xfId="7421"/>
    <cellStyle name="스타일 10 6" xfId="2646"/>
    <cellStyle name="스타일 10 7" xfId="3708"/>
    <cellStyle name="스타일 10 8" xfId="2936"/>
    <cellStyle name="스타일 10 9" xfId="4268"/>
    <cellStyle name="스타일 11" xfId="713"/>
    <cellStyle name="스타일 11 10" xfId="4064"/>
    <cellStyle name="스타일 11 11" xfId="2749"/>
    <cellStyle name="스타일 11 12" xfId="3677"/>
    <cellStyle name="스타일 11 13" xfId="2965"/>
    <cellStyle name="스타일 11 14" xfId="3466"/>
    <cellStyle name="스타일 11 15" xfId="3096"/>
    <cellStyle name="스타일 11 16" xfId="3860"/>
    <cellStyle name="스타일 11 17" xfId="2825"/>
    <cellStyle name="스타일 11 18" xfId="3603"/>
    <cellStyle name="스타일 11 19" xfId="3035"/>
    <cellStyle name="스타일 11 2" xfId="1861"/>
    <cellStyle name="스타일 11 20" xfId="3400"/>
    <cellStyle name="스타일 11 21" xfId="3981"/>
    <cellStyle name="스타일 11 22" xfId="2709"/>
    <cellStyle name="스타일 11 23" xfId="2850"/>
    <cellStyle name="스타일 11 24" xfId="3578"/>
    <cellStyle name="스타일 11 25" xfId="3060"/>
    <cellStyle name="스타일 11 26" xfId="4333"/>
    <cellStyle name="스타일 11 27" xfId="4439"/>
    <cellStyle name="스타일 11 28" xfId="4256"/>
    <cellStyle name="스타일 11 29" xfId="4643"/>
    <cellStyle name="스타일 11 3" xfId="3353"/>
    <cellStyle name="스타일 11 30" xfId="6413"/>
    <cellStyle name="스타일 11 31" xfId="4843"/>
    <cellStyle name="스타일 11 32" xfId="6601"/>
    <cellStyle name="스타일 11 33" xfId="5053"/>
    <cellStyle name="스타일 11 34" xfId="6833"/>
    <cellStyle name="스타일 11 35" xfId="5256"/>
    <cellStyle name="스타일 11 36" xfId="5555"/>
    <cellStyle name="스타일 11 37" xfId="7047"/>
    <cellStyle name="스타일 11 38" xfId="5574"/>
    <cellStyle name="스타일 11 39" xfId="7219"/>
    <cellStyle name="스타일 11 4" xfId="3177"/>
    <cellStyle name="스타일 11 40" xfId="5783"/>
    <cellStyle name="스타일 11 41" xfId="7434"/>
    <cellStyle name="스타일 11 42" xfId="5985"/>
    <cellStyle name="스타일 11 43" xfId="6266"/>
    <cellStyle name="스타일 11 44" xfId="6176"/>
    <cellStyle name="스타일 11 45" xfId="5459"/>
    <cellStyle name="스타일 11 46" xfId="6367"/>
    <cellStyle name="스타일 11 47" xfId="7016"/>
    <cellStyle name="스타일 11 48" xfId="6553"/>
    <cellStyle name="스타일 11 49" xfId="7188"/>
    <cellStyle name="스타일 11 5" xfId="4051"/>
    <cellStyle name="스타일 11 50" xfId="7091"/>
    <cellStyle name="스타일 11 51" xfId="3452"/>
    <cellStyle name="스타일 11 52" xfId="7261"/>
    <cellStyle name="스타일 11 53" xfId="2590"/>
    <cellStyle name="스타일 11 54" xfId="7428"/>
    <cellStyle name="스타일 11 55" xfId="7186"/>
    <cellStyle name="스타일 11 56" xfId="7273"/>
    <cellStyle name="스타일 11 57" xfId="7355"/>
    <cellStyle name="스타일 11 58" xfId="7439"/>
    <cellStyle name="스타일 11 6" xfId="2644"/>
    <cellStyle name="스타일 11 7" xfId="3711"/>
    <cellStyle name="스타일 11 8" xfId="2933"/>
    <cellStyle name="스타일 11 9" xfId="3429"/>
    <cellStyle name="스타일 12" xfId="714"/>
    <cellStyle name="스타일 12 10" xfId="4377"/>
    <cellStyle name="스타일 12 11" xfId="4478"/>
    <cellStyle name="스타일 12 12" xfId="4583"/>
    <cellStyle name="스타일 12 13" xfId="4688"/>
    <cellStyle name="스타일 12 14" xfId="4792"/>
    <cellStyle name="스타일 12 15" xfId="4896"/>
    <cellStyle name="스타일 12 16" xfId="5003"/>
    <cellStyle name="스타일 12 17" xfId="5104"/>
    <cellStyle name="스타일 12 18" xfId="5206"/>
    <cellStyle name="스타일 12 19" xfId="5309"/>
    <cellStyle name="스타일 12 2" xfId="1862"/>
    <cellStyle name="스타일 12 20" xfId="5408"/>
    <cellStyle name="스타일 12 21" xfId="5512"/>
    <cellStyle name="스타일 12 22" xfId="5614"/>
    <cellStyle name="스타일 12 23" xfId="5720"/>
    <cellStyle name="스타일 12 24" xfId="5825"/>
    <cellStyle name="스타일 12 25" xfId="5928"/>
    <cellStyle name="스타일 12 26" xfId="6029"/>
    <cellStyle name="스타일 12 27" xfId="6130"/>
    <cellStyle name="스타일 12 28" xfId="6225"/>
    <cellStyle name="스타일 12 29" xfId="6324"/>
    <cellStyle name="스타일 12 3" xfId="3355"/>
    <cellStyle name="스타일 12 30" xfId="4689"/>
    <cellStyle name="스타일 12 31" xfId="6510"/>
    <cellStyle name="스타일 12 32" xfId="6604"/>
    <cellStyle name="스타일 12 33" xfId="6694"/>
    <cellStyle name="스타일 12 34" xfId="6788"/>
    <cellStyle name="스타일 12 35" xfId="6874"/>
    <cellStyle name="스타일 12 36" xfId="6966"/>
    <cellStyle name="스타일 12 37" xfId="4155"/>
    <cellStyle name="스타일 12 38" xfId="7135"/>
    <cellStyle name="스타일 12 39" xfId="7222"/>
    <cellStyle name="스타일 12 4" xfId="3173"/>
    <cellStyle name="스타일 12 40" xfId="7305"/>
    <cellStyle name="스타일 12 41" xfId="7391"/>
    <cellStyle name="스타일 12 42" xfId="7471"/>
    <cellStyle name="스타일 12 43" xfId="7554"/>
    <cellStyle name="스타일 12 44" xfId="7630"/>
    <cellStyle name="스타일 12 45" xfId="7703"/>
    <cellStyle name="스타일 12 46" xfId="7772"/>
    <cellStyle name="스타일 12 47" xfId="7838"/>
    <cellStyle name="스타일 12 48" xfId="7904"/>
    <cellStyle name="스타일 12 49" xfId="7967"/>
    <cellStyle name="스타일 12 5" xfId="4055"/>
    <cellStyle name="스타일 12 50" xfId="8030"/>
    <cellStyle name="스타일 12 51" xfId="8090"/>
    <cellStyle name="스타일 12 52" xfId="8149"/>
    <cellStyle name="스타일 12 53" xfId="8208"/>
    <cellStyle name="스타일 12 54" xfId="8263"/>
    <cellStyle name="스타일 12 55" xfId="8314"/>
    <cellStyle name="스타일 12 56" xfId="8362"/>
    <cellStyle name="스타일 12 57" xfId="8406"/>
    <cellStyle name="스타일 12 58" xfId="8446"/>
    <cellStyle name="스타일 12 6" xfId="2640"/>
    <cellStyle name="스타일 12 7" xfId="4164"/>
    <cellStyle name="스타일 12 8" xfId="2531"/>
    <cellStyle name="스타일 12 9" xfId="4272"/>
    <cellStyle name="스타일 13" xfId="715"/>
    <cellStyle name="스타일 13 10" xfId="4380"/>
    <cellStyle name="스타일 13 11" xfId="4479"/>
    <cellStyle name="스타일 13 12" xfId="4584"/>
    <cellStyle name="스타일 13 13" xfId="3818"/>
    <cellStyle name="스타일 13 14" xfId="4793"/>
    <cellStyle name="스타일 13 15" xfId="4897"/>
    <cellStyle name="스타일 13 16" xfId="5004"/>
    <cellStyle name="스타일 13 17" xfId="5105"/>
    <cellStyle name="스타일 13 18" xfId="5207"/>
    <cellStyle name="스타일 13 19" xfId="5310"/>
    <cellStyle name="스타일 13 2" xfId="1863"/>
    <cellStyle name="스타일 13 20" xfId="5409"/>
    <cellStyle name="스타일 13 21" xfId="5513"/>
    <cellStyle name="스타일 13 22" xfId="5615"/>
    <cellStyle name="스타일 13 23" xfId="5721"/>
    <cellStyle name="스타일 13 24" xfId="5826"/>
    <cellStyle name="스타일 13 25" xfId="5929"/>
    <cellStyle name="스타일 13 26" xfId="6030"/>
    <cellStyle name="스타일 13 27" xfId="6131"/>
    <cellStyle name="스타일 13 28" xfId="6226"/>
    <cellStyle name="스타일 13 29" xfId="6325"/>
    <cellStyle name="스타일 13 3" xfId="3357"/>
    <cellStyle name="스타일 13 30" xfId="6417"/>
    <cellStyle name="스타일 13 31" xfId="6511"/>
    <cellStyle name="스타일 13 32" xfId="6605"/>
    <cellStyle name="스타일 13 33" xfId="6695"/>
    <cellStyle name="스타일 13 34" xfId="6789"/>
    <cellStyle name="스타일 13 35" xfId="6875"/>
    <cellStyle name="스타일 13 36" xfId="6967"/>
    <cellStyle name="스타일 13 37" xfId="7051"/>
    <cellStyle name="스타일 13 38" xfId="7136"/>
    <cellStyle name="스타일 13 39" xfId="7223"/>
    <cellStyle name="스타일 13 4" xfId="3172"/>
    <cellStyle name="스타일 13 40" xfId="7306"/>
    <cellStyle name="스타일 13 41" xfId="7392"/>
    <cellStyle name="스타일 13 42" xfId="7472"/>
    <cellStyle name="스타일 13 43" xfId="7555"/>
    <cellStyle name="스타일 13 44" xfId="7631"/>
    <cellStyle name="스타일 13 45" xfId="7704"/>
    <cellStyle name="스타일 13 46" xfId="7773"/>
    <cellStyle name="스타일 13 47" xfId="7839"/>
    <cellStyle name="스타일 13 48" xfId="7905"/>
    <cellStyle name="스타일 13 49" xfId="7968"/>
    <cellStyle name="스타일 13 5" xfId="4056"/>
    <cellStyle name="스타일 13 50" xfId="8031"/>
    <cellStyle name="스타일 13 51" xfId="8091"/>
    <cellStyle name="스타일 13 52" xfId="8150"/>
    <cellStyle name="스타일 13 53" xfId="8209"/>
    <cellStyle name="스타일 13 54" xfId="8264"/>
    <cellStyle name="스타일 13 55" xfId="8315"/>
    <cellStyle name="스타일 13 56" xfId="8363"/>
    <cellStyle name="스타일 13 57" xfId="8407"/>
    <cellStyle name="스타일 13 58" xfId="8447"/>
    <cellStyle name="스타일 13 6" xfId="2639"/>
    <cellStyle name="스타일 13 7" xfId="4165"/>
    <cellStyle name="스타일 13 8" xfId="2530"/>
    <cellStyle name="스타일 13 9" xfId="4273"/>
    <cellStyle name="스타일 14" xfId="716"/>
    <cellStyle name="스타일 14 10" xfId="4381"/>
    <cellStyle name="스타일 14 11" xfId="4481"/>
    <cellStyle name="스타일 14 12" xfId="2718"/>
    <cellStyle name="스타일 14 13" xfId="4300"/>
    <cellStyle name="스타일 14 14" xfId="2979"/>
    <cellStyle name="스타일 14 15" xfId="4297"/>
    <cellStyle name="스타일 14 16" xfId="4611"/>
    <cellStyle name="스타일 14 17" xfId="4716"/>
    <cellStyle name="스타일 14 18" xfId="4822"/>
    <cellStyle name="스타일 14 19" xfId="4925"/>
    <cellStyle name="스타일 14 2" xfId="1864"/>
    <cellStyle name="스타일 14 20" xfId="5033"/>
    <cellStyle name="스타일 14 21" xfId="5133"/>
    <cellStyle name="스타일 14 22" xfId="5236"/>
    <cellStyle name="스타일 14 23" xfId="5338"/>
    <cellStyle name="스타일 14 24" xfId="5437"/>
    <cellStyle name="스타일 14 25" xfId="5541"/>
    <cellStyle name="스타일 14 26" xfId="5643"/>
    <cellStyle name="스타일 14 27" xfId="5751"/>
    <cellStyle name="스타일 14 28" xfId="5854"/>
    <cellStyle name="스타일 14 29" xfId="5956"/>
    <cellStyle name="스타일 14 3" xfId="3359"/>
    <cellStyle name="스타일 14 30" xfId="6418"/>
    <cellStyle name="스타일 14 31" xfId="6512"/>
    <cellStyle name="스타일 14 32" xfId="6255"/>
    <cellStyle name="스타일 14 33" xfId="6155"/>
    <cellStyle name="스타일 14 34" xfId="6445"/>
    <cellStyle name="스타일 14 35" xfId="6348"/>
    <cellStyle name="스타일 14 36" xfId="6631"/>
    <cellStyle name="스타일 14 37" xfId="7052"/>
    <cellStyle name="스타일 14 38" xfId="7137"/>
    <cellStyle name="스타일 14 39" xfId="6902"/>
    <cellStyle name="스타일 14 4" xfId="3170"/>
    <cellStyle name="스타일 14 40" xfId="6811"/>
    <cellStyle name="스타일 14 41" xfId="7079"/>
    <cellStyle name="스타일 14 42" xfId="6990"/>
    <cellStyle name="스타일 14 43" xfId="7249"/>
    <cellStyle name="스타일 14 44" xfId="7332"/>
    <cellStyle name="스타일 14 45" xfId="7418"/>
    <cellStyle name="스타일 14 46" xfId="7498"/>
    <cellStyle name="스타일 14 47" xfId="7581"/>
    <cellStyle name="스타일 14 48" xfId="7657"/>
    <cellStyle name="스타일 14 49" xfId="7729"/>
    <cellStyle name="스타일 14 5" xfId="3810"/>
    <cellStyle name="스타일 14 50" xfId="7797"/>
    <cellStyle name="스타일 14 51" xfId="7863"/>
    <cellStyle name="스타일 14 52" xfId="7929"/>
    <cellStyle name="스타일 14 53" xfId="7992"/>
    <cellStyle name="스타일 14 54" xfId="8055"/>
    <cellStyle name="스타일 14 55" xfId="8114"/>
    <cellStyle name="스타일 14 56" xfId="8173"/>
    <cellStyle name="스타일 14 57" xfId="8230"/>
    <cellStyle name="스타일 14 58" xfId="8283"/>
    <cellStyle name="스타일 14 6" xfId="2858"/>
    <cellStyle name="스타일 14 7" xfId="3570"/>
    <cellStyle name="스타일 14 8" xfId="3066"/>
    <cellStyle name="스타일 14 9" xfId="4276"/>
    <cellStyle name="스타일 15" xfId="717"/>
    <cellStyle name="스타일 15 10" xfId="4454"/>
    <cellStyle name="스타일 15 11" xfId="4196"/>
    <cellStyle name="스타일 15 12" xfId="4587"/>
    <cellStyle name="스타일 15 13" xfId="4691"/>
    <cellStyle name="스타일 15 14" xfId="4797"/>
    <cellStyle name="스타일 15 15" xfId="4900"/>
    <cellStyle name="스타일 15 16" xfId="5008"/>
    <cellStyle name="스타일 15 17" xfId="5108"/>
    <cellStyle name="스타일 15 18" xfId="5211"/>
    <cellStyle name="스타일 15 19" xfId="5313"/>
    <cellStyle name="스타일 15 2" xfId="1865"/>
    <cellStyle name="스타일 15 20" xfId="5412"/>
    <cellStyle name="스타일 15 21" xfId="5516"/>
    <cellStyle name="스타일 15 22" xfId="5619"/>
    <cellStyle name="스타일 15 23" xfId="5725"/>
    <cellStyle name="스타일 15 24" xfId="5830"/>
    <cellStyle name="스타일 15 25" xfId="5932"/>
    <cellStyle name="스타일 15 26" xfId="6033"/>
    <cellStyle name="스타일 15 27" xfId="6135"/>
    <cellStyle name="스타일 15 28" xfId="6229"/>
    <cellStyle name="스타일 15 29" xfId="6328"/>
    <cellStyle name="스타일 15 3" xfId="3361"/>
    <cellStyle name="스타일 15 30" xfId="6420"/>
    <cellStyle name="스타일 15 31" xfId="6514"/>
    <cellStyle name="스타일 15 32" xfId="6608"/>
    <cellStyle name="스타일 15 33" xfId="6698"/>
    <cellStyle name="스타일 15 34" xfId="6792"/>
    <cellStyle name="스타일 15 35" xfId="6878"/>
    <cellStyle name="스타일 15 36" xfId="6970"/>
    <cellStyle name="스타일 15 37" xfId="7054"/>
    <cellStyle name="스타일 15 38" xfId="7139"/>
    <cellStyle name="스타일 15 39" xfId="7225"/>
    <cellStyle name="스타일 15 4" xfId="3166"/>
    <cellStyle name="스타일 15 40" xfId="7308"/>
    <cellStyle name="스타일 15 41" xfId="7394"/>
    <cellStyle name="스타일 15 42" xfId="7474"/>
    <cellStyle name="스타일 15 43" xfId="7557"/>
    <cellStyle name="스타일 15 44" xfId="7633"/>
    <cellStyle name="스타일 15 45" xfId="7706"/>
    <cellStyle name="스타일 15 46" xfId="7775"/>
    <cellStyle name="스타일 15 47" xfId="7841"/>
    <cellStyle name="스타일 15 48" xfId="7907"/>
    <cellStyle name="스타일 15 49" xfId="7970"/>
    <cellStyle name="스타일 15 5" xfId="4060"/>
    <cellStyle name="스타일 15 50" xfId="8033"/>
    <cellStyle name="스타일 15 51" xfId="8093"/>
    <cellStyle name="스타일 15 52" xfId="8152"/>
    <cellStyle name="스타일 15 53" xfId="8211"/>
    <cellStyle name="스타일 15 54" xfId="8266"/>
    <cellStyle name="스타일 15 55" xfId="8317"/>
    <cellStyle name="스타일 15 56" xfId="8365"/>
    <cellStyle name="스타일 15 57" xfId="8409"/>
    <cellStyle name="스타일 15 58" xfId="8449"/>
    <cellStyle name="스타일 15 6" xfId="2635"/>
    <cellStyle name="스타일 15 7" xfId="4169"/>
    <cellStyle name="스타일 15 8" xfId="2527"/>
    <cellStyle name="스타일 15 9" xfId="4346"/>
    <cellStyle name="스타일 16" xfId="718"/>
    <cellStyle name="스타일 17" xfId="719"/>
    <cellStyle name="스타일 17 10" xfId="4387"/>
    <cellStyle name="스타일 17 11" xfId="4553"/>
    <cellStyle name="스타일 17 12" xfId="4656"/>
    <cellStyle name="스타일 17 13" xfId="4761"/>
    <cellStyle name="스타일 17 14" xfId="3768"/>
    <cellStyle name="스타일 17 15" xfId="4973"/>
    <cellStyle name="스타일 17 16" xfId="5076"/>
    <cellStyle name="스타일 17 17" xfId="5175"/>
    <cellStyle name="스타일 17 18" xfId="5280"/>
    <cellStyle name="스타일 17 19" xfId="5379"/>
    <cellStyle name="스타일 17 2" xfId="1866"/>
    <cellStyle name="스타일 17 20" xfId="5480"/>
    <cellStyle name="스타일 17 21" xfId="5585"/>
    <cellStyle name="스타일 17 22" xfId="5687"/>
    <cellStyle name="스타일 17 23" xfId="5796"/>
    <cellStyle name="스타일 17 24" xfId="5897"/>
    <cellStyle name="스타일 17 25" xfId="5999"/>
    <cellStyle name="스타일 17 26" xfId="6101"/>
    <cellStyle name="스타일 17 27" xfId="6196"/>
    <cellStyle name="스타일 17 28" xfId="6294"/>
    <cellStyle name="스타일 17 29" xfId="6389"/>
    <cellStyle name="스타일 17 3" xfId="3364"/>
    <cellStyle name="스타일 17 30" xfId="6423"/>
    <cellStyle name="스타일 17 31" xfId="6574"/>
    <cellStyle name="스타일 17 32" xfId="2783"/>
    <cellStyle name="스타일 17 33" xfId="6759"/>
    <cellStyle name="스타일 17 34" xfId="2593"/>
    <cellStyle name="스타일 17 35" xfId="6939"/>
    <cellStyle name="스타일 17 36" xfId="7025"/>
    <cellStyle name="스타일 17 37" xfId="7057"/>
    <cellStyle name="스타일 17 38" xfId="7198"/>
    <cellStyle name="스타일 17 39" xfId="5774"/>
    <cellStyle name="스타일 17 4" xfId="4003"/>
    <cellStyle name="스타일 17 40" xfId="7366"/>
    <cellStyle name="스타일 17 41" xfId="5976"/>
    <cellStyle name="스타일 17 42" xfId="7529"/>
    <cellStyle name="스타일 17 43" xfId="7606"/>
    <cellStyle name="스타일 17 44" xfId="7680"/>
    <cellStyle name="스타일 17 45" xfId="7749"/>
    <cellStyle name="스타일 17 46" xfId="7815"/>
    <cellStyle name="스타일 17 47" xfId="7881"/>
    <cellStyle name="스타일 17 48" xfId="7946"/>
    <cellStyle name="스타일 17 49" xfId="8009"/>
    <cellStyle name="스타일 17 5" xfId="2693"/>
    <cellStyle name="스타일 17 50" xfId="8069"/>
    <cellStyle name="스타일 17 51" xfId="8128"/>
    <cellStyle name="스타일 17 52" xfId="8187"/>
    <cellStyle name="스타일 17 53" xfId="8242"/>
    <cellStyle name="스타일 17 54" xfId="8294"/>
    <cellStyle name="스타일 17 55" xfId="8343"/>
    <cellStyle name="스타일 17 56" xfId="8388"/>
    <cellStyle name="스타일 17 57" xfId="8432"/>
    <cellStyle name="스타일 17 58" xfId="8470"/>
    <cellStyle name="스타일 17 6" xfId="4132"/>
    <cellStyle name="스타일 17 7" xfId="2562"/>
    <cellStyle name="스타일 17 8" xfId="4240"/>
    <cellStyle name="스타일 17 9" xfId="4283"/>
    <cellStyle name="스타일 18" xfId="720"/>
    <cellStyle name="스타일 18 10" xfId="4390"/>
    <cellStyle name="스타일 18 11" xfId="4487"/>
    <cellStyle name="스타일 18 12" xfId="4591"/>
    <cellStyle name="스타일 18 13" xfId="4696"/>
    <cellStyle name="스타일 18 14" xfId="4802"/>
    <cellStyle name="스타일 18 15" xfId="4905"/>
    <cellStyle name="스타일 18 16" xfId="5013"/>
    <cellStyle name="스타일 18 17" xfId="5113"/>
    <cellStyle name="스타일 18 18" xfId="5216"/>
    <cellStyle name="스타일 18 19" xfId="5318"/>
    <cellStyle name="스타일 18 2" xfId="1867"/>
    <cellStyle name="스타일 18 20" xfId="5417"/>
    <cellStyle name="스타일 18 21" xfId="5521"/>
    <cellStyle name="스타일 18 22" xfId="5624"/>
    <cellStyle name="스타일 18 23" xfId="5730"/>
    <cellStyle name="스타일 18 24" xfId="5835"/>
    <cellStyle name="스타일 18 25" xfId="5936"/>
    <cellStyle name="스타일 18 26" xfId="6038"/>
    <cellStyle name="스타일 18 27" xfId="6139"/>
    <cellStyle name="스타일 18 28" xfId="6234"/>
    <cellStyle name="스타일 18 29" xfId="6332"/>
    <cellStyle name="스타일 18 3" xfId="3366"/>
    <cellStyle name="스타일 18 30" xfId="6427"/>
    <cellStyle name="스타일 18 31" xfId="6518"/>
    <cellStyle name="스타일 18 32" xfId="6611"/>
    <cellStyle name="스타일 18 33" xfId="6702"/>
    <cellStyle name="스타일 18 34" xfId="6795"/>
    <cellStyle name="스타일 18 35" xfId="6881"/>
    <cellStyle name="스타일 18 36" xfId="6974"/>
    <cellStyle name="스타일 18 37" xfId="7061"/>
    <cellStyle name="스타일 18 38" xfId="7143"/>
    <cellStyle name="스타일 18 39" xfId="7229"/>
    <cellStyle name="스타일 18 4" xfId="3161"/>
    <cellStyle name="스타일 18 40" xfId="7312"/>
    <cellStyle name="스타일 18 41" xfId="7398"/>
    <cellStyle name="스타일 18 42" xfId="7478"/>
    <cellStyle name="스타일 18 43" xfId="7561"/>
    <cellStyle name="스타일 18 44" xfId="7637"/>
    <cellStyle name="스타일 18 45" xfId="7709"/>
    <cellStyle name="스타일 18 46" xfId="7778"/>
    <cellStyle name="스타일 18 47" xfId="7844"/>
    <cellStyle name="스타일 18 48" xfId="7910"/>
    <cellStyle name="스타일 18 49" xfId="7973"/>
    <cellStyle name="스타일 18 5" xfId="4065"/>
    <cellStyle name="스타일 18 50" xfId="8036"/>
    <cellStyle name="스타일 18 51" xfId="8096"/>
    <cellStyle name="스타일 18 52" xfId="8155"/>
    <cellStyle name="스타일 18 53" xfId="8213"/>
    <cellStyle name="스타일 18 54" xfId="8268"/>
    <cellStyle name="스타일 18 55" xfId="8319"/>
    <cellStyle name="스타일 18 56" xfId="8367"/>
    <cellStyle name="스타일 18 57" xfId="8411"/>
    <cellStyle name="스타일 18 58" xfId="8451"/>
    <cellStyle name="스타일 18 6" xfId="2630"/>
    <cellStyle name="스타일 18 7" xfId="4174"/>
    <cellStyle name="스타일 18 8" xfId="2522"/>
    <cellStyle name="스타일 18 9" xfId="4286"/>
    <cellStyle name="스타일 19" xfId="721"/>
    <cellStyle name="스타일 2" xfId="722"/>
    <cellStyle name="스타일 2 10" xfId="4393"/>
    <cellStyle name="스타일 2 11" xfId="4493"/>
    <cellStyle name="스타일 2 12" xfId="4597"/>
    <cellStyle name="스타일 2 13" xfId="4702"/>
    <cellStyle name="스타일 2 14" xfId="4808"/>
    <cellStyle name="스타일 2 15" xfId="4911"/>
    <cellStyle name="스타일 2 16" xfId="5019"/>
    <cellStyle name="스타일 2 17" xfId="5119"/>
    <cellStyle name="스타일 2 18" xfId="5222"/>
    <cellStyle name="스타일 2 19" xfId="5324"/>
    <cellStyle name="스타일 2 2" xfId="1868"/>
    <cellStyle name="스타일 2 20" xfId="5423"/>
    <cellStyle name="스타일 2 21" xfId="5527"/>
    <cellStyle name="스타일 2 22" xfId="5630"/>
    <cellStyle name="스타일 2 23" xfId="5736"/>
    <cellStyle name="스타일 2 24" xfId="5841"/>
    <cellStyle name="스타일 2 25" xfId="5942"/>
    <cellStyle name="스타일 2 26" xfId="6044"/>
    <cellStyle name="스타일 2 27" xfId="6145"/>
    <cellStyle name="스타일 2 28" xfId="6240"/>
    <cellStyle name="스타일 2 29" xfId="6338"/>
    <cellStyle name="스타일 2 3" xfId="3369"/>
    <cellStyle name="스타일 2 30" xfId="6431"/>
    <cellStyle name="스타일 2 31" xfId="6524"/>
    <cellStyle name="스타일 2 32" xfId="6617"/>
    <cellStyle name="스타일 2 33" xfId="6708"/>
    <cellStyle name="스타일 2 34" xfId="6801"/>
    <cellStyle name="스타일 2 35" xfId="6887"/>
    <cellStyle name="스타일 2 36" xfId="6980"/>
    <cellStyle name="스타일 2 37" xfId="7065"/>
    <cellStyle name="스타일 2 38" xfId="7149"/>
    <cellStyle name="스타일 2 39" xfId="7235"/>
    <cellStyle name="스타일 2 4" xfId="3155"/>
    <cellStyle name="스타일 2 40" xfId="7318"/>
    <cellStyle name="스타일 2 41" xfId="7404"/>
    <cellStyle name="스타일 2 42" xfId="7484"/>
    <cellStyle name="스타일 2 43" xfId="7567"/>
    <cellStyle name="스타일 2 44" xfId="7643"/>
    <cellStyle name="스타일 2 45" xfId="7715"/>
    <cellStyle name="스타일 2 46" xfId="7784"/>
    <cellStyle name="스타일 2 47" xfId="7850"/>
    <cellStyle name="스타일 2 48" xfId="7916"/>
    <cellStyle name="스타일 2 49" xfId="7979"/>
    <cellStyle name="스타일 2 5" xfId="4071"/>
    <cellStyle name="스타일 2 50" xfId="8042"/>
    <cellStyle name="스타일 2 51" xfId="8102"/>
    <cellStyle name="스타일 2 52" xfId="8161"/>
    <cellStyle name="스타일 2 53" xfId="8218"/>
    <cellStyle name="스타일 2 54" xfId="8273"/>
    <cellStyle name="스타일 2 55" xfId="8324"/>
    <cellStyle name="스타일 2 56" xfId="8372"/>
    <cellStyle name="스타일 2 57" xfId="8416"/>
    <cellStyle name="스타일 2 58" xfId="8455"/>
    <cellStyle name="스타일 2 6" xfId="2624"/>
    <cellStyle name="스타일 2 7" xfId="4180"/>
    <cellStyle name="스타일 2 8" xfId="2516"/>
    <cellStyle name="스타일 2 9" xfId="4288"/>
    <cellStyle name="스타일 20" xfId="1869"/>
    <cellStyle name="스타일 21" xfId="1870"/>
    <cellStyle name="스타일 22" xfId="1871"/>
    <cellStyle name="스타일 23" xfId="1872"/>
    <cellStyle name="스타일 24" xfId="1873"/>
    <cellStyle name="스타일 25" xfId="1874"/>
    <cellStyle name="스타일 26" xfId="1875"/>
    <cellStyle name="스타일 27" xfId="1876"/>
    <cellStyle name="스타일 28" xfId="1877"/>
    <cellStyle name="스타일 29" xfId="1878"/>
    <cellStyle name="스타일 3" xfId="723"/>
    <cellStyle name="스타일 3 10" xfId="4405"/>
    <cellStyle name="스타일 3 11" xfId="4504"/>
    <cellStyle name="스타일 3 12" xfId="4608"/>
    <cellStyle name="스타일 3 13" xfId="4713"/>
    <cellStyle name="스타일 3 14" xfId="4819"/>
    <cellStyle name="스타일 3 15" xfId="4922"/>
    <cellStyle name="스타일 3 16" xfId="5030"/>
    <cellStyle name="스타일 3 17" xfId="5130"/>
    <cellStyle name="스타일 3 18" xfId="5233"/>
    <cellStyle name="스타일 3 19" xfId="5335"/>
    <cellStyle name="스타일 3 2" xfId="1879"/>
    <cellStyle name="스타일 3 20" xfId="5434"/>
    <cellStyle name="스타일 3 21" xfId="5538"/>
    <cellStyle name="스타일 3 22" xfId="5640"/>
    <cellStyle name="스타일 3 23" xfId="5748"/>
    <cellStyle name="스타일 3 24" xfId="5851"/>
    <cellStyle name="스타일 3 25" xfId="5953"/>
    <cellStyle name="스타일 3 26" xfId="6056"/>
    <cellStyle name="스타일 3 27" xfId="6156"/>
    <cellStyle name="스타일 3 28" xfId="6251"/>
    <cellStyle name="스타일 3 29" xfId="6349"/>
    <cellStyle name="스타일 3 3" xfId="3376"/>
    <cellStyle name="스타일 3 30" xfId="5620"/>
    <cellStyle name="스타일 3 31" xfId="6534"/>
    <cellStyle name="스타일 3 32" xfId="6628"/>
    <cellStyle name="스타일 3 33" xfId="6719"/>
    <cellStyle name="스타일 3 34" xfId="6812"/>
    <cellStyle name="스타일 3 35" xfId="6898"/>
    <cellStyle name="스타일 3 36" xfId="6991"/>
    <cellStyle name="스타일 3 37" xfId="6326"/>
    <cellStyle name="스타일 3 38" xfId="7160"/>
    <cellStyle name="스타일 3 39" xfId="7246"/>
    <cellStyle name="스타일 3 4" xfId="3142"/>
    <cellStyle name="스타일 3 40" xfId="7329"/>
    <cellStyle name="스타일 3 41" xfId="7415"/>
    <cellStyle name="스타일 3 42" xfId="7495"/>
    <cellStyle name="스타일 3 43" xfId="7578"/>
    <cellStyle name="스타일 3 44" xfId="7654"/>
    <cellStyle name="스타일 3 45" xfId="7726"/>
    <cellStyle name="스타일 3 46" xfId="7794"/>
    <cellStyle name="스타일 3 47" xfId="7860"/>
    <cellStyle name="스타일 3 48" xfId="7926"/>
    <cellStyle name="스타일 3 49" xfId="7989"/>
    <cellStyle name="스타일 3 5" xfId="4082"/>
    <cellStyle name="스타일 3 50" xfId="8052"/>
    <cellStyle name="스타일 3 51" xfId="8111"/>
    <cellStyle name="스타일 3 52" xfId="8170"/>
    <cellStyle name="스타일 3 53" xfId="8227"/>
    <cellStyle name="스타일 3 54" xfId="8280"/>
    <cellStyle name="스타일 3 55" xfId="8331"/>
    <cellStyle name="스타일 3 56" xfId="8379"/>
    <cellStyle name="스타일 3 57" xfId="8423"/>
    <cellStyle name="스타일 3 58" xfId="8462"/>
    <cellStyle name="스타일 3 6" xfId="2614"/>
    <cellStyle name="스타일 3 7" xfId="4191"/>
    <cellStyle name="스타일 3 8" xfId="2505"/>
    <cellStyle name="스타일 3 9" xfId="2889"/>
    <cellStyle name="스타일 30" xfId="1880"/>
    <cellStyle name="스타일 31" xfId="1881"/>
    <cellStyle name="스타일 32" xfId="1882"/>
    <cellStyle name="스타일 33" xfId="1883"/>
    <cellStyle name="스타일 34" xfId="1884"/>
    <cellStyle name="스타일 35" xfId="1885"/>
    <cellStyle name="스타일 4" xfId="724"/>
    <cellStyle name="스타일 4 10" xfId="3427"/>
    <cellStyle name="스타일 4 11" xfId="4506"/>
    <cellStyle name="스타일 4 12" xfId="2717"/>
    <cellStyle name="스타일 4 13" xfId="4302"/>
    <cellStyle name="스타일 4 14" xfId="4408"/>
    <cellStyle name="스타일 4 15" xfId="4087"/>
    <cellStyle name="스타일 4 16" xfId="4613"/>
    <cellStyle name="스타일 4 17" xfId="4718"/>
    <cellStyle name="스타일 4 18" xfId="4824"/>
    <cellStyle name="스타일 4 19" xfId="4927"/>
    <cellStyle name="스타일 4 2" xfId="1886"/>
    <cellStyle name="스타일 4 20" xfId="5035"/>
    <cellStyle name="스타일 4 21" xfId="5135"/>
    <cellStyle name="스타일 4 22" xfId="5238"/>
    <cellStyle name="스타일 4 23" xfId="5340"/>
    <cellStyle name="스타일 4 24" xfId="5439"/>
    <cellStyle name="스타일 4 25" xfId="5543"/>
    <cellStyle name="스타일 4 26" xfId="5645"/>
    <cellStyle name="스타일 4 27" xfId="5753"/>
    <cellStyle name="스타일 4 28" xfId="5856"/>
    <cellStyle name="스타일 4 29" xfId="5958"/>
    <cellStyle name="스타일 4 3" xfId="3378"/>
    <cellStyle name="스타일 4 30" xfId="5666"/>
    <cellStyle name="스타일 4 31" xfId="5726"/>
    <cellStyle name="스타일 4 32" xfId="5876"/>
    <cellStyle name="스타일 4 33" xfId="6353"/>
    <cellStyle name="스타일 4 34" xfId="6081"/>
    <cellStyle name="스타일 4 35" xfId="6539"/>
    <cellStyle name="스타일 4 36" xfId="6633"/>
    <cellStyle name="스타일 4 37" xfId="4620"/>
    <cellStyle name="스타일 4 38" xfId="6421"/>
    <cellStyle name="스타일 4 39" xfId="6556"/>
    <cellStyle name="스타일 4 4" xfId="3140"/>
    <cellStyle name="스타일 4 40" xfId="6995"/>
    <cellStyle name="스타일 4 41" xfId="6740"/>
    <cellStyle name="스타일 4 42" xfId="7165"/>
    <cellStyle name="스타일 4 43" xfId="7251"/>
    <cellStyle name="스타일 4 44" xfId="7334"/>
    <cellStyle name="스타일 4 45" xfId="7420"/>
    <cellStyle name="스타일 4 46" xfId="7500"/>
    <cellStyle name="스타일 4 47" xfId="7583"/>
    <cellStyle name="스타일 4 48" xfId="7659"/>
    <cellStyle name="스타일 4 49" xfId="7731"/>
    <cellStyle name="스타일 4 5" xfId="3814"/>
    <cellStyle name="스타일 4 50" xfId="7799"/>
    <cellStyle name="스타일 4 51" xfId="7865"/>
    <cellStyle name="스타일 4 52" xfId="7931"/>
    <cellStyle name="스타일 4 53" xfId="7994"/>
    <cellStyle name="스타일 4 54" xfId="8057"/>
    <cellStyle name="스타일 4 55" xfId="8116"/>
    <cellStyle name="스타일 4 56" xfId="8175"/>
    <cellStyle name="스타일 4 57" xfId="8232"/>
    <cellStyle name="스타일 4 58" xfId="8285"/>
    <cellStyle name="스타일 4 6" xfId="2856"/>
    <cellStyle name="스타일 4 7" xfId="3572"/>
    <cellStyle name="스타일 4 8" xfId="3064"/>
    <cellStyle name="스타일 4 9" xfId="4088"/>
    <cellStyle name="스타일 5" xfId="725"/>
    <cellStyle name="스타일 5 10" xfId="2503"/>
    <cellStyle name="스타일 5 11" xfId="2560"/>
    <cellStyle name="스타일 5 12" xfId="4407"/>
    <cellStyle name="스타일 5 13" xfId="3813"/>
    <cellStyle name="스타일 5 14" xfId="4610"/>
    <cellStyle name="스타일 5 15" xfId="4715"/>
    <cellStyle name="스타일 5 16" xfId="4821"/>
    <cellStyle name="스타일 5 17" xfId="4924"/>
    <cellStyle name="스타일 5 18" xfId="5032"/>
    <cellStyle name="스타일 5 19" xfId="5132"/>
    <cellStyle name="스타일 5 2" xfId="1887"/>
    <cellStyle name="스타일 5 20" xfId="5235"/>
    <cellStyle name="스타일 5 21" xfId="5337"/>
    <cellStyle name="스타일 5 22" xfId="5436"/>
    <cellStyle name="스타일 5 23" xfId="5540"/>
    <cellStyle name="스타일 5 24" xfId="5642"/>
    <cellStyle name="스타일 5 25" xfId="5750"/>
    <cellStyle name="스타일 5 26" xfId="5853"/>
    <cellStyle name="스타일 5 27" xfId="5955"/>
    <cellStyle name="스타일 5 28" xfId="6058"/>
    <cellStyle name="스타일 5 29" xfId="6158"/>
    <cellStyle name="스타일 5 3" xfId="1888"/>
    <cellStyle name="스타일 5 30" xfId="6253"/>
    <cellStyle name="스타일 5 31" xfId="6351"/>
    <cellStyle name="스타일 5 32" xfId="6062"/>
    <cellStyle name="스타일 5 33" xfId="6536"/>
    <cellStyle name="스타일 5 34" xfId="6630"/>
    <cellStyle name="스타일 5 35" xfId="6721"/>
    <cellStyle name="스타일 5 36" xfId="6814"/>
    <cellStyle name="스타일 5 37" xfId="6900"/>
    <cellStyle name="스타일 5 38" xfId="6993"/>
    <cellStyle name="스타일 5 39" xfId="6725"/>
    <cellStyle name="스타일 5 4" xfId="1889"/>
    <cellStyle name="스타일 5 40" xfId="7162"/>
    <cellStyle name="스타일 5 41" xfId="7248"/>
    <cellStyle name="스타일 5 42" xfId="7331"/>
    <cellStyle name="스타일 5 43" xfId="7417"/>
    <cellStyle name="스타일 5 44" xfId="7497"/>
    <cellStyle name="스타일 5 45" xfId="7580"/>
    <cellStyle name="스타일 5 46" xfId="7656"/>
    <cellStyle name="스타일 5 47" xfId="7728"/>
    <cellStyle name="스타일 5 48" xfId="7796"/>
    <cellStyle name="스타일 5 49" xfId="7862"/>
    <cellStyle name="스타일 5 5" xfId="3380"/>
    <cellStyle name="스타일 5 50" xfId="7928"/>
    <cellStyle name="스타일 5 51" xfId="7991"/>
    <cellStyle name="스타일 5 52" xfId="8054"/>
    <cellStyle name="스타일 5 53" xfId="8113"/>
    <cellStyle name="스타일 5 54" xfId="8172"/>
    <cellStyle name="스타일 5 55" xfId="8229"/>
    <cellStyle name="스타일 5 56" xfId="8282"/>
    <cellStyle name="스타일 5 57" xfId="8333"/>
    <cellStyle name="스타일 5 58" xfId="8381"/>
    <cellStyle name="스타일 5 59" xfId="8425"/>
    <cellStyle name="스타일 5 6" xfId="3136"/>
    <cellStyle name="스타일 5 60" xfId="8464"/>
    <cellStyle name="스타일 5 7" xfId="4084"/>
    <cellStyle name="스타일 5 8" xfId="2612"/>
    <cellStyle name="스타일 5 9" xfId="4193"/>
    <cellStyle name="스타일 6" xfId="726"/>
    <cellStyle name="스타일 6 10" xfId="3141"/>
    <cellStyle name="스타일 6 11" xfId="4508"/>
    <cellStyle name="스타일 6 12" xfId="3877"/>
    <cellStyle name="스타일 6 13" xfId="3754"/>
    <cellStyle name="스타일 6 14" xfId="2897"/>
    <cellStyle name="스타일 6 15" xfId="4511"/>
    <cellStyle name="스타일 6 16" xfId="3646"/>
    <cellStyle name="스타일 6 17" xfId="4505"/>
    <cellStyle name="스타일 6 18" xfId="2501"/>
    <cellStyle name="스타일 6 19" xfId="4110"/>
    <cellStyle name="스타일 6 2" xfId="1890"/>
    <cellStyle name="스타일 6 2 2" xfId="1891"/>
    <cellStyle name="스타일 6 2 3" xfId="1892"/>
    <cellStyle name="스타일 6 20" xfId="2724"/>
    <cellStyle name="스타일 6 21" xfId="4170"/>
    <cellStyle name="스타일 6 22" xfId="2896"/>
    <cellStyle name="스타일 6 23" xfId="4085"/>
    <cellStyle name="스타일 6 24" xfId="4384"/>
    <cellStyle name="스타일 6 25" xfId="4484"/>
    <cellStyle name="스타일 6 26" xfId="4588"/>
    <cellStyle name="스타일 6 27" xfId="4692"/>
    <cellStyle name="스타일 6 28" xfId="4798"/>
    <cellStyle name="스타일 6 29" xfId="4901"/>
    <cellStyle name="스타일 6 3" xfId="3382"/>
    <cellStyle name="스타일 6 30" xfId="6296"/>
    <cellStyle name="스타일 6 31" xfId="6161"/>
    <cellStyle name="스타일 6 32" xfId="6657"/>
    <cellStyle name="스타일 6 33" xfId="6355"/>
    <cellStyle name="스타일 6 34" xfId="6838"/>
    <cellStyle name="스타일 6 35" xfId="6541"/>
    <cellStyle name="스타일 6 36" xfId="6061"/>
    <cellStyle name="스타일 6 37" xfId="6940"/>
    <cellStyle name="스타일 6 38" xfId="6817"/>
    <cellStyle name="스타일 6 39" xfId="7271"/>
    <cellStyle name="스타일 6 4" xfId="3134"/>
    <cellStyle name="스타일 6 40" xfId="6997"/>
    <cellStyle name="스타일 6 41" xfId="7437"/>
    <cellStyle name="스타일 6 42" xfId="7167"/>
    <cellStyle name="스타일 6 43" xfId="6724"/>
    <cellStyle name="스타일 6 44" xfId="7161"/>
    <cellStyle name="스타일 6 45" xfId="6903"/>
    <cellStyle name="스타일 6 46" xfId="6666"/>
    <cellStyle name="스타일 6 47" xfId="6358"/>
    <cellStyle name="스타일 6 48" xfId="6924"/>
    <cellStyle name="스타일 6 49" xfId="5776"/>
    <cellStyle name="스타일 6 5" xfId="3817"/>
    <cellStyle name="스타일 6 50" xfId="6968"/>
    <cellStyle name="스타일 6 51" xfId="7055"/>
    <cellStyle name="스타일 6 52" xfId="7140"/>
    <cellStyle name="스타일 6 53" xfId="7226"/>
    <cellStyle name="스타일 6 54" xfId="7309"/>
    <cellStyle name="스타일 6 55" xfId="7395"/>
    <cellStyle name="스타일 6 56" xfId="7475"/>
    <cellStyle name="스타일 6 57" xfId="7558"/>
    <cellStyle name="스타일 6 58" xfId="7634"/>
    <cellStyle name="스타일 6 6" xfId="2852"/>
    <cellStyle name="스타일 6 7" xfId="3576"/>
    <cellStyle name="스타일 6 8" xfId="3062"/>
    <cellStyle name="스타일 6 9" xfId="2796"/>
    <cellStyle name="스타일 7" xfId="727"/>
    <cellStyle name="스타일 7 10" xfId="2550"/>
    <cellStyle name="스타일 7 11" xfId="4539"/>
    <cellStyle name="스타일 7 12" xfId="4360"/>
    <cellStyle name="스타일 7 13" xfId="4463"/>
    <cellStyle name="스타일 7 14" xfId="4566"/>
    <cellStyle name="스타일 7 15" xfId="4668"/>
    <cellStyle name="스타일 7 16" xfId="4774"/>
    <cellStyle name="스타일 7 17" xfId="4879"/>
    <cellStyle name="스타일 7 18" xfId="4986"/>
    <cellStyle name="스타일 7 19" xfId="5088"/>
    <cellStyle name="스타일 7 2" xfId="1893"/>
    <cellStyle name="스타일 7 20" xfId="5188"/>
    <cellStyle name="스타일 7 21" xfId="5292"/>
    <cellStyle name="스타일 7 22" xfId="5392"/>
    <cellStyle name="스타일 7 23" xfId="5493"/>
    <cellStyle name="스타일 7 24" xfId="5596"/>
    <cellStyle name="스타일 7 25" xfId="5700"/>
    <cellStyle name="스타일 7 26" xfId="5808"/>
    <cellStyle name="스타일 7 27" xfId="5910"/>
    <cellStyle name="스타일 7 28" xfId="6011"/>
    <cellStyle name="스타일 7 29" xfId="6114"/>
    <cellStyle name="스타일 7 3" xfId="3384"/>
    <cellStyle name="스타일 7 30" xfId="5479"/>
    <cellStyle name="스타일 7 31" xfId="6391"/>
    <cellStyle name="스타일 7 32" xfId="5686"/>
    <cellStyle name="스타일 7 33" xfId="3009"/>
    <cellStyle name="스타일 7 34" xfId="6587"/>
    <cellStyle name="스타일 7 35" xfId="6680"/>
    <cellStyle name="스타일 7 36" xfId="6771"/>
    <cellStyle name="스타일 7 37" xfId="2714"/>
    <cellStyle name="스타일 7 38" xfId="7026"/>
    <cellStyle name="스타일 7 39" xfId="2669"/>
    <cellStyle name="스타일 7 4" xfId="3132"/>
    <cellStyle name="스타일 7 40" xfId="6483"/>
    <cellStyle name="스타일 7 41" xfId="7210"/>
    <cellStyle name="스타일 7 42" xfId="7293"/>
    <cellStyle name="스타일 7 43" xfId="7378"/>
    <cellStyle name="스타일 7 44" xfId="7458"/>
    <cellStyle name="스타일 7 45" xfId="7541"/>
    <cellStyle name="스타일 7 46" xfId="7617"/>
    <cellStyle name="스타일 7 47" xfId="7691"/>
    <cellStyle name="스타일 7 48" xfId="7760"/>
    <cellStyle name="스타일 7 49" xfId="7826"/>
    <cellStyle name="스타일 7 5" xfId="3322"/>
    <cellStyle name="스타일 7 50" xfId="7892"/>
    <cellStyle name="스타일 7 51" xfId="7957"/>
    <cellStyle name="스타일 7 52" xfId="8020"/>
    <cellStyle name="스타일 7 53" xfId="8080"/>
    <cellStyle name="스타일 7 54" xfId="8139"/>
    <cellStyle name="스타일 7 55" xfId="8198"/>
    <cellStyle name="스타일 7 56" xfId="8253"/>
    <cellStyle name="스타일 7 57" xfId="8304"/>
    <cellStyle name="스타일 7 58" xfId="8352"/>
    <cellStyle name="스타일 7 6" xfId="3218"/>
    <cellStyle name="스타일 7 7" xfId="4016"/>
    <cellStyle name="스타일 7 8" xfId="2680"/>
    <cellStyle name="스타일 7 9" xfId="4332"/>
    <cellStyle name="스타일 8" xfId="728"/>
    <cellStyle name="스타일 8 10" xfId="3736"/>
    <cellStyle name="스타일 8 11" xfId="3372"/>
    <cellStyle name="스타일 8 12" xfId="3144"/>
    <cellStyle name="스타일 8 13" xfId="4464"/>
    <cellStyle name="스타일 8 14" xfId="2616"/>
    <cellStyle name="스타일 8 15" xfId="4189"/>
    <cellStyle name="스타일 8 16" xfId="2507"/>
    <cellStyle name="스타일 8 17" xfId="4295"/>
    <cellStyle name="스타일 8 18" xfId="4401"/>
    <cellStyle name="스타일 8 19" xfId="4502"/>
    <cellStyle name="스타일 8 2" xfId="1894"/>
    <cellStyle name="스타일 8 20" xfId="4606"/>
    <cellStyle name="스타일 8 21" xfId="4711"/>
    <cellStyle name="스타일 8 22" xfId="4817"/>
    <cellStyle name="스타일 8 23" xfId="4920"/>
    <cellStyle name="스타일 8 24" xfId="5028"/>
    <cellStyle name="스타일 8 25" xfId="5128"/>
    <cellStyle name="스타일 8 26" xfId="5231"/>
    <cellStyle name="스타일 8 27" xfId="5333"/>
    <cellStyle name="스타일 8 28" xfId="5432"/>
    <cellStyle name="스타일 8 29" xfId="5536"/>
    <cellStyle name="스타일 8 3" xfId="3386"/>
    <cellStyle name="스타일 8 30" xfId="6471"/>
    <cellStyle name="스타일 8 31" xfId="5584"/>
    <cellStyle name="스타일 8 32" xfId="6402"/>
    <cellStyle name="스타일 8 33" xfId="5795"/>
    <cellStyle name="스타일 8 34" xfId="3889"/>
    <cellStyle name="스타일 8 35" xfId="6147"/>
    <cellStyle name="스타일 8 36" xfId="3641"/>
    <cellStyle name="스타일 8 37" xfId="7104"/>
    <cellStyle name="스타일 8 38" xfId="6291"/>
    <cellStyle name="스타일 8 39" xfId="7037"/>
    <cellStyle name="스타일 8 4" xfId="3130"/>
    <cellStyle name="스타일 8 40" xfId="6480"/>
    <cellStyle name="스타일 8 41" xfId="6758"/>
    <cellStyle name="스타일 8 42" xfId="6803"/>
    <cellStyle name="스타일 8 43" xfId="6938"/>
    <cellStyle name="스타일 8 44" xfId="6982"/>
    <cellStyle name="스타일 8 45" xfId="5565"/>
    <cellStyle name="스타일 8 46" xfId="7158"/>
    <cellStyle name="스타일 8 47" xfId="7244"/>
    <cellStyle name="스타일 8 48" xfId="7327"/>
    <cellStyle name="스타일 8 49" xfId="7413"/>
    <cellStyle name="스타일 8 5" xfId="3324"/>
    <cellStyle name="스타일 8 50" xfId="7493"/>
    <cellStyle name="스타일 8 51" xfId="7576"/>
    <cellStyle name="스타일 8 52" xfId="7652"/>
    <cellStyle name="스타일 8 53" xfId="7724"/>
    <cellStyle name="스타일 8 54" xfId="7792"/>
    <cellStyle name="스타일 8 55" xfId="7858"/>
    <cellStyle name="스타일 8 56" xfId="7924"/>
    <cellStyle name="스타일 8 57" xfId="7987"/>
    <cellStyle name="스타일 8 58" xfId="8050"/>
    <cellStyle name="스타일 8 6" xfId="3215"/>
    <cellStyle name="스타일 8 7" xfId="3806"/>
    <cellStyle name="스타일 8 8" xfId="2862"/>
    <cellStyle name="스타일 8 9" xfId="2932"/>
    <cellStyle name="스타일 9" xfId="729"/>
    <cellStyle name="스타일 9 10" xfId="3665"/>
    <cellStyle name="스타일 9 11" xfId="3791"/>
    <cellStyle name="스타일 9 12" xfId="3455"/>
    <cellStyle name="스타일 9 13" xfId="3645"/>
    <cellStyle name="스타일 9 14" xfId="2733"/>
    <cellStyle name="스타일 9 15" xfId="3437"/>
    <cellStyle name="스타일 9 16" xfId="3111"/>
    <cellStyle name="스타일 9 17" xfId="4636"/>
    <cellStyle name="스타일 9 18" xfId="3201"/>
    <cellStyle name="스타일 9 19" xfId="4027"/>
    <cellStyle name="스타일 9 2" xfId="1895"/>
    <cellStyle name="스타일 9 20" xfId="2667"/>
    <cellStyle name="스타일 9 21" xfId="4157"/>
    <cellStyle name="스타일 9 22" xfId="2537"/>
    <cellStyle name="스타일 9 23" xfId="4264"/>
    <cellStyle name="스타일 9 24" xfId="4371"/>
    <cellStyle name="스타일 9 25" xfId="4471"/>
    <cellStyle name="스타일 9 26" xfId="4577"/>
    <cellStyle name="스타일 9 27" xfId="4681"/>
    <cellStyle name="스타일 9 28" xfId="4785"/>
    <cellStyle name="스타일 9 29" xfId="4889"/>
    <cellStyle name="스타일 9 3" xfId="3388"/>
    <cellStyle name="스타일 9 30" xfId="4834"/>
    <cellStyle name="스타일 9 31" xfId="4655"/>
    <cellStyle name="스타일 9 32" xfId="2710"/>
    <cellStyle name="스타일 9 33" xfId="5758"/>
    <cellStyle name="스타일 9 34" xfId="5884"/>
    <cellStyle name="스타일 9 35" xfId="5963"/>
    <cellStyle name="스타일 9 36" xfId="5608"/>
    <cellStyle name="스타일 9 37" xfId="5988"/>
    <cellStyle name="스타일 9 38" xfId="5671"/>
    <cellStyle name="스타일 9 39" xfId="4096"/>
    <cellStyle name="스타일 9 4" xfId="4000"/>
    <cellStyle name="스타일 9 40" xfId="6921"/>
    <cellStyle name="스타일 9 41" xfId="6312"/>
    <cellStyle name="스타일 9 42" xfId="6638"/>
    <cellStyle name="스타일 9 43" xfId="6318"/>
    <cellStyle name="스타일 9 44" xfId="6821"/>
    <cellStyle name="스타일 9 45" xfId="6507"/>
    <cellStyle name="스타일 9 46" xfId="6730"/>
    <cellStyle name="스타일 9 47" xfId="6691"/>
    <cellStyle name="스타일 9 48" xfId="6909"/>
    <cellStyle name="스타일 9 49" xfId="6869"/>
    <cellStyle name="스타일 9 5" xfId="3742"/>
    <cellStyle name="스타일 9 50" xfId="6960"/>
    <cellStyle name="스타일 9 51" xfId="7045"/>
    <cellStyle name="스타일 9 52" xfId="7130"/>
    <cellStyle name="스타일 9 53" xfId="7217"/>
    <cellStyle name="스타일 9 54" xfId="7300"/>
    <cellStyle name="스타일 9 55" xfId="7385"/>
    <cellStyle name="스타일 9 56" xfId="7465"/>
    <cellStyle name="스타일 9 57" xfId="7548"/>
    <cellStyle name="스타일 9 58" xfId="7624"/>
    <cellStyle name="스타일 9 6" xfId="2908"/>
    <cellStyle name="스타일 9 7" xfId="3523"/>
    <cellStyle name="스타일 9 8" xfId="3922"/>
    <cellStyle name="스타일 9 9" xfId="2464"/>
    <cellStyle name="안건회계법인" xfId="730"/>
    <cellStyle name="옛체" xfId="731"/>
    <cellStyle name="왼쪽2" xfId="732"/>
    <cellStyle name="원" xfId="733"/>
    <cellStyle name="원_0008금감원통합감독검사정보시스템" xfId="1896"/>
    <cellStyle name="원_0009김포공항LED교체공사(광일)" xfId="734"/>
    <cellStyle name="원_0009김포공항LED교체공사(광일)_1)농경문화관 전시" xfId="1897"/>
    <cellStyle name="원_0009김포공항LED교체공사(광일)_강원지역본부(2006년_060109)" xfId="1898"/>
    <cellStyle name="원_0009김포공항LED교체공사(광일)_경남지역본부-" xfId="1899"/>
    <cellStyle name="원_0009김포공항LED교체공사(광일)_경북지역본부-" xfId="1900"/>
    <cellStyle name="원_0009김포공항LED교체공사(광일)_중부지역본부-" xfId="1901"/>
    <cellStyle name="원_0009김포공항LED교체공사(광일)_충청지역본부-" xfId="1902"/>
    <cellStyle name="원_0009김포공항LED교체공사(광일)_통행료면탈방지시스템(최종)" xfId="1903"/>
    <cellStyle name="원_0009김포공항LED교체공사(광일)_호남지역본부-" xfId="1904"/>
    <cellStyle name="원_0011KIST소각설비제작설치" xfId="735"/>
    <cellStyle name="원_0011KIST소각설비제작설치_1)농경문화관 전시" xfId="1905"/>
    <cellStyle name="원_0011KIST소각설비제작설치_강원지역본부(2006년_060109)" xfId="1906"/>
    <cellStyle name="원_0011KIST소각설비제작설치_경남지역본부-" xfId="1907"/>
    <cellStyle name="원_0011KIST소각설비제작설치_경북지역본부-" xfId="1908"/>
    <cellStyle name="원_0011KIST소각설비제작설치_중부지역본부-" xfId="1909"/>
    <cellStyle name="원_0011KIST소각설비제작설치_충청지역본부-" xfId="1910"/>
    <cellStyle name="원_0011KIST소각설비제작설치_통행료면탈방지시스템(최종)" xfId="1911"/>
    <cellStyle name="원_0011KIST소각설비제작설치_호남지역본부-" xfId="1912"/>
    <cellStyle name="원_0011긴급전화기정산(99년형광일)" xfId="736"/>
    <cellStyle name="원_0011긴급전화기정산(99년형광일)_1)농경문화관 전시" xfId="1913"/>
    <cellStyle name="원_0011긴급전화기정산(99년형광일)_강원지역본부(2006년_060109)" xfId="1914"/>
    <cellStyle name="원_0011긴급전화기정산(99년형광일)_경남지역본부-" xfId="1915"/>
    <cellStyle name="원_0011긴급전화기정산(99년형광일)_경북지역본부-" xfId="1916"/>
    <cellStyle name="원_0011긴급전화기정산(99년형광일)_중부지역본부-" xfId="1917"/>
    <cellStyle name="원_0011긴급전화기정산(99년형광일)_충청지역본부-" xfId="1918"/>
    <cellStyle name="원_0011긴급전화기정산(99년형광일)_통행료면탈방지시스템(최종)" xfId="1919"/>
    <cellStyle name="원_0011긴급전화기정산(99년형광일)_호남지역본부-" xfId="1920"/>
    <cellStyle name="원_0011부산종합경기장전광판" xfId="737"/>
    <cellStyle name="원_0011부산종합경기장전광판_1)농경문화관 전시" xfId="1921"/>
    <cellStyle name="원_0011부산종합경기장전광판_강원지역본부(2006년_060109)" xfId="1922"/>
    <cellStyle name="원_0011부산종합경기장전광판_경남지역본부-" xfId="1923"/>
    <cellStyle name="원_0011부산종합경기장전광판_경북지역본부-" xfId="1924"/>
    <cellStyle name="원_0011부산종합경기장전광판_중부지역본부-" xfId="1925"/>
    <cellStyle name="원_0011부산종합경기장전광판_충청지역본부-" xfId="1926"/>
    <cellStyle name="원_0011부산종합경기장전광판_통행료면탈방지시스템(최종)" xfId="1927"/>
    <cellStyle name="원_0011부산종합경기장전광판_호남지역본부-" xfId="1928"/>
    <cellStyle name="원_0012문화유적지표석제작설치" xfId="738"/>
    <cellStyle name="원_0012문화유적지표석제작설치_1)농경문화관 전시" xfId="1929"/>
    <cellStyle name="원_0012문화유적지표석제작설치_강원지역본부(2006년_060109)" xfId="1930"/>
    <cellStyle name="원_0012문화유적지표석제작설치_경남지역본부-" xfId="1931"/>
    <cellStyle name="원_0012문화유적지표석제작설치_경북지역본부-" xfId="1932"/>
    <cellStyle name="원_0012문화유적지표석제작설치_중부지역본부-" xfId="1933"/>
    <cellStyle name="원_0012문화유적지표석제작설치_충청지역본부-" xfId="1934"/>
    <cellStyle name="원_0012문화유적지표석제작설치_통행료면탈방지시스템(최종)" xfId="1935"/>
    <cellStyle name="원_0012문화유적지표석제작설치_호남지역본부-" xfId="1936"/>
    <cellStyle name="원_0102국제조명신공항분수조명" xfId="1937"/>
    <cellStyle name="원_0102국제조명신공항분수조명_1)농경문화관 전시" xfId="1938"/>
    <cellStyle name="원_0102국제조명신공항분수조명_강원지역본부(2006년_060109)" xfId="1939"/>
    <cellStyle name="원_0102국제조명신공항분수조명_경남지역본부-" xfId="1940"/>
    <cellStyle name="원_0102국제조명신공항분수조명_경북지역본부-" xfId="1941"/>
    <cellStyle name="원_0102국제조명신공항분수조명_중부지역본부-" xfId="1942"/>
    <cellStyle name="원_0102국제조명신공항분수조명_충청지역본부-" xfId="1943"/>
    <cellStyle name="원_0102국제조명신공항분수조명_통행료면탈방지시스템(최종)" xfId="1944"/>
    <cellStyle name="원_0102국제조명신공항분수조명_호남지역본부-" xfId="1945"/>
    <cellStyle name="원_0103회전식현수막게시대제작설치" xfId="1946"/>
    <cellStyle name="원_0104포항시침출수처리시스템" xfId="1947"/>
    <cellStyle name="원_0105담배자판기개조원가" xfId="739"/>
    <cellStyle name="원_0105담배자판기개조원가_1)농경문화관 전시" xfId="1948"/>
    <cellStyle name="원_0105담배자판기개조원가_강원지역본부(2006년_060109)" xfId="1949"/>
    <cellStyle name="원_0105담배자판기개조원가_경남지역본부-" xfId="1950"/>
    <cellStyle name="원_0105담배자판기개조원가_경북지역본부-" xfId="1951"/>
    <cellStyle name="원_0105담배자판기개조원가_중부지역본부-" xfId="1952"/>
    <cellStyle name="원_0105담배자판기개조원가_충청지역본부-" xfId="1953"/>
    <cellStyle name="원_0105담배자판기개조원가_통행료면탈방지시스템(최종)" xfId="1954"/>
    <cellStyle name="원_0105담배자판기개조원가_호남지역본부-" xfId="1955"/>
    <cellStyle name="원_0106LG인버터냉난방기제작-1" xfId="740"/>
    <cellStyle name="원_0106LG인버터냉난방기제작-1_1)농경문화관 전시" xfId="1956"/>
    <cellStyle name="원_0106LG인버터냉난방기제작-1_강원지역본부(2006년_060109)" xfId="1957"/>
    <cellStyle name="원_0106LG인버터냉난방기제작-1_경남지역본부-" xfId="1958"/>
    <cellStyle name="원_0106LG인버터냉난방기제작-1_경북지역본부-" xfId="1959"/>
    <cellStyle name="원_0106LG인버터냉난방기제작-1_중부지역본부-" xfId="1960"/>
    <cellStyle name="원_0106LG인버터냉난방기제작-1_충청지역본부-" xfId="1961"/>
    <cellStyle name="원_0106LG인버터냉난방기제작-1_통행료면탈방지시스템(최종)" xfId="1962"/>
    <cellStyle name="원_0106LG인버터냉난방기제작-1_호남지역본부-" xfId="1963"/>
    <cellStyle name="원_0107광전송장비구매설치" xfId="1964"/>
    <cellStyle name="원_0107광전송장비구매설치_1)농경문화관 전시" xfId="1965"/>
    <cellStyle name="원_0107광전송장비구매설치_강원지역본부(2006년_060109)" xfId="1966"/>
    <cellStyle name="원_0107광전송장비구매설치_경남지역본부-" xfId="1967"/>
    <cellStyle name="원_0107광전송장비구매설치_경북지역본부-" xfId="1968"/>
    <cellStyle name="원_0107광전송장비구매설치_중부지역본부-" xfId="1969"/>
    <cellStyle name="원_0107광전송장비구매설치_충청지역본부-" xfId="1970"/>
    <cellStyle name="원_0107광전송장비구매설치_통행료면탈방지시스템(최종)" xfId="1971"/>
    <cellStyle name="원_0107광전송장비구매설치_호남지역본부-" xfId="1972"/>
    <cellStyle name="원_0107도공IBS설비SW부문(참조)" xfId="741"/>
    <cellStyle name="원_0107도공IBS설비SW부문(참조)_1)농경문화관 전시" xfId="1973"/>
    <cellStyle name="원_0107도공IBS설비SW부문(참조)_강원지역본부(2006년_060109)" xfId="1974"/>
    <cellStyle name="원_0107도공IBS설비SW부문(참조)_경남지역본부-" xfId="1975"/>
    <cellStyle name="원_0107도공IBS설비SW부문(참조)_경북지역본부-" xfId="1976"/>
    <cellStyle name="원_0107도공IBS설비SW부문(참조)_중부지역본부-" xfId="1977"/>
    <cellStyle name="원_0107도공IBS설비SW부문(참조)_충청지역본부-" xfId="1978"/>
    <cellStyle name="원_0107도공IBS설비SW부문(참조)_통행료면탈방지시스템(최종)" xfId="1979"/>
    <cellStyle name="원_0107도공IBS설비SW부문(참조)_호남지역본부-" xfId="1980"/>
    <cellStyle name="원_0107문화재복원용목재-8월6일" xfId="742"/>
    <cellStyle name="원_0107문화재복원용목재-8월6일_1)농경문화관 전시" xfId="1981"/>
    <cellStyle name="원_0107문화재복원용목재-8월6일_강원지역본부(2006년_060109)" xfId="1982"/>
    <cellStyle name="원_0107문화재복원용목재-8월6일_경남지역본부-" xfId="1983"/>
    <cellStyle name="원_0107문화재복원용목재-8월6일_경북지역본부-" xfId="1984"/>
    <cellStyle name="원_0107문화재복원용목재-8월6일_중부지역본부-" xfId="1985"/>
    <cellStyle name="원_0107문화재복원용목재-8월6일_충청지역본부-" xfId="1986"/>
    <cellStyle name="원_0107문화재복원용목재-8월6일_통행료면탈방지시스템(최종)" xfId="1987"/>
    <cellStyle name="원_0107문화재복원용목재-8월6일_호남지역본부-" xfId="1988"/>
    <cellStyle name="원_0107포천영중수배전반(제조,설치)" xfId="743"/>
    <cellStyle name="원_0107포천영중수배전반(제조,설치)_1)농경문화관 전시" xfId="1989"/>
    <cellStyle name="원_0107포천영중수배전반(제조,설치)_강원지역본부(2006년_060109)" xfId="1990"/>
    <cellStyle name="원_0107포천영중수배전반(제조,설치)_경남지역본부-" xfId="1991"/>
    <cellStyle name="원_0107포천영중수배전반(제조,설치)_경북지역본부-" xfId="1992"/>
    <cellStyle name="원_0107포천영중수배전반(제조,설치)_중부지역본부-" xfId="1993"/>
    <cellStyle name="원_0107포천영중수배전반(제조,설치)_충청지역본부-" xfId="1994"/>
    <cellStyle name="원_0107포천영중수배전반(제조,설치)_통행료면탈방지시스템(최종)" xfId="1995"/>
    <cellStyle name="원_0107포천영중수배전반(제조,설치)_호남지역본부-" xfId="1996"/>
    <cellStyle name="원_0108농기반미곡건조기제작설치" xfId="1997"/>
    <cellStyle name="원_0108담배인삼공사영업춘추복" xfId="744"/>
    <cellStyle name="원_0108한국전기교통-LED교통신호등((원본))" xfId="745"/>
    <cellStyle name="원_0108한국전기교통-LED교통신호등((원본))_1)농경문화관 전시" xfId="1998"/>
    <cellStyle name="원_0108한국전기교통-LED교통신호등((원본))_강원지역본부(2006년_060109)" xfId="1999"/>
    <cellStyle name="원_0108한국전기교통-LED교통신호등((원본))_경남지역본부-" xfId="2000"/>
    <cellStyle name="원_0108한국전기교통-LED교통신호등((원본))_경북지역본부-" xfId="2001"/>
    <cellStyle name="원_0108한국전기교통-LED교통신호등((원본))_중부지역본부-" xfId="2002"/>
    <cellStyle name="원_0108한국전기교통-LED교통신호등((원본))_충청지역본부-" xfId="2003"/>
    <cellStyle name="원_0108한국전기교통-LED교통신호등((원본))_통행료면탈방지시스템(최종)" xfId="2004"/>
    <cellStyle name="원_0108한국전기교통-LED교통신호등((원본))_호남지역본부-" xfId="2005"/>
    <cellStyle name="원_0111해양수산부등명기제작" xfId="746"/>
    <cellStyle name="원_0111해양수산부등명기제작_1)농경문화관 전시" xfId="2006"/>
    <cellStyle name="원_0111해양수산부등명기제작_강원지역본부(2006년_060109)" xfId="2007"/>
    <cellStyle name="원_0111해양수산부등명기제작_경남지역본부-" xfId="2008"/>
    <cellStyle name="원_0111해양수산부등명기제작_경북지역본부-" xfId="2009"/>
    <cellStyle name="원_0111해양수산부등명기제작_중부지역본부-" xfId="2010"/>
    <cellStyle name="원_0111해양수산부등명기제작_충청지역본부-" xfId="2011"/>
    <cellStyle name="원_0111해양수산부등명기제작_통행료면탈방지시스템(최종)" xfId="2012"/>
    <cellStyle name="원_0111해양수산부등명기제작_호남지역본부-" xfId="2013"/>
    <cellStyle name="원_0111핸디소프트-전자표준문서시스템" xfId="747"/>
    <cellStyle name="원_0112금감원사무자동화시스템" xfId="748"/>
    <cellStyle name="원_0112금감원사무자동화시스템_1)농경문화관 전시" xfId="2014"/>
    <cellStyle name="원_0112금감원사무자동화시스템_강원지역본부(2006년_060109)" xfId="2015"/>
    <cellStyle name="원_0112금감원사무자동화시스템_경남지역본부-" xfId="2016"/>
    <cellStyle name="원_0112금감원사무자동화시스템_경북지역본부-" xfId="2017"/>
    <cellStyle name="원_0112금감원사무자동화시스템_중부지역본부-" xfId="2018"/>
    <cellStyle name="원_0112금감원사무자동화시스템_충청지역본부-" xfId="2019"/>
    <cellStyle name="원_0112금감원사무자동화시스템_통행료면탈방지시스템(최종)" xfId="2020"/>
    <cellStyle name="원_0112금감원사무자동화시스템_호남지역본부-" xfId="2021"/>
    <cellStyle name="원_0112수도권매립지SW원가" xfId="749"/>
    <cellStyle name="원_0112수도권매립지SW원가_1)농경문화관 전시" xfId="2022"/>
    <cellStyle name="원_0112수도권매립지SW원가_강원지역본부(2006년_060109)" xfId="2023"/>
    <cellStyle name="원_0112수도권매립지SW원가_경남지역본부-" xfId="2024"/>
    <cellStyle name="원_0112수도권매립지SW원가_경북지역본부-" xfId="2025"/>
    <cellStyle name="원_0112수도권매립지SW원가_중부지역본부-" xfId="2026"/>
    <cellStyle name="원_0112수도권매립지SW원가_충청지역본부-" xfId="2027"/>
    <cellStyle name="원_0112수도권매립지SW원가_통행료면탈방지시스템(최종)" xfId="2028"/>
    <cellStyle name="원_0112수도권매립지SW원가_호남지역본부-" xfId="2029"/>
    <cellStyle name="원_0112중고원-HRD종합정보망구축(完)" xfId="2030"/>
    <cellStyle name="원_0201종합예술회관의자제작설치" xfId="2031"/>
    <cellStyle name="원_0201종합예술회관의자제작설치_1)농경문화관 전시" xfId="2032"/>
    <cellStyle name="원_0201종합예술회관의자제작설치_1. 경기35차로하이패스" xfId="2033"/>
    <cellStyle name="원_0201종합예술회관의자제작설치-1" xfId="2034"/>
    <cellStyle name="원_0202마사회근무복" xfId="2035"/>
    <cellStyle name="원_0202마사회근무복_1)농경문화관 전시" xfId="2036"/>
    <cellStyle name="원_0202마사회근무복_강원지역본부(2006년_060109)" xfId="2037"/>
    <cellStyle name="원_0202마사회근무복_경남지역본부-" xfId="2038"/>
    <cellStyle name="원_0202마사회근무복_경북지역본부-" xfId="2039"/>
    <cellStyle name="원_0202마사회근무복_중부지역본부-" xfId="2040"/>
    <cellStyle name="원_0202마사회근무복_충청지역본부-" xfId="2041"/>
    <cellStyle name="원_0202마사회근무복_통행료면탈방지시스템(최종)" xfId="2042"/>
    <cellStyle name="원_0202마사회근무복_호남지역본부-" xfId="2043"/>
    <cellStyle name="원_0202부경교재-승강칠판" xfId="2044"/>
    <cellStyle name="원_0202부경교재-승강칠판_1)농경문화관 전시" xfId="2045"/>
    <cellStyle name="원_0202부경교재-승강칠판_강원지역본부(2006년_060109)" xfId="2046"/>
    <cellStyle name="원_0202부경교재-승강칠판_경남지역본부-" xfId="2047"/>
    <cellStyle name="원_0202부경교재-승강칠판_경북지역본부-" xfId="2048"/>
    <cellStyle name="원_0202부경교재-승강칠판_중부지역본부-" xfId="2049"/>
    <cellStyle name="원_0202부경교재-승강칠판_충청지역본부-" xfId="2050"/>
    <cellStyle name="원_0202부경교재-승강칠판_통행료면탈방지시스템(최종)" xfId="2051"/>
    <cellStyle name="원_0202부경교재-승강칠판_호남지역본부-" xfId="2052"/>
    <cellStyle name="원_0204한국석묘납골함-1규격" xfId="2053"/>
    <cellStyle name="원_0204한국석묘납골함-1규격_1)농경문화관 전시" xfId="2054"/>
    <cellStyle name="원_0204한국석묘납골함-1규격_강원지역본부(2006년_060109)" xfId="2055"/>
    <cellStyle name="원_0204한국석묘납골함-1규격_경남지역본부-" xfId="2056"/>
    <cellStyle name="원_0204한국석묘납골함-1규격_경북지역본부-" xfId="2057"/>
    <cellStyle name="원_0204한국석묘납골함-1규격_중부지역본부-" xfId="2058"/>
    <cellStyle name="원_0204한국석묘납골함-1규격_충청지역본부-" xfId="2059"/>
    <cellStyle name="원_0204한국석묘납골함-1규격_통행료면탈방지시스템(최종)" xfId="2060"/>
    <cellStyle name="원_0204한국석묘납골함-1규격_호남지역본부-" xfId="2061"/>
    <cellStyle name="원_0205TTMS-긴급전화기&amp;전체총괄" xfId="2062"/>
    <cellStyle name="원_0206금감원금융정보교환망재구축" xfId="2063"/>
    <cellStyle name="원_0206정통부수납장표기기제작설치" xfId="2064"/>
    <cellStyle name="원_0207담배인삼공사-담요" xfId="2065"/>
    <cellStyle name="원_0208레비텍-다층여과기설계변경" xfId="2066"/>
    <cellStyle name="원_0209이산화염소발생기-설치(50K)" xfId="2067"/>
    <cellStyle name="원_0210현대정보기술-TD이중계" xfId="2068"/>
    <cellStyle name="원_0211조달청-#1대북지원사업정산(1월7일)" xfId="2069"/>
    <cellStyle name="원_0212금감원-법규정보시스템(完)" xfId="750"/>
    <cellStyle name="원_0301교통방송-CCTV유지보수" xfId="2070"/>
    <cellStyle name="원_0302인천경찰청-무인단속기위탁관리" xfId="2071"/>
    <cellStyle name="원_0302조달청-대북지원2차(안성연)" xfId="2072"/>
    <cellStyle name="원_0302조달청-대북지원2차(최수현)" xfId="2073"/>
    <cellStyle name="원_0302표준문서-쌍용정보통신(신)" xfId="2074"/>
    <cellStyle name="원_0304소프트파워-정부표준전자문서시스템" xfId="2075"/>
    <cellStyle name="원_0304소프트파워-정부표준전자문서시스템(完)" xfId="2076"/>
    <cellStyle name="원_0304철도청-주변환장치-1" xfId="2077"/>
    <cellStyle name="원_0305금감원-금융통계정보시스템구축(完)" xfId="2078"/>
    <cellStyle name="원_0305제낭조합-면범포지" xfId="2079"/>
    <cellStyle name="원_0306제낭공업협동조합-면범포지원단(경비까지)" xfId="2080"/>
    <cellStyle name="원_0307경찰청-무인교통단속표준SW개발용역(完)" xfId="2081"/>
    <cellStyle name="원_0308조달청-#8대북지원사업정산" xfId="2082"/>
    <cellStyle name="원_0309두합크린텍-설치원가" xfId="2083"/>
    <cellStyle name="원_0309조달청-#9대북지원사업정산" xfId="2084"/>
    <cellStyle name="원_0310여주상수도-탈수기(유천ENG)" xfId="2085"/>
    <cellStyle name="원_0311대기해양작업시간" xfId="2086"/>
    <cellStyle name="원_0311대기해양중형등명기" xfId="2087"/>
    <cellStyle name="원_0312국민체육진흥공단-전기부문" xfId="2088"/>
    <cellStyle name="원_0312대기해양-중형등명기제작설치" xfId="2089"/>
    <cellStyle name="원_0312라이준-칼라아스콘4규격" xfId="2090"/>
    <cellStyle name="원_0401집진기프로그램SW개발비산정" xfId="2091"/>
    <cellStyle name="원_1)농경문화관 전시" xfId="2092"/>
    <cellStyle name="원_13. 관리동" xfId="2093"/>
    <cellStyle name="원_2001-06조달청신성-한냉지형" xfId="2094"/>
    <cellStyle name="원_2002-03경찰대학-졸업식" xfId="751"/>
    <cellStyle name="원_2002-03경찰청-경찰표지장" xfId="2095"/>
    <cellStyle name="원_2002-03반디-가로등(열주형)" xfId="2096"/>
    <cellStyle name="원_2002-03신화전자-감지기" xfId="752"/>
    <cellStyle name="원_2002-04강원랜드-슬러트머신" xfId="753"/>
    <cellStyle name="원_2002-04메가컴-외주무대" xfId="2097"/>
    <cellStyle name="원_2002-04엘지애드-무대" xfId="2098"/>
    <cellStyle name="원_2002-05강원랜드-슬러트머신(넥스터)" xfId="2099"/>
    <cellStyle name="원_2002-05경기경찰청-냉온수기공사" xfId="2100"/>
    <cellStyle name="원_2002-05대통령비서실-카페트" xfId="2101"/>
    <cellStyle name="원_2002결과표" xfId="754"/>
    <cellStyle name="원_2002결과표_1)농경문화관 전시" xfId="2102"/>
    <cellStyle name="원_2002결과표_강원지역본부(2006년_060109)" xfId="2103"/>
    <cellStyle name="원_2002결과표_경남지역본부-" xfId="2104"/>
    <cellStyle name="원_2002결과표_경북지역본부-" xfId="2105"/>
    <cellStyle name="원_2002결과표_중부지역본부-" xfId="2106"/>
    <cellStyle name="원_2002결과표_충청지역본부-" xfId="2107"/>
    <cellStyle name="원_2002결과표_통행료면탈방지시스템(최종)" xfId="2108"/>
    <cellStyle name="원_2002결과표_호남지역본부-" xfId="2109"/>
    <cellStyle name="원_2002결과표1" xfId="755"/>
    <cellStyle name="원_2003-01정일사-표창5종" xfId="2110"/>
    <cellStyle name="원_Pilot플랜트-계변경" xfId="756"/>
    <cellStyle name="원_Pilot플랜트이전설치-변경최종" xfId="757"/>
    <cellStyle name="원_SW(케이비)" xfId="758"/>
    <cellStyle name="원_간지,목차,페이지,표지" xfId="2111"/>
    <cellStyle name="원_강원지역본부(2006년_060109)" xfId="2112"/>
    <cellStyle name="원_경남지역본부-" xfId="2113"/>
    <cellStyle name="원_경북지역본부-" xfId="2114"/>
    <cellStyle name="원_경찰청-근무,기동복" xfId="759"/>
    <cellStyle name="원_공사일반관리비양식" xfId="2115"/>
    <cellStyle name="원_관리동sw" xfId="2116"/>
    <cellStyle name="원_기초공사" xfId="2117"/>
    <cellStyle name="원_네인텍정보기술-회로카드(수현)" xfId="760"/>
    <cellStyle name="원_대기해양노무비" xfId="2118"/>
    <cellStyle name="원_대북자재8월분" xfId="2119"/>
    <cellStyle name="원_대북자재8월분-1" xfId="2120"/>
    <cellStyle name="원_동산용사촌수현(원본)" xfId="761"/>
    <cellStyle name="원_동산용사촌수현(원본)_1)농경문화관 전시" xfId="2121"/>
    <cellStyle name="원_동산용사촌수현(원본)_강원지역본부(2006년_060109)" xfId="2122"/>
    <cellStyle name="원_동산용사촌수현(원본)_경남지역본부-" xfId="2123"/>
    <cellStyle name="원_동산용사촌수현(원본)_경북지역본부-" xfId="2124"/>
    <cellStyle name="원_동산용사촌수현(원본)_중부지역본부-" xfId="2125"/>
    <cellStyle name="원_동산용사촌수현(원본)_충청지역본부-" xfId="2126"/>
    <cellStyle name="원_동산용사촌수현(원본)_통행료면탈방지시스템(최종)" xfId="2127"/>
    <cellStyle name="원_동산용사촌수현(원본)_호남지역본부-" xfId="2128"/>
    <cellStyle name="원_목차" xfId="2129"/>
    <cellStyle name="원_백제군사전시1" xfId="2130"/>
    <cellStyle name="원_수초제거기(대양기계)" xfId="762"/>
    <cellStyle name="원_수초제거기(대양기계)_1)농경문화관 전시" xfId="2131"/>
    <cellStyle name="원_수초제거기(대양기계)_강원지역본부(2006년_060109)" xfId="2132"/>
    <cellStyle name="원_수초제거기(대양기계)_경남지역본부-" xfId="2133"/>
    <cellStyle name="원_수초제거기(대양기계)_경북지역본부-" xfId="2134"/>
    <cellStyle name="원_수초제거기(대양기계)_중부지역본부-" xfId="2135"/>
    <cellStyle name="원_수초제거기(대양기계)_충청지역본부-" xfId="2136"/>
    <cellStyle name="원_수초제거기(대양기계)_통행료면탈방지시스템(최종)" xfId="2137"/>
    <cellStyle name="원_수초제거기(대양기계)_호남지역본부-" xfId="2138"/>
    <cellStyle name="원_시설용역" xfId="2139"/>
    <cellStyle name="원_암전정밀실체현미경(수현)" xfId="2140"/>
    <cellStyle name="원_오리엔탈" xfId="2141"/>
    <cellStyle name="원_원본 - 한국전기교통-개선형신호등 4종" xfId="763"/>
    <cellStyle name="원_원본 - 한국전기교통-개선형신호등 4종_1)농경문화관 전시" xfId="2142"/>
    <cellStyle name="원_원본 - 한국전기교통-개선형신호등 4종_강원지역본부(2006년_060109)" xfId="2143"/>
    <cellStyle name="원_원본 - 한국전기교통-개선형신호등 4종_경남지역본부-" xfId="2144"/>
    <cellStyle name="원_원본 - 한국전기교통-개선형신호등 4종_경북지역본부-" xfId="2145"/>
    <cellStyle name="원_원본 - 한국전기교통-개선형신호등 4종_중부지역본부-" xfId="2146"/>
    <cellStyle name="원_원본 - 한국전기교통-개선형신호등 4종_충청지역본부-" xfId="2147"/>
    <cellStyle name="원_원본 - 한국전기교통-개선형신호등 4종_통행료면탈방지시스템(최종)" xfId="2148"/>
    <cellStyle name="원_원본 - 한국전기교통-개선형신호등 4종_호남지역본부-" xfId="2149"/>
    <cellStyle name="원_제경비율모음" xfId="2150"/>
    <cellStyle name="원_제조원가" xfId="2151"/>
    <cellStyle name="원_조달청-B판사천강교제작(최종본)" xfId="2152"/>
    <cellStyle name="원_조달청-대북지원3차(최수현)" xfId="2153"/>
    <cellStyle name="원_조달청-대북지원4차(최수현)" xfId="2154"/>
    <cellStyle name="원_조달청-대북지원5차(최수현)" xfId="2155"/>
    <cellStyle name="원_조달청-대북지원6차(번호)" xfId="2156"/>
    <cellStyle name="원_조달청-대북지원6차(최수현)" xfId="2157"/>
    <cellStyle name="원_조달청-대북지원7차(최수현)" xfId="2158"/>
    <cellStyle name="원_조달청-대북지원8차(최수현)" xfId="2159"/>
    <cellStyle name="원_조달청-대북지원9차(최수현)" xfId="2160"/>
    <cellStyle name="원_중부지역본부-" xfId="2161"/>
    <cellStyle name="원_중앙선관위(투표,개표)" xfId="764"/>
    <cellStyle name="원_중앙선관위(투표,개표)_1)농경문화관 전시" xfId="2162"/>
    <cellStyle name="원_중앙선관위(투표,개표)_강원지역본부(2006년_060109)" xfId="2163"/>
    <cellStyle name="원_중앙선관위(투표,개표)_경남지역본부-" xfId="2164"/>
    <cellStyle name="원_중앙선관위(투표,개표)_경북지역본부-" xfId="2165"/>
    <cellStyle name="원_중앙선관위(투표,개표)_중부지역본부-" xfId="2166"/>
    <cellStyle name="원_중앙선관위(투표,개표)_충청지역본부-" xfId="2167"/>
    <cellStyle name="원_중앙선관위(투표,개표)_통행료면탈방지시스템(최종)" xfId="2168"/>
    <cellStyle name="원_중앙선관위(투표,개표)_호남지역본부-" xfId="2169"/>
    <cellStyle name="원_중앙선관위(투표,개표)-사본" xfId="2170"/>
    <cellStyle name="원_철공가공조립" xfId="2171"/>
    <cellStyle name="원_최종-한국전기교통-개선형신호등 4종(공수조정)" xfId="765"/>
    <cellStyle name="원_최종-한국전기교통-개선형신호등 4종(공수조정)_1)농경문화관 전시" xfId="2172"/>
    <cellStyle name="원_최종-한국전기교통-개선형신호등 4종(공수조정)_강원지역본부(2006년_060109)" xfId="2173"/>
    <cellStyle name="원_최종-한국전기교통-개선형신호등 4종(공수조정)_경남지역본부-" xfId="2174"/>
    <cellStyle name="원_최종-한국전기교통-개선형신호등 4종(공수조정)_경북지역본부-" xfId="2175"/>
    <cellStyle name="원_최종-한국전기교통-개선형신호등 4종(공수조정)_중부지역본부-" xfId="2176"/>
    <cellStyle name="원_최종-한국전기교통-개선형신호등 4종(공수조정)_충청지역본부-" xfId="2177"/>
    <cellStyle name="원_최종-한국전기교통-개선형신호등 4종(공수조정)_통행료면탈방지시스템(최종)" xfId="2178"/>
    <cellStyle name="원_최종-한국전기교통-개선형신호등 4종(공수조정)_호남지역본부-" xfId="2179"/>
    <cellStyle name="원_충청지역본부-" xfId="2180"/>
    <cellStyle name="원_코솔라-제조원가" xfId="2181"/>
    <cellStyle name="원_토지공사-간접비" xfId="2182"/>
    <cellStyle name="원_통행료면탈방지시스템(최종)" xfId="2183"/>
    <cellStyle name="원_한국도로공사" xfId="766"/>
    <cellStyle name="원_한전내역서-최종" xfId="767"/>
    <cellStyle name="원_호남지역본부-" xfId="2184"/>
    <cellStyle name="유영" xfId="768"/>
    <cellStyle name="일위대가" xfId="2185"/>
    <cellStyle name="일정_K200창정비 (2)" xfId="769"/>
    <cellStyle name="자리수" xfId="770"/>
    <cellStyle name="자리수0" xfId="771"/>
    <cellStyle name="자리수0 10" xfId="3021"/>
    <cellStyle name="자리수0 11" xfId="3414"/>
    <cellStyle name="자리수0 12" xfId="2990"/>
    <cellStyle name="자리수0 13" xfId="3326"/>
    <cellStyle name="자리수0 14" xfId="2715"/>
    <cellStyle name="자리수0 15" xfId="3524"/>
    <cellStyle name="자리수0 16" xfId="3921"/>
    <cellStyle name="자리수0 17" xfId="3869"/>
    <cellStyle name="자리수0 18" xfId="2804"/>
    <cellStyle name="자리수0 19" xfId="4445"/>
    <cellStyle name="자리수0 2" xfId="2186"/>
    <cellStyle name="자리수0 20" xfId="3014"/>
    <cellStyle name="자리수0 21" xfId="3420"/>
    <cellStyle name="자리수0 22" xfId="2993"/>
    <cellStyle name="자리수0 23" xfId="3438"/>
    <cellStyle name="자리수0 24" xfId="2849"/>
    <cellStyle name="자리수0 25" xfId="3579"/>
    <cellStyle name="자리수0 26" xfId="3059"/>
    <cellStyle name="자리수0 27" xfId="4334"/>
    <cellStyle name="자리수0 28" xfId="2542"/>
    <cellStyle name="자리수0 29" xfId="4261"/>
    <cellStyle name="자리수0 3" xfId="3681"/>
    <cellStyle name="자리수0 30" xfId="3907"/>
    <cellStyle name="자리수0 31" xfId="6174"/>
    <cellStyle name="자리수0 32" xfId="3983"/>
    <cellStyle name="자리수0 33" xfId="6365"/>
    <cellStyle name="자리수0 34" xfId="5991"/>
    <cellStyle name="자리수0 35" xfId="6177"/>
    <cellStyle name="자리수0 36" xfId="6189"/>
    <cellStyle name="자리수0 37" xfId="6267"/>
    <cellStyle name="자리수0 38" xfId="6211"/>
    <cellStyle name="자리수0 39" xfId="6456"/>
    <cellStyle name="자리수0 4" xfId="2962"/>
    <cellStyle name="자리수0 40" xfId="7008"/>
    <cellStyle name="자리수0 41" xfId="6738"/>
    <cellStyle name="자리수0 42" xfId="6753"/>
    <cellStyle name="자리수0 43" xfId="6917"/>
    <cellStyle name="자리수0 44" xfId="7010"/>
    <cellStyle name="자리수0 45" xfId="7019"/>
    <cellStyle name="자리수0 46" xfId="7179"/>
    <cellStyle name="자리수0 47" xfId="7013"/>
    <cellStyle name="자리수0 48" xfId="6023"/>
    <cellStyle name="자리수0 49" xfId="7184"/>
    <cellStyle name="자리수0 5" xfId="3469"/>
    <cellStyle name="자리수0 50" xfId="6220"/>
    <cellStyle name="자리수0 51" xfId="7103"/>
    <cellStyle name="자리수0 52" xfId="6593"/>
    <cellStyle name="자리수0 53" xfId="7270"/>
    <cellStyle name="자리수0 54" xfId="6777"/>
    <cellStyle name="자리수0 55" xfId="7436"/>
    <cellStyle name="자리수0 56" xfId="6955"/>
    <cellStyle name="자리수0 57" xfId="7274"/>
    <cellStyle name="자리수0 58" xfId="7356"/>
    <cellStyle name="자리수0 6" xfId="3092"/>
    <cellStyle name="자리수0 7" xfId="3861"/>
    <cellStyle name="자리수0 8" xfId="2811"/>
    <cellStyle name="자리수0 9" xfId="3633"/>
    <cellStyle name="점선" xfId="772"/>
    <cellStyle name="제목 1(左)" xfId="773"/>
    <cellStyle name="제목 1(中)" xfId="774"/>
    <cellStyle name="제목[1 줄]" xfId="775"/>
    <cellStyle name="제목[1 줄] 10" xfId="4436"/>
    <cellStyle name="제목[1 줄] 11" xfId="3987"/>
    <cellStyle name="제목[1 줄] 12" xfId="3915"/>
    <cellStyle name="제목[1 줄] 13" xfId="4107"/>
    <cellStyle name="제목[1 줄] 14" xfId="4850"/>
    <cellStyle name="제목[1 줄] 15" xfId="4218"/>
    <cellStyle name="제목[1 줄] 16" xfId="5061"/>
    <cellStyle name="제목[1 줄] 17" xfId="5162"/>
    <cellStyle name="제목[1 줄] 18" xfId="5264"/>
    <cellStyle name="제목[1 줄] 19" xfId="5366"/>
    <cellStyle name="제목[1 줄] 2" xfId="3684"/>
    <cellStyle name="제목[1 줄] 20" xfId="5465"/>
    <cellStyle name="제목[1 줄] 21" xfId="5571"/>
    <cellStyle name="제목[1 줄] 22" xfId="5672"/>
    <cellStyle name="제목[1 줄] 23" xfId="5780"/>
    <cellStyle name="제목[1 줄] 24" xfId="5881"/>
    <cellStyle name="제목[1 줄] 25" xfId="5982"/>
    <cellStyle name="제목[1 줄] 26" xfId="6087"/>
    <cellStyle name="제목[1 줄] 27" xfId="6181"/>
    <cellStyle name="제목[1 줄] 28" xfId="6280"/>
    <cellStyle name="제목[1 줄] 29" xfId="6647"/>
    <cellStyle name="제목[1 줄] 3" xfId="2959"/>
    <cellStyle name="제목[1 줄] 30" xfId="2922"/>
    <cellStyle name="제목[1 줄] 31" xfId="6828"/>
    <cellStyle name="제목[1 줄] 32" xfId="4795"/>
    <cellStyle name="제목[1 줄] 33" xfId="3431"/>
    <cellStyle name="제목[1 줄] 34" xfId="5006"/>
    <cellStyle name="제목[1 줄] 35" xfId="6925"/>
    <cellStyle name="제목[1 줄] 36" xfId="7262"/>
    <cellStyle name="제목[1 줄] 37" xfId="4336"/>
    <cellStyle name="제목[1 줄] 38" xfId="7429"/>
    <cellStyle name="제목[1 줄] 39" xfId="4743"/>
    <cellStyle name="제목[1 줄] 4" xfId="3472"/>
    <cellStyle name="제목[1 줄] 40" xfId="6745"/>
    <cellStyle name="제목[1 줄] 41" xfId="3016"/>
    <cellStyle name="제목[1 줄] 42" xfId="7518"/>
    <cellStyle name="제목[1 줄] 43" xfId="7599"/>
    <cellStyle name="제목[1 줄] 44" xfId="7674"/>
    <cellStyle name="제목[1 줄] 45" xfId="7743"/>
    <cellStyle name="제목[1 줄] 46" xfId="7810"/>
    <cellStyle name="제목[1 줄] 47" xfId="7876"/>
    <cellStyle name="제목[1 줄] 48" xfId="7941"/>
    <cellStyle name="제목[1 줄] 49" xfId="8004"/>
    <cellStyle name="제목[1 줄] 5" xfId="3796"/>
    <cellStyle name="제목[1 줄] 50" xfId="8065"/>
    <cellStyle name="제목[1 줄] 51" xfId="8124"/>
    <cellStyle name="제목[1 줄] 52" xfId="8183"/>
    <cellStyle name="제목[1 줄] 53" xfId="8240"/>
    <cellStyle name="제목[1 줄] 54" xfId="8293"/>
    <cellStyle name="제목[1 줄] 55" xfId="8342"/>
    <cellStyle name="제목[1 줄] 56" xfId="8387"/>
    <cellStyle name="제목[1 줄] 57" xfId="8431"/>
    <cellStyle name="제목[1 줄] 6" xfId="3880"/>
    <cellStyle name="제목[1 줄] 7" xfId="2794"/>
    <cellStyle name="제목[1 줄] 8" xfId="3605"/>
    <cellStyle name="제목[1 줄] 9" xfId="4330"/>
    <cellStyle name="제목[2줄 아래]" xfId="776"/>
    <cellStyle name="제목[2줄 아래] 10" xfId="4734"/>
    <cellStyle name="제목[2줄 아래] 11" xfId="4841"/>
    <cellStyle name="제목[2줄 아래] 12" xfId="3425"/>
    <cellStyle name="제목[2줄 아래] 13" xfId="5051"/>
    <cellStyle name="제목[2줄 아래] 14" xfId="5151"/>
    <cellStyle name="제목[2줄 아래] 15" xfId="5254"/>
    <cellStyle name="제목[2줄 아래] 16" xfId="5356"/>
    <cellStyle name="제목[2줄 아래] 17" xfId="5454"/>
    <cellStyle name="제목[2줄 아래] 18" xfId="5562"/>
    <cellStyle name="제목[2줄 아래] 19" xfId="5661"/>
    <cellStyle name="제목[2줄 아래] 2" xfId="3685"/>
    <cellStyle name="제목[2줄 아래] 20" xfId="5771"/>
    <cellStyle name="제목[2줄 아래] 21" xfId="5871"/>
    <cellStyle name="제목[2줄 아래] 22" xfId="5974"/>
    <cellStyle name="제목[2줄 아래] 23" xfId="6077"/>
    <cellStyle name="제목[2줄 아래] 24" xfId="6175"/>
    <cellStyle name="제목[2줄 아래] 25" xfId="6272"/>
    <cellStyle name="제목[2줄 아래] 26" xfId="6366"/>
    <cellStyle name="제목[2줄 아래] 27" xfId="6461"/>
    <cellStyle name="제목[2줄 아래] 28" xfId="6552"/>
    <cellStyle name="제목[2줄 아래] 29" xfId="4270"/>
    <cellStyle name="제목[2줄 아래] 3" xfId="2958"/>
    <cellStyle name="제목[2줄 아래] 30" xfId="6469"/>
    <cellStyle name="제목[2줄 아래] 31" xfId="4480"/>
    <cellStyle name="제목[2줄 아래] 32" xfId="3787"/>
    <cellStyle name="제목[2줄 아래] 33" xfId="7009"/>
    <cellStyle name="제목[2줄 아래] 34" xfId="7092"/>
    <cellStyle name="제목[2줄 아래] 35" xfId="7178"/>
    <cellStyle name="제목[2줄 아래] 36" xfId="4204"/>
    <cellStyle name="제목[2줄 아래] 37" xfId="7102"/>
    <cellStyle name="제목[2줄 아래] 38" xfId="5160"/>
    <cellStyle name="제목[2줄 아래] 39" xfId="6571"/>
    <cellStyle name="제목[2줄 아래] 4" xfId="3473"/>
    <cellStyle name="제목[2줄 아래] 40" xfId="7593"/>
    <cellStyle name="제목[2줄 아래] 41" xfId="7668"/>
    <cellStyle name="제목[2줄 아래] 42" xfId="7738"/>
    <cellStyle name="제목[2줄 아래] 43" xfId="7806"/>
    <cellStyle name="제목[2줄 아래] 44" xfId="7872"/>
    <cellStyle name="제목[2줄 아래] 45" xfId="7937"/>
    <cellStyle name="제목[2줄 아래] 46" xfId="8000"/>
    <cellStyle name="제목[2줄 아래] 47" xfId="8063"/>
    <cellStyle name="제목[2줄 아래] 48" xfId="8122"/>
    <cellStyle name="제목[2줄 아래] 49" xfId="8181"/>
    <cellStyle name="제목[2줄 아래] 5" xfId="3089"/>
    <cellStyle name="제목[2줄 아래] 50" xfId="8238"/>
    <cellStyle name="제목[2줄 아래] 51" xfId="8291"/>
    <cellStyle name="제목[2줄 아래] 52" xfId="8340"/>
    <cellStyle name="제목[2줄 아래] 53" xfId="8385"/>
    <cellStyle name="제목[2줄 아래] 54" xfId="8429"/>
    <cellStyle name="제목[2줄 아래] 55" xfId="8468"/>
    <cellStyle name="제목[2줄 아래] 56" xfId="8494"/>
    <cellStyle name="제목[2줄 아래] 57" xfId="8499"/>
    <cellStyle name="제목[2줄 아래] 6" xfId="4319"/>
    <cellStyle name="제목[2줄 아래] 7" xfId="4427"/>
    <cellStyle name="제목[2줄 아래] 8" xfId="3620"/>
    <cellStyle name="제목[2줄 아래] 9" xfId="4631"/>
    <cellStyle name="제목[2줄 위]" xfId="777"/>
    <cellStyle name="제목[2줄 위] 10" xfId="3639"/>
    <cellStyle name="제목[2줄 위] 11" xfId="3126"/>
    <cellStyle name="제목[2줄 위] 12" xfId="2701"/>
    <cellStyle name="제목[2줄 위] 13" xfId="3969"/>
    <cellStyle name="제목[2줄 위] 14" xfId="2772"/>
    <cellStyle name="제목[2줄 위] 15" xfId="4102"/>
    <cellStyle name="제목[2줄 위] 16" xfId="2592"/>
    <cellStyle name="제목[2줄 위] 17" xfId="4213"/>
    <cellStyle name="제목[2줄 위] 18" xfId="2484"/>
    <cellStyle name="제목[2줄 위] 19" xfId="3720"/>
    <cellStyle name="제목[2줄 위] 2" xfId="3686"/>
    <cellStyle name="제목[2줄 위] 20" xfId="2925"/>
    <cellStyle name="제목[2줄 위] 21" xfId="3506"/>
    <cellStyle name="제목[2줄 위] 22" xfId="3080"/>
    <cellStyle name="제목[2줄 위] 23" xfId="3358"/>
    <cellStyle name="제목[2줄 위] 24" xfId="3171"/>
    <cellStyle name="제목[2줄 위] 25" xfId="3582"/>
    <cellStyle name="제목[2줄 위] 26" xfId="2775"/>
    <cellStyle name="제목[2줄 위] 27" xfId="4166"/>
    <cellStyle name="제목[2줄 위] 28" xfId="2984"/>
    <cellStyle name="제목[2줄 위] 29" xfId="5395"/>
    <cellStyle name="제목[2줄 위] 3" xfId="2957"/>
    <cellStyle name="제목[2줄 위] 30" xfId="6736"/>
    <cellStyle name="제목[2줄 위] 31" xfId="5599"/>
    <cellStyle name="제목[2줄 위] 32" xfId="6915"/>
    <cellStyle name="제목[2줄 위] 33" xfId="5259"/>
    <cellStyle name="제목[2줄 위] 34" xfId="4951"/>
    <cellStyle name="제목[2줄 위] 35" xfId="5466"/>
    <cellStyle name="제목[2줄 위] 36" xfId="6735"/>
    <cellStyle name="제목[2줄 위] 37" xfId="7346"/>
    <cellStyle name="제목[2줄 위] 38" xfId="6914"/>
    <cellStyle name="제목[2줄 위] 39" xfId="7511"/>
    <cellStyle name="제목[2줄 위] 4" xfId="3474"/>
    <cellStyle name="제목[2줄 위] 40" xfId="6354"/>
    <cellStyle name="제목[2줄 위] 41" xfId="5514"/>
    <cellStyle name="제목[2줄 위] 42" xfId="6468"/>
    <cellStyle name="제목[2줄 위] 43" xfId="5722"/>
    <cellStyle name="제목[2줄 위] 44" xfId="5986"/>
    <cellStyle name="제목[2줄 위] 45" xfId="5930"/>
    <cellStyle name="제목[2줄 위] 46" xfId="6184"/>
    <cellStyle name="제목[2줄 위] 47" xfId="6923"/>
    <cellStyle name="제목[2줄 위] 48" xfId="5357"/>
    <cellStyle name="제목[2줄 위] 49" xfId="5760"/>
    <cellStyle name="제목[2줄 위] 5" xfId="3088"/>
    <cellStyle name="제목[2줄 위] 50" xfId="5563"/>
    <cellStyle name="제목[2줄 위] 51" xfId="4884"/>
    <cellStyle name="제목[2줄 위] 52" xfId="5772"/>
    <cellStyle name="제목[2줄 위] 53" xfId="5093"/>
    <cellStyle name="제목[2줄 위] 54" xfId="6167"/>
    <cellStyle name="제목[2줄 위] 55" xfId="6264"/>
    <cellStyle name="제목[2줄 위] 56" xfId="3957"/>
    <cellStyle name="제목[2줄 위] 57" xfId="6722"/>
    <cellStyle name="제목[2줄 위] 6" xfId="3823"/>
    <cellStyle name="제목[2줄 위] 7" xfId="3757"/>
    <cellStyle name="제목[2줄 위] 8" xfId="4547"/>
    <cellStyle name="제목[2줄 위] 9" xfId="2789"/>
    <cellStyle name="제목1" xfId="778"/>
    <cellStyle name="제목1 10" xfId="3402"/>
    <cellStyle name="제목1 11" xfId="3977"/>
    <cellStyle name="제목1 12" xfId="2707"/>
    <cellStyle name="제목1 13" xfId="3213"/>
    <cellStyle name="제목1 14" xfId="4019"/>
    <cellStyle name="제목1 15" xfId="2677"/>
    <cellStyle name="제목1 16" xfId="4148"/>
    <cellStyle name="제목1 17" xfId="2547"/>
    <cellStyle name="제목1 18" xfId="4541"/>
    <cellStyle name="제목1 19" xfId="4001"/>
    <cellStyle name="제목1 2" xfId="3687"/>
    <cellStyle name="제목1 20" xfId="2695"/>
    <cellStyle name="제목1 21" xfId="4569"/>
    <cellStyle name="제목1 22" xfId="4671"/>
    <cellStyle name="제목1 23" xfId="4777"/>
    <cellStyle name="제목1 24" xfId="4882"/>
    <cellStyle name="제목1 25" xfId="4989"/>
    <cellStyle name="제목1 26" xfId="5091"/>
    <cellStyle name="제목1 27" xfId="5191"/>
    <cellStyle name="제목1 28" xfId="5295"/>
    <cellStyle name="제목1 29" xfId="5578"/>
    <cellStyle name="제목1 3" xfId="2956"/>
    <cellStyle name="제목1 30" xfId="2610"/>
    <cellStyle name="제목1 31" xfId="5786"/>
    <cellStyle name="제목1 32" xfId="4585"/>
    <cellStyle name="제목1 33" xfId="6475"/>
    <cellStyle name="제목1 34" xfId="6551"/>
    <cellStyle name="제목1 35" xfId="6661"/>
    <cellStyle name="제목1 36" xfId="6086"/>
    <cellStyle name="제목1 37" xfId="5673"/>
    <cellStyle name="제목1 38" xfId="6279"/>
    <cellStyle name="제목1 39" xfId="5882"/>
    <cellStyle name="제목1 4" xfId="3475"/>
    <cellStyle name="제목1 40" xfId="7109"/>
    <cellStyle name="제목1 41" xfId="7177"/>
    <cellStyle name="제목1 42" xfId="7276"/>
    <cellStyle name="제목1 43" xfId="7345"/>
    <cellStyle name="제목1 44" xfId="7441"/>
    <cellStyle name="제목1 45" xfId="7510"/>
    <cellStyle name="제목1 46" xfId="6573"/>
    <cellStyle name="제목1 47" xfId="7126"/>
    <cellStyle name="제목1 48" xfId="7213"/>
    <cellStyle name="제목1 49" xfId="7296"/>
    <cellStyle name="제목1 5" xfId="3087"/>
    <cellStyle name="제목1 50" xfId="7381"/>
    <cellStyle name="제목1 51" xfId="7461"/>
    <cellStyle name="제목1 52" xfId="7544"/>
    <cellStyle name="제목1 53" xfId="7620"/>
    <cellStyle name="제목1 54" xfId="7694"/>
    <cellStyle name="제목1 55" xfId="7763"/>
    <cellStyle name="제목1 56" xfId="7829"/>
    <cellStyle name="제목1 57" xfId="7895"/>
    <cellStyle name="제목1 6" xfId="3849"/>
    <cellStyle name="제목1 7" xfId="2823"/>
    <cellStyle name="제목1 8" xfId="4050"/>
    <cellStyle name="제목1 9" xfId="3033"/>
    <cellStyle name="좋음 2" xfId="2187"/>
    <cellStyle name="지정되지 않음" xfId="779"/>
    <cellStyle name="지정되지 않음 10" xfId="3018"/>
    <cellStyle name="지정되지 않음 11" xfId="3417"/>
    <cellStyle name="지정되지 않음 12" xfId="2989"/>
    <cellStyle name="지정되지 않음 13" xfId="4946"/>
    <cellStyle name="지정되지 않음 14" xfId="4112"/>
    <cellStyle name="지정되지 않음 15" xfId="2583"/>
    <cellStyle name="지정되지 않음 16" xfId="4222"/>
    <cellStyle name="지정되지 않음 17" xfId="2476"/>
    <cellStyle name="지정되지 않음 18" xfId="3068"/>
    <cellStyle name="지정되지 않음 19" xfId="3528"/>
    <cellStyle name="지정되지 않음 2" xfId="2188"/>
    <cellStyle name="지정되지 않음 20" xfId="4544"/>
    <cellStyle name="지정되지 않음 21" xfId="4647"/>
    <cellStyle name="지정되지 않음 22" xfId="4752"/>
    <cellStyle name="지정되지 않음 23" xfId="4947"/>
    <cellStyle name="지정되지 않음 24" xfId="4969"/>
    <cellStyle name="지정되지 않음 25" xfId="5068"/>
    <cellStyle name="지정되지 않음 26" xfId="5168"/>
    <cellStyle name="지정되지 않음 27" xfId="5271"/>
    <cellStyle name="지정되지 않음 28" xfId="5372"/>
    <cellStyle name="지정되지 않음 29" xfId="5471"/>
    <cellStyle name="지정되지 않음 3" xfId="3688"/>
    <cellStyle name="지정되지 않음 30" xfId="6663"/>
    <cellStyle name="지정되지 않음 31" xfId="5496"/>
    <cellStyle name="지정되지 않음 32" xfId="6843"/>
    <cellStyle name="지정되지 않음 33" xfId="5703"/>
    <cellStyle name="지정되지 않음 34" xfId="5813"/>
    <cellStyle name="지정되지 않음 35" xfId="5880"/>
    <cellStyle name="지정되지 않음 36" xfId="6016"/>
    <cellStyle name="지정되지 않음 37" xfId="7278"/>
    <cellStyle name="지정되지 않음 38" xfId="6841"/>
    <cellStyle name="지정되지 않음 39" xfId="7443"/>
    <cellStyle name="지정되지 않음 4" xfId="2955"/>
    <cellStyle name="지정되지 않음 40" xfId="3986"/>
    <cellStyle name="지정되지 않음 41" xfId="6499"/>
    <cellStyle name="지정되지 않음 42" xfId="6281"/>
    <cellStyle name="지정되지 않음 43" xfId="6685"/>
    <cellStyle name="지정되지 않음 44" xfId="3971"/>
    <cellStyle name="지정되지 않음 45" xfId="6863"/>
    <cellStyle name="지정되지 않음 46" xfId="3664"/>
    <cellStyle name="지정되지 않음 47" xfId="6287"/>
    <cellStyle name="지정되지 않음 48" xfId="7277"/>
    <cellStyle name="지정되지 않음 49" xfId="2623"/>
    <cellStyle name="지정되지 않음 5" xfId="3476"/>
    <cellStyle name="지정되지 않음 50" xfId="7442"/>
    <cellStyle name="지정되지 않음 51" xfId="7524"/>
    <cellStyle name="지정되지 않음 52" xfId="7600"/>
    <cellStyle name="지정되지 않음 53" xfId="7675"/>
    <cellStyle name="지정되지 않음 54" xfId="7744"/>
    <cellStyle name="지정되지 않음 55" xfId="7811"/>
    <cellStyle name="지정되지 않음 56" xfId="7877"/>
    <cellStyle name="지정되지 않음 57" xfId="7942"/>
    <cellStyle name="지정되지 않음 58" xfId="8005"/>
    <cellStyle name="지정되지 않음 6" xfId="3086"/>
    <cellStyle name="지정되지 않음 7" xfId="3865"/>
    <cellStyle name="지정되지 않음 8" xfId="2808"/>
    <cellStyle name="지정되지 않음 9" xfId="3897"/>
    <cellStyle name="코드" xfId="2189"/>
    <cellStyle name="콤" xfId="780"/>
    <cellStyle name="콤_Book1" xfId="2190"/>
    <cellStyle name="콤_Book1_2.전시모형" xfId="2191"/>
    <cellStyle name="콤_KKK(GS)" xfId="2192"/>
    <cellStyle name="콤_KKK(GS)_2.전시모형" xfId="2193"/>
    <cellStyle name="콤_LLL(송림)" xfId="2194"/>
    <cellStyle name="콤_LLL(송림)_2.전시모형" xfId="2195"/>
    <cellStyle name="콤_계산서(공릉동)" xfId="2196"/>
    <cellStyle name="콤_계산서(공릉동)_2.전시모형" xfId="2197"/>
    <cellStyle name="콤_별첨-1" xfId="2198"/>
    <cellStyle name="콤_별첨-1_2.전시모형" xfId="2199"/>
    <cellStyle name="콤_석촌동꽃마을빌딩" xfId="2200"/>
    <cellStyle name="콤_석촌동꽃마을빌딩_2.전시모형" xfId="2201"/>
    <cellStyle name="콤_석촌동꽃마을빌딩_KKK(GS)" xfId="2202"/>
    <cellStyle name="콤_석촌동꽃마을빌딩_KKK(GS)_2.전시모형" xfId="2203"/>
    <cellStyle name="콤_석촌동꽃마을빌딩_LLL(송림)" xfId="2204"/>
    <cellStyle name="콤_석촌동꽃마을빌딩_LLL(송림)_2.전시모형" xfId="2205"/>
    <cellStyle name="콤_석촌동꽃마을빌딩_계산서(공릉동)" xfId="2206"/>
    <cellStyle name="콤_석촌동꽃마을빌딩_계산서(공릉동)_2.전시모형" xfId="2207"/>
    <cellStyle name="콤_석촌동꽃마을빌딩_별첨-1" xfId="2208"/>
    <cellStyle name="콤_석촌동꽃마을빌딩_별첨-1_2.전시모형" xfId="2209"/>
    <cellStyle name="콤_석촌동꽃마을빌딩_소화계산서(공릉동)" xfId="2210"/>
    <cellStyle name="콤_석촌동꽃마을빌딩_소화계산서(공릉동)_2.전시모형" xfId="2211"/>
    <cellStyle name="콤_석촌동꽃마을빌딩_아파트(송림)" xfId="2212"/>
    <cellStyle name="콤_석촌동꽃마을빌딩_아파트(송림)_2.전시모형" xfId="2213"/>
    <cellStyle name="콤_석촌동꽃마을빌딩_에너지근거자료(GS)" xfId="2214"/>
    <cellStyle name="콤_석촌동꽃마을빌딩_에너지근거자료(GS)_2.전시모형" xfId="2215"/>
    <cellStyle name="콤_석촌동꽃마을빌딩_에너지근거자료(신봉)" xfId="2216"/>
    <cellStyle name="콤_석촌동꽃마을빌딩_에너지근거자료(신봉)_2.전시모형" xfId="2217"/>
    <cellStyle name="콤_석촌동꽃마을빌딩_표준" xfId="2218"/>
    <cellStyle name="콤_석촌동꽃마을빌딩_표준_2.전시모형" xfId="2219"/>
    <cellStyle name="콤_성산아파트" xfId="2220"/>
    <cellStyle name="콤_성산아파트_2.전시모형" xfId="2221"/>
    <cellStyle name="콤_성산아파트_KKK(GS)" xfId="2222"/>
    <cellStyle name="콤_성산아파트_KKK(GS)_2.전시모형" xfId="2223"/>
    <cellStyle name="콤_성산아파트_LLL(송림)" xfId="2224"/>
    <cellStyle name="콤_성산아파트_LLL(송림)_2.전시모형" xfId="2225"/>
    <cellStyle name="콤_성산아파트_계산서(공릉동)" xfId="2226"/>
    <cellStyle name="콤_성산아파트_계산서(공릉동)_2.전시모형" xfId="2227"/>
    <cellStyle name="콤_성산아파트_별첨-1" xfId="2228"/>
    <cellStyle name="콤_성산아파트_별첨-1_2.전시모형" xfId="2229"/>
    <cellStyle name="콤_성산아파트_소화계산서(공릉동)" xfId="2230"/>
    <cellStyle name="콤_성산아파트_소화계산서(공릉동)_2.전시모형" xfId="2231"/>
    <cellStyle name="콤_성산아파트_아파트(송림)" xfId="2232"/>
    <cellStyle name="콤_성산아파트_아파트(송림)_2.전시모형" xfId="2233"/>
    <cellStyle name="콤_성산아파트_에너지근거자료(GS)" xfId="2234"/>
    <cellStyle name="콤_성산아파트_에너지근거자료(GS)_2.전시모형" xfId="2235"/>
    <cellStyle name="콤_성산아파트_에너지근거자료(신봉)" xfId="2236"/>
    <cellStyle name="콤_성산아파트_에너지근거자료(신봉)_2.전시모형" xfId="2237"/>
    <cellStyle name="콤_성산아파트_표준" xfId="2238"/>
    <cellStyle name="콤_성산아파트_표준_2.전시모형" xfId="2239"/>
    <cellStyle name="콤_소화계산서(공릉동)" xfId="2240"/>
    <cellStyle name="콤_소화계산서(공릉동)_2.전시모형" xfId="2241"/>
    <cellStyle name="콤_신성교회" xfId="2242"/>
    <cellStyle name="콤_신성교회_2.전시모형" xfId="2243"/>
    <cellStyle name="콤_신성교회_KKK(GS)" xfId="2244"/>
    <cellStyle name="콤_신성교회_KKK(GS)_2.전시모형" xfId="2245"/>
    <cellStyle name="콤_신성교회_LLL(송림)" xfId="2246"/>
    <cellStyle name="콤_신성교회_LLL(송림)_2.전시모형" xfId="2247"/>
    <cellStyle name="콤_신성교회_계산서(공릉동)" xfId="2248"/>
    <cellStyle name="콤_신성교회_계산서(공릉동)_2.전시모형" xfId="2249"/>
    <cellStyle name="콤_신성교회_별첨-1" xfId="2250"/>
    <cellStyle name="콤_신성교회_별첨-1_2.전시모형" xfId="2251"/>
    <cellStyle name="콤_신성교회_소화계산서(공릉동)" xfId="2252"/>
    <cellStyle name="콤_신성교회_소화계산서(공릉동)_2.전시모형" xfId="2253"/>
    <cellStyle name="콤_신성교회_아파트(송림)" xfId="2254"/>
    <cellStyle name="콤_신성교회_아파트(송림)_2.전시모형" xfId="2255"/>
    <cellStyle name="콤_신성교회_에너지근거자료(GS)" xfId="2256"/>
    <cellStyle name="콤_신성교회_에너지근거자료(GS)_2.전시모형" xfId="2257"/>
    <cellStyle name="콤_신성교회_에너지근거자료(신봉)" xfId="2258"/>
    <cellStyle name="콤_신성교회_에너지근거자료(신봉)_2.전시모형" xfId="2259"/>
    <cellStyle name="콤_신성교회_표준" xfId="2260"/>
    <cellStyle name="콤_신성교회_표준_2.전시모형" xfId="2261"/>
    <cellStyle name="콤_아파트(송림)" xfId="2262"/>
    <cellStyle name="콤_아파트(송림)_2.전시모형" xfId="2263"/>
    <cellStyle name="콤_에너지근거자료(GS)" xfId="2264"/>
    <cellStyle name="콤_에너지근거자료(GS)_2.전시모형" xfId="2265"/>
    <cellStyle name="콤_에너지근거자료(신봉)" xfId="2266"/>
    <cellStyle name="콤_에너지근거자료(신봉)_2.전시모형" xfId="2267"/>
    <cellStyle name="콤_표준" xfId="2268"/>
    <cellStyle name="콤_표준_2.전시모형" xfId="2269"/>
    <cellStyle name="콤_현대미술관홍보실-최종" xfId="781"/>
    <cellStyle name="콤냡?&lt;_x000f_$??: `1_1 " xfId="782"/>
    <cellStyle name="콤마 [" xfId="783"/>
    <cellStyle name="콤마 [#]" xfId="2270"/>
    <cellStyle name="콤마 [#] 2" xfId="2271"/>
    <cellStyle name="콤마 []" xfId="2272"/>
    <cellStyle name="콤마 [0]" xfId="784"/>
    <cellStyle name="콤마 [0] 10" xfId="2497"/>
    <cellStyle name="콤마 [0] 11" xfId="4305"/>
    <cellStyle name="콤마 [0] 12" xfId="4950"/>
    <cellStyle name="콤마 [0] 13" xfId="2791"/>
    <cellStyle name="콤마 [0] 14" xfId="4616"/>
    <cellStyle name="콤마 [0] 15" xfId="4721"/>
    <cellStyle name="콤마 [0] 16" xfId="4827"/>
    <cellStyle name="콤마 [0] 17" xfId="4930"/>
    <cellStyle name="콤마 [0] 18" xfId="5038"/>
    <cellStyle name="콤마 [0] 19" xfId="5138"/>
    <cellStyle name="콤마 [0] 2" xfId="3694"/>
    <cellStyle name="콤마 [0] 20" xfId="5241"/>
    <cellStyle name="콤마 [0] 21" xfId="5343"/>
    <cellStyle name="콤마 [0] 22" xfId="5442"/>
    <cellStyle name="콤마 [0] 23" xfId="5546"/>
    <cellStyle name="콤마 [0] 24" xfId="5648"/>
    <cellStyle name="콤마 [0] 25" xfId="5756"/>
    <cellStyle name="콤마 [0] 26" xfId="5859"/>
    <cellStyle name="콤마 [0] 27" xfId="5961"/>
    <cellStyle name="콤마 [0] 28" xfId="6064"/>
    <cellStyle name="콤마 [0] 29" xfId="5978"/>
    <cellStyle name="콤마 [0] 3" xfId="2949"/>
    <cellStyle name="콤마 [0] 30" xfId="4382"/>
    <cellStyle name="콤마 [0] 31" xfId="6356"/>
    <cellStyle name="콤마 [0] 32" xfId="6450"/>
    <cellStyle name="콤마 [0] 33" xfId="6542"/>
    <cellStyle name="콤마 [0] 34" xfId="6636"/>
    <cellStyle name="콤마 [0] 35" xfId="6727"/>
    <cellStyle name="콤마 [0] 36" xfId="4619"/>
    <cellStyle name="콤마 [0] 37" xfId="6926"/>
    <cellStyle name="콤마 [0] 38" xfId="6998"/>
    <cellStyle name="콤마 [0] 39" xfId="7084"/>
    <cellStyle name="콤마 [0] 4" xfId="3482"/>
    <cellStyle name="콤마 [0] 40" xfId="7168"/>
    <cellStyle name="콤마 [0] 41" xfId="7254"/>
    <cellStyle name="콤마 [0] 42" xfId="7337"/>
    <cellStyle name="콤마 [0] 43" xfId="7423"/>
    <cellStyle name="콤마 [0] 44" xfId="7502"/>
    <cellStyle name="콤마 [0] 45" xfId="7585"/>
    <cellStyle name="콤마 [0] 46" xfId="7661"/>
    <cellStyle name="콤마 [0] 47" xfId="7733"/>
    <cellStyle name="콤마 [0] 48" xfId="7801"/>
    <cellStyle name="콤마 [0] 49" xfId="7867"/>
    <cellStyle name="콤마 [0] 5" xfId="3950"/>
    <cellStyle name="콤마 [0] 50" xfId="7933"/>
    <cellStyle name="콤마 [0] 51" xfId="7996"/>
    <cellStyle name="콤마 [0] 52" xfId="8059"/>
    <cellStyle name="콤마 [0] 53" xfId="8118"/>
    <cellStyle name="콤마 [0] 54" xfId="8177"/>
    <cellStyle name="콤마 [0] 55" xfId="8234"/>
    <cellStyle name="콤마 [0] 56" xfId="8287"/>
    <cellStyle name="콤마 [0] 57" xfId="8336"/>
    <cellStyle name="콤마 [0] 6" xfId="2735"/>
    <cellStyle name="콤마 [0] 7" xfId="4090"/>
    <cellStyle name="콤마 [0] 8" xfId="2843"/>
    <cellStyle name="콤마 [0] 9" xfId="2795"/>
    <cellStyle name="콤마 [0]기기자재비" xfId="2273"/>
    <cellStyle name="콤마 [2]" xfId="785"/>
    <cellStyle name="콤마 [2] 10" xfId="4198"/>
    <cellStyle name="콤마 [2] 11" xfId="2498"/>
    <cellStyle name="콤마 [2] 12" xfId="4304"/>
    <cellStyle name="콤마 [2] 13" xfId="4412"/>
    <cellStyle name="콤마 [2] 14" xfId="3773"/>
    <cellStyle name="콤마 [2] 15" xfId="4615"/>
    <cellStyle name="콤마 [2] 16" xfId="4720"/>
    <cellStyle name="콤마 [2] 17" xfId="4826"/>
    <cellStyle name="콤마 [2] 18" xfId="4929"/>
    <cellStyle name="콤마 [2] 19" xfId="5037"/>
    <cellStyle name="콤마 [2] 2" xfId="2274"/>
    <cellStyle name="콤마 [2] 20" xfId="5137"/>
    <cellStyle name="콤마 [2] 21" xfId="5240"/>
    <cellStyle name="콤마 [2] 22" xfId="5342"/>
    <cellStyle name="콤마 [2] 23" xfId="5441"/>
    <cellStyle name="콤마 [2] 24" xfId="5545"/>
    <cellStyle name="콤마 [2] 25" xfId="5647"/>
    <cellStyle name="콤마 [2] 26" xfId="5755"/>
    <cellStyle name="콤마 [2] 27" xfId="5858"/>
    <cellStyle name="콤마 [2] 28" xfId="5960"/>
    <cellStyle name="콤마 [2] 29" xfId="6063"/>
    <cellStyle name="콤마 [2] 3" xfId="3696"/>
    <cellStyle name="콤마 [2] 30" xfId="5070"/>
    <cellStyle name="콤마 [2] 31" xfId="6257"/>
    <cellStyle name="콤마 [2] 32" xfId="5273"/>
    <cellStyle name="콤마 [2] 33" xfId="6449"/>
    <cellStyle name="콤마 [2] 34" xfId="5473"/>
    <cellStyle name="콤마 [2] 35" xfId="6635"/>
    <cellStyle name="콤마 [2] 36" xfId="6726"/>
    <cellStyle name="콤마 [2] 37" xfId="6103"/>
    <cellStyle name="콤마 [2] 38" xfId="6905"/>
    <cellStyle name="콤마 [2] 39" xfId="5779"/>
    <cellStyle name="콤마 [2] 4" xfId="2948"/>
    <cellStyle name="콤마 [2] 40" xfId="7083"/>
    <cellStyle name="콤마 [2] 41" xfId="5981"/>
    <cellStyle name="콤마 [2] 42" xfId="7253"/>
    <cellStyle name="콤마 [2] 43" xfId="7336"/>
    <cellStyle name="콤마 [2] 44" xfId="7422"/>
    <cellStyle name="콤마 [2] 45" xfId="7501"/>
    <cellStyle name="콤마 [2] 46" xfId="7584"/>
    <cellStyle name="콤마 [2] 47" xfId="7660"/>
    <cellStyle name="콤마 [2] 48" xfId="7732"/>
    <cellStyle name="콤마 [2] 49" xfId="7800"/>
    <cellStyle name="콤마 [2] 5" xfId="3483"/>
    <cellStyle name="콤마 [2] 50" xfId="7866"/>
    <cellStyle name="콤마 [2] 51" xfId="7932"/>
    <cellStyle name="콤마 [2] 52" xfId="7995"/>
    <cellStyle name="콤마 [2] 53" xfId="8058"/>
    <cellStyle name="콤마 [2] 54" xfId="8117"/>
    <cellStyle name="콤마 [2] 55" xfId="8176"/>
    <cellStyle name="콤마 [2] 56" xfId="8233"/>
    <cellStyle name="콤마 [2] 57" xfId="8286"/>
    <cellStyle name="콤마 [2] 58" xfId="8335"/>
    <cellStyle name="콤마 [2] 6" xfId="3949"/>
    <cellStyle name="콤마 [2] 7" xfId="2736"/>
    <cellStyle name="콤마 [2] 8" xfId="4089"/>
    <cellStyle name="콤마 [2] 9" xfId="2954"/>
    <cellStyle name="콤마 [금액]" xfId="2275"/>
    <cellStyle name="콤마 [소수]" xfId="2276"/>
    <cellStyle name="콤마 [소수] 2" xfId="2277"/>
    <cellStyle name="콤마 [수량]" xfId="2278"/>
    <cellStyle name="콤마 [수량] 2" xfId="2279"/>
    <cellStyle name="콤마 1" xfId="786"/>
    <cellStyle name="콤마[ ]" xfId="787"/>
    <cellStyle name="콤마[ ] 2" xfId="2280"/>
    <cellStyle name="콤마[*]" xfId="788"/>
    <cellStyle name="콤마[*] 2" xfId="2281"/>
    <cellStyle name="콤마[.]" xfId="789"/>
    <cellStyle name="콤마[.] 2" xfId="2282"/>
    <cellStyle name="콤마[0]" xfId="790"/>
    <cellStyle name="콤마[0] 10" xfId="3627"/>
    <cellStyle name="콤마[0] 11" xfId="3094"/>
    <cellStyle name="콤마[0] 12" xfId="3430"/>
    <cellStyle name="콤마[0] 13" xfId="3874"/>
    <cellStyle name="콤마[0] 14" xfId="3873"/>
    <cellStyle name="콤마[0] 15" xfId="2798"/>
    <cellStyle name="콤마[0] 16" xfId="3629"/>
    <cellStyle name="콤마[0] 17" xfId="3007"/>
    <cellStyle name="콤마[0] 18" xfId="4338"/>
    <cellStyle name="콤마[0] 19" xfId="2906"/>
    <cellStyle name="콤마[0] 2" xfId="2283"/>
    <cellStyle name="콤마[0] 20" xfId="3202"/>
    <cellStyle name="콤마[0] 21" xfId="3203"/>
    <cellStyle name="콤마[0] 22" xfId="2584"/>
    <cellStyle name="콤마[0] 23" xfId="4221"/>
    <cellStyle name="콤마[0] 24" xfId="3866"/>
    <cellStyle name="콤마[0] 25" xfId="2807"/>
    <cellStyle name="콤마[0] 26" xfId="4447"/>
    <cellStyle name="콤마[0] 27" xfId="3017"/>
    <cellStyle name="콤마[0] 28" xfId="3418"/>
    <cellStyle name="콤마[0] 29" xfId="3122"/>
    <cellStyle name="콤마[0] 3" xfId="3709"/>
    <cellStyle name="콤마[0] 30" xfId="5153"/>
    <cellStyle name="콤마[0] 31" xfId="5239"/>
    <cellStyle name="콤마[0] 32" xfId="5358"/>
    <cellStyle name="콤마[0] 33" xfId="5440"/>
    <cellStyle name="콤마[0] 34" xfId="5564"/>
    <cellStyle name="콤마[0] 35" xfId="6076"/>
    <cellStyle name="콤마[0] 36" xfId="5773"/>
    <cellStyle name="콤마[0] 37" xfId="4364"/>
    <cellStyle name="콤마[0] 38" xfId="5566"/>
    <cellStyle name="콤마[0] 39" xfId="5065"/>
    <cellStyle name="콤마[0] 4" xfId="2935"/>
    <cellStyle name="콤마[0] 40" xfId="6537"/>
    <cellStyle name="콤마[0] 41" xfId="5268"/>
    <cellStyle name="콤마[0] 42" xfId="6375"/>
    <cellStyle name="콤마[0] 43" xfId="5468"/>
    <cellStyle name="콤마[0] 44" xfId="6563"/>
    <cellStyle name="콤마[0] 45" xfId="6165"/>
    <cellStyle name="콤마[0] 46" xfId="6662"/>
    <cellStyle name="콤마[0] 47" xfId="6411"/>
    <cellStyle name="콤마[0] 48" xfId="6567"/>
    <cellStyle name="콤마[0] 49" xfId="6598"/>
    <cellStyle name="콤마[0] 5" xfId="3496"/>
    <cellStyle name="콤마[0] 50" xfId="5705"/>
    <cellStyle name="콤마[0] 51" xfId="6782"/>
    <cellStyle name="콤마[0] 52" xfId="7021"/>
    <cellStyle name="콤마[0] 53" xfId="7108"/>
    <cellStyle name="콤마[0] 54" xfId="7192"/>
    <cellStyle name="콤마[0] 55" xfId="7275"/>
    <cellStyle name="콤마[0] 56" xfId="7361"/>
    <cellStyle name="콤마[0] 57" xfId="7440"/>
    <cellStyle name="콤마[0] 58" xfId="6500"/>
    <cellStyle name="콤마[0] 6" xfId="3938"/>
    <cellStyle name="콤마[0] 7" xfId="2747"/>
    <cellStyle name="콤마[0] 8" xfId="3679"/>
    <cellStyle name="콤마[0] 9" xfId="4742"/>
    <cellStyle name="콤마_  종  합  " xfId="791"/>
    <cellStyle name="콤마숫자" xfId="2284"/>
    <cellStyle name="통" xfId="792"/>
    <cellStyle name="통_Book1" xfId="2285"/>
    <cellStyle name="통_Book1_2.전시모형" xfId="2286"/>
    <cellStyle name="통_KKK(GS)" xfId="2287"/>
    <cellStyle name="통_KKK(GS)_2.전시모형" xfId="2288"/>
    <cellStyle name="통_LLL(송림)" xfId="2289"/>
    <cellStyle name="통_LLL(송림)_2.전시모형" xfId="2290"/>
    <cellStyle name="통_계산서(공릉동)" xfId="2291"/>
    <cellStyle name="통_계산서(공릉동)_2.전시모형" xfId="2292"/>
    <cellStyle name="통_별첨-1" xfId="2293"/>
    <cellStyle name="통_별첨-1_2.전시모형" xfId="2294"/>
    <cellStyle name="통_석촌동꽃마을빌딩" xfId="2295"/>
    <cellStyle name="통_석촌동꽃마을빌딩_2.전시모형" xfId="2296"/>
    <cellStyle name="통_석촌동꽃마을빌딩_KKK(GS)" xfId="2297"/>
    <cellStyle name="통_석촌동꽃마을빌딩_KKK(GS)_2.전시모형" xfId="2298"/>
    <cellStyle name="통_석촌동꽃마을빌딩_LLL(송림)" xfId="2299"/>
    <cellStyle name="통_석촌동꽃마을빌딩_LLL(송림)_2.전시모형" xfId="2300"/>
    <cellStyle name="통_석촌동꽃마을빌딩_계산서(공릉동)" xfId="2301"/>
    <cellStyle name="통_석촌동꽃마을빌딩_계산서(공릉동)_2.전시모형" xfId="2302"/>
    <cellStyle name="통_석촌동꽃마을빌딩_별첨-1" xfId="2303"/>
    <cellStyle name="통_석촌동꽃마을빌딩_별첨-1_2.전시모형" xfId="2304"/>
    <cellStyle name="통_석촌동꽃마을빌딩_소화계산서(공릉동)" xfId="2305"/>
    <cellStyle name="통_석촌동꽃마을빌딩_소화계산서(공릉동)_2.전시모형" xfId="2306"/>
    <cellStyle name="통_석촌동꽃마을빌딩_아파트(송림)" xfId="2307"/>
    <cellStyle name="통_석촌동꽃마을빌딩_아파트(송림)_2.전시모형" xfId="2308"/>
    <cellStyle name="통_석촌동꽃마을빌딩_에너지근거자료(GS)" xfId="2309"/>
    <cellStyle name="통_석촌동꽃마을빌딩_에너지근거자료(GS)_2.전시모형" xfId="2310"/>
    <cellStyle name="통_석촌동꽃마을빌딩_에너지근거자료(신봉)" xfId="2311"/>
    <cellStyle name="통_석촌동꽃마을빌딩_에너지근거자료(신봉)_2.전시모형" xfId="2312"/>
    <cellStyle name="통_석촌동꽃마을빌딩_표준" xfId="2313"/>
    <cellStyle name="통_석촌동꽃마을빌딩_표준_2.전시모형" xfId="2314"/>
    <cellStyle name="통_성산아파트" xfId="2315"/>
    <cellStyle name="통_성산아파트_2.전시모형" xfId="2316"/>
    <cellStyle name="통_성산아파트_KKK(GS)" xfId="2317"/>
    <cellStyle name="통_성산아파트_KKK(GS)_2.전시모형" xfId="2318"/>
    <cellStyle name="통_성산아파트_LLL(송림)" xfId="2319"/>
    <cellStyle name="통_성산아파트_LLL(송림)_2.전시모형" xfId="2320"/>
    <cellStyle name="통_성산아파트_계산서(공릉동)" xfId="2321"/>
    <cellStyle name="통_성산아파트_계산서(공릉동)_2.전시모형" xfId="2322"/>
    <cellStyle name="통_성산아파트_별첨-1" xfId="2323"/>
    <cellStyle name="통_성산아파트_별첨-1_2.전시모형" xfId="2324"/>
    <cellStyle name="통_성산아파트_소화계산서(공릉동)" xfId="2325"/>
    <cellStyle name="통_성산아파트_소화계산서(공릉동)_2.전시모형" xfId="2326"/>
    <cellStyle name="통_성산아파트_아파트(송림)" xfId="2327"/>
    <cellStyle name="통_성산아파트_아파트(송림)_2.전시모형" xfId="2328"/>
    <cellStyle name="통_성산아파트_에너지근거자료(GS)" xfId="2329"/>
    <cellStyle name="통_성산아파트_에너지근거자료(GS)_2.전시모형" xfId="2330"/>
    <cellStyle name="통_성산아파트_에너지근거자료(신봉)" xfId="2331"/>
    <cellStyle name="통_성산아파트_에너지근거자료(신봉)_2.전시모형" xfId="2332"/>
    <cellStyle name="통_성산아파트_표준" xfId="2333"/>
    <cellStyle name="통_성산아파트_표준_2.전시모형" xfId="2334"/>
    <cellStyle name="통_소화계산서(공릉동)" xfId="2335"/>
    <cellStyle name="통_소화계산서(공릉동)_2.전시모형" xfId="2336"/>
    <cellStyle name="통_신성교회" xfId="2337"/>
    <cellStyle name="통_신성교회_2.전시모형" xfId="2338"/>
    <cellStyle name="통_신성교회_KKK(GS)" xfId="2339"/>
    <cellStyle name="통_신성교회_KKK(GS)_2.전시모형" xfId="2340"/>
    <cellStyle name="통_신성교회_LLL(송림)" xfId="2341"/>
    <cellStyle name="통_신성교회_LLL(송림)_2.전시모형" xfId="2342"/>
    <cellStyle name="통_신성교회_계산서(공릉동)" xfId="2343"/>
    <cellStyle name="통_신성교회_계산서(공릉동)_2.전시모형" xfId="2344"/>
    <cellStyle name="통_신성교회_별첨-1" xfId="2345"/>
    <cellStyle name="통_신성교회_별첨-1_2.전시모형" xfId="2346"/>
    <cellStyle name="통_신성교회_소화계산서(공릉동)" xfId="2347"/>
    <cellStyle name="통_신성교회_소화계산서(공릉동)_2.전시모형" xfId="2348"/>
    <cellStyle name="통_신성교회_아파트(송림)" xfId="2349"/>
    <cellStyle name="통_신성교회_아파트(송림)_2.전시모형" xfId="2350"/>
    <cellStyle name="통_신성교회_에너지근거자료(GS)" xfId="2351"/>
    <cellStyle name="통_신성교회_에너지근거자료(GS)_2.전시모형" xfId="2352"/>
    <cellStyle name="통_신성교회_에너지근거자료(신봉)" xfId="2353"/>
    <cellStyle name="통_신성교회_에너지근거자료(신봉)_2.전시모형" xfId="2354"/>
    <cellStyle name="통_신성교회_표준" xfId="2355"/>
    <cellStyle name="통_신성교회_표준_2.전시모형" xfId="2356"/>
    <cellStyle name="통_아파트(송림)" xfId="2357"/>
    <cellStyle name="통_아파트(송림)_2.전시모형" xfId="2358"/>
    <cellStyle name="통_에너지근거자료(GS)" xfId="2359"/>
    <cellStyle name="통_에너지근거자료(GS)_2.전시모형" xfId="2360"/>
    <cellStyle name="통_에너지근거자료(신봉)" xfId="2361"/>
    <cellStyle name="통_에너지근거자료(신봉)_2.전시모형" xfId="2362"/>
    <cellStyle name="통_표준" xfId="2363"/>
    <cellStyle name="통_표준_2.전시모형" xfId="2364"/>
    <cellStyle name="통_현대미술관홍보실-최종" xfId="793"/>
    <cellStyle name="통화 [" xfId="794"/>
    <cellStyle name="통화 [0] 2" xfId="795"/>
    <cellStyle name="통화 [0] 3" xfId="8523"/>
    <cellStyle name="퍼센트" xfId="796"/>
    <cellStyle name="퍼센트 10" xfId="3465"/>
    <cellStyle name="퍼센트 11" xfId="3011"/>
    <cellStyle name="퍼센트 12" xfId="5059"/>
    <cellStyle name="퍼센트 13" xfId="5159"/>
    <cellStyle name="퍼센트 14" xfId="5262"/>
    <cellStyle name="퍼센트 15" xfId="5364"/>
    <cellStyle name="퍼센트 16" xfId="5462"/>
    <cellStyle name="퍼센트 17" xfId="5568"/>
    <cellStyle name="퍼센트 18" xfId="5669"/>
    <cellStyle name="퍼센트 19" xfId="5777"/>
    <cellStyle name="퍼센트 2" xfId="2365"/>
    <cellStyle name="퍼센트 20" xfId="5878"/>
    <cellStyle name="퍼센트 21" xfId="5979"/>
    <cellStyle name="퍼센트 22" xfId="6084"/>
    <cellStyle name="퍼센트 23" xfId="6179"/>
    <cellStyle name="퍼센트 24" xfId="6278"/>
    <cellStyle name="퍼센트 25" xfId="6371"/>
    <cellStyle name="퍼센트 26" xfId="6466"/>
    <cellStyle name="퍼센트 27" xfId="6559"/>
    <cellStyle name="퍼센트 28" xfId="6652"/>
    <cellStyle name="퍼센트 29" xfId="6744"/>
    <cellStyle name="퍼센트 3" xfId="3712"/>
    <cellStyle name="퍼센트 30" xfId="5349"/>
    <cellStyle name="퍼센트 31" xfId="6083"/>
    <cellStyle name="퍼센트 32" xfId="7012"/>
    <cellStyle name="퍼센트 33" xfId="7099"/>
    <cellStyle name="퍼센트 34" xfId="7182"/>
    <cellStyle name="퍼센트 35" xfId="7268"/>
    <cellStyle name="퍼센트 36" xfId="7351"/>
    <cellStyle name="퍼센트 37" xfId="6071"/>
    <cellStyle name="퍼센트 38" xfId="4415"/>
    <cellStyle name="퍼센트 39" xfId="7597"/>
    <cellStyle name="퍼센트 4" xfId="3766"/>
    <cellStyle name="퍼센트 40" xfId="7672"/>
    <cellStyle name="퍼센트 41" xfId="7742"/>
    <cellStyle name="퍼센트 42" xfId="7809"/>
    <cellStyle name="퍼센트 43" xfId="7875"/>
    <cellStyle name="퍼센트 44" xfId="7940"/>
    <cellStyle name="퍼센트 45" xfId="8003"/>
    <cellStyle name="퍼센트 46" xfId="8064"/>
    <cellStyle name="퍼센트 47" xfId="8123"/>
    <cellStyle name="퍼센트 48" xfId="8182"/>
    <cellStyle name="퍼센트 49" xfId="8239"/>
    <cellStyle name="퍼센트 5" xfId="4327"/>
    <cellStyle name="퍼센트 50" xfId="8292"/>
    <cellStyle name="퍼센트 51" xfId="8341"/>
    <cellStyle name="퍼센트 52" xfId="8386"/>
    <cellStyle name="퍼센트 53" xfId="8430"/>
    <cellStyle name="퍼센트 54" xfId="8469"/>
    <cellStyle name="퍼센트 55" xfId="8495"/>
    <cellStyle name="퍼센트 56" xfId="8500"/>
    <cellStyle name="퍼센트 57" xfId="8504"/>
    <cellStyle name="퍼센트 58" xfId="8508"/>
    <cellStyle name="퍼센트 6" xfId="4433"/>
    <cellStyle name="퍼센트 7" xfId="4534"/>
    <cellStyle name="퍼센트 8" xfId="4638"/>
    <cellStyle name="퍼센트 9" xfId="2968"/>
    <cellStyle name="표" xfId="797"/>
    <cellStyle name="표(가는선,가운데,중앙)" xfId="2366"/>
    <cellStyle name="표(가는선,왼쪽,중앙)" xfId="2367"/>
    <cellStyle name="표(세로쓰기)" xfId="2368"/>
    <cellStyle name="표_Book1" xfId="2369"/>
    <cellStyle name="표_Book1_2.전시모형" xfId="2370"/>
    <cellStyle name="표_KKK(GS)" xfId="2371"/>
    <cellStyle name="표_KKK(GS)_2.전시모형" xfId="2372"/>
    <cellStyle name="표_LLL(송림)" xfId="2373"/>
    <cellStyle name="표_LLL(송림)_2.전시모형" xfId="2374"/>
    <cellStyle name="표_계산서(공릉동)" xfId="2375"/>
    <cellStyle name="표_계산서(공릉동)_2.전시모형" xfId="2376"/>
    <cellStyle name="표_별첨-1" xfId="2377"/>
    <cellStyle name="표_별첨-1_2.전시모형" xfId="2378"/>
    <cellStyle name="표_석촌동꽃마을빌딩" xfId="2379"/>
    <cellStyle name="표_석촌동꽃마을빌딩_2.전시모형" xfId="2380"/>
    <cellStyle name="표_석촌동꽃마을빌딩_KKK(GS)" xfId="2381"/>
    <cellStyle name="표_석촌동꽃마을빌딩_KKK(GS)_2.전시모형" xfId="2382"/>
    <cellStyle name="표_석촌동꽃마을빌딩_LLL(송림)" xfId="2383"/>
    <cellStyle name="표_석촌동꽃마을빌딩_LLL(송림)_2.전시모형" xfId="2384"/>
    <cellStyle name="표_석촌동꽃마을빌딩_계산서(공릉동)" xfId="2385"/>
    <cellStyle name="표_석촌동꽃마을빌딩_계산서(공릉동)_2.전시모형" xfId="2386"/>
    <cellStyle name="표_석촌동꽃마을빌딩_별첨-1" xfId="2387"/>
    <cellStyle name="표_석촌동꽃마을빌딩_별첨-1_2.전시모형" xfId="2388"/>
    <cellStyle name="표_석촌동꽃마을빌딩_소화계산서(공릉동)" xfId="2389"/>
    <cellStyle name="표_석촌동꽃마을빌딩_소화계산서(공릉동)_2.전시모형" xfId="2390"/>
    <cellStyle name="표_석촌동꽃마을빌딩_아파트(송림)" xfId="2391"/>
    <cellStyle name="표_석촌동꽃마을빌딩_아파트(송림)_2.전시모형" xfId="2392"/>
    <cellStyle name="표_석촌동꽃마을빌딩_에너지근거자료(GS)" xfId="2393"/>
    <cellStyle name="표_석촌동꽃마을빌딩_에너지근거자료(GS)_2.전시모형" xfId="2394"/>
    <cellStyle name="표_석촌동꽃마을빌딩_에너지근거자료(신봉)" xfId="2395"/>
    <cellStyle name="표_석촌동꽃마을빌딩_에너지근거자료(신봉)_2.전시모형" xfId="2396"/>
    <cellStyle name="표_석촌동꽃마을빌딩_표준" xfId="2397"/>
    <cellStyle name="표_석촌동꽃마을빌딩_표준_2.전시모형" xfId="2398"/>
    <cellStyle name="표_성산아파트" xfId="2399"/>
    <cellStyle name="표_성산아파트_2.전시모형" xfId="2400"/>
    <cellStyle name="표_성산아파트_KKK(GS)" xfId="2401"/>
    <cellStyle name="표_성산아파트_KKK(GS)_2.전시모형" xfId="2402"/>
    <cellStyle name="표_성산아파트_LLL(송림)" xfId="2403"/>
    <cellStyle name="표_성산아파트_LLL(송림)_2.전시모형" xfId="2404"/>
    <cellStyle name="표_성산아파트_계산서(공릉동)" xfId="2405"/>
    <cellStyle name="표_성산아파트_계산서(공릉동)_2.전시모형" xfId="2406"/>
    <cellStyle name="표_성산아파트_별첨-1" xfId="2407"/>
    <cellStyle name="표_성산아파트_별첨-1_2.전시모형" xfId="2408"/>
    <cellStyle name="표_성산아파트_소화계산서(공릉동)" xfId="2409"/>
    <cellStyle name="표_성산아파트_소화계산서(공릉동)_2.전시모형" xfId="2410"/>
    <cellStyle name="표_성산아파트_아파트(송림)" xfId="2411"/>
    <cellStyle name="표_성산아파트_아파트(송림)_2.전시모형" xfId="2412"/>
    <cellStyle name="표_성산아파트_에너지근거자료(GS)" xfId="2413"/>
    <cellStyle name="표_성산아파트_에너지근거자료(GS)_2.전시모형" xfId="2414"/>
    <cellStyle name="표_성산아파트_에너지근거자료(신봉)" xfId="2415"/>
    <cellStyle name="표_성산아파트_에너지근거자료(신봉)_2.전시모형" xfId="2416"/>
    <cellStyle name="표_성산아파트_표준" xfId="2417"/>
    <cellStyle name="표_성산아파트_표준_2.전시모형" xfId="2418"/>
    <cellStyle name="표_소화계산서(공릉동)" xfId="2419"/>
    <cellStyle name="표_소화계산서(공릉동)_2.전시모형" xfId="2420"/>
    <cellStyle name="표_신성교회" xfId="2421"/>
    <cellStyle name="표_신성교회_2.전시모형" xfId="2422"/>
    <cellStyle name="표_신성교회_KKK(GS)" xfId="2423"/>
    <cellStyle name="표_신성교회_KKK(GS)_2.전시모형" xfId="2424"/>
    <cellStyle name="표_신성교회_LLL(송림)" xfId="2425"/>
    <cellStyle name="표_신성교회_LLL(송림)_2.전시모형" xfId="2426"/>
    <cellStyle name="표_신성교회_계산서(공릉동)" xfId="2427"/>
    <cellStyle name="표_신성교회_계산서(공릉동)_2.전시모형" xfId="2428"/>
    <cellStyle name="표_신성교회_별첨-1" xfId="2429"/>
    <cellStyle name="표_신성교회_별첨-1_2.전시모형" xfId="2430"/>
    <cellStyle name="표_신성교회_소화계산서(공릉동)" xfId="2431"/>
    <cellStyle name="표_신성교회_소화계산서(공릉동)_2.전시모형" xfId="2432"/>
    <cellStyle name="표_신성교회_아파트(송림)" xfId="2433"/>
    <cellStyle name="표_신성교회_아파트(송림)_2.전시모형" xfId="2434"/>
    <cellStyle name="표_신성교회_에너지근거자료(GS)" xfId="2435"/>
    <cellStyle name="표_신성교회_에너지근거자료(GS)_2.전시모형" xfId="2436"/>
    <cellStyle name="표_신성교회_에너지근거자료(신봉)" xfId="2437"/>
    <cellStyle name="표_신성교회_에너지근거자료(신봉)_2.전시모형" xfId="2438"/>
    <cellStyle name="표_신성교회_표준" xfId="2439"/>
    <cellStyle name="표_신성교회_표준_2.전시모형" xfId="2440"/>
    <cellStyle name="표_아파트(송림)" xfId="2441"/>
    <cellStyle name="표_아파트(송림)_2.전시모형" xfId="2442"/>
    <cellStyle name="표_에너지근거자료(GS)" xfId="2443"/>
    <cellStyle name="표_에너지근거자료(GS)_2.전시모형" xfId="2444"/>
    <cellStyle name="표_에너지근거자료(신봉)" xfId="2445"/>
    <cellStyle name="표_에너지근거자료(신봉)_2.전시모형" xfId="2446"/>
    <cellStyle name="표_표준" xfId="2447"/>
    <cellStyle name="표_표준_2.전시모형" xfId="2448"/>
    <cellStyle name="표_현대미술관홍보실-최종" xfId="798"/>
    <cellStyle name="표10" xfId="799"/>
    <cellStyle name="표13" xfId="800"/>
    <cellStyle name="표머릿글(上)" xfId="801"/>
    <cellStyle name="표머릿글(中)" xfId="802"/>
    <cellStyle name="표머릿글(下)" xfId="803"/>
    <cellStyle name="표준" xfId="0" builtinId="0"/>
    <cellStyle name="표준 10" xfId="872"/>
    <cellStyle name="표준 11" xfId="873"/>
    <cellStyle name="표준 12" xfId="874"/>
    <cellStyle name="표준 12 2" xfId="8525"/>
    <cellStyle name="표준 12 3" xfId="8524"/>
    <cellStyle name="표준 13" xfId="8526"/>
    <cellStyle name="표준 16" xfId="14"/>
    <cellStyle name="표준 16 2" xfId="868"/>
    <cellStyle name="표준 2" xfId="5"/>
    <cellStyle name="표준 2 10" xfId="815"/>
    <cellStyle name="표준 2 11" xfId="816"/>
    <cellStyle name="표준 2 12" xfId="817"/>
    <cellStyle name="표준 2 13" xfId="818"/>
    <cellStyle name="표준 2 14" xfId="819"/>
    <cellStyle name="표준 2 15" xfId="820"/>
    <cellStyle name="표준 2 16" xfId="821"/>
    <cellStyle name="표준 2 17" xfId="822"/>
    <cellStyle name="표준 2 18" xfId="823"/>
    <cellStyle name="표준 2 19" xfId="824"/>
    <cellStyle name="표준 2 2" xfId="15"/>
    <cellStyle name="표준 2 2 10" xfId="4731"/>
    <cellStyle name="표준 2 2 11" xfId="4838"/>
    <cellStyle name="표준 2 2 12" xfId="4943"/>
    <cellStyle name="표준 2 2 13" xfId="5048"/>
    <cellStyle name="표준 2 2 14" xfId="5148"/>
    <cellStyle name="표준 2 2 15" xfId="5251"/>
    <cellStyle name="표준 2 2 16" xfId="5353"/>
    <cellStyle name="표준 2 2 17" xfId="5451"/>
    <cellStyle name="표준 2 2 18" xfId="5559"/>
    <cellStyle name="표준 2 2 19" xfId="5658"/>
    <cellStyle name="표준 2 2 2" xfId="6"/>
    <cellStyle name="표준 2 2 20" xfId="5768"/>
    <cellStyle name="표준 2 2 21" xfId="5868"/>
    <cellStyle name="표준 2 2 22" xfId="5971"/>
    <cellStyle name="표준 2 2 23" xfId="6074"/>
    <cellStyle name="표준 2 2 24" xfId="6172"/>
    <cellStyle name="표준 2 2 25" xfId="6269"/>
    <cellStyle name="표준 2 2 26" xfId="6363"/>
    <cellStyle name="표준 2 2 27" xfId="6458"/>
    <cellStyle name="표준 2 2 28" xfId="6549"/>
    <cellStyle name="표준 2 2 29" xfId="6644"/>
    <cellStyle name="표준 2 2 3" xfId="17"/>
    <cellStyle name="표준 2 2 30" xfId="6733"/>
    <cellStyle name="표준 2 2 31" xfId="6826"/>
    <cellStyle name="표준 2 2 32" xfId="6912"/>
    <cellStyle name="표준 2 2 33" xfId="7006"/>
    <cellStyle name="표준 2 2 34" xfId="7089"/>
    <cellStyle name="표준 2 2 35" xfId="7175"/>
    <cellStyle name="표준 2 2 36" xfId="7259"/>
    <cellStyle name="표준 2 2 37" xfId="7343"/>
    <cellStyle name="표준 2 2 38" xfId="7426"/>
    <cellStyle name="표준 2 2 39" xfId="7508"/>
    <cellStyle name="표준 2 2 4" xfId="869"/>
    <cellStyle name="표준 2 2 40" xfId="7590"/>
    <cellStyle name="표준 2 2 41" xfId="7665"/>
    <cellStyle name="표준 2 2 42" xfId="7736"/>
    <cellStyle name="표준 2 2 43" xfId="7804"/>
    <cellStyle name="표준 2 2 44" xfId="7870"/>
    <cellStyle name="표준 2 2 45" xfId="7935"/>
    <cellStyle name="표준 2 2 46" xfId="7998"/>
    <cellStyle name="표준 2 2 47" xfId="8061"/>
    <cellStyle name="표준 2 2 48" xfId="8120"/>
    <cellStyle name="표준 2 2 49" xfId="8179"/>
    <cellStyle name="표준 2 2 5" xfId="825"/>
    <cellStyle name="표준 2 2 50" xfId="8236"/>
    <cellStyle name="표준 2 2 51" xfId="8289"/>
    <cellStyle name="표준 2 2 52" xfId="8338"/>
    <cellStyle name="표준 2 2 53" xfId="8383"/>
    <cellStyle name="표준 2 2 54" xfId="8427"/>
    <cellStyle name="표준 2 2 55" xfId="8466"/>
    <cellStyle name="표준 2 2 56" xfId="8492"/>
    <cellStyle name="표준 2 2 57" xfId="8497"/>
    <cellStyle name="표준 2 2 58" xfId="8502"/>
    <cellStyle name="표준 2 2 59" xfId="8506"/>
    <cellStyle name="표준 2 2 6" xfId="4316"/>
    <cellStyle name="표준 2 2 6 2" xfId="8528"/>
    <cellStyle name="표준 2 2 60" xfId="8510"/>
    <cellStyle name="표준 2 2 61" xfId="8513"/>
    <cellStyle name="표준 2 2 62" xfId="8527"/>
    <cellStyle name="표준 2 2 7" xfId="4424"/>
    <cellStyle name="표준 2 2 8" xfId="4523"/>
    <cellStyle name="표준 2 2 9" xfId="4628"/>
    <cellStyle name="표준 2 20" xfId="826"/>
    <cellStyle name="표준 2 21" xfId="827"/>
    <cellStyle name="표준 2 22" xfId="828"/>
    <cellStyle name="표준 2 23" xfId="829"/>
    <cellStyle name="표준 2 24" xfId="864"/>
    <cellStyle name="표준 2 25" xfId="814"/>
    <cellStyle name="표준 2 26" xfId="3715"/>
    <cellStyle name="표준 2 26 2" xfId="8529"/>
    <cellStyle name="표준 2 27" xfId="2930"/>
    <cellStyle name="표준 2 28" xfId="3501"/>
    <cellStyle name="표준 2 29" xfId="3934"/>
    <cellStyle name="표준 2 3" xfId="830"/>
    <cellStyle name="표준 2 30" xfId="2751"/>
    <cellStyle name="표준 2 31" xfId="3675"/>
    <cellStyle name="표준 2 32" xfId="2970"/>
    <cellStyle name="표준 2 33" xfId="3464"/>
    <cellStyle name="표준 2 34" xfId="3097"/>
    <cellStyle name="표준 2 35" xfId="3859"/>
    <cellStyle name="표준 2 36" xfId="2813"/>
    <cellStyle name="표준 2 37" xfId="3615"/>
    <cellStyle name="표준 2 38" xfId="3023"/>
    <cellStyle name="표준 2 39" xfId="3412"/>
    <cellStyle name="표준 2 4" xfId="831"/>
    <cellStyle name="표준 2 40" xfId="3982"/>
    <cellStyle name="표준 2 41" xfId="3744"/>
    <cellStyle name="표준 2 42" xfId="4115"/>
    <cellStyle name="표준 2 43" xfId="2580"/>
    <cellStyle name="표준 2 44" xfId="4225"/>
    <cellStyle name="표준 2 45" xfId="4320"/>
    <cellStyle name="표준 2 46" xfId="4428"/>
    <cellStyle name="표준 2 47" xfId="4527"/>
    <cellStyle name="표준 2 48" xfId="4632"/>
    <cellStyle name="표준 2 49" xfId="4735"/>
    <cellStyle name="표준 2 5" xfId="832"/>
    <cellStyle name="표준 2 50" xfId="4842"/>
    <cellStyle name="표준 2 51" xfId="4861"/>
    <cellStyle name="표준 2 52" xfId="5052"/>
    <cellStyle name="표준 2 53" xfId="2696"/>
    <cellStyle name="표준 2 54" xfId="5887"/>
    <cellStyle name="표준 2 55" xfId="5077"/>
    <cellStyle name="표준 2 56" xfId="6093"/>
    <cellStyle name="표준 2 57" xfId="5281"/>
    <cellStyle name="표준 2 58" xfId="6286"/>
    <cellStyle name="표준 2 59" xfId="2842"/>
    <cellStyle name="표준 2 6" xfId="833"/>
    <cellStyle name="표준 2 60" xfId="6178"/>
    <cellStyle name="표준 2 61" xfId="5975"/>
    <cellStyle name="표준 2 62" xfId="5711"/>
    <cellStyle name="표준 2 63" xfId="6749"/>
    <cellStyle name="표준 2 64" xfId="5918"/>
    <cellStyle name="표준 2 65" xfId="6929"/>
    <cellStyle name="표준 2 66" xfId="5040"/>
    <cellStyle name="표준 2 67" xfId="7107"/>
    <cellStyle name="표준 2 68" xfId="5242"/>
    <cellStyle name="표준 2 69" xfId="6737"/>
    <cellStyle name="표준 2 7" xfId="834"/>
    <cellStyle name="표준 2 70" xfId="6829"/>
    <cellStyle name="표준 2 71" xfId="6916"/>
    <cellStyle name="표준 2 72" xfId="5199"/>
    <cellStyle name="표준 2 73" xfId="7094"/>
    <cellStyle name="표준 2 74" xfId="5403"/>
    <cellStyle name="표준 2 75" xfId="7264"/>
    <cellStyle name="표준 2 76" xfId="5607"/>
    <cellStyle name="표준 2 77" xfId="7431"/>
    <cellStyle name="표준 2 78" xfId="6742"/>
    <cellStyle name="표준 2 79" xfId="7594"/>
    <cellStyle name="표준 2 8" xfId="835"/>
    <cellStyle name="표준 2 80" xfId="7669"/>
    <cellStyle name="표준 2 81" xfId="7739"/>
    <cellStyle name="표준 2 9" xfId="836"/>
    <cellStyle name="표준 25" xfId="859"/>
    <cellStyle name="표준 25 2" xfId="8530"/>
    <cellStyle name="표준 3" xfId="2"/>
    <cellStyle name="표준 3 10" xfId="837"/>
    <cellStyle name="표준 3 11" xfId="838"/>
    <cellStyle name="표준 3 12" xfId="839"/>
    <cellStyle name="표준 3 13" xfId="840"/>
    <cellStyle name="표준 3 14" xfId="841"/>
    <cellStyle name="표준 3 15" xfId="842"/>
    <cellStyle name="표준 3 16" xfId="843"/>
    <cellStyle name="표준 3 17" xfId="844"/>
    <cellStyle name="표준 3 18" xfId="845"/>
    <cellStyle name="표준 3 19" xfId="846"/>
    <cellStyle name="표준 3 2" xfId="847"/>
    <cellStyle name="표준 3 2 10" xfId="3539"/>
    <cellStyle name="표준 3 2 11" xfId="2987"/>
    <cellStyle name="표준 3 2 12" xfId="3871"/>
    <cellStyle name="표준 3 2 13" xfId="2800"/>
    <cellStyle name="표준 3 2 14" xfId="3025"/>
    <cellStyle name="표준 3 2 15" xfId="3010"/>
    <cellStyle name="표준 3 2 16" xfId="3423"/>
    <cellStyle name="표준 3 2 17" xfId="2981"/>
    <cellStyle name="표준 3 2 18" xfId="3751"/>
    <cellStyle name="표준 3 2 19" xfId="4004"/>
    <cellStyle name="표준 3 2 2" xfId="3716"/>
    <cellStyle name="표준 3 2 2 2" xfId="8532"/>
    <cellStyle name="표준 3 2 20" xfId="2692"/>
    <cellStyle name="표준 3 2 21" xfId="4133"/>
    <cellStyle name="표준 3 2 22" xfId="2561"/>
    <cellStyle name="표준 3 2 23" xfId="4339"/>
    <cellStyle name="표준 3 2 24" xfId="4347"/>
    <cellStyle name="표준 3 2 25" xfId="4369"/>
    <cellStyle name="표준 3 2 26" xfId="4554"/>
    <cellStyle name="표준 3 2 27" xfId="4657"/>
    <cellStyle name="표준 3 2 28" xfId="4762"/>
    <cellStyle name="표준 3 2 29" xfId="3951"/>
    <cellStyle name="표준 3 2 3" xfId="2929"/>
    <cellStyle name="표준 3 2 30" xfId="5255"/>
    <cellStyle name="표준 3 2 31" xfId="4091"/>
    <cellStyle name="표준 3 2 32" xfId="5455"/>
    <cellStyle name="표준 3 2 33" xfId="4200"/>
    <cellStyle name="표준 3 2 34" xfId="5662"/>
    <cellStyle name="표준 3 2 35" xfId="5401"/>
    <cellStyle name="표준 3 2 36" xfId="5872"/>
    <cellStyle name="표준 3 2 37" xfId="5896"/>
    <cellStyle name="표준 3 2 38" xfId="4618"/>
    <cellStyle name="표준 3 2 39" xfId="4723"/>
    <cellStyle name="표준 3 2 4" xfId="3502"/>
    <cellStyle name="표준 3 2 40" xfId="4829"/>
    <cellStyle name="표준 3 2 41" xfId="4932"/>
    <cellStyle name="표준 3 2 42" xfId="6197"/>
    <cellStyle name="표준 3 2 43" xfId="4830"/>
    <cellStyle name="표준 3 2 44" xfId="6390"/>
    <cellStyle name="표준 3 2 45" xfId="6484"/>
    <cellStyle name="표준 3 2 46" xfId="6505"/>
    <cellStyle name="표준 3 2 47" xfId="6596"/>
    <cellStyle name="표준 3 2 48" xfId="6689"/>
    <cellStyle name="표준 3 2 49" xfId="6780"/>
    <cellStyle name="표준 3 2 5" xfId="3933"/>
    <cellStyle name="표준 3 2 50" xfId="6867"/>
    <cellStyle name="표준 3 2 51" xfId="6958"/>
    <cellStyle name="표준 3 2 52" xfId="7043"/>
    <cellStyle name="표준 3 2 53" xfId="7199"/>
    <cellStyle name="표준 3 2 54" xfId="7282"/>
    <cellStyle name="표준 3 2 55" xfId="7367"/>
    <cellStyle name="표준 3 2 56" xfId="7447"/>
    <cellStyle name="표준 3 2 57" xfId="7530"/>
    <cellStyle name="표준 3 2 58" xfId="8531"/>
    <cellStyle name="표준 3 2 6" xfId="2752"/>
    <cellStyle name="표준 3 2 7" xfId="3674"/>
    <cellStyle name="표준 3 2 8" xfId="3901"/>
    <cellStyle name="표준 3 2 9" xfId="2893"/>
    <cellStyle name="표준 3 20" xfId="848"/>
    <cellStyle name="표준 3 21" xfId="849"/>
    <cellStyle name="표준 3 22" xfId="850"/>
    <cellStyle name="표준 3 23" xfId="851"/>
    <cellStyle name="표준 3 24" xfId="861"/>
    <cellStyle name="표준 3 25" xfId="3836"/>
    <cellStyle name="표준 3 26" xfId="2836"/>
    <cellStyle name="표준 3 27" xfId="3592"/>
    <cellStyle name="표준 3 28" xfId="3046"/>
    <cellStyle name="표준 3 29" xfId="3390"/>
    <cellStyle name="표준 3 3" xfId="852"/>
    <cellStyle name="표준 3 3 10" xfId="5149"/>
    <cellStyle name="표준 3 3 11" xfId="5252"/>
    <cellStyle name="표준 3 3 12" xfId="5354"/>
    <cellStyle name="표준 3 3 13" xfId="5452"/>
    <cellStyle name="표준 3 3 14" xfId="5560"/>
    <cellStyle name="표준 3 3 15" xfId="5659"/>
    <cellStyle name="표준 3 3 16" xfId="5769"/>
    <cellStyle name="표준 3 3 17" xfId="5869"/>
    <cellStyle name="표준 3 3 18" xfId="5972"/>
    <cellStyle name="표준 3 3 19" xfId="6075"/>
    <cellStyle name="표준 3 3 2" xfId="4317"/>
    <cellStyle name="표준 3 3 2 2" xfId="8534"/>
    <cellStyle name="표준 3 3 20" xfId="6173"/>
    <cellStyle name="표준 3 3 21" xfId="6270"/>
    <cellStyle name="표준 3 3 22" xfId="6364"/>
    <cellStyle name="표준 3 3 23" xfId="6459"/>
    <cellStyle name="표준 3 3 24" xfId="6550"/>
    <cellStyle name="표준 3 3 25" xfId="6645"/>
    <cellStyle name="표준 3 3 26" xfId="6734"/>
    <cellStyle name="표준 3 3 27" xfId="6827"/>
    <cellStyle name="표준 3 3 28" xfId="6913"/>
    <cellStyle name="표준 3 3 29" xfId="7007"/>
    <cellStyle name="표준 3 3 3" xfId="4425"/>
    <cellStyle name="표준 3 3 30" xfId="7090"/>
    <cellStyle name="표준 3 3 31" xfId="7176"/>
    <cellStyle name="표준 3 3 32" xfId="7260"/>
    <cellStyle name="표준 3 3 33" xfId="7344"/>
    <cellStyle name="표준 3 3 34" xfId="7427"/>
    <cellStyle name="표준 3 3 35" xfId="7509"/>
    <cellStyle name="표준 3 3 36" xfId="7591"/>
    <cellStyle name="표준 3 3 37" xfId="7666"/>
    <cellStyle name="표준 3 3 38" xfId="7737"/>
    <cellStyle name="표준 3 3 39" xfId="7805"/>
    <cellStyle name="표준 3 3 4" xfId="4524"/>
    <cellStyle name="표준 3 3 40" xfId="7871"/>
    <cellStyle name="표준 3 3 41" xfId="7936"/>
    <cellStyle name="표준 3 3 42" xfId="7999"/>
    <cellStyle name="표준 3 3 43" xfId="8062"/>
    <cellStyle name="표준 3 3 44" xfId="8121"/>
    <cellStyle name="표준 3 3 45" xfId="8180"/>
    <cellStyle name="표준 3 3 46" xfId="8237"/>
    <cellStyle name="표준 3 3 47" xfId="8290"/>
    <cellStyle name="표준 3 3 48" xfId="8339"/>
    <cellStyle name="표준 3 3 49" xfId="8384"/>
    <cellStyle name="표준 3 3 5" xfId="4629"/>
    <cellStyle name="표준 3 3 50" xfId="8428"/>
    <cellStyle name="표준 3 3 51" xfId="8467"/>
    <cellStyle name="표준 3 3 52" xfId="8493"/>
    <cellStyle name="표준 3 3 53" xfId="8498"/>
    <cellStyle name="표준 3 3 54" xfId="8503"/>
    <cellStyle name="표준 3 3 55" xfId="8507"/>
    <cellStyle name="표준 3 3 56" xfId="8511"/>
    <cellStyle name="표준 3 3 57" xfId="8514"/>
    <cellStyle name="표준 3 3 58" xfId="8533"/>
    <cellStyle name="표준 3 3 6" xfId="4732"/>
    <cellStyle name="표준 3 3 7" xfId="4839"/>
    <cellStyle name="표준 3 3 8" xfId="4944"/>
    <cellStyle name="표준 3 3 9" xfId="5049"/>
    <cellStyle name="표준 3 30" xfId="3998"/>
    <cellStyle name="표준 3 31" xfId="2699"/>
    <cellStyle name="표준 3 32" xfId="4128"/>
    <cellStyle name="표준 3 33" xfId="2566"/>
    <cellStyle name="표준 3 34" xfId="3833"/>
    <cellStyle name="표준 3 35" xfId="2762"/>
    <cellStyle name="표준 3 36" xfId="2797"/>
    <cellStyle name="표준 3 37" xfId="3764"/>
    <cellStyle name="표준 3 38" xfId="3006"/>
    <cellStyle name="표준 3 39" xfId="3426"/>
    <cellStyle name="표준 3 4" xfId="853"/>
    <cellStyle name="표준 3 40" xfId="2757"/>
    <cellStyle name="표준 3 41" xfId="3165"/>
    <cellStyle name="표준 3 42" xfId="4111"/>
    <cellStyle name="표준 3 43" xfId="2585"/>
    <cellStyle name="표준 3 44" xfId="4220"/>
    <cellStyle name="표준 3 45" xfId="2477"/>
    <cellStyle name="표준 3 46" xfId="4341"/>
    <cellStyle name="표준 3 47" xfId="3529"/>
    <cellStyle name="표준 3 48" xfId="4548"/>
    <cellStyle name="표준 3 49" xfId="4651"/>
    <cellStyle name="표준 3 5" xfId="854"/>
    <cellStyle name="표준 3 50" xfId="4756"/>
    <cellStyle name="표준 3 51" xfId="4863"/>
    <cellStyle name="표준 3 52" xfId="4846"/>
    <cellStyle name="표준 3 53" xfId="4519"/>
    <cellStyle name="표준 3 54" xfId="5056"/>
    <cellStyle name="표준 3 55" xfId="4727"/>
    <cellStyle name="표준 3 56" xfId="4575"/>
    <cellStyle name="표준 3 57" xfId="4937"/>
    <cellStyle name="표준 3 58" xfId="4782"/>
    <cellStyle name="표준 3 59" xfId="6930"/>
    <cellStyle name="표준 3 6" xfId="855"/>
    <cellStyle name="표준 3 60" xfId="5790"/>
    <cellStyle name="표준 3 61" xfId="6160"/>
    <cellStyle name="표준 3 62" xfId="5267"/>
    <cellStyle name="표준 3 63" xfId="2587"/>
    <cellStyle name="표준 3 64" xfId="5655"/>
    <cellStyle name="표준 3 65" xfId="5501"/>
    <cellStyle name="표준 3 66" xfId="5865"/>
    <cellStyle name="표준 3 67" xfId="5708"/>
    <cellStyle name="표준 3 68" xfId="6496"/>
    <cellStyle name="표준 3 69" xfId="6664"/>
    <cellStyle name="표준 3 7" xfId="856"/>
    <cellStyle name="표준 3 70" xfId="6755"/>
    <cellStyle name="표준 3 71" xfId="6844"/>
    <cellStyle name="표준 3 72" xfId="5814"/>
    <cellStyle name="표준 3 73" xfId="7023"/>
    <cellStyle name="표준 3 74" xfId="6017"/>
    <cellStyle name="표준 3 75" xfId="7194"/>
    <cellStyle name="표준 3 76" xfId="6214"/>
    <cellStyle name="표준 3 77" xfId="7363"/>
    <cellStyle name="표준 3 78" xfId="6406"/>
    <cellStyle name="표준 3 79" xfId="7526"/>
    <cellStyle name="표준 3 8" xfId="857"/>
    <cellStyle name="표준 3 80" xfId="7603"/>
    <cellStyle name="표준 3 9" xfId="858"/>
    <cellStyle name="표준 4" xfId="3"/>
    <cellStyle name="표준 4 10" xfId="4057"/>
    <cellStyle name="표준 4 11" xfId="3463"/>
    <cellStyle name="표준 4 12" xfId="3099"/>
    <cellStyle name="표준 4 13" xfId="2934"/>
    <cellStyle name="표준 4 14" xfId="2815"/>
    <cellStyle name="표준 4 15" xfId="3613"/>
    <cellStyle name="표준 4 16" xfId="3037"/>
    <cellStyle name="표준 4 17" xfId="3410"/>
    <cellStyle name="표준 4 18" xfId="3985"/>
    <cellStyle name="표준 4 19" xfId="4967"/>
    <cellStyle name="표준 4 2" xfId="862"/>
    <cellStyle name="표준 4 20" xfId="4117"/>
    <cellStyle name="표준 4 21" xfId="2578"/>
    <cellStyle name="표준 4 22" xfId="4227"/>
    <cellStyle name="표준 4 23" xfId="3740"/>
    <cellStyle name="표준 4 24" xfId="2910"/>
    <cellStyle name="표준 4 25" xfId="3522"/>
    <cellStyle name="표준 4 26" xfId="3924"/>
    <cellStyle name="표준 4 27" xfId="2760"/>
    <cellStyle name="표준 4 28" xfId="3667"/>
    <cellStyle name="표준 4 29" xfId="4857"/>
    <cellStyle name="표준 4 3" xfId="804"/>
    <cellStyle name="표준 4 30" xfId="2725"/>
    <cellStyle name="표준 4 31" xfId="3337"/>
    <cellStyle name="표준 4 32" xfId="4974"/>
    <cellStyle name="표준 4 33" xfId="3913"/>
    <cellStyle name="표준 4 34" xfId="5176"/>
    <cellStyle name="표준 4 35" xfId="3659"/>
    <cellStyle name="표준 4 36" xfId="5380"/>
    <cellStyle name="표준 4 37" xfId="3448"/>
    <cellStyle name="표준 4 38" xfId="4413"/>
    <cellStyle name="표준 4 39" xfId="5605"/>
    <cellStyle name="표준 4 4" xfId="3717"/>
    <cellStyle name="표준 4 40" xfId="5994"/>
    <cellStyle name="표준 4 41" xfId="5818"/>
    <cellStyle name="표준 4 42" xfId="6192"/>
    <cellStyle name="표준 4 43" xfId="6021"/>
    <cellStyle name="표준 4 44" xfId="6385"/>
    <cellStyle name="표준 4 45" xfId="5140"/>
    <cellStyle name="표준 4 46" xfId="6648"/>
    <cellStyle name="표준 4 47" xfId="5344"/>
    <cellStyle name="표준 4 48" xfId="5443"/>
    <cellStyle name="표준 4 49" xfId="5547"/>
    <cellStyle name="표준 4 5" xfId="2928"/>
    <cellStyle name="표준 4 50" xfId="6933"/>
    <cellStyle name="표준 4 51" xfId="5757"/>
    <cellStyle name="표준 4 52" xfId="7114"/>
    <cellStyle name="표준 4 53" xfId="5962"/>
    <cellStyle name="표준 4 54" xfId="7281"/>
    <cellStyle name="표준 4 55" xfId="6163"/>
    <cellStyle name="표준 4 56" xfId="7446"/>
    <cellStyle name="표준 4 57" xfId="6357"/>
    <cellStyle name="표준 4 58" xfId="5381"/>
    <cellStyle name="표준 4 59" xfId="6543"/>
    <cellStyle name="표준 4 6" xfId="3503"/>
    <cellStyle name="표준 4 7" xfId="3932"/>
    <cellStyle name="표준 4 8" xfId="2753"/>
    <cellStyle name="표준 4 9" xfId="3673"/>
    <cellStyle name="표준 5" xfId="805"/>
    <cellStyle name="표준 5 10" xfId="3101"/>
    <cellStyle name="표준 5 11" xfId="2986"/>
    <cellStyle name="표준 5 12" xfId="2827"/>
    <cellStyle name="표준 5 13" xfId="3601"/>
    <cellStyle name="표준 5 14" xfId="4653"/>
    <cellStyle name="표준 5 15" xfId="3398"/>
    <cellStyle name="표준 5 16" xfId="3984"/>
    <cellStyle name="표준 5 17" xfId="2708"/>
    <cellStyle name="표준 5 18" xfId="4122"/>
    <cellStyle name="표준 5 19" xfId="2573"/>
    <cellStyle name="표준 5 2" xfId="3718"/>
    <cellStyle name="표준 5 2 2" xfId="8535"/>
    <cellStyle name="표준 5 20" xfId="4232"/>
    <cellStyle name="표준 5 21" xfId="2471"/>
    <cellStyle name="표준 5 22" xfId="3070"/>
    <cellStyle name="표준 5 23" xfId="4949"/>
    <cellStyle name="표준 5 24" xfId="3511"/>
    <cellStyle name="표준 5 25" xfId="3786"/>
    <cellStyle name="표준 5 26" xfId="2878"/>
    <cellStyle name="표준 5 27" xfId="3435"/>
    <cellStyle name="표준 5 28" xfId="4968"/>
    <cellStyle name="표준 5 29" xfId="5348"/>
    <cellStyle name="표준 5 3" xfId="2927"/>
    <cellStyle name="표준 5 30" xfId="2734"/>
    <cellStyle name="표준 5 31" xfId="5554"/>
    <cellStyle name="표준 5 32" xfId="2606"/>
    <cellStyle name="표준 5 33" xfId="6570"/>
    <cellStyle name="표준 5 34" xfId="2496"/>
    <cellStyle name="표준 5 35" xfId="6757"/>
    <cellStyle name="표준 5 36" xfId="6070"/>
    <cellStyle name="표준 5 37" xfId="4514"/>
    <cellStyle name="표준 5 38" xfId="6265"/>
    <cellStyle name="표준 5 39" xfId="6100"/>
    <cellStyle name="표준 5 4" xfId="3504"/>
    <cellStyle name="표준 5 40" xfId="7195"/>
    <cellStyle name="표준 5 41" xfId="6293"/>
    <cellStyle name="표준 5 42" xfId="7364"/>
    <cellStyle name="표준 5 43" xfId="6482"/>
    <cellStyle name="표준 5 44" xfId="7527"/>
    <cellStyle name="표준 5 45" xfId="5155"/>
    <cellStyle name="표준 5 46" xfId="5258"/>
    <cellStyle name="표준 5 47" xfId="5360"/>
    <cellStyle name="표준 5 48" xfId="4263"/>
    <cellStyle name="표준 5 49" xfId="7022"/>
    <cellStyle name="표준 5 5" xfId="3931"/>
    <cellStyle name="표준 5 50" xfId="3004"/>
    <cellStyle name="표준 5 51" xfId="7193"/>
    <cellStyle name="표준 5 52" xfId="2604"/>
    <cellStyle name="표준 5 53" xfId="7362"/>
    <cellStyle name="표준 5 54" xfId="2494"/>
    <cellStyle name="표준 5 55" xfId="7525"/>
    <cellStyle name="표준 5 56" xfId="6274"/>
    <cellStyle name="표준 5 57" xfId="6790"/>
    <cellStyle name="표준 5 6" xfId="2754"/>
    <cellStyle name="표준 5 7" xfId="3672"/>
    <cellStyle name="표준 5 8" xfId="2882"/>
    <cellStyle name="표준 5 9" xfId="3626"/>
    <cellStyle name="표준 6" xfId="813"/>
    <cellStyle name="표준 6 10" xfId="3652"/>
    <cellStyle name="표준 6 11" xfId="2985"/>
    <cellStyle name="표준 6 12" xfId="3444"/>
    <cellStyle name="표준 6 13" xfId="3960"/>
    <cellStyle name="표준 6 14" xfId="2728"/>
    <cellStyle name="표준 6 15" xfId="4095"/>
    <cellStyle name="표준 6 16" xfId="2599"/>
    <cellStyle name="표준 6 17" xfId="4207"/>
    <cellStyle name="표준 6 18" xfId="2490"/>
    <cellStyle name="표준 6 19" xfId="4312"/>
    <cellStyle name="표준 6 2" xfId="3719"/>
    <cellStyle name="표준 6 20" xfId="4420"/>
    <cellStyle name="표준 6 21" xfId="4518"/>
    <cellStyle name="표준 6 22" xfId="4623"/>
    <cellStyle name="표준 6 23" xfId="4726"/>
    <cellStyle name="표준 6 24" xfId="4833"/>
    <cellStyle name="표준 6 25" xfId="4936"/>
    <cellStyle name="표준 6 26" xfId="5043"/>
    <cellStyle name="표준 6 27" xfId="5144"/>
    <cellStyle name="표준 6 28" xfId="5246"/>
    <cellStyle name="표준 6 29" xfId="6031"/>
    <cellStyle name="표준 6 3" xfId="2926"/>
    <cellStyle name="표준 6 30" xfId="3542"/>
    <cellStyle name="표준 6 31" xfId="6227"/>
    <cellStyle name="표준 6 32" xfId="5654"/>
    <cellStyle name="표준 6 33" xfId="5762"/>
    <cellStyle name="표준 6 34" xfId="5864"/>
    <cellStyle name="표준 6 35" xfId="5965"/>
    <cellStyle name="표준 6 36" xfId="6696"/>
    <cellStyle name="표준 6 37" xfId="6936"/>
    <cellStyle name="표준 6 38" xfId="6876"/>
    <cellStyle name="표준 6 39" xfId="6359"/>
    <cellStyle name="표준 6 4" xfId="3505"/>
    <cellStyle name="표준 6 40" xfId="6454"/>
    <cellStyle name="표준 6 41" xfId="6545"/>
    <cellStyle name="표준 6 42" xfId="6640"/>
    <cellStyle name="표준 6 43" xfId="6729"/>
    <cellStyle name="표준 6 44" xfId="6822"/>
    <cellStyle name="표준 6 45" xfId="6908"/>
    <cellStyle name="표준 6 46" xfId="7001"/>
    <cellStyle name="표준 6 47" xfId="7086"/>
    <cellStyle name="표준 6 48" xfId="7170"/>
    <cellStyle name="표준 6 49" xfId="7256"/>
    <cellStyle name="표준 6 5" xfId="3790"/>
    <cellStyle name="표준 6 50" xfId="7338"/>
    <cellStyle name="표준 6 51" xfId="7424"/>
    <cellStyle name="표준 6 52" xfId="7503"/>
    <cellStyle name="표준 6 53" xfId="7586"/>
    <cellStyle name="표준 6 54" xfId="7662"/>
    <cellStyle name="표준 6 55" xfId="7734"/>
    <cellStyle name="표준 6 56" xfId="7802"/>
    <cellStyle name="표준 6 57" xfId="7868"/>
    <cellStyle name="표준 6 6" xfId="2874"/>
    <cellStyle name="표준 6 7" xfId="3554"/>
    <cellStyle name="표준 6 8" xfId="3902"/>
    <cellStyle name="표준 6 9" xfId="3462"/>
    <cellStyle name="표준 7" xfId="8"/>
    <cellStyle name="표준 7 10" xfId="3743"/>
    <cellStyle name="표준 7 11" xfId="3211"/>
    <cellStyle name="표준 7 12" xfId="3808"/>
    <cellStyle name="표준 7 13" xfId="2860"/>
    <cellStyle name="표준 7 14" xfId="3568"/>
    <cellStyle name="표준 7 15" xfId="4342"/>
    <cellStyle name="표준 7 16" xfId="4258"/>
    <cellStyle name="표준 7 17" xfId="4363"/>
    <cellStyle name="표준 7 18" xfId="4466"/>
    <cellStyle name="표준 7 19" xfId="4130"/>
    <cellStyle name="표준 7 2" xfId="865"/>
    <cellStyle name="표준 7 2 2" xfId="8536"/>
    <cellStyle name="표준 7 20" xfId="2564"/>
    <cellStyle name="표준 7 21" xfId="3834"/>
    <cellStyle name="표준 7 22" xfId="2839"/>
    <cellStyle name="표준 7 23" xfId="4403"/>
    <cellStyle name="표준 7 24" xfId="3049"/>
    <cellStyle name="표준 7 25" xfId="3385"/>
    <cellStyle name="표준 7 26" xfId="3131"/>
    <cellStyle name="표준 7 27" xfId="4867"/>
    <cellStyle name="표준 7 28" xfId="3019"/>
    <cellStyle name="표준 7 29" xfId="3805"/>
    <cellStyle name="표준 7 3" xfId="867"/>
    <cellStyle name="표준 7 30" xfId="3878"/>
    <cellStyle name="표준 7 31" xfId="3946"/>
    <cellStyle name="표준 7 32" xfId="3343"/>
    <cellStyle name="표준 7 33" xfId="3885"/>
    <cellStyle name="표준 7 34" xfId="3611"/>
    <cellStyle name="표준 7 35" xfId="3531"/>
    <cellStyle name="표준 7 36" xfId="3408"/>
    <cellStyle name="표준 7 37" xfId="6405"/>
    <cellStyle name="표준 7 38" xfId="6665"/>
    <cellStyle name="표준 7 39" xfId="4953"/>
    <cellStyle name="표준 7 4" xfId="3852"/>
    <cellStyle name="표준 7 4 2" xfId="8537"/>
    <cellStyle name="표준 7 40" xfId="6845"/>
    <cellStyle name="표준 7 41" xfId="4345"/>
    <cellStyle name="표준 7 42" xfId="4679"/>
    <cellStyle name="표준 7 43" xfId="4552"/>
    <cellStyle name="표준 7 44" xfId="7040"/>
    <cellStyle name="표준 7 45" xfId="4760"/>
    <cellStyle name="표준 7 46" xfId="6718"/>
    <cellStyle name="표준 7 47" xfId="3774"/>
    <cellStyle name="표준 7 48" xfId="6897"/>
    <cellStyle name="표준 7 49" xfId="5197"/>
    <cellStyle name="표준 7 5" xfId="2820"/>
    <cellStyle name="표준 7 50" xfId="7074"/>
    <cellStyle name="표준 7 51" xfId="4219"/>
    <cellStyle name="표준 7 52" xfId="5763"/>
    <cellStyle name="표준 7 53" xfId="3725"/>
    <cellStyle name="표준 7 54" xfId="5966"/>
    <cellStyle name="표준 7 55" xfId="5314"/>
    <cellStyle name="표준 7 56" xfId="6380"/>
    <cellStyle name="표준 7 57" xfId="5517"/>
    <cellStyle name="표준 7 58" xfId="6088"/>
    <cellStyle name="표준 7 59" xfId="6340"/>
    <cellStyle name="표준 7 6" xfId="3608"/>
    <cellStyle name="표준 7 7" xfId="3030"/>
    <cellStyle name="표준 7 8" xfId="3405"/>
    <cellStyle name="표준 7 9" xfId="3123"/>
    <cellStyle name="표준 8" xfId="871"/>
    <cellStyle name="표준 8 10" xfId="5147"/>
    <cellStyle name="표준 8 11" xfId="5250"/>
    <cellStyle name="표준 8 12" xfId="5352"/>
    <cellStyle name="표준 8 13" xfId="5450"/>
    <cellStyle name="표준 8 14" xfId="5558"/>
    <cellStyle name="표준 8 15" xfId="5657"/>
    <cellStyle name="표준 8 16" xfId="5767"/>
    <cellStyle name="표준 8 17" xfId="5867"/>
    <cellStyle name="표준 8 18" xfId="5970"/>
    <cellStyle name="표준 8 19" xfId="6073"/>
    <cellStyle name="표준 8 2" xfId="4315"/>
    <cellStyle name="표준 8 20" xfId="6171"/>
    <cellStyle name="표준 8 21" xfId="6268"/>
    <cellStyle name="표준 8 22" xfId="6362"/>
    <cellStyle name="표준 8 23" xfId="6457"/>
    <cellStyle name="표준 8 24" xfId="6548"/>
    <cellStyle name="표준 8 25" xfId="6643"/>
    <cellStyle name="표준 8 26" xfId="6732"/>
    <cellStyle name="표준 8 27" xfId="6825"/>
    <cellStyle name="표준 8 28" xfId="6911"/>
    <cellStyle name="표준 8 29" xfId="7005"/>
    <cellStyle name="표준 8 3" xfId="4423"/>
    <cellStyle name="표준 8 30" xfId="7088"/>
    <cellStyle name="표준 8 31" xfId="7174"/>
    <cellStyle name="표준 8 32" xfId="7258"/>
    <cellStyle name="표준 8 33" xfId="7342"/>
    <cellStyle name="표준 8 34" xfId="7425"/>
    <cellStyle name="표준 8 35" xfId="7507"/>
    <cellStyle name="표준 8 36" xfId="7589"/>
    <cellStyle name="표준 8 37" xfId="7664"/>
    <cellStyle name="표준 8 38" xfId="7735"/>
    <cellStyle name="표준 8 39" xfId="7803"/>
    <cellStyle name="표준 8 4" xfId="4522"/>
    <cellStyle name="표준 8 40" xfId="7869"/>
    <cellStyle name="표준 8 41" xfId="7934"/>
    <cellStyle name="표준 8 42" xfId="7997"/>
    <cellStyle name="표준 8 43" xfId="8060"/>
    <cellStyle name="표준 8 44" xfId="8119"/>
    <cellStyle name="표준 8 45" xfId="8178"/>
    <cellStyle name="표준 8 46" xfId="8235"/>
    <cellStyle name="표준 8 47" xfId="8288"/>
    <cellStyle name="표준 8 48" xfId="8337"/>
    <cellStyle name="표준 8 49" xfId="8382"/>
    <cellStyle name="표준 8 5" xfId="4627"/>
    <cellStyle name="표준 8 50" xfId="8426"/>
    <cellStyle name="표준 8 51" xfId="8465"/>
    <cellStyle name="표준 8 52" xfId="8491"/>
    <cellStyle name="표준 8 53" xfId="8496"/>
    <cellStyle name="표준 8 54" xfId="8501"/>
    <cellStyle name="표준 8 55" xfId="8505"/>
    <cellStyle name="표준 8 56" xfId="8509"/>
    <cellStyle name="표준 8 57" xfId="8512"/>
    <cellStyle name="표준 8 6" xfId="4730"/>
    <cellStyle name="표준 8 7" xfId="4837"/>
    <cellStyle name="표준 8 8" xfId="4942"/>
    <cellStyle name="표준 8 9" xfId="5047"/>
    <cellStyle name="표준 9" xfId="870"/>
    <cellStyle name="標準_Akia(F）-8" xfId="806"/>
    <cellStyle name="표준_Book2-1" xfId="2449"/>
    <cellStyle name="표준_Book4" xfId="7"/>
    <cellStyle name="표준_INT-일~1" xfId="2450"/>
    <cellStyle name="표준_Sheet2" xfId="2451"/>
    <cellStyle name="표준_가변형" xfId="2452"/>
    <cellStyle name="표준_경비배부율_1" xfId="8541"/>
    <cellStyle name="표준_길보사" xfId="2453"/>
    <cellStyle name="표준_도솔" xfId="878"/>
    <cellStyle name="표준_산출조서-1" xfId="8538"/>
    <cellStyle name="표준_산출조서-1_제조산출(11월)" xfId="876"/>
    <cellStyle name="표준_원가계산" xfId="8542"/>
    <cellStyle name="표준_원가계산서(기본양식)" xfId="20"/>
    <cellStyle name="표준_일위대가" xfId="877"/>
    <cellStyle name="표준_전북모형" xfId="2454"/>
    <cellStyle name="표준_평택문화의집" xfId="2455"/>
    <cellStyle name="표준1" xfId="807"/>
    <cellStyle name="표준1 10" xfId="3543"/>
    <cellStyle name="표준1 11" xfId="3857"/>
    <cellStyle name="표준1 12" xfId="2884"/>
    <cellStyle name="표준1 13" xfId="3545"/>
    <cellStyle name="표준1 14" xfId="2529"/>
    <cellStyle name="표준1 15" xfId="2769"/>
    <cellStyle name="표준1 16" xfId="3658"/>
    <cellStyle name="표준1 17" xfId="4323"/>
    <cellStyle name="표준1 18" xfId="2891"/>
    <cellStyle name="표준1 19" xfId="3540"/>
    <cellStyle name="표준1 2" xfId="3727"/>
    <cellStyle name="표준1 20" xfId="4847"/>
    <cellStyle name="표준1 21" xfId="2975"/>
    <cellStyle name="표준1 22" xfId="2900"/>
    <cellStyle name="표준1 23" xfId="2978"/>
    <cellStyle name="표준1 24" xfId="3917"/>
    <cellStyle name="표준1 25" xfId="2764"/>
    <cellStyle name="표준1 26" xfId="3113"/>
    <cellStyle name="표준1 27" xfId="3335"/>
    <cellStyle name="표준1 28" xfId="3453"/>
    <cellStyle name="표준1 29" xfId="4852"/>
    <cellStyle name="표준1 3" xfId="2919"/>
    <cellStyle name="표준1 30" xfId="5665"/>
    <cellStyle name="표준1 31" xfId="5552"/>
    <cellStyle name="표준1 32" xfId="5875"/>
    <cellStyle name="표준1 33" xfId="5761"/>
    <cellStyle name="표준1 34" xfId="6080"/>
    <cellStyle name="표준1 35" xfId="6651"/>
    <cellStyle name="표준1 36" xfId="6546"/>
    <cellStyle name="표준1 37" xfId="4515"/>
    <cellStyle name="표준1 38" xfId="6263"/>
    <cellStyle name="표준1 39" xfId="5041"/>
    <cellStyle name="표준1 4" xfId="3512"/>
    <cellStyle name="표준1 40" xfId="6453"/>
    <cellStyle name="표준1 41" xfId="5500"/>
    <cellStyle name="표준1 42" xfId="7267"/>
    <cellStyle name="표준1 43" xfId="5707"/>
    <cellStyle name="표준1 44" xfId="7433"/>
    <cellStyle name="표준1 45" xfId="6831"/>
    <cellStyle name="표준1 46" xfId="7350"/>
    <cellStyle name="표준1 47" xfId="6090"/>
    <cellStyle name="표준1 48" xfId="7515"/>
    <cellStyle name="표준1 49" xfId="6284"/>
    <cellStyle name="표준1 5" xfId="3785"/>
    <cellStyle name="표준1 50" xfId="7266"/>
    <cellStyle name="표준1 51" xfId="6834"/>
    <cellStyle name="표준1 52" xfId="6218"/>
    <cellStyle name="표준1 53" xfId="5499"/>
    <cellStyle name="표준1 54" xfId="6410"/>
    <cellStyle name="표준1 55" xfId="6654"/>
    <cellStyle name="표준1 56" xfId="6067"/>
    <cellStyle name="표준1 57" xfId="2666"/>
    <cellStyle name="표준1 6" xfId="2879"/>
    <cellStyle name="표준1 7" xfId="3550"/>
    <cellStyle name="표준1 8" xfId="3904"/>
    <cellStyle name="표준1 9" xfId="2637"/>
    <cellStyle name="표준2" xfId="808"/>
    <cellStyle name="표준2 10" xfId="4098"/>
    <cellStyle name="표준2 11" xfId="2596"/>
    <cellStyle name="표준2 12" xfId="4209"/>
    <cellStyle name="표준2 13" xfId="2487"/>
    <cellStyle name="표준2 14" xfId="2538"/>
    <cellStyle name="표준2 15" xfId="2838"/>
    <cellStyle name="표준2 16" xfId="3590"/>
    <cellStyle name="표준2 17" xfId="3048"/>
    <cellStyle name="표준2 18" xfId="3387"/>
    <cellStyle name="표준2 19" xfId="3129"/>
    <cellStyle name="표준2 2" xfId="3728"/>
    <cellStyle name="표준2 20" xfId="4939"/>
    <cellStyle name="표준2 21" xfId="3216"/>
    <cellStyle name="표준2 22" xfId="3577"/>
    <cellStyle name="표준2 23" xfId="3061"/>
    <cellStyle name="표준2 24" xfId="2705"/>
    <cellStyle name="표준2 25" xfId="3589"/>
    <cellStyle name="표준2 26" xfId="4255"/>
    <cellStyle name="표준2 27" xfId="4642"/>
    <cellStyle name="표준2 28" xfId="4747"/>
    <cellStyle name="표준2 29" xfId="4370"/>
    <cellStyle name="표준2 3" xfId="3892"/>
    <cellStyle name="표준2 30" xfId="5819"/>
    <cellStyle name="표준2 31" xfId="4576"/>
    <cellStyle name="표준2 32" xfId="6022"/>
    <cellStyle name="표준2 33" xfId="4784"/>
    <cellStyle name="표준2 34" xfId="6219"/>
    <cellStyle name="표준2 35" xfId="4996"/>
    <cellStyle name="표준2 36" xfId="5573"/>
    <cellStyle name="표준2 37" xfId="6506"/>
    <cellStyle name="표준2 38" xfId="5782"/>
    <cellStyle name="표준2 39" xfId="6690"/>
    <cellStyle name="표준2 4" xfId="2784"/>
    <cellStyle name="표준2 40" xfId="5984"/>
    <cellStyle name="표준2 41" xfId="6868"/>
    <cellStyle name="표준2 42" xfId="5993"/>
    <cellStyle name="표준2 43" xfId="7172"/>
    <cellStyle name="표준2 44" xfId="5919"/>
    <cellStyle name="표준2 45" xfId="7340"/>
    <cellStyle name="표준2 46" xfId="6123"/>
    <cellStyle name="표준2 47" xfId="7505"/>
    <cellStyle name="표준2 48" xfId="6316"/>
    <cellStyle name="표준2 49" xfId="6054"/>
    <cellStyle name="표준2 5" xfId="3644"/>
    <cellStyle name="표준2 50" xfId="5785"/>
    <cellStyle name="표준2 51" xfId="6098"/>
    <cellStyle name="표준2 52" xfId="6164"/>
    <cellStyle name="표준2 53" xfId="3434"/>
    <cellStyle name="표준2 54" xfId="7272"/>
    <cellStyle name="표준2 55" xfId="4028"/>
    <cellStyle name="표준2 56" xfId="7438"/>
    <cellStyle name="표준2 57" xfId="4158"/>
    <cellStyle name="표준2 6" xfId="2994"/>
    <cellStyle name="표준2 7" xfId="3436"/>
    <cellStyle name="표준2 8" xfId="3527"/>
    <cellStyle name="표준2 9" xfId="2887"/>
    <cellStyle name="표준℘Sheet8 (3)" xfId="2456"/>
    <cellStyle name="표준날짜" xfId="2457"/>
    <cellStyle name="표준숫자" xfId="2458"/>
    <cellStyle name="표쥰" xfId="809"/>
    <cellStyle name="합   계" xfId="2459"/>
    <cellStyle name="합계" xfId="2460"/>
    <cellStyle name="합산" xfId="810"/>
    <cellStyle name="화폐기호" xfId="811"/>
    <cellStyle name="화폐기호 10" xfId="4848"/>
    <cellStyle name="화폐기호 11" xfId="3103"/>
    <cellStyle name="화폐기호 12" xfId="3910"/>
    <cellStyle name="화폐기호 13" xfId="2817"/>
    <cellStyle name="화폐기호 14" xfId="4035"/>
    <cellStyle name="화폐기호 15" xfId="2660"/>
    <cellStyle name="화폐기호 16" xfId="3693"/>
    <cellStyle name="화폐기호 17" xfId="4864"/>
    <cellStyle name="화폐기호 18" xfId="3489"/>
    <cellStyle name="화폐기호 19" xfId="3793"/>
    <cellStyle name="화폐기호 2" xfId="2461"/>
    <cellStyle name="화폐기호 20" xfId="3356"/>
    <cellStyle name="화폐기호 21" xfId="3797"/>
    <cellStyle name="화폐기호 22" xfId="3975"/>
    <cellStyle name="화폐기호 23" xfId="3637"/>
    <cellStyle name="화폐기호 24" xfId="3632"/>
    <cellStyle name="화폐기호 25" xfId="4306"/>
    <cellStyle name="화폐기호 26" xfId="4963"/>
    <cellStyle name="화폐기호 27" xfId="4378"/>
    <cellStyle name="화폐기호 28" xfId="3440"/>
    <cellStyle name="화폐기호 29" xfId="4108"/>
    <cellStyle name="화폐기호 3" xfId="3735"/>
    <cellStyle name="화폐기호 30" xfId="3714"/>
    <cellStyle name="화폐기호 31" xfId="6292"/>
    <cellStyle name="화폐기호 32" xfId="3500"/>
    <cellStyle name="화폐기호 33" xfId="6481"/>
    <cellStyle name="화폐기호 34" xfId="2750"/>
    <cellStyle name="화폐기호 35" xfId="6667"/>
    <cellStyle name="화폐기호 36" xfId="2697"/>
    <cellStyle name="화폐기호 37" xfId="3360"/>
    <cellStyle name="화폐기호 38" xfId="3168"/>
    <cellStyle name="화폐기호 39" xfId="5997"/>
    <cellStyle name="화폐기호 4" xfId="2915"/>
    <cellStyle name="화폐기호 40" xfId="7113"/>
    <cellStyle name="화폐기호 41" xfId="6195"/>
    <cellStyle name="화폐기호 42" xfId="7280"/>
    <cellStyle name="화폐기호 43" xfId="6388"/>
    <cellStyle name="화폐기호 44" xfId="7445"/>
    <cellStyle name="화폐기호 45" xfId="5675"/>
    <cellStyle name="화폐기호 46" xfId="5688"/>
    <cellStyle name="화폐기호 47" xfId="5650"/>
    <cellStyle name="화폐기호 48" xfId="4992"/>
    <cellStyle name="화폐기호 49" xfId="4693"/>
    <cellStyle name="화폐기호 5" xfId="3516"/>
    <cellStyle name="화폐기호 50" xfId="6819"/>
    <cellStyle name="화폐기호 51" xfId="4902"/>
    <cellStyle name="화폐기호 52" xfId="6999"/>
    <cellStyle name="화폐기호 53" xfId="6964"/>
    <cellStyle name="화폐기호 54" xfId="7050"/>
    <cellStyle name="화폐기호 55" xfId="3558"/>
    <cellStyle name="화폐기호 56" xfId="7354"/>
    <cellStyle name="화폐기호 57" xfId="5723"/>
    <cellStyle name="화폐기호 58" xfId="7519"/>
    <cellStyle name="화폐기호 6" xfId="3928"/>
    <cellStyle name="화폐기호 7" xfId="2756"/>
    <cellStyle name="화폐기호 8" xfId="3670"/>
    <cellStyle name="화폐기호 9" xfId="2802"/>
    <cellStyle name="화폐기호0" xfId="812"/>
    <cellStyle name="화폐기호0 10" xfId="3547"/>
    <cellStyle name="화폐기호0 11" xfId="3105"/>
    <cellStyle name="화폐기호0 12" xfId="3855"/>
    <cellStyle name="화폐기호0 13" xfId="2830"/>
    <cellStyle name="화폐기호0 14" xfId="3598"/>
    <cellStyle name="화폐기호0 15" xfId="3040"/>
    <cellStyle name="화폐기호0 16" xfId="3395"/>
    <cellStyle name="화폐기호0 17" xfId="3993"/>
    <cellStyle name="화폐기호0 18" xfId="3479"/>
    <cellStyle name="화폐기호0 19" xfId="4429"/>
    <cellStyle name="화폐기호0 2" xfId="2462"/>
    <cellStyle name="화폐기호0 20" xfId="4529"/>
    <cellStyle name="화폐기호0 21" xfId="4634"/>
    <cellStyle name="화폐기호0 22" xfId="4737"/>
    <cellStyle name="화폐기호0 23" xfId="4844"/>
    <cellStyle name="화폐기호0 24" xfId="2917"/>
    <cellStyle name="화폐기호0 25" xfId="5054"/>
    <cellStyle name="화폐기호0 26" xfId="5154"/>
    <cellStyle name="화폐기호0 27" xfId="5257"/>
    <cellStyle name="화폐기호0 28" xfId="5359"/>
    <cellStyle name="화폐기호0 29" xfId="5457"/>
    <cellStyle name="화폐기호0 3" xfId="3737"/>
    <cellStyle name="화폐기호0 30" xfId="5297"/>
    <cellStyle name="화폐기호0 31" xfId="2837"/>
    <cellStyle name="화폐기호0 32" xfId="4259"/>
    <cellStyle name="화폐기호0 33" xfId="3935"/>
    <cellStyle name="화폐기호0 34" xfId="3507"/>
    <cellStyle name="화폐기호0 35" xfId="3676"/>
    <cellStyle name="화폐기호0 36" xfId="2875"/>
    <cellStyle name="화폐기호0 37" xfId="6020"/>
    <cellStyle name="화폐기호0 38" xfId="6369"/>
    <cellStyle name="화폐기호0 39" xfId="6560"/>
    <cellStyle name="화폐기호0 4" xfId="2913"/>
    <cellStyle name="화폐기호0 40" xfId="3552"/>
    <cellStyle name="화폐기호0 41" xfId="4167"/>
    <cellStyle name="화폐기호0 42" xfId="2774"/>
    <cellStyle name="화폐기호0 43" xfId="4271"/>
    <cellStyle name="화폐기호0 44" xfId="4062"/>
    <cellStyle name="화폐기호0 45" xfId="4483"/>
    <cellStyle name="화폐기호0 46" xfId="5793"/>
    <cellStyle name="화폐기호0 47" xfId="5057"/>
    <cellStyle name="화폐기호0 48" xfId="5996"/>
    <cellStyle name="화폐기호0 49" xfId="5260"/>
    <cellStyle name="화폐기호0 5" xfId="3518"/>
    <cellStyle name="화폐기호0 50" xfId="6194"/>
    <cellStyle name="화폐기호0 51" xfId="5460"/>
    <cellStyle name="화폐기호0 52" xfId="7595"/>
    <cellStyle name="화폐기호0 53" xfId="7670"/>
    <cellStyle name="화폐기호0 54" xfId="7740"/>
    <cellStyle name="화폐기호0 55" xfId="7807"/>
    <cellStyle name="화폐기호0 56" xfId="7873"/>
    <cellStyle name="화폐기호0 57" xfId="7938"/>
    <cellStyle name="화폐기호0 58" xfId="8001"/>
    <cellStyle name="화폐기호0 6" xfId="3926"/>
    <cellStyle name="화폐기호0 7" xfId="2758"/>
    <cellStyle name="화폐기호0 8" xfId="3669"/>
    <cellStyle name="화폐기호0 9" xfId="366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33" Type="http://schemas.openxmlformats.org/officeDocument/2006/relationships/externalLink" Target="externalLinks/externalLink108.xml"/><Relationship Id="rId138" Type="http://schemas.openxmlformats.org/officeDocument/2006/relationships/externalLink" Target="externalLinks/externalLink113.xml"/><Relationship Id="rId154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34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123" Type="http://schemas.openxmlformats.org/officeDocument/2006/relationships/externalLink" Target="externalLinks/externalLink98.xml"/><Relationship Id="rId128" Type="http://schemas.openxmlformats.org/officeDocument/2006/relationships/externalLink" Target="externalLinks/externalLink103.xml"/><Relationship Id="rId144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2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160" Type="http://schemas.openxmlformats.org/officeDocument/2006/relationships/externalLink" Target="externalLinks/externalLink135.xml"/><Relationship Id="rId165" Type="http://schemas.openxmlformats.org/officeDocument/2006/relationships/externalLink" Target="externalLinks/externalLink140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113" Type="http://schemas.openxmlformats.org/officeDocument/2006/relationships/externalLink" Target="externalLinks/externalLink88.xml"/><Relationship Id="rId118" Type="http://schemas.openxmlformats.org/officeDocument/2006/relationships/externalLink" Target="externalLinks/externalLink93.xml"/><Relationship Id="rId134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150" Type="http://schemas.openxmlformats.org/officeDocument/2006/relationships/externalLink" Target="externalLinks/externalLink125.xml"/><Relationship Id="rId155" Type="http://schemas.openxmlformats.org/officeDocument/2006/relationships/externalLink" Target="externalLinks/externalLink130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34.xml"/><Relationship Id="rId103" Type="http://schemas.openxmlformats.org/officeDocument/2006/relationships/externalLink" Target="externalLinks/externalLink78.xml"/><Relationship Id="rId108" Type="http://schemas.openxmlformats.org/officeDocument/2006/relationships/externalLink" Target="externalLinks/externalLink83.xml"/><Relationship Id="rId124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04.xml"/><Relationship Id="rId54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40" Type="http://schemas.openxmlformats.org/officeDocument/2006/relationships/externalLink" Target="externalLinks/externalLink115.xml"/><Relationship Id="rId145" Type="http://schemas.openxmlformats.org/officeDocument/2006/relationships/externalLink" Target="externalLinks/externalLink120.xml"/><Relationship Id="rId161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14" Type="http://schemas.openxmlformats.org/officeDocument/2006/relationships/externalLink" Target="externalLinks/externalLink89.xml"/><Relationship Id="rId119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0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externalLink" Target="externalLinks/externalLink97.xml"/><Relationship Id="rId130" Type="http://schemas.openxmlformats.org/officeDocument/2006/relationships/externalLink" Target="externalLinks/externalLink105.xml"/><Relationship Id="rId135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18.xml"/><Relationship Id="rId148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31.xml"/><Relationship Id="rId164" Type="http://schemas.openxmlformats.org/officeDocument/2006/relationships/externalLink" Target="externalLinks/externalLink139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00.xml"/><Relationship Id="rId141" Type="http://schemas.openxmlformats.org/officeDocument/2006/relationships/externalLink" Target="externalLinks/externalLink116.xml"/><Relationship Id="rId146" Type="http://schemas.openxmlformats.org/officeDocument/2006/relationships/externalLink" Target="externalLinks/externalLink121.xml"/><Relationship Id="rId167" Type="http://schemas.openxmlformats.org/officeDocument/2006/relationships/externalLink" Target="externalLinks/externalLink14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162" Type="http://schemas.openxmlformats.org/officeDocument/2006/relationships/externalLink" Target="externalLinks/externalLink13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Relationship Id="rId131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11.xml"/><Relationship Id="rId157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152" Type="http://schemas.openxmlformats.org/officeDocument/2006/relationships/externalLink" Target="externalLinks/externalLink12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26" Type="http://schemas.openxmlformats.org/officeDocument/2006/relationships/externalLink" Target="externalLinks/externalLink101.xml"/><Relationship Id="rId147" Type="http://schemas.openxmlformats.org/officeDocument/2006/relationships/externalLink" Target="externalLinks/externalLink122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externalLink" Target="externalLinks/externalLink96.xml"/><Relationship Id="rId142" Type="http://schemas.openxmlformats.org/officeDocument/2006/relationships/externalLink" Target="externalLinks/externalLink117.xml"/><Relationship Id="rId163" Type="http://schemas.openxmlformats.org/officeDocument/2006/relationships/externalLink" Target="externalLinks/externalLink13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21.xml"/><Relationship Id="rId67" Type="http://schemas.openxmlformats.org/officeDocument/2006/relationships/externalLink" Target="externalLinks/externalLink42.xml"/><Relationship Id="rId116" Type="http://schemas.openxmlformats.org/officeDocument/2006/relationships/externalLink" Target="externalLinks/externalLink91.xml"/><Relationship Id="rId137" Type="http://schemas.openxmlformats.org/officeDocument/2006/relationships/externalLink" Target="externalLinks/externalLink112.xml"/><Relationship Id="rId158" Type="http://schemas.openxmlformats.org/officeDocument/2006/relationships/externalLink" Target="externalLinks/externalLink13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62" Type="http://schemas.openxmlformats.org/officeDocument/2006/relationships/externalLink" Target="externalLinks/externalLink37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111" Type="http://schemas.openxmlformats.org/officeDocument/2006/relationships/externalLink" Target="externalLinks/externalLink86.xml"/><Relationship Id="rId132" Type="http://schemas.openxmlformats.org/officeDocument/2006/relationships/externalLink" Target="externalLinks/externalLink107.xml"/><Relationship Id="rId153" Type="http://schemas.openxmlformats.org/officeDocument/2006/relationships/externalLink" Target="externalLinks/externalLink1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9525</xdr:rowOff>
    </xdr:from>
    <xdr:to>
      <xdr:col>4</xdr:col>
      <xdr:colOff>0</xdr:colOff>
      <xdr:row>5</xdr:row>
      <xdr:rowOff>0</xdr:rowOff>
    </xdr:to>
    <xdr:cxnSp macro="">
      <xdr:nvCxnSpPr>
        <xdr:cNvPr id="2" name="직선 연결선 2">
          <a:extLst>
            <a:ext uri="{FF2B5EF4-FFF2-40B4-BE49-F238E27FC236}">
              <a16:creationId xmlns="" xmlns:a16="http://schemas.microsoft.com/office/drawing/2014/main" id="{F531EF72-D21B-4417-A9B7-77030281601E}"/>
            </a:ext>
          </a:extLst>
        </xdr:cNvPr>
        <xdr:cNvCxnSpPr>
          <a:cxnSpLocks noChangeShapeType="1"/>
        </xdr:cNvCxnSpPr>
      </xdr:nvCxnSpPr>
      <xdr:spPr bwMode="auto">
        <a:xfrm>
          <a:off x="9525" y="704850"/>
          <a:ext cx="3028950" cy="42862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wtgl96e\data\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99\&#44288;&#47532;&#52397;\&#51652;&#51452;&#50864;&#54924;\&#53664;&#52384;&#51032;&#47280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88;&#51116;&#47308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3-ssiwoo\&#51060;&#51648;&#53580;&#53356;\2017&#45380;%20&#51089;&#50629;&#48169;\2017&#45380;5&#50900;%20&#51089;&#50629;&#48169;\&#44368;&#50977;&#52397;\&#49436;&#48512;&#44368;&#50977;&#52397;-&#49437;&#47732;&#44368;&#52404;%20&#45236;&#50669;(&#44228;&#49328;&#44277;&#44256;,&#49436;&#44278;&#52488;,&#51076;&#54617;&#51473;)\&#49436;&#48512;&#44368;&#50977;&#52397;\&#44228;&#49328;&#44277;&#44256;,&#51076;&#54617;&#51473;,%20&#49436;&#44278;&#52488;%20-&#51204;&#44592;,&#53685;&#49888;,&#49548;&#48169;%20&#48516;&#47532;(20170327)\0314-&#49436;&#48512;%20&#45800;&#44032;&#51312;&#51221;\&#44032;&#49437;&#52488;%20LED&#51312;&#47749;&#44368;&#52404;%20&#51204;&#44592;&#44277;&#49324;-&#52572;&#51333;&#51221;&#47532;&#5147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1-project\&#48372;&#44148;&#54872;&#44221;(&#53664;&#50864;)\&#51204;&#44592;\&#48372;&#44148;&#54872;&#4422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99\&#54620;&#44397;&#51204;&#47141;\&#49888;&#49457;&#45224;-&#44552;&#44257;\&#49888;&#49457;&#45224;&#53804;&#52272;&#45236;&#50669;(1&#48264;&#45236;&#50669;)(2)\KHDATA\&#44288;&#47532;&#52397;\&#51652;&#51452;&#50864;&#54924;\&#53664;&#52384;&#51032;&#4728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99\&#44288;&#47532;&#52397;\&#49436;&#50872;\&#44053;&#48320;&#48513;&#47196;\My%20Documents\KHDATA\&#44288;&#47532;&#52397;\&#51652;&#51452;&#50864;&#54924;\&#53664;&#52384;&#51032;&#4728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k6com\d\&#51060;&#44397;&#47196;\&#51064;&#52380;&#49888;&#44277;&#54637;\&#51064;&#52380;&#44397;&#51228;&#44277;&#54637;&#52384;&#46020;%20&#49345;&#49464;&#49444;&#44228;\2004.04.16&#51060;&#51204;\&#49888;&#44277;&#54637;&#52384;&#46020;&#52572;&#51333;&#48516;(1219)\15.1_11&#50900;29&#51068;(main2)\&#50696;&#49328;&#49436;(&#48376;&#49440;2)\12002206-&#51068;&#50948;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YESTER\&#44540;&#44144;&#49436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260;\&#51060;&#50672;&#49688;\&#54620;&#44397;&#51204;&#47141;\&#51473;&#48512;&#51648;&#51216;\&#52384;&#44264;\&#44417;&#51221;&#47196;%201&#50808;%2060&#44060;&#49548;%20&#47785;&#47197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wner\c\&#54616;&#45208;&#47196;\&#51333;&#47196;\&#51333;&#47196;FTTO\WINDOWS\&#48148;&#53461;%20&#54868;&#47732;\GNG\9&#44277;&#44396;\&#50868;&#48152;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95016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45824;&#49849;/&#48148;&#53461;%20&#54868;&#47732;/&#44396;&#48120;/&#51204;&#52404;&#48516;(h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444;&#44228;\&#44277;&#51221;&#48324;\&#44032;&#44277;&#52992;&#51060;&#48660;&#49888;&#49444;(&#53552;&#45328;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04;&#50857;&#45909;\2&#54840;&#49440;&#50669;&#49340;&#50669;&#46321;3&#44060;&#50669;&#45257;&#48169;&#54868;&#44277;&#49324;\My%20Documents\&#45257;&#48169;&#44277;&#49324;\2004&#45257;&#48169;\AFC\AFC&#49444;&#44228;&#49436;(&#51012;&#51648;&#47196;3&#44032;2&#54840;&#49440;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CAD\WORK\RAIL\JANGHANG\EXCEL\&#47588;&#44257;&#50669;&#4932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EXCEL\DATE\189-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44221;&#54840;&#50644;&#51648;&#45768;&#50612;&#47553;\2014&#45380;\12.&#51473;1&#46041;%20&#44397;&#44277;&#47549;%20&#50612;&#47536;&#51060;&#51665;\140701%20&#44148;&#52629;&#45236;&#50669;\project\B%20&#49892;&#49884;&#49444;&#44228;\00100&#45824;&#52397;&#45840;\04%20&#45236;&#50669;%20&#48143;%20&#49688;&#47049;&#49328;&#52636;\20041004\2&#45800;&#44228;\&#45236;&#50669;&#49436;&#48143;&#49688;&#47049;&#49328;&#52636;&#49436;\&#45824;&#52397;&#45840;&#51452;&#48320;%20&#52828;&#54872;&#44221;&#51312;&#49457;&#49324;&#50629;%20&#45236;&#50669;&#49436;(20040903%202&#45800;&#44228;(&#52509;&#44292;&#50640;&#49436;%20&#48520;&#47084;&#46300;&#47548;)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&#54633;&#51221;&#47196;&#45236;&#50669;&#49436;(&#53664;&#47785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6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13\sj13\end\&#50672;&#51228;&#44256;&#46321;&#54617;&#44368;\&#49892;&#49884;\&#50672;&#51228;&#44256;&#46321;&#54617;&#44368;2003.02\&#45236;&#50669;&#49436;\&#51204;&#44592;\My%20Documents\&#54364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5\&#47196;&#52972;%20&#46356;&#49828;&#53356;%20(d)\project\B%20&#49892;&#49884;&#49444;&#44228;\00100&#45824;&#52397;&#45840;\04%20&#45236;&#50669;%20&#48143;%20&#49688;&#47049;&#49328;&#52636;\20041004\2&#45800;&#44228;\&#45236;&#50669;&#49436;&#48143;&#49688;&#47049;&#49328;&#52636;&#49436;\&#45824;&#52397;&#45840;&#51452;&#48320;%20&#52828;&#54872;&#44221;&#51312;&#49457;&#49324;&#50629;%20&#45236;&#50669;&#49436;(20040903%202&#45800;&#44228;(&#52509;&#44292;&#50640;&#49436;%20&#48520;&#47084;&#46300;&#47548;)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1032;&#49437;\&#51089;&#50629;&#46356;&#49828;&#53356;%20(d)\&#44204;&#51201;\&#47784;&#54788;&#46020;&#49436;&#44288;\&#54620;&#50577;&#45824;%20&#44172;&#49828;&#53944;&#54616;&#50864;&#49828;\&#51060;&#54868;&#50668;&#44256;100&#51452;&#45380;\&#49328;&#52636;&#49436;(&#51060;&#54868;&#44592;&#45392;&#44288;)-&#51204;&#44592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k6com\d\work\2007\13-elev%20&#54200;&#51032;&#49884;&#49444;\03.&#53685;&#54633;&#45225;&#54408;\&#52264;&#47049;&#44592;&#51648;%20&#45236;&#50669;&#49436;(&#48512;&#49328;&#48152;&#49569;&#49440;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OLED&#45236;&#50669;&#49436;-&#51204;&#44592;&#44228;&#5110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4018\c\ESTI96\&#44053;&#51652;&#51109;&#55141;\&#54980;&#45796;&#45236;&#5066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LINE\&#50696;&#49328;\YS\&#44148;&#47932;\16BLOCK%20X%20RAY%20&#52384;&#44264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44228;&#49328;&#49436;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1077;&#52272;&#5050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56;&#44277;&#49436;&#47448;\9076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d\&#51077;&#52272;&#44048;&#47532;&#49436;&#47448;\My%20Documents\&#50756;&#47308;&#44277;&#49324;\&#52572;&#44540;&#44732;\&#49933;&#50857;&#50500;&#54028;&#53944;\&#51456;&#44277;&#49436;&#47448;\&#51221;&#51060;&#54868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LINE\&#50696;&#49328;\YS\&#44148;&#47932;\HRSG%20SHOP%20FRP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49569;&#46041;&#50577;&#49688;&#51109;\HWP\DF98513\PROJECT\LOAD\BONGSAN\BONG\HWP\OUT\YE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volume1_public\&#52397;&#47548;-&#51089;&#50629;\&#51068;&#44396;&#44396;&#44277;&#46020;&#49884;&#44148;&#52629;\&#44221;&#44592;&#46020;%20&#48149;&#47932;&#44288;(&#51228;&#50504;&#49444;&#44228;)\&#50808;&#51452;\&#45909;&#53944;&#50532;&#52992;&#51060;&#50536;&#50508;&#50724;(&#45909;&#53944;%20&#52397;&#49548;)\&#45236;&#47928;&#49436;\&#44204;&#51201;&#49436;\&#44277;&#51312;&#45797;&#53944;&#52397;&#49548;\&#54616;&#45208;&#44592;&#50672;\My%20Documents\&#49444;&#48708;\&#49892;&#54665;\&#51068;&#48152;&#49444;&#48708;(&#51076;&#45824;)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1077;&#52272;&#45236;&#50669;\&#44592;&#50500;&#45824;&#44368;\&#44592;&#50500;&#45824;&#44368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2176\1-&#49436;&#49885;&#45800;&#49692;&#54868;\&#54785;&#49888;&#50948;&#50896;&#54924;\&#51221;&#49457;&#44288;&#51089;&#50629;\MAP&#47588;&#45684;&#50620;&#52572;&#51333;(2&#52264;&#44060;&#51221;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689;&#44288;\&#51089;&#50629;&#54260;&#45908;\&#45236;&#50669;&#49436;sample\K-SET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49324;/2019/&#44221;&#44592;&#46020;&#48149;&#47932;&#44288;/&#45236;&#50613;&#49436;/&#44221;&#44592;&#46020;%20&#48149;&#47932;&#44288;%20092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WINDOWS\&#48148;&#53461;%20&#54868;&#47732;\KDS\PROJECT\&#52628;%20&#54413;%20&#47161;\&#52628;&#54413;&#52572;&#51333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1/AppData/Local/Microsoft/Windows/INetCache/IE/RCU98CXS/&#50472;&#50896;&#50640;&#49828;%20&#45236;&#50669;&#49436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%23/03.%20&#44228;&#50557;/181021&#44397;&#47549;&#51061;&#49328;&#48149;&#47932;&#44288;1129/dwg/&#45236;&#50669;%20&#52280;&#44256;/&#45236;&#50669;0620/02.&#51652;&#50676;&#51109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49324;/2018/&#44397;&#47549;&#45824;&#44396;&#48149;&#47932;&#44288;/&#45236;&#50669;&#49436;/2.&#51652;&#50676;&#51109;%20&#45236;&#50669;&#4943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-1\shareddocs\&#50577;&#49885;\&#44053;&#46041;&#51648;&#51216;\&#49444;&#44228;&#51221;&#49328;\&#45800;&#44032;&#50577;&#49885;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Project\&#53468;&#48177;&#49440;\hwp\&#52280;&#44256;\&#52572;&#47749;&#49437;\&#50857;&#49328;&#49548;&#54868;&#47932;\&#51068;&#50948;&#45824;&#4403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25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-DATE\MODE\165-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01A\OUT\Y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51473;&#50521;&#49440;&#51648;&#54217;&#50669;&#50808;\Hwp\&#52280;&#44256;&#45236;&#50669;\&#44160;&#49688;&#44256;&#45800;&#44032;&#49328;&#52636;&#49436;\&#45800;&#44032;&#49328;&#52636;&#49436;3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project-&#44608;&#54952;&#51652;\&#52280;&#44256;&#46020;&#47732;\&#54620;&#49888;&#52280;&#44256;\&#44305;&#51452;&#51228;2&#49692;&#54872;&#46020;&#47196;\&#44228;&#49328;&#49436;\2&#44277;&#44396;&#44368;&#47049;&#51204;&#50517;&#44053;&#5461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608;&#52380;&#51068;&#5094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13\sj13\end\&#50672;&#51228;&#44256;&#46321;&#54617;&#44368;\&#49892;&#49884;\&#50672;&#51228;&#44256;&#46321;&#54617;&#44368;2003.02\&#45236;&#50669;&#49436;\&#51204;&#44592;\Book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97BUN\DANG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moonsan\hwp\My%20Documents\esc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3-ssiwoo\&#51060;&#51648;&#53580;&#53356;\2018&#45380;%20&#51089;&#50629;&#48169;\5&#50900;%20&#51089;&#50629;&#48169;\&#48512;&#44305;&#50668;&#44256;%20&#44553;&#49885;&#49548;%20&#48143;%20&#45796;&#47785;&#51201;&#44053;&#45817;%20&#51613;&#52629;&#44277;&#49324;-&#51221;&#48372;&#53685;&#49888;,&#49548;&#48169;\&#51204;&#44592;&#45236;&#50669;&#49436;-&#48512;&#54217;&#49436;&#51473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44397;\C\My%20Documents\&#51648;&#51473;&#51456;&#44277;&#51221;&#49328;\95016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2\d\LKH\EX-DATE\PROJECT\225-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1032;&#49437;\&#47196;&#52972;%20&#46356;&#49828;&#53356;%20(d)\Documents%20and%20Settings\Administrator\My%20Documents\&#51204;&#44592;&#51088;&#47308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eunsoo\c\&#54620;&#44397;&#51204;&#47141;\&#51473;&#48512;&#51648;&#51216;\&#52384;&#44264;\&#44417;&#51221;&#47196;%201&#50808;%2060&#44060;&#49548;%20&#47785;&#4719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51473;&#50521;&#49440;&#51648;&#54217;&#50669;&#50808;\Hwp\&#52280;&#44256;&#45236;&#50669;\&#44160;&#49688;&#44256;&#45800;&#44032;&#49328;&#52636;&#49436;\&#45800;&#44032;&#49328;&#52636;&#49436;4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2008&#51089;&#50629;&#48169;\&#49436;&#48512;&#50668;&#49457;&#54924;&#44288;(&#52572;&#51333;1)\04.&#51089;&#50629;&#46020;&#47732;\C.&#50808;&#48512;&#46020;&#47732;\04.&#47924;&#45824;&#51109;&#52824;\2008&#45380;02&#50900;27&#51068;\897-&#49436;&#48512;&#50668;&#49457;&#54924;&#44288;-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1\&#49884;&#47549;&#46020;&#49436;&#44288;&#44053;&#45817;\TOT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1221;&#54785;\d\2_&#51221;&#54785;&#51089;&#50629;&#48169;(2004)\1_&#51652;&#50864;&#44148;&#52629;\&#49457;&#45224;&#45432;&#51064;&#48373;&#51648;&#54924;&#44288;\00_final&#54872;(1004)\&#47928;&#49436;\WORK\&#44277;&#48512;&#48169;\&#51204;&#44592;&#44228;&#49328;&#4943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44608;&#50857;&#44592;\&#50641;&#49472;\GUMI4B2\&#44396;&#48120;4&#45800;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&#44592;&#53440;/&#52384;&#4454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1652;&#51452;&#50864;&#54924;\&#53664;&#52384;&#51032;&#4728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99-05-10-&#49436;&#50872;&#45824;&#44288;&#47144;(&#45236;&#50669;&#49436;-1&#49688;&#51221;&#51473;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&#44305;&#51452;&#50948;&#49373;%20&#51652;&#51077;&#47196;\&#50696;&#49328;&#49436;\&#50696;&#49328;\&#44032;&#47196;&#46321;&#44277;&#49324;\Y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5\&#47196;&#52972;%20&#46356;&#49828;&#53356;%20(d)\&#51089;&#50629;\&#49457;&#44284;&#54408;-9\&#48512;&#49328;&#49884;%20&#54616;&#49688;&#44288;&#44144;\&#50696;&#49328;1210\&#51068;&#50948;&#45824;&#44032;\Yesil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REWORK\07-&#50864;&#47532;&#49444;&#44228;\04-&#44608;&#54644;18&#44060;&#50669;&#49324;(040221)\02-&#47928;&#49436;\&#51452;&#44277;&#5110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44221;&#54840;&#50644;&#51648;&#45768;&#50612;&#47553;\2014&#45380;\12.&#51473;1&#46041;%20&#44397;&#44277;&#47549;%20&#50612;&#47536;&#51060;&#51665;\140701%20&#44148;&#52629;&#45236;&#50669;\&#51089;&#50629;\&#49457;&#44284;&#54408;-9\&#48512;&#49328;&#49884;%20&#54616;&#49688;&#44288;&#44144;\&#50696;&#49328;1210\&#51068;&#50948;&#45824;&#44032;\Yesil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&#53456;&#51652;&#45840;\&#53664;&#52384;&#51032;&#4728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1.&#47609;&#50516;&#44144;&#44288;&#4714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9688;\D\KHS\&#54617;&#44368;&#48324;\&#47564;&#45909;&#44256;\&#53685;&#49888;&#45236;&#50669;&#49436;(&#52488;.&#51473;.&#44256;.99.11)&#48376;&#52397;&#5085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0.&#51064;&#52380;&#44397;&#51228;&#44277;&#54637;&#52384;&#46020;\1.&#44608;&#54252;&#44277;&#54637;&#51221;&#44144;&#51109;\2.&#44228;&#49328;&#49436;\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2000\R-6&#54840;&#49440;&#46020;&#47196;\Fin-5-4\&#50696;&#49328;&#49436;\&#45800;&#50948;&#49688;&#47049;\R-&#44305;&#51452;&#50948;&#49373;%20&#51652;&#51077;&#47196;\&#50696;&#49328;&#49436;\&#45800;&#50948;&#49688;&#47049;\UNIT-Q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project-2\020902\04-&#48169;&#51060;&#46041;&#50724;&#54588;&#49828;&#53588;(020909)\&#44228;&#49328;&#49436;(0909)\&#51204;&#44592;&#44228;&#49328;&#49436;-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1676;&#46497;&#52980;\C\My%20Documents\dacom\&#50896;&#51452;~&#51228;&#52380;\&#50896;&#51452;&#52572;&#51333;\&#44277;&#53685;&#51088;&#47308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56;&#50577;&#44288;&#5111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93;&#51652;\&#51648;&#51109;&#51060;&#51204;\TEMP\&#51221;&#49328;(10.1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&#51473;&#44228;&#49548;&#4816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(&#51204;&#49440;&#44288;)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HLOTUS\9801J\OUT\Y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756;&#49689;\C\xls\1\Documents\xls\&#50689;&#44148;&#52629;(&#45432;&#51064;&#51221;&#49888;&#52629;&#44277;&#49324;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320;&#49437;\D\&#44592;&#51316;&#51088;&#47308;\&#44608;&#54952;&#51652;\&#53664;&#50864;&#44148;&#52629;\&#50672;&#49688;&#44396;&#48372;&#44148;&#49548;\&#50976;&#54620;&#49437;&#52264;&#51109;&#45784;&#51089;&#50629;\&#48320;&#44221;&#54980;\&#47928;&#49436;\&#50672;&#49688;&#44396;&#48372;&#44148;&#4954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35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3\piii450\PROJECT-\EX-DATE\DATA\PRO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bbory\&#48148;&#53461;%20&#54868;&#47732;\Documents%20and%20Settings\Administrator\&#48148;&#53461;%20&#54868;&#47732;\&#49352;%20&#54260;&#45908;\&#51116;&#49569;&#52488;\&#51116;&#49569;2&#52488;&#45236;&#50669;&#49436;(&#52572;&#51333;)-C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My%20Documents\KHDATA\&#44288;&#47532;&#52397;\&#51652;&#51452;&#50864;&#54924;\&#53664;&#52384;&#51032;&#4728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hyowon/&#51012;&#51648;&#47196;3&#44032;&#50669;&#50808;2&#44060;&#50669;&#45257;&#48169;&#44277;&#49324;(AFC)/&#49688;&#47049;&#51665;&#44228;&#54364;/&#49688;&#47049;&#51665;&#44228;&#54364;/&#51012;&#51648;&#47196;3&#44032;(2)&#49688;&#47049;&#51665;&#44228;&#54364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hyowon/&#51012;&#51648;&#47196;3&#44032;&#50669;&#50808;2&#44060;&#50669;&#45257;&#48169;&#44277;&#49324;(AFC)/&#49688;&#47049;&#51665;&#44228;&#54364;/&#49688;&#47049;&#51665;&#44228;&#54364;/&#51012;&#51648;&#47196;3&#44032;(3)&#49688;&#47049;&#51665;&#44228;&#5436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9444;&#44228;&#49436;\&#49688;&#47785;&#51068;&#509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689;&#44288;\&#51089;&#50629;&#54260;&#45908;\backup1\2001&#45380;\&#49888;&#50900;&#52397;&#49548;&#45380;&#47928;&#54868;&#49468;&#53552;\&#45236;&#50669;&#49436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PGIS_3598\NDIS_DESIGN\Design_Map\05101786\359520060582\&#44288;&#45236;%20&#51200;&#50517;&#47592;&#54848;%20&#52397;&#49548;%20&#48143;%20&#51216;&#44160;&#44277;&#49324;(&#49444;&#44228;&#51088;&#47308;)-&#50896;&#48376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pjt-2002\&#54217;&#54868;&#51032;&#45840;\&#50696;&#49328;&#49436;(&#51068;&#50948;&#45824;&#44032;,&#45840;)\&#49444;&#44228;&#48320;&#44221;(&#44397;&#51088;)\&#44397;&#51088;&#48320;&#44221;&#53685;&#49888;\13&#52264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689;&#44288;\&#51089;&#50629;&#54260;&#45908;\Program%20Files\AutoCAD%20R14\&#49892;&#49884;\&#49569;&#46972;&#52488;&#46321;&#54617;&#44368;\&#45236;&#50669;&#49436;\&#49569;&#46972;&#52488;&#51473;&#54617;&#44368;(final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-ing/&#49888;&#44600;&#44277;&#50896;(&#49688;&#51088;&#50896;)/030221&#49900;&#51032;&#51312;&#52824;&#44208;&#44284;&#54801;&#51032;/&#49688;&#51088;&#50896;/&#44396;&#48120;&#45236;&#50669;/&#51204;&#52404;&#48516;(h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-ing/&#49888;&#44600;&#44277;&#50896;(&#49688;&#51088;&#50896;)/&#44396;&#48120;/&#51204;&#52404;&#48516;(h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k3com\d\Work2011\03-&#50745;&#51652;&#44400;&#52397;-&#52828;&#54872;&#44221;&#44256;&#54952;&#50984;%20&#46020;&#47196;&#51312;&#47749;%20&#51221;&#48708;%20&#48143;%20&#50976;&#51648;&#44288;&#47532;&#49324;&#50629;\03-&#52572;&#51333;&#46020;&#49436;-0329&#51068;\000-&#46020;&#47196;&#51312;&#47749;%20&#50976;&#51648;&#44288;&#47532;&#49324;&#50629;(&#51204;&#52404;-&#52572;&#51333;&#50500;&#45784;%20&#52280;&#44256;&#50857;)\02-&#45236;&#50669;&#49436;\01-&#51204;&#44592;&#44277;&#49324;\WINDOWS\&#48148;&#53461;%20&#54868;&#47732;\GNG\9&#44277;&#44396;\&#50868;&#48152;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689;&#44288;\&#51089;&#50629;&#54260;&#45908;\PROJEC99\SONGB\new\&#49457;&#48513;&#45236;&#50669;&#49436;(&#51333;&#54633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REWORK\07-&#50864;&#47532;&#49444;&#44228;\04-&#44608;&#54644;18&#44060;&#50669;&#49324;(040221)\02-&#47928;&#49436;\&#44053;&#48320;,&#54217;&#44053;,&#48520;&#50516;,&#49340;&#51221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IWOOK\&#50641;&#49828;&#54252;\hb\&#49340;&#49328;1&#51648;&#44396;(&#49892;&#49884;)\&#51452;&#44277;&#49688;&#47049;\&#51068;&#50948;&#45824;&#44032;980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k8com\d\work\&#51648;&#54616;&#52384;\&#47708;&#48155;&#51008;&#44163;\2006&#45380;\&#44608;&#50857;&#54840;&#50472;\&#45236;&#50669;&#49436;-0726\&#44277;&#45909;&#51068;&#50948;&#45824;&#44032;-&#52572;&#5133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345;&#47168;&#44277;&#49324;\&#48324;&#50612;&#44257;,&#46041;&#45224;&#44148;&#45328;&#47785;&#44148;&#47932;&#52384;&#44144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44221;&#54840;&#50644;&#51648;&#45768;&#50612;&#47553;\2014&#45380;\12.&#51473;1&#46041;%20&#44397;&#44277;&#47549;%20&#50612;&#47536;&#51060;&#51665;\140701%20&#44148;&#52629;&#45236;&#50669;\&#54980;&#45768;com\project\2003\&#50504;&#46041;&#54840;&#48152;\excel\BID\&#50896;&#51221;&#50864;&#51221;\&#50896;&#51221;&#50864;&#51221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SOFFICE\HEXCEL\&#51204;&#52384;\&#51613;&#49328;&#48320;&#4422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\&#47196;&#52972;%20&#46356;&#49828;&#53356;%20(d)\&#54980;&#45768;com\project\2003\&#50504;&#46041;&#54840;&#48152;\excel\BID\&#50896;&#51221;&#50864;&#51221;\&#50896;&#51221;&#50864;&#51221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5\&#47196;&#52972;%20&#46356;&#49828;&#53356;%20(d)\&#54980;&#45768;com\project\2003\&#50504;&#46041;&#54840;&#48152;\excel\BID\&#50896;&#51221;&#50864;&#51221;\&#50896;&#51221;&#50864;&#5122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B\SEBANG\INCHON\ELEC\DAT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Chol2000\DOWN\kim\&#51105;&#44204;&#51201;\ESC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-1\shareddocs\&#50577;&#49885;\&#44053;&#46041;&#51648;&#51216;\&#49444;&#44228;&#51221;&#49328;\&#45800;&#44032;&#51221;&#49328;(2001)\&#50577;&#49885;\&#51648;&#51473;&#51221;&#49328;\95016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56;&#44277;&#49436;&#47448;\&#44592;&#49457;&#44256;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&#50872;&#53944;&#46972;&#45367;%202002\&#51648;&#51088;&#52404;\&#48393;&#49440;&#53469;&#51648;-&#50857;&#49440;ic&#46020;&#47196;(01.30&#51077;&#52272;f)\&#50641;&#49472;data\&#45800;&#51648;\&#44257;&#48152;&#51221;&#51648;&#4439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07\&#44277;&#50976;\My%20Documents\&#45236;&#5066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&#45380;&#44221;&#50896;\7,&#44221;&#50896;(&#44288;&#47532;&#48512;)\WIN95\&#48148;&#53461;%20&#54868;&#47732;\My%20Documents\&#50672;&#49845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8d9c0a9c8b\&#47196;&#52972;%20&#46356;&#49828;&#53356;%20(c)\My%20Documents\&#53456;&#51652;&#45840;\&#53664;&#52384;&#51032;&#4728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ng\c\My%20Documents\&#51064;&#52380;&#44277;&#54637;\&#49892;&#54665;&#45236;&#50669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\&#48148;&#53461;%20&#54868;&#47732;\&#49468;&#53568;&#51473;\&#51204;&#44592;&#45236;&#50669;&#49436;\&#51204;&#44592;&#44288;&#445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OR2\2&#52264;&#48320;&#44221;\2&#52264;1&#52264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2-&#51109;&#48124;\work\PROJECT\2005\&#45208;&#51064;\&#51652;&#51452;&#49440;&#49324;&#48149;&#47932;&#44288;\&#45236;&#50669;&#49436;\Documents%20and%20Settings\&#48149;&#49457;&#49688;\&#48148;&#53461;%20&#54868;&#47732;\&#49468;&#53568;&#52488;(&#51204;&#44592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221;&#48513;&#51204;&#44592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lim\d\HLOTUS\9801J\OUT\Y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832;&#44257;3\&#48516;&#45817;&#51204;&#44592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ylee\d\&#54620;&#44397;&#51204;&#47141;\&#51473;&#48512;&#51648;&#51216;\&#46020;&#49353;&#51089;&#50629;\2003&#45380;\&#44417;&#51221;&#47196;&#50808;1&#51648;&#49345;&#44592;&#44592;&#46020;&#49353;&#44277;&#49324;-1(2003&#45380;%20&#51456;&#44277;&#49436;&#47448;&#48317;&#46356;&#51088;&#51064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1008;&#51452;\d\&#51652;&#50864;&#53552;&#45328;(&#47924;&#52492;-&#44417;&#54217;)\&#53552;&#45328;\&#50696;&#49328;&#49436;\1&#53552;&#45328;\A&#51116;&#48169;&#49569;%20&#44204;&#51201;&#49436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-1\shareddocs\&#50577;&#49885;\&#44053;&#46041;&#51648;&#51216;\&#49444;&#44228;&#51221;&#49328;\&#45800;&#44032;&#50577;&#49885;\&#44288;&#47196;\&#44288;&#47196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08;&#51088;\C\&#44608;&#51008;&#51088;\&#49688;&#46020;&#49324;&#50629;\xls\&#44592;&#53440;\&#51109;&#48708;&#44277;&#4932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a"/>
      <sheetName val="#REF"/>
      <sheetName val="일위대가"/>
      <sheetName val="집계"/>
      <sheetName val="예산서"/>
      <sheetName val="Sheet4"/>
      <sheetName val="Sheet5"/>
      <sheetName val="실행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현설(토.철)"/>
      <sheetName val="토공견적서"/>
      <sheetName val="철콘견적서"/>
      <sheetName val="우수공"/>
      <sheetName val="EP06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재료비"/>
      <sheetName val="관재료"/>
      <sheetName val="노임단가"/>
      <sheetName val="간지"/>
      <sheetName val="이토변실"/>
      <sheetName val="단위단가"/>
      <sheetName val="테이블"/>
      <sheetName val="도근좌표"/>
      <sheetName val="터파기및재료"/>
      <sheetName val="변수값"/>
      <sheetName val="중기상차"/>
      <sheetName val="AS복구"/>
      <sheetName val="중기터파기"/>
      <sheetName val="4차원가계산서"/>
      <sheetName val="정보"/>
      <sheetName val="미드수량"/>
      <sheetName val="Tool"/>
      <sheetName val="시설장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원가"/>
      <sheetName val="집계표"/>
      <sheetName val="내역서"/>
      <sheetName val="산출표지"/>
      <sheetName val="공량산출서"/>
      <sheetName val="수량산출근거"/>
      <sheetName val="기초목록"/>
      <sheetName val="관급표지"/>
      <sheetName val="관급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1</v>
          </cell>
          <cell r="B2" t="str">
            <v>조명기구 철거</v>
          </cell>
          <cell r="C2" t="str">
            <v>매입 FL 2/32W (300*1200)</v>
          </cell>
          <cell r="D2" t="str">
            <v>EA</v>
          </cell>
          <cell r="E2">
            <v>0.31</v>
          </cell>
          <cell r="F2">
            <v>1</v>
          </cell>
          <cell r="G2" t="str">
            <v>전품 5-25</v>
          </cell>
          <cell r="H2">
            <v>2</v>
          </cell>
        </row>
        <row r="3">
          <cell r="A3">
            <v>2</v>
          </cell>
          <cell r="B3" t="str">
            <v>조명기구 철거</v>
          </cell>
          <cell r="C3" t="str">
            <v>칠판등 FL 1/32W</v>
          </cell>
          <cell r="D3" t="str">
            <v>EA</v>
          </cell>
          <cell r="E3">
            <v>0.15</v>
          </cell>
          <cell r="F3">
            <v>1</v>
          </cell>
          <cell r="G3" t="str">
            <v>전품 5-25</v>
          </cell>
          <cell r="H3">
            <v>1.4</v>
          </cell>
        </row>
        <row r="4">
          <cell r="A4">
            <v>3</v>
          </cell>
          <cell r="B4" t="str">
            <v>조명기구 철거</v>
          </cell>
          <cell r="C4" t="str">
            <v>다운라이트 20W</v>
          </cell>
          <cell r="D4" t="str">
            <v>EA</v>
          </cell>
          <cell r="E4">
            <v>0.245</v>
          </cell>
          <cell r="F4">
            <v>1</v>
          </cell>
          <cell r="G4" t="str">
            <v>전품 5-24</v>
          </cell>
          <cell r="H4">
            <v>0.3</v>
          </cell>
        </row>
        <row r="5">
          <cell r="A5">
            <v>4</v>
          </cell>
          <cell r="B5" t="str">
            <v>조명기구 철거</v>
          </cell>
          <cell r="C5" t="str">
            <v>매입 FL 2/20W (300*600)</v>
          </cell>
          <cell r="D5" t="str">
            <v>EA</v>
          </cell>
          <cell r="E5">
            <v>0.27300000000000002</v>
          </cell>
          <cell r="F5">
            <v>1</v>
          </cell>
          <cell r="G5" t="str">
            <v>전품 5-25</v>
          </cell>
          <cell r="H5">
            <v>1.4</v>
          </cell>
        </row>
        <row r="6">
          <cell r="A6">
            <v>5</v>
          </cell>
          <cell r="B6" t="str">
            <v>조명기구 철거</v>
          </cell>
          <cell r="C6" t="str">
            <v>직부 FL 2/32W (300*1200)</v>
          </cell>
          <cell r="D6" t="str">
            <v>EA</v>
          </cell>
          <cell r="E6">
            <v>0.189</v>
          </cell>
          <cell r="F6">
            <v>1</v>
          </cell>
          <cell r="G6" t="str">
            <v>전품 5-25</v>
          </cell>
          <cell r="H6">
            <v>2</v>
          </cell>
        </row>
        <row r="7">
          <cell r="A7">
            <v>6</v>
          </cell>
          <cell r="B7" t="str">
            <v>조명기구 철거</v>
          </cell>
          <cell r="C7" t="str">
            <v>직부 FL 2/20W (300*600)</v>
          </cell>
          <cell r="D7" t="str">
            <v>EA</v>
          </cell>
          <cell r="E7">
            <v>0.17699999999999999</v>
          </cell>
          <cell r="F7">
            <v>1</v>
          </cell>
          <cell r="G7" t="str">
            <v>전품 5-25</v>
          </cell>
          <cell r="H7">
            <v>1.4</v>
          </cell>
        </row>
        <row r="8">
          <cell r="A8">
            <v>7</v>
          </cell>
          <cell r="B8" t="str">
            <v>조명기구 철거</v>
          </cell>
          <cell r="C8" t="str">
            <v>원형직부등 EL 20W 센서</v>
          </cell>
          <cell r="D8" t="str">
            <v>EA</v>
          </cell>
          <cell r="E8">
            <v>0.18</v>
          </cell>
          <cell r="F8">
            <v>1</v>
          </cell>
          <cell r="G8" t="str">
            <v>전품 5-24</v>
          </cell>
          <cell r="H8">
            <v>0.3</v>
          </cell>
        </row>
        <row r="9">
          <cell r="A9">
            <v>8</v>
          </cell>
          <cell r="B9" t="str">
            <v>조명기구 철거</v>
          </cell>
          <cell r="C9" t="str">
            <v>방습직부 FL 2/32W (300*1200)</v>
          </cell>
          <cell r="D9" t="str">
            <v>EA</v>
          </cell>
          <cell r="E9">
            <v>0.189</v>
          </cell>
          <cell r="F9">
            <v>1</v>
          </cell>
          <cell r="G9" t="str">
            <v>전품 5-25</v>
          </cell>
          <cell r="H9">
            <v>2</v>
          </cell>
        </row>
        <row r="10">
          <cell r="A10">
            <v>9</v>
          </cell>
          <cell r="B10" t="str">
            <v>조명기구 철거</v>
          </cell>
          <cell r="C10" t="str">
            <v>매입 FL 3/20W (600*600)</v>
          </cell>
          <cell r="D10" t="str">
            <v>EA</v>
          </cell>
          <cell r="E10">
            <v>0.33500000000000002</v>
          </cell>
          <cell r="F10">
            <v>1</v>
          </cell>
          <cell r="G10" t="str">
            <v>전품 5-25</v>
          </cell>
          <cell r="H10">
            <v>1.4</v>
          </cell>
        </row>
        <row r="11">
          <cell r="A11">
            <v>10</v>
          </cell>
          <cell r="B11" t="str">
            <v>조명기구 철거</v>
          </cell>
          <cell r="C11" t="str">
            <v>원형직부등 EL 20W</v>
          </cell>
          <cell r="D11" t="str">
            <v>EA</v>
          </cell>
          <cell r="E11">
            <v>0.18</v>
          </cell>
          <cell r="F11">
            <v>1</v>
          </cell>
          <cell r="G11" t="str">
            <v>전품 5-24</v>
          </cell>
          <cell r="H11">
            <v>0.3</v>
          </cell>
        </row>
        <row r="12">
          <cell r="A12">
            <v>11</v>
          </cell>
          <cell r="B12" t="str">
            <v>조명기구 철거</v>
          </cell>
          <cell r="C12" t="str">
            <v>벽부등 EL 20W</v>
          </cell>
          <cell r="D12" t="str">
            <v>EA</v>
          </cell>
          <cell r="E12">
            <v>0.15</v>
          </cell>
          <cell r="F12">
            <v>1</v>
          </cell>
          <cell r="G12" t="str">
            <v>전품 5-24</v>
          </cell>
          <cell r="H12">
            <v>0.3</v>
          </cell>
        </row>
        <row r="13">
          <cell r="A13">
            <v>12</v>
          </cell>
          <cell r="B13" t="str">
            <v>조명기구 철거</v>
          </cell>
          <cell r="C13" t="str">
            <v>직부 FL 1/20W (150*600)</v>
          </cell>
          <cell r="D13" t="str">
            <v>EA</v>
          </cell>
          <cell r="E13">
            <v>0.14099999999999999</v>
          </cell>
          <cell r="F13">
            <v>1</v>
          </cell>
          <cell r="G13" t="str">
            <v>전품 5-25</v>
          </cell>
          <cell r="H13">
            <v>0.7</v>
          </cell>
        </row>
        <row r="14">
          <cell r="A14">
            <v>13</v>
          </cell>
          <cell r="B14" t="str">
            <v>조명기구 철거</v>
          </cell>
          <cell r="C14" t="str">
            <v>직부 FL 1/32W (150*1200)</v>
          </cell>
          <cell r="D14" t="str">
            <v>EA</v>
          </cell>
          <cell r="E14">
            <v>0.15</v>
          </cell>
          <cell r="F14">
            <v>1</v>
          </cell>
          <cell r="G14" t="str">
            <v>전품 5-25</v>
          </cell>
          <cell r="H14">
            <v>1.4</v>
          </cell>
        </row>
        <row r="15">
          <cell r="A15">
            <v>14</v>
          </cell>
          <cell r="B15" t="str">
            <v>조명기구 철거 재설치</v>
          </cell>
          <cell r="C15" t="str">
            <v>매입 LED직관형 조명 (300*1200)</v>
          </cell>
          <cell r="D15" t="str">
            <v>EA</v>
          </cell>
          <cell r="E15">
            <v>0.24199999999999999</v>
          </cell>
          <cell r="F15">
            <v>1</v>
          </cell>
          <cell r="G15" t="str">
            <v>전품 5-25-2</v>
          </cell>
        </row>
        <row r="16">
          <cell r="A16" t="str">
            <v>A</v>
          </cell>
          <cell r="B16" t="str">
            <v>조명기구 신설</v>
          </cell>
          <cell r="C16" t="str">
            <v>매입 LED 40W (300*1200)</v>
          </cell>
          <cell r="D16" t="str">
            <v>EA</v>
          </cell>
          <cell r="E16">
            <v>0.24199999999999999</v>
          </cell>
          <cell r="F16">
            <v>1</v>
          </cell>
          <cell r="G16" t="str">
            <v>전품 5-25-2</v>
          </cell>
        </row>
        <row r="17">
          <cell r="A17" t="str">
            <v>B</v>
          </cell>
          <cell r="B17" t="str">
            <v>조명기구 신설</v>
          </cell>
          <cell r="C17" t="str">
            <v>칠판등 LED 15~25W</v>
          </cell>
          <cell r="D17" t="str">
            <v>EA</v>
          </cell>
          <cell r="E17">
            <v>0.11700000000000001</v>
          </cell>
          <cell r="F17">
            <v>1</v>
          </cell>
          <cell r="G17" t="str">
            <v>전품 5-25-2</v>
          </cell>
        </row>
        <row r="18">
          <cell r="A18" t="str">
            <v>C</v>
          </cell>
          <cell r="B18" t="str">
            <v>조명기구 신설</v>
          </cell>
          <cell r="C18" t="str">
            <v>다운라이트 LED 10~15W</v>
          </cell>
          <cell r="D18" t="str">
            <v>EA</v>
          </cell>
          <cell r="E18">
            <v>0.155</v>
          </cell>
          <cell r="F18">
            <v>1</v>
          </cell>
          <cell r="G18" t="str">
            <v>전품 5-25-2</v>
          </cell>
        </row>
        <row r="19">
          <cell r="A19" t="str">
            <v>D</v>
          </cell>
          <cell r="B19" t="str">
            <v>조명기구 신설</v>
          </cell>
          <cell r="C19" t="str">
            <v>매입 LED 20~25W (300*600)</v>
          </cell>
          <cell r="D19" t="str">
            <v>EA</v>
          </cell>
          <cell r="E19">
            <v>0.22700000000000001</v>
          </cell>
          <cell r="F19">
            <v>1</v>
          </cell>
          <cell r="G19" t="str">
            <v>전품 5-25</v>
          </cell>
        </row>
        <row r="20">
          <cell r="A20" t="str">
            <v>E</v>
          </cell>
          <cell r="B20" t="str">
            <v>조명기구 신설</v>
          </cell>
          <cell r="C20" t="str">
            <v>직부 LED 40W (300*1200)</v>
          </cell>
          <cell r="D20" t="str">
            <v>EA</v>
          </cell>
          <cell r="E20">
            <v>0.16300000000000001</v>
          </cell>
          <cell r="F20">
            <v>1</v>
          </cell>
          <cell r="G20" t="str">
            <v>전품 5-25-2</v>
          </cell>
        </row>
        <row r="21">
          <cell r="A21" t="str">
            <v>F</v>
          </cell>
          <cell r="B21" t="str">
            <v>조명기구 신설</v>
          </cell>
          <cell r="C21" t="str">
            <v>직부 LED 25W (300*600)</v>
          </cell>
          <cell r="D21" t="str">
            <v>EA</v>
          </cell>
          <cell r="E21">
            <v>0.13800000000000001</v>
          </cell>
          <cell r="F21">
            <v>1</v>
          </cell>
          <cell r="G21" t="str">
            <v>전품 5-25-2</v>
          </cell>
        </row>
        <row r="22">
          <cell r="A22" t="str">
            <v>G</v>
          </cell>
          <cell r="B22" t="str">
            <v>조명기구 신설</v>
          </cell>
          <cell r="C22" t="str">
            <v>원형직부등 LED 10W 센서</v>
          </cell>
          <cell r="D22" t="str">
            <v>EA</v>
          </cell>
          <cell r="E22">
            <v>0.11700000000000001</v>
          </cell>
          <cell r="F22">
            <v>1</v>
          </cell>
          <cell r="G22" t="str">
            <v>전품 5-25-2</v>
          </cell>
          <cell r="I22">
            <v>59091</v>
          </cell>
        </row>
        <row r="23">
          <cell r="A23" t="str">
            <v>H</v>
          </cell>
          <cell r="B23" t="str">
            <v>조명기구 신설</v>
          </cell>
          <cell r="C23" t="str">
            <v>방습직부 LED 40W</v>
          </cell>
          <cell r="D23" t="str">
            <v>EA</v>
          </cell>
          <cell r="E23">
            <v>0.16300000000000001</v>
          </cell>
          <cell r="F23">
            <v>1</v>
          </cell>
          <cell r="G23" t="str">
            <v>전품 5-25-2</v>
          </cell>
          <cell r="I23">
            <v>95455</v>
          </cell>
        </row>
        <row r="24">
          <cell r="A24" t="str">
            <v>I</v>
          </cell>
          <cell r="B24" t="str">
            <v>조명기구 신설</v>
          </cell>
          <cell r="C24" t="str">
            <v>매입 LED 40W (600*600)</v>
          </cell>
          <cell r="D24" t="str">
            <v>EA</v>
          </cell>
          <cell r="E24">
            <v>0.24199999999999999</v>
          </cell>
          <cell r="F24">
            <v>1</v>
          </cell>
          <cell r="G24" t="str">
            <v>전품 5-25-2</v>
          </cell>
          <cell r="I24">
            <v>62728</v>
          </cell>
        </row>
        <row r="25">
          <cell r="A25" t="str">
            <v>J</v>
          </cell>
          <cell r="B25" t="str">
            <v>조명기구 신설</v>
          </cell>
          <cell r="C25" t="str">
            <v>원형직부등 LED 10W</v>
          </cell>
          <cell r="D25" t="str">
            <v>EA</v>
          </cell>
          <cell r="E25">
            <v>0.11700000000000001</v>
          </cell>
          <cell r="F25">
            <v>1</v>
          </cell>
          <cell r="G25" t="str">
            <v>전품 5-25-2</v>
          </cell>
          <cell r="I25">
            <v>38182</v>
          </cell>
        </row>
        <row r="26">
          <cell r="A26" t="str">
            <v>K</v>
          </cell>
          <cell r="B26" t="str">
            <v>조명기구 신설</v>
          </cell>
          <cell r="C26" t="str">
            <v>벽부등 LED 15W</v>
          </cell>
          <cell r="D26" t="str">
            <v>EA</v>
          </cell>
          <cell r="E26">
            <v>0.15</v>
          </cell>
          <cell r="F26">
            <v>1</v>
          </cell>
          <cell r="G26" t="str">
            <v>전품 5-24</v>
          </cell>
          <cell r="I26">
            <v>71819</v>
          </cell>
        </row>
        <row r="27">
          <cell r="A27" t="str">
            <v>L</v>
          </cell>
          <cell r="B27" t="str">
            <v>조명기구 신설</v>
          </cell>
          <cell r="C27" t="str">
            <v>간접조명용 LED 8~15W</v>
          </cell>
          <cell r="D27" t="str">
            <v>EA</v>
          </cell>
          <cell r="E27">
            <v>0.11700000000000001</v>
          </cell>
          <cell r="F27">
            <v>1</v>
          </cell>
          <cell r="G27" t="str">
            <v>전품 5-25-2</v>
          </cell>
          <cell r="I27">
            <v>45455</v>
          </cell>
        </row>
        <row r="28">
          <cell r="A28" t="str">
            <v>M</v>
          </cell>
          <cell r="B28" t="str">
            <v>조명기구 신설</v>
          </cell>
          <cell r="C28" t="str">
            <v>간접조명용 LED 18~25W</v>
          </cell>
          <cell r="D28" t="str">
            <v>EA</v>
          </cell>
          <cell r="E28">
            <v>0.11700000000000001</v>
          </cell>
          <cell r="F28">
            <v>1</v>
          </cell>
          <cell r="G28" t="str">
            <v>전품 5-25-2</v>
          </cell>
          <cell r="I28">
            <v>58728</v>
          </cell>
        </row>
        <row r="29">
          <cell r="A29" t="str">
            <v>N</v>
          </cell>
          <cell r="B29" t="str">
            <v>보안등  및 투광기 램프 교체</v>
          </cell>
          <cell r="C29" t="str">
            <v>LED 60W</v>
          </cell>
          <cell r="D29" t="str">
            <v>EA</v>
          </cell>
          <cell r="E29">
            <v>0.05</v>
          </cell>
          <cell r="F29">
            <v>1</v>
          </cell>
          <cell r="G29" t="str">
            <v>전품 5-26</v>
          </cell>
          <cell r="I29">
            <v>120000</v>
          </cell>
        </row>
        <row r="30">
          <cell r="A30" t="str">
            <v>CC</v>
          </cell>
          <cell r="B30" t="str">
            <v>조명기구 고재처리</v>
          </cell>
          <cell r="C30" t="str">
            <v>2/32W:2KG, 2/20W,1/32W:1.4KG,다운:0.3KG, 투광기:1.5KG</v>
          </cell>
          <cell r="D30" t="str">
            <v>KG</v>
          </cell>
          <cell r="I30">
            <v>-250</v>
          </cell>
        </row>
        <row r="31">
          <cell r="A31" t="str">
            <v>DD</v>
          </cell>
          <cell r="B31" t="str">
            <v>1종금속제가요전선관</v>
          </cell>
          <cell r="C31" t="str">
            <v>16mm 고장력비방수</v>
          </cell>
          <cell r="D31" t="str">
            <v>M</v>
          </cell>
          <cell r="E31">
            <v>4.3999999999999997E-2</v>
          </cell>
          <cell r="F31">
            <v>0.9</v>
          </cell>
          <cell r="G31" t="str">
            <v>전품 5-1</v>
          </cell>
          <cell r="I31">
            <v>392</v>
          </cell>
        </row>
        <row r="32">
          <cell r="A32" t="str">
            <v>EE</v>
          </cell>
          <cell r="B32" t="str">
            <v>내열비닐절연전선</v>
          </cell>
          <cell r="C32" t="str">
            <v>HFIX 2.5㎟</v>
          </cell>
          <cell r="D32" t="str">
            <v>M</v>
          </cell>
          <cell r="E32">
            <v>0.01</v>
          </cell>
          <cell r="F32">
            <v>0.9</v>
          </cell>
          <cell r="G32" t="str">
            <v>전품 5-10</v>
          </cell>
          <cell r="I32">
            <v>301</v>
          </cell>
        </row>
        <row r="33">
          <cell r="A33" t="str">
            <v>FF</v>
          </cell>
          <cell r="B33" t="str">
            <v>텍스</v>
          </cell>
          <cell r="C33" t="str">
            <v>300*600</v>
          </cell>
          <cell r="D33" t="str">
            <v>EA</v>
          </cell>
          <cell r="E33">
            <v>0.01</v>
          </cell>
          <cell r="F33">
            <v>1</v>
          </cell>
          <cell r="I33">
            <v>1250</v>
          </cell>
        </row>
        <row r="34">
          <cell r="A34" t="str">
            <v>ㄱ</v>
          </cell>
          <cell r="B34" t="str">
            <v>롤스크린 철거후재설치</v>
          </cell>
          <cell r="C34" t="str">
            <v>노출 전동</v>
          </cell>
          <cell r="D34" t="str">
            <v>EA</v>
          </cell>
          <cell r="E34">
            <v>1</v>
          </cell>
          <cell r="F34">
            <v>1</v>
          </cell>
          <cell r="G34" t="str">
            <v>통품 7-11-5</v>
          </cell>
        </row>
        <row r="35">
          <cell r="A35" t="str">
            <v>ㄴ</v>
          </cell>
          <cell r="B35" t="str">
            <v>빔프로젝트 철거후 재설치</v>
          </cell>
          <cell r="C35" t="str">
            <v>천장노출고정형</v>
          </cell>
          <cell r="D35" t="str">
            <v>EA</v>
          </cell>
          <cell r="E35">
            <v>0.4</v>
          </cell>
          <cell r="F35">
            <v>1</v>
          </cell>
          <cell r="G35" t="str">
            <v>통품 7-11-1</v>
          </cell>
        </row>
        <row r="36">
          <cell r="A36" t="str">
            <v>ㄷ</v>
          </cell>
          <cell r="B36" t="str">
            <v>천장스피커 철거후 신설</v>
          </cell>
          <cell r="C36" t="str">
            <v>매입 사각 3W</v>
          </cell>
          <cell r="D36" t="str">
            <v>EA</v>
          </cell>
          <cell r="E36">
            <v>0.21</v>
          </cell>
          <cell r="F36">
            <v>0.8</v>
          </cell>
          <cell r="G36" t="str">
            <v>통품 7-11-5</v>
          </cell>
          <cell r="I36">
            <v>11900</v>
          </cell>
        </row>
        <row r="37">
          <cell r="A37" t="str">
            <v>ㄹ</v>
          </cell>
          <cell r="B37" t="str">
            <v>CCTV 돔 카메라 철거후 재설치</v>
          </cell>
          <cell r="D37" t="str">
            <v>EA</v>
          </cell>
          <cell r="E37">
            <v>0.2</v>
          </cell>
          <cell r="F37">
            <v>1</v>
          </cell>
          <cell r="G37" t="str">
            <v>통품 9-2-1-1</v>
          </cell>
        </row>
        <row r="38">
          <cell r="A38" t="str">
            <v>ㅁ</v>
          </cell>
          <cell r="B38" t="str">
            <v>차동식감지기 철거후 신설</v>
          </cell>
          <cell r="D38" t="str">
            <v>EA</v>
          </cell>
          <cell r="E38">
            <v>0.13</v>
          </cell>
          <cell r="F38">
            <v>1</v>
          </cell>
          <cell r="G38" t="str">
            <v>전품 5-30</v>
          </cell>
          <cell r="I38">
            <v>3200</v>
          </cell>
        </row>
        <row r="39">
          <cell r="A39" t="str">
            <v>ㅂ</v>
          </cell>
          <cell r="B39" t="str">
            <v>유도표지 철거후 재설치</v>
          </cell>
          <cell r="C39" t="str">
            <v>천장고정</v>
          </cell>
          <cell r="D39" t="str">
            <v>EA</v>
          </cell>
          <cell r="E39">
            <v>0.15</v>
          </cell>
          <cell r="F39">
            <v>1</v>
          </cell>
          <cell r="G39" t="str">
            <v>전품 5-30</v>
          </cell>
        </row>
      </sheetData>
      <sheetData sheetId="8"/>
      <sheetData sheetId="9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전화회선 (2)"/>
      <sheetName val="표 지"/>
      <sheetName val="발전기(갑)"/>
      <sheetName val="발전기(을)"/>
      <sheetName val="변압기"/>
      <sheetName val="간 선"/>
      <sheetName val="일반부하"/>
      <sheetName val="동력부하"/>
      <sheetName val="조도 "/>
      <sheetName val="전화회선"/>
      <sheetName val="전관방송"/>
      <sheetName val="Macro(차단기)"/>
      <sheetName val="laroux1"/>
      <sheetName val="I一般比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현설(토.철)"/>
      <sheetName val="토공견적서"/>
      <sheetName val="철콘견적서"/>
      <sheetName val="data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현설(토.철)"/>
      <sheetName val="토공견적서"/>
      <sheetName val="철콘견적서"/>
      <sheetName val="#REF"/>
      <sheetName val="단가"/>
      <sheetName val="분전함신설"/>
      <sheetName val="접지1종"/>
      <sheetName val="입찰안"/>
      <sheetName val="요율"/>
      <sheetName val="차액보증"/>
      <sheetName val="내역서"/>
      <sheetName val="가도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COST"/>
      <sheetName val="산출0"/>
      <sheetName val="일위0"/>
    </sheetNames>
    <sheetDataSet>
      <sheetData sheetId="0" refreshError="1"/>
      <sheetData sheetId="1"/>
      <sheetData sheetId="2">
        <row r="2">
          <cell r="B2" t="str">
            <v>cost</v>
          </cell>
          <cell r="C2" t="str">
            <v>호표</v>
          </cell>
          <cell r="D2" t="str">
            <v>공          종</v>
          </cell>
          <cell r="E2" t="str">
            <v>품종 및 규격</v>
          </cell>
          <cell r="F2" t="str">
            <v>단위</v>
          </cell>
          <cell r="G2" t="str">
            <v>산        출        기        초</v>
          </cell>
          <cell r="AL2" t="str">
            <v>비  고</v>
          </cell>
        </row>
        <row r="3">
          <cell r="A3">
            <v>1</v>
          </cell>
          <cell r="C3">
            <v>1</v>
          </cell>
          <cell r="D3" t="str">
            <v>궤도횡단</v>
          </cell>
          <cell r="E3" t="str">
            <v>고자(0.8m)(Φ100x1)</v>
          </cell>
          <cell r="F3" t="str">
            <v>㎥</v>
          </cell>
          <cell r="AM3">
            <v>0</v>
          </cell>
          <cell r="AN3">
            <v>0</v>
          </cell>
        </row>
        <row r="4">
          <cell r="A4" t="str">
            <v>1-1</v>
          </cell>
          <cell r="B4">
            <v>541</v>
          </cell>
          <cell r="D4" t="str">
            <v>가. 재료비</v>
          </cell>
          <cell r="E4">
            <v>0</v>
          </cell>
          <cell r="F4">
            <v>0</v>
          </cell>
          <cell r="AM4">
            <v>0</v>
          </cell>
          <cell r="AN4">
            <v>0</v>
          </cell>
        </row>
        <row r="5">
          <cell r="A5" t="str">
            <v>1-2</v>
          </cell>
          <cell r="B5">
            <v>1</v>
          </cell>
          <cell r="D5" t="str">
            <v>PP헌마대</v>
          </cell>
          <cell r="E5" t="str">
            <v>60x100</v>
          </cell>
          <cell r="F5" t="str">
            <v>개</v>
          </cell>
          <cell r="V5" t="str">
            <v>=</v>
          </cell>
          <cell r="W5">
            <v>1.3</v>
          </cell>
          <cell r="AM5">
            <v>90</v>
          </cell>
          <cell r="AN5">
            <v>0</v>
          </cell>
        </row>
        <row r="6">
          <cell r="A6" t="str">
            <v>1-3</v>
          </cell>
          <cell r="B6">
            <v>542</v>
          </cell>
          <cell r="D6" t="str">
            <v>나. 노무비</v>
          </cell>
          <cell r="E6">
            <v>0</v>
          </cell>
          <cell r="F6">
            <v>0</v>
          </cell>
          <cell r="AM6">
            <v>0</v>
          </cell>
          <cell r="AN6">
            <v>0</v>
          </cell>
        </row>
        <row r="7">
          <cell r="B7">
            <v>523</v>
          </cell>
          <cell r="D7" t="str">
            <v>보통인부</v>
          </cell>
          <cell r="E7" t="str">
            <v>터파기</v>
          </cell>
          <cell r="F7" t="str">
            <v>인</v>
          </cell>
          <cell r="H7">
            <v>0.32</v>
          </cell>
          <cell r="I7" t="str">
            <v>x</v>
          </cell>
          <cell r="J7">
            <v>1</v>
          </cell>
          <cell r="V7" t="str">
            <v>=</v>
          </cell>
          <cell r="W7">
            <v>0.32</v>
          </cell>
          <cell r="Y7" t="str">
            <v>기본</v>
          </cell>
          <cell r="Z7" t="str">
            <v>x</v>
          </cell>
          <cell r="AA7" t="str">
            <v>토사량</v>
          </cell>
          <cell r="AL7" t="str">
            <v>건 3-1-2</v>
          </cell>
          <cell r="AM7">
            <v>40922</v>
          </cell>
          <cell r="AN7">
            <v>0</v>
          </cell>
        </row>
        <row r="8">
          <cell r="A8" t="str">
            <v/>
          </cell>
          <cell r="B8">
            <v>523</v>
          </cell>
          <cell r="D8" t="str">
            <v>보통인부</v>
          </cell>
          <cell r="E8" t="str">
            <v>되메우기</v>
          </cell>
          <cell r="F8" t="str">
            <v>인</v>
          </cell>
          <cell r="H8">
            <v>0.1</v>
          </cell>
          <cell r="I8" t="str">
            <v>x</v>
          </cell>
          <cell r="J8">
            <v>0.96</v>
          </cell>
          <cell r="V8" t="str">
            <v>=</v>
          </cell>
          <cell r="W8">
            <v>0.1</v>
          </cell>
          <cell r="Y8" t="str">
            <v>기본</v>
          </cell>
          <cell r="Z8" t="str">
            <v>x</v>
          </cell>
          <cell r="AA8" t="str">
            <v>토사량</v>
          </cell>
          <cell r="AM8">
            <v>40922</v>
          </cell>
          <cell r="AN8">
            <v>0</v>
          </cell>
        </row>
        <row r="9">
          <cell r="B9">
            <v>523</v>
          </cell>
          <cell r="D9" t="str">
            <v>보통인부</v>
          </cell>
          <cell r="E9" t="str">
            <v>잔토처리</v>
          </cell>
          <cell r="F9" t="str">
            <v>인</v>
          </cell>
          <cell r="H9">
            <v>0.2</v>
          </cell>
          <cell r="I9" t="str">
            <v>x</v>
          </cell>
          <cell r="J9">
            <v>0.04</v>
          </cell>
          <cell r="V9" t="str">
            <v>=</v>
          </cell>
          <cell r="W9">
            <v>0.01</v>
          </cell>
          <cell r="Y9" t="str">
            <v>기본</v>
          </cell>
          <cell r="Z9" t="str">
            <v>x</v>
          </cell>
          <cell r="AA9" t="str">
            <v>토사량</v>
          </cell>
          <cell r="AM9">
            <v>40922</v>
          </cell>
          <cell r="AN9">
            <v>0</v>
          </cell>
        </row>
        <row r="10">
          <cell r="B10">
            <v>523</v>
          </cell>
          <cell r="D10" t="str">
            <v>보통인부</v>
          </cell>
          <cell r="E10" t="str">
            <v>다지기</v>
          </cell>
          <cell r="F10" t="str">
            <v>인</v>
          </cell>
          <cell r="H10">
            <v>0.11</v>
          </cell>
          <cell r="I10" t="str">
            <v>x</v>
          </cell>
          <cell r="J10">
            <v>0.96</v>
          </cell>
          <cell r="V10" t="str">
            <v>=</v>
          </cell>
          <cell r="W10">
            <v>0.11</v>
          </cell>
          <cell r="Y10" t="str">
            <v>기본</v>
          </cell>
          <cell r="Z10" t="str">
            <v>x</v>
          </cell>
          <cell r="AA10" t="str">
            <v>토사량</v>
          </cell>
          <cell r="AL10" t="str">
            <v>건 3-2</v>
          </cell>
          <cell r="AM10">
            <v>40922</v>
          </cell>
          <cell r="AN10">
            <v>0</v>
          </cell>
        </row>
        <row r="11">
          <cell r="B11">
            <v>544</v>
          </cell>
          <cell r="D11" t="str">
            <v>소    계</v>
          </cell>
          <cell r="E11">
            <v>0</v>
          </cell>
          <cell r="F11">
            <v>0</v>
          </cell>
          <cell r="AM11">
            <v>0</v>
          </cell>
          <cell r="AN11">
            <v>0</v>
          </cell>
        </row>
        <row r="12">
          <cell r="A12" t="str">
            <v>1-4</v>
          </cell>
          <cell r="B12">
            <v>523</v>
          </cell>
          <cell r="D12" t="str">
            <v>보통인부</v>
          </cell>
          <cell r="E12">
            <v>0</v>
          </cell>
          <cell r="F12" t="str">
            <v>인</v>
          </cell>
          <cell r="V12" t="str">
            <v>=</v>
          </cell>
          <cell r="W12">
            <v>0.54</v>
          </cell>
          <cell r="AM12">
            <v>40922</v>
          </cell>
          <cell r="AN12">
            <v>0</v>
          </cell>
        </row>
        <row r="13">
          <cell r="AM13">
            <v>0</v>
          </cell>
          <cell r="AN13">
            <v>0</v>
          </cell>
        </row>
        <row r="14">
          <cell r="AM14">
            <v>0</v>
          </cell>
          <cell r="AN14">
            <v>0</v>
          </cell>
        </row>
        <row r="15">
          <cell r="AM15">
            <v>0</v>
          </cell>
          <cell r="AN15">
            <v>0</v>
          </cell>
        </row>
        <row r="16">
          <cell r="AM16">
            <v>0</v>
          </cell>
          <cell r="AN16">
            <v>0</v>
          </cell>
        </row>
        <row r="17">
          <cell r="AM17">
            <v>0</v>
          </cell>
          <cell r="AN17">
            <v>0</v>
          </cell>
        </row>
        <row r="18">
          <cell r="AM18">
            <v>0</v>
          </cell>
          <cell r="AN18">
            <v>0</v>
          </cell>
        </row>
        <row r="19">
          <cell r="AM19">
            <v>0</v>
          </cell>
          <cell r="AN19">
            <v>0</v>
          </cell>
        </row>
        <row r="20">
          <cell r="AM20">
            <v>0</v>
          </cell>
          <cell r="AN20">
            <v>0</v>
          </cell>
        </row>
        <row r="21">
          <cell r="AM21">
            <v>0</v>
          </cell>
          <cell r="AN21">
            <v>0</v>
          </cell>
        </row>
        <row r="22">
          <cell r="AM22">
            <v>0</v>
          </cell>
        </row>
        <row r="23">
          <cell r="AM23">
            <v>0</v>
          </cell>
        </row>
        <row r="24">
          <cell r="AM24">
            <v>0</v>
          </cell>
        </row>
        <row r="25">
          <cell r="AM25">
            <v>0</v>
          </cell>
        </row>
        <row r="26">
          <cell r="AM26">
            <v>0</v>
          </cell>
        </row>
        <row r="27">
          <cell r="AM27">
            <v>0</v>
          </cell>
          <cell r="AN27">
            <v>0</v>
          </cell>
        </row>
        <row r="28">
          <cell r="AM28">
            <v>0</v>
          </cell>
          <cell r="AN28">
            <v>0</v>
          </cell>
        </row>
        <row r="29">
          <cell r="AM29">
            <v>0</v>
          </cell>
          <cell r="AN29">
            <v>0</v>
          </cell>
        </row>
        <row r="30">
          <cell r="A30">
            <v>2</v>
          </cell>
          <cell r="C30">
            <v>2</v>
          </cell>
          <cell r="D30" t="str">
            <v>궤도횡단</v>
          </cell>
          <cell r="E30" t="str">
            <v>고자(0.8m)(Φ100x2)</v>
          </cell>
          <cell r="F30" t="str">
            <v>㎥</v>
          </cell>
          <cell r="AM30">
            <v>0</v>
          </cell>
          <cell r="AN30">
            <v>0</v>
          </cell>
        </row>
        <row r="31">
          <cell r="A31" t="str">
            <v>2-1</v>
          </cell>
          <cell r="B31">
            <v>541</v>
          </cell>
          <cell r="D31" t="str">
            <v>가. 재료비</v>
          </cell>
          <cell r="E31">
            <v>0</v>
          </cell>
          <cell r="F31">
            <v>0</v>
          </cell>
          <cell r="AM31">
            <v>0</v>
          </cell>
          <cell r="AN31">
            <v>0</v>
          </cell>
        </row>
        <row r="32">
          <cell r="A32" t="str">
            <v>2-2</v>
          </cell>
          <cell r="B32">
            <v>1</v>
          </cell>
          <cell r="D32" t="str">
            <v>PP헌마대</v>
          </cell>
          <cell r="E32" t="str">
            <v>60x100</v>
          </cell>
          <cell r="F32" t="str">
            <v>개</v>
          </cell>
          <cell r="V32" t="str">
            <v>=</v>
          </cell>
          <cell r="W32">
            <v>1.3</v>
          </cell>
          <cell r="AM32">
            <v>90</v>
          </cell>
          <cell r="AN32">
            <v>0</v>
          </cell>
        </row>
        <row r="33">
          <cell r="A33" t="str">
            <v>2-3</v>
          </cell>
          <cell r="B33">
            <v>542</v>
          </cell>
          <cell r="D33" t="str">
            <v>나. 노무비</v>
          </cell>
          <cell r="E33">
            <v>0</v>
          </cell>
          <cell r="F33">
            <v>0</v>
          </cell>
          <cell r="AM33">
            <v>0</v>
          </cell>
          <cell r="AN33">
            <v>0</v>
          </cell>
        </row>
        <row r="34">
          <cell r="B34">
            <v>523</v>
          </cell>
          <cell r="D34" t="str">
            <v>보통인부</v>
          </cell>
          <cell r="E34" t="str">
            <v>터파기</v>
          </cell>
          <cell r="F34" t="str">
            <v>인</v>
          </cell>
          <cell r="H34">
            <v>0.32</v>
          </cell>
          <cell r="I34" t="str">
            <v>x</v>
          </cell>
          <cell r="J34">
            <v>1</v>
          </cell>
          <cell r="V34" t="str">
            <v>=</v>
          </cell>
          <cell r="W34">
            <v>0.32</v>
          </cell>
          <cell r="Y34" t="str">
            <v>기본</v>
          </cell>
          <cell r="Z34" t="str">
            <v>x</v>
          </cell>
          <cell r="AA34" t="str">
            <v>토사량</v>
          </cell>
          <cell r="AL34" t="str">
            <v>건 3-1-2</v>
          </cell>
          <cell r="AM34">
            <v>40922</v>
          </cell>
          <cell r="AN34">
            <v>0</v>
          </cell>
        </row>
        <row r="35">
          <cell r="A35" t="str">
            <v/>
          </cell>
          <cell r="B35">
            <v>523</v>
          </cell>
          <cell r="D35" t="str">
            <v>보통인부</v>
          </cell>
          <cell r="E35" t="str">
            <v>되메우기</v>
          </cell>
          <cell r="F35" t="str">
            <v>인</v>
          </cell>
          <cell r="H35">
            <v>0.1</v>
          </cell>
          <cell r="I35" t="str">
            <v>x</v>
          </cell>
          <cell r="J35">
            <v>0.92</v>
          </cell>
          <cell r="V35" t="str">
            <v>=</v>
          </cell>
          <cell r="W35">
            <v>0.09</v>
          </cell>
          <cell r="Y35" t="str">
            <v>기본</v>
          </cell>
          <cell r="Z35" t="str">
            <v>x</v>
          </cell>
          <cell r="AA35" t="str">
            <v>토사량</v>
          </cell>
          <cell r="AM35">
            <v>40922</v>
          </cell>
          <cell r="AN35">
            <v>0</v>
          </cell>
        </row>
        <row r="36">
          <cell r="B36">
            <v>523</v>
          </cell>
          <cell r="D36" t="str">
            <v>보통인부</v>
          </cell>
          <cell r="E36" t="str">
            <v>잔토처리</v>
          </cell>
          <cell r="F36" t="str">
            <v>인</v>
          </cell>
          <cell r="H36">
            <v>0.2</v>
          </cell>
          <cell r="I36" t="str">
            <v>x</v>
          </cell>
          <cell r="J36">
            <v>0.08</v>
          </cell>
          <cell r="V36" t="str">
            <v>=</v>
          </cell>
          <cell r="W36">
            <v>0.02</v>
          </cell>
          <cell r="Y36" t="str">
            <v>기본</v>
          </cell>
          <cell r="Z36" t="str">
            <v>x</v>
          </cell>
          <cell r="AA36" t="str">
            <v>토사량</v>
          </cell>
          <cell r="AM36">
            <v>40922</v>
          </cell>
          <cell r="AN36">
            <v>0</v>
          </cell>
        </row>
        <row r="37">
          <cell r="B37">
            <v>523</v>
          </cell>
          <cell r="D37" t="str">
            <v>보통인부</v>
          </cell>
          <cell r="E37" t="str">
            <v>다지기</v>
          </cell>
          <cell r="F37" t="str">
            <v>인</v>
          </cell>
          <cell r="H37">
            <v>0.11</v>
          </cell>
          <cell r="I37" t="str">
            <v>x</v>
          </cell>
          <cell r="J37">
            <v>0.92</v>
          </cell>
          <cell r="V37" t="str">
            <v>=</v>
          </cell>
          <cell r="W37">
            <v>0.1</v>
          </cell>
          <cell r="Y37" t="str">
            <v>기본</v>
          </cell>
          <cell r="Z37" t="str">
            <v>x</v>
          </cell>
          <cell r="AA37" t="str">
            <v>토사량</v>
          </cell>
          <cell r="AL37" t="str">
            <v>건 3-2</v>
          </cell>
          <cell r="AM37">
            <v>40922</v>
          </cell>
          <cell r="AN37">
            <v>0</v>
          </cell>
        </row>
        <row r="38">
          <cell r="B38">
            <v>544</v>
          </cell>
          <cell r="D38" t="str">
            <v>소    계</v>
          </cell>
          <cell r="E38">
            <v>0</v>
          </cell>
          <cell r="F38">
            <v>0</v>
          </cell>
          <cell r="AM38">
            <v>0</v>
          </cell>
          <cell r="AN38">
            <v>0</v>
          </cell>
        </row>
        <row r="39">
          <cell r="A39" t="str">
            <v>2-4</v>
          </cell>
          <cell r="B39">
            <v>523</v>
          </cell>
          <cell r="D39" t="str">
            <v>보통인부</v>
          </cell>
          <cell r="E39">
            <v>0</v>
          </cell>
          <cell r="F39" t="str">
            <v>인</v>
          </cell>
          <cell r="V39" t="str">
            <v>=</v>
          </cell>
          <cell r="W39">
            <v>0.53</v>
          </cell>
          <cell r="AM39">
            <v>40922</v>
          </cell>
          <cell r="AN39">
            <v>0</v>
          </cell>
        </row>
        <row r="40">
          <cell r="AM40">
            <v>0</v>
          </cell>
          <cell r="AN40">
            <v>0</v>
          </cell>
        </row>
        <row r="41">
          <cell r="AM41">
            <v>0</v>
          </cell>
          <cell r="AN41">
            <v>0</v>
          </cell>
        </row>
        <row r="42">
          <cell r="AM42">
            <v>0</v>
          </cell>
          <cell r="AN42">
            <v>0</v>
          </cell>
        </row>
        <row r="43">
          <cell r="AM43">
            <v>0</v>
          </cell>
          <cell r="AN43">
            <v>0</v>
          </cell>
        </row>
        <row r="44">
          <cell r="AM44">
            <v>0</v>
          </cell>
          <cell r="AN44">
            <v>0</v>
          </cell>
        </row>
        <row r="45">
          <cell r="AM45">
            <v>0</v>
          </cell>
          <cell r="AN45">
            <v>0</v>
          </cell>
        </row>
        <row r="46">
          <cell r="AM46">
            <v>0</v>
          </cell>
          <cell r="AN46">
            <v>0</v>
          </cell>
        </row>
        <row r="47">
          <cell r="AM47">
            <v>0</v>
          </cell>
          <cell r="AN47">
            <v>0</v>
          </cell>
        </row>
        <row r="48">
          <cell r="AM48">
            <v>0</v>
          </cell>
          <cell r="AN48">
            <v>0</v>
          </cell>
        </row>
        <row r="49">
          <cell r="AM49">
            <v>0</v>
          </cell>
        </row>
        <row r="50">
          <cell r="AM50">
            <v>0</v>
          </cell>
        </row>
        <row r="51">
          <cell r="AM51">
            <v>0</v>
          </cell>
        </row>
        <row r="52">
          <cell r="AM52">
            <v>0</v>
          </cell>
        </row>
        <row r="53">
          <cell r="AM53">
            <v>0</v>
          </cell>
        </row>
        <row r="54">
          <cell r="AM54">
            <v>0</v>
          </cell>
          <cell r="AN54">
            <v>0</v>
          </cell>
        </row>
        <row r="55">
          <cell r="AM55">
            <v>0</v>
          </cell>
          <cell r="AN55">
            <v>0</v>
          </cell>
        </row>
        <row r="56">
          <cell r="AM56">
            <v>0</v>
          </cell>
          <cell r="AN56">
            <v>0</v>
          </cell>
        </row>
        <row r="57">
          <cell r="A57">
            <v>3</v>
          </cell>
          <cell r="C57">
            <v>3</v>
          </cell>
          <cell r="D57" t="str">
            <v>궤도횡단</v>
          </cell>
          <cell r="E57" t="str">
            <v>고자(0.9m)(Φ100x3)</v>
          </cell>
          <cell r="F57" t="str">
            <v>㎥</v>
          </cell>
          <cell r="AM57">
            <v>0</v>
          </cell>
          <cell r="AN57">
            <v>0</v>
          </cell>
        </row>
        <row r="58">
          <cell r="A58" t="str">
            <v>3-1</v>
          </cell>
          <cell r="B58">
            <v>541</v>
          </cell>
          <cell r="D58" t="str">
            <v>가. 재료비</v>
          </cell>
          <cell r="E58">
            <v>0</v>
          </cell>
          <cell r="F58">
            <v>0</v>
          </cell>
          <cell r="AM58">
            <v>0</v>
          </cell>
          <cell r="AN58">
            <v>0</v>
          </cell>
        </row>
        <row r="59">
          <cell r="A59" t="str">
            <v>3-2</v>
          </cell>
          <cell r="B59">
            <v>1</v>
          </cell>
          <cell r="D59" t="str">
            <v>PP헌마대</v>
          </cell>
          <cell r="E59" t="str">
            <v>60x100</v>
          </cell>
          <cell r="F59" t="str">
            <v>개</v>
          </cell>
          <cell r="V59" t="str">
            <v>=</v>
          </cell>
          <cell r="W59">
            <v>1.3</v>
          </cell>
          <cell r="AM59">
            <v>90</v>
          </cell>
          <cell r="AN59">
            <v>0</v>
          </cell>
        </row>
        <row r="60">
          <cell r="A60" t="str">
            <v>3-3</v>
          </cell>
          <cell r="B60">
            <v>542</v>
          </cell>
          <cell r="D60" t="str">
            <v>나. 노무비</v>
          </cell>
          <cell r="E60">
            <v>0</v>
          </cell>
          <cell r="F60">
            <v>0</v>
          </cell>
          <cell r="AM60">
            <v>0</v>
          </cell>
          <cell r="AN60">
            <v>0</v>
          </cell>
        </row>
        <row r="61">
          <cell r="B61">
            <v>523</v>
          </cell>
          <cell r="D61" t="str">
            <v>보통인부</v>
          </cell>
          <cell r="E61" t="str">
            <v>터파기</v>
          </cell>
          <cell r="F61" t="str">
            <v>인</v>
          </cell>
          <cell r="H61">
            <v>0.32</v>
          </cell>
          <cell r="I61" t="str">
            <v>x</v>
          </cell>
          <cell r="J61">
            <v>1</v>
          </cell>
          <cell r="V61" t="str">
            <v>=</v>
          </cell>
          <cell r="W61">
            <v>0.32</v>
          </cell>
          <cell r="Y61" t="str">
            <v>기본</v>
          </cell>
          <cell r="Z61" t="str">
            <v>x</v>
          </cell>
          <cell r="AA61" t="str">
            <v>토사량</v>
          </cell>
          <cell r="AL61" t="str">
            <v>건 3-1-2</v>
          </cell>
          <cell r="AM61">
            <v>40922</v>
          </cell>
          <cell r="AN61">
            <v>0</v>
          </cell>
        </row>
        <row r="62">
          <cell r="A62" t="str">
            <v/>
          </cell>
          <cell r="B62">
            <v>523</v>
          </cell>
          <cell r="D62" t="str">
            <v>보통인부</v>
          </cell>
          <cell r="E62" t="str">
            <v>되메우기</v>
          </cell>
          <cell r="F62" t="str">
            <v>인</v>
          </cell>
          <cell r="H62">
            <v>0.1</v>
          </cell>
          <cell r="I62" t="str">
            <v>x</v>
          </cell>
          <cell r="J62">
            <v>0.89</v>
          </cell>
          <cell r="V62" t="str">
            <v>=</v>
          </cell>
          <cell r="W62">
            <v>0.09</v>
          </cell>
          <cell r="Y62" t="str">
            <v>기본</v>
          </cell>
          <cell r="Z62" t="str">
            <v>x</v>
          </cell>
          <cell r="AA62" t="str">
            <v>토사량</v>
          </cell>
          <cell r="AM62">
            <v>40922</v>
          </cell>
          <cell r="AN62">
            <v>0</v>
          </cell>
        </row>
        <row r="63">
          <cell r="B63">
            <v>523</v>
          </cell>
          <cell r="D63" t="str">
            <v>보통인부</v>
          </cell>
          <cell r="E63" t="str">
            <v>잔토처리</v>
          </cell>
          <cell r="F63" t="str">
            <v>인</v>
          </cell>
          <cell r="H63">
            <v>0.2</v>
          </cell>
          <cell r="I63" t="str">
            <v>x</v>
          </cell>
          <cell r="J63">
            <v>0.11</v>
          </cell>
          <cell r="V63" t="str">
            <v>=</v>
          </cell>
          <cell r="W63">
            <v>0.02</v>
          </cell>
          <cell r="Y63" t="str">
            <v>기본</v>
          </cell>
          <cell r="Z63" t="str">
            <v>x</v>
          </cell>
          <cell r="AA63" t="str">
            <v>토사량</v>
          </cell>
          <cell r="AM63">
            <v>40922</v>
          </cell>
          <cell r="AN63">
            <v>0</v>
          </cell>
        </row>
        <row r="64">
          <cell r="B64">
            <v>523</v>
          </cell>
          <cell r="D64" t="str">
            <v>보통인부</v>
          </cell>
          <cell r="E64" t="str">
            <v>다지기</v>
          </cell>
          <cell r="F64" t="str">
            <v>인</v>
          </cell>
          <cell r="H64">
            <v>0.11</v>
          </cell>
          <cell r="I64" t="str">
            <v>x</v>
          </cell>
          <cell r="J64">
            <v>0.89</v>
          </cell>
          <cell r="V64" t="str">
            <v>=</v>
          </cell>
          <cell r="W64">
            <v>0.1</v>
          </cell>
          <cell r="Y64" t="str">
            <v>기본</v>
          </cell>
          <cell r="Z64" t="str">
            <v>x</v>
          </cell>
          <cell r="AA64" t="str">
            <v>토사량</v>
          </cell>
          <cell r="AL64" t="str">
            <v>건 3-2</v>
          </cell>
          <cell r="AM64">
            <v>40922</v>
          </cell>
          <cell r="AN64">
            <v>0</v>
          </cell>
        </row>
        <row r="65">
          <cell r="B65">
            <v>544</v>
          </cell>
          <cell r="D65" t="str">
            <v>소    계</v>
          </cell>
          <cell r="E65">
            <v>0</v>
          </cell>
          <cell r="F65">
            <v>0</v>
          </cell>
          <cell r="AM65">
            <v>0</v>
          </cell>
          <cell r="AN65">
            <v>0</v>
          </cell>
        </row>
        <row r="66">
          <cell r="A66" t="str">
            <v>3-4</v>
          </cell>
          <cell r="B66">
            <v>523</v>
          </cell>
          <cell r="D66" t="str">
            <v>보통인부</v>
          </cell>
          <cell r="E66">
            <v>0</v>
          </cell>
          <cell r="F66" t="str">
            <v>인</v>
          </cell>
          <cell r="V66" t="str">
            <v>=</v>
          </cell>
          <cell r="W66">
            <v>0.53</v>
          </cell>
          <cell r="AM66">
            <v>40922</v>
          </cell>
          <cell r="AN66">
            <v>0</v>
          </cell>
        </row>
        <row r="67">
          <cell r="AM67">
            <v>0</v>
          </cell>
          <cell r="AN67">
            <v>0</v>
          </cell>
        </row>
        <row r="68">
          <cell r="AM68">
            <v>0</v>
          </cell>
          <cell r="AN68">
            <v>0</v>
          </cell>
        </row>
        <row r="69">
          <cell r="AM69">
            <v>0</v>
          </cell>
          <cell r="AN69">
            <v>0</v>
          </cell>
        </row>
        <row r="70">
          <cell r="AM70">
            <v>0</v>
          </cell>
          <cell r="AN70">
            <v>0</v>
          </cell>
        </row>
        <row r="71">
          <cell r="AM71">
            <v>0</v>
          </cell>
          <cell r="AN71">
            <v>0</v>
          </cell>
        </row>
        <row r="72">
          <cell r="AM72">
            <v>0</v>
          </cell>
          <cell r="AN72">
            <v>0</v>
          </cell>
        </row>
        <row r="73">
          <cell r="AM73">
            <v>0</v>
          </cell>
          <cell r="AN73">
            <v>0</v>
          </cell>
        </row>
        <row r="74">
          <cell r="AM74">
            <v>0</v>
          </cell>
          <cell r="AN74">
            <v>0</v>
          </cell>
        </row>
        <row r="75">
          <cell r="AM75">
            <v>0</v>
          </cell>
          <cell r="AN75">
            <v>0</v>
          </cell>
        </row>
        <row r="76">
          <cell r="AM76">
            <v>0</v>
          </cell>
          <cell r="AN76">
            <v>0</v>
          </cell>
        </row>
        <row r="77">
          <cell r="AM77">
            <v>0</v>
          </cell>
        </row>
        <row r="78">
          <cell r="AM78">
            <v>0</v>
          </cell>
        </row>
        <row r="79">
          <cell r="AM79">
            <v>0</v>
          </cell>
        </row>
        <row r="80">
          <cell r="AM80">
            <v>0</v>
          </cell>
        </row>
        <row r="81">
          <cell r="AM81">
            <v>0</v>
          </cell>
        </row>
        <row r="82">
          <cell r="AM82">
            <v>0</v>
          </cell>
          <cell r="AN82">
            <v>0</v>
          </cell>
        </row>
        <row r="83">
          <cell r="AM83">
            <v>0</v>
          </cell>
          <cell r="AN83">
            <v>0</v>
          </cell>
        </row>
        <row r="84">
          <cell r="A84">
            <v>4</v>
          </cell>
          <cell r="C84">
            <v>4</v>
          </cell>
          <cell r="D84" t="str">
            <v>궤도횡단</v>
          </cell>
          <cell r="E84" t="str">
            <v>고자(0.9m)(Φ100x4)</v>
          </cell>
          <cell r="F84" t="str">
            <v>㎥</v>
          </cell>
          <cell r="AM84">
            <v>0</v>
          </cell>
          <cell r="AN84">
            <v>0</v>
          </cell>
        </row>
        <row r="85">
          <cell r="A85" t="str">
            <v>4-1</v>
          </cell>
          <cell r="B85">
            <v>541</v>
          </cell>
          <cell r="D85" t="str">
            <v>가. 재료비</v>
          </cell>
          <cell r="E85">
            <v>0</v>
          </cell>
          <cell r="F85">
            <v>0</v>
          </cell>
          <cell r="AM85">
            <v>0</v>
          </cell>
          <cell r="AN85">
            <v>0</v>
          </cell>
        </row>
        <row r="86">
          <cell r="A86" t="str">
            <v>4-2</v>
          </cell>
          <cell r="B86">
            <v>1</v>
          </cell>
          <cell r="D86" t="str">
            <v>PP헌마대</v>
          </cell>
          <cell r="E86" t="str">
            <v>60x100</v>
          </cell>
          <cell r="F86" t="str">
            <v>개</v>
          </cell>
          <cell r="V86" t="str">
            <v>=</v>
          </cell>
          <cell r="W86">
            <v>1.3</v>
          </cell>
          <cell r="AM86">
            <v>90</v>
          </cell>
          <cell r="AN86">
            <v>0</v>
          </cell>
        </row>
        <row r="87">
          <cell r="A87" t="str">
            <v>4-3</v>
          </cell>
          <cell r="B87">
            <v>542</v>
          </cell>
          <cell r="D87" t="str">
            <v>나. 노무비</v>
          </cell>
          <cell r="E87">
            <v>0</v>
          </cell>
          <cell r="F87">
            <v>0</v>
          </cell>
          <cell r="AM87">
            <v>0</v>
          </cell>
          <cell r="AN87">
            <v>0</v>
          </cell>
        </row>
        <row r="88">
          <cell r="B88">
            <v>523</v>
          </cell>
          <cell r="D88" t="str">
            <v>보통인부</v>
          </cell>
          <cell r="E88" t="str">
            <v>터파기</v>
          </cell>
          <cell r="F88" t="str">
            <v>인</v>
          </cell>
          <cell r="H88">
            <v>0.32</v>
          </cell>
          <cell r="I88" t="str">
            <v>x</v>
          </cell>
          <cell r="J88">
            <v>1</v>
          </cell>
          <cell r="V88" t="str">
            <v>=</v>
          </cell>
          <cell r="W88">
            <v>0.32</v>
          </cell>
          <cell r="Y88" t="str">
            <v>기본</v>
          </cell>
          <cell r="Z88" t="str">
            <v>x</v>
          </cell>
          <cell r="AA88" t="str">
            <v>토사량</v>
          </cell>
          <cell r="AL88" t="str">
            <v>건 3-1-2</v>
          </cell>
          <cell r="AM88">
            <v>40922</v>
          </cell>
          <cell r="AN88">
            <v>0</v>
          </cell>
        </row>
        <row r="89">
          <cell r="A89" t="str">
            <v/>
          </cell>
          <cell r="B89">
            <v>523</v>
          </cell>
          <cell r="D89" t="str">
            <v>보통인부</v>
          </cell>
          <cell r="E89" t="str">
            <v>되메우기</v>
          </cell>
          <cell r="F89" t="str">
            <v>인</v>
          </cell>
          <cell r="H89">
            <v>0.1</v>
          </cell>
          <cell r="I89" t="str">
            <v>x</v>
          </cell>
          <cell r="J89">
            <v>0.85</v>
          </cell>
          <cell r="V89" t="str">
            <v>=</v>
          </cell>
          <cell r="W89">
            <v>0.09</v>
          </cell>
          <cell r="Y89" t="str">
            <v>기본</v>
          </cell>
          <cell r="Z89" t="str">
            <v>x</v>
          </cell>
          <cell r="AA89" t="str">
            <v>토사량</v>
          </cell>
          <cell r="AM89">
            <v>40922</v>
          </cell>
          <cell r="AN89">
            <v>0</v>
          </cell>
        </row>
        <row r="90">
          <cell r="B90">
            <v>523</v>
          </cell>
          <cell r="D90" t="str">
            <v>보통인부</v>
          </cell>
          <cell r="E90" t="str">
            <v>잔토처리</v>
          </cell>
          <cell r="F90" t="str">
            <v>인</v>
          </cell>
          <cell r="H90">
            <v>0.2</v>
          </cell>
          <cell r="I90" t="str">
            <v>x</v>
          </cell>
          <cell r="J90">
            <v>0.15</v>
          </cell>
          <cell r="V90" t="str">
            <v>=</v>
          </cell>
          <cell r="W90">
            <v>0.03</v>
          </cell>
          <cell r="Y90" t="str">
            <v>기본</v>
          </cell>
          <cell r="Z90" t="str">
            <v>x</v>
          </cell>
          <cell r="AA90" t="str">
            <v>토사량</v>
          </cell>
          <cell r="AM90">
            <v>40922</v>
          </cell>
          <cell r="AN90">
            <v>0</v>
          </cell>
        </row>
        <row r="91">
          <cell r="B91">
            <v>523</v>
          </cell>
          <cell r="D91" t="str">
            <v>보통인부</v>
          </cell>
          <cell r="E91" t="str">
            <v>다지기</v>
          </cell>
          <cell r="F91" t="str">
            <v>인</v>
          </cell>
          <cell r="H91">
            <v>0.11</v>
          </cell>
          <cell r="I91" t="str">
            <v>x</v>
          </cell>
          <cell r="J91">
            <v>0.85</v>
          </cell>
          <cell r="V91" t="str">
            <v>=</v>
          </cell>
          <cell r="W91">
            <v>0.09</v>
          </cell>
          <cell r="Y91" t="str">
            <v>기본</v>
          </cell>
          <cell r="Z91" t="str">
            <v>x</v>
          </cell>
          <cell r="AA91" t="str">
            <v>토사량</v>
          </cell>
          <cell r="AL91" t="str">
            <v>건 3-2</v>
          </cell>
          <cell r="AM91">
            <v>40922</v>
          </cell>
          <cell r="AN91">
            <v>0</v>
          </cell>
        </row>
        <row r="92">
          <cell r="B92">
            <v>544</v>
          </cell>
          <cell r="D92" t="str">
            <v>소    계</v>
          </cell>
          <cell r="E92">
            <v>0</v>
          </cell>
          <cell r="F92">
            <v>0</v>
          </cell>
          <cell r="AM92">
            <v>0</v>
          </cell>
          <cell r="AN92">
            <v>0</v>
          </cell>
        </row>
        <row r="93">
          <cell r="A93" t="str">
            <v>4-4</v>
          </cell>
          <cell r="B93">
            <v>523</v>
          </cell>
          <cell r="D93" t="str">
            <v>보통인부</v>
          </cell>
          <cell r="E93">
            <v>0</v>
          </cell>
          <cell r="F93" t="str">
            <v>인</v>
          </cell>
          <cell r="V93" t="str">
            <v>=</v>
          </cell>
          <cell r="W93">
            <v>0.53</v>
          </cell>
          <cell r="AM93">
            <v>40922</v>
          </cell>
          <cell r="AN93">
            <v>0</v>
          </cell>
        </row>
        <row r="94">
          <cell r="AM94">
            <v>0</v>
          </cell>
          <cell r="AN94">
            <v>0</v>
          </cell>
        </row>
        <row r="95">
          <cell r="AM95">
            <v>0</v>
          </cell>
          <cell r="AN95">
            <v>0</v>
          </cell>
        </row>
        <row r="96">
          <cell r="AM96">
            <v>0</v>
          </cell>
          <cell r="AN96">
            <v>0</v>
          </cell>
        </row>
        <row r="97">
          <cell r="AM97">
            <v>0</v>
          </cell>
          <cell r="AN97">
            <v>0</v>
          </cell>
        </row>
        <row r="98">
          <cell r="AM98">
            <v>0</v>
          </cell>
          <cell r="AN98">
            <v>0</v>
          </cell>
        </row>
        <row r="99">
          <cell r="AM99">
            <v>0</v>
          </cell>
          <cell r="AN99">
            <v>0</v>
          </cell>
        </row>
        <row r="100">
          <cell r="AM100">
            <v>0</v>
          </cell>
          <cell r="AN100">
            <v>0</v>
          </cell>
        </row>
        <row r="101">
          <cell r="AM101">
            <v>0</v>
          </cell>
        </row>
        <row r="102">
          <cell r="AM102">
            <v>0</v>
          </cell>
        </row>
        <row r="103">
          <cell r="AM103">
            <v>0</v>
          </cell>
        </row>
        <row r="104">
          <cell r="AM104">
            <v>0</v>
          </cell>
        </row>
        <row r="105">
          <cell r="AM105">
            <v>0</v>
          </cell>
        </row>
        <row r="106">
          <cell r="AM106">
            <v>0</v>
          </cell>
          <cell r="AN106">
            <v>0</v>
          </cell>
        </row>
        <row r="107">
          <cell r="AM107">
            <v>0</v>
          </cell>
          <cell r="AN107">
            <v>0</v>
          </cell>
        </row>
        <row r="108">
          <cell r="AM108">
            <v>0</v>
          </cell>
          <cell r="AN108">
            <v>0</v>
          </cell>
        </row>
        <row r="109">
          <cell r="AM109">
            <v>0</v>
          </cell>
          <cell r="AN109">
            <v>0</v>
          </cell>
        </row>
        <row r="110">
          <cell r="AM110">
            <v>0</v>
          </cell>
          <cell r="AN110">
            <v>0</v>
          </cell>
        </row>
        <row r="111">
          <cell r="A111">
            <v>5</v>
          </cell>
          <cell r="C111">
            <v>5</v>
          </cell>
          <cell r="D111" t="str">
            <v>케이블트레이신설(지하구간)</v>
          </cell>
          <cell r="E111" t="str">
            <v>W150xH70x2.6t</v>
          </cell>
          <cell r="F111" t="str">
            <v>10m</v>
          </cell>
          <cell r="AM111">
            <v>0</v>
          </cell>
          <cell r="AN111">
            <v>0</v>
          </cell>
        </row>
        <row r="112">
          <cell r="A112" t="str">
            <v>5-1</v>
          </cell>
          <cell r="B112">
            <v>541</v>
          </cell>
          <cell r="D112" t="str">
            <v>가. 재료비</v>
          </cell>
          <cell r="E112">
            <v>0</v>
          </cell>
          <cell r="F112">
            <v>0</v>
          </cell>
          <cell r="AM112">
            <v>0</v>
          </cell>
          <cell r="AN112">
            <v>0</v>
          </cell>
        </row>
        <row r="113">
          <cell r="A113" t="str">
            <v>5-2</v>
          </cell>
          <cell r="B113">
            <v>198</v>
          </cell>
          <cell r="D113" t="str">
            <v>CABLE TRAY</v>
          </cell>
          <cell r="E113" t="str">
            <v>W150xH70x2.6t</v>
          </cell>
          <cell r="F113" t="str">
            <v>m</v>
          </cell>
          <cell r="H113">
            <v>10</v>
          </cell>
          <cell r="I113" t="str">
            <v>x</v>
          </cell>
          <cell r="J113">
            <v>1</v>
          </cell>
          <cell r="V113" t="str">
            <v>=</v>
          </cell>
          <cell r="W113">
            <v>10</v>
          </cell>
          <cell r="Y113" t="str">
            <v>기본</v>
          </cell>
          <cell r="Z113" t="str">
            <v>x</v>
          </cell>
          <cell r="AA113" t="str">
            <v>단위량</v>
          </cell>
          <cell r="AM113">
            <v>5135</v>
          </cell>
          <cell r="AN113">
            <v>0</v>
          </cell>
        </row>
        <row r="114">
          <cell r="A114" t="str">
            <v>5-3</v>
          </cell>
          <cell r="B114">
            <v>199</v>
          </cell>
          <cell r="D114" t="str">
            <v>CABLE TRAY BRACKET</v>
          </cell>
          <cell r="E114" t="str">
            <v>W150</v>
          </cell>
          <cell r="F114" t="str">
            <v>개</v>
          </cell>
          <cell r="H114">
            <v>7</v>
          </cell>
          <cell r="I114" t="str">
            <v>x</v>
          </cell>
          <cell r="J114">
            <v>1</v>
          </cell>
          <cell r="V114" t="str">
            <v>=</v>
          </cell>
          <cell r="W114">
            <v>7</v>
          </cell>
          <cell r="Y114" t="str">
            <v>기본</v>
          </cell>
          <cell r="Z114" t="str">
            <v>x</v>
          </cell>
          <cell r="AA114" t="str">
            <v>단위량</v>
          </cell>
          <cell r="AM114">
            <v>1549</v>
          </cell>
          <cell r="AN114">
            <v>0</v>
          </cell>
        </row>
        <row r="115">
          <cell r="A115" t="str">
            <v>5-4</v>
          </cell>
          <cell r="B115">
            <v>234</v>
          </cell>
          <cell r="D115" t="str">
            <v>앙카볼트</v>
          </cell>
          <cell r="E115" t="str">
            <v>M12xL120</v>
          </cell>
          <cell r="F115" t="str">
            <v>개</v>
          </cell>
          <cell r="H115">
            <v>2</v>
          </cell>
          <cell r="I115" t="str">
            <v>x</v>
          </cell>
          <cell r="J115">
            <v>6</v>
          </cell>
          <cell r="V115" t="str">
            <v>=</v>
          </cell>
          <cell r="W115">
            <v>12</v>
          </cell>
          <cell r="Y115" t="str">
            <v>기본</v>
          </cell>
          <cell r="Z115" t="str">
            <v>x</v>
          </cell>
          <cell r="AA115" t="str">
            <v>단위량</v>
          </cell>
          <cell r="AM115">
            <v>151</v>
          </cell>
          <cell r="AN115">
            <v>0</v>
          </cell>
        </row>
        <row r="116">
          <cell r="A116" t="str">
            <v>5-5</v>
          </cell>
          <cell r="B116">
            <v>235</v>
          </cell>
          <cell r="D116" t="str">
            <v>JOINT CONNECTOR</v>
          </cell>
          <cell r="E116" t="str">
            <v>H70</v>
          </cell>
          <cell r="F116" t="str">
            <v>개</v>
          </cell>
          <cell r="H116">
            <v>2</v>
          </cell>
          <cell r="I116" t="str">
            <v>x</v>
          </cell>
          <cell r="J116">
            <v>3</v>
          </cell>
          <cell r="V116" t="str">
            <v>=</v>
          </cell>
          <cell r="W116">
            <v>6</v>
          </cell>
          <cell r="Y116" t="str">
            <v>기본</v>
          </cell>
          <cell r="Z116" t="str">
            <v>x</v>
          </cell>
          <cell r="AA116" t="str">
            <v>단위량</v>
          </cell>
          <cell r="AM116">
            <v>715</v>
          </cell>
          <cell r="AN116">
            <v>0</v>
          </cell>
        </row>
        <row r="117">
          <cell r="A117" t="str">
            <v>5-6</v>
          </cell>
          <cell r="B117">
            <v>236</v>
          </cell>
          <cell r="D117" t="str">
            <v>SHANK BOLT/NUT</v>
          </cell>
          <cell r="E117" t="str">
            <v>3/8"x19L</v>
          </cell>
          <cell r="F117" t="str">
            <v>개</v>
          </cell>
          <cell r="H117">
            <v>8</v>
          </cell>
          <cell r="I117" t="str">
            <v>x</v>
          </cell>
          <cell r="J117">
            <v>3</v>
          </cell>
          <cell r="V117" t="str">
            <v>=</v>
          </cell>
          <cell r="W117">
            <v>24</v>
          </cell>
          <cell r="Y117" t="str">
            <v>기본</v>
          </cell>
          <cell r="Z117" t="str">
            <v>x</v>
          </cell>
          <cell r="AA117" t="str">
            <v>단위량</v>
          </cell>
          <cell r="AM117">
            <v>228</v>
          </cell>
          <cell r="AN117">
            <v>0</v>
          </cell>
        </row>
        <row r="118">
          <cell r="A118" t="str">
            <v>5-7</v>
          </cell>
          <cell r="B118" t="str">
            <v>238-1</v>
          </cell>
          <cell r="D118" t="str">
            <v>H/D CLAMP</v>
          </cell>
          <cell r="E118" t="str">
            <v>3/8"</v>
          </cell>
          <cell r="F118" t="str">
            <v>개</v>
          </cell>
          <cell r="H118">
            <v>2</v>
          </cell>
          <cell r="I118" t="str">
            <v>x</v>
          </cell>
          <cell r="J118">
            <v>3</v>
          </cell>
          <cell r="V118" t="str">
            <v>=</v>
          </cell>
          <cell r="W118">
            <v>6</v>
          </cell>
          <cell r="Y118" t="str">
            <v>기본</v>
          </cell>
          <cell r="Z118" t="str">
            <v>x</v>
          </cell>
          <cell r="AA118" t="str">
            <v>단위량</v>
          </cell>
          <cell r="AM118">
            <v>264</v>
          </cell>
          <cell r="AN118">
            <v>0</v>
          </cell>
        </row>
        <row r="119">
          <cell r="A119" t="str">
            <v>5-8</v>
          </cell>
          <cell r="B119">
            <v>237</v>
          </cell>
          <cell r="D119" t="str">
            <v>GROUND BONDING JUMPER</v>
          </cell>
          <cell r="E119" t="str">
            <v>22㎟</v>
          </cell>
          <cell r="F119" t="str">
            <v>개</v>
          </cell>
          <cell r="H119">
            <v>2</v>
          </cell>
          <cell r="I119" t="str">
            <v>x</v>
          </cell>
          <cell r="J119">
            <v>3</v>
          </cell>
          <cell r="V119" t="str">
            <v>=</v>
          </cell>
          <cell r="W119">
            <v>6</v>
          </cell>
          <cell r="Y119" t="str">
            <v>기본</v>
          </cell>
          <cell r="Z119" t="str">
            <v>x</v>
          </cell>
          <cell r="AA119" t="str">
            <v>단위량</v>
          </cell>
          <cell r="AM119">
            <v>1056</v>
          </cell>
          <cell r="AN119">
            <v>0</v>
          </cell>
        </row>
        <row r="120">
          <cell r="A120" t="str">
            <v>5-9</v>
          </cell>
          <cell r="B120">
            <v>238</v>
          </cell>
          <cell r="D120" t="str">
            <v>HEX B/N</v>
          </cell>
          <cell r="E120" t="str">
            <v>3/8"x19L</v>
          </cell>
          <cell r="F120" t="str">
            <v>개</v>
          </cell>
          <cell r="H120">
            <v>2</v>
          </cell>
          <cell r="I120" t="str">
            <v>x</v>
          </cell>
          <cell r="J120">
            <v>3</v>
          </cell>
          <cell r="V120" t="str">
            <v>=</v>
          </cell>
          <cell r="W120">
            <v>6</v>
          </cell>
          <cell r="Y120" t="str">
            <v>기본</v>
          </cell>
          <cell r="Z120" t="str">
            <v>x</v>
          </cell>
          <cell r="AA120" t="str">
            <v>단위량</v>
          </cell>
          <cell r="AM120">
            <v>308</v>
          </cell>
          <cell r="AN120">
            <v>0</v>
          </cell>
        </row>
        <row r="121">
          <cell r="A121" t="str">
            <v>5-10</v>
          </cell>
          <cell r="B121">
            <v>542</v>
          </cell>
          <cell r="D121" t="str">
            <v>나. 노무비</v>
          </cell>
          <cell r="E121">
            <v>0</v>
          </cell>
          <cell r="F121">
            <v>0</v>
          </cell>
          <cell r="AM121">
            <v>0</v>
          </cell>
          <cell r="AN121">
            <v>0</v>
          </cell>
        </row>
        <row r="122">
          <cell r="B122">
            <v>518</v>
          </cell>
          <cell r="D122" t="str">
            <v>통신내선공</v>
          </cell>
          <cell r="E122">
            <v>0</v>
          </cell>
          <cell r="F122" t="str">
            <v>인</v>
          </cell>
          <cell r="H122">
            <v>2.25</v>
          </cell>
          <cell r="I122" t="str">
            <v>x</v>
          </cell>
          <cell r="J122">
            <v>1</v>
          </cell>
          <cell r="K122" t="str">
            <v>x</v>
          </cell>
          <cell r="L122" t="str">
            <v>(</v>
          </cell>
          <cell r="M122">
            <v>1</v>
          </cell>
          <cell r="N122" t="str">
            <v>+</v>
          </cell>
          <cell r="O122">
            <v>0.02</v>
          </cell>
          <cell r="P122" t="str">
            <v>)</v>
          </cell>
          <cell r="V122" t="str">
            <v>=</v>
          </cell>
          <cell r="W122">
            <v>2.2999999999999998</v>
          </cell>
          <cell r="Y122" t="str">
            <v>기본</v>
          </cell>
          <cell r="Z122" t="str">
            <v>x</v>
          </cell>
          <cell r="AA122" t="str">
            <v>단위량</v>
          </cell>
          <cell r="AB122" t="str">
            <v>x</v>
          </cell>
          <cell r="AC122" t="str">
            <v>(</v>
          </cell>
          <cell r="AD122" t="str">
            <v>1 + 지하)</v>
          </cell>
          <cell r="AL122" t="str">
            <v>통 3-61-아(지하)</v>
          </cell>
          <cell r="AM122">
            <v>63806</v>
          </cell>
          <cell r="AN122">
            <v>0</v>
          </cell>
        </row>
        <row r="123">
          <cell r="B123">
            <v>544</v>
          </cell>
          <cell r="D123" t="str">
            <v>소    계</v>
          </cell>
          <cell r="E123">
            <v>0</v>
          </cell>
          <cell r="F123">
            <v>0</v>
          </cell>
          <cell r="AM123">
            <v>0</v>
          </cell>
          <cell r="AN123">
            <v>0</v>
          </cell>
        </row>
        <row r="124">
          <cell r="A124" t="str">
            <v>5-11</v>
          </cell>
          <cell r="B124">
            <v>518</v>
          </cell>
          <cell r="D124" t="str">
            <v>통신내선공</v>
          </cell>
          <cell r="E124">
            <v>0</v>
          </cell>
          <cell r="F124" t="str">
            <v>인</v>
          </cell>
          <cell r="V124" t="str">
            <v>=</v>
          </cell>
          <cell r="W124">
            <v>2.2999999999999998</v>
          </cell>
          <cell r="AM124">
            <v>63806</v>
          </cell>
          <cell r="AN124">
            <v>0</v>
          </cell>
        </row>
        <row r="125">
          <cell r="A125" t="str">
            <v>5-12</v>
          </cell>
          <cell r="B125">
            <v>543</v>
          </cell>
          <cell r="D125" t="str">
            <v>다. 공구손료</v>
          </cell>
          <cell r="E125" t="str">
            <v>노무비x3%</v>
          </cell>
          <cell r="F125">
            <v>0</v>
          </cell>
          <cell r="AM125">
            <v>0</v>
          </cell>
          <cell r="AN125">
            <v>0</v>
          </cell>
        </row>
        <row r="126">
          <cell r="A126" t="str">
            <v>5-13</v>
          </cell>
          <cell r="B126">
            <v>518</v>
          </cell>
          <cell r="D126" t="str">
            <v>통신내선공</v>
          </cell>
          <cell r="E126">
            <v>0</v>
          </cell>
          <cell r="F126" t="str">
            <v>인</v>
          </cell>
          <cell r="H126">
            <v>2.25</v>
          </cell>
          <cell r="I126" t="str">
            <v>x</v>
          </cell>
          <cell r="J126">
            <v>0.03</v>
          </cell>
          <cell r="V126" t="str">
            <v>=</v>
          </cell>
          <cell r="W126">
            <v>7.0000000000000007E-2</v>
          </cell>
          <cell r="Y126" t="str">
            <v>기본</v>
          </cell>
          <cell r="Z126" t="str">
            <v>x</v>
          </cell>
          <cell r="AA126" t="str">
            <v>공구손료</v>
          </cell>
          <cell r="AM126">
            <v>63806</v>
          </cell>
          <cell r="AN126">
            <v>0</v>
          </cell>
        </row>
        <row r="127">
          <cell r="AM127">
            <v>0</v>
          </cell>
        </row>
        <row r="128">
          <cell r="AM128">
            <v>0</v>
          </cell>
        </row>
        <row r="129">
          <cell r="AM129">
            <v>0</v>
          </cell>
        </row>
        <row r="130">
          <cell r="AM130">
            <v>0</v>
          </cell>
          <cell r="AN130">
            <v>0</v>
          </cell>
        </row>
        <row r="131">
          <cell r="AM131">
            <v>0</v>
          </cell>
          <cell r="AN131">
            <v>0</v>
          </cell>
        </row>
        <row r="132">
          <cell r="AM132">
            <v>0</v>
          </cell>
        </row>
        <row r="133">
          <cell r="AM133">
            <v>0</v>
          </cell>
        </row>
        <row r="134">
          <cell r="AM134">
            <v>0</v>
          </cell>
          <cell r="AN134">
            <v>0</v>
          </cell>
        </row>
        <row r="135">
          <cell r="AM135">
            <v>0</v>
          </cell>
          <cell r="AN135">
            <v>0</v>
          </cell>
        </row>
        <row r="136">
          <cell r="AM136">
            <v>0</v>
          </cell>
          <cell r="AN136">
            <v>0</v>
          </cell>
        </row>
        <row r="137">
          <cell r="W137">
            <v>0</v>
          </cell>
          <cell r="AM137">
            <v>0</v>
          </cell>
          <cell r="AN137">
            <v>0</v>
          </cell>
        </row>
        <row r="138">
          <cell r="A138">
            <v>6</v>
          </cell>
          <cell r="C138">
            <v>6</v>
          </cell>
          <cell r="D138" t="str">
            <v>케이블트레이신설(승강장,덕트 포함)</v>
          </cell>
          <cell r="E138" t="str">
            <v>W150xH70x2.6t</v>
          </cell>
          <cell r="F138" t="str">
            <v>10m</v>
          </cell>
          <cell r="AM138">
            <v>0</v>
          </cell>
          <cell r="AN138">
            <v>0</v>
          </cell>
        </row>
        <row r="139">
          <cell r="A139" t="str">
            <v>6-1</v>
          </cell>
          <cell r="B139">
            <v>541</v>
          </cell>
          <cell r="D139" t="str">
            <v>가. 재료비</v>
          </cell>
          <cell r="E139">
            <v>0</v>
          </cell>
          <cell r="F139">
            <v>0</v>
          </cell>
          <cell r="AM139">
            <v>0</v>
          </cell>
          <cell r="AN139">
            <v>0</v>
          </cell>
        </row>
        <row r="140">
          <cell r="A140" t="str">
            <v>6-2</v>
          </cell>
          <cell r="B140">
            <v>198</v>
          </cell>
          <cell r="D140" t="str">
            <v>CABLE TRAY</v>
          </cell>
          <cell r="E140" t="str">
            <v>W150xH70x2.6t</v>
          </cell>
          <cell r="F140" t="str">
            <v>m</v>
          </cell>
          <cell r="H140">
            <v>10</v>
          </cell>
          <cell r="I140" t="str">
            <v>x</v>
          </cell>
          <cell r="J140">
            <v>1</v>
          </cell>
          <cell r="V140" t="str">
            <v>=</v>
          </cell>
          <cell r="W140">
            <v>10</v>
          </cell>
          <cell r="Y140" t="str">
            <v>기본</v>
          </cell>
          <cell r="Z140" t="str">
            <v>x</v>
          </cell>
          <cell r="AA140" t="str">
            <v>단위량</v>
          </cell>
          <cell r="AM140">
            <v>5135</v>
          </cell>
          <cell r="AN140">
            <v>0</v>
          </cell>
        </row>
        <row r="141">
          <cell r="A141" t="str">
            <v>6-3</v>
          </cell>
          <cell r="B141">
            <v>250</v>
          </cell>
          <cell r="D141" t="str">
            <v>TRAY COVER</v>
          </cell>
          <cell r="E141" t="str">
            <v>W150xH70x2.6t</v>
          </cell>
          <cell r="F141" t="str">
            <v>m</v>
          </cell>
          <cell r="H141">
            <v>10</v>
          </cell>
          <cell r="I141" t="str">
            <v>x</v>
          </cell>
          <cell r="J141">
            <v>1</v>
          </cell>
          <cell r="V141" t="str">
            <v>=</v>
          </cell>
          <cell r="W141">
            <v>10</v>
          </cell>
          <cell r="Y141" t="str">
            <v>기본</v>
          </cell>
          <cell r="Z141" t="str">
            <v>x</v>
          </cell>
          <cell r="AA141" t="str">
            <v>단위량</v>
          </cell>
          <cell r="AM141">
            <v>5170</v>
          </cell>
          <cell r="AN141">
            <v>0</v>
          </cell>
        </row>
        <row r="142">
          <cell r="A142" t="str">
            <v>6-4</v>
          </cell>
          <cell r="B142">
            <v>450</v>
          </cell>
          <cell r="D142" t="str">
            <v>COVER CLAMP</v>
          </cell>
          <cell r="E142" t="str">
            <v>H70</v>
          </cell>
          <cell r="F142" t="str">
            <v>개</v>
          </cell>
          <cell r="H142">
            <v>2</v>
          </cell>
          <cell r="I142" t="str">
            <v>x</v>
          </cell>
          <cell r="J142">
            <v>3</v>
          </cell>
          <cell r="V142" t="str">
            <v>=</v>
          </cell>
          <cell r="W142">
            <v>6</v>
          </cell>
          <cell r="Y142" t="str">
            <v>기본</v>
          </cell>
          <cell r="Z142" t="str">
            <v>x</v>
          </cell>
          <cell r="AA142" t="str">
            <v>단위량</v>
          </cell>
          <cell r="AM142">
            <v>972</v>
          </cell>
          <cell r="AN142">
            <v>0</v>
          </cell>
        </row>
        <row r="143">
          <cell r="A143" t="str">
            <v>6-5</v>
          </cell>
          <cell r="B143">
            <v>199</v>
          </cell>
          <cell r="D143" t="str">
            <v>CABLE TRAY BRACKET</v>
          </cell>
          <cell r="E143" t="str">
            <v>W150</v>
          </cell>
          <cell r="F143" t="str">
            <v>개</v>
          </cell>
          <cell r="H143">
            <v>7</v>
          </cell>
          <cell r="I143" t="str">
            <v>x</v>
          </cell>
          <cell r="J143">
            <v>1</v>
          </cell>
          <cell r="V143" t="str">
            <v>=</v>
          </cell>
          <cell r="W143">
            <v>7</v>
          </cell>
          <cell r="Y143" t="str">
            <v>기본</v>
          </cell>
          <cell r="Z143" t="str">
            <v>x</v>
          </cell>
          <cell r="AA143" t="str">
            <v>단위량</v>
          </cell>
          <cell r="AM143">
            <v>1549</v>
          </cell>
          <cell r="AN143">
            <v>0</v>
          </cell>
        </row>
        <row r="144">
          <cell r="A144" t="str">
            <v>6-6</v>
          </cell>
          <cell r="B144">
            <v>234</v>
          </cell>
          <cell r="D144" t="str">
            <v>앙카볼트</v>
          </cell>
          <cell r="E144" t="str">
            <v>M12xL120</v>
          </cell>
          <cell r="F144" t="str">
            <v>개</v>
          </cell>
          <cell r="H144">
            <v>2</v>
          </cell>
          <cell r="I144" t="str">
            <v>x</v>
          </cell>
          <cell r="J144">
            <v>6</v>
          </cell>
          <cell r="V144" t="str">
            <v>=</v>
          </cell>
          <cell r="W144">
            <v>12</v>
          </cell>
          <cell r="Y144" t="str">
            <v>기본</v>
          </cell>
          <cell r="Z144" t="str">
            <v>x</v>
          </cell>
          <cell r="AA144" t="str">
            <v>단위량</v>
          </cell>
          <cell r="AM144">
            <v>151</v>
          </cell>
          <cell r="AN144">
            <v>0</v>
          </cell>
        </row>
        <row r="145">
          <cell r="A145" t="str">
            <v>6-7</v>
          </cell>
          <cell r="B145">
            <v>235</v>
          </cell>
          <cell r="D145" t="str">
            <v>JOINT CONNECTOR</v>
          </cell>
          <cell r="E145" t="str">
            <v>H70</v>
          </cell>
          <cell r="F145" t="str">
            <v>개</v>
          </cell>
          <cell r="H145">
            <v>2</v>
          </cell>
          <cell r="I145" t="str">
            <v>x</v>
          </cell>
          <cell r="J145">
            <v>3</v>
          </cell>
          <cell r="V145" t="str">
            <v>=</v>
          </cell>
          <cell r="W145">
            <v>6</v>
          </cell>
          <cell r="Y145" t="str">
            <v>기본</v>
          </cell>
          <cell r="Z145" t="str">
            <v>x</v>
          </cell>
          <cell r="AA145" t="str">
            <v>단위량</v>
          </cell>
          <cell r="AM145">
            <v>715</v>
          </cell>
          <cell r="AN145">
            <v>0</v>
          </cell>
        </row>
        <row r="146">
          <cell r="A146" t="str">
            <v>6-8</v>
          </cell>
          <cell r="B146">
            <v>236</v>
          </cell>
          <cell r="D146" t="str">
            <v>SHANK BOLT/NUT</v>
          </cell>
          <cell r="E146" t="str">
            <v>3/8"x19L</v>
          </cell>
          <cell r="F146" t="str">
            <v>개</v>
          </cell>
          <cell r="H146">
            <v>8</v>
          </cell>
          <cell r="I146" t="str">
            <v>x</v>
          </cell>
          <cell r="J146">
            <v>3</v>
          </cell>
          <cell r="V146" t="str">
            <v>=</v>
          </cell>
          <cell r="W146">
            <v>24</v>
          </cell>
          <cell r="Y146" t="str">
            <v>기본</v>
          </cell>
          <cell r="Z146" t="str">
            <v>x</v>
          </cell>
          <cell r="AA146" t="str">
            <v>단위량</v>
          </cell>
          <cell r="AM146">
            <v>228</v>
          </cell>
          <cell r="AN146">
            <v>0</v>
          </cell>
        </row>
        <row r="147">
          <cell r="A147" t="str">
            <v>6-9</v>
          </cell>
          <cell r="B147" t="str">
            <v>238-1</v>
          </cell>
          <cell r="D147" t="str">
            <v>H/D CLAMP</v>
          </cell>
          <cell r="E147" t="str">
            <v>3/8"</v>
          </cell>
          <cell r="F147" t="str">
            <v>개</v>
          </cell>
          <cell r="H147">
            <v>2</v>
          </cell>
          <cell r="I147" t="str">
            <v>x</v>
          </cell>
          <cell r="J147">
            <v>3</v>
          </cell>
          <cell r="V147" t="str">
            <v>=</v>
          </cell>
          <cell r="W147">
            <v>6</v>
          </cell>
          <cell r="Y147" t="str">
            <v>기본</v>
          </cell>
          <cell r="Z147" t="str">
            <v>x</v>
          </cell>
          <cell r="AA147" t="str">
            <v>단위량</v>
          </cell>
          <cell r="AM147">
            <v>264</v>
          </cell>
          <cell r="AN147">
            <v>0</v>
          </cell>
        </row>
        <row r="148">
          <cell r="A148" t="str">
            <v>6-10</v>
          </cell>
          <cell r="B148">
            <v>237</v>
          </cell>
          <cell r="D148" t="str">
            <v>GROUND BONDING JUMPER</v>
          </cell>
          <cell r="E148" t="str">
            <v>22㎟</v>
          </cell>
          <cell r="F148" t="str">
            <v>개</v>
          </cell>
          <cell r="H148">
            <v>2</v>
          </cell>
          <cell r="I148" t="str">
            <v>x</v>
          </cell>
          <cell r="J148">
            <v>3</v>
          </cell>
          <cell r="V148" t="str">
            <v>=</v>
          </cell>
          <cell r="W148">
            <v>6</v>
          </cell>
          <cell r="Y148" t="str">
            <v>기본</v>
          </cell>
          <cell r="Z148" t="str">
            <v>x</v>
          </cell>
          <cell r="AA148" t="str">
            <v>단위량</v>
          </cell>
          <cell r="AM148">
            <v>1056</v>
          </cell>
          <cell r="AN148">
            <v>0</v>
          </cell>
        </row>
        <row r="149">
          <cell r="A149" t="str">
            <v>6-11</v>
          </cell>
          <cell r="B149">
            <v>238</v>
          </cell>
          <cell r="D149" t="str">
            <v>HEX B/N</v>
          </cell>
          <cell r="E149" t="str">
            <v>3/8"x19L</v>
          </cell>
          <cell r="F149" t="str">
            <v>개</v>
          </cell>
          <cell r="H149">
            <v>2</v>
          </cell>
          <cell r="I149" t="str">
            <v>x</v>
          </cell>
          <cell r="J149">
            <v>3</v>
          </cell>
          <cell r="V149" t="str">
            <v>=</v>
          </cell>
          <cell r="W149">
            <v>6</v>
          </cell>
          <cell r="Y149" t="str">
            <v>기본</v>
          </cell>
          <cell r="Z149" t="str">
            <v>x</v>
          </cell>
          <cell r="AA149" t="str">
            <v>단위량</v>
          </cell>
          <cell r="AM149">
            <v>308</v>
          </cell>
          <cell r="AN149">
            <v>0</v>
          </cell>
        </row>
        <row r="150">
          <cell r="A150" t="str">
            <v>6-12</v>
          </cell>
          <cell r="B150">
            <v>542</v>
          </cell>
          <cell r="D150" t="str">
            <v>나. 노무비</v>
          </cell>
          <cell r="E150">
            <v>0</v>
          </cell>
          <cell r="F150">
            <v>0</v>
          </cell>
          <cell r="AM150">
            <v>0</v>
          </cell>
          <cell r="AN150">
            <v>0</v>
          </cell>
        </row>
        <row r="151">
          <cell r="B151">
            <v>518</v>
          </cell>
          <cell r="D151" t="str">
            <v>통신내선공</v>
          </cell>
          <cell r="E151">
            <v>0</v>
          </cell>
          <cell r="F151" t="str">
            <v>인</v>
          </cell>
          <cell r="H151">
            <v>2.25</v>
          </cell>
          <cell r="I151" t="str">
            <v>x</v>
          </cell>
          <cell r="J151">
            <v>1</v>
          </cell>
          <cell r="V151" t="str">
            <v>=</v>
          </cell>
          <cell r="W151">
            <v>2.25</v>
          </cell>
          <cell r="Y151" t="str">
            <v>기본</v>
          </cell>
          <cell r="Z151" t="str">
            <v>x</v>
          </cell>
          <cell r="AA151" t="str">
            <v>단위량</v>
          </cell>
          <cell r="AL151" t="str">
            <v>통 3-61-아</v>
          </cell>
          <cell r="AM151">
            <v>63806</v>
          </cell>
          <cell r="AN151">
            <v>0</v>
          </cell>
        </row>
        <row r="152">
          <cell r="B152">
            <v>544</v>
          </cell>
          <cell r="D152" t="str">
            <v>소    계</v>
          </cell>
          <cell r="E152">
            <v>0</v>
          </cell>
          <cell r="F152">
            <v>0</v>
          </cell>
          <cell r="AM152">
            <v>0</v>
          </cell>
          <cell r="AN152">
            <v>0</v>
          </cell>
        </row>
        <row r="153">
          <cell r="A153" t="str">
            <v>6-13</v>
          </cell>
          <cell r="B153">
            <v>518</v>
          </cell>
          <cell r="D153" t="str">
            <v>통신내선공</v>
          </cell>
          <cell r="E153">
            <v>0</v>
          </cell>
          <cell r="F153" t="str">
            <v>인</v>
          </cell>
          <cell r="V153" t="str">
            <v>=</v>
          </cell>
          <cell r="W153">
            <v>2.25</v>
          </cell>
          <cell r="AM153">
            <v>63806</v>
          </cell>
          <cell r="AN153">
            <v>0</v>
          </cell>
        </row>
        <row r="154">
          <cell r="A154" t="str">
            <v>6-14</v>
          </cell>
          <cell r="B154">
            <v>543</v>
          </cell>
          <cell r="D154" t="str">
            <v>다. 공구손료</v>
          </cell>
          <cell r="E154" t="str">
            <v>노무비x3%</v>
          </cell>
          <cell r="F154">
            <v>0</v>
          </cell>
          <cell r="AM154">
            <v>0</v>
          </cell>
          <cell r="AN154">
            <v>0</v>
          </cell>
        </row>
        <row r="155">
          <cell r="A155" t="str">
            <v>6-15</v>
          </cell>
          <cell r="B155">
            <v>518</v>
          </cell>
          <cell r="D155" t="str">
            <v>통신내선공</v>
          </cell>
          <cell r="E155">
            <v>0</v>
          </cell>
          <cell r="F155" t="str">
            <v>인</v>
          </cell>
          <cell r="H155">
            <v>2.25</v>
          </cell>
          <cell r="I155" t="str">
            <v>x</v>
          </cell>
          <cell r="J155">
            <v>0.03</v>
          </cell>
          <cell r="V155" t="str">
            <v>=</v>
          </cell>
          <cell r="W155">
            <v>7.0000000000000007E-2</v>
          </cell>
          <cell r="Y155" t="str">
            <v>기본</v>
          </cell>
          <cell r="Z155" t="str">
            <v>x</v>
          </cell>
          <cell r="AA155" t="str">
            <v>공구손료</v>
          </cell>
          <cell r="AM155">
            <v>63806</v>
          </cell>
          <cell r="AN155">
            <v>0</v>
          </cell>
        </row>
        <row r="156">
          <cell r="AM156">
            <v>0</v>
          </cell>
        </row>
        <row r="157">
          <cell r="AM157">
            <v>0</v>
          </cell>
        </row>
        <row r="158">
          <cell r="AM158">
            <v>0</v>
          </cell>
        </row>
        <row r="159">
          <cell r="AM159">
            <v>0</v>
          </cell>
          <cell r="AN159">
            <v>0</v>
          </cell>
        </row>
        <row r="160">
          <cell r="AM160">
            <v>0</v>
          </cell>
          <cell r="AN160">
            <v>0</v>
          </cell>
        </row>
        <row r="161">
          <cell r="AM161">
            <v>0</v>
          </cell>
        </row>
        <row r="162">
          <cell r="AM162">
            <v>0</v>
          </cell>
          <cell r="AN162">
            <v>0</v>
          </cell>
        </row>
        <row r="163">
          <cell r="AM163">
            <v>0</v>
          </cell>
          <cell r="AN163">
            <v>0</v>
          </cell>
        </row>
        <row r="164">
          <cell r="W164">
            <v>0</v>
          </cell>
          <cell r="AM164">
            <v>0</v>
          </cell>
          <cell r="AN164">
            <v>0</v>
          </cell>
        </row>
        <row r="165">
          <cell r="A165">
            <v>7</v>
          </cell>
          <cell r="C165">
            <v>7</v>
          </cell>
          <cell r="D165" t="str">
            <v>케이블트레이신설(영종대교)</v>
          </cell>
          <cell r="E165" t="str">
            <v>W300xH70x2.6t</v>
          </cell>
          <cell r="F165" t="str">
            <v>10m</v>
          </cell>
          <cell r="AM165">
            <v>0</v>
          </cell>
          <cell r="AN165">
            <v>0</v>
          </cell>
        </row>
        <row r="166">
          <cell r="A166" t="str">
            <v>7-1</v>
          </cell>
          <cell r="B166">
            <v>541</v>
          </cell>
          <cell r="D166" t="str">
            <v>가. 재료비</v>
          </cell>
          <cell r="E166">
            <v>0</v>
          </cell>
          <cell r="F166">
            <v>0</v>
          </cell>
          <cell r="AM166">
            <v>0</v>
          </cell>
          <cell r="AN166">
            <v>0</v>
          </cell>
        </row>
        <row r="167">
          <cell r="A167" t="str">
            <v>7-2</v>
          </cell>
          <cell r="B167">
            <v>253</v>
          </cell>
          <cell r="D167" t="str">
            <v>CABLE TRAY</v>
          </cell>
          <cell r="E167" t="str">
            <v>W300xH70x2.6t</v>
          </cell>
          <cell r="F167" t="str">
            <v>m</v>
          </cell>
          <cell r="H167">
            <v>10</v>
          </cell>
          <cell r="I167" t="str">
            <v>x</v>
          </cell>
          <cell r="J167">
            <v>1</v>
          </cell>
          <cell r="V167" t="str">
            <v>=</v>
          </cell>
          <cell r="W167">
            <v>10</v>
          </cell>
          <cell r="Y167" t="str">
            <v>기본</v>
          </cell>
          <cell r="Z167" t="str">
            <v>x</v>
          </cell>
          <cell r="AA167" t="str">
            <v>단위량</v>
          </cell>
          <cell r="AM167">
            <v>5720</v>
          </cell>
          <cell r="AN167">
            <v>0</v>
          </cell>
        </row>
        <row r="168">
          <cell r="A168" t="str">
            <v>7-3</v>
          </cell>
          <cell r="B168" t="str">
            <v>253-1</v>
          </cell>
          <cell r="D168" t="str">
            <v>TRAY COVER</v>
          </cell>
          <cell r="E168" t="str">
            <v>W300xH70x2.6t</v>
          </cell>
          <cell r="F168" t="str">
            <v>m</v>
          </cell>
          <cell r="H168">
            <v>10</v>
          </cell>
          <cell r="I168" t="str">
            <v>x</v>
          </cell>
          <cell r="J168">
            <v>1</v>
          </cell>
          <cell r="V168" t="str">
            <v>=</v>
          </cell>
          <cell r="W168">
            <v>10</v>
          </cell>
          <cell r="Y168" t="str">
            <v>기본</v>
          </cell>
          <cell r="Z168" t="str">
            <v>x</v>
          </cell>
          <cell r="AA168" t="str">
            <v>단위량</v>
          </cell>
          <cell r="AM168">
            <v>9600</v>
          </cell>
          <cell r="AN168">
            <v>0</v>
          </cell>
        </row>
        <row r="169">
          <cell r="A169" t="str">
            <v>7-4</v>
          </cell>
          <cell r="B169">
            <v>450</v>
          </cell>
          <cell r="D169" t="str">
            <v>COVER CLAMP</v>
          </cell>
          <cell r="E169" t="str">
            <v>H70</v>
          </cell>
          <cell r="F169" t="str">
            <v>개</v>
          </cell>
          <cell r="H169">
            <v>2</v>
          </cell>
          <cell r="I169" t="str">
            <v>x</v>
          </cell>
          <cell r="J169">
            <v>3</v>
          </cell>
          <cell r="V169" t="str">
            <v>=</v>
          </cell>
          <cell r="W169">
            <v>6</v>
          </cell>
          <cell r="Y169" t="str">
            <v>기본</v>
          </cell>
          <cell r="Z169" t="str">
            <v>x</v>
          </cell>
          <cell r="AA169" t="str">
            <v>단위량</v>
          </cell>
          <cell r="AM169">
            <v>972</v>
          </cell>
          <cell r="AN169">
            <v>0</v>
          </cell>
        </row>
        <row r="170">
          <cell r="A170" t="str">
            <v>7-5</v>
          </cell>
          <cell r="B170">
            <v>234</v>
          </cell>
          <cell r="D170" t="str">
            <v>앙카볼트</v>
          </cell>
          <cell r="E170" t="str">
            <v>M12xL120</v>
          </cell>
          <cell r="F170" t="str">
            <v>개</v>
          </cell>
          <cell r="H170">
            <v>2</v>
          </cell>
          <cell r="I170" t="str">
            <v>x</v>
          </cell>
          <cell r="J170">
            <v>6</v>
          </cell>
          <cell r="V170" t="str">
            <v>=</v>
          </cell>
          <cell r="W170">
            <v>12</v>
          </cell>
          <cell r="Y170" t="str">
            <v>기본</v>
          </cell>
          <cell r="Z170" t="str">
            <v>x</v>
          </cell>
          <cell r="AA170" t="str">
            <v>단위량</v>
          </cell>
          <cell r="AM170">
            <v>151</v>
          </cell>
          <cell r="AN170">
            <v>0</v>
          </cell>
        </row>
        <row r="171">
          <cell r="A171" t="str">
            <v>7-6</v>
          </cell>
          <cell r="B171">
            <v>235</v>
          </cell>
          <cell r="D171" t="str">
            <v>JOINT CONNECTOR</v>
          </cell>
          <cell r="E171" t="str">
            <v>H70</v>
          </cell>
          <cell r="F171" t="str">
            <v>개</v>
          </cell>
          <cell r="H171">
            <v>2</v>
          </cell>
          <cell r="I171" t="str">
            <v>x</v>
          </cell>
          <cell r="J171">
            <v>3</v>
          </cell>
          <cell r="V171" t="str">
            <v>=</v>
          </cell>
          <cell r="W171">
            <v>6</v>
          </cell>
          <cell r="Y171" t="str">
            <v>기본</v>
          </cell>
          <cell r="Z171" t="str">
            <v>x</v>
          </cell>
          <cell r="AA171" t="str">
            <v>단위량</v>
          </cell>
          <cell r="AM171">
            <v>715</v>
          </cell>
          <cell r="AN171">
            <v>0</v>
          </cell>
        </row>
        <row r="172">
          <cell r="A172" t="str">
            <v>7-7</v>
          </cell>
          <cell r="B172">
            <v>236</v>
          </cell>
          <cell r="D172" t="str">
            <v>SHANK BOLT/NUT</v>
          </cell>
          <cell r="E172" t="str">
            <v>3/8"x19L</v>
          </cell>
          <cell r="F172" t="str">
            <v>개</v>
          </cell>
          <cell r="H172">
            <v>8</v>
          </cell>
          <cell r="I172" t="str">
            <v>x</v>
          </cell>
          <cell r="J172">
            <v>3</v>
          </cell>
          <cell r="V172" t="str">
            <v>=</v>
          </cell>
          <cell r="W172">
            <v>24</v>
          </cell>
          <cell r="Y172" t="str">
            <v>기본</v>
          </cell>
          <cell r="Z172" t="str">
            <v>x</v>
          </cell>
          <cell r="AA172" t="str">
            <v>단위량</v>
          </cell>
          <cell r="AM172">
            <v>228</v>
          </cell>
          <cell r="AN172">
            <v>0</v>
          </cell>
        </row>
        <row r="173">
          <cell r="A173" t="str">
            <v>7-8</v>
          </cell>
          <cell r="B173" t="str">
            <v>238-1</v>
          </cell>
          <cell r="D173" t="str">
            <v>H/D CLAMP</v>
          </cell>
          <cell r="E173" t="str">
            <v>3/8"</v>
          </cell>
          <cell r="F173" t="str">
            <v>개</v>
          </cell>
          <cell r="H173">
            <v>2</v>
          </cell>
          <cell r="I173" t="str">
            <v>x</v>
          </cell>
          <cell r="J173">
            <v>3</v>
          </cell>
          <cell r="V173" t="str">
            <v>=</v>
          </cell>
          <cell r="W173">
            <v>6</v>
          </cell>
          <cell r="Y173" t="str">
            <v>기본</v>
          </cell>
          <cell r="Z173" t="str">
            <v>x</v>
          </cell>
          <cell r="AA173" t="str">
            <v>단위량</v>
          </cell>
          <cell r="AM173">
            <v>264</v>
          </cell>
          <cell r="AN173">
            <v>0</v>
          </cell>
        </row>
        <row r="174">
          <cell r="A174" t="str">
            <v>7-9</v>
          </cell>
          <cell r="B174" t="str">
            <v>237-1</v>
          </cell>
          <cell r="D174" t="str">
            <v>GROUND BONDING JUMPER</v>
          </cell>
          <cell r="E174" t="str">
            <v>38㎟</v>
          </cell>
          <cell r="F174" t="str">
            <v>개</v>
          </cell>
          <cell r="H174">
            <v>2</v>
          </cell>
          <cell r="I174" t="str">
            <v>x</v>
          </cell>
          <cell r="J174">
            <v>3</v>
          </cell>
          <cell r="V174" t="str">
            <v>=</v>
          </cell>
          <cell r="W174">
            <v>6</v>
          </cell>
          <cell r="Y174" t="str">
            <v>기본</v>
          </cell>
          <cell r="Z174" t="str">
            <v>x</v>
          </cell>
          <cell r="AA174" t="str">
            <v>단위량</v>
          </cell>
          <cell r="AM174">
            <v>1408</v>
          </cell>
          <cell r="AN174">
            <v>0</v>
          </cell>
        </row>
        <row r="175">
          <cell r="A175" t="str">
            <v>7-10</v>
          </cell>
          <cell r="B175">
            <v>238</v>
          </cell>
          <cell r="D175" t="str">
            <v>HEX B/N</v>
          </cell>
          <cell r="E175" t="str">
            <v>3/8"x19L</v>
          </cell>
          <cell r="F175" t="str">
            <v>개</v>
          </cell>
          <cell r="H175">
            <v>2</v>
          </cell>
          <cell r="I175" t="str">
            <v>x</v>
          </cell>
          <cell r="J175">
            <v>3</v>
          </cell>
          <cell r="V175" t="str">
            <v>=</v>
          </cell>
          <cell r="W175">
            <v>6</v>
          </cell>
          <cell r="Y175" t="str">
            <v>기본</v>
          </cell>
          <cell r="Z175" t="str">
            <v>x</v>
          </cell>
          <cell r="AA175" t="str">
            <v>단위량</v>
          </cell>
          <cell r="AM175">
            <v>308</v>
          </cell>
          <cell r="AN175">
            <v>0</v>
          </cell>
        </row>
        <row r="176">
          <cell r="A176" t="str">
            <v>7-11</v>
          </cell>
          <cell r="B176">
            <v>542</v>
          </cell>
          <cell r="D176" t="str">
            <v>나. 노무비</v>
          </cell>
          <cell r="E176">
            <v>0</v>
          </cell>
          <cell r="F176">
            <v>0</v>
          </cell>
          <cell r="AM176">
            <v>0</v>
          </cell>
          <cell r="AN176">
            <v>0</v>
          </cell>
        </row>
        <row r="177">
          <cell r="B177">
            <v>518</v>
          </cell>
          <cell r="D177" t="str">
            <v>통신내선공</v>
          </cell>
          <cell r="E177">
            <v>0</v>
          </cell>
          <cell r="F177" t="str">
            <v>인</v>
          </cell>
          <cell r="H177">
            <v>2.25</v>
          </cell>
          <cell r="I177" t="str">
            <v>x</v>
          </cell>
          <cell r="J177">
            <v>1</v>
          </cell>
          <cell r="K177" t="str">
            <v>x</v>
          </cell>
          <cell r="L177" t="str">
            <v>(</v>
          </cell>
          <cell r="M177">
            <v>1</v>
          </cell>
          <cell r="N177" t="str">
            <v>+</v>
          </cell>
          <cell r="O177">
            <v>0.3</v>
          </cell>
          <cell r="P177" t="str">
            <v>)</v>
          </cell>
          <cell r="V177" t="str">
            <v>=</v>
          </cell>
          <cell r="W177">
            <v>2.93</v>
          </cell>
          <cell r="Y177" t="str">
            <v>기본</v>
          </cell>
          <cell r="Z177" t="str">
            <v>x</v>
          </cell>
          <cell r="AA177" t="str">
            <v>단위량</v>
          </cell>
          <cell r="AB177" t="str">
            <v>x</v>
          </cell>
          <cell r="AC177" t="str">
            <v>(</v>
          </cell>
          <cell r="AD177">
            <v>1</v>
          </cell>
          <cell r="AE177" t="str">
            <v>+</v>
          </cell>
          <cell r="AF177" t="str">
            <v>교량</v>
          </cell>
          <cell r="AG177" t="str">
            <v>)</v>
          </cell>
          <cell r="AL177" t="str">
            <v>통 3-61-아(교량)</v>
          </cell>
          <cell r="AM177">
            <v>63806</v>
          </cell>
          <cell r="AN177">
            <v>0</v>
          </cell>
        </row>
        <row r="178">
          <cell r="B178">
            <v>544</v>
          </cell>
          <cell r="D178" t="str">
            <v>소    계</v>
          </cell>
          <cell r="E178">
            <v>0</v>
          </cell>
          <cell r="F178">
            <v>0</v>
          </cell>
          <cell r="AM178">
            <v>0</v>
          </cell>
          <cell r="AN178">
            <v>0</v>
          </cell>
        </row>
        <row r="179">
          <cell r="A179" t="str">
            <v>7-12</v>
          </cell>
          <cell r="B179">
            <v>518</v>
          </cell>
          <cell r="D179" t="str">
            <v>통신내선공</v>
          </cell>
          <cell r="E179">
            <v>0</v>
          </cell>
          <cell r="F179" t="str">
            <v>인</v>
          </cell>
          <cell r="V179" t="str">
            <v>=</v>
          </cell>
          <cell r="W179">
            <v>2.93</v>
          </cell>
          <cell r="AM179">
            <v>63806</v>
          </cell>
          <cell r="AN179">
            <v>0</v>
          </cell>
        </row>
        <row r="180">
          <cell r="A180" t="str">
            <v>7-13</v>
          </cell>
          <cell r="B180">
            <v>543</v>
          </cell>
          <cell r="D180" t="str">
            <v>다. 공구손료</v>
          </cell>
          <cell r="E180" t="str">
            <v>노무비x3%</v>
          </cell>
          <cell r="F180">
            <v>0</v>
          </cell>
          <cell r="AM180">
            <v>0</v>
          </cell>
          <cell r="AN180">
            <v>0</v>
          </cell>
        </row>
        <row r="181">
          <cell r="A181" t="str">
            <v>7-14</v>
          </cell>
          <cell r="B181">
            <v>518</v>
          </cell>
          <cell r="D181" t="str">
            <v>통신내선공</v>
          </cell>
          <cell r="E181">
            <v>0</v>
          </cell>
          <cell r="F181" t="str">
            <v>인</v>
          </cell>
          <cell r="H181">
            <v>2.25</v>
          </cell>
          <cell r="I181" t="str">
            <v>x</v>
          </cell>
          <cell r="J181">
            <v>0.03</v>
          </cell>
          <cell r="V181" t="str">
            <v>=</v>
          </cell>
          <cell r="W181">
            <v>7.0000000000000007E-2</v>
          </cell>
          <cell r="Y181" t="str">
            <v>기본</v>
          </cell>
          <cell r="Z181" t="str">
            <v>x</v>
          </cell>
          <cell r="AA181" t="str">
            <v>공구손료</v>
          </cell>
          <cell r="AM181">
            <v>63806</v>
          </cell>
          <cell r="AN181">
            <v>0</v>
          </cell>
        </row>
        <row r="182">
          <cell r="AM182">
            <v>0</v>
          </cell>
        </row>
        <row r="183">
          <cell r="AM183">
            <v>0</v>
          </cell>
        </row>
        <row r="184">
          <cell r="AM184">
            <v>0</v>
          </cell>
        </row>
        <row r="185">
          <cell r="AM185">
            <v>0</v>
          </cell>
        </row>
        <row r="186">
          <cell r="AM186">
            <v>0</v>
          </cell>
          <cell r="AN186">
            <v>0</v>
          </cell>
        </row>
        <row r="187">
          <cell r="AM187">
            <v>0</v>
          </cell>
        </row>
        <row r="188">
          <cell r="AM188">
            <v>0</v>
          </cell>
          <cell r="AN188">
            <v>0</v>
          </cell>
        </row>
        <row r="189">
          <cell r="AM189">
            <v>0</v>
          </cell>
          <cell r="AN189">
            <v>0</v>
          </cell>
        </row>
        <row r="190">
          <cell r="AM190">
            <v>0</v>
          </cell>
          <cell r="AN190">
            <v>0</v>
          </cell>
        </row>
        <row r="191">
          <cell r="W191">
            <v>0</v>
          </cell>
          <cell r="AM191">
            <v>0</v>
          </cell>
          <cell r="AN191">
            <v>0</v>
          </cell>
        </row>
        <row r="192">
          <cell r="A192">
            <v>8</v>
          </cell>
          <cell r="C192">
            <v>8</v>
          </cell>
          <cell r="D192" t="str">
            <v>케이블트레이신설(영종대교)</v>
          </cell>
          <cell r="E192" t="str">
            <v>W150xH70x2.6t</v>
          </cell>
          <cell r="F192" t="str">
            <v>10m</v>
          </cell>
          <cell r="AM192">
            <v>0</v>
          </cell>
          <cell r="AN192">
            <v>0</v>
          </cell>
        </row>
        <row r="193">
          <cell r="A193" t="str">
            <v>8-1</v>
          </cell>
          <cell r="B193">
            <v>541</v>
          </cell>
          <cell r="D193" t="str">
            <v>가. 재료비</v>
          </cell>
          <cell r="E193">
            <v>0</v>
          </cell>
          <cell r="F193">
            <v>0</v>
          </cell>
          <cell r="AM193">
            <v>0</v>
          </cell>
          <cell r="AN193">
            <v>0</v>
          </cell>
        </row>
        <row r="194">
          <cell r="A194" t="str">
            <v>8-2</v>
          </cell>
          <cell r="B194">
            <v>198</v>
          </cell>
          <cell r="D194" t="str">
            <v>CABLE TRAY</v>
          </cell>
          <cell r="E194" t="str">
            <v>W150xH70x2.6t</v>
          </cell>
          <cell r="F194" t="str">
            <v>m</v>
          </cell>
          <cell r="H194">
            <v>10</v>
          </cell>
          <cell r="I194" t="str">
            <v>x</v>
          </cell>
          <cell r="J194">
            <v>1</v>
          </cell>
          <cell r="V194" t="str">
            <v>=</v>
          </cell>
          <cell r="W194">
            <v>10</v>
          </cell>
          <cell r="Y194" t="str">
            <v>기본</v>
          </cell>
          <cell r="Z194" t="str">
            <v>x</v>
          </cell>
          <cell r="AA194" t="str">
            <v>단위량</v>
          </cell>
          <cell r="AM194">
            <v>5135</v>
          </cell>
          <cell r="AN194">
            <v>0</v>
          </cell>
        </row>
        <row r="195">
          <cell r="A195" t="str">
            <v>8-3</v>
          </cell>
          <cell r="B195">
            <v>250</v>
          </cell>
          <cell r="D195" t="str">
            <v>TRAY COVER</v>
          </cell>
          <cell r="E195" t="str">
            <v>W150xH70x2.6t</v>
          </cell>
          <cell r="F195" t="str">
            <v>m</v>
          </cell>
          <cell r="H195">
            <v>10</v>
          </cell>
          <cell r="I195" t="str">
            <v>x</v>
          </cell>
          <cell r="J195">
            <v>1</v>
          </cell>
          <cell r="V195" t="str">
            <v>=</v>
          </cell>
          <cell r="W195">
            <v>10</v>
          </cell>
          <cell r="Y195" t="str">
            <v>기본</v>
          </cell>
          <cell r="Z195" t="str">
            <v>x</v>
          </cell>
          <cell r="AA195" t="str">
            <v>단위량</v>
          </cell>
          <cell r="AM195">
            <v>5170</v>
          </cell>
          <cell r="AN195">
            <v>0</v>
          </cell>
        </row>
        <row r="196">
          <cell r="A196" t="str">
            <v>8-4</v>
          </cell>
          <cell r="B196">
            <v>450</v>
          </cell>
          <cell r="D196" t="str">
            <v>COVER CLAMP</v>
          </cell>
          <cell r="E196" t="str">
            <v>H70</v>
          </cell>
          <cell r="F196" t="str">
            <v>개</v>
          </cell>
          <cell r="H196">
            <v>2</v>
          </cell>
          <cell r="I196" t="str">
            <v>x</v>
          </cell>
          <cell r="J196">
            <v>3</v>
          </cell>
          <cell r="V196" t="str">
            <v>=</v>
          </cell>
          <cell r="W196">
            <v>6</v>
          </cell>
          <cell r="Y196" t="str">
            <v>기본</v>
          </cell>
          <cell r="Z196" t="str">
            <v>x</v>
          </cell>
          <cell r="AA196" t="str">
            <v>단위량</v>
          </cell>
          <cell r="AM196">
            <v>972</v>
          </cell>
          <cell r="AN196">
            <v>0</v>
          </cell>
        </row>
        <row r="197">
          <cell r="A197" t="str">
            <v>8-5</v>
          </cell>
          <cell r="B197">
            <v>234</v>
          </cell>
          <cell r="D197" t="str">
            <v>앙카볼트</v>
          </cell>
          <cell r="E197" t="str">
            <v>M12xL120</v>
          </cell>
          <cell r="F197" t="str">
            <v>개</v>
          </cell>
          <cell r="H197">
            <v>2</v>
          </cell>
          <cell r="I197" t="str">
            <v>x</v>
          </cell>
          <cell r="J197">
            <v>6</v>
          </cell>
          <cell r="V197" t="str">
            <v>=</v>
          </cell>
          <cell r="W197">
            <v>12</v>
          </cell>
          <cell r="Y197" t="str">
            <v>기본</v>
          </cell>
          <cell r="Z197" t="str">
            <v>x</v>
          </cell>
          <cell r="AA197" t="str">
            <v>단위량</v>
          </cell>
          <cell r="AM197">
            <v>151</v>
          </cell>
          <cell r="AN197">
            <v>0</v>
          </cell>
        </row>
        <row r="198">
          <cell r="A198" t="str">
            <v>8-6</v>
          </cell>
          <cell r="B198">
            <v>235</v>
          </cell>
          <cell r="D198" t="str">
            <v>JOINT CONNECTOR</v>
          </cell>
          <cell r="E198" t="str">
            <v>H70</v>
          </cell>
          <cell r="F198" t="str">
            <v>개</v>
          </cell>
          <cell r="H198">
            <v>2</v>
          </cell>
          <cell r="I198" t="str">
            <v>x</v>
          </cell>
          <cell r="J198">
            <v>3</v>
          </cell>
          <cell r="V198" t="str">
            <v>=</v>
          </cell>
          <cell r="W198">
            <v>6</v>
          </cell>
          <cell r="Y198" t="str">
            <v>기본</v>
          </cell>
          <cell r="Z198" t="str">
            <v>x</v>
          </cell>
          <cell r="AA198" t="str">
            <v>단위량</v>
          </cell>
          <cell r="AM198">
            <v>715</v>
          </cell>
          <cell r="AN198">
            <v>0</v>
          </cell>
        </row>
        <row r="199">
          <cell r="A199" t="str">
            <v>8-7</v>
          </cell>
          <cell r="B199">
            <v>236</v>
          </cell>
          <cell r="D199" t="str">
            <v>SHANK BOLT/NUT</v>
          </cell>
          <cell r="E199" t="str">
            <v>3/8"x19L</v>
          </cell>
          <cell r="F199" t="str">
            <v>개</v>
          </cell>
          <cell r="H199">
            <v>8</v>
          </cell>
          <cell r="I199" t="str">
            <v>x</v>
          </cell>
          <cell r="J199">
            <v>3</v>
          </cell>
          <cell r="V199" t="str">
            <v>=</v>
          </cell>
          <cell r="W199">
            <v>24</v>
          </cell>
          <cell r="Y199" t="str">
            <v>기본</v>
          </cell>
          <cell r="Z199" t="str">
            <v>x</v>
          </cell>
          <cell r="AA199" t="str">
            <v>단위량</v>
          </cell>
          <cell r="AM199">
            <v>228</v>
          </cell>
          <cell r="AN199">
            <v>0</v>
          </cell>
        </row>
        <row r="200">
          <cell r="A200" t="str">
            <v>8-8</v>
          </cell>
          <cell r="B200" t="str">
            <v>238-1</v>
          </cell>
          <cell r="D200" t="str">
            <v>H/D CLAMP</v>
          </cell>
          <cell r="E200" t="str">
            <v>3/8"</v>
          </cell>
          <cell r="F200" t="str">
            <v>개</v>
          </cell>
          <cell r="H200">
            <v>2</v>
          </cell>
          <cell r="I200" t="str">
            <v>x</v>
          </cell>
          <cell r="J200">
            <v>3</v>
          </cell>
          <cell r="V200" t="str">
            <v>=</v>
          </cell>
          <cell r="W200">
            <v>6</v>
          </cell>
          <cell r="Y200" t="str">
            <v>기본</v>
          </cell>
          <cell r="Z200" t="str">
            <v>x</v>
          </cell>
          <cell r="AA200" t="str">
            <v>단위량</v>
          </cell>
          <cell r="AM200">
            <v>264</v>
          </cell>
          <cell r="AN200">
            <v>0</v>
          </cell>
        </row>
        <row r="201">
          <cell r="A201" t="str">
            <v>8-9</v>
          </cell>
          <cell r="B201">
            <v>237</v>
          </cell>
          <cell r="D201" t="str">
            <v>GROUND BONDING JUMPER</v>
          </cell>
          <cell r="E201" t="str">
            <v>22㎟</v>
          </cell>
          <cell r="F201" t="str">
            <v>개</v>
          </cell>
          <cell r="H201">
            <v>2</v>
          </cell>
          <cell r="I201" t="str">
            <v>x</v>
          </cell>
          <cell r="J201">
            <v>3</v>
          </cell>
          <cell r="V201" t="str">
            <v>=</v>
          </cell>
          <cell r="W201">
            <v>6</v>
          </cell>
          <cell r="Y201" t="str">
            <v>기본</v>
          </cell>
          <cell r="Z201" t="str">
            <v>x</v>
          </cell>
          <cell r="AA201" t="str">
            <v>단위량</v>
          </cell>
          <cell r="AM201">
            <v>1056</v>
          </cell>
          <cell r="AN201">
            <v>0</v>
          </cell>
        </row>
        <row r="202">
          <cell r="A202" t="str">
            <v>8-10</v>
          </cell>
          <cell r="B202">
            <v>238</v>
          </cell>
          <cell r="D202" t="str">
            <v>HEX B/N</v>
          </cell>
          <cell r="E202" t="str">
            <v>3/8"x19L</v>
          </cell>
          <cell r="F202" t="str">
            <v>개</v>
          </cell>
          <cell r="H202">
            <v>2</v>
          </cell>
          <cell r="I202" t="str">
            <v>x</v>
          </cell>
          <cell r="J202">
            <v>3</v>
          </cell>
          <cell r="V202" t="str">
            <v>=</v>
          </cell>
          <cell r="W202">
            <v>6</v>
          </cell>
          <cell r="Y202" t="str">
            <v>기본</v>
          </cell>
          <cell r="Z202" t="str">
            <v>x</v>
          </cell>
          <cell r="AA202" t="str">
            <v>단위량</v>
          </cell>
          <cell r="AM202">
            <v>308</v>
          </cell>
          <cell r="AN202">
            <v>0</v>
          </cell>
        </row>
        <row r="203">
          <cell r="A203" t="str">
            <v>8-11</v>
          </cell>
          <cell r="B203">
            <v>542</v>
          </cell>
          <cell r="D203" t="str">
            <v>나. 노무비</v>
          </cell>
          <cell r="E203">
            <v>0</v>
          </cell>
          <cell r="F203">
            <v>0</v>
          </cell>
          <cell r="AM203">
            <v>0</v>
          </cell>
          <cell r="AN203">
            <v>0</v>
          </cell>
        </row>
        <row r="204">
          <cell r="B204">
            <v>518</v>
          </cell>
          <cell r="D204" t="str">
            <v>통신내선공</v>
          </cell>
          <cell r="E204">
            <v>0</v>
          </cell>
          <cell r="F204" t="str">
            <v>인</v>
          </cell>
          <cell r="H204">
            <v>2.25</v>
          </cell>
          <cell r="I204" t="str">
            <v>x</v>
          </cell>
          <cell r="J204">
            <v>1</v>
          </cell>
          <cell r="K204" t="str">
            <v>x</v>
          </cell>
          <cell r="L204" t="str">
            <v>(</v>
          </cell>
          <cell r="M204">
            <v>1</v>
          </cell>
          <cell r="N204" t="str">
            <v>+</v>
          </cell>
          <cell r="O204">
            <v>0.3</v>
          </cell>
          <cell r="P204" t="str">
            <v>)</v>
          </cell>
          <cell r="V204" t="str">
            <v>=</v>
          </cell>
          <cell r="W204">
            <v>2.93</v>
          </cell>
          <cell r="Y204" t="str">
            <v>기본</v>
          </cell>
          <cell r="Z204" t="str">
            <v>x</v>
          </cell>
          <cell r="AA204" t="str">
            <v>단위량</v>
          </cell>
          <cell r="AB204" t="str">
            <v>x</v>
          </cell>
          <cell r="AC204" t="str">
            <v>(</v>
          </cell>
          <cell r="AD204">
            <v>1</v>
          </cell>
          <cell r="AE204" t="str">
            <v>+</v>
          </cell>
          <cell r="AF204" t="str">
            <v>교량</v>
          </cell>
          <cell r="AG204" t="str">
            <v>)</v>
          </cell>
          <cell r="AL204" t="str">
            <v>통 3-61-아(교량)</v>
          </cell>
          <cell r="AM204">
            <v>63806</v>
          </cell>
          <cell r="AN204">
            <v>0</v>
          </cell>
        </row>
        <row r="205">
          <cell r="B205">
            <v>544</v>
          </cell>
          <cell r="D205" t="str">
            <v>소    계</v>
          </cell>
          <cell r="E205">
            <v>0</v>
          </cell>
          <cell r="F205">
            <v>0</v>
          </cell>
          <cell r="AM205">
            <v>0</v>
          </cell>
          <cell r="AN205">
            <v>0</v>
          </cell>
        </row>
        <row r="206">
          <cell r="A206" t="str">
            <v>8-12</v>
          </cell>
          <cell r="B206">
            <v>518</v>
          </cell>
          <cell r="D206" t="str">
            <v>통신내선공</v>
          </cell>
          <cell r="E206">
            <v>0</v>
          </cell>
          <cell r="F206" t="str">
            <v>인</v>
          </cell>
          <cell r="V206" t="str">
            <v>=</v>
          </cell>
          <cell r="W206">
            <v>2.93</v>
          </cell>
          <cell r="AM206">
            <v>63806</v>
          </cell>
          <cell r="AN206">
            <v>0</v>
          </cell>
        </row>
        <row r="207">
          <cell r="A207" t="str">
            <v>8-13</v>
          </cell>
          <cell r="B207">
            <v>543</v>
          </cell>
          <cell r="D207" t="str">
            <v>다. 공구손료</v>
          </cell>
          <cell r="E207" t="str">
            <v>노무비x3%</v>
          </cell>
          <cell r="F207">
            <v>0</v>
          </cell>
          <cell r="AM207">
            <v>0</v>
          </cell>
          <cell r="AN207">
            <v>0</v>
          </cell>
        </row>
        <row r="208">
          <cell r="A208" t="str">
            <v>8-14</v>
          </cell>
          <cell r="B208">
            <v>518</v>
          </cell>
          <cell r="D208" t="str">
            <v>통신내선공</v>
          </cell>
          <cell r="E208">
            <v>0</v>
          </cell>
          <cell r="F208" t="str">
            <v>인</v>
          </cell>
          <cell r="H208">
            <v>2.25</v>
          </cell>
          <cell r="I208" t="str">
            <v>x</v>
          </cell>
          <cell r="J208">
            <v>0.03</v>
          </cell>
          <cell r="V208" t="str">
            <v>=</v>
          </cell>
          <cell r="W208">
            <v>7.0000000000000007E-2</v>
          </cell>
          <cell r="Y208" t="str">
            <v>기본</v>
          </cell>
          <cell r="Z208" t="str">
            <v>x</v>
          </cell>
          <cell r="AA208" t="str">
            <v>공구손료</v>
          </cell>
          <cell r="AM208">
            <v>63806</v>
          </cell>
          <cell r="AN208">
            <v>0</v>
          </cell>
        </row>
        <row r="209">
          <cell r="AM209">
            <v>0</v>
          </cell>
        </row>
        <row r="210">
          <cell r="AM210">
            <v>0</v>
          </cell>
        </row>
        <row r="211">
          <cell r="AM211">
            <v>0</v>
          </cell>
        </row>
        <row r="212">
          <cell r="AM212">
            <v>0</v>
          </cell>
          <cell r="AN212">
            <v>0</v>
          </cell>
        </row>
        <row r="213">
          <cell r="AM213">
            <v>0</v>
          </cell>
          <cell r="AN213">
            <v>0</v>
          </cell>
        </row>
        <row r="214">
          <cell r="AM214">
            <v>0</v>
          </cell>
        </row>
        <row r="215">
          <cell r="AM215">
            <v>0</v>
          </cell>
        </row>
        <row r="216">
          <cell r="AM216">
            <v>0</v>
          </cell>
          <cell r="AN216">
            <v>0</v>
          </cell>
        </row>
        <row r="217">
          <cell r="AM217">
            <v>0</v>
          </cell>
          <cell r="AN217">
            <v>0</v>
          </cell>
        </row>
        <row r="218">
          <cell r="W218">
            <v>0</v>
          </cell>
          <cell r="AM218">
            <v>0</v>
          </cell>
          <cell r="AN218">
            <v>0</v>
          </cell>
        </row>
        <row r="219">
          <cell r="A219">
            <v>9</v>
          </cell>
          <cell r="C219">
            <v>9</v>
          </cell>
          <cell r="D219" t="str">
            <v>케이블트레이신설(지하구간)</v>
          </cell>
          <cell r="E219" t="str">
            <v>W200xH100x2.6t</v>
          </cell>
          <cell r="F219" t="str">
            <v>10m</v>
          </cell>
          <cell r="AM219">
            <v>0</v>
          </cell>
          <cell r="AN219">
            <v>0</v>
          </cell>
        </row>
        <row r="220">
          <cell r="A220" t="str">
            <v>9-1</v>
          </cell>
          <cell r="B220">
            <v>541</v>
          </cell>
          <cell r="D220" t="str">
            <v>가. 재료비</v>
          </cell>
          <cell r="E220">
            <v>0</v>
          </cell>
          <cell r="F220">
            <v>0</v>
          </cell>
          <cell r="AM220">
            <v>0</v>
          </cell>
          <cell r="AN220">
            <v>0</v>
          </cell>
        </row>
        <row r="221">
          <cell r="A221" t="str">
            <v>9-2</v>
          </cell>
          <cell r="B221">
            <v>343</v>
          </cell>
          <cell r="D221" t="str">
            <v>CABLE TRAY</v>
          </cell>
          <cell r="E221" t="str">
            <v>W200xH100x2.6t</v>
          </cell>
          <cell r="F221" t="str">
            <v>m</v>
          </cell>
          <cell r="H221">
            <v>10</v>
          </cell>
          <cell r="I221" t="str">
            <v>x</v>
          </cell>
          <cell r="J221">
            <v>1</v>
          </cell>
          <cell r="V221" t="str">
            <v>=</v>
          </cell>
          <cell r="W221">
            <v>10</v>
          </cell>
          <cell r="Y221" t="str">
            <v>기본</v>
          </cell>
          <cell r="Z221" t="str">
            <v>x</v>
          </cell>
          <cell r="AA221" t="str">
            <v>단위량</v>
          </cell>
          <cell r="AM221">
            <v>10040</v>
          </cell>
          <cell r="AN221">
            <v>0</v>
          </cell>
        </row>
        <row r="222">
          <cell r="A222" t="str">
            <v>9-3</v>
          </cell>
          <cell r="B222">
            <v>248</v>
          </cell>
          <cell r="D222" t="str">
            <v>BRACKET</v>
          </cell>
          <cell r="E222" t="str">
            <v>W200</v>
          </cell>
          <cell r="F222" t="str">
            <v>개</v>
          </cell>
          <cell r="H222">
            <v>7</v>
          </cell>
          <cell r="I222" t="str">
            <v>x</v>
          </cell>
          <cell r="J222">
            <v>1</v>
          </cell>
          <cell r="V222" t="str">
            <v>=</v>
          </cell>
          <cell r="W222">
            <v>7</v>
          </cell>
          <cell r="Y222" t="str">
            <v>기본</v>
          </cell>
          <cell r="Z222" t="str">
            <v>x</v>
          </cell>
          <cell r="AA222" t="str">
            <v>단위량</v>
          </cell>
          <cell r="AM222">
            <v>1646</v>
          </cell>
          <cell r="AN222">
            <v>0</v>
          </cell>
        </row>
        <row r="223">
          <cell r="A223" t="str">
            <v>9-4</v>
          </cell>
          <cell r="B223">
            <v>234</v>
          </cell>
          <cell r="D223" t="str">
            <v>앙카볼트</v>
          </cell>
          <cell r="E223" t="str">
            <v>M12xL120</v>
          </cell>
          <cell r="F223" t="str">
            <v>개</v>
          </cell>
          <cell r="H223">
            <v>2</v>
          </cell>
          <cell r="I223" t="str">
            <v>x</v>
          </cell>
          <cell r="J223">
            <v>6</v>
          </cell>
          <cell r="V223" t="str">
            <v>=</v>
          </cell>
          <cell r="W223">
            <v>12</v>
          </cell>
          <cell r="Y223" t="str">
            <v>기본</v>
          </cell>
          <cell r="Z223" t="str">
            <v>x</v>
          </cell>
          <cell r="AA223" t="str">
            <v>단위량</v>
          </cell>
          <cell r="AM223">
            <v>151</v>
          </cell>
          <cell r="AN223">
            <v>0</v>
          </cell>
        </row>
        <row r="224">
          <cell r="A224" t="str">
            <v>9-5</v>
          </cell>
          <cell r="B224" t="str">
            <v>235-1</v>
          </cell>
          <cell r="D224" t="str">
            <v>JOINT CONNECTOR</v>
          </cell>
          <cell r="E224" t="str">
            <v>H100</v>
          </cell>
          <cell r="F224" t="str">
            <v>개</v>
          </cell>
          <cell r="H224">
            <v>2</v>
          </cell>
          <cell r="I224" t="str">
            <v>x</v>
          </cell>
          <cell r="J224">
            <v>3</v>
          </cell>
          <cell r="V224" t="str">
            <v>=</v>
          </cell>
          <cell r="W224">
            <v>6</v>
          </cell>
          <cell r="Y224" t="str">
            <v>기본</v>
          </cell>
          <cell r="Z224" t="str">
            <v>x</v>
          </cell>
          <cell r="AA224" t="str">
            <v>단위량</v>
          </cell>
          <cell r="AM224">
            <v>715</v>
          </cell>
          <cell r="AN224">
            <v>0</v>
          </cell>
        </row>
        <row r="225">
          <cell r="A225" t="str">
            <v>9-6</v>
          </cell>
          <cell r="B225">
            <v>236</v>
          </cell>
          <cell r="D225" t="str">
            <v>SHANK BOLT/NUT</v>
          </cell>
          <cell r="E225" t="str">
            <v>3/8"x19L</v>
          </cell>
          <cell r="F225" t="str">
            <v>개</v>
          </cell>
          <cell r="H225">
            <v>8</v>
          </cell>
          <cell r="I225" t="str">
            <v>x</v>
          </cell>
          <cell r="J225">
            <v>3</v>
          </cell>
          <cell r="V225" t="str">
            <v>=</v>
          </cell>
          <cell r="W225">
            <v>24</v>
          </cell>
          <cell r="Y225" t="str">
            <v>기본</v>
          </cell>
          <cell r="Z225" t="str">
            <v>x</v>
          </cell>
          <cell r="AA225" t="str">
            <v>단위량</v>
          </cell>
          <cell r="AM225">
            <v>228</v>
          </cell>
          <cell r="AN225">
            <v>0</v>
          </cell>
        </row>
        <row r="226">
          <cell r="A226" t="str">
            <v>9-7</v>
          </cell>
          <cell r="B226" t="str">
            <v>238-1</v>
          </cell>
          <cell r="D226" t="str">
            <v>H/D CLAMP</v>
          </cell>
          <cell r="E226" t="str">
            <v>3/8"</v>
          </cell>
          <cell r="F226" t="str">
            <v>개</v>
          </cell>
          <cell r="H226">
            <v>2</v>
          </cell>
          <cell r="I226" t="str">
            <v>x</v>
          </cell>
          <cell r="J226">
            <v>3</v>
          </cell>
          <cell r="V226" t="str">
            <v>=</v>
          </cell>
          <cell r="W226">
            <v>6</v>
          </cell>
          <cell r="Y226" t="str">
            <v>기본</v>
          </cell>
          <cell r="Z226" t="str">
            <v>x</v>
          </cell>
          <cell r="AA226" t="str">
            <v>단위량</v>
          </cell>
          <cell r="AM226">
            <v>264</v>
          </cell>
          <cell r="AN226">
            <v>0</v>
          </cell>
        </row>
        <row r="227">
          <cell r="A227" t="str">
            <v>9-8</v>
          </cell>
          <cell r="B227">
            <v>237</v>
          </cell>
          <cell r="D227" t="str">
            <v>GROUND BONDING JUMPER</v>
          </cell>
          <cell r="E227" t="str">
            <v>22㎟</v>
          </cell>
          <cell r="F227" t="str">
            <v>개</v>
          </cell>
          <cell r="H227">
            <v>2</v>
          </cell>
          <cell r="I227" t="str">
            <v>x</v>
          </cell>
          <cell r="J227">
            <v>3</v>
          </cell>
          <cell r="V227" t="str">
            <v>=</v>
          </cell>
          <cell r="W227">
            <v>6</v>
          </cell>
          <cell r="Y227" t="str">
            <v>기본</v>
          </cell>
          <cell r="Z227" t="str">
            <v>x</v>
          </cell>
          <cell r="AA227" t="str">
            <v>단위량</v>
          </cell>
          <cell r="AM227">
            <v>1056</v>
          </cell>
          <cell r="AN227">
            <v>0</v>
          </cell>
        </row>
        <row r="228">
          <cell r="A228" t="str">
            <v>9-9</v>
          </cell>
          <cell r="B228">
            <v>238</v>
          </cell>
          <cell r="D228" t="str">
            <v>HEX B/N</v>
          </cell>
          <cell r="E228" t="str">
            <v>3/8"x19L</v>
          </cell>
          <cell r="F228" t="str">
            <v>개</v>
          </cell>
          <cell r="H228">
            <v>2</v>
          </cell>
          <cell r="I228" t="str">
            <v>x</v>
          </cell>
          <cell r="J228">
            <v>3</v>
          </cell>
          <cell r="V228" t="str">
            <v>=</v>
          </cell>
          <cell r="W228">
            <v>6</v>
          </cell>
          <cell r="Y228" t="str">
            <v>기본</v>
          </cell>
          <cell r="Z228" t="str">
            <v>x</v>
          </cell>
          <cell r="AA228" t="str">
            <v>단위량</v>
          </cell>
          <cell r="AM228">
            <v>308</v>
          </cell>
          <cell r="AN228">
            <v>0</v>
          </cell>
        </row>
        <row r="229">
          <cell r="A229" t="str">
            <v>9-10</v>
          </cell>
          <cell r="B229">
            <v>542</v>
          </cell>
          <cell r="D229" t="str">
            <v>나. 노무비</v>
          </cell>
          <cell r="E229">
            <v>0</v>
          </cell>
          <cell r="F229">
            <v>0</v>
          </cell>
          <cell r="AM229">
            <v>0</v>
          </cell>
          <cell r="AN229">
            <v>0</v>
          </cell>
        </row>
        <row r="230">
          <cell r="B230">
            <v>518</v>
          </cell>
          <cell r="D230" t="str">
            <v>통신내선공</v>
          </cell>
          <cell r="E230">
            <v>0</v>
          </cell>
          <cell r="F230" t="str">
            <v>인</v>
          </cell>
          <cell r="H230">
            <v>2.25</v>
          </cell>
          <cell r="I230" t="str">
            <v>x</v>
          </cell>
          <cell r="J230">
            <v>1</v>
          </cell>
          <cell r="K230" t="str">
            <v>x</v>
          </cell>
          <cell r="L230" t="str">
            <v>(</v>
          </cell>
          <cell r="M230">
            <v>1</v>
          </cell>
          <cell r="N230" t="str">
            <v>+</v>
          </cell>
          <cell r="O230">
            <v>0.02</v>
          </cell>
          <cell r="P230" t="str">
            <v>)</v>
          </cell>
          <cell r="V230" t="str">
            <v>=</v>
          </cell>
          <cell r="W230">
            <v>2.2999999999999998</v>
          </cell>
          <cell r="Y230" t="str">
            <v>기본</v>
          </cell>
          <cell r="Z230" t="str">
            <v>x</v>
          </cell>
          <cell r="AA230" t="str">
            <v>단위량</v>
          </cell>
          <cell r="AB230" t="str">
            <v>x</v>
          </cell>
          <cell r="AC230" t="str">
            <v>(</v>
          </cell>
          <cell r="AD230">
            <v>1</v>
          </cell>
          <cell r="AE230" t="str">
            <v>+</v>
          </cell>
          <cell r="AF230" t="str">
            <v>지하</v>
          </cell>
          <cell r="AG230" t="str">
            <v>)</v>
          </cell>
          <cell r="AL230" t="str">
            <v>통 3-61-아(지하)</v>
          </cell>
          <cell r="AM230">
            <v>63806</v>
          </cell>
          <cell r="AN230">
            <v>0</v>
          </cell>
        </row>
        <row r="231">
          <cell r="B231">
            <v>544</v>
          </cell>
          <cell r="D231" t="str">
            <v>소    계</v>
          </cell>
          <cell r="E231">
            <v>0</v>
          </cell>
          <cell r="F231">
            <v>0</v>
          </cell>
          <cell r="AM231">
            <v>0</v>
          </cell>
          <cell r="AN231">
            <v>0</v>
          </cell>
        </row>
        <row r="232">
          <cell r="A232" t="str">
            <v>9-11</v>
          </cell>
          <cell r="B232">
            <v>518</v>
          </cell>
          <cell r="D232" t="str">
            <v>통신내선공</v>
          </cell>
          <cell r="E232">
            <v>0</v>
          </cell>
          <cell r="F232" t="str">
            <v>인</v>
          </cell>
          <cell r="V232" t="str">
            <v>=</v>
          </cell>
          <cell r="W232">
            <v>2.2999999999999998</v>
          </cell>
          <cell r="AM232">
            <v>63806</v>
          </cell>
          <cell r="AN232">
            <v>0</v>
          </cell>
        </row>
        <row r="233">
          <cell r="A233" t="str">
            <v>9-12</v>
          </cell>
          <cell r="B233">
            <v>543</v>
          </cell>
          <cell r="D233" t="str">
            <v>다. 공구손료</v>
          </cell>
          <cell r="E233" t="str">
            <v>노무비x3%</v>
          </cell>
          <cell r="F233">
            <v>0</v>
          </cell>
          <cell r="AM233">
            <v>0</v>
          </cell>
          <cell r="AN233">
            <v>0</v>
          </cell>
        </row>
        <row r="234">
          <cell r="A234" t="str">
            <v>9-13</v>
          </cell>
          <cell r="B234">
            <v>518</v>
          </cell>
          <cell r="D234" t="str">
            <v>통신내선공</v>
          </cell>
          <cell r="E234">
            <v>0</v>
          </cell>
          <cell r="F234" t="str">
            <v>인</v>
          </cell>
          <cell r="H234">
            <v>2.25</v>
          </cell>
          <cell r="I234" t="str">
            <v>x</v>
          </cell>
          <cell r="J234">
            <v>0.03</v>
          </cell>
          <cell r="V234" t="str">
            <v>=</v>
          </cell>
          <cell r="W234">
            <v>7.0000000000000007E-2</v>
          </cell>
          <cell r="Y234" t="str">
            <v>기본</v>
          </cell>
          <cell r="Z234" t="str">
            <v>x</v>
          </cell>
          <cell r="AA234" t="str">
            <v>공구손료</v>
          </cell>
          <cell r="AM234">
            <v>63806</v>
          </cell>
          <cell r="AN234">
            <v>0</v>
          </cell>
        </row>
        <row r="235">
          <cell r="AM235">
            <v>0</v>
          </cell>
        </row>
        <row r="236">
          <cell r="AM236">
            <v>0</v>
          </cell>
        </row>
        <row r="237">
          <cell r="AM237">
            <v>0</v>
          </cell>
        </row>
        <row r="238">
          <cell r="AM238">
            <v>0</v>
          </cell>
        </row>
        <row r="239">
          <cell r="AM239">
            <v>0</v>
          </cell>
        </row>
        <row r="240">
          <cell r="AM240">
            <v>0</v>
          </cell>
        </row>
        <row r="241">
          <cell r="AM241">
            <v>0</v>
          </cell>
        </row>
        <row r="242">
          <cell r="AM242">
            <v>0</v>
          </cell>
        </row>
        <row r="243">
          <cell r="AM243">
            <v>0</v>
          </cell>
        </row>
        <row r="244">
          <cell r="AM244">
            <v>0</v>
          </cell>
          <cell r="AN244">
            <v>0</v>
          </cell>
        </row>
        <row r="245">
          <cell r="W245">
            <v>0</v>
          </cell>
          <cell r="AM245">
            <v>0</v>
          </cell>
          <cell r="AN245">
            <v>0</v>
          </cell>
        </row>
        <row r="246">
          <cell r="A246">
            <v>10</v>
          </cell>
          <cell r="C246">
            <v>10</v>
          </cell>
          <cell r="D246" t="str">
            <v>케이블트레이신설(지상구간)</v>
          </cell>
          <cell r="E246" t="str">
            <v>W200xH100x2.6t</v>
          </cell>
          <cell r="F246" t="str">
            <v>10m</v>
          </cell>
          <cell r="AM246">
            <v>0</v>
          </cell>
          <cell r="AN246">
            <v>0</v>
          </cell>
        </row>
        <row r="247">
          <cell r="A247" t="str">
            <v>10-1</v>
          </cell>
          <cell r="B247">
            <v>541</v>
          </cell>
          <cell r="D247" t="str">
            <v>가. 재료비</v>
          </cell>
          <cell r="E247">
            <v>0</v>
          </cell>
          <cell r="F247">
            <v>0</v>
          </cell>
          <cell r="AM247">
            <v>0</v>
          </cell>
          <cell r="AN247">
            <v>0</v>
          </cell>
        </row>
        <row r="248">
          <cell r="A248" t="str">
            <v>10-2</v>
          </cell>
          <cell r="B248">
            <v>343</v>
          </cell>
          <cell r="D248" t="str">
            <v>CABLE TRAY</v>
          </cell>
          <cell r="E248" t="str">
            <v>W200xH100x2.6t</v>
          </cell>
          <cell r="F248" t="str">
            <v>m</v>
          </cell>
          <cell r="H248">
            <v>10</v>
          </cell>
          <cell r="I248" t="str">
            <v>x</v>
          </cell>
          <cell r="J248">
            <v>1</v>
          </cell>
          <cell r="V248" t="str">
            <v>=</v>
          </cell>
          <cell r="W248">
            <v>10</v>
          </cell>
          <cell r="Y248" t="str">
            <v>기본</v>
          </cell>
          <cell r="Z248" t="str">
            <v>x</v>
          </cell>
          <cell r="AA248" t="str">
            <v>단위량</v>
          </cell>
          <cell r="AM248">
            <v>10040</v>
          </cell>
          <cell r="AN248">
            <v>0</v>
          </cell>
        </row>
        <row r="249">
          <cell r="A249" t="str">
            <v>10-3</v>
          </cell>
          <cell r="B249">
            <v>448</v>
          </cell>
          <cell r="D249" t="str">
            <v>TRAY COVER</v>
          </cell>
          <cell r="E249" t="str">
            <v>W200xH100x2.6t</v>
          </cell>
          <cell r="F249" t="str">
            <v>m</v>
          </cell>
          <cell r="H249">
            <v>10</v>
          </cell>
          <cell r="I249" t="str">
            <v>x</v>
          </cell>
          <cell r="J249">
            <v>1</v>
          </cell>
          <cell r="V249" t="str">
            <v>=</v>
          </cell>
          <cell r="W249">
            <v>10</v>
          </cell>
          <cell r="Y249" t="str">
            <v>기본</v>
          </cell>
          <cell r="Z249" t="str">
            <v>x</v>
          </cell>
          <cell r="AA249" t="str">
            <v>단위량</v>
          </cell>
          <cell r="AM249">
            <v>5395</v>
          </cell>
          <cell r="AN249">
            <v>0</v>
          </cell>
        </row>
        <row r="250">
          <cell r="A250" t="str">
            <v>10-4</v>
          </cell>
          <cell r="B250">
            <v>451</v>
          </cell>
          <cell r="D250" t="str">
            <v>COVER CLAMP</v>
          </cell>
          <cell r="E250" t="str">
            <v>H100</v>
          </cell>
          <cell r="F250" t="str">
            <v>개</v>
          </cell>
          <cell r="H250">
            <v>2</v>
          </cell>
          <cell r="I250" t="str">
            <v>x</v>
          </cell>
          <cell r="J250">
            <v>3</v>
          </cell>
          <cell r="V250" t="str">
            <v>=</v>
          </cell>
          <cell r="W250">
            <v>6</v>
          </cell>
          <cell r="Y250" t="str">
            <v>기본</v>
          </cell>
          <cell r="Z250" t="str">
            <v>x</v>
          </cell>
          <cell r="AA250" t="str">
            <v>단위량</v>
          </cell>
          <cell r="AM250">
            <v>1200</v>
          </cell>
          <cell r="AN250">
            <v>0</v>
          </cell>
        </row>
        <row r="251">
          <cell r="A251" t="str">
            <v>10-5</v>
          </cell>
          <cell r="B251">
            <v>248</v>
          </cell>
          <cell r="D251" t="str">
            <v>BRACKET</v>
          </cell>
          <cell r="E251" t="str">
            <v>W200</v>
          </cell>
          <cell r="F251" t="str">
            <v>개</v>
          </cell>
          <cell r="H251">
            <v>7</v>
          </cell>
          <cell r="I251" t="str">
            <v>x</v>
          </cell>
          <cell r="J251">
            <v>1</v>
          </cell>
          <cell r="V251" t="str">
            <v>=</v>
          </cell>
          <cell r="W251">
            <v>7</v>
          </cell>
          <cell r="Y251" t="str">
            <v>기본</v>
          </cell>
          <cell r="Z251" t="str">
            <v>x</v>
          </cell>
          <cell r="AA251" t="str">
            <v>단위량</v>
          </cell>
          <cell r="AM251">
            <v>1646</v>
          </cell>
          <cell r="AN251">
            <v>0</v>
          </cell>
        </row>
        <row r="252">
          <cell r="A252" t="str">
            <v>10-6</v>
          </cell>
          <cell r="B252">
            <v>234</v>
          </cell>
          <cell r="D252" t="str">
            <v>앙카볼트</v>
          </cell>
          <cell r="E252" t="str">
            <v>M12xL120</v>
          </cell>
          <cell r="F252" t="str">
            <v>개</v>
          </cell>
          <cell r="H252">
            <v>2</v>
          </cell>
          <cell r="I252" t="str">
            <v>x</v>
          </cell>
          <cell r="J252">
            <v>6</v>
          </cell>
          <cell r="V252" t="str">
            <v>=</v>
          </cell>
          <cell r="W252">
            <v>12</v>
          </cell>
          <cell r="Y252" t="str">
            <v>기본</v>
          </cell>
          <cell r="Z252" t="str">
            <v>x</v>
          </cell>
          <cell r="AA252" t="str">
            <v>단위량</v>
          </cell>
          <cell r="AM252">
            <v>151</v>
          </cell>
          <cell r="AN252">
            <v>0</v>
          </cell>
        </row>
        <row r="253">
          <cell r="A253" t="str">
            <v>10-7</v>
          </cell>
          <cell r="B253" t="str">
            <v>235-1</v>
          </cell>
          <cell r="D253" t="str">
            <v>JOINT CONNECTOR</v>
          </cell>
          <cell r="E253" t="str">
            <v>H100</v>
          </cell>
          <cell r="F253" t="str">
            <v>개</v>
          </cell>
          <cell r="H253">
            <v>2</v>
          </cell>
          <cell r="I253" t="str">
            <v>x</v>
          </cell>
          <cell r="J253">
            <v>3</v>
          </cell>
          <cell r="V253" t="str">
            <v>=</v>
          </cell>
          <cell r="W253">
            <v>6</v>
          </cell>
          <cell r="Y253" t="str">
            <v>기본</v>
          </cell>
          <cell r="Z253" t="str">
            <v>x</v>
          </cell>
          <cell r="AA253" t="str">
            <v>단위량</v>
          </cell>
          <cell r="AM253">
            <v>715</v>
          </cell>
          <cell r="AN253">
            <v>0</v>
          </cell>
        </row>
        <row r="254">
          <cell r="A254" t="str">
            <v>10-8</v>
          </cell>
          <cell r="B254">
            <v>236</v>
          </cell>
          <cell r="D254" t="str">
            <v>SHANK BOLT/NUT</v>
          </cell>
          <cell r="E254" t="str">
            <v>3/8"x19L</v>
          </cell>
          <cell r="F254" t="str">
            <v>개</v>
          </cell>
          <cell r="H254">
            <v>8</v>
          </cell>
          <cell r="I254" t="str">
            <v>x</v>
          </cell>
          <cell r="J254">
            <v>3</v>
          </cell>
          <cell r="V254" t="str">
            <v>=</v>
          </cell>
          <cell r="W254">
            <v>24</v>
          </cell>
          <cell r="Y254" t="str">
            <v>기본</v>
          </cell>
          <cell r="Z254" t="str">
            <v>x</v>
          </cell>
          <cell r="AA254" t="str">
            <v>단위량</v>
          </cell>
          <cell r="AM254">
            <v>228</v>
          </cell>
          <cell r="AN254">
            <v>0</v>
          </cell>
        </row>
        <row r="255">
          <cell r="A255" t="str">
            <v>10-9</v>
          </cell>
          <cell r="B255" t="str">
            <v>238-1</v>
          </cell>
          <cell r="D255" t="str">
            <v>H/D CLAMP</v>
          </cell>
          <cell r="E255" t="str">
            <v>3/8"</v>
          </cell>
          <cell r="F255" t="str">
            <v>개</v>
          </cell>
          <cell r="H255">
            <v>2</v>
          </cell>
          <cell r="I255" t="str">
            <v>x</v>
          </cell>
          <cell r="J255">
            <v>3</v>
          </cell>
          <cell r="V255" t="str">
            <v>=</v>
          </cell>
          <cell r="W255">
            <v>6</v>
          </cell>
          <cell r="Y255" t="str">
            <v>기본</v>
          </cell>
          <cell r="Z255" t="str">
            <v>x</v>
          </cell>
          <cell r="AA255" t="str">
            <v>단위량</v>
          </cell>
          <cell r="AM255">
            <v>264</v>
          </cell>
          <cell r="AN255">
            <v>0</v>
          </cell>
        </row>
        <row r="256">
          <cell r="A256" t="str">
            <v>10-10</v>
          </cell>
          <cell r="B256">
            <v>237</v>
          </cell>
          <cell r="D256" t="str">
            <v>GROUND BONDING JUMPER</v>
          </cell>
          <cell r="E256" t="str">
            <v>22㎟</v>
          </cell>
          <cell r="F256" t="str">
            <v>개</v>
          </cell>
          <cell r="H256">
            <v>2</v>
          </cell>
          <cell r="I256" t="str">
            <v>x</v>
          </cell>
          <cell r="J256">
            <v>3</v>
          </cell>
          <cell r="V256" t="str">
            <v>=</v>
          </cell>
          <cell r="W256">
            <v>6</v>
          </cell>
          <cell r="Y256" t="str">
            <v>기본</v>
          </cell>
          <cell r="Z256" t="str">
            <v>x</v>
          </cell>
          <cell r="AA256" t="str">
            <v>단위량</v>
          </cell>
          <cell r="AM256">
            <v>1056</v>
          </cell>
          <cell r="AN256">
            <v>0</v>
          </cell>
        </row>
        <row r="257">
          <cell r="A257" t="str">
            <v>10-11</v>
          </cell>
          <cell r="B257">
            <v>238</v>
          </cell>
          <cell r="D257" t="str">
            <v>HEX B/N</v>
          </cell>
          <cell r="E257" t="str">
            <v>3/8"x19L</v>
          </cell>
          <cell r="F257" t="str">
            <v>개</v>
          </cell>
          <cell r="H257">
            <v>2</v>
          </cell>
          <cell r="I257" t="str">
            <v>x</v>
          </cell>
          <cell r="J257">
            <v>3</v>
          </cell>
          <cell r="V257" t="str">
            <v>=</v>
          </cell>
          <cell r="W257">
            <v>6</v>
          </cell>
          <cell r="Y257" t="str">
            <v>기본</v>
          </cell>
          <cell r="Z257" t="str">
            <v>x</v>
          </cell>
          <cell r="AA257" t="str">
            <v>단위량</v>
          </cell>
          <cell r="AM257">
            <v>308</v>
          </cell>
          <cell r="AN257">
            <v>0</v>
          </cell>
        </row>
        <row r="258">
          <cell r="A258" t="str">
            <v>10-12</v>
          </cell>
          <cell r="B258">
            <v>542</v>
          </cell>
          <cell r="D258" t="str">
            <v>나. 노무비</v>
          </cell>
          <cell r="E258">
            <v>0</v>
          </cell>
          <cell r="F258">
            <v>0</v>
          </cell>
          <cell r="AM258">
            <v>0</v>
          </cell>
          <cell r="AN258">
            <v>0</v>
          </cell>
        </row>
        <row r="259">
          <cell r="B259">
            <v>518</v>
          </cell>
          <cell r="D259" t="str">
            <v>통신내선공</v>
          </cell>
          <cell r="E259">
            <v>0</v>
          </cell>
          <cell r="F259" t="str">
            <v>인</v>
          </cell>
          <cell r="H259">
            <v>2.25</v>
          </cell>
          <cell r="I259" t="str">
            <v>x</v>
          </cell>
          <cell r="J259">
            <v>1</v>
          </cell>
          <cell r="V259" t="str">
            <v>=</v>
          </cell>
          <cell r="W259">
            <v>2.25</v>
          </cell>
          <cell r="Y259" t="str">
            <v>기본</v>
          </cell>
          <cell r="Z259" t="str">
            <v>x</v>
          </cell>
          <cell r="AA259" t="str">
            <v>단위량</v>
          </cell>
          <cell r="AL259" t="str">
            <v>통 3-61-아</v>
          </cell>
          <cell r="AM259">
            <v>63806</v>
          </cell>
          <cell r="AN259">
            <v>0</v>
          </cell>
        </row>
        <row r="260">
          <cell r="B260">
            <v>544</v>
          </cell>
          <cell r="D260" t="str">
            <v>소    계</v>
          </cell>
          <cell r="E260">
            <v>0</v>
          </cell>
          <cell r="F260">
            <v>0</v>
          </cell>
          <cell r="AM260">
            <v>0</v>
          </cell>
          <cell r="AN260">
            <v>0</v>
          </cell>
        </row>
        <row r="261">
          <cell r="A261" t="str">
            <v>10-13</v>
          </cell>
          <cell r="B261">
            <v>518</v>
          </cell>
          <cell r="D261" t="str">
            <v>통신내선공</v>
          </cell>
          <cell r="E261">
            <v>0</v>
          </cell>
          <cell r="F261" t="str">
            <v>인</v>
          </cell>
          <cell r="V261" t="str">
            <v>=</v>
          </cell>
          <cell r="W261">
            <v>2.25</v>
          </cell>
          <cell r="AM261">
            <v>63806</v>
          </cell>
          <cell r="AN261">
            <v>0</v>
          </cell>
        </row>
        <row r="262">
          <cell r="A262" t="str">
            <v>10-14</v>
          </cell>
          <cell r="B262">
            <v>543</v>
          </cell>
          <cell r="D262" t="str">
            <v>다. 공구손료</v>
          </cell>
          <cell r="E262" t="str">
            <v>노무비x3%</v>
          </cell>
          <cell r="F262">
            <v>0</v>
          </cell>
          <cell r="AM262">
            <v>0</v>
          </cell>
          <cell r="AN262">
            <v>0</v>
          </cell>
        </row>
        <row r="263">
          <cell r="A263" t="str">
            <v>10-15</v>
          </cell>
          <cell r="B263">
            <v>518</v>
          </cell>
          <cell r="D263" t="str">
            <v>통신내선공</v>
          </cell>
          <cell r="E263">
            <v>0</v>
          </cell>
          <cell r="F263" t="str">
            <v>인</v>
          </cell>
          <cell r="H263">
            <v>2.25</v>
          </cell>
          <cell r="I263" t="str">
            <v>x</v>
          </cell>
          <cell r="J263">
            <v>0.03</v>
          </cell>
          <cell r="V263" t="str">
            <v>=</v>
          </cell>
          <cell r="W263">
            <v>7.0000000000000007E-2</v>
          </cell>
          <cell r="Y263" t="str">
            <v>기본</v>
          </cell>
          <cell r="Z263" t="str">
            <v>x</v>
          </cell>
          <cell r="AA263" t="str">
            <v>공구손료</v>
          </cell>
          <cell r="AM263">
            <v>63806</v>
          </cell>
          <cell r="AN263">
            <v>0</v>
          </cell>
        </row>
        <row r="264">
          <cell r="AM264">
            <v>0</v>
          </cell>
        </row>
        <row r="265">
          <cell r="AM265">
            <v>0</v>
          </cell>
        </row>
        <row r="266">
          <cell r="AM266">
            <v>0</v>
          </cell>
        </row>
        <row r="267">
          <cell r="AM267">
            <v>0</v>
          </cell>
        </row>
        <row r="268">
          <cell r="AM268">
            <v>0</v>
          </cell>
        </row>
        <row r="269">
          <cell r="AM269">
            <v>0</v>
          </cell>
        </row>
        <row r="270">
          <cell r="AM270">
            <v>0</v>
          </cell>
        </row>
        <row r="271">
          <cell r="AM271">
            <v>0</v>
          </cell>
          <cell r="AN271">
            <v>0</v>
          </cell>
        </row>
        <row r="272">
          <cell r="W272">
            <v>0</v>
          </cell>
          <cell r="AM272">
            <v>0</v>
          </cell>
          <cell r="AN272">
            <v>0</v>
          </cell>
        </row>
        <row r="273">
          <cell r="A273">
            <v>11</v>
          </cell>
          <cell r="C273">
            <v>11</v>
          </cell>
          <cell r="D273" t="str">
            <v>케이블 덕트 신설</v>
          </cell>
          <cell r="E273" t="str">
            <v>W300xH100</v>
          </cell>
          <cell r="F273" t="str">
            <v>m</v>
          </cell>
          <cell r="AM273">
            <v>0</v>
          </cell>
        </row>
        <row r="274">
          <cell r="A274" t="str">
            <v>11-1</v>
          </cell>
          <cell r="B274">
            <v>541</v>
          </cell>
          <cell r="D274" t="str">
            <v>가. 재료비</v>
          </cell>
          <cell r="E274">
            <v>0</v>
          </cell>
          <cell r="F274">
            <v>0</v>
          </cell>
          <cell r="AM274">
            <v>0</v>
          </cell>
          <cell r="AN274">
            <v>0</v>
          </cell>
        </row>
        <row r="275">
          <cell r="A275" t="str">
            <v>11-2</v>
          </cell>
          <cell r="B275">
            <v>418</v>
          </cell>
          <cell r="D275" t="str">
            <v>케이블 덕트</v>
          </cell>
          <cell r="E275" t="str">
            <v>W300xH100</v>
          </cell>
          <cell r="F275" t="str">
            <v>m</v>
          </cell>
          <cell r="V275" t="str">
            <v>=</v>
          </cell>
          <cell r="W275">
            <v>1</v>
          </cell>
          <cell r="Y275" t="str">
            <v>기본</v>
          </cell>
          <cell r="AM275">
            <v>22500</v>
          </cell>
          <cell r="AN275">
            <v>0</v>
          </cell>
        </row>
        <row r="276">
          <cell r="A276" t="str">
            <v>11-3</v>
          </cell>
          <cell r="B276">
            <v>542</v>
          </cell>
          <cell r="D276" t="str">
            <v>나. 노무비</v>
          </cell>
          <cell r="E276">
            <v>0</v>
          </cell>
          <cell r="F276">
            <v>0</v>
          </cell>
          <cell r="AM276">
            <v>0</v>
          </cell>
          <cell r="AN276">
            <v>0</v>
          </cell>
        </row>
        <row r="277">
          <cell r="B277">
            <v>518</v>
          </cell>
          <cell r="D277" t="str">
            <v>통신내선공</v>
          </cell>
          <cell r="E277">
            <v>0</v>
          </cell>
          <cell r="F277" t="str">
            <v>인</v>
          </cell>
          <cell r="H277">
            <v>0.4</v>
          </cell>
          <cell r="I277" t="str">
            <v>x</v>
          </cell>
          <cell r="J277">
            <v>1</v>
          </cell>
          <cell r="V277" t="str">
            <v>=</v>
          </cell>
          <cell r="W277">
            <v>0.4</v>
          </cell>
          <cell r="Y277" t="str">
            <v>기본</v>
          </cell>
          <cell r="Z277" t="str">
            <v>x</v>
          </cell>
          <cell r="AA277" t="str">
            <v>단위량</v>
          </cell>
          <cell r="AL277" t="str">
            <v>통3-61-차</v>
          </cell>
          <cell r="AM277">
            <v>63806</v>
          </cell>
          <cell r="AN277">
            <v>0</v>
          </cell>
        </row>
        <row r="278">
          <cell r="B278">
            <v>523</v>
          </cell>
          <cell r="D278" t="str">
            <v>보통인부</v>
          </cell>
          <cell r="E278">
            <v>0</v>
          </cell>
          <cell r="F278" t="str">
            <v>인</v>
          </cell>
          <cell r="H278">
            <v>0.36</v>
          </cell>
          <cell r="I278" t="str">
            <v>/</v>
          </cell>
          <cell r="J278">
            <v>10</v>
          </cell>
          <cell r="K278" t="str">
            <v>x</v>
          </cell>
          <cell r="M278">
            <v>4</v>
          </cell>
          <cell r="V278" t="str">
            <v>=</v>
          </cell>
          <cell r="W278">
            <v>0.14000000000000001</v>
          </cell>
          <cell r="Y278" t="str">
            <v>기본</v>
          </cell>
          <cell r="Z278" t="str">
            <v>/</v>
          </cell>
          <cell r="AA278">
            <v>10</v>
          </cell>
          <cell r="AB278" t="str">
            <v>x</v>
          </cell>
          <cell r="AD278" t="str">
            <v>단위량</v>
          </cell>
          <cell r="AL278" t="str">
            <v>통3-61-사</v>
          </cell>
          <cell r="AM278">
            <v>40922</v>
          </cell>
          <cell r="AN278">
            <v>0</v>
          </cell>
        </row>
        <row r="279">
          <cell r="B279">
            <v>518</v>
          </cell>
          <cell r="D279" t="str">
            <v>통신내선공</v>
          </cell>
          <cell r="E279">
            <v>0</v>
          </cell>
          <cell r="F279" t="str">
            <v>인</v>
          </cell>
          <cell r="H279">
            <v>0.12</v>
          </cell>
          <cell r="I279" t="str">
            <v>x</v>
          </cell>
          <cell r="J279">
            <v>4</v>
          </cell>
          <cell r="V279" t="str">
            <v>=</v>
          </cell>
          <cell r="W279">
            <v>0.48</v>
          </cell>
          <cell r="Y279" t="str">
            <v>기본</v>
          </cell>
          <cell r="Z279" t="str">
            <v>x</v>
          </cell>
          <cell r="AA279" t="str">
            <v>단위량</v>
          </cell>
          <cell r="AM279">
            <v>63806</v>
          </cell>
          <cell r="AN279">
            <v>0</v>
          </cell>
        </row>
        <row r="280">
          <cell r="B280">
            <v>544</v>
          </cell>
          <cell r="D280" t="str">
            <v>소    계</v>
          </cell>
          <cell r="E280">
            <v>0</v>
          </cell>
          <cell r="F280">
            <v>0</v>
          </cell>
          <cell r="AM280">
            <v>0</v>
          </cell>
          <cell r="AN280">
            <v>0</v>
          </cell>
        </row>
        <row r="281">
          <cell r="A281" t="str">
            <v>11-4</v>
          </cell>
          <cell r="B281">
            <v>518</v>
          </cell>
          <cell r="D281" t="str">
            <v>통신내선공</v>
          </cell>
          <cell r="E281">
            <v>0</v>
          </cell>
          <cell r="F281" t="str">
            <v>인</v>
          </cell>
          <cell r="V281" t="str">
            <v>=</v>
          </cell>
          <cell r="W281">
            <v>0.88</v>
          </cell>
          <cell r="AM281">
            <v>63806</v>
          </cell>
          <cell r="AN281">
            <v>0</v>
          </cell>
        </row>
        <row r="282">
          <cell r="A282" t="str">
            <v>11-5</v>
          </cell>
          <cell r="B282">
            <v>523</v>
          </cell>
          <cell r="D282" t="str">
            <v>보통인부</v>
          </cell>
          <cell r="E282">
            <v>0</v>
          </cell>
          <cell r="F282" t="str">
            <v>인</v>
          </cell>
          <cell r="V282" t="str">
            <v>=</v>
          </cell>
          <cell r="W282">
            <v>0.14000000000000001</v>
          </cell>
          <cell r="AM282">
            <v>40922</v>
          </cell>
          <cell r="AN282">
            <v>0</v>
          </cell>
        </row>
        <row r="283">
          <cell r="A283" t="str">
            <v>11-6</v>
          </cell>
          <cell r="B283">
            <v>543</v>
          </cell>
          <cell r="D283" t="str">
            <v>다. 공구손료</v>
          </cell>
          <cell r="E283" t="str">
            <v>노무비x3%</v>
          </cell>
          <cell r="F283">
            <v>0</v>
          </cell>
          <cell r="AM283">
            <v>0</v>
          </cell>
          <cell r="AN283">
            <v>0</v>
          </cell>
        </row>
        <row r="284">
          <cell r="A284" t="str">
            <v>11-7</v>
          </cell>
          <cell r="B284">
            <v>518</v>
          </cell>
          <cell r="D284" t="str">
            <v>통신내선공</v>
          </cell>
          <cell r="E284">
            <v>0</v>
          </cell>
          <cell r="F284" t="str">
            <v>인</v>
          </cell>
          <cell r="H284">
            <v>0.88</v>
          </cell>
          <cell r="I284" t="str">
            <v>x</v>
          </cell>
          <cell r="J284">
            <v>0.03</v>
          </cell>
          <cell r="V284" t="str">
            <v>=</v>
          </cell>
          <cell r="W284">
            <v>0.03</v>
          </cell>
          <cell r="Y284" t="str">
            <v>기본</v>
          </cell>
          <cell r="Z284" t="str">
            <v>x</v>
          </cell>
          <cell r="AA284" t="str">
            <v>공구손료</v>
          </cell>
          <cell r="AM284">
            <v>63806</v>
          </cell>
          <cell r="AN284">
            <v>0</v>
          </cell>
        </row>
        <row r="285">
          <cell r="A285" t="str">
            <v>11-8</v>
          </cell>
          <cell r="B285">
            <v>523</v>
          </cell>
          <cell r="D285" t="str">
            <v>보통인부</v>
          </cell>
          <cell r="E285">
            <v>0</v>
          </cell>
          <cell r="F285" t="str">
            <v>인</v>
          </cell>
          <cell r="H285">
            <v>0.14000000000000001</v>
          </cell>
          <cell r="I285" t="str">
            <v>x</v>
          </cell>
          <cell r="J285">
            <v>0.03</v>
          </cell>
          <cell r="V285" t="str">
            <v>=</v>
          </cell>
          <cell r="W285" t="str">
            <v>0</v>
          </cell>
          <cell r="Y285" t="str">
            <v>기본</v>
          </cell>
          <cell r="Z285" t="str">
            <v>x</v>
          </cell>
          <cell r="AA285" t="str">
            <v>공구손료</v>
          </cell>
          <cell r="AM285">
            <v>40922</v>
          </cell>
          <cell r="AN285">
            <v>0</v>
          </cell>
        </row>
        <row r="286">
          <cell r="AM286">
            <v>0</v>
          </cell>
        </row>
        <row r="287">
          <cell r="AM287">
            <v>0</v>
          </cell>
        </row>
        <row r="288">
          <cell r="AM288">
            <v>0</v>
          </cell>
        </row>
        <row r="289">
          <cell r="AM289">
            <v>0</v>
          </cell>
        </row>
        <row r="290">
          <cell r="AM290">
            <v>0</v>
          </cell>
        </row>
        <row r="291">
          <cell r="AM291">
            <v>0</v>
          </cell>
        </row>
        <row r="292">
          <cell r="AM292">
            <v>0</v>
          </cell>
        </row>
        <row r="293">
          <cell r="AM293">
            <v>0</v>
          </cell>
        </row>
        <row r="294">
          <cell r="AM294">
            <v>0</v>
          </cell>
        </row>
        <row r="295">
          <cell r="AM295">
            <v>0</v>
          </cell>
        </row>
        <row r="296">
          <cell r="AM296">
            <v>0</v>
          </cell>
        </row>
        <row r="297">
          <cell r="AM297">
            <v>0</v>
          </cell>
        </row>
        <row r="298">
          <cell r="AM298">
            <v>0</v>
          </cell>
        </row>
        <row r="299">
          <cell r="AM299">
            <v>0</v>
          </cell>
        </row>
        <row r="300">
          <cell r="A300">
            <v>12</v>
          </cell>
          <cell r="C300">
            <v>12</v>
          </cell>
          <cell r="D300" t="str">
            <v>백관신설</v>
          </cell>
          <cell r="E300" t="str">
            <v>100mm</v>
          </cell>
          <cell r="F300" t="str">
            <v>10m</v>
          </cell>
          <cell r="AM300">
            <v>0</v>
          </cell>
          <cell r="AN300">
            <v>0</v>
          </cell>
        </row>
        <row r="301">
          <cell r="A301" t="str">
            <v>12-1</v>
          </cell>
          <cell r="B301">
            <v>541</v>
          </cell>
          <cell r="D301" t="str">
            <v>가. 재료비</v>
          </cell>
          <cell r="E301">
            <v>0</v>
          </cell>
          <cell r="F301">
            <v>0</v>
          </cell>
          <cell r="AM301">
            <v>0</v>
          </cell>
          <cell r="AN301">
            <v>0</v>
          </cell>
        </row>
        <row r="302">
          <cell r="A302" t="str">
            <v>12-2</v>
          </cell>
          <cell r="B302">
            <v>22</v>
          </cell>
          <cell r="D302" t="str">
            <v>백관</v>
          </cell>
          <cell r="E302" t="str">
            <v>Φ100mm</v>
          </cell>
          <cell r="F302" t="str">
            <v>m</v>
          </cell>
          <cell r="H302">
            <v>1</v>
          </cell>
          <cell r="I302" t="str">
            <v>x</v>
          </cell>
          <cell r="J302">
            <v>10</v>
          </cell>
          <cell r="K302" t="str">
            <v>x</v>
          </cell>
          <cell r="L302" t="str">
            <v>(</v>
          </cell>
          <cell r="M302">
            <v>1</v>
          </cell>
          <cell r="N302" t="str">
            <v>+</v>
          </cell>
          <cell r="O302">
            <v>0.03</v>
          </cell>
          <cell r="P302" t="str">
            <v>)</v>
          </cell>
          <cell r="V302" t="str">
            <v>=</v>
          </cell>
          <cell r="W302">
            <v>10.3</v>
          </cell>
          <cell r="Y302" t="str">
            <v>기본</v>
          </cell>
          <cell r="Z302" t="str">
            <v>x</v>
          </cell>
          <cell r="AA302" t="str">
            <v>단위량</v>
          </cell>
          <cell r="AB302" t="str">
            <v>x</v>
          </cell>
          <cell r="AC302" t="str">
            <v>(</v>
          </cell>
          <cell r="AD302">
            <v>1</v>
          </cell>
          <cell r="AE302" t="str">
            <v>+</v>
          </cell>
          <cell r="AF302" t="str">
            <v>할증</v>
          </cell>
          <cell r="AG302" t="str">
            <v>)</v>
          </cell>
          <cell r="AM302">
            <v>6463</v>
          </cell>
          <cell r="AN302">
            <v>0</v>
          </cell>
        </row>
        <row r="303">
          <cell r="A303" t="str">
            <v>12-3</v>
          </cell>
          <cell r="B303">
            <v>700</v>
          </cell>
          <cell r="D303" t="str">
            <v>잡재료비</v>
          </cell>
          <cell r="E303" t="str">
            <v>재료비의2%</v>
          </cell>
          <cell r="F303" t="str">
            <v>식</v>
          </cell>
          <cell r="H303">
            <v>1</v>
          </cell>
          <cell r="V303" t="str">
            <v>=</v>
          </cell>
          <cell r="W303">
            <v>1</v>
          </cell>
          <cell r="Y303" t="str">
            <v>기본</v>
          </cell>
          <cell r="AM303">
            <v>0</v>
          </cell>
          <cell r="AN303">
            <v>0</v>
          </cell>
        </row>
        <row r="304">
          <cell r="A304" t="str">
            <v>12-4</v>
          </cell>
          <cell r="B304">
            <v>542</v>
          </cell>
          <cell r="D304" t="str">
            <v>나. 노무비</v>
          </cell>
          <cell r="E304">
            <v>0</v>
          </cell>
          <cell r="F304">
            <v>0</v>
          </cell>
          <cell r="AM304">
            <v>0</v>
          </cell>
          <cell r="AN304">
            <v>0</v>
          </cell>
        </row>
        <row r="305">
          <cell r="B305">
            <v>516</v>
          </cell>
          <cell r="D305" t="str">
            <v>통신외선공</v>
          </cell>
          <cell r="E305">
            <v>0</v>
          </cell>
          <cell r="F305" t="str">
            <v>인</v>
          </cell>
          <cell r="H305">
            <v>1.52</v>
          </cell>
          <cell r="I305" t="str">
            <v>x</v>
          </cell>
          <cell r="J305">
            <v>1</v>
          </cell>
          <cell r="V305" t="str">
            <v>=</v>
          </cell>
          <cell r="W305">
            <v>1.52</v>
          </cell>
          <cell r="Y305" t="str">
            <v>기본</v>
          </cell>
          <cell r="Z305" t="str">
            <v>x</v>
          </cell>
          <cell r="AA305" t="str">
            <v>단위량</v>
          </cell>
          <cell r="AL305" t="str">
            <v>통3-25-나</v>
          </cell>
          <cell r="AM305">
            <v>90961</v>
          </cell>
          <cell r="AN305">
            <v>0</v>
          </cell>
        </row>
        <row r="306">
          <cell r="B306">
            <v>544</v>
          </cell>
          <cell r="D306" t="str">
            <v>소    계</v>
          </cell>
          <cell r="E306">
            <v>0</v>
          </cell>
          <cell r="F306">
            <v>0</v>
          </cell>
          <cell r="AM306">
            <v>0</v>
          </cell>
          <cell r="AN306">
            <v>0</v>
          </cell>
        </row>
        <row r="307">
          <cell r="A307" t="str">
            <v>12-5</v>
          </cell>
          <cell r="B307">
            <v>516</v>
          </cell>
          <cell r="D307" t="str">
            <v>통신외선공</v>
          </cell>
          <cell r="E307">
            <v>0</v>
          </cell>
          <cell r="F307" t="str">
            <v>인</v>
          </cell>
          <cell r="V307" t="str">
            <v>=</v>
          </cell>
          <cell r="W307">
            <v>1.52</v>
          </cell>
          <cell r="AM307">
            <v>90961</v>
          </cell>
          <cell r="AN307">
            <v>0</v>
          </cell>
        </row>
        <row r="308">
          <cell r="A308" t="str">
            <v>12-6</v>
          </cell>
          <cell r="B308">
            <v>543</v>
          </cell>
          <cell r="D308" t="str">
            <v>다. 공구손료</v>
          </cell>
          <cell r="E308" t="str">
            <v>노무비x3%</v>
          </cell>
          <cell r="F308">
            <v>0</v>
          </cell>
          <cell r="AM308">
            <v>0</v>
          </cell>
          <cell r="AN308">
            <v>0</v>
          </cell>
        </row>
        <row r="309">
          <cell r="A309" t="str">
            <v>12-7</v>
          </cell>
          <cell r="B309">
            <v>516</v>
          </cell>
          <cell r="D309" t="str">
            <v>통신외선공</v>
          </cell>
          <cell r="E309">
            <v>0</v>
          </cell>
          <cell r="F309" t="str">
            <v>인</v>
          </cell>
          <cell r="H309">
            <v>1.52</v>
          </cell>
          <cell r="I309" t="str">
            <v>x</v>
          </cell>
          <cell r="J309">
            <v>0.03</v>
          </cell>
          <cell r="V309" t="str">
            <v>=</v>
          </cell>
          <cell r="W309">
            <v>0.05</v>
          </cell>
          <cell r="Y309" t="str">
            <v>기본</v>
          </cell>
          <cell r="Z309" t="str">
            <v>x</v>
          </cell>
          <cell r="AA309" t="str">
            <v>공구손료</v>
          </cell>
          <cell r="AM309">
            <v>90961</v>
          </cell>
          <cell r="AN309">
            <v>0</v>
          </cell>
        </row>
        <row r="310">
          <cell r="AM310">
            <v>0</v>
          </cell>
          <cell r="AN310">
            <v>0</v>
          </cell>
        </row>
        <row r="311">
          <cell r="AM311">
            <v>0</v>
          </cell>
          <cell r="AN311">
            <v>0</v>
          </cell>
        </row>
        <row r="312">
          <cell r="AM312">
            <v>0</v>
          </cell>
          <cell r="AN312">
            <v>0</v>
          </cell>
        </row>
        <row r="313">
          <cell r="AM313">
            <v>0</v>
          </cell>
          <cell r="AN313">
            <v>0</v>
          </cell>
        </row>
        <row r="314">
          <cell r="AM314">
            <v>0</v>
          </cell>
          <cell r="AN314">
            <v>0</v>
          </cell>
        </row>
        <row r="315">
          <cell r="AM315">
            <v>0</v>
          </cell>
          <cell r="AN315">
            <v>0</v>
          </cell>
        </row>
        <row r="316">
          <cell r="AM316">
            <v>0</v>
          </cell>
          <cell r="AN316">
            <v>0</v>
          </cell>
        </row>
        <row r="317">
          <cell r="AM317">
            <v>0</v>
          </cell>
          <cell r="AN317">
            <v>0</v>
          </cell>
        </row>
        <row r="318">
          <cell r="AM318">
            <v>0</v>
          </cell>
        </row>
        <row r="319">
          <cell r="AM319">
            <v>0</v>
          </cell>
        </row>
        <row r="320">
          <cell r="AM320">
            <v>0</v>
          </cell>
        </row>
        <row r="321">
          <cell r="AM321">
            <v>0</v>
          </cell>
        </row>
        <row r="322">
          <cell r="AM322">
            <v>0</v>
          </cell>
          <cell r="AN322">
            <v>0</v>
          </cell>
        </row>
        <row r="323">
          <cell r="AM323">
            <v>0</v>
          </cell>
          <cell r="AN323">
            <v>0</v>
          </cell>
        </row>
        <row r="324">
          <cell r="AM324">
            <v>0</v>
          </cell>
          <cell r="AN324">
            <v>0</v>
          </cell>
        </row>
        <row r="325">
          <cell r="AM325">
            <v>0</v>
          </cell>
          <cell r="AN325">
            <v>0</v>
          </cell>
        </row>
        <row r="326">
          <cell r="AM326">
            <v>0</v>
          </cell>
          <cell r="AN326">
            <v>0</v>
          </cell>
        </row>
        <row r="327">
          <cell r="A327">
            <v>13</v>
          </cell>
          <cell r="C327">
            <v>13</v>
          </cell>
          <cell r="D327" t="str">
            <v>PVC 전선관 신설(지하 연선전화)</v>
          </cell>
          <cell r="E327" t="str">
            <v>Φ36</v>
          </cell>
          <cell r="F327" t="str">
            <v>10m</v>
          </cell>
          <cell r="AM327">
            <v>0</v>
          </cell>
          <cell r="AN327">
            <v>0</v>
          </cell>
        </row>
        <row r="328">
          <cell r="A328" t="str">
            <v>13-1</v>
          </cell>
          <cell r="B328">
            <v>541</v>
          </cell>
          <cell r="D328" t="str">
            <v>가. 재료비</v>
          </cell>
          <cell r="E328">
            <v>0</v>
          </cell>
          <cell r="F328">
            <v>0</v>
          </cell>
          <cell r="AM328">
            <v>0</v>
          </cell>
          <cell r="AN328">
            <v>0</v>
          </cell>
        </row>
        <row r="329">
          <cell r="A329" t="str">
            <v>13-2</v>
          </cell>
          <cell r="B329">
            <v>130</v>
          </cell>
          <cell r="D329" t="str">
            <v>HI-PVC</v>
          </cell>
          <cell r="E329" t="str">
            <v>Φ36㎜</v>
          </cell>
          <cell r="F329" t="str">
            <v>m</v>
          </cell>
          <cell r="H329">
            <v>1</v>
          </cell>
          <cell r="I329" t="str">
            <v>x</v>
          </cell>
          <cell r="J329">
            <v>10</v>
          </cell>
          <cell r="K329" t="str">
            <v>x</v>
          </cell>
          <cell r="L329" t="str">
            <v>(</v>
          </cell>
          <cell r="M329">
            <v>1</v>
          </cell>
          <cell r="N329" t="str">
            <v>+</v>
          </cell>
          <cell r="O329">
            <v>0.03</v>
          </cell>
          <cell r="P329" t="str">
            <v>)</v>
          </cell>
          <cell r="V329" t="str">
            <v>=</v>
          </cell>
          <cell r="W329">
            <v>10.3</v>
          </cell>
          <cell r="Y329" t="str">
            <v>기본</v>
          </cell>
          <cell r="Z329" t="str">
            <v>x</v>
          </cell>
          <cell r="AA329" t="str">
            <v>단위량</v>
          </cell>
          <cell r="AB329" t="str">
            <v>x</v>
          </cell>
          <cell r="AC329" t="str">
            <v>(</v>
          </cell>
          <cell r="AD329">
            <v>1</v>
          </cell>
          <cell r="AE329" t="str">
            <v>+</v>
          </cell>
          <cell r="AF329" t="str">
            <v>할증</v>
          </cell>
          <cell r="AG329" t="str">
            <v>)</v>
          </cell>
          <cell r="AM329">
            <v>726</v>
          </cell>
          <cell r="AN329">
            <v>0</v>
          </cell>
        </row>
        <row r="330">
          <cell r="A330" t="str">
            <v>13-3</v>
          </cell>
          <cell r="B330">
            <v>600</v>
          </cell>
          <cell r="D330" t="str">
            <v>전선관 부속품비</v>
          </cell>
          <cell r="E330" t="str">
            <v>전선관의 15%</v>
          </cell>
          <cell r="F330" t="str">
            <v>식</v>
          </cell>
          <cell r="V330" t="str">
            <v>=</v>
          </cell>
          <cell r="W330">
            <v>1</v>
          </cell>
          <cell r="AM330">
            <v>0</v>
          </cell>
        </row>
        <row r="331">
          <cell r="A331" t="str">
            <v>13-4</v>
          </cell>
          <cell r="B331">
            <v>700</v>
          </cell>
          <cell r="D331" t="str">
            <v>잡재료비</v>
          </cell>
          <cell r="E331" t="str">
            <v>재료비의2%</v>
          </cell>
          <cell r="F331" t="str">
            <v>식</v>
          </cell>
          <cell r="V331" t="str">
            <v>=</v>
          </cell>
          <cell r="W331">
            <v>1</v>
          </cell>
          <cell r="AM331">
            <v>0</v>
          </cell>
        </row>
        <row r="332">
          <cell r="A332" t="str">
            <v>13-5</v>
          </cell>
          <cell r="B332">
            <v>135</v>
          </cell>
          <cell r="D332" t="str">
            <v>새들</v>
          </cell>
          <cell r="E332" t="str">
            <v>Φ36mm</v>
          </cell>
          <cell r="F332" t="str">
            <v>개</v>
          </cell>
          <cell r="H332">
            <v>1</v>
          </cell>
          <cell r="I332" t="str">
            <v>x</v>
          </cell>
          <cell r="J332">
            <v>20</v>
          </cell>
          <cell r="V332" t="str">
            <v>=</v>
          </cell>
          <cell r="W332">
            <v>20</v>
          </cell>
          <cell r="Y332" t="str">
            <v>기본</v>
          </cell>
          <cell r="Z332" t="str">
            <v>x</v>
          </cell>
          <cell r="AA332" t="str">
            <v>단위량</v>
          </cell>
          <cell r="AM332">
            <v>80</v>
          </cell>
        </row>
        <row r="333">
          <cell r="A333" t="str">
            <v>13-6</v>
          </cell>
          <cell r="B333">
            <v>133</v>
          </cell>
          <cell r="D333" t="str">
            <v>HILTI핀</v>
          </cell>
          <cell r="E333">
            <v>0</v>
          </cell>
          <cell r="F333" t="str">
            <v>개</v>
          </cell>
          <cell r="H333">
            <v>2</v>
          </cell>
          <cell r="I333" t="str">
            <v>x</v>
          </cell>
          <cell r="J333">
            <v>20</v>
          </cell>
          <cell r="V333" t="str">
            <v>=</v>
          </cell>
          <cell r="W333">
            <v>40</v>
          </cell>
          <cell r="Y333" t="str">
            <v>기본</v>
          </cell>
          <cell r="Z333" t="str">
            <v>x</v>
          </cell>
          <cell r="AA333" t="str">
            <v>단위량</v>
          </cell>
          <cell r="AM333">
            <v>270</v>
          </cell>
          <cell r="AN333">
            <v>0</v>
          </cell>
        </row>
        <row r="334">
          <cell r="A334" t="str">
            <v>13-7</v>
          </cell>
          <cell r="B334">
            <v>134</v>
          </cell>
          <cell r="D334" t="str">
            <v>공포</v>
          </cell>
          <cell r="E334">
            <v>0</v>
          </cell>
          <cell r="F334" t="str">
            <v>발</v>
          </cell>
          <cell r="H334">
            <v>2</v>
          </cell>
          <cell r="I334" t="str">
            <v>x</v>
          </cell>
          <cell r="J334">
            <v>20</v>
          </cell>
          <cell r="V334" t="str">
            <v>=</v>
          </cell>
          <cell r="W334">
            <v>40</v>
          </cell>
          <cell r="Y334" t="str">
            <v>기본</v>
          </cell>
          <cell r="Z334" t="str">
            <v>x</v>
          </cell>
          <cell r="AA334" t="str">
            <v>단위량</v>
          </cell>
          <cell r="AM334">
            <v>90</v>
          </cell>
          <cell r="AN334">
            <v>0</v>
          </cell>
        </row>
        <row r="335">
          <cell r="A335" t="str">
            <v>13-8</v>
          </cell>
          <cell r="B335">
            <v>542</v>
          </cell>
          <cell r="D335" t="str">
            <v>나. 노무비</v>
          </cell>
          <cell r="E335">
            <v>0</v>
          </cell>
          <cell r="F335">
            <v>0</v>
          </cell>
          <cell r="AM335">
            <v>0</v>
          </cell>
          <cell r="AN335">
            <v>0</v>
          </cell>
        </row>
        <row r="336">
          <cell r="B336">
            <v>518</v>
          </cell>
          <cell r="D336" t="str">
            <v>통신내선공</v>
          </cell>
          <cell r="E336">
            <v>0</v>
          </cell>
          <cell r="F336" t="str">
            <v>인</v>
          </cell>
          <cell r="H336">
            <v>1</v>
          </cell>
          <cell r="I336" t="str">
            <v>x</v>
          </cell>
          <cell r="J336">
            <v>1</v>
          </cell>
          <cell r="K336" t="str">
            <v>x</v>
          </cell>
          <cell r="L336" t="str">
            <v>(</v>
          </cell>
          <cell r="M336">
            <v>1</v>
          </cell>
          <cell r="N336" t="str">
            <v>+</v>
          </cell>
          <cell r="O336">
            <v>0.02</v>
          </cell>
          <cell r="P336" t="str">
            <v>)</v>
          </cell>
          <cell r="V336" t="str">
            <v>=</v>
          </cell>
          <cell r="W336">
            <v>1.02</v>
          </cell>
          <cell r="Y336" t="str">
            <v>기본</v>
          </cell>
          <cell r="Z336" t="str">
            <v>x</v>
          </cell>
          <cell r="AA336" t="str">
            <v>단위량</v>
          </cell>
          <cell r="AB336" t="str">
            <v>x</v>
          </cell>
          <cell r="AC336" t="str">
            <v>(</v>
          </cell>
          <cell r="AD336">
            <v>1</v>
          </cell>
          <cell r="AE336" t="str">
            <v>+</v>
          </cell>
          <cell r="AF336" t="str">
            <v>지하</v>
          </cell>
          <cell r="AG336" t="str">
            <v>)</v>
          </cell>
          <cell r="AL336" t="str">
            <v>통3-61-가(지하)</v>
          </cell>
          <cell r="AM336">
            <v>63806</v>
          </cell>
          <cell r="AN336">
            <v>0</v>
          </cell>
        </row>
        <row r="337">
          <cell r="B337">
            <v>518</v>
          </cell>
          <cell r="D337" t="str">
            <v>통신내선공</v>
          </cell>
          <cell r="E337">
            <v>0</v>
          </cell>
          <cell r="F337" t="str">
            <v>인</v>
          </cell>
          <cell r="H337">
            <v>1.7999999999999999E-2</v>
          </cell>
          <cell r="I337" t="str">
            <v>x</v>
          </cell>
          <cell r="J337">
            <v>40</v>
          </cell>
          <cell r="K337" t="str">
            <v>x</v>
          </cell>
          <cell r="L337" t="str">
            <v>(</v>
          </cell>
          <cell r="M337">
            <v>1</v>
          </cell>
          <cell r="N337" t="str">
            <v>+</v>
          </cell>
          <cell r="O337">
            <v>0.02</v>
          </cell>
          <cell r="P337" t="str">
            <v>)</v>
          </cell>
          <cell r="V337" t="str">
            <v>=</v>
          </cell>
          <cell r="W337">
            <v>0.73</v>
          </cell>
          <cell r="Y337" t="str">
            <v>기본</v>
          </cell>
          <cell r="Z337" t="str">
            <v>x</v>
          </cell>
          <cell r="AA337" t="str">
            <v>단위량</v>
          </cell>
          <cell r="AB337" t="str">
            <v>x</v>
          </cell>
          <cell r="AC337" t="str">
            <v>(</v>
          </cell>
          <cell r="AD337">
            <v>1</v>
          </cell>
          <cell r="AE337" t="str">
            <v>+</v>
          </cell>
          <cell r="AF337" t="str">
            <v>지하</v>
          </cell>
          <cell r="AG337" t="str">
            <v>)</v>
          </cell>
          <cell r="AL337" t="str">
            <v>통3-61-사(지하)</v>
          </cell>
          <cell r="AM337">
            <v>63806</v>
          </cell>
          <cell r="AN337">
            <v>0</v>
          </cell>
        </row>
        <row r="338">
          <cell r="B338">
            <v>544</v>
          </cell>
          <cell r="D338" t="str">
            <v>소    계</v>
          </cell>
          <cell r="E338">
            <v>0</v>
          </cell>
          <cell r="F338">
            <v>0</v>
          </cell>
          <cell r="AM338">
            <v>0</v>
          </cell>
          <cell r="AN338">
            <v>0</v>
          </cell>
        </row>
        <row r="339">
          <cell r="A339" t="str">
            <v>13-9</v>
          </cell>
          <cell r="B339">
            <v>518</v>
          </cell>
          <cell r="D339" t="str">
            <v>통신내선공</v>
          </cell>
          <cell r="E339">
            <v>0</v>
          </cell>
          <cell r="F339" t="str">
            <v>인</v>
          </cell>
          <cell r="V339" t="str">
            <v>=</v>
          </cell>
          <cell r="W339">
            <v>1.75</v>
          </cell>
          <cell r="AM339">
            <v>63806</v>
          </cell>
          <cell r="AN339">
            <v>0</v>
          </cell>
        </row>
        <row r="340">
          <cell r="A340" t="str">
            <v>13-10</v>
          </cell>
          <cell r="B340">
            <v>543</v>
          </cell>
          <cell r="D340" t="str">
            <v>다. 공구손료</v>
          </cell>
          <cell r="E340" t="str">
            <v>노무비x3%</v>
          </cell>
          <cell r="F340">
            <v>0</v>
          </cell>
          <cell r="AM340">
            <v>0</v>
          </cell>
          <cell r="AN340">
            <v>0</v>
          </cell>
        </row>
        <row r="341">
          <cell r="A341" t="str">
            <v>13-11</v>
          </cell>
          <cell r="B341">
            <v>518</v>
          </cell>
          <cell r="D341" t="str">
            <v>통신내선공</v>
          </cell>
          <cell r="E341">
            <v>0</v>
          </cell>
          <cell r="F341" t="str">
            <v>인</v>
          </cell>
          <cell r="H341">
            <v>1.72</v>
          </cell>
          <cell r="I341" t="str">
            <v>x</v>
          </cell>
          <cell r="J341">
            <v>0.03</v>
          </cell>
          <cell r="V341" t="str">
            <v>=</v>
          </cell>
          <cell r="W341">
            <v>0.05</v>
          </cell>
          <cell r="Y341" t="str">
            <v>기본</v>
          </cell>
          <cell r="Z341" t="str">
            <v>x</v>
          </cell>
          <cell r="AA341" t="str">
            <v>공구손료</v>
          </cell>
          <cell r="AM341">
            <v>63806</v>
          </cell>
          <cell r="AN341">
            <v>0</v>
          </cell>
        </row>
        <row r="342">
          <cell r="AM342">
            <v>0</v>
          </cell>
          <cell r="AN342">
            <v>0</v>
          </cell>
        </row>
        <row r="343">
          <cell r="AM343">
            <v>0</v>
          </cell>
          <cell r="AN343">
            <v>0</v>
          </cell>
        </row>
        <row r="344">
          <cell r="AM344">
            <v>0</v>
          </cell>
          <cell r="AN344">
            <v>0</v>
          </cell>
        </row>
        <row r="345">
          <cell r="AM345">
            <v>0</v>
          </cell>
          <cell r="AN345">
            <v>0</v>
          </cell>
        </row>
        <row r="346">
          <cell r="AM346">
            <v>0</v>
          </cell>
          <cell r="AN346">
            <v>0</v>
          </cell>
        </row>
        <row r="347">
          <cell r="AM347">
            <v>0</v>
          </cell>
        </row>
        <row r="348">
          <cell r="AM348">
            <v>0</v>
          </cell>
        </row>
        <row r="349">
          <cell r="AM349">
            <v>0</v>
          </cell>
          <cell r="AN349">
            <v>0</v>
          </cell>
        </row>
        <row r="350">
          <cell r="AM350">
            <v>0</v>
          </cell>
          <cell r="AN350">
            <v>0</v>
          </cell>
        </row>
        <row r="351">
          <cell r="AM351">
            <v>0</v>
          </cell>
          <cell r="AN351">
            <v>0</v>
          </cell>
        </row>
        <row r="352">
          <cell r="AM352">
            <v>0</v>
          </cell>
          <cell r="AN352">
            <v>0</v>
          </cell>
        </row>
        <row r="353">
          <cell r="AM353">
            <v>0</v>
          </cell>
          <cell r="AN353">
            <v>0</v>
          </cell>
        </row>
        <row r="354">
          <cell r="A354">
            <v>14</v>
          </cell>
          <cell r="C354">
            <v>14</v>
          </cell>
          <cell r="D354" t="str">
            <v>파상형경질비닐전선관 신설</v>
          </cell>
          <cell r="E354" t="str">
            <v>ELP Φ30</v>
          </cell>
          <cell r="F354" t="str">
            <v>m</v>
          </cell>
          <cell r="AM354">
            <v>0</v>
          </cell>
          <cell r="AN354">
            <v>0</v>
          </cell>
        </row>
        <row r="355">
          <cell r="A355" t="str">
            <v>14-1</v>
          </cell>
          <cell r="B355">
            <v>541</v>
          </cell>
          <cell r="D355" t="str">
            <v>가. 재료비</v>
          </cell>
          <cell r="E355">
            <v>0</v>
          </cell>
          <cell r="F355">
            <v>0</v>
          </cell>
          <cell r="AM355">
            <v>0</v>
          </cell>
          <cell r="AN355">
            <v>0</v>
          </cell>
        </row>
        <row r="356">
          <cell r="A356" t="str">
            <v>14-2</v>
          </cell>
          <cell r="B356">
            <v>396</v>
          </cell>
          <cell r="D356" t="str">
            <v>ELP 전선관</v>
          </cell>
          <cell r="E356" t="str">
            <v xml:space="preserve"> Φ30</v>
          </cell>
          <cell r="F356" t="str">
            <v>m</v>
          </cell>
          <cell r="H356">
            <v>1</v>
          </cell>
          <cell r="I356" t="str">
            <v>x</v>
          </cell>
          <cell r="J356">
            <v>1</v>
          </cell>
          <cell r="K356" t="str">
            <v>x</v>
          </cell>
          <cell r="L356" t="str">
            <v>(</v>
          </cell>
          <cell r="M356">
            <v>1</v>
          </cell>
          <cell r="N356" t="str">
            <v>+</v>
          </cell>
          <cell r="O356">
            <v>0.03</v>
          </cell>
          <cell r="P356" t="str">
            <v>)</v>
          </cell>
          <cell r="V356" t="str">
            <v>=</v>
          </cell>
          <cell r="W356">
            <v>1.03</v>
          </cell>
          <cell r="Y356" t="str">
            <v>기본</v>
          </cell>
          <cell r="Z356" t="str">
            <v>x</v>
          </cell>
          <cell r="AA356" t="str">
            <v>단위량</v>
          </cell>
          <cell r="AB356" t="str">
            <v>x</v>
          </cell>
          <cell r="AC356" t="str">
            <v>(</v>
          </cell>
          <cell r="AD356">
            <v>1</v>
          </cell>
          <cell r="AE356" t="str">
            <v>+</v>
          </cell>
          <cell r="AF356" t="str">
            <v>할증</v>
          </cell>
          <cell r="AG356" t="str">
            <v>)</v>
          </cell>
          <cell r="AM356">
            <v>224</v>
          </cell>
          <cell r="AN356">
            <v>0</v>
          </cell>
        </row>
        <row r="357">
          <cell r="A357" t="str">
            <v>14-3</v>
          </cell>
          <cell r="B357">
            <v>600</v>
          </cell>
          <cell r="D357" t="str">
            <v>전선관 부속품비</v>
          </cell>
          <cell r="E357" t="str">
            <v>전선관의 15%</v>
          </cell>
          <cell r="F357" t="str">
            <v>식</v>
          </cell>
          <cell r="V357" t="str">
            <v>=</v>
          </cell>
          <cell r="W357">
            <v>1</v>
          </cell>
          <cell r="AM357">
            <v>0</v>
          </cell>
        </row>
        <row r="358">
          <cell r="A358" t="str">
            <v>14-4</v>
          </cell>
          <cell r="B358">
            <v>700</v>
          </cell>
          <cell r="D358" t="str">
            <v>잡재료비</v>
          </cell>
          <cell r="E358" t="str">
            <v>재료비의2%</v>
          </cell>
          <cell r="F358" t="str">
            <v>식</v>
          </cell>
          <cell r="V358" t="str">
            <v>=</v>
          </cell>
          <cell r="W358">
            <v>1</v>
          </cell>
          <cell r="AM358">
            <v>0</v>
          </cell>
        </row>
        <row r="359">
          <cell r="A359" t="str">
            <v>14-5</v>
          </cell>
          <cell r="B359">
            <v>542</v>
          </cell>
          <cell r="D359" t="str">
            <v>나. 노무비</v>
          </cell>
          <cell r="E359">
            <v>0</v>
          </cell>
          <cell r="F359">
            <v>0</v>
          </cell>
          <cell r="AM359">
            <v>0</v>
          </cell>
          <cell r="AN359">
            <v>0</v>
          </cell>
        </row>
        <row r="360">
          <cell r="B360">
            <v>548</v>
          </cell>
          <cell r="D360" t="str">
            <v>배전전공</v>
          </cell>
          <cell r="E360">
            <v>0</v>
          </cell>
          <cell r="F360" t="str">
            <v>인</v>
          </cell>
          <cell r="H360">
            <v>1.2E-2</v>
          </cell>
          <cell r="I360" t="str">
            <v>x</v>
          </cell>
          <cell r="J360">
            <v>1</v>
          </cell>
          <cell r="V360" t="str">
            <v>=</v>
          </cell>
          <cell r="W360">
            <v>0.01</v>
          </cell>
          <cell r="Y360" t="str">
            <v>기본</v>
          </cell>
          <cell r="Z360" t="str">
            <v>x</v>
          </cell>
          <cell r="AA360" t="str">
            <v>단위량</v>
          </cell>
          <cell r="AL360" t="str">
            <v>전 5-37-1</v>
          </cell>
          <cell r="AM360">
            <v>156907</v>
          </cell>
          <cell r="AN360">
            <v>0</v>
          </cell>
        </row>
        <row r="361">
          <cell r="B361">
            <v>523</v>
          </cell>
          <cell r="D361" t="str">
            <v>보통인부</v>
          </cell>
          <cell r="E361">
            <v>0</v>
          </cell>
          <cell r="F361" t="str">
            <v>인</v>
          </cell>
          <cell r="H361">
            <v>2.9000000000000001E-2</v>
          </cell>
          <cell r="I361" t="str">
            <v>x</v>
          </cell>
          <cell r="J361">
            <v>1</v>
          </cell>
          <cell r="V361" t="str">
            <v>=</v>
          </cell>
          <cell r="W361">
            <v>0.03</v>
          </cell>
          <cell r="Y361" t="str">
            <v>기본</v>
          </cell>
          <cell r="Z361" t="str">
            <v>x</v>
          </cell>
          <cell r="AA361" t="str">
            <v>단위량</v>
          </cell>
          <cell r="AM361">
            <v>40922</v>
          </cell>
          <cell r="AN361">
            <v>0</v>
          </cell>
        </row>
        <row r="362">
          <cell r="B362">
            <v>544</v>
          </cell>
          <cell r="D362" t="str">
            <v>소    계</v>
          </cell>
          <cell r="E362">
            <v>0</v>
          </cell>
          <cell r="F362">
            <v>0</v>
          </cell>
          <cell r="AM362">
            <v>0</v>
          </cell>
          <cell r="AN362">
            <v>0</v>
          </cell>
        </row>
        <row r="363">
          <cell r="A363" t="str">
            <v>14-6</v>
          </cell>
          <cell r="B363">
            <v>548</v>
          </cell>
          <cell r="D363" t="str">
            <v>배전전공</v>
          </cell>
          <cell r="E363">
            <v>0</v>
          </cell>
          <cell r="F363" t="str">
            <v>인</v>
          </cell>
          <cell r="V363" t="str">
            <v>=</v>
          </cell>
          <cell r="W363">
            <v>0.01</v>
          </cell>
          <cell r="AM363">
            <v>156907</v>
          </cell>
          <cell r="AN363">
            <v>0</v>
          </cell>
        </row>
        <row r="364">
          <cell r="A364" t="str">
            <v>14-7</v>
          </cell>
          <cell r="B364">
            <v>523</v>
          </cell>
          <cell r="D364" t="str">
            <v>보통인부</v>
          </cell>
          <cell r="E364">
            <v>0</v>
          </cell>
          <cell r="F364" t="str">
            <v>인</v>
          </cell>
          <cell r="V364" t="str">
            <v>=</v>
          </cell>
          <cell r="W364">
            <v>0.03</v>
          </cell>
          <cell r="AM364">
            <v>40922</v>
          </cell>
          <cell r="AN364">
            <v>0</v>
          </cell>
        </row>
        <row r="365">
          <cell r="A365" t="str">
            <v>14-8</v>
          </cell>
          <cell r="B365">
            <v>543</v>
          </cell>
          <cell r="D365" t="str">
            <v>다. 공구손료</v>
          </cell>
          <cell r="E365" t="str">
            <v>노무비x3%</v>
          </cell>
          <cell r="F365">
            <v>0</v>
          </cell>
          <cell r="AM365">
            <v>0</v>
          </cell>
          <cell r="AN365">
            <v>0</v>
          </cell>
        </row>
        <row r="366">
          <cell r="A366" t="str">
            <v>14-9</v>
          </cell>
          <cell r="B366">
            <v>548</v>
          </cell>
          <cell r="D366" t="str">
            <v>배전전공</v>
          </cell>
          <cell r="E366">
            <v>0</v>
          </cell>
          <cell r="F366" t="str">
            <v>인</v>
          </cell>
          <cell r="H366">
            <v>0.01</v>
          </cell>
          <cell r="I366" t="str">
            <v>x</v>
          </cell>
          <cell r="J366">
            <v>0.03</v>
          </cell>
          <cell r="V366" t="str">
            <v>=</v>
          </cell>
          <cell r="W366" t="str">
            <v>0</v>
          </cell>
          <cell r="Y366" t="str">
            <v>기본</v>
          </cell>
          <cell r="Z366" t="str">
            <v>x</v>
          </cell>
          <cell r="AA366" t="str">
            <v>공구손료</v>
          </cell>
          <cell r="AM366">
            <v>156907</v>
          </cell>
          <cell r="AN366">
            <v>0</v>
          </cell>
        </row>
        <row r="367">
          <cell r="A367" t="str">
            <v>14-10</v>
          </cell>
          <cell r="B367">
            <v>523</v>
          </cell>
          <cell r="D367" t="str">
            <v>보통인부</v>
          </cell>
          <cell r="E367">
            <v>0</v>
          </cell>
          <cell r="F367" t="str">
            <v>인</v>
          </cell>
          <cell r="H367">
            <v>0.03</v>
          </cell>
          <cell r="I367" t="str">
            <v>x</v>
          </cell>
          <cell r="J367">
            <v>0.03</v>
          </cell>
          <cell r="V367" t="str">
            <v>=</v>
          </cell>
          <cell r="W367" t="str">
            <v>0</v>
          </cell>
          <cell r="Y367" t="str">
            <v>기본</v>
          </cell>
          <cell r="Z367" t="str">
            <v>x</v>
          </cell>
          <cell r="AA367" t="str">
            <v>공구손료</v>
          </cell>
          <cell r="AM367">
            <v>40922</v>
          </cell>
          <cell r="AN367">
            <v>0</v>
          </cell>
        </row>
        <row r="368">
          <cell r="AM368">
            <v>0</v>
          </cell>
          <cell r="AN368">
            <v>0</v>
          </cell>
        </row>
        <row r="369">
          <cell r="AM369">
            <v>0</v>
          </cell>
          <cell r="AN369">
            <v>0</v>
          </cell>
        </row>
        <row r="370">
          <cell r="AM370">
            <v>0</v>
          </cell>
          <cell r="AN370">
            <v>0</v>
          </cell>
        </row>
        <row r="371">
          <cell r="AM371">
            <v>0</v>
          </cell>
          <cell r="AN371">
            <v>0</v>
          </cell>
        </row>
        <row r="372">
          <cell r="AM372">
            <v>0</v>
          </cell>
          <cell r="AN372">
            <v>0</v>
          </cell>
        </row>
        <row r="373">
          <cell r="AM373">
            <v>0</v>
          </cell>
          <cell r="AN373">
            <v>0</v>
          </cell>
        </row>
        <row r="374">
          <cell r="AM374">
            <v>0</v>
          </cell>
        </row>
        <row r="375">
          <cell r="AM375">
            <v>0</v>
          </cell>
        </row>
        <row r="376">
          <cell r="AM376">
            <v>0</v>
          </cell>
        </row>
        <row r="377">
          <cell r="AM377">
            <v>0</v>
          </cell>
        </row>
        <row r="378">
          <cell r="AM378">
            <v>0</v>
          </cell>
          <cell r="AN378">
            <v>0</v>
          </cell>
        </row>
        <row r="379">
          <cell r="AM379">
            <v>0</v>
          </cell>
          <cell r="AN379">
            <v>0</v>
          </cell>
        </row>
        <row r="380">
          <cell r="AM380">
            <v>0</v>
          </cell>
          <cell r="AN380">
            <v>0</v>
          </cell>
        </row>
        <row r="381">
          <cell r="A381">
            <v>15</v>
          </cell>
          <cell r="C381">
            <v>15</v>
          </cell>
          <cell r="D381" t="str">
            <v>트라후 신설</v>
          </cell>
          <cell r="E381" t="str">
            <v>W400xH215</v>
          </cell>
          <cell r="F381" t="str">
            <v>10m</v>
          </cell>
          <cell r="AM381">
            <v>0</v>
          </cell>
          <cell r="AN381">
            <v>0</v>
          </cell>
        </row>
        <row r="382">
          <cell r="A382" t="str">
            <v>15-1</v>
          </cell>
          <cell r="B382">
            <v>541</v>
          </cell>
          <cell r="D382" t="str">
            <v>가. 재료비</v>
          </cell>
          <cell r="E382">
            <v>0</v>
          </cell>
          <cell r="F382">
            <v>0</v>
          </cell>
          <cell r="AM382">
            <v>0</v>
          </cell>
          <cell r="AN382">
            <v>0</v>
          </cell>
        </row>
        <row r="383">
          <cell r="A383" t="str">
            <v>15-2</v>
          </cell>
          <cell r="B383">
            <v>443</v>
          </cell>
          <cell r="D383" t="str">
            <v>트라후</v>
          </cell>
          <cell r="E383" t="str">
            <v>W400xH215(CONCRETE)</v>
          </cell>
          <cell r="F383" t="str">
            <v>m</v>
          </cell>
          <cell r="H383">
            <v>1</v>
          </cell>
          <cell r="I383" t="str">
            <v>x</v>
          </cell>
          <cell r="J383">
            <v>10</v>
          </cell>
          <cell r="V383" t="str">
            <v>=</v>
          </cell>
          <cell r="W383">
            <v>10</v>
          </cell>
          <cell r="Y383" t="str">
            <v>기본</v>
          </cell>
          <cell r="Z383" t="str">
            <v>x</v>
          </cell>
          <cell r="AA383" t="str">
            <v>단위량</v>
          </cell>
          <cell r="AM383">
            <v>16800</v>
          </cell>
          <cell r="AN383">
            <v>0</v>
          </cell>
        </row>
        <row r="384">
          <cell r="A384" t="str">
            <v>15-3</v>
          </cell>
          <cell r="B384">
            <v>542</v>
          </cell>
          <cell r="D384" t="str">
            <v>나. 노무비</v>
          </cell>
          <cell r="E384">
            <v>0</v>
          </cell>
          <cell r="F384">
            <v>0</v>
          </cell>
          <cell r="AM384">
            <v>0</v>
          </cell>
          <cell r="AN384">
            <v>0</v>
          </cell>
        </row>
        <row r="385">
          <cell r="B385">
            <v>516</v>
          </cell>
          <cell r="D385" t="str">
            <v>통신외선공</v>
          </cell>
          <cell r="E385">
            <v>0</v>
          </cell>
          <cell r="F385" t="str">
            <v>인</v>
          </cell>
          <cell r="H385">
            <v>2.7</v>
          </cell>
          <cell r="I385" t="str">
            <v>x</v>
          </cell>
          <cell r="J385">
            <v>1</v>
          </cell>
          <cell r="V385" t="str">
            <v>=</v>
          </cell>
          <cell r="W385">
            <v>2.7</v>
          </cell>
          <cell r="Y385" t="str">
            <v>기본</v>
          </cell>
          <cell r="Z385" t="str">
            <v>x</v>
          </cell>
          <cell r="AA385" t="str">
            <v>단위량</v>
          </cell>
          <cell r="AL385" t="str">
            <v>통3-23</v>
          </cell>
          <cell r="AM385">
            <v>90961</v>
          </cell>
          <cell r="AN385">
            <v>0</v>
          </cell>
        </row>
        <row r="386">
          <cell r="B386">
            <v>544</v>
          </cell>
          <cell r="D386" t="str">
            <v>소    계</v>
          </cell>
          <cell r="E386">
            <v>0</v>
          </cell>
          <cell r="F386">
            <v>0</v>
          </cell>
          <cell r="AM386">
            <v>0</v>
          </cell>
          <cell r="AN386">
            <v>0</v>
          </cell>
        </row>
        <row r="387">
          <cell r="A387" t="str">
            <v>15-4</v>
          </cell>
          <cell r="B387">
            <v>516</v>
          </cell>
          <cell r="D387" t="str">
            <v>통신외선공</v>
          </cell>
          <cell r="E387">
            <v>0</v>
          </cell>
          <cell r="F387" t="str">
            <v>인</v>
          </cell>
          <cell r="V387" t="str">
            <v>=</v>
          </cell>
          <cell r="W387">
            <v>2.7</v>
          </cell>
          <cell r="AM387">
            <v>90961</v>
          </cell>
          <cell r="AN387">
            <v>0</v>
          </cell>
        </row>
        <row r="388">
          <cell r="A388" t="str">
            <v>15-5</v>
          </cell>
          <cell r="B388">
            <v>543</v>
          </cell>
          <cell r="D388" t="str">
            <v>다. 공구손료</v>
          </cell>
          <cell r="E388" t="str">
            <v>노무비x3%</v>
          </cell>
          <cell r="F388">
            <v>0</v>
          </cell>
          <cell r="AM388">
            <v>0</v>
          </cell>
          <cell r="AN388">
            <v>0</v>
          </cell>
        </row>
        <row r="389">
          <cell r="A389" t="str">
            <v>15-6</v>
          </cell>
          <cell r="B389">
            <v>516</v>
          </cell>
          <cell r="D389" t="str">
            <v>통신외선공</v>
          </cell>
          <cell r="E389">
            <v>0</v>
          </cell>
          <cell r="F389" t="str">
            <v>인</v>
          </cell>
          <cell r="H389">
            <v>2.7</v>
          </cell>
          <cell r="I389" t="str">
            <v>x</v>
          </cell>
          <cell r="J389">
            <v>0.03</v>
          </cell>
          <cell r="V389" t="str">
            <v>=</v>
          </cell>
          <cell r="W389">
            <v>0.08</v>
          </cell>
          <cell r="Y389" t="str">
            <v>기본</v>
          </cell>
          <cell r="Z389" t="str">
            <v>x</v>
          </cell>
          <cell r="AA389" t="str">
            <v>공구손료</v>
          </cell>
          <cell r="AM389">
            <v>90961</v>
          </cell>
          <cell r="AN389">
            <v>0</v>
          </cell>
        </row>
        <row r="390">
          <cell r="AM390">
            <v>0</v>
          </cell>
          <cell r="AN390">
            <v>0</v>
          </cell>
        </row>
        <row r="391">
          <cell r="AM391">
            <v>0</v>
          </cell>
          <cell r="AN391">
            <v>0</v>
          </cell>
        </row>
        <row r="392">
          <cell r="AM392">
            <v>0</v>
          </cell>
          <cell r="AN392">
            <v>0</v>
          </cell>
        </row>
        <row r="393">
          <cell r="AM393">
            <v>0</v>
          </cell>
          <cell r="AN393">
            <v>0</v>
          </cell>
        </row>
        <row r="394">
          <cell r="AM394">
            <v>0</v>
          </cell>
          <cell r="AN394">
            <v>0</v>
          </cell>
        </row>
        <row r="395">
          <cell r="AM395">
            <v>0</v>
          </cell>
          <cell r="AN395">
            <v>0</v>
          </cell>
        </row>
        <row r="396">
          <cell r="AM396">
            <v>0</v>
          </cell>
          <cell r="AN396">
            <v>0</v>
          </cell>
        </row>
        <row r="397">
          <cell r="AM397">
            <v>0</v>
          </cell>
          <cell r="AN397">
            <v>0</v>
          </cell>
        </row>
        <row r="398">
          <cell r="AM398">
            <v>0</v>
          </cell>
        </row>
        <row r="399">
          <cell r="AM399">
            <v>0</v>
          </cell>
        </row>
        <row r="400">
          <cell r="AM400">
            <v>0</v>
          </cell>
        </row>
        <row r="401">
          <cell r="AM401">
            <v>0</v>
          </cell>
        </row>
        <row r="402">
          <cell r="AM402">
            <v>0</v>
          </cell>
        </row>
        <row r="403">
          <cell r="AM403">
            <v>0</v>
          </cell>
          <cell r="AN403">
            <v>0</v>
          </cell>
        </row>
        <row r="404">
          <cell r="AM404">
            <v>0</v>
          </cell>
          <cell r="AN404">
            <v>0</v>
          </cell>
        </row>
        <row r="405">
          <cell r="AM405">
            <v>0</v>
          </cell>
          <cell r="AN405">
            <v>0</v>
          </cell>
        </row>
        <row r="406">
          <cell r="AM406">
            <v>0</v>
          </cell>
          <cell r="AN406">
            <v>0</v>
          </cell>
        </row>
        <row r="407">
          <cell r="AM407">
            <v>0</v>
          </cell>
          <cell r="AN407">
            <v>0</v>
          </cell>
        </row>
        <row r="408">
          <cell r="A408">
            <v>16</v>
          </cell>
          <cell r="C408">
            <v>16</v>
          </cell>
          <cell r="D408" t="str">
            <v>트라후 신설</v>
          </cell>
          <cell r="E408" t="str">
            <v>W150xH120</v>
          </cell>
          <cell r="F408" t="str">
            <v>10m</v>
          </cell>
          <cell r="AM408">
            <v>0</v>
          </cell>
          <cell r="AN408">
            <v>0</v>
          </cell>
        </row>
        <row r="409">
          <cell r="A409" t="str">
            <v>16-1</v>
          </cell>
          <cell r="B409">
            <v>541</v>
          </cell>
          <cell r="D409" t="str">
            <v>가. 재료비</v>
          </cell>
          <cell r="E409">
            <v>0</v>
          </cell>
          <cell r="F409">
            <v>0</v>
          </cell>
          <cell r="AM409">
            <v>0</v>
          </cell>
          <cell r="AN409">
            <v>0</v>
          </cell>
        </row>
        <row r="410">
          <cell r="A410" t="str">
            <v>16-2</v>
          </cell>
          <cell r="B410">
            <v>301</v>
          </cell>
          <cell r="D410" t="str">
            <v>트라후</v>
          </cell>
          <cell r="E410" t="str">
            <v>W150xH120(CONCRETE)</v>
          </cell>
          <cell r="F410" t="str">
            <v>m</v>
          </cell>
          <cell r="H410">
            <v>1</v>
          </cell>
          <cell r="I410" t="str">
            <v>x</v>
          </cell>
          <cell r="J410">
            <v>10</v>
          </cell>
          <cell r="V410" t="str">
            <v>=</v>
          </cell>
          <cell r="W410">
            <v>10</v>
          </cell>
          <cell r="Y410" t="str">
            <v>기본</v>
          </cell>
          <cell r="Z410" t="str">
            <v>x</v>
          </cell>
          <cell r="AA410" t="str">
            <v>단위량</v>
          </cell>
          <cell r="AM410">
            <v>7920</v>
          </cell>
          <cell r="AN410">
            <v>0</v>
          </cell>
        </row>
        <row r="411">
          <cell r="A411" t="str">
            <v>16-3</v>
          </cell>
          <cell r="B411">
            <v>542</v>
          </cell>
          <cell r="D411" t="str">
            <v>나. 노무비</v>
          </cell>
          <cell r="E411">
            <v>0</v>
          </cell>
          <cell r="F411">
            <v>0</v>
          </cell>
          <cell r="AM411">
            <v>0</v>
          </cell>
          <cell r="AN411">
            <v>0</v>
          </cell>
        </row>
        <row r="412">
          <cell r="B412">
            <v>516</v>
          </cell>
          <cell r="D412" t="str">
            <v>통신외선공</v>
          </cell>
          <cell r="E412">
            <v>0</v>
          </cell>
          <cell r="F412" t="str">
            <v>인</v>
          </cell>
          <cell r="H412">
            <v>0.76</v>
          </cell>
          <cell r="I412" t="str">
            <v>x</v>
          </cell>
          <cell r="J412">
            <v>1</v>
          </cell>
          <cell r="V412" t="str">
            <v>=</v>
          </cell>
          <cell r="W412">
            <v>0.76</v>
          </cell>
          <cell r="Y412" t="str">
            <v>기본</v>
          </cell>
          <cell r="Z412" t="str">
            <v>x</v>
          </cell>
          <cell r="AA412" t="str">
            <v>단위량</v>
          </cell>
          <cell r="AL412" t="str">
            <v>통3-23</v>
          </cell>
          <cell r="AM412">
            <v>90961</v>
          </cell>
          <cell r="AN412">
            <v>0</v>
          </cell>
        </row>
        <row r="413">
          <cell r="B413">
            <v>544</v>
          </cell>
          <cell r="D413" t="str">
            <v>소    계</v>
          </cell>
          <cell r="E413">
            <v>0</v>
          </cell>
          <cell r="F413">
            <v>0</v>
          </cell>
          <cell r="AM413">
            <v>0</v>
          </cell>
          <cell r="AN413">
            <v>0</v>
          </cell>
        </row>
        <row r="414">
          <cell r="A414" t="str">
            <v>16-4</v>
          </cell>
          <cell r="B414">
            <v>516</v>
          </cell>
          <cell r="D414" t="str">
            <v>통신외선공</v>
          </cell>
          <cell r="E414">
            <v>0</v>
          </cell>
          <cell r="F414" t="str">
            <v>인</v>
          </cell>
          <cell r="V414" t="str">
            <v>=</v>
          </cell>
          <cell r="W414">
            <v>0.76</v>
          </cell>
          <cell r="AM414">
            <v>90961</v>
          </cell>
          <cell r="AN414">
            <v>0</v>
          </cell>
        </row>
        <row r="415">
          <cell r="A415" t="str">
            <v>16-5</v>
          </cell>
          <cell r="B415">
            <v>543</v>
          </cell>
          <cell r="D415" t="str">
            <v>다. 공구손료</v>
          </cell>
          <cell r="E415" t="str">
            <v>노무비x3%</v>
          </cell>
          <cell r="F415">
            <v>0</v>
          </cell>
          <cell r="AM415">
            <v>0</v>
          </cell>
          <cell r="AN415">
            <v>0</v>
          </cell>
        </row>
        <row r="416">
          <cell r="A416" t="str">
            <v>16-6</v>
          </cell>
          <cell r="B416">
            <v>516</v>
          </cell>
          <cell r="D416" t="str">
            <v>통신외선공</v>
          </cell>
          <cell r="E416">
            <v>0</v>
          </cell>
          <cell r="F416" t="str">
            <v>인</v>
          </cell>
          <cell r="H416">
            <v>0.76</v>
          </cell>
          <cell r="I416" t="str">
            <v>x</v>
          </cell>
          <cell r="J416">
            <v>0.03</v>
          </cell>
          <cell r="V416" t="str">
            <v>=</v>
          </cell>
          <cell r="W416">
            <v>0.02</v>
          </cell>
          <cell r="Y416" t="str">
            <v>기본</v>
          </cell>
          <cell r="Z416" t="str">
            <v>x</v>
          </cell>
          <cell r="AA416" t="str">
            <v>공구손료</v>
          </cell>
          <cell r="AM416">
            <v>90961</v>
          </cell>
          <cell r="AN416">
            <v>0</v>
          </cell>
        </row>
        <row r="417">
          <cell r="AM417">
            <v>0</v>
          </cell>
          <cell r="AN417">
            <v>0</v>
          </cell>
        </row>
        <row r="418">
          <cell r="AM418">
            <v>0</v>
          </cell>
          <cell r="AN418">
            <v>0</v>
          </cell>
        </row>
        <row r="419">
          <cell r="AM419">
            <v>0</v>
          </cell>
          <cell r="AN419">
            <v>0</v>
          </cell>
        </row>
        <row r="420">
          <cell r="AM420">
            <v>0</v>
          </cell>
          <cell r="AN420">
            <v>0</v>
          </cell>
        </row>
        <row r="421">
          <cell r="AM421">
            <v>0</v>
          </cell>
          <cell r="AN421">
            <v>0</v>
          </cell>
        </row>
        <row r="422">
          <cell r="AM422">
            <v>0</v>
          </cell>
          <cell r="AN422">
            <v>0</v>
          </cell>
        </row>
        <row r="423">
          <cell r="AM423">
            <v>0</v>
          </cell>
          <cell r="AN423">
            <v>0</v>
          </cell>
        </row>
        <row r="424">
          <cell r="AM424">
            <v>0</v>
          </cell>
          <cell r="AN424">
            <v>0</v>
          </cell>
        </row>
        <row r="425">
          <cell r="AM425">
            <v>0</v>
          </cell>
        </row>
        <row r="426">
          <cell r="AM426">
            <v>0</v>
          </cell>
        </row>
        <row r="427">
          <cell r="AM427">
            <v>0</v>
          </cell>
        </row>
        <row r="428">
          <cell r="AM428">
            <v>0</v>
          </cell>
        </row>
        <row r="429">
          <cell r="AM429">
            <v>0</v>
          </cell>
        </row>
        <row r="430">
          <cell r="AM430">
            <v>0</v>
          </cell>
          <cell r="AN430">
            <v>0</v>
          </cell>
        </row>
        <row r="431">
          <cell r="AM431">
            <v>0</v>
          </cell>
          <cell r="AN431">
            <v>0</v>
          </cell>
        </row>
        <row r="432">
          <cell r="AM432">
            <v>0</v>
          </cell>
          <cell r="AN432">
            <v>0</v>
          </cell>
        </row>
        <row r="433">
          <cell r="AM433">
            <v>0</v>
          </cell>
          <cell r="AN433">
            <v>0</v>
          </cell>
        </row>
        <row r="434">
          <cell r="AM434">
            <v>0</v>
          </cell>
          <cell r="AN434">
            <v>0</v>
          </cell>
        </row>
        <row r="435">
          <cell r="A435">
            <v>17</v>
          </cell>
          <cell r="C435">
            <v>17</v>
          </cell>
          <cell r="D435" t="str">
            <v>트라후 신설</v>
          </cell>
          <cell r="E435" t="str">
            <v>W120xH70</v>
          </cell>
          <cell r="F435" t="str">
            <v>10m</v>
          </cell>
          <cell r="AM435">
            <v>0</v>
          </cell>
          <cell r="AN435">
            <v>0</v>
          </cell>
        </row>
        <row r="436">
          <cell r="A436" t="str">
            <v>17-1</v>
          </cell>
          <cell r="B436">
            <v>541</v>
          </cell>
          <cell r="D436" t="str">
            <v>가. 재료비</v>
          </cell>
          <cell r="E436">
            <v>0</v>
          </cell>
          <cell r="F436">
            <v>0</v>
          </cell>
          <cell r="AM436">
            <v>0</v>
          </cell>
          <cell r="AN436">
            <v>0</v>
          </cell>
        </row>
        <row r="437">
          <cell r="A437" t="str">
            <v>17-2</v>
          </cell>
          <cell r="B437">
            <v>252</v>
          </cell>
          <cell r="D437" t="str">
            <v>트라후</v>
          </cell>
          <cell r="E437" t="str">
            <v>W120xH70(PASCON)</v>
          </cell>
          <cell r="F437" t="str">
            <v>m</v>
          </cell>
          <cell r="H437">
            <v>1</v>
          </cell>
          <cell r="I437" t="str">
            <v>x</v>
          </cell>
          <cell r="J437">
            <v>10</v>
          </cell>
          <cell r="V437" t="str">
            <v>=</v>
          </cell>
          <cell r="W437">
            <v>10</v>
          </cell>
          <cell r="Y437" t="str">
            <v>기본</v>
          </cell>
          <cell r="Z437" t="str">
            <v>x</v>
          </cell>
          <cell r="AA437" t="str">
            <v>단위량</v>
          </cell>
          <cell r="AM437">
            <v>6000</v>
          </cell>
          <cell r="AN437">
            <v>0</v>
          </cell>
        </row>
        <row r="438">
          <cell r="A438" t="str">
            <v>17-3</v>
          </cell>
          <cell r="B438">
            <v>542</v>
          </cell>
          <cell r="D438" t="str">
            <v>나. 노무비</v>
          </cell>
          <cell r="E438">
            <v>0</v>
          </cell>
          <cell r="F438">
            <v>0</v>
          </cell>
          <cell r="AM438">
            <v>0</v>
          </cell>
          <cell r="AN438">
            <v>0</v>
          </cell>
        </row>
        <row r="439">
          <cell r="B439">
            <v>516</v>
          </cell>
          <cell r="D439" t="str">
            <v>통신외선공</v>
          </cell>
          <cell r="E439">
            <v>0</v>
          </cell>
          <cell r="F439" t="str">
            <v>인</v>
          </cell>
          <cell r="H439">
            <v>0.52</v>
          </cell>
          <cell r="I439" t="str">
            <v>x</v>
          </cell>
          <cell r="J439">
            <v>1</v>
          </cell>
          <cell r="K439" t="str">
            <v>x</v>
          </cell>
          <cell r="L439" t="str">
            <v>(</v>
          </cell>
          <cell r="M439">
            <v>1</v>
          </cell>
          <cell r="N439" t="str">
            <v>+</v>
          </cell>
          <cell r="O439">
            <v>0.02</v>
          </cell>
          <cell r="P439" t="str">
            <v>)</v>
          </cell>
          <cell r="V439" t="str">
            <v>=</v>
          </cell>
          <cell r="W439">
            <v>0.53</v>
          </cell>
          <cell r="Y439" t="str">
            <v>기본</v>
          </cell>
          <cell r="Z439" t="str">
            <v>x</v>
          </cell>
          <cell r="AA439" t="str">
            <v>단위량</v>
          </cell>
          <cell r="AB439" t="str">
            <v>x</v>
          </cell>
          <cell r="AC439" t="str">
            <v>(</v>
          </cell>
          <cell r="AD439">
            <v>1</v>
          </cell>
          <cell r="AE439" t="str">
            <v>+</v>
          </cell>
          <cell r="AF439" t="str">
            <v>지하</v>
          </cell>
          <cell r="AG439" t="str">
            <v>)</v>
          </cell>
          <cell r="AL439" t="str">
            <v>통3-23</v>
          </cell>
          <cell r="AM439">
            <v>90961</v>
          </cell>
          <cell r="AN439">
            <v>0</v>
          </cell>
        </row>
        <row r="440">
          <cell r="B440">
            <v>544</v>
          </cell>
          <cell r="D440" t="str">
            <v>소    계</v>
          </cell>
          <cell r="E440">
            <v>0</v>
          </cell>
          <cell r="F440">
            <v>0</v>
          </cell>
          <cell r="AM440">
            <v>0</v>
          </cell>
          <cell r="AN440">
            <v>0</v>
          </cell>
        </row>
        <row r="441">
          <cell r="A441" t="str">
            <v>17-4</v>
          </cell>
          <cell r="B441">
            <v>516</v>
          </cell>
          <cell r="D441" t="str">
            <v>통신외선공</v>
          </cell>
          <cell r="E441">
            <v>0</v>
          </cell>
          <cell r="F441" t="str">
            <v>인</v>
          </cell>
          <cell r="V441" t="str">
            <v>=</v>
          </cell>
          <cell r="W441">
            <v>0.53</v>
          </cell>
          <cell r="AM441">
            <v>90961</v>
          </cell>
          <cell r="AN441">
            <v>0</v>
          </cell>
        </row>
        <row r="442">
          <cell r="A442" t="str">
            <v>17-5</v>
          </cell>
          <cell r="B442">
            <v>543</v>
          </cell>
          <cell r="D442" t="str">
            <v>다. 공구손료</v>
          </cell>
          <cell r="E442" t="str">
            <v>노무비x3%</v>
          </cell>
          <cell r="F442">
            <v>0</v>
          </cell>
          <cell r="AM442">
            <v>0</v>
          </cell>
          <cell r="AN442">
            <v>0</v>
          </cell>
        </row>
        <row r="443">
          <cell r="A443" t="str">
            <v>17-6</v>
          </cell>
          <cell r="B443">
            <v>516</v>
          </cell>
          <cell r="D443" t="str">
            <v>통신외선공</v>
          </cell>
          <cell r="E443">
            <v>0</v>
          </cell>
          <cell r="F443" t="str">
            <v>인</v>
          </cell>
          <cell r="H443">
            <v>0.52</v>
          </cell>
          <cell r="I443" t="str">
            <v>x</v>
          </cell>
          <cell r="J443">
            <v>0.03</v>
          </cell>
          <cell r="V443" t="str">
            <v>=</v>
          </cell>
          <cell r="W443">
            <v>0.02</v>
          </cell>
          <cell r="Y443" t="str">
            <v>기본</v>
          </cell>
          <cell r="Z443" t="str">
            <v>x</v>
          </cell>
          <cell r="AA443" t="str">
            <v>공구손료</v>
          </cell>
          <cell r="AM443">
            <v>90961</v>
          </cell>
          <cell r="AN443">
            <v>0</v>
          </cell>
        </row>
        <row r="444">
          <cell r="AM444">
            <v>0</v>
          </cell>
          <cell r="AN444">
            <v>0</v>
          </cell>
        </row>
        <row r="445">
          <cell r="AM445">
            <v>0</v>
          </cell>
          <cell r="AN445">
            <v>0</v>
          </cell>
        </row>
        <row r="446">
          <cell r="AM446">
            <v>0</v>
          </cell>
          <cell r="AN446">
            <v>0</v>
          </cell>
        </row>
        <row r="447">
          <cell r="AM447">
            <v>0</v>
          </cell>
          <cell r="AN447">
            <v>0</v>
          </cell>
        </row>
        <row r="448">
          <cell r="AM448">
            <v>0</v>
          </cell>
          <cell r="AN448">
            <v>0</v>
          </cell>
        </row>
        <row r="449">
          <cell r="AM449">
            <v>0</v>
          </cell>
          <cell r="AN449">
            <v>0</v>
          </cell>
        </row>
        <row r="450">
          <cell r="AM450">
            <v>0</v>
          </cell>
          <cell r="AN450">
            <v>0</v>
          </cell>
        </row>
        <row r="451">
          <cell r="AM451">
            <v>0</v>
          </cell>
          <cell r="AN451">
            <v>0</v>
          </cell>
        </row>
        <row r="452">
          <cell r="AM452">
            <v>0</v>
          </cell>
        </row>
        <row r="453">
          <cell r="AM453">
            <v>0</v>
          </cell>
        </row>
        <row r="454">
          <cell r="AM454">
            <v>0</v>
          </cell>
        </row>
        <row r="455">
          <cell r="AM455">
            <v>0</v>
          </cell>
        </row>
        <row r="456">
          <cell r="AM456">
            <v>0</v>
          </cell>
        </row>
        <row r="457">
          <cell r="AM457">
            <v>0</v>
          </cell>
          <cell r="AN457">
            <v>0</v>
          </cell>
        </row>
        <row r="458">
          <cell r="AM458">
            <v>0</v>
          </cell>
          <cell r="AN458">
            <v>0</v>
          </cell>
        </row>
        <row r="459">
          <cell r="AM459">
            <v>0</v>
          </cell>
          <cell r="AN459">
            <v>0</v>
          </cell>
        </row>
        <row r="460">
          <cell r="AM460">
            <v>0</v>
          </cell>
          <cell r="AN460">
            <v>0</v>
          </cell>
        </row>
        <row r="461">
          <cell r="AM461">
            <v>0</v>
          </cell>
          <cell r="AN461">
            <v>0</v>
          </cell>
        </row>
        <row r="462">
          <cell r="A462">
            <v>18</v>
          </cell>
          <cell r="C462">
            <v>18</v>
          </cell>
          <cell r="D462" t="str">
            <v>접속방호함 신설</v>
          </cell>
          <cell r="F462" t="str">
            <v>개</v>
          </cell>
          <cell r="AM462">
            <v>0</v>
          </cell>
          <cell r="AN462">
            <v>0</v>
          </cell>
        </row>
        <row r="463">
          <cell r="A463" t="str">
            <v>18-1</v>
          </cell>
          <cell r="B463">
            <v>541</v>
          </cell>
          <cell r="D463" t="str">
            <v>가. 재료비</v>
          </cell>
          <cell r="E463">
            <v>0</v>
          </cell>
          <cell r="F463">
            <v>0</v>
          </cell>
          <cell r="AM463">
            <v>0</v>
          </cell>
          <cell r="AN463">
            <v>0</v>
          </cell>
        </row>
        <row r="464">
          <cell r="A464" t="str">
            <v>18-2</v>
          </cell>
          <cell r="B464">
            <v>299</v>
          </cell>
          <cell r="D464" t="str">
            <v>접속방호함</v>
          </cell>
          <cell r="E464">
            <v>0</v>
          </cell>
          <cell r="F464" t="str">
            <v>개</v>
          </cell>
          <cell r="H464">
            <v>1</v>
          </cell>
          <cell r="I464" t="str">
            <v>x</v>
          </cell>
          <cell r="J464">
            <v>1</v>
          </cell>
          <cell r="V464" t="str">
            <v>=</v>
          </cell>
          <cell r="W464">
            <v>1</v>
          </cell>
          <cell r="Y464" t="str">
            <v>기본</v>
          </cell>
          <cell r="Z464" t="str">
            <v>x</v>
          </cell>
          <cell r="AA464" t="str">
            <v>단위량</v>
          </cell>
          <cell r="AM464">
            <v>480000</v>
          </cell>
          <cell r="AN464">
            <v>0</v>
          </cell>
        </row>
        <row r="465">
          <cell r="A465" t="str">
            <v>18-3</v>
          </cell>
          <cell r="B465">
            <v>234</v>
          </cell>
          <cell r="D465" t="str">
            <v>앙카볼트</v>
          </cell>
          <cell r="E465" t="str">
            <v>M12xL120</v>
          </cell>
          <cell r="F465" t="str">
            <v>개</v>
          </cell>
          <cell r="H465">
            <v>1</v>
          </cell>
          <cell r="I465" t="str">
            <v>x</v>
          </cell>
          <cell r="J465">
            <v>4</v>
          </cell>
          <cell r="V465" t="str">
            <v>=</v>
          </cell>
          <cell r="W465">
            <v>4</v>
          </cell>
          <cell r="Y465" t="str">
            <v>기본</v>
          </cell>
          <cell r="Z465" t="str">
            <v>x</v>
          </cell>
          <cell r="AA465" t="str">
            <v>단위량</v>
          </cell>
          <cell r="AM465">
            <v>151</v>
          </cell>
          <cell r="AN465">
            <v>0</v>
          </cell>
        </row>
        <row r="466">
          <cell r="A466" t="str">
            <v>18-4</v>
          </cell>
          <cell r="B466">
            <v>542</v>
          </cell>
          <cell r="D466" t="str">
            <v>나. 노무비</v>
          </cell>
          <cell r="E466">
            <v>0</v>
          </cell>
          <cell r="F466">
            <v>0</v>
          </cell>
          <cell r="AL466" t="str">
            <v>통3-34</v>
          </cell>
          <cell r="AM466">
            <v>0</v>
          </cell>
          <cell r="AN466">
            <v>0</v>
          </cell>
        </row>
        <row r="467">
          <cell r="D467" t="str">
            <v>1)접속방호함 설치</v>
          </cell>
          <cell r="AM467">
            <v>0</v>
          </cell>
        </row>
        <row r="468">
          <cell r="B468">
            <v>516</v>
          </cell>
          <cell r="D468" t="str">
            <v>통신외선공</v>
          </cell>
          <cell r="E468">
            <v>0</v>
          </cell>
          <cell r="F468" t="str">
            <v>인</v>
          </cell>
          <cell r="H468">
            <v>0.25</v>
          </cell>
          <cell r="I468" t="str">
            <v>x</v>
          </cell>
          <cell r="J468">
            <v>1</v>
          </cell>
          <cell r="V468" t="str">
            <v>=</v>
          </cell>
          <cell r="W468">
            <v>0.25</v>
          </cell>
          <cell r="Y468" t="str">
            <v>기본</v>
          </cell>
          <cell r="Z468" t="str">
            <v>x</v>
          </cell>
          <cell r="AA468" t="str">
            <v>단위량</v>
          </cell>
          <cell r="AM468">
            <v>90961</v>
          </cell>
          <cell r="AN468">
            <v>0</v>
          </cell>
        </row>
        <row r="469">
          <cell r="D469" t="str">
            <v xml:space="preserve">2)앙카볼트 설치 </v>
          </cell>
          <cell r="AL469" t="str">
            <v>통 3-61-사</v>
          </cell>
          <cell r="AM469">
            <v>0</v>
          </cell>
        </row>
        <row r="470">
          <cell r="B470">
            <v>516</v>
          </cell>
          <cell r="D470" t="str">
            <v>통신외선공</v>
          </cell>
          <cell r="E470">
            <v>0</v>
          </cell>
          <cell r="F470" t="str">
            <v>인</v>
          </cell>
          <cell r="H470">
            <v>0.08</v>
          </cell>
          <cell r="I470" t="str">
            <v>x</v>
          </cell>
          <cell r="J470">
            <v>4</v>
          </cell>
          <cell r="V470" t="str">
            <v>=</v>
          </cell>
          <cell r="W470">
            <v>0.32</v>
          </cell>
          <cell r="Y470" t="str">
            <v>기본</v>
          </cell>
          <cell r="Z470" t="str">
            <v>x</v>
          </cell>
          <cell r="AA470" t="str">
            <v>단위량</v>
          </cell>
          <cell r="AM470">
            <v>90961</v>
          </cell>
          <cell r="AN470">
            <v>0</v>
          </cell>
        </row>
        <row r="471">
          <cell r="B471">
            <v>523</v>
          </cell>
          <cell r="D471" t="str">
            <v>보통인부</v>
          </cell>
          <cell r="E471">
            <v>0</v>
          </cell>
          <cell r="F471" t="str">
            <v>인</v>
          </cell>
          <cell r="H471">
            <v>3.5999999999999997E-2</v>
          </cell>
          <cell r="I471" t="str">
            <v>x</v>
          </cell>
          <cell r="J471">
            <v>4</v>
          </cell>
          <cell r="V471" t="str">
            <v>=</v>
          </cell>
          <cell r="W471">
            <v>0.14000000000000001</v>
          </cell>
          <cell r="Y471" t="str">
            <v>기본</v>
          </cell>
          <cell r="Z471" t="str">
            <v>x</v>
          </cell>
          <cell r="AA471" t="str">
            <v>단위량</v>
          </cell>
          <cell r="AM471">
            <v>40922</v>
          </cell>
          <cell r="AN471">
            <v>0</v>
          </cell>
        </row>
        <row r="472">
          <cell r="B472">
            <v>544</v>
          </cell>
          <cell r="D472" t="str">
            <v>소    계</v>
          </cell>
          <cell r="E472">
            <v>0</v>
          </cell>
          <cell r="F472">
            <v>0</v>
          </cell>
          <cell r="AM472">
            <v>0</v>
          </cell>
          <cell r="AN472">
            <v>0</v>
          </cell>
        </row>
        <row r="473">
          <cell r="A473" t="str">
            <v>18-5</v>
          </cell>
          <cell r="B473">
            <v>516</v>
          </cell>
          <cell r="D473" t="str">
            <v>통신외선공</v>
          </cell>
          <cell r="E473">
            <v>0</v>
          </cell>
          <cell r="F473" t="str">
            <v>인</v>
          </cell>
          <cell r="V473" t="str">
            <v>=</v>
          </cell>
          <cell r="W473">
            <v>0.57000000000000006</v>
          </cell>
          <cell r="AM473">
            <v>90961</v>
          </cell>
          <cell r="AN473">
            <v>0</v>
          </cell>
        </row>
        <row r="474">
          <cell r="A474" t="str">
            <v>18-6</v>
          </cell>
          <cell r="B474">
            <v>523</v>
          </cell>
          <cell r="D474" t="str">
            <v>보통인부</v>
          </cell>
          <cell r="E474">
            <v>0</v>
          </cell>
          <cell r="F474" t="str">
            <v>인</v>
          </cell>
          <cell r="V474" t="str">
            <v>=</v>
          </cell>
          <cell r="W474">
            <v>0.14000000000000001</v>
          </cell>
          <cell r="AM474">
            <v>40922</v>
          </cell>
          <cell r="AN474">
            <v>0</v>
          </cell>
        </row>
        <row r="475">
          <cell r="A475" t="str">
            <v>18-7</v>
          </cell>
          <cell r="B475">
            <v>543</v>
          </cell>
          <cell r="D475" t="str">
            <v>다. 공구손료</v>
          </cell>
          <cell r="E475" t="str">
            <v>노무비x3%</v>
          </cell>
          <cell r="F475">
            <v>0</v>
          </cell>
          <cell r="AM475">
            <v>0</v>
          </cell>
          <cell r="AN475">
            <v>0</v>
          </cell>
        </row>
        <row r="476">
          <cell r="A476" t="str">
            <v>18-8</v>
          </cell>
          <cell r="B476">
            <v>516</v>
          </cell>
          <cell r="D476" t="str">
            <v>통신외선공</v>
          </cell>
          <cell r="E476">
            <v>0</v>
          </cell>
          <cell r="F476" t="str">
            <v>인</v>
          </cell>
          <cell r="H476">
            <v>0.57000000000000006</v>
          </cell>
          <cell r="I476" t="str">
            <v>x</v>
          </cell>
          <cell r="J476">
            <v>0.03</v>
          </cell>
          <cell r="V476" t="str">
            <v>=</v>
          </cell>
          <cell r="W476">
            <v>0.02</v>
          </cell>
          <cell r="Y476" t="str">
            <v>기본</v>
          </cell>
          <cell r="Z476" t="str">
            <v>x</v>
          </cell>
          <cell r="AA476" t="str">
            <v>공구손료</v>
          </cell>
          <cell r="AM476">
            <v>90961</v>
          </cell>
          <cell r="AN476">
            <v>0</v>
          </cell>
        </row>
        <row r="477">
          <cell r="A477" t="str">
            <v>18-9</v>
          </cell>
          <cell r="B477">
            <v>523</v>
          </cell>
          <cell r="D477" t="str">
            <v>보통인부</v>
          </cell>
          <cell r="E477">
            <v>0</v>
          </cell>
          <cell r="F477" t="str">
            <v>인</v>
          </cell>
          <cell r="H477">
            <v>0.14000000000000001</v>
          </cell>
          <cell r="I477" t="str">
            <v>x</v>
          </cell>
          <cell r="J477">
            <v>0.03</v>
          </cell>
          <cell r="V477" t="str">
            <v>=</v>
          </cell>
          <cell r="W477" t="str">
            <v>0</v>
          </cell>
          <cell r="Y477" t="str">
            <v>기본</v>
          </cell>
          <cell r="Z477" t="str">
            <v>x</v>
          </cell>
          <cell r="AA477" t="str">
            <v>공구손료</v>
          </cell>
          <cell r="AM477">
            <v>40922</v>
          </cell>
          <cell r="AN477">
            <v>0</v>
          </cell>
        </row>
        <row r="478">
          <cell r="AM478">
            <v>0</v>
          </cell>
          <cell r="AN478">
            <v>0</v>
          </cell>
        </row>
        <row r="479">
          <cell r="AM479">
            <v>0</v>
          </cell>
          <cell r="AN479">
            <v>0</v>
          </cell>
        </row>
        <row r="480">
          <cell r="AM480">
            <v>0</v>
          </cell>
          <cell r="AN480">
            <v>0</v>
          </cell>
        </row>
        <row r="481">
          <cell r="AM481">
            <v>0</v>
          </cell>
          <cell r="AN481">
            <v>0</v>
          </cell>
        </row>
        <row r="482">
          <cell r="AM482">
            <v>0</v>
          </cell>
          <cell r="AN482">
            <v>0</v>
          </cell>
        </row>
        <row r="483">
          <cell r="AM483">
            <v>0</v>
          </cell>
          <cell r="AN483">
            <v>0</v>
          </cell>
        </row>
        <row r="484">
          <cell r="AM484">
            <v>0</v>
          </cell>
          <cell r="AN484">
            <v>0</v>
          </cell>
        </row>
        <row r="485">
          <cell r="AM485">
            <v>0</v>
          </cell>
        </row>
        <row r="486">
          <cell r="AM486">
            <v>0</v>
          </cell>
        </row>
        <row r="487">
          <cell r="AM487">
            <v>0</v>
          </cell>
        </row>
        <row r="488">
          <cell r="AM488">
            <v>0</v>
          </cell>
          <cell r="AN488">
            <v>0</v>
          </cell>
        </row>
        <row r="489">
          <cell r="A489">
            <v>19</v>
          </cell>
          <cell r="C489">
            <v>19</v>
          </cell>
          <cell r="D489" t="str">
            <v>수공신설</v>
          </cell>
          <cell r="E489" t="str">
            <v>3호</v>
          </cell>
          <cell r="F489" t="str">
            <v>기</v>
          </cell>
          <cell r="AM489">
            <v>0</v>
          </cell>
          <cell r="AN489">
            <v>0</v>
          </cell>
        </row>
        <row r="490">
          <cell r="A490" t="str">
            <v>19-1</v>
          </cell>
          <cell r="B490">
            <v>541</v>
          </cell>
          <cell r="D490" t="str">
            <v>가. 재료비</v>
          </cell>
          <cell r="E490">
            <v>0</v>
          </cell>
          <cell r="F490">
            <v>0</v>
          </cell>
          <cell r="AM490">
            <v>0</v>
          </cell>
          <cell r="AN490">
            <v>0</v>
          </cell>
        </row>
        <row r="491">
          <cell r="A491" t="str">
            <v>19-2</v>
          </cell>
          <cell r="B491">
            <v>2</v>
          </cell>
          <cell r="D491" t="str">
            <v>시멘트</v>
          </cell>
          <cell r="E491" t="str">
            <v>40㎏</v>
          </cell>
          <cell r="F491" t="str">
            <v>포</v>
          </cell>
          <cell r="V491" t="str">
            <v>=</v>
          </cell>
          <cell r="W491">
            <v>27.49</v>
          </cell>
          <cell r="AM491">
            <v>2497</v>
          </cell>
          <cell r="AN491">
            <v>0</v>
          </cell>
        </row>
        <row r="492">
          <cell r="A492" t="str">
            <v>19-3</v>
          </cell>
          <cell r="B492">
            <v>60</v>
          </cell>
          <cell r="D492" t="str">
            <v>이형철근</v>
          </cell>
          <cell r="E492" t="str">
            <v>D-10 SD30A</v>
          </cell>
          <cell r="F492" t="str">
            <v>TON</v>
          </cell>
          <cell r="V492" t="str">
            <v>=</v>
          </cell>
          <cell r="W492">
            <v>0.14699999999999999</v>
          </cell>
          <cell r="AM492">
            <v>300972</v>
          </cell>
          <cell r="AN492">
            <v>0</v>
          </cell>
        </row>
        <row r="493">
          <cell r="A493" t="str">
            <v>19-4</v>
          </cell>
          <cell r="B493">
            <v>61</v>
          </cell>
          <cell r="D493" t="str">
            <v>통신용철개</v>
          </cell>
          <cell r="E493" t="str">
            <v>수공철개(1120x620x132)</v>
          </cell>
          <cell r="F493" t="str">
            <v>조</v>
          </cell>
          <cell r="V493" t="str">
            <v>=</v>
          </cell>
          <cell r="W493">
            <v>1</v>
          </cell>
          <cell r="AM493">
            <v>130000</v>
          </cell>
          <cell r="AN493">
            <v>0</v>
          </cell>
        </row>
        <row r="494">
          <cell r="A494" t="str">
            <v>19-5</v>
          </cell>
          <cell r="B494">
            <v>62</v>
          </cell>
          <cell r="D494" t="str">
            <v>케이블걸이쇠</v>
          </cell>
          <cell r="E494" t="str">
            <v>2호</v>
          </cell>
          <cell r="F494" t="str">
            <v>개</v>
          </cell>
          <cell r="V494" t="str">
            <v>=</v>
          </cell>
          <cell r="W494">
            <v>8</v>
          </cell>
          <cell r="AM494">
            <v>780</v>
          </cell>
          <cell r="AN494">
            <v>0</v>
          </cell>
        </row>
        <row r="495">
          <cell r="A495" t="str">
            <v>19-6</v>
          </cell>
          <cell r="B495">
            <v>63</v>
          </cell>
          <cell r="D495" t="str">
            <v>케이블받침대</v>
          </cell>
          <cell r="E495" t="str">
            <v>75x40x5x550</v>
          </cell>
          <cell r="F495" t="str">
            <v>개</v>
          </cell>
          <cell r="V495" t="str">
            <v>=</v>
          </cell>
          <cell r="W495">
            <v>2</v>
          </cell>
          <cell r="AM495">
            <v>3820</v>
          </cell>
          <cell r="AN495">
            <v>0</v>
          </cell>
        </row>
        <row r="496">
          <cell r="A496" t="str">
            <v>19-7</v>
          </cell>
          <cell r="B496">
            <v>64</v>
          </cell>
          <cell r="D496" t="str">
            <v>앙카볼트</v>
          </cell>
          <cell r="E496" t="str">
            <v>(5/8")M16xL250</v>
          </cell>
          <cell r="F496" t="str">
            <v>개</v>
          </cell>
          <cell r="V496" t="str">
            <v>=</v>
          </cell>
          <cell r="W496">
            <v>6</v>
          </cell>
          <cell r="AM496">
            <v>334</v>
          </cell>
          <cell r="AN496">
            <v>0</v>
          </cell>
        </row>
        <row r="497">
          <cell r="A497" t="str">
            <v>19-8</v>
          </cell>
          <cell r="B497">
            <v>65</v>
          </cell>
          <cell r="D497" t="str">
            <v>가락지</v>
          </cell>
          <cell r="E497" t="str">
            <v>19x92mm</v>
          </cell>
          <cell r="F497" t="str">
            <v>개</v>
          </cell>
          <cell r="V497" t="str">
            <v>=</v>
          </cell>
          <cell r="W497">
            <v>6</v>
          </cell>
          <cell r="AM497">
            <v>160</v>
          </cell>
          <cell r="AN497">
            <v>0</v>
          </cell>
        </row>
        <row r="498">
          <cell r="A498" t="str">
            <v>19-9</v>
          </cell>
          <cell r="B498">
            <v>66</v>
          </cell>
          <cell r="D498" t="str">
            <v>수공용사다리</v>
          </cell>
          <cell r="E498" t="str">
            <v>4단</v>
          </cell>
          <cell r="F498" t="str">
            <v>개</v>
          </cell>
          <cell r="V498" t="str">
            <v>=</v>
          </cell>
          <cell r="W498">
            <v>1</v>
          </cell>
          <cell r="AM498">
            <v>28610</v>
          </cell>
          <cell r="AN498">
            <v>0</v>
          </cell>
        </row>
        <row r="499">
          <cell r="A499" t="str">
            <v>19-10</v>
          </cell>
          <cell r="B499">
            <v>67</v>
          </cell>
          <cell r="D499" t="str">
            <v>자갈(막돌)</v>
          </cell>
          <cell r="E499" t="str">
            <v>#467(40mm)</v>
          </cell>
          <cell r="F499" t="str">
            <v>㎥</v>
          </cell>
          <cell r="V499" t="str">
            <v>=</v>
          </cell>
          <cell r="W499">
            <v>0.83</v>
          </cell>
          <cell r="AM499">
            <v>8500</v>
          </cell>
          <cell r="AN499">
            <v>0</v>
          </cell>
        </row>
        <row r="500">
          <cell r="A500" t="str">
            <v>19-11</v>
          </cell>
          <cell r="B500">
            <v>3</v>
          </cell>
          <cell r="D500" t="str">
            <v>모래</v>
          </cell>
          <cell r="E500" t="str">
            <v>세사(친모래)</v>
          </cell>
          <cell r="F500" t="str">
            <v>㎥</v>
          </cell>
          <cell r="V500" t="str">
            <v>=</v>
          </cell>
          <cell r="W500">
            <v>1.615</v>
          </cell>
          <cell r="AM500">
            <v>13000</v>
          </cell>
          <cell r="AN500">
            <v>0</v>
          </cell>
        </row>
        <row r="501">
          <cell r="A501" t="str">
            <v>19-12</v>
          </cell>
          <cell r="B501">
            <v>4</v>
          </cell>
          <cell r="D501" t="str">
            <v>자갈</v>
          </cell>
          <cell r="E501" t="str">
            <v>50mm</v>
          </cell>
          <cell r="F501" t="str">
            <v>㎥</v>
          </cell>
          <cell r="V501" t="str">
            <v>=</v>
          </cell>
          <cell r="W501">
            <v>2.8359999999999999</v>
          </cell>
          <cell r="AM501">
            <v>8500</v>
          </cell>
          <cell r="AN501">
            <v>0</v>
          </cell>
        </row>
        <row r="502">
          <cell r="A502" t="str">
            <v>19-13</v>
          </cell>
          <cell r="B502">
            <v>5</v>
          </cell>
          <cell r="D502" t="str">
            <v>보통합판</v>
          </cell>
          <cell r="E502" t="str">
            <v>12x1220x2440</v>
          </cell>
          <cell r="F502" t="str">
            <v>㎡</v>
          </cell>
          <cell r="V502" t="str">
            <v>=</v>
          </cell>
          <cell r="W502">
            <v>9.99</v>
          </cell>
          <cell r="AM502">
            <v>5106</v>
          </cell>
          <cell r="AN502">
            <v>0</v>
          </cell>
        </row>
        <row r="503">
          <cell r="A503" t="str">
            <v>19-14</v>
          </cell>
          <cell r="B503">
            <v>69</v>
          </cell>
          <cell r="D503" t="str">
            <v>각재</v>
          </cell>
          <cell r="E503" t="str">
            <v>외송</v>
          </cell>
          <cell r="F503" t="str">
            <v>㎥</v>
          </cell>
          <cell r="V503" t="str">
            <v>=</v>
          </cell>
          <cell r="W503">
            <v>0.36799999999999999</v>
          </cell>
          <cell r="AM503">
            <v>210000</v>
          </cell>
          <cell r="AN503">
            <v>0</v>
          </cell>
        </row>
        <row r="504">
          <cell r="A504" t="str">
            <v>19-15</v>
          </cell>
          <cell r="B504">
            <v>70</v>
          </cell>
          <cell r="D504" t="str">
            <v>결속선</v>
          </cell>
          <cell r="E504" t="str">
            <v>0.9mm, 흑선</v>
          </cell>
          <cell r="F504" t="str">
            <v>㎏</v>
          </cell>
          <cell r="V504" t="str">
            <v>=</v>
          </cell>
          <cell r="W504">
            <v>6.5</v>
          </cell>
          <cell r="AM504">
            <v>670</v>
          </cell>
          <cell r="AN504">
            <v>0</v>
          </cell>
        </row>
        <row r="505">
          <cell r="A505" t="str">
            <v>19-16</v>
          </cell>
          <cell r="B505">
            <v>7</v>
          </cell>
          <cell r="D505" t="str">
            <v>철못</v>
          </cell>
          <cell r="E505" t="str">
            <v>50mm</v>
          </cell>
          <cell r="F505" t="str">
            <v>㎏</v>
          </cell>
          <cell r="V505" t="str">
            <v>=</v>
          </cell>
          <cell r="W505">
            <v>1.94</v>
          </cell>
          <cell r="AM505">
            <v>568</v>
          </cell>
          <cell r="AN505">
            <v>0</v>
          </cell>
        </row>
        <row r="506">
          <cell r="A506" t="str">
            <v>19-17</v>
          </cell>
          <cell r="B506">
            <v>9</v>
          </cell>
          <cell r="D506" t="str">
            <v>박리제</v>
          </cell>
          <cell r="E506" t="str">
            <v>유성</v>
          </cell>
          <cell r="F506" t="str">
            <v>ℓ</v>
          </cell>
          <cell r="V506" t="str">
            <v>=</v>
          </cell>
          <cell r="W506">
            <v>1.84</v>
          </cell>
          <cell r="AM506">
            <v>900</v>
          </cell>
          <cell r="AN506">
            <v>0</v>
          </cell>
        </row>
        <row r="507">
          <cell r="A507" t="str">
            <v>19-18</v>
          </cell>
          <cell r="B507">
            <v>73</v>
          </cell>
          <cell r="D507" t="str">
            <v>접지슬리브(C-TYPE)</v>
          </cell>
          <cell r="E507" t="str">
            <v>100-60 38㎟</v>
          </cell>
          <cell r="F507" t="str">
            <v>개</v>
          </cell>
          <cell r="V507" t="str">
            <v>=</v>
          </cell>
          <cell r="W507">
            <v>1</v>
          </cell>
          <cell r="AM507">
            <v>1500</v>
          </cell>
          <cell r="AN507">
            <v>0</v>
          </cell>
        </row>
        <row r="508">
          <cell r="A508" t="str">
            <v>19-19</v>
          </cell>
          <cell r="B508">
            <v>74</v>
          </cell>
          <cell r="D508" t="str">
            <v>접지용전선</v>
          </cell>
          <cell r="E508" t="str">
            <v>GV 22㎟</v>
          </cell>
          <cell r="F508" t="str">
            <v>m</v>
          </cell>
          <cell r="V508" t="str">
            <v>=</v>
          </cell>
          <cell r="W508">
            <v>2</v>
          </cell>
          <cell r="AM508">
            <v>833</v>
          </cell>
          <cell r="AN508">
            <v>0</v>
          </cell>
        </row>
        <row r="509">
          <cell r="A509" t="str">
            <v>19-20</v>
          </cell>
          <cell r="B509">
            <v>249</v>
          </cell>
          <cell r="D509" t="str">
            <v>경유(고유황1.0%)</v>
          </cell>
          <cell r="E509">
            <v>0</v>
          </cell>
          <cell r="F509" t="str">
            <v>ℓ</v>
          </cell>
          <cell r="V509" t="str">
            <v>=</v>
          </cell>
          <cell r="W509">
            <v>3.8</v>
          </cell>
          <cell r="Y509" t="str">
            <v>터파기</v>
          </cell>
          <cell r="Z509" t="str">
            <v>+</v>
          </cell>
          <cell r="AA509" t="str">
            <v>되메우기</v>
          </cell>
          <cell r="AM509">
            <v>680</v>
          </cell>
          <cell r="AN509">
            <v>0</v>
          </cell>
        </row>
        <row r="510">
          <cell r="A510" t="str">
            <v>19-21</v>
          </cell>
          <cell r="B510">
            <v>822</v>
          </cell>
          <cell r="D510" t="str">
            <v>휘발유</v>
          </cell>
          <cell r="E510">
            <v>0</v>
          </cell>
          <cell r="F510" t="str">
            <v>ℓ</v>
          </cell>
          <cell r="V510" t="str">
            <v>=</v>
          </cell>
          <cell r="W510">
            <v>2</v>
          </cell>
          <cell r="Y510" t="str">
            <v>다지기</v>
          </cell>
          <cell r="AM510">
            <v>1270</v>
          </cell>
          <cell r="AN510">
            <v>0</v>
          </cell>
        </row>
        <row r="511">
          <cell r="A511" t="str">
            <v>19-22</v>
          </cell>
          <cell r="B511">
            <v>604</v>
          </cell>
          <cell r="D511" t="str">
            <v>기계경비</v>
          </cell>
          <cell r="E511">
            <v>0</v>
          </cell>
          <cell r="F511" t="str">
            <v>식</v>
          </cell>
          <cell r="V511" t="str">
            <v>=</v>
          </cell>
          <cell r="W511">
            <v>1</v>
          </cell>
          <cell r="Y511" t="str">
            <v>터파기</v>
          </cell>
          <cell r="Z511" t="str">
            <v>+</v>
          </cell>
          <cell r="AA511" t="str">
            <v>되메우기</v>
          </cell>
          <cell r="AB511" t="str">
            <v>+</v>
          </cell>
          <cell r="AD511" t="str">
            <v>다지기</v>
          </cell>
          <cell r="AM511">
            <v>6740</v>
          </cell>
          <cell r="AN511">
            <v>0</v>
          </cell>
        </row>
        <row r="512">
          <cell r="A512" t="str">
            <v>19-23</v>
          </cell>
          <cell r="B512">
            <v>542</v>
          </cell>
          <cell r="D512" t="str">
            <v>나. 노무비</v>
          </cell>
          <cell r="E512">
            <v>0</v>
          </cell>
          <cell r="F512">
            <v>0</v>
          </cell>
          <cell r="AM512">
            <v>0</v>
          </cell>
          <cell r="AN512">
            <v>0</v>
          </cell>
        </row>
        <row r="513">
          <cell r="D513" t="str">
            <v>1) 콘크리트타설</v>
          </cell>
          <cell r="AL513" t="str">
            <v>건6-1</v>
          </cell>
          <cell r="AM513">
            <v>0</v>
          </cell>
          <cell r="AN513">
            <v>0</v>
          </cell>
        </row>
        <row r="514">
          <cell r="B514">
            <v>506</v>
          </cell>
          <cell r="D514" t="str">
            <v>콘크리트공</v>
          </cell>
          <cell r="F514" t="str">
            <v>인</v>
          </cell>
          <cell r="H514">
            <v>0.87</v>
          </cell>
          <cell r="I514" t="str">
            <v>x</v>
          </cell>
          <cell r="J514">
            <v>3.15</v>
          </cell>
          <cell r="V514" t="str">
            <v>=</v>
          </cell>
          <cell r="W514">
            <v>2.74</v>
          </cell>
          <cell r="Y514" t="str">
            <v>기본</v>
          </cell>
          <cell r="Z514" t="str">
            <v>x</v>
          </cell>
          <cell r="AA514" t="str">
            <v>콘크리트량</v>
          </cell>
          <cell r="AM514">
            <v>68884</v>
          </cell>
          <cell r="AN514">
            <v>0</v>
          </cell>
        </row>
        <row r="515">
          <cell r="B515">
            <v>523</v>
          </cell>
          <cell r="D515" t="str">
            <v>보통인부</v>
          </cell>
          <cell r="E515">
            <v>0</v>
          </cell>
          <cell r="F515" t="str">
            <v>인</v>
          </cell>
          <cell r="H515">
            <v>0.99</v>
          </cell>
          <cell r="I515" t="str">
            <v>x</v>
          </cell>
          <cell r="J515">
            <v>3.15</v>
          </cell>
          <cell r="V515" t="str">
            <v>=</v>
          </cell>
          <cell r="W515">
            <v>3.12</v>
          </cell>
          <cell r="Y515" t="str">
            <v>기본</v>
          </cell>
          <cell r="Z515" t="str">
            <v>x</v>
          </cell>
          <cell r="AA515" t="str">
            <v>콘크리트량</v>
          </cell>
          <cell r="AM515">
            <v>40922</v>
          </cell>
          <cell r="AN515">
            <v>0</v>
          </cell>
        </row>
        <row r="516">
          <cell r="B516">
            <v>523</v>
          </cell>
          <cell r="D516" t="str">
            <v>보통인부</v>
          </cell>
          <cell r="E516" t="str">
            <v>모르트(상부면)</v>
          </cell>
          <cell r="F516" t="str">
            <v>인</v>
          </cell>
          <cell r="H516">
            <v>1</v>
          </cell>
          <cell r="I516" t="str">
            <v>x</v>
          </cell>
          <cell r="J516">
            <v>0.18</v>
          </cell>
          <cell r="V516" t="str">
            <v>=</v>
          </cell>
          <cell r="W516">
            <v>0.18</v>
          </cell>
          <cell r="Y516" t="str">
            <v>기본</v>
          </cell>
          <cell r="Z516" t="str">
            <v>x</v>
          </cell>
          <cell r="AA516" t="str">
            <v>단위량</v>
          </cell>
          <cell r="AL516" t="str">
            <v>건6-1-2</v>
          </cell>
          <cell r="AM516">
            <v>40922</v>
          </cell>
          <cell r="AN516">
            <v>0</v>
          </cell>
        </row>
        <row r="517">
          <cell r="D517" t="str">
            <v>2) 합판거푸집</v>
          </cell>
          <cell r="W517">
            <v>0</v>
          </cell>
          <cell r="AL517" t="str">
            <v>건6-3-2</v>
          </cell>
          <cell r="AM517">
            <v>0</v>
          </cell>
          <cell r="AN517">
            <v>0</v>
          </cell>
        </row>
        <row r="518">
          <cell r="B518">
            <v>501</v>
          </cell>
          <cell r="D518" t="str">
            <v>형틀목공</v>
          </cell>
          <cell r="E518">
            <v>0</v>
          </cell>
          <cell r="F518" t="str">
            <v>인</v>
          </cell>
          <cell r="H518">
            <v>0.3</v>
          </cell>
          <cell r="I518" t="str">
            <v>x</v>
          </cell>
          <cell r="J518">
            <v>0.4</v>
          </cell>
          <cell r="K518" t="str">
            <v>x</v>
          </cell>
          <cell r="M518">
            <v>24.19</v>
          </cell>
          <cell r="V518" t="str">
            <v>=</v>
          </cell>
          <cell r="W518">
            <v>2.9</v>
          </cell>
          <cell r="Y518" t="str">
            <v>기본</v>
          </cell>
          <cell r="Z518" t="str">
            <v>x</v>
          </cell>
          <cell r="AA518" t="str">
            <v>횟수</v>
          </cell>
          <cell r="AB518" t="str">
            <v>x</v>
          </cell>
          <cell r="AD518" t="str">
            <v>거푸집량</v>
          </cell>
          <cell r="AM518">
            <v>71251</v>
          </cell>
          <cell r="AN518">
            <v>0</v>
          </cell>
        </row>
        <row r="519">
          <cell r="B519">
            <v>523</v>
          </cell>
          <cell r="D519" t="str">
            <v>보통인부</v>
          </cell>
          <cell r="E519">
            <v>0</v>
          </cell>
          <cell r="F519" t="str">
            <v>인</v>
          </cell>
          <cell r="H519">
            <v>0.25</v>
          </cell>
          <cell r="I519" t="str">
            <v>x</v>
          </cell>
          <cell r="J519">
            <v>0.4</v>
          </cell>
          <cell r="K519" t="str">
            <v>x</v>
          </cell>
          <cell r="M519">
            <v>24.19</v>
          </cell>
          <cell r="V519" t="str">
            <v>=</v>
          </cell>
          <cell r="W519">
            <v>2.42</v>
          </cell>
          <cell r="Y519" t="str">
            <v>기본</v>
          </cell>
          <cell r="Z519" t="str">
            <v>x</v>
          </cell>
          <cell r="AA519" t="str">
            <v>횟수</v>
          </cell>
          <cell r="AB519" t="str">
            <v>x</v>
          </cell>
          <cell r="AD519" t="str">
            <v>거푸집량</v>
          </cell>
          <cell r="AM519">
            <v>40922</v>
          </cell>
          <cell r="AN519">
            <v>0</v>
          </cell>
        </row>
        <row r="520">
          <cell r="D520" t="str">
            <v>3) 철근가공조립</v>
          </cell>
          <cell r="AL520" t="str">
            <v>건6-2-1</v>
          </cell>
          <cell r="AM520">
            <v>0</v>
          </cell>
          <cell r="AN520">
            <v>0</v>
          </cell>
        </row>
        <row r="521">
          <cell r="B521">
            <v>504</v>
          </cell>
          <cell r="D521" t="str">
            <v>철근공</v>
          </cell>
          <cell r="E521">
            <v>0</v>
          </cell>
          <cell r="F521" t="str">
            <v>인</v>
          </cell>
          <cell r="H521">
            <v>3.8</v>
          </cell>
          <cell r="I521" t="str">
            <v>x</v>
          </cell>
          <cell r="J521">
            <v>0.14299999999999999</v>
          </cell>
          <cell r="V521" t="str">
            <v>=</v>
          </cell>
          <cell r="W521">
            <v>0.54</v>
          </cell>
          <cell r="Y521" t="str">
            <v>기본</v>
          </cell>
          <cell r="Z521" t="str">
            <v>x</v>
          </cell>
          <cell r="AA521" t="str">
            <v>철근량</v>
          </cell>
          <cell r="AM521">
            <v>73192</v>
          </cell>
          <cell r="AN521">
            <v>0</v>
          </cell>
        </row>
        <row r="522">
          <cell r="B522">
            <v>523</v>
          </cell>
          <cell r="D522" t="str">
            <v>보통인부</v>
          </cell>
          <cell r="E522">
            <v>0</v>
          </cell>
          <cell r="F522" t="str">
            <v>인</v>
          </cell>
          <cell r="H522">
            <v>2.2000000000000002</v>
          </cell>
          <cell r="I522" t="str">
            <v>x</v>
          </cell>
          <cell r="J522">
            <v>0.14299999999999999</v>
          </cell>
          <cell r="V522" t="str">
            <v>=</v>
          </cell>
          <cell r="W522">
            <v>0.31</v>
          </cell>
          <cell r="Y522" t="str">
            <v>기본</v>
          </cell>
          <cell r="Z522" t="str">
            <v>x</v>
          </cell>
          <cell r="AA522" t="str">
            <v>철근량</v>
          </cell>
          <cell r="AM522">
            <v>40922</v>
          </cell>
          <cell r="AN522">
            <v>0</v>
          </cell>
        </row>
        <row r="523">
          <cell r="D523" t="str">
            <v>4) 지지철물설치</v>
          </cell>
          <cell r="AL523" t="str">
            <v>통3-48</v>
          </cell>
          <cell r="AM523">
            <v>0</v>
          </cell>
          <cell r="AN523">
            <v>0</v>
          </cell>
        </row>
        <row r="524">
          <cell r="B524">
            <v>503</v>
          </cell>
          <cell r="D524" t="str">
            <v>철공</v>
          </cell>
          <cell r="E524">
            <v>0</v>
          </cell>
          <cell r="F524" t="str">
            <v>인</v>
          </cell>
          <cell r="H524">
            <v>0.06</v>
          </cell>
          <cell r="I524" t="str">
            <v>x</v>
          </cell>
          <cell r="J524">
            <v>1</v>
          </cell>
          <cell r="V524" t="str">
            <v>=</v>
          </cell>
          <cell r="W524">
            <v>0.06</v>
          </cell>
          <cell r="Y524" t="str">
            <v>기본</v>
          </cell>
          <cell r="Z524" t="str">
            <v>x</v>
          </cell>
          <cell r="AA524" t="str">
            <v>단위량</v>
          </cell>
          <cell r="AM524">
            <v>63963</v>
          </cell>
          <cell r="AN524">
            <v>0</v>
          </cell>
        </row>
        <row r="525">
          <cell r="D525" t="str">
            <v>5) 수공철개설치</v>
          </cell>
          <cell r="AL525" t="str">
            <v>통3-35</v>
          </cell>
          <cell r="AM525">
            <v>0</v>
          </cell>
          <cell r="AN525">
            <v>0</v>
          </cell>
        </row>
        <row r="526">
          <cell r="B526">
            <v>535</v>
          </cell>
          <cell r="D526" t="str">
            <v>미장공</v>
          </cell>
          <cell r="E526">
            <v>0</v>
          </cell>
          <cell r="F526" t="str">
            <v>인</v>
          </cell>
          <cell r="H526">
            <v>0.6</v>
          </cell>
          <cell r="I526" t="str">
            <v>x</v>
          </cell>
          <cell r="J526">
            <v>1</v>
          </cell>
          <cell r="V526" t="str">
            <v>=</v>
          </cell>
          <cell r="W526">
            <v>0.6</v>
          </cell>
          <cell r="Y526" t="str">
            <v>기본</v>
          </cell>
          <cell r="Z526" t="str">
            <v>x</v>
          </cell>
          <cell r="AA526" t="str">
            <v>단위량</v>
          </cell>
          <cell r="AM526">
            <v>67451</v>
          </cell>
          <cell r="AN526">
            <v>0</v>
          </cell>
        </row>
        <row r="527">
          <cell r="B527">
            <v>523</v>
          </cell>
          <cell r="D527" t="str">
            <v>보통인부</v>
          </cell>
          <cell r="E527">
            <v>0</v>
          </cell>
          <cell r="F527" t="str">
            <v>인</v>
          </cell>
          <cell r="H527">
            <v>0.3</v>
          </cell>
          <cell r="I527" t="str">
            <v>x</v>
          </cell>
          <cell r="J527">
            <v>1</v>
          </cell>
          <cell r="V527" t="str">
            <v>=</v>
          </cell>
          <cell r="W527">
            <v>0.3</v>
          </cell>
          <cell r="Y527" t="str">
            <v>기본</v>
          </cell>
          <cell r="Z527" t="str">
            <v>x</v>
          </cell>
          <cell r="AA527" t="str">
            <v>단위량</v>
          </cell>
          <cell r="AM527">
            <v>40922</v>
          </cell>
          <cell r="AN527">
            <v>0</v>
          </cell>
        </row>
        <row r="528">
          <cell r="D528" t="str">
            <v>6) 터파기</v>
          </cell>
          <cell r="AL528" t="str">
            <v>건11-3,4</v>
          </cell>
          <cell r="AM528">
            <v>0</v>
          </cell>
          <cell r="AN528">
            <v>0</v>
          </cell>
        </row>
        <row r="529">
          <cell r="B529">
            <v>601</v>
          </cell>
          <cell r="D529" t="str">
            <v>건설기계운전기사</v>
          </cell>
          <cell r="E529">
            <v>0</v>
          </cell>
          <cell r="F529" t="str">
            <v>인</v>
          </cell>
          <cell r="H529">
            <v>4.0000000000000001E-3</v>
          </cell>
          <cell r="I529" t="str">
            <v>x</v>
          </cell>
          <cell r="J529">
            <v>15.196</v>
          </cell>
          <cell r="V529" t="str">
            <v>=</v>
          </cell>
          <cell r="W529">
            <v>0.06</v>
          </cell>
          <cell r="Y529" t="str">
            <v>기본</v>
          </cell>
          <cell r="Z529" t="str">
            <v>x</v>
          </cell>
          <cell r="AA529" t="str">
            <v>단위량</v>
          </cell>
          <cell r="AM529">
            <v>56603</v>
          </cell>
          <cell r="AN529">
            <v>0</v>
          </cell>
        </row>
        <row r="530">
          <cell r="B530">
            <v>602</v>
          </cell>
          <cell r="D530" t="str">
            <v>건설기계운전조수</v>
          </cell>
          <cell r="E530">
            <v>0</v>
          </cell>
          <cell r="F530" t="str">
            <v>인</v>
          </cell>
          <cell r="H530">
            <v>2E-3</v>
          </cell>
          <cell r="I530" t="str">
            <v>x</v>
          </cell>
          <cell r="J530">
            <v>15.196</v>
          </cell>
          <cell r="V530" t="str">
            <v>=</v>
          </cell>
          <cell r="W530">
            <v>0.03</v>
          </cell>
          <cell r="Y530" t="str">
            <v>기본</v>
          </cell>
          <cell r="Z530" t="str">
            <v>x</v>
          </cell>
          <cell r="AA530" t="str">
            <v>단위량</v>
          </cell>
          <cell r="AM530">
            <v>43994</v>
          </cell>
          <cell r="AN530">
            <v>0</v>
          </cell>
        </row>
        <row r="531">
          <cell r="B531">
            <v>603</v>
          </cell>
          <cell r="D531" t="str">
            <v>건설기계조장</v>
          </cell>
          <cell r="E531">
            <v>0</v>
          </cell>
          <cell r="F531" t="str">
            <v>인</v>
          </cell>
          <cell r="H531">
            <v>1E-3</v>
          </cell>
          <cell r="I531" t="str">
            <v>x</v>
          </cell>
          <cell r="J531">
            <v>15.196</v>
          </cell>
          <cell r="V531" t="str">
            <v>=</v>
          </cell>
          <cell r="W531">
            <v>0.02</v>
          </cell>
          <cell r="Y531" t="str">
            <v>기본</v>
          </cell>
          <cell r="Z531" t="str">
            <v>x</v>
          </cell>
          <cell r="AA531" t="str">
            <v>단위량</v>
          </cell>
          <cell r="AM531">
            <v>68228</v>
          </cell>
          <cell r="AN531">
            <v>0</v>
          </cell>
        </row>
        <row r="532">
          <cell r="D532" t="str">
            <v>7) 다지기</v>
          </cell>
          <cell r="AL532" t="str">
            <v>건11-3,4</v>
          </cell>
          <cell r="AM532">
            <v>0</v>
          </cell>
          <cell r="AN532">
            <v>0</v>
          </cell>
        </row>
        <row r="533">
          <cell r="B533">
            <v>601</v>
          </cell>
          <cell r="D533" t="str">
            <v>건설기계운전기사</v>
          </cell>
          <cell r="E533">
            <v>0</v>
          </cell>
          <cell r="F533" t="str">
            <v>인</v>
          </cell>
          <cell r="H533">
            <v>3.5000000000000003E-2</v>
          </cell>
          <cell r="I533" t="str">
            <v>x</v>
          </cell>
          <cell r="J533">
            <v>8.0299999999999994</v>
          </cell>
          <cell r="V533" t="str">
            <v>=</v>
          </cell>
          <cell r="W533">
            <v>0.28000000000000003</v>
          </cell>
          <cell r="Y533" t="str">
            <v>기본</v>
          </cell>
          <cell r="Z533" t="str">
            <v>x</v>
          </cell>
          <cell r="AA533" t="str">
            <v>단위량</v>
          </cell>
          <cell r="AM533">
            <v>56603</v>
          </cell>
          <cell r="AN533">
            <v>0</v>
          </cell>
        </row>
        <row r="534">
          <cell r="B534">
            <v>602</v>
          </cell>
          <cell r="D534" t="str">
            <v>건설기계운전조수</v>
          </cell>
          <cell r="E534">
            <v>0</v>
          </cell>
          <cell r="F534" t="str">
            <v>인</v>
          </cell>
          <cell r="H534">
            <v>1.7999999999999999E-2</v>
          </cell>
          <cell r="I534" t="str">
            <v>x</v>
          </cell>
          <cell r="J534">
            <v>8.0299999999999994</v>
          </cell>
          <cell r="V534" t="str">
            <v>=</v>
          </cell>
          <cell r="W534">
            <v>0.14000000000000001</v>
          </cell>
          <cell r="Y534" t="str">
            <v>기본</v>
          </cell>
          <cell r="Z534" t="str">
            <v>x</v>
          </cell>
          <cell r="AA534" t="str">
            <v>단위량</v>
          </cell>
          <cell r="AM534">
            <v>43994</v>
          </cell>
          <cell r="AN534">
            <v>0</v>
          </cell>
        </row>
        <row r="535">
          <cell r="B535">
            <v>603</v>
          </cell>
          <cell r="D535" t="str">
            <v>건설기계조장</v>
          </cell>
          <cell r="E535">
            <v>0</v>
          </cell>
          <cell r="F535" t="str">
            <v>인</v>
          </cell>
          <cell r="H535">
            <v>7.0000000000000001E-3</v>
          </cell>
          <cell r="I535" t="str">
            <v>x</v>
          </cell>
          <cell r="J535">
            <v>8.0299999999999994</v>
          </cell>
          <cell r="V535" t="str">
            <v>=</v>
          </cell>
          <cell r="W535">
            <v>0.06</v>
          </cell>
          <cell r="Y535" t="str">
            <v>기본</v>
          </cell>
          <cell r="Z535" t="str">
            <v>x</v>
          </cell>
          <cell r="AA535" t="str">
            <v>단위량</v>
          </cell>
          <cell r="AM535">
            <v>68228</v>
          </cell>
          <cell r="AN535">
            <v>0</v>
          </cell>
        </row>
        <row r="536">
          <cell r="D536" t="str">
            <v>8) 되메우기</v>
          </cell>
          <cell r="AL536" t="str">
            <v>건11-3,4</v>
          </cell>
          <cell r="AM536">
            <v>0</v>
          </cell>
          <cell r="AN536">
            <v>0</v>
          </cell>
        </row>
        <row r="537">
          <cell r="B537">
            <v>601</v>
          </cell>
          <cell r="D537" t="str">
            <v>건설기계운전기사</v>
          </cell>
          <cell r="E537">
            <v>0</v>
          </cell>
          <cell r="F537" t="str">
            <v>인</v>
          </cell>
          <cell r="H537">
            <v>5.0000000000000001E-3</v>
          </cell>
          <cell r="I537" t="str">
            <v>x</v>
          </cell>
          <cell r="J537">
            <v>8.0299999999999994</v>
          </cell>
          <cell r="V537" t="str">
            <v>=</v>
          </cell>
          <cell r="W537">
            <v>0.04</v>
          </cell>
          <cell r="Y537" t="str">
            <v>기본</v>
          </cell>
          <cell r="Z537" t="str">
            <v>x</v>
          </cell>
          <cell r="AA537" t="str">
            <v>단위량</v>
          </cell>
          <cell r="AM537">
            <v>56603</v>
          </cell>
          <cell r="AN537">
            <v>0</v>
          </cell>
        </row>
        <row r="538">
          <cell r="B538">
            <v>602</v>
          </cell>
          <cell r="D538" t="str">
            <v>건설기계운전조수</v>
          </cell>
          <cell r="E538">
            <v>0</v>
          </cell>
          <cell r="F538" t="str">
            <v>인</v>
          </cell>
          <cell r="H538">
            <v>2E-3</v>
          </cell>
          <cell r="I538" t="str">
            <v>x</v>
          </cell>
          <cell r="J538">
            <v>8.0299999999999994</v>
          </cell>
          <cell r="V538" t="str">
            <v>=</v>
          </cell>
          <cell r="W538">
            <v>0.02</v>
          </cell>
          <cell r="Y538" t="str">
            <v>기본</v>
          </cell>
          <cell r="Z538" t="str">
            <v>x</v>
          </cell>
          <cell r="AA538" t="str">
            <v>단위량</v>
          </cell>
          <cell r="AM538">
            <v>43994</v>
          </cell>
          <cell r="AN538">
            <v>0</v>
          </cell>
        </row>
        <row r="539">
          <cell r="B539">
            <v>603</v>
          </cell>
          <cell r="D539" t="str">
            <v>건설기계조장</v>
          </cell>
          <cell r="E539">
            <v>0</v>
          </cell>
          <cell r="F539" t="str">
            <v>인</v>
          </cell>
          <cell r="H539">
            <v>1E-3</v>
          </cell>
          <cell r="I539" t="str">
            <v>x</v>
          </cell>
          <cell r="J539">
            <v>8.0299999999999994</v>
          </cell>
          <cell r="V539" t="str">
            <v>=</v>
          </cell>
          <cell r="W539">
            <v>0.01</v>
          </cell>
          <cell r="Y539" t="str">
            <v>기본</v>
          </cell>
          <cell r="Z539" t="str">
            <v>x</v>
          </cell>
          <cell r="AA539" t="str">
            <v>단위량</v>
          </cell>
          <cell r="AM539">
            <v>68228</v>
          </cell>
          <cell r="AN539">
            <v>0</v>
          </cell>
        </row>
        <row r="540">
          <cell r="D540" t="str">
            <v>9) 막돌기초다짐</v>
          </cell>
          <cell r="AL540" t="str">
            <v>건5-1</v>
          </cell>
          <cell r="AM540">
            <v>0</v>
          </cell>
          <cell r="AN540">
            <v>0</v>
          </cell>
        </row>
        <row r="541">
          <cell r="B541">
            <v>523</v>
          </cell>
          <cell r="D541" t="str">
            <v>보통인부</v>
          </cell>
          <cell r="E541">
            <v>0</v>
          </cell>
          <cell r="F541" t="str">
            <v>인</v>
          </cell>
          <cell r="H541">
            <v>0.5</v>
          </cell>
          <cell r="I541" t="str">
            <v>x</v>
          </cell>
          <cell r="J541">
            <v>0.83199999999999996</v>
          </cell>
          <cell r="V541" t="str">
            <v>=</v>
          </cell>
          <cell r="W541">
            <v>0.42</v>
          </cell>
          <cell r="Y541" t="str">
            <v>기본</v>
          </cell>
          <cell r="Z541" t="str">
            <v>x</v>
          </cell>
          <cell r="AA541" t="str">
            <v>단위량</v>
          </cell>
          <cell r="AM541">
            <v>40922</v>
          </cell>
          <cell r="AN541">
            <v>0</v>
          </cell>
        </row>
        <row r="542">
          <cell r="D542" t="str">
            <v>10) 잔토처리</v>
          </cell>
          <cell r="AL542" t="str">
            <v>건3-1</v>
          </cell>
          <cell r="AM542">
            <v>0</v>
          </cell>
          <cell r="AN542">
            <v>0</v>
          </cell>
        </row>
        <row r="543">
          <cell r="B543">
            <v>523</v>
          </cell>
          <cell r="D543" t="str">
            <v>보통인부</v>
          </cell>
          <cell r="E543">
            <v>0</v>
          </cell>
          <cell r="F543" t="str">
            <v>인</v>
          </cell>
          <cell r="H543">
            <v>0.2</v>
          </cell>
          <cell r="I543" t="str">
            <v>x</v>
          </cell>
          <cell r="J543">
            <v>7.1790000000000003</v>
          </cell>
          <cell r="V543" t="str">
            <v>=</v>
          </cell>
          <cell r="W543">
            <v>1.44</v>
          </cell>
          <cell r="Y543" t="str">
            <v>기본</v>
          </cell>
          <cell r="Z543" t="str">
            <v>x</v>
          </cell>
          <cell r="AA543" t="str">
            <v>단위량</v>
          </cell>
          <cell r="AM543">
            <v>40922</v>
          </cell>
          <cell r="AN543">
            <v>0</v>
          </cell>
        </row>
        <row r="544">
          <cell r="D544" t="str">
            <v>11) 맨홀접지신설</v>
          </cell>
          <cell r="AL544" t="str">
            <v>통3-39</v>
          </cell>
          <cell r="AM544">
            <v>0</v>
          </cell>
          <cell r="AN544">
            <v>0</v>
          </cell>
        </row>
        <row r="545">
          <cell r="D545" t="str">
            <v>가)접속단자 압축</v>
          </cell>
          <cell r="E545" t="str">
            <v>(C TYPE)</v>
          </cell>
          <cell r="AM545">
            <v>0</v>
          </cell>
          <cell r="AN545">
            <v>0</v>
          </cell>
        </row>
        <row r="546">
          <cell r="B546">
            <v>516</v>
          </cell>
          <cell r="D546" t="str">
            <v>통신외선공</v>
          </cell>
          <cell r="E546">
            <v>0</v>
          </cell>
          <cell r="F546" t="str">
            <v>인</v>
          </cell>
          <cell r="H546">
            <v>0.03</v>
          </cell>
          <cell r="I546" t="str">
            <v>x</v>
          </cell>
          <cell r="J546">
            <v>1</v>
          </cell>
          <cell r="V546" t="str">
            <v>=</v>
          </cell>
          <cell r="W546">
            <v>0.03</v>
          </cell>
          <cell r="Y546" t="str">
            <v>기본</v>
          </cell>
          <cell r="Z546" t="str">
            <v>x</v>
          </cell>
          <cell r="AA546" t="str">
            <v>단위량</v>
          </cell>
          <cell r="AM546">
            <v>90961</v>
          </cell>
          <cell r="AN546">
            <v>0</v>
          </cell>
        </row>
        <row r="547">
          <cell r="D547" t="str">
            <v>나)접지선 부설</v>
          </cell>
          <cell r="E547" t="str">
            <v>22㎟x2m</v>
          </cell>
          <cell r="AM547">
            <v>0</v>
          </cell>
          <cell r="AN547">
            <v>0</v>
          </cell>
        </row>
        <row r="548">
          <cell r="B548">
            <v>516</v>
          </cell>
          <cell r="D548" t="str">
            <v>통신외선공</v>
          </cell>
          <cell r="E548">
            <v>0</v>
          </cell>
          <cell r="F548" t="str">
            <v>인</v>
          </cell>
          <cell r="H548">
            <v>0.05</v>
          </cell>
          <cell r="I548" t="str">
            <v>x</v>
          </cell>
          <cell r="J548">
            <v>1</v>
          </cell>
          <cell r="V548" t="str">
            <v>=</v>
          </cell>
          <cell r="W548">
            <v>0.05</v>
          </cell>
          <cell r="Y548" t="str">
            <v>기본</v>
          </cell>
          <cell r="Z548" t="str">
            <v>x</v>
          </cell>
          <cell r="AA548" t="str">
            <v>단위량</v>
          </cell>
          <cell r="AM548">
            <v>90961</v>
          </cell>
          <cell r="AN548">
            <v>0</v>
          </cell>
        </row>
        <row r="549">
          <cell r="B549">
            <v>523</v>
          </cell>
          <cell r="D549" t="str">
            <v>보통인부</v>
          </cell>
          <cell r="E549">
            <v>0</v>
          </cell>
          <cell r="F549" t="str">
            <v>인</v>
          </cell>
          <cell r="H549">
            <v>2.5000000000000001E-2</v>
          </cell>
          <cell r="I549" t="str">
            <v>x</v>
          </cell>
          <cell r="J549">
            <v>1</v>
          </cell>
          <cell r="V549" t="str">
            <v>=</v>
          </cell>
          <cell r="W549">
            <v>0.03</v>
          </cell>
          <cell r="Y549" t="str">
            <v>기본</v>
          </cell>
          <cell r="Z549" t="str">
            <v>x</v>
          </cell>
          <cell r="AA549" t="str">
            <v>단위량</v>
          </cell>
          <cell r="AM549">
            <v>40922</v>
          </cell>
          <cell r="AN549">
            <v>0</v>
          </cell>
        </row>
        <row r="550">
          <cell r="B550">
            <v>544</v>
          </cell>
          <cell r="D550" t="str">
            <v>소    계</v>
          </cell>
          <cell r="E550">
            <v>0</v>
          </cell>
          <cell r="F550">
            <v>0</v>
          </cell>
          <cell r="AM550">
            <v>0</v>
          </cell>
          <cell r="AN550">
            <v>0</v>
          </cell>
        </row>
        <row r="551">
          <cell r="A551" t="str">
            <v>19-24</v>
          </cell>
          <cell r="B551">
            <v>506</v>
          </cell>
          <cell r="D551" t="str">
            <v>콘크리트공</v>
          </cell>
          <cell r="E551">
            <v>0</v>
          </cell>
          <cell r="F551" t="str">
            <v>인</v>
          </cell>
          <cell r="V551" t="str">
            <v>=</v>
          </cell>
          <cell r="W551">
            <v>2.74</v>
          </cell>
          <cell r="AM551">
            <v>68884</v>
          </cell>
          <cell r="AN551">
            <v>0</v>
          </cell>
        </row>
        <row r="552">
          <cell r="A552" t="str">
            <v>19-25</v>
          </cell>
          <cell r="B552">
            <v>501</v>
          </cell>
          <cell r="D552" t="str">
            <v>형틀목공</v>
          </cell>
          <cell r="E552">
            <v>0</v>
          </cell>
          <cell r="F552" t="str">
            <v>인</v>
          </cell>
          <cell r="V552" t="str">
            <v>=</v>
          </cell>
          <cell r="W552">
            <v>2.9</v>
          </cell>
          <cell r="AM552">
            <v>71251</v>
          </cell>
          <cell r="AN552">
            <v>0</v>
          </cell>
        </row>
        <row r="553">
          <cell r="A553" t="str">
            <v>19-26</v>
          </cell>
          <cell r="B553">
            <v>504</v>
          </cell>
          <cell r="D553" t="str">
            <v>철근공</v>
          </cell>
          <cell r="E553">
            <v>0</v>
          </cell>
          <cell r="F553" t="str">
            <v>인</v>
          </cell>
          <cell r="V553" t="str">
            <v>=</v>
          </cell>
          <cell r="W553">
            <v>0.54</v>
          </cell>
          <cell r="AM553">
            <v>73192</v>
          </cell>
          <cell r="AN553">
            <v>0</v>
          </cell>
        </row>
        <row r="554">
          <cell r="A554" t="str">
            <v>19-27</v>
          </cell>
          <cell r="B554">
            <v>503</v>
          </cell>
          <cell r="D554" t="str">
            <v>철공</v>
          </cell>
          <cell r="E554">
            <v>0</v>
          </cell>
          <cell r="F554" t="str">
            <v>인</v>
          </cell>
          <cell r="V554" t="str">
            <v>=</v>
          </cell>
          <cell r="W554">
            <v>0.06</v>
          </cell>
          <cell r="AM554">
            <v>63963</v>
          </cell>
          <cell r="AN554">
            <v>0</v>
          </cell>
        </row>
        <row r="555">
          <cell r="A555" t="str">
            <v>19-28</v>
          </cell>
          <cell r="B555">
            <v>535</v>
          </cell>
          <cell r="D555" t="str">
            <v>미장공</v>
          </cell>
          <cell r="E555">
            <v>0</v>
          </cell>
          <cell r="F555" t="str">
            <v>인</v>
          </cell>
          <cell r="V555" t="str">
            <v>=</v>
          </cell>
          <cell r="W555">
            <v>0.6</v>
          </cell>
          <cell r="AM555">
            <v>67451</v>
          </cell>
          <cell r="AN555">
            <v>0</v>
          </cell>
        </row>
        <row r="556">
          <cell r="A556" t="str">
            <v>19-29</v>
          </cell>
          <cell r="B556">
            <v>516</v>
          </cell>
          <cell r="D556" t="str">
            <v>통신외선공</v>
          </cell>
          <cell r="E556">
            <v>0</v>
          </cell>
          <cell r="F556" t="str">
            <v>인</v>
          </cell>
          <cell r="V556" t="str">
            <v>=</v>
          </cell>
          <cell r="W556">
            <v>0.08</v>
          </cell>
          <cell r="AM556">
            <v>90961</v>
          </cell>
          <cell r="AN556">
            <v>0</v>
          </cell>
        </row>
        <row r="557">
          <cell r="A557" t="str">
            <v>19-30</v>
          </cell>
          <cell r="B557">
            <v>601</v>
          </cell>
          <cell r="D557" t="str">
            <v>건설기계운전기사</v>
          </cell>
          <cell r="E557">
            <v>0</v>
          </cell>
          <cell r="F557" t="str">
            <v>인</v>
          </cell>
          <cell r="V557" t="str">
            <v>=</v>
          </cell>
          <cell r="W557">
            <v>0.38</v>
          </cell>
          <cell r="AM557">
            <v>56603</v>
          </cell>
          <cell r="AN557">
            <v>0</v>
          </cell>
        </row>
        <row r="558">
          <cell r="A558" t="str">
            <v>19-31</v>
          </cell>
          <cell r="B558">
            <v>602</v>
          </cell>
          <cell r="D558" t="str">
            <v>건설기계운전조수</v>
          </cell>
          <cell r="E558">
            <v>0</v>
          </cell>
          <cell r="F558" t="str">
            <v>인</v>
          </cell>
          <cell r="V558" t="str">
            <v>=</v>
          </cell>
          <cell r="W558">
            <v>0.19</v>
          </cell>
          <cell r="AM558">
            <v>43994</v>
          </cell>
          <cell r="AN558">
            <v>0</v>
          </cell>
        </row>
        <row r="559">
          <cell r="A559" t="str">
            <v>19-32</v>
          </cell>
          <cell r="B559">
            <v>603</v>
          </cell>
          <cell r="D559" t="str">
            <v>건설기계조장</v>
          </cell>
          <cell r="E559">
            <v>0</v>
          </cell>
          <cell r="F559" t="str">
            <v>인</v>
          </cell>
          <cell r="V559" t="str">
            <v>=</v>
          </cell>
          <cell r="W559">
            <v>0.09</v>
          </cell>
          <cell r="AM559">
            <v>68228</v>
          </cell>
          <cell r="AN559">
            <v>0</v>
          </cell>
        </row>
        <row r="560">
          <cell r="A560" t="str">
            <v>19-33</v>
          </cell>
          <cell r="B560">
            <v>523</v>
          </cell>
          <cell r="D560" t="str">
            <v>보통인부</v>
          </cell>
          <cell r="E560">
            <v>0</v>
          </cell>
          <cell r="F560" t="str">
            <v>인</v>
          </cell>
          <cell r="V560" t="str">
            <v>=</v>
          </cell>
          <cell r="W560">
            <v>8.2199999999999989</v>
          </cell>
          <cell r="AM560">
            <v>40922</v>
          </cell>
          <cell r="AN560">
            <v>0</v>
          </cell>
        </row>
        <row r="561">
          <cell r="A561" t="str">
            <v>19-34</v>
          </cell>
          <cell r="B561">
            <v>543</v>
          </cell>
          <cell r="D561" t="str">
            <v>다. 공구손료</v>
          </cell>
          <cell r="E561" t="str">
            <v>노무비x3%</v>
          </cell>
          <cell r="F561">
            <v>0</v>
          </cell>
          <cell r="AM561">
            <v>0</v>
          </cell>
          <cell r="AN561">
            <v>0</v>
          </cell>
        </row>
        <row r="562">
          <cell r="A562" t="str">
            <v>19-35</v>
          </cell>
          <cell r="B562">
            <v>506</v>
          </cell>
          <cell r="D562" t="str">
            <v>콘크리트공</v>
          </cell>
          <cell r="E562">
            <v>0</v>
          </cell>
          <cell r="F562" t="str">
            <v>인</v>
          </cell>
          <cell r="H562">
            <v>2.74</v>
          </cell>
          <cell r="I562" t="str">
            <v>x</v>
          </cell>
          <cell r="J562">
            <v>0.03</v>
          </cell>
          <cell r="V562" t="str">
            <v>=</v>
          </cell>
          <cell r="W562">
            <v>0.08</v>
          </cell>
          <cell r="Y562" t="str">
            <v>기본</v>
          </cell>
          <cell r="Z562" t="str">
            <v>x</v>
          </cell>
          <cell r="AA562" t="str">
            <v>공구손료</v>
          </cell>
          <cell r="AM562">
            <v>68884</v>
          </cell>
          <cell r="AN562">
            <v>0</v>
          </cell>
        </row>
        <row r="563">
          <cell r="A563" t="str">
            <v>19-36</v>
          </cell>
          <cell r="B563">
            <v>501</v>
          </cell>
          <cell r="D563" t="str">
            <v>형틀목공</v>
          </cell>
          <cell r="E563">
            <v>0</v>
          </cell>
          <cell r="F563" t="str">
            <v>인</v>
          </cell>
          <cell r="H563">
            <v>2.9</v>
          </cell>
          <cell r="I563" t="str">
            <v>x</v>
          </cell>
          <cell r="J563">
            <v>0.03</v>
          </cell>
          <cell r="V563" t="str">
            <v>=</v>
          </cell>
          <cell r="W563">
            <v>0.09</v>
          </cell>
          <cell r="Y563" t="str">
            <v>기본</v>
          </cell>
          <cell r="Z563" t="str">
            <v>x</v>
          </cell>
          <cell r="AA563" t="str">
            <v>공구손료</v>
          </cell>
          <cell r="AM563">
            <v>71251</v>
          </cell>
          <cell r="AN563">
            <v>0</v>
          </cell>
        </row>
        <row r="564">
          <cell r="A564" t="str">
            <v>19-37</v>
          </cell>
          <cell r="B564">
            <v>504</v>
          </cell>
          <cell r="D564" t="str">
            <v>철근공</v>
          </cell>
          <cell r="E564">
            <v>0</v>
          </cell>
          <cell r="F564" t="str">
            <v>인</v>
          </cell>
          <cell r="H564">
            <v>0.54</v>
          </cell>
          <cell r="I564" t="str">
            <v>x</v>
          </cell>
          <cell r="J564">
            <v>0.03</v>
          </cell>
          <cell r="V564" t="str">
            <v>=</v>
          </cell>
          <cell r="W564">
            <v>0.02</v>
          </cell>
          <cell r="Y564" t="str">
            <v>기본</v>
          </cell>
          <cell r="Z564" t="str">
            <v>x</v>
          </cell>
          <cell r="AA564" t="str">
            <v>공구손료</v>
          </cell>
          <cell r="AM564">
            <v>73192</v>
          </cell>
          <cell r="AN564">
            <v>0</v>
          </cell>
        </row>
        <row r="565">
          <cell r="A565" t="str">
            <v>19-38</v>
          </cell>
          <cell r="B565">
            <v>503</v>
          </cell>
          <cell r="D565" t="str">
            <v>철공</v>
          </cell>
          <cell r="E565">
            <v>0</v>
          </cell>
          <cell r="F565" t="str">
            <v>인</v>
          </cell>
          <cell r="H565">
            <v>0.06</v>
          </cell>
          <cell r="I565" t="str">
            <v>x</v>
          </cell>
          <cell r="J565">
            <v>0.03</v>
          </cell>
          <cell r="V565" t="str">
            <v>=</v>
          </cell>
          <cell r="W565">
            <v>2E-3</v>
          </cell>
          <cell r="Y565" t="str">
            <v>기본</v>
          </cell>
          <cell r="Z565" t="str">
            <v>x</v>
          </cell>
          <cell r="AA565" t="str">
            <v>공구손료</v>
          </cell>
          <cell r="AM565">
            <v>63963</v>
          </cell>
          <cell r="AN565">
            <v>0</v>
          </cell>
        </row>
        <row r="566">
          <cell r="A566" t="str">
            <v>19-39</v>
          </cell>
          <cell r="B566">
            <v>535</v>
          </cell>
          <cell r="D566" t="str">
            <v>미장공</v>
          </cell>
          <cell r="E566">
            <v>0</v>
          </cell>
          <cell r="F566" t="str">
            <v>인</v>
          </cell>
          <cell r="H566">
            <v>0.6</v>
          </cell>
          <cell r="I566" t="str">
            <v>x</v>
          </cell>
          <cell r="J566">
            <v>0.03</v>
          </cell>
          <cell r="V566" t="str">
            <v>=</v>
          </cell>
          <cell r="W566">
            <v>0.02</v>
          </cell>
          <cell r="Y566" t="str">
            <v>기본</v>
          </cell>
          <cell r="Z566" t="str">
            <v>x</v>
          </cell>
          <cell r="AA566" t="str">
            <v>공구손료</v>
          </cell>
          <cell r="AM566">
            <v>67451</v>
          </cell>
          <cell r="AN566">
            <v>0</v>
          </cell>
        </row>
        <row r="567">
          <cell r="A567" t="str">
            <v>19-40</v>
          </cell>
          <cell r="B567">
            <v>516</v>
          </cell>
          <cell r="D567" t="str">
            <v>통신외선공</v>
          </cell>
          <cell r="E567">
            <v>0</v>
          </cell>
          <cell r="F567" t="str">
            <v>인</v>
          </cell>
          <cell r="H567">
            <v>0.08</v>
          </cell>
          <cell r="I567" t="str">
            <v>x</v>
          </cell>
          <cell r="J567">
            <v>0.03</v>
          </cell>
          <cell r="V567" t="str">
            <v>=</v>
          </cell>
          <cell r="W567">
            <v>2E-3</v>
          </cell>
          <cell r="Y567" t="str">
            <v>기본</v>
          </cell>
          <cell r="Z567" t="str">
            <v>x</v>
          </cell>
          <cell r="AA567" t="str">
            <v>공구손료</v>
          </cell>
          <cell r="AM567">
            <v>90961</v>
          </cell>
          <cell r="AN567">
            <v>0</v>
          </cell>
        </row>
        <row r="568">
          <cell r="A568" t="str">
            <v>19-41</v>
          </cell>
          <cell r="B568">
            <v>601</v>
          </cell>
          <cell r="D568" t="str">
            <v>건설기계운전기사</v>
          </cell>
          <cell r="E568">
            <v>0</v>
          </cell>
          <cell r="F568" t="str">
            <v>인</v>
          </cell>
          <cell r="H568">
            <v>0.38</v>
          </cell>
          <cell r="I568" t="str">
            <v>x</v>
          </cell>
          <cell r="J568">
            <v>0.03</v>
          </cell>
          <cell r="V568" t="str">
            <v>=</v>
          </cell>
          <cell r="W568">
            <v>1.0999999999999999E-2</v>
          </cell>
          <cell r="Y568" t="str">
            <v>기본</v>
          </cell>
          <cell r="Z568" t="str">
            <v>x</v>
          </cell>
          <cell r="AA568" t="str">
            <v>공구손료</v>
          </cell>
          <cell r="AM568">
            <v>56603</v>
          </cell>
          <cell r="AN568">
            <v>0</v>
          </cell>
        </row>
        <row r="569">
          <cell r="A569" t="str">
            <v>19-42</v>
          </cell>
          <cell r="B569">
            <v>602</v>
          </cell>
          <cell r="D569" t="str">
            <v>건설기계운전조수</v>
          </cell>
          <cell r="E569">
            <v>0</v>
          </cell>
          <cell r="F569" t="str">
            <v>인</v>
          </cell>
          <cell r="H569">
            <v>0.19</v>
          </cell>
          <cell r="I569" t="str">
            <v>x</v>
          </cell>
          <cell r="J569">
            <v>0.03</v>
          </cell>
          <cell r="V569" t="str">
            <v>=</v>
          </cell>
          <cell r="W569">
            <v>6.0000000000000001E-3</v>
          </cell>
          <cell r="Y569" t="str">
            <v>기본</v>
          </cell>
          <cell r="Z569" t="str">
            <v>x</v>
          </cell>
          <cell r="AA569" t="str">
            <v>공구손료</v>
          </cell>
          <cell r="AM569">
            <v>43994</v>
          </cell>
          <cell r="AN569">
            <v>0</v>
          </cell>
        </row>
        <row r="570">
          <cell r="A570" t="str">
            <v>19-43</v>
          </cell>
          <cell r="B570">
            <v>603</v>
          </cell>
          <cell r="D570" t="str">
            <v>건설기계조장</v>
          </cell>
          <cell r="E570">
            <v>0</v>
          </cell>
          <cell r="F570" t="str">
            <v>인</v>
          </cell>
          <cell r="H570">
            <v>0.09</v>
          </cell>
          <cell r="I570" t="str">
            <v>x</v>
          </cell>
          <cell r="J570">
            <v>0.03</v>
          </cell>
          <cell r="V570" t="str">
            <v>=</v>
          </cell>
          <cell r="W570">
            <v>3.0000000000000001E-3</v>
          </cell>
          <cell r="Y570" t="str">
            <v>기본</v>
          </cell>
          <cell r="Z570" t="str">
            <v>x</v>
          </cell>
          <cell r="AA570" t="str">
            <v>공구손료</v>
          </cell>
          <cell r="AM570">
            <v>68228</v>
          </cell>
          <cell r="AN570">
            <v>0</v>
          </cell>
        </row>
        <row r="571">
          <cell r="A571" t="str">
            <v>19-44</v>
          </cell>
          <cell r="B571">
            <v>523</v>
          </cell>
          <cell r="D571" t="str">
            <v>보통인부</v>
          </cell>
          <cell r="E571">
            <v>0</v>
          </cell>
          <cell r="F571" t="str">
            <v>인</v>
          </cell>
          <cell r="H571">
            <v>8.2199999999999989</v>
          </cell>
          <cell r="I571" t="str">
            <v>x</v>
          </cell>
          <cell r="J571">
            <v>0.03</v>
          </cell>
          <cell r="V571" t="str">
            <v>=</v>
          </cell>
          <cell r="W571">
            <v>0.25</v>
          </cell>
          <cell r="Y571" t="str">
            <v>기본</v>
          </cell>
          <cell r="Z571" t="str">
            <v>x</v>
          </cell>
          <cell r="AA571" t="str">
            <v>공구손료</v>
          </cell>
          <cell r="AM571">
            <v>40922</v>
          </cell>
          <cell r="AN571">
            <v>0</v>
          </cell>
        </row>
        <row r="572">
          <cell r="AM572">
            <v>0</v>
          </cell>
          <cell r="AN572">
            <v>0</v>
          </cell>
        </row>
        <row r="573">
          <cell r="P573" t="str">
            <v>[ 좌측면 ]</v>
          </cell>
          <cell r="V573" t="str">
            <v>[ 우측면 ]</v>
          </cell>
          <cell r="AM573">
            <v>0</v>
          </cell>
          <cell r="AN573">
            <v>0</v>
          </cell>
        </row>
        <row r="574">
          <cell r="AM574">
            <v>0</v>
          </cell>
          <cell r="AN574">
            <v>0</v>
          </cell>
        </row>
        <row r="575">
          <cell r="AM575">
            <v>0</v>
          </cell>
          <cell r="AN575">
            <v>0</v>
          </cell>
        </row>
        <row r="576">
          <cell r="AM576">
            <v>0</v>
          </cell>
          <cell r="AN576">
            <v>0</v>
          </cell>
        </row>
        <row r="577">
          <cell r="AM577">
            <v>0</v>
          </cell>
          <cell r="AN577">
            <v>0</v>
          </cell>
        </row>
        <row r="578">
          <cell r="AM578">
            <v>0</v>
          </cell>
          <cell r="AN578">
            <v>0</v>
          </cell>
        </row>
        <row r="579">
          <cell r="AM579">
            <v>0</v>
          </cell>
          <cell r="AN579">
            <v>0</v>
          </cell>
        </row>
        <row r="580">
          <cell r="AM580">
            <v>0</v>
          </cell>
          <cell r="AN580">
            <v>0</v>
          </cell>
        </row>
        <row r="581">
          <cell r="AM581">
            <v>0</v>
          </cell>
          <cell r="AN581">
            <v>0</v>
          </cell>
        </row>
        <row r="582">
          <cell r="AM582">
            <v>0</v>
          </cell>
          <cell r="AN582">
            <v>0</v>
          </cell>
        </row>
        <row r="583">
          <cell r="AM583">
            <v>0</v>
          </cell>
          <cell r="AN583">
            <v>0</v>
          </cell>
        </row>
        <row r="584">
          <cell r="AM584">
            <v>0</v>
          </cell>
          <cell r="AN584">
            <v>0</v>
          </cell>
        </row>
        <row r="585">
          <cell r="AM585">
            <v>0</v>
          </cell>
          <cell r="AN585">
            <v>0</v>
          </cell>
        </row>
        <row r="586">
          <cell r="AM586">
            <v>0</v>
          </cell>
          <cell r="AN586">
            <v>0</v>
          </cell>
        </row>
        <row r="587">
          <cell r="AM587">
            <v>0</v>
          </cell>
          <cell r="AN587">
            <v>0</v>
          </cell>
        </row>
        <row r="588">
          <cell r="AM588">
            <v>0</v>
          </cell>
          <cell r="AN588">
            <v>0</v>
          </cell>
        </row>
        <row r="589">
          <cell r="AM589">
            <v>0</v>
          </cell>
          <cell r="AN589">
            <v>0</v>
          </cell>
        </row>
        <row r="590">
          <cell r="AM590">
            <v>0</v>
          </cell>
          <cell r="AN590">
            <v>0</v>
          </cell>
        </row>
        <row r="591">
          <cell r="AM591">
            <v>0</v>
          </cell>
          <cell r="AN591">
            <v>0</v>
          </cell>
        </row>
        <row r="592">
          <cell r="AM592">
            <v>0</v>
          </cell>
          <cell r="AN592">
            <v>0</v>
          </cell>
        </row>
        <row r="593">
          <cell r="AM593">
            <v>0</v>
          </cell>
          <cell r="AN593">
            <v>0</v>
          </cell>
        </row>
        <row r="594">
          <cell r="AM594">
            <v>0</v>
          </cell>
          <cell r="AN594">
            <v>0</v>
          </cell>
        </row>
        <row r="595">
          <cell r="AM595">
            <v>0</v>
          </cell>
          <cell r="AN595">
            <v>0</v>
          </cell>
        </row>
        <row r="596">
          <cell r="AM596">
            <v>0</v>
          </cell>
          <cell r="AN596">
            <v>0</v>
          </cell>
        </row>
        <row r="597">
          <cell r="A597">
            <v>20</v>
          </cell>
          <cell r="C597">
            <v>20</v>
          </cell>
          <cell r="D597" t="str">
            <v>광케이블포설(지하)</v>
          </cell>
          <cell r="E597" t="str">
            <v>OF-SM-8Core(3m이상)</v>
          </cell>
          <cell r="F597" t="str">
            <v>100m</v>
          </cell>
          <cell r="AM597">
            <v>0</v>
          </cell>
          <cell r="AN597">
            <v>0</v>
          </cell>
        </row>
        <row r="598">
          <cell r="A598" t="str">
            <v>20-1</v>
          </cell>
          <cell r="B598">
            <v>542</v>
          </cell>
          <cell r="D598" t="str">
            <v>나. 노무비</v>
          </cell>
          <cell r="E598">
            <v>0</v>
          </cell>
          <cell r="F598">
            <v>0</v>
          </cell>
          <cell r="AM598">
            <v>0</v>
          </cell>
          <cell r="AN598">
            <v>0</v>
          </cell>
        </row>
        <row r="599">
          <cell r="B599">
            <v>553</v>
          </cell>
          <cell r="D599" t="str">
            <v>광케이블설치사</v>
          </cell>
          <cell r="E599">
            <v>0</v>
          </cell>
          <cell r="F599" t="str">
            <v>인</v>
          </cell>
          <cell r="H599">
            <v>0.83</v>
          </cell>
          <cell r="I599" t="str">
            <v>x</v>
          </cell>
          <cell r="J599">
            <v>1</v>
          </cell>
          <cell r="K599" t="str">
            <v>x</v>
          </cell>
          <cell r="L599" t="str">
            <v>(</v>
          </cell>
          <cell r="M599">
            <v>1</v>
          </cell>
          <cell r="N599" t="str">
            <v>+</v>
          </cell>
          <cell r="O599">
            <v>0.02</v>
          </cell>
          <cell r="P599" t="str">
            <v>)</v>
          </cell>
          <cell r="V599" t="str">
            <v>=</v>
          </cell>
          <cell r="W599">
            <v>0.85</v>
          </cell>
          <cell r="Y599" t="str">
            <v>기본</v>
          </cell>
          <cell r="Z599" t="str">
            <v>x</v>
          </cell>
          <cell r="AA599" t="str">
            <v>단위량</v>
          </cell>
          <cell r="AB599" t="str">
            <v>x</v>
          </cell>
          <cell r="AC599" t="str">
            <v>(</v>
          </cell>
          <cell r="AD599">
            <v>1</v>
          </cell>
          <cell r="AE599" t="str">
            <v>+</v>
          </cell>
          <cell r="AF599" t="str">
            <v>지하</v>
          </cell>
          <cell r="AG599" t="str">
            <v>)</v>
          </cell>
          <cell r="AL599" t="str">
            <v>통 3-49(지하)</v>
          </cell>
          <cell r="AM599">
            <v>104231</v>
          </cell>
          <cell r="AN599">
            <v>0</v>
          </cell>
        </row>
        <row r="600">
          <cell r="B600">
            <v>523</v>
          </cell>
          <cell r="D600" t="str">
            <v>보통인부</v>
          </cell>
          <cell r="E600">
            <v>0</v>
          </cell>
          <cell r="F600" t="str">
            <v>인</v>
          </cell>
          <cell r="H600">
            <v>2.1</v>
          </cell>
          <cell r="I600" t="str">
            <v>x</v>
          </cell>
          <cell r="J600">
            <v>1</v>
          </cell>
          <cell r="K600" t="str">
            <v>x</v>
          </cell>
          <cell r="L600" t="str">
            <v>(</v>
          </cell>
          <cell r="M600">
            <v>1</v>
          </cell>
          <cell r="N600" t="str">
            <v>+</v>
          </cell>
          <cell r="O600">
            <v>0.02</v>
          </cell>
          <cell r="P600" t="str">
            <v>)</v>
          </cell>
          <cell r="V600" t="str">
            <v>=</v>
          </cell>
          <cell r="W600">
            <v>2.14</v>
          </cell>
          <cell r="Y600" t="str">
            <v>기본</v>
          </cell>
          <cell r="Z600" t="str">
            <v>x</v>
          </cell>
          <cell r="AA600" t="str">
            <v>단위량</v>
          </cell>
          <cell r="AB600" t="str">
            <v>x</v>
          </cell>
          <cell r="AC600" t="str">
            <v>(</v>
          </cell>
          <cell r="AD600">
            <v>1</v>
          </cell>
          <cell r="AE600" t="str">
            <v>+</v>
          </cell>
          <cell r="AF600" t="str">
            <v>지하</v>
          </cell>
          <cell r="AG600" t="str">
            <v>)</v>
          </cell>
          <cell r="AM600">
            <v>40922</v>
          </cell>
          <cell r="AN600">
            <v>0</v>
          </cell>
        </row>
        <row r="601">
          <cell r="B601">
            <v>544</v>
          </cell>
          <cell r="D601" t="str">
            <v>소    계</v>
          </cell>
          <cell r="E601">
            <v>0</v>
          </cell>
          <cell r="F601">
            <v>0</v>
          </cell>
          <cell r="AM601">
            <v>0</v>
          </cell>
          <cell r="AN601">
            <v>0</v>
          </cell>
        </row>
        <row r="602">
          <cell r="A602" t="str">
            <v>20-2</v>
          </cell>
          <cell r="B602">
            <v>553</v>
          </cell>
          <cell r="D602" t="str">
            <v>광케이블설치사</v>
          </cell>
          <cell r="E602">
            <v>0</v>
          </cell>
          <cell r="F602" t="str">
            <v>인</v>
          </cell>
          <cell r="V602" t="str">
            <v>=</v>
          </cell>
          <cell r="W602">
            <v>0.85</v>
          </cell>
          <cell r="AM602">
            <v>104231</v>
          </cell>
          <cell r="AN602">
            <v>0</v>
          </cell>
        </row>
        <row r="603">
          <cell r="A603" t="str">
            <v>20-3</v>
          </cell>
          <cell r="B603">
            <v>523</v>
          </cell>
          <cell r="D603" t="str">
            <v>보통인부</v>
          </cell>
          <cell r="E603">
            <v>0</v>
          </cell>
          <cell r="F603" t="str">
            <v>인</v>
          </cell>
          <cell r="V603" t="str">
            <v>=</v>
          </cell>
          <cell r="W603">
            <v>2.14</v>
          </cell>
          <cell r="AM603">
            <v>40922</v>
          </cell>
          <cell r="AN603">
            <v>0</v>
          </cell>
        </row>
        <row r="604">
          <cell r="A604" t="str">
            <v>20-4</v>
          </cell>
          <cell r="B604">
            <v>543</v>
          </cell>
          <cell r="D604" t="str">
            <v>다. 공구손료</v>
          </cell>
          <cell r="E604" t="str">
            <v>노무비x3%</v>
          </cell>
          <cell r="F604">
            <v>0</v>
          </cell>
          <cell r="AM604">
            <v>0</v>
          </cell>
          <cell r="AN604">
            <v>0</v>
          </cell>
        </row>
        <row r="605">
          <cell r="A605" t="str">
            <v>20-5</v>
          </cell>
          <cell r="B605">
            <v>553</v>
          </cell>
          <cell r="D605" t="str">
            <v>광케이블설치사</v>
          </cell>
          <cell r="E605">
            <v>0</v>
          </cell>
          <cell r="F605" t="str">
            <v>인</v>
          </cell>
          <cell r="H605">
            <v>0.83</v>
          </cell>
          <cell r="I605" t="str">
            <v>x</v>
          </cell>
          <cell r="J605">
            <v>0.03</v>
          </cell>
          <cell r="V605" t="str">
            <v>=</v>
          </cell>
          <cell r="W605">
            <v>0.02</v>
          </cell>
          <cell r="Y605" t="str">
            <v>기본</v>
          </cell>
          <cell r="Z605" t="str">
            <v>x</v>
          </cell>
          <cell r="AA605" t="str">
            <v>공구손료</v>
          </cell>
          <cell r="AM605">
            <v>104231</v>
          </cell>
          <cell r="AN605">
            <v>0</v>
          </cell>
        </row>
        <row r="606">
          <cell r="A606" t="str">
            <v>20-6</v>
          </cell>
          <cell r="B606">
            <v>523</v>
          </cell>
          <cell r="D606" t="str">
            <v>보통인부</v>
          </cell>
          <cell r="E606">
            <v>0</v>
          </cell>
          <cell r="F606" t="str">
            <v>인</v>
          </cell>
          <cell r="H606">
            <v>2.1</v>
          </cell>
          <cell r="I606" t="str">
            <v>x</v>
          </cell>
          <cell r="J606">
            <v>0.03</v>
          </cell>
          <cell r="V606" t="str">
            <v>=</v>
          </cell>
          <cell r="W606">
            <v>0.06</v>
          </cell>
          <cell r="Y606" t="str">
            <v>기본</v>
          </cell>
          <cell r="Z606" t="str">
            <v>x</v>
          </cell>
          <cell r="AA606" t="str">
            <v>공구손료</v>
          </cell>
          <cell r="AM606">
            <v>40922</v>
          </cell>
          <cell r="AN606">
            <v>0</v>
          </cell>
        </row>
        <row r="607">
          <cell r="AM607">
            <v>0</v>
          </cell>
          <cell r="AN607">
            <v>0</v>
          </cell>
        </row>
        <row r="608">
          <cell r="AM608">
            <v>0</v>
          </cell>
          <cell r="AN608">
            <v>0</v>
          </cell>
        </row>
        <row r="609">
          <cell r="AM609">
            <v>0</v>
          </cell>
          <cell r="AN609">
            <v>0</v>
          </cell>
        </row>
        <row r="610">
          <cell r="AM610">
            <v>0</v>
          </cell>
          <cell r="AN610">
            <v>0</v>
          </cell>
        </row>
        <row r="611">
          <cell r="AM611">
            <v>0</v>
          </cell>
          <cell r="AN611">
            <v>0</v>
          </cell>
        </row>
        <row r="612">
          <cell r="AM612">
            <v>0</v>
          </cell>
          <cell r="AN612">
            <v>0</v>
          </cell>
        </row>
        <row r="613">
          <cell r="AM613">
            <v>0</v>
          </cell>
        </row>
        <row r="614">
          <cell r="AM614">
            <v>0</v>
          </cell>
        </row>
        <row r="615">
          <cell r="AM615">
            <v>0</v>
          </cell>
        </row>
        <row r="616">
          <cell r="AM616">
            <v>0</v>
          </cell>
        </row>
        <row r="617">
          <cell r="AM617">
            <v>0</v>
          </cell>
        </row>
        <row r="618">
          <cell r="AM618">
            <v>0</v>
          </cell>
        </row>
        <row r="619">
          <cell r="AM619">
            <v>0</v>
          </cell>
          <cell r="AN619">
            <v>0</v>
          </cell>
        </row>
        <row r="620">
          <cell r="AM620">
            <v>0</v>
          </cell>
        </row>
        <row r="621">
          <cell r="AM621">
            <v>0</v>
          </cell>
          <cell r="AN621">
            <v>0</v>
          </cell>
        </row>
        <row r="622">
          <cell r="AM622">
            <v>0</v>
          </cell>
          <cell r="AN622">
            <v>0</v>
          </cell>
        </row>
        <row r="623">
          <cell r="AM623">
            <v>0</v>
          </cell>
          <cell r="AN623">
            <v>0</v>
          </cell>
        </row>
        <row r="624">
          <cell r="A624">
            <v>21</v>
          </cell>
          <cell r="C624">
            <v>21</v>
          </cell>
          <cell r="D624" t="str">
            <v>광케이블포설(지상)</v>
          </cell>
          <cell r="E624" t="str">
            <v>OF-SM-8Core(3m이상)</v>
          </cell>
          <cell r="F624" t="str">
            <v>100m</v>
          </cell>
          <cell r="AM624">
            <v>0</v>
          </cell>
          <cell r="AN624">
            <v>0</v>
          </cell>
        </row>
        <row r="625">
          <cell r="A625" t="str">
            <v>21-1</v>
          </cell>
          <cell r="B625">
            <v>542</v>
          </cell>
          <cell r="D625" t="str">
            <v>나. 노무비</v>
          </cell>
          <cell r="E625">
            <v>0</v>
          </cell>
          <cell r="F625">
            <v>0</v>
          </cell>
          <cell r="AM625">
            <v>0</v>
          </cell>
          <cell r="AN625">
            <v>0</v>
          </cell>
        </row>
        <row r="626">
          <cell r="B626">
            <v>553</v>
          </cell>
          <cell r="D626" t="str">
            <v>광케이블설치사</v>
          </cell>
          <cell r="E626">
            <v>0</v>
          </cell>
          <cell r="F626" t="str">
            <v>인</v>
          </cell>
          <cell r="H626">
            <v>0.83</v>
          </cell>
          <cell r="I626" t="str">
            <v>x</v>
          </cell>
          <cell r="J626">
            <v>1</v>
          </cell>
          <cell r="V626" t="str">
            <v>=</v>
          </cell>
          <cell r="W626">
            <v>0.83</v>
          </cell>
          <cell r="Y626" t="str">
            <v>기본</v>
          </cell>
          <cell r="Z626" t="str">
            <v>x</v>
          </cell>
          <cell r="AA626" t="str">
            <v>단위량</v>
          </cell>
          <cell r="AL626" t="str">
            <v>통 3-49</v>
          </cell>
          <cell r="AM626">
            <v>104231</v>
          </cell>
          <cell r="AN626">
            <v>0</v>
          </cell>
        </row>
        <row r="627">
          <cell r="B627">
            <v>523</v>
          </cell>
          <cell r="D627" t="str">
            <v>보통인부</v>
          </cell>
          <cell r="E627">
            <v>0</v>
          </cell>
          <cell r="F627" t="str">
            <v>인</v>
          </cell>
          <cell r="H627">
            <v>2.1</v>
          </cell>
          <cell r="I627" t="str">
            <v>x</v>
          </cell>
          <cell r="J627">
            <v>1</v>
          </cell>
          <cell r="V627" t="str">
            <v>=</v>
          </cell>
          <cell r="W627">
            <v>2.1</v>
          </cell>
          <cell r="Y627" t="str">
            <v>기본</v>
          </cell>
          <cell r="Z627" t="str">
            <v>x</v>
          </cell>
          <cell r="AA627" t="str">
            <v>단위량</v>
          </cell>
          <cell r="AM627">
            <v>40922</v>
          </cell>
          <cell r="AN627">
            <v>0</v>
          </cell>
        </row>
        <row r="628">
          <cell r="B628">
            <v>544</v>
          </cell>
          <cell r="D628" t="str">
            <v>소    계</v>
          </cell>
          <cell r="E628">
            <v>0</v>
          </cell>
          <cell r="F628">
            <v>0</v>
          </cell>
          <cell r="AM628">
            <v>0</v>
          </cell>
          <cell r="AN628">
            <v>0</v>
          </cell>
        </row>
        <row r="629">
          <cell r="A629" t="str">
            <v>21-2</v>
          </cell>
          <cell r="B629">
            <v>553</v>
          </cell>
          <cell r="D629" t="str">
            <v>광케이블설치사</v>
          </cell>
          <cell r="E629">
            <v>0</v>
          </cell>
          <cell r="F629" t="str">
            <v>인</v>
          </cell>
          <cell r="V629" t="str">
            <v>=</v>
          </cell>
          <cell r="W629">
            <v>0.83</v>
          </cell>
          <cell r="AM629">
            <v>104231</v>
          </cell>
          <cell r="AN629">
            <v>0</v>
          </cell>
        </row>
        <row r="630">
          <cell r="A630" t="str">
            <v>21-3</v>
          </cell>
          <cell r="B630">
            <v>523</v>
          </cell>
          <cell r="D630" t="str">
            <v>보통인부</v>
          </cell>
          <cell r="E630">
            <v>0</v>
          </cell>
          <cell r="F630" t="str">
            <v>인</v>
          </cell>
          <cell r="V630" t="str">
            <v>=</v>
          </cell>
          <cell r="W630">
            <v>2.1</v>
          </cell>
          <cell r="AM630">
            <v>40922</v>
          </cell>
          <cell r="AN630">
            <v>0</v>
          </cell>
        </row>
        <row r="631">
          <cell r="A631" t="str">
            <v>21-4</v>
          </cell>
          <cell r="B631">
            <v>543</v>
          </cell>
          <cell r="D631" t="str">
            <v>다. 공구손료</v>
          </cell>
          <cell r="E631" t="str">
            <v>노무비x3%</v>
          </cell>
          <cell r="F631">
            <v>0</v>
          </cell>
          <cell r="AM631">
            <v>0</v>
          </cell>
          <cell r="AN631">
            <v>0</v>
          </cell>
        </row>
        <row r="632">
          <cell r="A632" t="str">
            <v>21-5</v>
          </cell>
          <cell r="B632">
            <v>553</v>
          </cell>
          <cell r="D632" t="str">
            <v>광케이블설치사</v>
          </cell>
          <cell r="E632">
            <v>0</v>
          </cell>
          <cell r="F632" t="str">
            <v>인</v>
          </cell>
          <cell r="H632">
            <v>0.83</v>
          </cell>
          <cell r="I632" t="str">
            <v>x</v>
          </cell>
          <cell r="J632">
            <v>0.03</v>
          </cell>
          <cell r="V632" t="str">
            <v>=</v>
          </cell>
          <cell r="W632">
            <v>0.02</v>
          </cell>
          <cell r="Y632" t="str">
            <v>기본</v>
          </cell>
          <cell r="Z632" t="str">
            <v>x</v>
          </cell>
          <cell r="AA632" t="str">
            <v>공구손료</v>
          </cell>
          <cell r="AM632">
            <v>104231</v>
          </cell>
          <cell r="AN632">
            <v>0</v>
          </cell>
        </row>
        <row r="633">
          <cell r="A633" t="str">
            <v>21-6</v>
          </cell>
          <cell r="B633">
            <v>523</v>
          </cell>
          <cell r="D633" t="str">
            <v>보통인부</v>
          </cell>
          <cell r="E633">
            <v>0</v>
          </cell>
          <cell r="F633" t="str">
            <v>인</v>
          </cell>
          <cell r="H633">
            <v>2.1</v>
          </cell>
          <cell r="I633" t="str">
            <v>x</v>
          </cell>
          <cell r="J633">
            <v>0.03</v>
          </cell>
          <cell r="V633" t="str">
            <v>=</v>
          </cell>
          <cell r="W633">
            <v>0.06</v>
          </cell>
          <cell r="Y633" t="str">
            <v>기본</v>
          </cell>
          <cell r="Z633" t="str">
            <v>x</v>
          </cell>
          <cell r="AA633" t="str">
            <v>공구손료</v>
          </cell>
          <cell r="AM633">
            <v>40922</v>
          </cell>
          <cell r="AN633">
            <v>0</v>
          </cell>
        </row>
        <row r="634">
          <cell r="AM634">
            <v>0</v>
          </cell>
          <cell r="AN634">
            <v>0</v>
          </cell>
        </row>
        <row r="635">
          <cell r="AM635">
            <v>0</v>
          </cell>
          <cell r="AN635">
            <v>0</v>
          </cell>
        </row>
        <row r="636">
          <cell r="AM636">
            <v>0</v>
          </cell>
          <cell r="AN636">
            <v>0</v>
          </cell>
        </row>
        <row r="637">
          <cell r="AM637">
            <v>0</v>
          </cell>
          <cell r="AN637">
            <v>0</v>
          </cell>
        </row>
        <row r="638">
          <cell r="AM638">
            <v>0</v>
          </cell>
          <cell r="AN638">
            <v>0</v>
          </cell>
        </row>
        <row r="639">
          <cell r="AM639">
            <v>0</v>
          </cell>
          <cell r="AN639">
            <v>0</v>
          </cell>
        </row>
        <row r="640">
          <cell r="AM640">
            <v>0</v>
          </cell>
        </row>
        <row r="641">
          <cell r="AM641">
            <v>0</v>
          </cell>
        </row>
        <row r="642">
          <cell r="AM642">
            <v>0</v>
          </cell>
        </row>
        <row r="643">
          <cell r="AM643">
            <v>0</v>
          </cell>
        </row>
        <row r="644">
          <cell r="AM644">
            <v>0</v>
          </cell>
        </row>
        <row r="645">
          <cell r="AM645">
            <v>0</v>
          </cell>
        </row>
        <row r="646">
          <cell r="AM646">
            <v>0</v>
          </cell>
        </row>
        <row r="647">
          <cell r="AM647">
            <v>0</v>
          </cell>
          <cell r="AN647">
            <v>0</v>
          </cell>
        </row>
        <row r="648">
          <cell r="AM648">
            <v>0</v>
          </cell>
          <cell r="AN648">
            <v>0</v>
          </cell>
        </row>
        <row r="649">
          <cell r="AM649">
            <v>0</v>
          </cell>
          <cell r="AN649">
            <v>0</v>
          </cell>
        </row>
        <row r="650">
          <cell r="AM650">
            <v>0</v>
          </cell>
          <cell r="AN650">
            <v>0</v>
          </cell>
        </row>
        <row r="651">
          <cell r="A651">
            <v>22</v>
          </cell>
          <cell r="C651">
            <v>22</v>
          </cell>
          <cell r="D651" t="str">
            <v>광케이블포설(지상)</v>
          </cell>
          <cell r="E651" t="str">
            <v>OF-SM-12Core(3m이상)</v>
          </cell>
          <cell r="F651" t="str">
            <v>100m</v>
          </cell>
          <cell r="AM651">
            <v>0</v>
          </cell>
          <cell r="AN651">
            <v>0</v>
          </cell>
        </row>
        <row r="652">
          <cell r="A652" t="str">
            <v>22-1</v>
          </cell>
          <cell r="B652">
            <v>542</v>
          </cell>
          <cell r="D652" t="str">
            <v>나. 노무비</v>
          </cell>
          <cell r="E652">
            <v>0</v>
          </cell>
          <cell r="F652">
            <v>0</v>
          </cell>
          <cell r="AM652">
            <v>0</v>
          </cell>
          <cell r="AN652">
            <v>0</v>
          </cell>
        </row>
        <row r="653">
          <cell r="B653">
            <v>553</v>
          </cell>
          <cell r="D653" t="str">
            <v>광케이블설치사</v>
          </cell>
          <cell r="E653">
            <v>0</v>
          </cell>
          <cell r="F653" t="str">
            <v>인</v>
          </cell>
          <cell r="H653">
            <v>0.83</v>
          </cell>
          <cell r="I653" t="str">
            <v>x</v>
          </cell>
          <cell r="J653">
            <v>1</v>
          </cell>
          <cell r="V653" t="str">
            <v>=</v>
          </cell>
          <cell r="W653">
            <v>0.83</v>
          </cell>
          <cell r="Y653" t="str">
            <v>기본</v>
          </cell>
          <cell r="Z653" t="str">
            <v>x</v>
          </cell>
          <cell r="AA653" t="str">
            <v>단위량</v>
          </cell>
          <cell r="AL653" t="str">
            <v>통 3-49</v>
          </cell>
          <cell r="AM653">
            <v>104231</v>
          </cell>
          <cell r="AN653">
            <v>0</v>
          </cell>
        </row>
        <row r="654">
          <cell r="B654">
            <v>523</v>
          </cell>
          <cell r="D654" t="str">
            <v>보통인부</v>
          </cell>
          <cell r="E654">
            <v>0</v>
          </cell>
          <cell r="F654" t="str">
            <v>인</v>
          </cell>
          <cell r="H654">
            <v>2.1</v>
          </cell>
          <cell r="I654" t="str">
            <v>x</v>
          </cell>
          <cell r="J654">
            <v>1</v>
          </cell>
          <cell r="V654" t="str">
            <v>=</v>
          </cell>
          <cell r="W654">
            <v>2.1</v>
          </cell>
          <cell r="Y654" t="str">
            <v>기본</v>
          </cell>
          <cell r="Z654" t="str">
            <v>x</v>
          </cell>
          <cell r="AA654" t="str">
            <v>단위량</v>
          </cell>
          <cell r="AM654">
            <v>40922</v>
          </cell>
          <cell r="AN654">
            <v>0</v>
          </cell>
        </row>
        <row r="655">
          <cell r="B655">
            <v>544</v>
          </cell>
          <cell r="D655" t="str">
            <v>소    계</v>
          </cell>
          <cell r="E655">
            <v>0</v>
          </cell>
          <cell r="F655">
            <v>0</v>
          </cell>
          <cell r="AM655">
            <v>0</v>
          </cell>
          <cell r="AN655">
            <v>0</v>
          </cell>
        </row>
        <row r="656">
          <cell r="A656" t="str">
            <v>22-2</v>
          </cell>
          <cell r="B656">
            <v>553</v>
          </cell>
          <cell r="D656" t="str">
            <v>광케이블설치사</v>
          </cell>
          <cell r="E656">
            <v>0</v>
          </cell>
          <cell r="F656" t="str">
            <v>인</v>
          </cell>
          <cell r="V656" t="str">
            <v>=</v>
          </cell>
          <cell r="W656">
            <v>0.83</v>
          </cell>
          <cell r="AM656">
            <v>104231</v>
          </cell>
          <cell r="AN656">
            <v>0</v>
          </cell>
        </row>
        <row r="657">
          <cell r="A657" t="str">
            <v>22-3</v>
          </cell>
          <cell r="B657">
            <v>523</v>
          </cell>
          <cell r="D657" t="str">
            <v>보통인부</v>
          </cell>
          <cell r="E657">
            <v>0</v>
          </cell>
          <cell r="F657" t="str">
            <v>인</v>
          </cell>
          <cell r="V657" t="str">
            <v>=</v>
          </cell>
          <cell r="W657">
            <v>2.1</v>
          </cell>
          <cell r="AM657">
            <v>40922</v>
          </cell>
          <cell r="AN657">
            <v>0</v>
          </cell>
        </row>
        <row r="658">
          <cell r="A658" t="str">
            <v>22-4</v>
          </cell>
          <cell r="B658">
            <v>543</v>
          </cell>
          <cell r="D658" t="str">
            <v>다. 공구손료</v>
          </cell>
          <cell r="E658" t="str">
            <v>노무비x3%</v>
          </cell>
          <cell r="F658">
            <v>0</v>
          </cell>
          <cell r="AM658">
            <v>0</v>
          </cell>
          <cell r="AN658">
            <v>0</v>
          </cell>
        </row>
        <row r="659">
          <cell r="A659" t="str">
            <v>22-5</v>
          </cell>
          <cell r="B659">
            <v>553</v>
          </cell>
          <cell r="D659" t="str">
            <v>광케이블설치사</v>
          </cell>
          <cell r="E659">
            <v>0</v>
          </cell>
          <cell r="F659" t="str">
            <v>인</v>
          </cell>
          <cell r="H659">
            <v>0.83</v>
          </cell>
          <cell r="I659" t="str">
            <v>x</v>
          </cell>
          <cell r="J659">
            <v>0.03</v>
          </cell>
          <cell r="V659" t="str">
            <v>=</v>
          </cell>
          <cell r="W659">
            <v>0.02</v>
          </cell>
          <cell r="Y659" t="str">
            <v>기본</v>
          </cell>
          <cell r="Z659" t="str">
            <v>x</v>
          </cell>
          <cell r="AA659" t="str">
            <v>공구손료</v>
          </cell>
          <cell r="AM659">
            <v>104231</v>
          </cell>
          <cell r="AN659">
            <v>0</v>
          </cell>
        </row>
        <row r="660">
          <cell r="A660" t="str">
            <v>22-6</v>
          </cell>
          <cell r="B660">
            <v>523</v>
          </cell>
          <cell r="D660" t="str">
            <v>보통인부</v>
          </cell>
          <cell r="E660">
            <v>0</v>
          </cell>
          <cell r="F660" t="str">
            <v>인</v>
          </cell>
          <cell r="H660">
            <v>2.1</v>
          </cell>
          <cell r="I660" t="str">
            <v>x</v>
          </cell>
          <cell r="J660">
            <v>0.03</v>
          </cell>
          <cell r="V660" t="str">
            <v>=</v>
          </cell>
          <cell r="W660">
            <v>0.06</v>
          </cell>
          <cell r="Y660" t="str">
            <v>기본</v>
          </cell>
          <cell r="Z660" t="str">
            <v>x</v>
          </cell>
          <cell r="AA660" t="str">
            <v>공구손료</v>
          </cell>
          <cell r="AM660">
            <v>40922</v>
          </cell>
          <cell r="AN660">
            <v>0</v>
          </cell>
        </row>
        <row r="661">
          <cell r="AM661">
            <v>0</v>
          </cell>
          <cell r="AN661">
            <v>0</v>
          </cell>
        </row>
        <row r="662">
          <cell r="AM662">
            <v>0</v>
          </cell>
          <cell r="AN662">
            <v>0</v>
          </cell>
        </row>
        <row r="663">
          <cell r="AM663">
            <v>0</v>
          </cell>
          <cell r="AN663">
            <v>0</v>
          </cell>
        </row>
        <row r="664">
          <cell r="AM664">
            <v>0</v>
          </cell>
          <cell r="AN664">
            <v>0</v>
          </cell>
        </row>
        <row r="665">
          <cell r="AM665">
            <v>0</v>
          </cell>
          <cell r="AN665">
            <v>0</v>
          </cell>
        </row>
        <row r="666">
          <cell r="AM666">
            <v>0</v>
          </cell>
          <cell r="AN666">
            <v>0</v>
          </cell>
        </row>
        <row r="667">
          <cell r="AM667">
            <v>0</v>
          </cell>
        </row>
        <row r="668">
          <cell r="AM668">
            <v>0</v>
          </cell>
        </row>
        <row r="669">
          <cell r="AM669">
            <v>0</v>
          </cell>
        </row>
        <row r="670">
          <cell r="AM670">
            <v>0</v>
          </cell>
        </row>
        <row r="671">
          <cell r="AM671">
            <v>0</v>
          </cell>
        </row>
        <row r="672">
          <cell r="AM672">
            <v>0</v>
          </cell>
        </row>
        <row r="673">
          <cell r="AM673">
            <v>0</v>
          </cell>
        </row>
        <row r="674">
          <cell r="AM674">
            <v>0</v>
          </cell>
          <cell r="AN674">
            <v>0</v>
          </cell>
        </row>
        <row r="675">
          <cell r="AM675">
            <v>0</v>
          </cell>
          <cell r="AN675">
            <v>0</v>
          </cell>
        </row>
        <row r="676">
          <cell r="AM676">
            <v>0</v>
          </cell>
          <cell r="AN676">
            <v>0</v>
          </cell>
        </row>
        <row r="677">
          <cell r="AM677">
            <v>0</v>
          </cell>
          <cell r="AN677">
            <v>0</v>
          </cell>
        </row>
        <row r="678">
          <cell r="A678">
            <v>23</v>
          </cell>
          <cell r="C678">
            <v>23</v>
          </cell>
          <cell r="D678" t="str">
            <v>광케이블포설(지하)</v>
          </cell>
          <cell r="E678" t="str">
            <v>OF-SM-24Core(3m이상)</v>
          </cell>
          <cell r="F678" t="str">
            <v>100m</v>
          </cell>
          <cell r="AM678">
            <v>0</v>
          </cell>
          <cell r="AN678">
            <v>0</v>
          </cell>
        </row>
        <row r="679">
          <cell r="A679" t="str">
            <v>23-1</v>
          </cell>
          <cell r="B679">
            <v>542</v>
          </cell>
          <cell r="D679" t="str">
            <v>나. 노무비</v>
          </cell>
          <cell r="E679">
            <v>0</v>
          </cell>
          <cell r="F679">
            <v>0</v>
          </cell>
          <cell r="AM679">
            <v>0</v>
          </cell>
          <cell r="AN679">
            <v>0</v>
          </cell>
        </row>
        <row r="680">
          <cell r="B680">
            <v>553</v>
          </cell>
          <cell r="D680" t="str">
            <v>광케이블설치사</v>
          </cell>
          <cell r="E680">
            <v>0</v>
          </cell>
          <cell r="F680" t="str">
            <v>인</v>
          </cell>
          <cell r="H680">
            <v>0.83</v>
          </cell>
          <cell r="I680" t="str">
            <v>x</v>
          </cell>
          <cell r="J680">
            <v>1</v>
          </cell>
          <cell r="K680" t="str">
            <v>x</v>
          </cell>
          <cell r="L680" t="str">
            <v>(</v>
          </cell>
          <cell r="M680">
            <v>1</v>
          </cell>
          <cell r="N680" t="str">
            <v>+</v>
          </cell>
          <cell r="O680">
            <v>0.02</v>
          </cell>
          <cell r="P680" t="str">
            <v>)</v>
          </cell>
          <cell r="V680" t="str">
            <v>=</v>
          </cell>
          <cell r="W680">
            <v>0.85</v>
          </cell>
          <cell r="Y680" t="str">
            <v>기본</v>
          </cell>
          <cell r="Z680" t="str">
            <v>x</v>
          </cell>
          <cell r="AA680" t="str">
            <v>단위량</v>
          </cell>
          <cell r="AB680" t="str">
            <v>x</v>
          </cell>
          <cell r="AC680" t="str">
            <v>(</v>
          </cell>
          <cell r="AD680">
            <v>1</v>
          </cell>
          <cell r="AE680" t="str">
            <v>+</v>
          </cell>
          <cell r="AF680" t="str">
            <v>지하</v>
          </cell>
          <cell r="AG680" t="str">
            <v>)</v>
          </cell>
          <cell r="AL680" t="str">
            <v>통 3-49(지하)</v>
          </cell>
          <cell r="AM680">
            <v>104231</v>
          </cell>
          <cell r="AN680">
            <v>0</v>
          </cell>
        </row>
        <row r="681">
          <cell r="B681">
            <v>523</v>
          </cell>
          <cell r="D681" t="str">
            <v>보통인부</v>
          </cell>
          <cell r="E681">
            <v>0</v>
          </cell>
          <cell r="F681" t="str">
            <v>인</v>
          </cell>
          <cell r="H681">
            <v>2.1</v>
          </cell>
          <cell r="I681" t="str">
            <v>x</v>
          </cell>
          <cell r="J681">
            <v>1</v>
          </cell>
          <cell r="K681" t="str">
            <v>x</v>
          </cell>
          <cell r="L681" t="str">
            <v>(</v>
          </cell>
          <cell r="M681">
            <v>1</v>
          </cell>
          <cell r="N681" t="str">
            <v>+</v>
          </cell>
          <cell r="O681">
            <v>0.02</v>
          </cell>
          <cell r="P681" t="str">
            <v>)</v>
          </cell>
          <cell r="V681" t="str">
            <v>=</v>
          </cell>
          <cell r="W681">
            <v>2.14</v>
          </cell>
          <cell r="Y681" t="str">
            <v>기본</v>
          </cell>
          <cell r="Z681" t="str">
            <v>x</v>
          </cell>
          <cell r="AA681" t="str">
            <v>단위량</v>
          </cell>
          <cell r="AB681" t="str">
            <v>x</v>
          </cell>
          <cell r="AC681" t="str">
            <v>(</v>
          </cell>
          <cell r="AD681">
            <v>1</v>
          </cell>
          <cell r="AE681" t="str">
            <v>+</v>
          </cell>
          <cell r="AF681" t="str">
            <v>지하</v>
          </cell>
          <cell r="AG681" t="str">
            <v>)</v>
          </cell>
          <cell r="AM681">
            <v>40922</v>
          </cell>
          <cell r="AN681">
            <v>0</v>
          </cell>
        </row>
        <row r="682">
          <cell r="B682">
            <v>544</v>
          </cell>
          <cell r="D682" t="str">
            <v>소    계</v>
          </cell>
          <cell r="E682">
            <v>0</v>
          </cell>
          <cell r="F682">
            <v>0</v>
          </cell>
          <cell r="AM682">
            <v>0</v>
          </cell>
          <cell r="AN682">
            <v>0</v>
          </cell>
        </row>
        <row r="683">
          <cell r="A683" t="str">
            <v>23-2</v>
          </cell>
          <cell r="B683">
            <v>553</v>
          </cell>
          <cell r="D683" t="str">
            <v>광케이블설치사</v>
          </cell>
          <cell r="E683">
            <v>0</v>
          </cell>
          <cell r="F683" t="str">
            <v>인</v>
          </cell>
          <cell r="V683" t="str">
            <v>=</v>
          </cell>
          <cell r="W683">
            <v>0.85</v>
          </cell>
          <cell r="AM683">
            <v>104231</v>
          </cell>
          <cell r="AN683">
            <v>0</v>
          </cell>
        </row>
        <row r="684">
          <cell r="A684" t="str">
            <v>23-3</v>
          </cell>
          <cell r="B684">
            <v>523</v>
          </cell>
          <cell r="D684" t="str">
            <v>보통인부</v>
          </cell>
          <cell r="E684">
            <v>0</v>
          </cell>
          <cell r="F684" t="str">
            <v>인</v>
          </cell>
          <cell r="V684" t="str">
            <v>=</v>
          </cell>
          <cell r="W684">
            <v>2.14</v>
          </cell>
          <cell r="AM684">
            <v>40922</v>
          </cell>
          <cell r="AN684">
            <v>0</v>
          </cell>
        </row>
        <row r="685">
          <cell r="A685" t="str">
            <v>23-4</v>
          </cell>
          <cell r="B685">
            <v>543</v>
          </cell>
          <cell r="D685" t="str">
            <v>다. 공구손료</v>
          </cell>
          <cell r="E685" t="str">
            <v>노무비x3%</v>
          </cell>
          <cell r="F685">
            <v>0</v>
          </cell>
          <cell r="AM685">
            <v>0</v>
          </cell>
          <cell r="AN685">
            <v>0</v>
          </cell>
        </row>
        <row r="686">
          <cell r="A686" t="str">
            <v>23-5</v>
          </cell>
          <cell r="B686">
            <v>553</v>
          </cell>
          <cell r="D686" t="str">
            <v>광케이블설치사</v>
          </cell>
          <cell r="E686">
            <v>0</v>
          </cell>
          <cell r="F686" t="str">
            <v>인</v>
          </cell>
          <cell r="H686">
            <v>0.83</v>
          </cell>
          <cell r="I686" t="str">
            <v>x</v>
          </cell>
          <cell r="J686">
            <v>0.03</v>
          </cell>
          <cell r="V686" t="str">
            <v>=</v>
          </cell>
          <cell r="W686">
            <v>0.02</v>
          </cell>
          <cell r="Y686" t="str">
            <v>기본</v>
          </cell>
          <cell r="Z686" t="str">
            <v>x</v>
          </cell>
          <cell r="AA686" t="str">
            <v>공구손료</v>
          </cell>
          <cell r="AM686">
            <v>104231</v>
          </cell>
          <cell r="AN686">
            <v>0</v>
          </cell>
        </row>
        <row r="687">
          <cell r="A687" t="str">
            <v>23-6</v>
          </cell>
          <cell r="B687">
            <v>523</v>
          </cell>
          <cell r="D687" t="str">
            <v>보통인부</v>
          </cell>
          <cell r="E687">
            <v>0</v>
          </cell>
          <cell r="F687" t="str">
            <v>인</v>
          </cell>
          <cell r="H687">
            <v>2.1</v>
          </cell>
          <cell r="I687" t="str">
            <v>x</v>
          </cell>
          <cell r="J687">
            <v>0.03</v>
          </cell>
          <cell r="V687" t="str">
            <v>=</v>
          </cell>
          <cell r="W687">
            <v>0.06</v>
          </cell>
          <cell r="Y687" t="str">
            <v>기본</v>
          </cell>
          <cell r="Z687" t="str">
            <v>x</v>
          </cell>
          <cell r="AA687" t="str">
            <v>공구손료</v>
          </cell>
          <cell r="AM687">
            <v>40922</v>
          </cell>
          <cell r="AN687">
            <v>0</v>
          </cell>
        </row>
        <row r="688">
          <cell r="AM688">
            <v>0</v>
          </cell>
          <cell r="AN688">
            <v>0</v>
          </cell>
        </row>
        <row r="689">
          <cell r="AM689">
            <v>0</v>
          </cell>
          <cell r="AN689">
            <v>0</v>
          </cell>
        </row>
        <row r="690">
          <cell r="AM690">
            <v>0</v>
          </cell>
          <cell r="AN690">
            <v>0</v>
          </cell>
        </row>
        <row r="691">
          <cell r="AM691">
            <v>0</v>
          </cell>
          <cell r="AN691">
            <v>0</v>
          </cell>
        </row>
        <row r="692">
          <cell r="AM692">
            <v>0</v>
          </cell>
        </row>
        <row r="693">
          <cell r="AM693">
            <v>0</v>
          </cell>
        </row>
        <row r="694">
          <cell r="AM694">
            <v>0</v>
          </cell>
          <cell r="AN694">
            <v>0</v>
          </cell>
        </row>
        <row r="695">
          <cell r="AM695">
            <v>0</v>
          </cell>
        </row>
        <row r="696">
          <cell r="AM696">
            <v>0</v>
          </cell>
        </row>
        <row r="697">
          <cell r="AM697">
            <v>0</v>
          </cell>
        </row>
        <row r="698">
          <cell r="AM698">
            <v>0</v>
          </cell>
        </row>
        <row r="699">
          <cell r="AM699">
            <v>0</v>
          </cell>
        </row>
        <row r="700">
          <cell r="AM700">
            <v>0</v>
          </cell>
        </row>
        <row r="701">
          <cell r="AM701">
            <v>0</v>
          </cell>
          <cell r="AN701">
            <v>0</v>
          </cell>
        </row>
        <row r="702">
          <cell r="AM702">
            <v>0</v>
          </cell>
          <cell r="AN702">
            <v>0</v>
          </cell>
        </row>
        <row r="703">
          <cell r="AM703">
            <v>0</v>
          </cell>
          <cell r="AN703">
            <v>0</v>
          </cell>
        </row>
        <row r="704">
          <cell r="AM704">
            <v>0</v>
          </cell>
          <cell r="AN704">
            <v>0</v>
          </cell>
        </row>
        <row r="705">
          <cell r="A705">
            <v>24</v>
          </cell>
          <cell r="C705">
            <v>24</v>
          </cell>
          <cell r="D705" t="str">
            <v>광케이블포설(지상)</v>
          </cell>
          <cell r="E705" t="str">
            <v>OF-SM-24Core(3m이상)</v>
          </cell>
          <cell r="F705" t="str">
            <v>100m</v>
          </cell>
          <cell r="AM705">
            <v>0</v>
          </cell>
          <cell r="AN705">
            <v>0</v>
          </cell>
        </row>
        <row r="706">
          <cell r="A706" t="str">
            <v>24-1</v>
          </cell>
          <cell r="B706">
            <v>542</v>
          </cell>
          <cell r="D706" t="str">
            <v>나. 노무비</v>
          </cell>
          <cell r="E706">
            <v>0</v>
          </cell>
          <cell r="F706">
            <v>0</v>
          </cell>
          <cell r="AM706">
            <v>0</v>
          </cell>
          <cell r="AN706">
            <v>0</v>
          </cell>
        </row>
        <row r="707">
          <cell r="B707">
            <v>553</v>
          </cell>
          <cell r="D707" t="str">
            <v>광케이블설치사</v>
          </cell>
          <cell r="E707">
            <v>0</v>
          </cell>
          <cell r="F707" t="str">
            <v>인</v>
          </cell>
          <cell r="H707">
            <v>0.83</v>
          </cell>
          <cell r="I707" t="str">
            <v>x</v>
          </cell>
          <cell r="J707">
            <v>1</v>
          </cell>
          <cell r="V707" t="str">
            <v>=</v>
          </cell>
          <cell r="W707">
            <v>0.83</v>
          </cell>
          <cell r="Y707" t="str">
            <v>기본</v>
          </cell>
          <cell r="Z707" t="str">
            <v>x</v>
          </cell>
          <cell r="AA707" t="str">
            <v>단위량</v>
          </cell>
          <cell r="AL707" t="str">
            <v>통 3-49</v>
          </cell>
          <cell r="AM707">
            <v>104231</v>
          </cell>
          <cell r="AN707">
            <v>0</v>
          </cell>
        </row>
        <row r="708">
          <cell r="B708">
            <v>523</v>
          </cell>
          <cell r="D708" t="str">
            <v>보통인부</v>
          </cell>
          <cell r="E708">
            <v>0</v>
          </cell>
          <cell r="F708" t="str">
            <v>인</v>
          </cell>
          <cell r="H708">
            <v>2.1</v>
          </cell>
          <cell r="I708" t="str">
            <v>x</v>
          </cell>
          <cell r="J708">
            <v>1</v>
          </cell>
          <cell r="V708" t="str">
            <v>=</v>
          </cell>
          <cell r="W708">
            <v>2.1</v>
          </cell>
          <cell r="Y708" t="str">
            <v>기본</v>
          </cell>
          <cell r="Z708" t="str">
            <v>x</v>
          </cell>
          <cell r="AA708" t="str">
            <v>단위량</v>
          </cell>
          <cell r="AM708">
            <v>40922</v>
          </cell>
          <cell r="AN708">
            <v>0</v>
          </cell>
        </row>
        <row r="709">
          <cell r="B709">
            <v>544</v>
          </cell>
          <cell r="D709" t="str">
            <v>소    계</v>
          </cell>
          <cell r="E709">
            <v>0</v>
          </cell>
          <cell r="F709">
            <v>0</v>
          </cell>
          <cell r="AM709">
            <v>0</v>
          </cell>
          <cell r="AN709">
            <v>0</v>
          </cell>
        </row>
        <row r="710">
          <cell r="A710" t="str">
            <v>24-2</v>
          </cell>
          <cell r="B710">
            <v>553</v>
          </cell>
          <cell r="D710" t="str">
            <v>광케이블설치사</v>
          </cell>
          <cell r="E710">
            <v>0</v>
          </cell>
          <cell r="F710" t="str">
            <v>인</v>
          </cell>
          <cell r="V710" t="str">
            <v>=</v>
          </cell>
          <cell r="W710">
            <v>0.83</v>
          </cell>
          <cell r="AM710">
            <v>104231</v>
          </cell>
          <cell r="AN710">
            <v>0</v>
          </cell>
        </row>
        <row r="711">
          <cell r="A711" t="str">
            <v>24-3</v>
          </cell>
          <cell r="B711">
            <v>523</v>
          </cell>
          <cell r="D711" t="str">
            <v>보통인부</v>
          </cell>
          <cell r="E711">
            <v>0</v>
          </cell>
          <cell r="F711" t="str">
            <v>인</v>
          </cell>
          <cell r="V711" t="str">
            <v>=</v>
          </cell>
          <cell r="W711">
            <v>2.1</v>
          </cell>
          <cell r="AM711">
            <v>40922</v>
          </cell>
          <cell r="AN711">
            <v>0</v>
          </cell>
        </row>
        <row r="712">
          <cell r="A712" t="str">
            <v>24-4</v>
          </cell>
          <cell r="B712">
            <v>543</v>
          </cell>
          <cell r="D712" t="str">
            <v>다. 공구손료</v>
          </cell>
          <cell r="E712" t="str">
            <v>노무비x3%</v>
          </cell>
          <cell r="F712">
            <v>0</v>
          </cell>
          <cell r="AM712">
            <v>0</v>
          </cell>
          <cell r="AN712">
            <v>0</v>
          </cell>
        </row>
        <row r="713">
          <cell r="A713" t="str">
            <v>24-5</v>
          </cell>
          <cell r="B713">
            <v>553</v>
          </cell>
          <cell r="D713" t="str">
            <v>광케이블설치사</v>
          </cell>
          <cell r="E713">
            <v>0</v>
          </cell>
          <cell r="F713" t="str">
            <v>인</v>
          </cell>
          <cell r="H713">
            <v>0.83</v>
          </cell>
          <cell r="I713" t="str">
            <v>x</v>
          </cell>
          <cell r="J713">
            <v>0.03</v>
          </cell>
          <cell r="V713" t="str">
            <v>=</v>
          </cell>
          <cell r="W713">
            <v>0.02</v>
          </cell>
          <cell r="Y713" t="str">
            <v>기본</v>
          </cell>
          <cell r="Z713" t="str">
            <v>x</v>
          </cell>
          <cell r="AA713" t="str">
            <v>공구손료</v>
          </cell>
          <cell r="AM713">
            <v>104231</v>
          </cell>
          <cell r="AN713">
            <v>0</v>
          </cell>
        </row>
        <row r="714">
          <cell r="A714" t="str">
            <v>24-6</v>
          </cell>
          <cell r="B714">
            <v>523</v>
          </cell>
          <cell r="D714" t="str">
            <v>보통인부</v>
          </cell>
          <cell r="E714">
            <v>0</v>
          </cell>
          <cell r="F714" t="str">
            <v>인</v>
          </cell>
          <cell r="H714">
            <v>2.1</v>
          </cell>
          <cell r="I714" t="str">
            <v>x</v>
          </cell>
          <cell r="J714">
            <v>0.03</v>
          </cell>
          <cell r="V714" t="str">
            <v>=</v>
          </cell>
          <cell r="W714">
            <v>0.06</v>
          </cell>
          <cell r="Y714" t="str">
            <v>기본</v>
          </cell>
          <cell r="Z714" t="str">
            <v>x</v>
          </cell>
          <cell r="AA714" t="str">
            <v>공구손료</v>
          </cell>
          <cell r="AM714">
            <v>40922</v>
          </cell>
          <cell r="AN714">
            <v>0</v>
          </cell>
        </row>
        <row r="715">
          <cell r="AM715">
            <v>0</v>
          </cell>
          <cell r="AN715">
            <v>0</v>
          </cell>
        </row>
        <row r="716">
          <cell r="AM716">
            <v>0</v>
          </cell>
          <cell r="AN716">
            <v>0</v>
          </cell>
        </row>
        <row r="717">
          <cell r="AM717">
            <v>0</v>
          </cell>
          <cell r="AN717">
            <v>0</v>
          </cell>
        </row>
        <row r="718">
          <cell r="AM718">
            <v>0</v>
          </cell>
          <cell r="AN718">
            <v>0</v>
          </cell>
        </row>
        <row r="719">
          <cell r="AM719">
            <v>0</v>
          </cell>
        </row>
        <row r="720">
          <cell r="AM720">
            <v>0</v>
          </cell>
        </row>
        <row r="721">
          <cell r="AM721">
            <v>0</v>
          </cell>
          <cell r="AN721">
            <v>0</v>
          </cell>
        </row>
        <row r="722">
          <cell r="AM722">
            <v>0</v>
          </cell>
          <cell r="AN722">
            <v>0</v>
          </cell>
        </row>
        <row r="723">
          <cell r="AM723">
            <v>0</v>
          </cell>
        </row>
        <row r="724">
          <cell r="AM724">
            <v>0</v>
          </cell>
        </row>
        <row r="725">
          <cell r="AM725">
            <v>0</v>
          </cell>
        </row>
        <row r="726">
          <cell r="AM726">
            <v>0</v>
          </cell>
        </row>
        <row r="727">
          <cell r="AM727">
            <v>0</v>
          </cell>
        </row>
        <row r="728">
          <cell r="AM728">
            <v>0</v>
          </cell>
        </row>
        <row r="729">
          <cell r="AM729">
            <v>0</v>
          </cell>
          <cell r="AN729">
            <v>0</v>
          </cell>
        </row>
        <row r="730">
          <cell r="AM730">
            <v>0</v>
          </cell>
          <cell r="AN730">
            <v>0</v>
          </cell>
        </row>
        <row r="731">
          <cell r="AM731">
            <v>0</v>
          </cell>
          <cell r="AN731">
            <v>0</v>
          </cell>
        </row>
        <row r="732">
          <cell r="A732">
            <v>25</v>
          </cell>
          <cell r="C732">
            <v>25</v>
          </cell>
          <cell r="D732" t="str">
            <v>광케이블포설(지하)</v>
          </cell>
          <cell r="E732" t="str">
            <v>OF-SM-36Core(3m이상)</v>
          </cell>
          <cell r="F732" t="str">
            <v>100m</v>
          </cell>
          <cell r="AM732">
            <v>0</v>
          </cell>
          <cell r="AN732">
            <v>0</v>
          </cell>
        </row>
        <row r="733">
          <cell r="A733" t="str">
            <v>25-1</v>
          </cell>
          <cell r="B733">
            <v>542</v>
          </cell>
          <cell r="D733" t="str">
            <v>나. 노무비</v>
          </cell>
          <cell r="E733">
            <v>0</v>
          </cell>
          <cell r="F733">
            <v>0</v>
          </cell>
          <cell r="AM733">
            <v>0</v>
          </cell>
          <cell r="AN733">
            <v>0</v>
          </cell>
        </row>
        <row r="734">
          <cell r="B734">
            <v>553</v>
          </cell>
          <cell r="D734" t="str">
            <v>광케이블설치사</v>
          </cell>
          <cell r="E734">
            <v>0</v>
          </cell>
          <cell r="F734" t="str">
            <v>인</v>
          </cell>
          <cell r="H734">
            <v>0.83</v>
          </cell>
          <cell r="I734" t="str">
            <v>x</v>
          </cell>
          <cell r="J734">
            <v>1</v>
          </cell>
          <cell r="K734" t="str">
            <v>x</v>
          </cell>
          <cell r="L734" t="str">
            <v>(</v>
          </cell>
          <cell r="M734">
            <v>1</v>
          </cell>
          <cell r="N734" t="str">
            <v>+</v>
          </cell>
          <cell r="O734">
            <v>0.02</v>
          </cell>
          <cell r="P734" t="str">
            <v>)</v>
          </cell>
          <cell r="V734" t="str">
            <v>=</v>
          </cell>
          <cell r="W734">
            <v>0.85</v>
          </cell>
          <cell r="Y734" t="str">
            <v>기본</v>
          </cell>
          <cell r="Z734" t="str">
            <v>x</v>
          </cell>
          <cell r="AA734" t="str">
            <v>단위량</v>
          </cell>
          <cell r="AB734" t="str">
            <v>x</v>
          </cell>
          <cell r="AC734" t="str">
            <v>(</v>
          </cell>
          <cell r="AD734">
            <v>1</v>
          </cell>
          <cell r="AE734" t="str">
            <v>+</v>
          </cell>
          <cell r="AF734" t="str">
            <v>지하</v>
          </cell>
          <cell r="AG734" t="str">
            <v>)</v>
          </cell>
          <cell r="AL734" t="str">
            <v>통 3-49(지하)</v>
          </cell>
          <cell r="AM734">
            <v>104231</v>
          </cell>
          <cell r="AN734">
            <v>0</v>
          </cell>
        </row>
        <row r="735">
          <cell r="B735">
            <v>523</v>
          </cell>
          <cell r="D735" t="str">
            <v>보통인부</v>
          </cell>
          <cell r="E735">
            <v>0</v>
          </cell>
          <cell r="F735" t="str">
            <v>인</v>
          </cell>
          <cell r="H735">
            <v>2.1</v>
          </cell>
          <cell r="I735" t="str">
            <v>x</v>
          </cell>
          <cell r="J735">
            <v>1</v>
          </cell>
          <cell r="K735" t="str">
            <v>x</v>
          </cell>
          <cell r="L735" t="str">
            <v>(</v>
          </cell>
          <cell r="M735">
            <v>1</v>
          </cell>
          <cell r="N735" t="str">
            <v>+</v>
          </cell>
          <cell r="O735">
            <v>0.02</v>
          </cell>
          <cell r="P735" t="str">
            <v>)</v>
          </cell>
          <cell r="V735" t="str">
            <v>=</v>
          </cell>
          <cell r="W735">
            <v>2.14</v>
          </cell>
          <cell r="Y735" t="str">
            <v>기본</v>
          </cell>
          <cell r="Z735" t="str">
            <v>x</v>
          </cell>
          <cell r="AA735" t="str">
            <v>단위량</v>
          </cell>
          <cell r="AB735" t="str">
            <v>x</v>
          </cell>
          <cell r="AC735" t="str">
            <v>(</v>
          </cell>
          <cell r="AD735">
            <v>1</v>
          </cell>
          <cell r="AE735" t="str">
            <v>+</v>
          </cell>
          <cell r="AF735" t="str">
            <v>지하</v>
          </cell>
          <cell r="AG735" t="str">
            <v>)</v>
          </cell>
          <cell r="AM735">
            <v>40922</v>
          </cell>
          <cell r="AN735">
            <v>0</v>
          </cell>
        </row>
        <row r="736">
          <cell r="B736">
            <v>544</v>
          </cell>
          <cell r="D736" t="str">
            <v>소    계</v>
          </cell>
          <cell r="E736">
            <v>0</v>
          </cell>
          <cell r="F736">
            <v>0</v>
          </cell>
          <cell r="AM736">
            <v>0</v>
          </cell>
          <cell r="AN736">
            <v>0</v>
          </cell>
        </row>
        <row r="737">
          <cell r="A737" t="str">
            <v>25-2</v>
          </cell>
          <cell r="B737">
            <v>553</v>
          </cell>
          <cell r="D737" t="str">
            <v>광케이블설치사</v>
          </cell>
          <cell r="E737">
            <v>0</v>
          </cell>
          <cell r="F737" t="str">
            <v>인</v>
          </cell>
          <cell r="V737" t="str">
            <v>=</v>
          </cell>
          <cell r="W737">
            <v>0.85</v>
          </cell>
          <cell r="AM737">
            <v>104231</v>
          </cell>
          <cell r="AN737">
            <v>0</v>
          </cell>
        </row>
        <row r="738">
          <cell r="A738" t="str">
            <v>25-3</v>
          </cell>
          <cell r="B738">
            <v>523</v>
          </cell>
          <cell r="D738" t="str">
            <v>보통인부</v>
          </cell>
          <cell r="E738">
            <v>0</v>
          </cell>
          <cell r="F738" t="str">
            <v>인</v>
          </cell>
          <cell r="V738" t="str">
            <v>=</v>
          </cell>
          <cell r="W738">
            <v>2.14</v>
          </cell>
          <cell r="AM738">
            <v>40922</v>
          </cell>
          <cell r="AN738">
            <v>0</v>
          </cell>
        </row>
        <row r="739">
          <cell r="A739" t="str">
            <v>25-4</v>
          </cell>
          <cell r="B739">
            <v>543</v>
          </cell>
          <cell r="D739" t="str">
            <v>다. 공구손료</v>
          </cell>
          <cell r="E739" t="str">
            <v>노무비x3%</v>
          </cell>
          <cell r="F739">
            <v>0</v>
          </cell>
          <cell r="AM739">
            <v>0</v>
          </cell>
          <cell r="AN739">
            <v>0</v>
          </cell>
        </row>
        <row r="740">
          <cell r="A740" t="str">
            <v>25-5</v>
          </cell>
          <cell r="B740">
            <v>553</v>
          </cell>
          <cell r="D740" t="str">
            <v>광케이블설치사</v>
          </cell>
          <cell r="E740">
            <v>0</v>
          </cell>
          <cell r="F740" t="str">
            <v>인</v>
          </cell>
          <cell r="H740">
            <v>0.83</v>
          </cell>
          <cell r="I740" t="str">
            <v>x</v>
          </cell>
          <cell r="J740">
            <v>0.03</v>
          </cell>
          <cell r="V740" t="str">
            <v>=</v>
          </cell>
          <cell r="W740">
            <v>0.02</v>
          </cell>
          <cell r="Y740" t="str">
            <v>기본</v>
          </cell>
          <cell r="Z740" t="str">
            <v>x</v>
          </cell>
          <cell r="AA740" t="str">
            <v>공구손료</v>
          </cell>
          <cell r="AM740">
            <v>104231</v>
          </cell>
          <cell r="AN740">
            <v>0</v>
          </cell>
        </row>
        <row r="741">
          <cell r="A741" t="str">
            <v>25-6</v>
          </cell>
          <cell r="B741">
            <v>523</v>
          </cell>
          <cell r="D741" t="str">
            <v>보통인부</v>
          </cell>
          <cell r="E741">
            <v>0</v>
          </cell>
          <cell r="F741" t="str">
            <v>인</v>
          </cell>
          <cell r="H741">
            <v>2.1</v>
          </cell>
          <cell r="I741" t="str">
            <v>x</v>
          </cell>
          <cell r="J741">
            <v>0.03</v>
          </cell>
          <cell r="V741" t="str">
            <v>=</v>
          </cell>
          <cell r="W741">
            <v>0.06</v>
          </cell>
          <cell r="Y741" t="str">
            <v>기본</v>
          </cell>
          <cell r="Z741" t="str">
            <v>x</v>
          </cell>
          <cell r="AA741" t="str">
            <v>공구손료</v>
          </cell>
          <cell r="AM741">
            <v>40922</v>
          </cell>
          <cell r="AN741">
            <v>0</v>
          </cell>
        </row>
        <row r="742">
          <cell r="AM742">
            <v>0</v>
          </cell>
          <cell r="AN742">
            <v>0</v>
          </cell>
        </row>
        <row r="743">
          <cell r="AM743">
            <v>0</v>
          </cell>
          <cell r="AN743">
            <v>0</v>
          </cell>
        </row>
        <row r="744">
          <cell r="AM744">
            <v>0</v>
          </cell>
          <cell r="AN744">
            <v>0</v>
          </cell>
        </row>
        <row r="745">
          <cell r="AM745">
            <v>0</v>
          </cell>
          <cell r="AN745">
            <v>0</v>
          </cell>
        </row>
        <row r="746">
          <cell r="AM746">
            <v>0</v>
          </cell>
          <cell r="AN746">
            <v>0</v>
          </cell>
        </row>
        <row r="747">
          <cell r="AM747">
            <v>0</v>
          </cell>
        </row>
        <row r="748">
          <cell r="AM748">
            <v>0</v>
          </cell>
        </row>
        <row r="749">
          <cell r="AM749">
            <v>0</v>
          </cell>
        </row>
        <row r="750">
          <cell r="AM750">
            <v>0</v>
          </cell>
        </row>
        <row r="751">
          <cell r="AM751">
            <v>0</v>
          </cell>
        </row>
        <row r="752">
          <cell r="AM752">
            <v>0</v>
          </cell>
        </row>
        <row r="753">
          <cell r="AM753">
            <v>0</v>
          </cell>
        </row>
        <row r="754">
          <cell r="AM754">
            <v>0</v>
          </cell>
        </row>
        <row r="755">
          <cell r="AM755">
            <v>0</v>
          </cell>
          <cell r="AN755">
            <v>0</v>
          </cell>
        </row>
        <row r="756">
          <cell r="AM756">
            <v>0</v>
          </cell>
          <cell r="AN756">
            <v>0</v>
          </cell>
        </row>
        <row r="757">
          <cell r="AM757">
            <v>0</v>
          </cell>
          <cell r="AN757">
            <v>0</v>
          </cell>
        </row>
        <row r="758">
          <cell r="AM758">
            <v>0</v>
          </cell>
          <cell r="AN758">
            <v>0</v>
          </cell>
        </row>
        <row r="759">
          <cell r="A759">
            <v>26</v>
          </cell>
          <cell r="C759">
            <v>26</v>
          </cell>
          <cell r="D759" t="str">
            <v>광케이블포설(지상)</v>
          </cell>
          <cell r="E759" t="str">
            <v>OF-SM-36Core(3m이상)</v>
          </cell>
          <cell r="F759" t="str">
            <v>100m</v>
          </cell>
          <cell r="AM759">
            <v>0</v>
          </cell>
          <cell r="AN759">
            <v>0</v>
          </cell>
        </row>
        <row r="760">
          <cell r="A760" t="str">
            <v>26-1</v>
          </cell>
          <cell r="B760">
            <v>542</v>
          </cell>
          <cell r="D760" t="str">
            <v>나. 노무비</v>
          </cell>
          <cell r="E760">
            <v>0</v>
          </cell>
          <cell r="F760">
            <v>0</v>
          </cell>
          <cell r="AM760">
            <v>0</v>
          </cell>
          <cell r="AN760">
            <v>0</v>
          </cell>
        </row>
        <row r="761">
          <cell r="B761">
            <v>553</v>
          </cell>
          <cell r="D761" t="str">
            <v>광케이블설치사</v>
          </cell>
          <cell r="E761">
            <v>0</v>
          </cell>
          <cell r="F761" t="str">
            <v>인</v>
          </cell>
          <cell r="H761">
            <v>0.83</v>
          </cell>
          <cell r="I761" t="str">
            <v>x</v>
          </cell>
          <cell r="J761">
            <v>1</v>
          </cell>
          <cell r="V761" t="str">
            <v>=</v>
          </cell>
          <cell r="W761">
            <v>0.83</v>
          </cell>
          <cell r="Y761" t="str">
            <v>기본</v>
          </cell>
          <cell r="Z761" t="str">
            <v>x</v>
          </cell>
          <cell r="AA761" t="str">
            <v>단위량</v>
          </cell>
          <cell r="AL761" t="str">
            <v>통 3-49</v>
          </cell>
          <cell r="AM761">
            <v>104231</v>
          </cell>
          <cell r="AN761">
            <v>0</v>
          </cell>
        </row>
        <row r="762">
          <cell r="B762">
            <v>523</v>
          </cell>
          <cell r="D762" t="str">
            <v>보통인부</v>
          </cell>
          <cell r="E762">
            <v>0</v>
          </cell>
          <cell r="F762" t="str">
            <v>인</v>
          </cell>
          <cell r="H762">
            <v>2.1</v>
          </cell>
          <cell r="I762" t="str">
            <v>x</v>
          </cell>
          <cell r="J762">
            <v>1</v>
          </cell>
          <cell r="V762" t="str">
            <v>=</v>
          </cell>
          <cell r="W762">
            <v>2.1</v>
          </cell>
          <cell r="Y762" t="str">
            <v>기본</v>
          </cell>
          <cell r="Z762" t="str">
            <v>x</v>
          </cell>
          <cell r="AA762" t="str">
            <v>단위량</v>
          </cell>
          <cell r="AM762">
            <v>40922</v>
          </cell>
          <cell r="AN762">
            <v>0</v>
          </cell>
        </row>
        <row r="763">
          <cell r="B763">
            <v>544</v>
          </cell>
          <cell r="D763" t="str">
            <v>소    계</v>
          </cell>
          <cell r="E763">
            <v>0</v>
          </cell>
          <cell r="F763">
            <v>0</v>
          </cell>
          <cell r="AM763">
            <v>0</v>
          </cell>
          <cell r="AN763">
            <v>0</v>
          </cell>
        </row>
        <row r="764">
          <cell r="A764" t="str">
            <v>26-2</v>
          </cell>
          <cell r="B764">
            <v>553</v>
          </cell>
          <cell r="D764" t="str">
            <v>광케이블설치사</v>
          </cell>
          <cell r="E764">
            <v>0</v>
          </cell>
          <cell r="F764" t="str">
            <v>인</v>
          </cell>
          <cell r="V764" t="str">
            <v>=</v>
          </cell>
          <cell r="W764">
            <v>0.83</v>
          </cell>
          <cell r="AM764">
            <v>104231</v>
          </cell>
          <cell r="AN764">
            <v>0</v>
          </cell>
        </row>
        <row r="765">
          <cell r="A765" t="str">
            <v>26-3</v>
          </cell>
          <cell r="B765">
            <v>523</v>
          </cell>
          <cell r="D765" t="str">
            <v>보통인부</v>
          </cell>
          <cell r="E765">
            <v>0</v>
          </cell>
          <cell r="F765" t="str">
            <v>인</v>
          </cell>
          <cell r="V765" t="str">
            <v>=</v>
          </cell>
          <cell r="W765">
            <v>2.1</v>
          </cell>
          <cell r="AM765">
            <v>40922</v>
          </cell>
          <cell r="AN765">
            <v>0</v>
          </cell>
        </row>
        <row r="766">
          <cell r="A766" t="str">
            <v>26-4</v>
          </cell>
          <cell r="B766">
            <v>543</v>
          </cell>
          <cell r="D766" t="str">
            <v>다. 공구손료</v>
          </cell>
          <cell r="E766" t="str">
            <v>노무비x3%</v>
          </cell>
          <cell r="F766">
            <v>0</v>
          </cell>
          <cell r="AM766">
            <v>0</v>
          </cell>
          <cell r="AN766">
            <v>0</v>
          </cell>
        </row>
        <row r="767">
          <cell r="A767" t="str">
            <v>26-5</v>
          </cell>
          <cell r="B767">
            <v>553</v>
          </cell>
          <cell r="D767" t="str">
            <v>광케이블설치사</v>
          </cell>
          <cell r="E767">
            <v>0</v>
          </cell>
          <cell r="F767" t="str">
            <v>인</v>
          </cell>
          <cell r="H767">
            <v>0.83</v>
          </cell>
          <cell r="I767" t="str">
            <v>x</v>
          </cell>
          <cell r="J767">
            <v>0.03</v>
          </cell>
          <cell r="V767" t="str">
            <v>=</v>
          </cell>
          <cell r="W767">
            <v>0.02</v>
          </cell>
          <cell r="Y767" t="str">
            <v>기본</v>
          </cell>
          <cell r="Z767" t="str">
            <v>x</v>
          </cell>
          <cell r="AA767" t="str">
            <v>공구손료</v>
          </cell>
          <cell r="AM767">
            <v>104231</v>
          </cell>
          <cell r="AN767">
            <v>0</v>
          </cell>
        </row>
        <row r="768">
          <cell r="A768" t="str">
            <v>26-6</v>
          </cell>
          <cell r="B768">
            <v>523</v>
          </cell>
          <cell r="D768" t="str">
            <v>보통인부</v>
          </cell>
          <cell r="E768">
            <v>0</v>
          </cell>
          <cell r="F768" t="str">
            <v>인</v>
          </cell>
          <cell r="H768">
            <v>2.1</v>
          </cell>
          <cell r="I768" t="str">
            <v>x</v>
          </cell>
          <cell r="J768">
            <v>0.03</v>
          </cell>
          <cell r="V768" t="str">
            <v>=</v>
          </cell>
          <cell r="W768">
            <v>0.06</v>
          </cell>
          <cell r="Y768" t="str">
            <v>기본</v>
          </cell>
          <cell r="Z768" t="str">
            <v>x</v>
          </cell>
          <cell r="AA768" t="str">
            <v>공구손료</v>
          </cell>
          <cell r="AM768">
            <v>40922</v>
          </cell>
          <cell r="AN768">
            <v>0</v>
          </cell>
        </row>
        <row r="769">
          <cell r="AM769">
            <v>0</v>
          </cell>
          <cell r="AN769">
            <v>0</v>
          </cell>
        </row>
        <row r="770">
          <cell r="AM770">
            <v>0</v>
          </cell>
          <cell r="AN770">
            <v>0</v>
          </cell>
        </row>
        <row r="771">
          <cell r="AM771">
            <v>0</v>
          </cell>
          <cell r="AN771">
            <v>0</v>
          </cell>
        </row>
        <row r="772">
          <cell r="AM772">
            <v>0</v>
          </cell>
          <cell r="AN772">
            <v>0</v>
          </cell>
        </row>
        <row r="773">
          <cell r="AM773">
            <v>0</v>
          </cell>
          <cell r="AN773">
            <v>0</v>
          </cell>
        </row>
        <row r="774">
          <cell r="AM774">
            <v>0</v>
          </cell>
          <cell r="AN774">
            <v>0</v>
          </cell>
        </row>
        <row r="775">
          <cell r="AM775">
            <v>0</v>
          </cell>
        </row>
        <row r="776">
          <cell r="AM776">
            <v>0</v>
          </cell>
        </row>
        <row r="777">
          <cell r="AM777">
            <v>0</v>
          </cell>
        </row>
        <row r="778">
          <cell r="AM778">
            <v>0</v>
          </cell>
        </row>
        <row r="779">
          <cell r="AM779">
            <v>0</v>
          </cell>
        </row>
        <row r="780">
          <cell r="AM780">
            <v>0</v>
          </cell>
        </row>
        <row r="781">
          <cell r="AM781">
            <v>0</v>
          </cell>
        </row>
        <row r="782">
          <cell r="AM782">
            <v>0</v>
          </cell>
          <cell r="AN782">
            <v>0</v>
          </cell>
        </row>
        <row r="783">
          <cell r="AM783">
            <v>0</v>
          </cell>
          <cell r="AN783">
            <v>0</v>
          </cell>
        </row>
        <row r="784">
          <cell r="AM784">
            <v>0</v>
          </cell>
          <cell r="AN784">
            <v>0</v>
          </cell>
        </row>
        <row r="785">
          <cell r="AM785">
            <v>0</v>
          </cell>
          <cell r="AN785">
            <v>0</v>
          </cell>
        </row>
        <row r="786">
          <cell r="A786">
            <v>27</v>
          </cell>
          <cell r="C786">
            <v>27</v>
          </cell>
          <cell r="D786" t="str">
            <v>광케이블포설(지하)</v>
          </cell>
          <cell r="E786" t="str">
            <v>OF-SM-48Core(3m이상)</v>
          </cell>
          <cell r="F786" t="str">
            <v>100m</v>
          </cell>
          <cell r="AM786">
            <v>0</v>
          </cell>
          <cell r="AN786">
            <v>0</v>
          </cell>
        </row>
        <row r="787">
          <cell r="A787" t="str">
            <v>27-1</v>
          </cell>
          <cell r="B787">
            <v>542</v>
          </cell>
          <cell r="D787" t="str">
            <v>나. 노무비</v>
          </cell>
          <cell r="E787">
            <v>0</v>
          </cell>
          <cell r="F787">
            <v>0</v>
          </cell>
          <cell r="AM787">
            <v>0</v>
          </cell>
          <cell r="AN787">
            <v>0</v>
          </cell>
        </row>
        <row r="788">
          <cell r="B788">
            <v>553</v>
          </cell>
          <cell r="D788" t="str">
            <v>광케이블설치사</v>
          </cell>
          <cell r="E788">
            <v>0</v>
          </cell>
          <cell r="F788" t="str">
            <v>인</v>
          </cell>
          <cell r="H788">
            <v>0.83</v>
          </cell>
          <cell r="I788" t="str">
            <v>x</v>
          </cell>
          <cell r="J788">
            <v>1</v>
          </cell>
          <cell r="K788" t="str">
            <v>x</v>
          </cell>
          <cell r="L788" t="str">
            <v>(</v>
          </cell>
          <cell r="M788">
            <v>1</v>
          </cell>
          <cell r="N788" t="str">
            <v>+</v>
          </cell>
          <cell r="O788">
            <v>0.02</v>
          </cell>
          <cell r="P788" t="str">
            <v>)</v>
          </cell>
          <cell r="V788" t="str">
            <v>=</v>
          </cell>
          <cell r="W788">
            <v>0.85</v>
          </cell>
          <cell r="Y788" t="str">
            <v>기본</v>
          </cell>
          <cell r="Z788" t="str">
            <v>x</v>
          </cell>
          <cell r="AA788" t="str">
            <v>단위량</v>
          </cell>
          <cell r="AB788" t="str">
            <v>x</v>
          </cell>
          <cell r="AC788" t="str">
            <v>(</v>
          </cell>
          <cell r="AD788">
            <v>1</v>
          </cell>
          <cell r="AE788" t="str">
            <v>+</v>
          </cell>
          <cell r="AF788" t="str">
            <v>지하</v>
          </cell>
          <cell r="AG788" t="str">
            <v>)</v>
          </cell>
          <cell r="AL788" t="str">
            <v>통 3-49(지하)</v>
          </cell>
          <cell r="AM788">
            <v>104231</v>
          </cell>
          <cell r="AN788">
            <v>0</v>
          </cell>
        </row>
        <row r="789">
          <cell r="B789">
            <v>523</v>
          </cell>
          <cell r="D789" t="str">
            <v>보통인부</v>
          </cell>
          <cell r="E789">
            <v>0</v>
          </cell>
          <cell r="F789" t="str">
            <v>인</v>
          </cell>
          <cell r="H789">
            <v>2.1</v>
          </cell>
          <cell r="I789" t="str">
            <v>x</v>
          </cell>
          <cell r="J789">
            <v>1</v>
          </cell>
          <cell r="K789" t="str">
            <v>x</v>
          </cell>
          <cell r="L789" t="str">
            <v>(</v>
          </cell>
          <cell r="M789">
            <v>1</v>
          </cell>
          <cell r="N789" t="str">
            <v>+</v>
          </cell>
          <cell r="O789">
            <v>0.02</v>
          </cell>
          <cell r="P789" t="str">
            <v>)</v>
          </cell>
          <cell r="V789" t="str">
            <v>=</v>
          </cell>
          <cell r="W789">
            <v>2.14</v>
          </cell>
          <cell r="Y789" t="str">
            <v>기본</v>
          </cell>
          <cell r="Z789" t="str">
            <v>x</v>
          </cell>
          <cell r="AA789" t="str">
            <v>단위량</v>
          </cell>
          <cell r="AB789" t="str">
            <v>x</v>
          </cell>
          <cell r="AC789" t="str">
            <v>(</v>
          </cell>
          <cell r="AD789">
            <v>1</v>
          </cell>
          <cell r="AE789" t="str">
            <v>+</v>
          </cell>
          <cell r="AF789" t="str">
            <v>지하</v>
          </cell>
          <cell r="AG789" t="str">
            <v>)</v>
          </cell>
          <cell r="AM789">
            <v>40922</v>
          </cell>
          <cell r="AN789">
            <v>0</v>
          </cell>
        </row>
        <row r="790">
          <cell r="B790">
            <v>544</v>
          </cell>
          <cell r="D790" t="str">
            <v>소    계</v>
          </cell>
          <cell r="E790">
            <v>0</v>
          </cell>
          <cell r="F790">
            <v>0</v>
          </cell>
          <cell r="AM790">
            <v>0</v>
          </cell>
          <cell r="AN790">
            <v>0</v>
          </cell>
        </row>
        <row r="791">
          <cell r="A791" t="str">
            <v>27-2</v>
          </cell>
          <cell r="B791">
            <v>553</v>
          </cell>
          <cell r="D791" t="str">
            <v>광케이블설치사</v>
          </cell>
          <cell r="E791">
            <v>0</v>
          </cell>
          <cell r="F791" t="str">
            <v>인</v>
          </cell>
          <cell r="V791" t="str">
            <v>=</v>
          </cell>
          <cell r="W791">
            <v>0.85</v>
          </cell>
          <cell r="AM791">
            <v>104231</v>
          </cell>
          <cell r="AN791">
            <v>0</v>
          </cell>
        </row>
        <row r="792">
          <cell r="A792" t="str">
            <v>27-3</v>
          </cell>
          <cell r="B792">
            <v>523</v>
          </cell>
          <cell r="D792" t="str">
            <v>보통인부</v>
          </cell>
          <cell r="E792">
            <v>0</v>
          </cell>
          <cell r="F792" t="str">
            <v>인</v>
          </cell>
          <cell r="V792" t="str">
            <v>=</v>
          </cell>
          <cell r="W792">
            <v>2.14</v>
          </cell>
          <cell r="AM792">
            <v>40922</v>
          </cell>
          <cell r="AN792">
            <v>0</v>
          </cell>
        </row>
        <row r="793">
          <cell r="A793" t="str">
            <v>27-4</v>
          </cell>
          <cell r="B793">
            <v>543</v>
          </cell>
          <cell r="D793" t="str">
            <v>다. 공구손료</v>
          </cell>
          <cell r="E793" t="str">
            <v>노무비x3%</v>
          </cell>
          <cell r="F793">
            <v>0</v>
          </cell>
          <cell r="AM793">
            <v>0</v>
          </cell>
          <cell r="AN793">
            <v>0</v>
          </cell>
        </row>
        <row r="794">
          <cell r="A794" t="str">
            <v>27-5</v>
          </cell>
          <cell r="B794">
            <v>553</v>
          </cell>
          <cell r="D794" t="str">
            <v>광케이블설치사</v>
          </cell>
          <cell r="E794">
            <v>0</v>
          </cell>
          <cell r="F794" t="str">
            <v>인</v>
          </cell>
          <cell r="H794">
            <v>0.83</v>
          </cell>
          <cell r="I794" t="str">
            <v>x</v>
          </cell>
          <cell r="J794">
            <v>0.03</v>
          </cell>
          <cell r="V794" t="str">
            <v>=</v>
          </cell>
          <cell r="W794">
            <v>0.02</v>
          </cell>
          <cell r="Y794" t="str">
            <v>기본</v>
          </cell>
          <cell r="Z794" t="str">
            <v>x</v>
          </cell>
          <cell r="AA794" t="str">
            <v>공구손료</v>
          </cell>
          <cell r="AM794">
            <v>104231</v>
          </cell>
          <cell r="AN794">
            <v>0</v>
          </cell>
        </row>
        <row r="795">
          <cell r="A795" t="str">
            <v>27-6</v>
          </cell>
          <cell r="B795">
            <v>523</v>
          </cell>
          <cell r="D795" t="str">
            <v>보통인부</v>
          </cell>
          <cell r="E795">
            <v>0</v>
          </cell>
          <cell r="F795" t="str">
            <v>인</v>
          </cell>
          <cell r="H795">
            <v>2.1</v>
          </cell>
          <cell r="I795" t="str">
            <v>x</v>
          </cell>
          <cell r="J795">
            <v>0.03</v>
          </cell>
          <cell r="V795" t="str">
            <v>=</v>
          </cell>
          <cell r="W795">
            <v>0.06</v>
          </cell>
          <cell r="Y795" t="str">
            <v>기본</v>
          </cell>
          <cell r="Z795" t="str">
            <v>x</v>
          </cell>
          <cell r="AA795" t="str">
            <v>공구손료</v>
          </cell>
          <cell r="AM795">
            <v>40922</v>
          </cell>
          <cell r="AN795">
            <v>0</v>
          </cell>
        </row>
        <row r="796">
          <cell r="AM796">
            <v>0</v>
          </cell>
          <cell r="AN796">
            <v>0</v>
          </cell>
        </row>
        <row r="797">
          <cell r="AM797">
            <v>0</v>
          </cell>
        </row>
        <row r="798">
          <cell r="AM798">
            <v>0</v>
          </cell>
        </row>
        <row r="799">
          <cell r="AM799">
            <v>0</v>
          </cell>
          <cell r="AN799">
            <v>0</v>
          </cell>
        </row>
        <row r="800">
          <cell r="AM800">
            <v>0</v>
          </cell>
          <cell r="AN800">
            <v>0</v>
          </cell>
        </row>
        <row r="801">
          <cell r="AM801">
            <v>0</v>
          </cell>
          <cell r="AN801">
            <v>0</v>
          </cell>
        </row>
        <row r="802">
          <cell r="AM802">
            <v>0</v>
          </cell>
          <cell r="AN802">
            <v>0</v>
          </cell>
        </row>
        <row r="803">
          <cell r="AM803">
            <v>0</v>
          </cell>
          <cell r="AN803">
            <v>0</v>
          </cell>
        </row>
        <row r="804">
          <cell r="AM804">
            <v>0</v>
          </cell>
        </row>
        <row r="805">
          <cell r="AM805">
            <v>0</v>
          </cell>
        </row>
        <row r="806">
          <cell r="AM806">
            <v>0</v>
          </cell>
        </row>
        <row r="807">
          <cell r="AM807">
            <v>0</v>
          </cell>
        </row>
        <row r="808">
          <cell r="AM808">
            <v>0</v>
          </cell>
        </row>
        <row r="809">
          <cell r="AM809">
            <v>0</v>
          </cell>
          <cell r="AN809">
            <v>0</v>
          </cell>
        </row>
        <row r="810">
          <cell r="AM810">
            <v>0</v>
          </cell>
          <cell r="AN810">
            <v>0</v>
          </cell>
        </row>
        <row r="811">
          <cell r="AM811">
            <v>0</v>
          </cell>
          <cell r="AN811">
            <v>0</v>
          </cell>
        </row>
        <row r="812">
          <cell r="AM812">
            <v>0</v>
          </cell>
          <cell r="AN812">
            <v>0</v>
          </cell>
        </row>
        <row r="813">
          <cell r="A813">
            <v>28</v>
          </cell>
          <cell r="C813">
            <v>28</v>
          </cell>
          <cell r="D813" t="str">
            <v>광케이블포설(지상)</v>
          </cell>
          <cell r="E813" t="str">
            <v>OF-SM-48Core(3m이상)</v>
          </cell>
          <cell r="F813" t="str">
            <v>100m</v>
          </cell>
          <cell r="AM813">
            <v>0</v>
          </cell>
          <cell r="AN813">
            <v>0</v>
          </cell>
        </row>
        <row r="814">
          <cell r="A814" t="str">
            <v>28-1</v>
          </cell>
          <cell r="B814">
            <v>542</v>
          </cell>
          <cell r="D814" t="str">
            <v>나. 노무비</v>
          </cell>
          <cell r="E814">
            <v>0</v>
          </cell>
          <cell r="F814">
            <v>0</v>
          </cell>
          <cell r="AM814">
            <v>0</v>
          </cell>
          <cell r="AN814">
            <v>0</v>
          </cell>
        </row>
        <row r="815">
          <cell r="B815">
            <v>553</v>
          </cell>
          <cell r="D815" t="str">
            <v>광케이블설치사</v>
          </cell>
          <cell r="E815">
            <v>0</v>
          </cell>
          <cell r="F815" t="str">
            <v>인</v>
          </cell>
          <cell r="H815">
            <v>0.83</v>
          </cell>
          <cell r="I815" t="str">
            <v>x</v>
          </cell>
          <cell r="J815">
            <v>1</v>
          </cell>
          <cell r="V815" t="str">
            <v>=</v>
          </cell>
          <cell r="W815">
            <v>0.83</v>
          </cell>
          <cell r="Y815" t="str">
            <v>기본</v>
          </cell>
          <cell r="Z815" t="str">
            <v>x</v>
          </cell>
          <cell r="AA815" t="str">
            <v>단위량</v>
          </cell>
          <cell r="AL815" t="str">
            <v>통 3-49</v>
          </cell>
          <cell r="AM815">
            <v>104231</v>
          </cell>
          <cell r="AN815">
            <v>0</v>
          </cell>
        </row>
        <row r="816">
          <cell r="B816">
            <v>523</v>
          </cell>
          <cell r="D816" t="str">
            <v>보통인부</v>
          </cell>
          <cell r="E816">
            <v>0</v>
          </cell>
          <cell r="F816" t="str">
            <v>인</v>
          </cell>
          <cell r="H816">
            <v>2.1</v>
          </cell>
          <cell r="I816" t="str">
            <v>x</v>
          </cell>
          <cell r="J816">
            <v>1</v>
          </cell>
          <cell r="V816" t="str">
            <v>=</v>
          </cell>
          <cell r="W816">
            <v>2.1</v>
          </cell>
          <cell r="Y816" t="str">
            <v>기본</v>
          </cell>
          <cell r="Z816" t="str">
            <v>x</v>
          </cell>
          <cell r="AA816" t="str">
            <v>단위량</v>
          </cell>
          <cell r="AM816">
            <v>40922</v>
          </cell>
          <cell r="AN816">
            <v>0</v>
          </cell>
        </row>
        <row r="817">
          <cell r="B817">
            <v>544</v>
          </cell>
          <cell r="D817" t="str">
            <v>소    계</v>
          </cell>
          <cell r="E817">
            <v>0</v>
          </cell>
          <cell r="F817">
            <v>0</v>
          </cell>
          <cell r="AM817">
            <v>0</v>
          </cell>
          <cell r="AN817">
            <v>0</v>
          </cell>
        </row>
        <row r="818">
          <cell r="A818" t="str">
            <v>28-2</v>
          </cell>
          <cell r="B818">
            <v>553</v>
          </cell>
          <cell r="D818" t="str">
            <v>광케이블설치사</v>
          </cell>
          <cell r="E818">
            <v>0</v>
          </cell>
          <cell r="F818" t="str">
            <v>인</v>
          </cell>
          <cell r="V818" t="str">
            <v>=</v>
          </cell>
          <cell r="W818">
            <v>0.83</v>
          </cell>
          <cell r="AM818">
            <v>104231</v>
          </cell>
          <cell r="AN818">
            <v>0</v>
          </cell>
        </row>
        <row r="819">
          <cell r="A819" t="str">
            <v>28-3</v>
          </cell>
          <cell r="B819">
            <v>523</v>
          </cell>
          <cell r="D819" t="str">
            <v>보통인부</v>
          </cell>
          <cell r="E819">
            <v>0</v>
          </cell>
          <cell r="F819" t="str">
            <v>인</v>
          </cell>
          <cell r="V819" t="str">
            <v>=</v>
          </cell>
          <cell r="W819">
            <v>2.1</v>
          </cell>
          <cell r="AM819">
            <v>40922</v>
          </cell>
          <cell r="AN819">
            <v>0</v>
          </cell>
        </row>
        <row r="820">
          <cell r="A820" t="str">
            <v>28-4</v>
          </cell>
          <cell r="B820">
            <v>543</v>
          </cell>
          <cell r="D820" t="str">
            <v>다. 공구손료</v>
          </cell>
          <cell r="E820" t="str">
            <v>노무비x3%</v>
          </cell>
          <cell r="F820">
            <v>0</v>
          </cell>
          <cell r="AM820">
            <v>0</v>
          </cell>
          <cell r="AN820">
            <v>0</v>
          </cell>
        </row>
        <row r="821">
          <cell r="A821" t="str">
            <v>28-5</v>
          </cell>
          <cell r="B821">
            <v>553</v>
          </cell>
          <cell r="D821" t="str">
            <v>광케이블설치사</v>
          </cell>
          <cell r="E821">
            <v>0</v>
          </cell>
          <cell r="F821" t="str">
            <v>인</v>
          </cell>
          <cell r="H821">
            <v>0.83</v>
          </cell>
          <cell r="I821" t="str">
            <v>x</v>
          </cell>
          <cell r="J821">
            <v>0.03</v>
          </cell>
          <cell r="V821" t="str">
            <v>=</v>
          </cell>
          <cell r="W821">
            <v>0.02</v>
          </cell>
          <cell r="Y821" t="str">
            <v>기본</v>
          </cell>
          <cell r="Z821" t="str">
            <v>x</v>
          </cell>
          <cell r="AA821" t="str">
            <v>공구손료</v>
          </cell>
          <cell r="AM821">
            <v>104231</v>
          </cell>
          <cell r="AN821">
            <v>0</v>
          </cell>
        </row>
        <row r="822">
          <cell r="A822" t="str">
            <v>28-6</v>
          </cell>
          <cell r="B822">
            <v>523</v>
          </cell>
          <cell r="D822" t="str">
            <v>보통인부</v>
          </cell>
          <cell r="E822">
            <v>0</v>
          </cell>
          <cell r="F822" t="str">
            <v>인</v>
          </cell>
          <cell r="H822">
            <v>2.1</v>
          </cell>
          <cell r="I822" t="str">
            <v>x</v>
          </cell>
          <cell r="J822">
            <v>0.03</v>
          </cell>
          <cell r="V822" t="str">
            <v>=</v>
          </cell>
          <cell r="W822">
            <v>0.06</v>
          </cell>
          <cell r="Y822" t="str">
            <v>기본</v>
          </cell>
          <cell r="Z822" t="str">
            <v>x</v>
          </cell>
          <cell r="AA822" t="str">
            <v>공구손료</v>
          </cell>
          <cell r="AM822">
            <v>40922</v>
          </cell>
          <cell r="AN822">
            <v>0</v>
          </cell>
        </row>
        <row r="823">
          <cell r="AM823">
            <v>0</v>
          </cell>
          <cell r="AN823">
            <v>0</v>
          </cell>
        </row>
        <row r="824">
          <cell r="AM824">
            <v>0</v>
          </cell>
          <cell r="AN824">
            <v>0</v>
          </cell>
        </row>
        <row r="825">
          <cell r="AM825">
            <v>0</v>
          </cell>
          <cell r="AN825">
            <v>0</v>
          </cell>
        </row>
        <row r="826">
          <cell r="AM826">
            <v>0</v>
          </cell>
          <cell r="AN826">
            <v>0</v>
          </cell>
        </row>
        <row r="827">
          <cell r="AM827">
            <v>0</v>
          </cell>
          <cell r="AN827">
            <v>0</v>
          </cell>
        </row>
        <row r="828">
          <cell r="AM828">
            <v>0</v>
          </cell>
          <cell r="AN828">
            <v>0</v>
          </cell>
        </row>
        <row r="829">
          <cell r="AM829">
            <v>0</v>
          </cell>
        </row>
        <row r="830">
          <cell r="AM830">
            <v>0</v>
          </cell>
        </row>
        <row r="831">
          <cell r="AM831">
            <v>0</v>
          </cell>
        </row>
        <row r="832">
          <cell r="AM832">
            <v>0</v>
          </cell>
        </row>
        <row r="833">
          <cell r="AM833">
            <v>0</v>
          </cell>
        </row>
        <row r="834">
          <cell r="AM834">
            <v>0</v>
          </cell>
        </row>
        <row r="835">
          <cell r="AM835">
            <v>0</v>
          </cell>
        </row>
        <row r="836">
          <cell r="AM836">
            <v>0</v>
          </cell>
          <cell r="AN836">
            <v>0</v>
          </cell>
        </row>
        <row r="837">
          <cell r="AM837">
            <v>0</v>
          </cell>
          <cell r="AN837">
            <v>0</v>
          </cell>
        </row>
        <row r="838">
          <cell r="AM838">
            <v>0</v>
          </cell>
          <cell r="AN838">
            <v>0</v>
          </cell>
        </row>
        <row r="839">
          <cell r="AM839">
            <v>0</v>
          </cell>
          <cell r="AN839">
            <v>0</v>
          </cell>
        </row>
        <row r="840">
          <cell r="A840">
            <v>29</v>
          </cell>
          <cell r="C840">
            <v>29</v>
          </cell>
          <cell r="D840" t="str">
            <v>광케이블심선접속(지하)</v>
          </cell>
          <cell r="E840" t="str">
            <v>OF-SM-12Cor이하(3m이상)</v>
          </cell>
          <cell r="F840" t="str">
            <v>Core</v>
          </cell>
          <cell r="AM840">
            <v>0</v>
          </cell>
          <cell r="AN840">
            <v>0</v>
          </cell>
        </row>
        <row r="841">
          <cell r="A841" t="str">
            <v>29-1</v>
          </cell>
          <cell r="B841">
            <v>541</v>
          </cell>
          <cell r="D841" t="str">
            <v>가. 재료비</v>
          </cell>
          <cell r="E841">
            <v>0</v>
          </cell>
          <cell r="F841">
            <v>0</v>
          </cell>
          <cell r="AM841">
            <v>0</v>
          </cell>
          <cell r="AN841">
            <v>0</v>
          </cell>
        </row>
        <row r="842">
          <cell r="A842" t="str">
            <v>29-2</v>
          </cell>
          <cell r="B842">
            <v>40</v>
          </cell>
          <cell r="D842" t="str">
            <v>가재</v>
          </cell>
          <cell r="E842" t="str">
            <v>10㎝x10㎝</v>
          </cell>
          <cell r="F842" t="str">
            <v>매</v>
          </cell>
          <cell r="V842" t="str">
            <v>=</v>
          </cell>
          <cell r="W842">
            <v>1</v>
          </cell>
          <cell r="Y842" t="str">
            <v>기본</v>
          </cell>
          <cell r="AM842">
            <v>43</v>
          </cell>
          <cell r="AN842">
            <v>0</v>
          </cell>
        </row>
        <row r="843">
          <cell r="A843" t="str">
            <v>29-3</v>
          </cell>
          <cell r="B843">
            <v>41</v>
          </cell>
          <cell r="D843" t="str">
            <v>젤리세척제</v>
          </cell>
          <cell r="E843">
            <v>0</v>
          </cell>
          <cell r="F843" t="str">
            <v>ℓ</v>
          </cell>
          <cell r="H843">
            <v>2E-3</v>
          </cell>
          <cell r="I843" t="str">
            <v>x</v>
          </cell>
          <cell r="J843">
            <v>1</v>
          </cell>
          <cell r="K843" t="str">
            <v>x</v>
          </cell>
          <cell r="M843">
            <v>0.25</v>
          </cell>
          <cell r="N843" t="str">
            <v>x</v>
          </cell>
          <cell r="O843">
            <v>1</v>
          </cell>
          <cell r="V843" t="str">
            <v>=</v>
          </cell>
          <cell r="W843">
            <v>5.0000000000000001E-4</v>
          </cell>
          <cell r="Y843" t="str">
            <v>기본</v>
          </cell>
          <cell r="Z843" t="str">
            <v>x</v>
          </cell>
          <cell r="AA843" t="str">
            <v>케이블길이</v>
          </cell>
          <cell r="AB843" t="str">
            <v>x</v>
          </cell>
          <cell r="AC843" t="str">
            <v>케이블심경</v>
          </cell>
          <cell r="AE843" t="str">
            <v>x</v>
          </cell>
          <cell r="AF843" t="str">
            <v>심선수</v>
          </cell>
          <cell r="AM843">
            <v>8000</v>
          </cell>
          <cell r="AN843">
            <v>0</v>
          </cell>
        </row>
        <row r="844">
          <cell r="A844" t="str">
            <v>29-4</v>
          </cell>
          <cell r="B844">
            <v>42</v>
          </cell>
          <cell r="D844" t="str">
            <v>열수축 슬리브</v>
          </cell>
          <cell r="E844">
            <v>0</v>
          </cell>
          <cell r="F844" t="str">
            <v>개</v>
          </cell>
          <cell r="V844" t="str">
            <v>=</v>
          </cell>
          <cell r="W844">
            <v>1</v>
          </cell>
          <cell r="Y844" t="str">
            <v>기본</v>
          </cell>
          <cell r="AM844">
            <v>400</v>
          </cell>
          <cell r="AN844">
            <v>0</v>
          </cell>
        </row>
        <row r="845">
          <cell r="A845" t="str">
            <v>29-5</v>
          </cell>
          <cell r="B845">
            <v>542</v>
          </cell>
          <cell r="D845" t="str">
            <v>나. 노무비</v>
          </cell>
          <cell r="E845">
            <v>0</v>
          </cell>
          <cell r="F845">
            <v>0</v>
          </cell>
          <cell r="AM845">
            <v>0</v>
          </cell>
          <cell r="AN845">
            <v>0</v>
          </cell>
        </row>
        <row r="846">
          <cell r="B846">
            <v>553</v>
          </cell>
          <cell r="D846" t="str">
            <v>광케이블설치사</v>
          </cell>
          <cell r="E846">
            <v>0</v>
          </cell>
          <cell r="F846" t="str">
            <v>인</v>
          </cell>
          <cell r="H846">
            <v>0.16</v>
          </cell>
          <cell r="I846" t="str">
            <v>x</v>
          </cell>
          <cell r="J846">
            <v>1</v>
          </cell>
          <cell r="K846" t="str">
            <v>x</v>
          </cell>
          <cell r="L846" t="str">
            <v>(</v>
          </cell>
          <cell r="M846">
            <v>1</v>
          </cell>
          <cell r="N846" t="str">
            <v>+</v>
          </cell>
          <cell r="O846">
            <v>0.02</v>
          </cell>
          <cell r="P846" t="str">
            <v>)</v>
          </cell>
          <cell r="V846" t="str">
            <v>=</v>
          </cell>
          <cell r="W846">
            <v>0.16</v>
          </cell>
          <cell r="Y846" t="str">
            <v>기본</v>
          </cell>
          <cell r="Z846" t="str">
            <v>x</v>
          </cell>
          <cell r="AA846" t="str">
            <v>단위량</v>
          </cell>
          <cell r="AB846" t="str">
            <v>x</v>
          </cell>
          <cell r="AC846" t="str">
            <v>(</v>
          </cell>
          <cell r="AD846">
            <v>1</v>
          </cell>
          <cell r="AE846" t="str">
            <v>+</v>
          </cell>
          <cell r="AF846" t="str">
            <v>지하</v>
          </cell>
          <cell r="AG846" t="str">
            <v>)</v>
          </cell>
          <cell r="AL846" t="str">
            <v>통 3-49(지하)</v>
          </cell>
          <cell r="AM846">
            <v>104231</v>
          </cell>
          <cell r="AN846">
            <v>0</v>
          </cell>
        </row>
        <row r="847">
          <cell r="B847">
            <v>522</v>
          </cell>
          <cell r="D847" t="str">
            <v>특별인부</v>
          </cell>
          <cell r="E847">
            <v>0</v>
          </cell>
          <cell r="F847" t="str">
            <v>인</v>
          </cell>
          <cell r="H847">
            <v>0.16</v>
          </cell>
          <cell r="I847" t="str">
            <v>x</v>
          </cell>
          <cell r="J847">
            <v>1</v>
          </cell>
          <cell r="K847" t="str">
            <v>x</v>
          </cell>
          <cell r="L847" t="str">
            <v>(</v>
          </cell>
          <cell r="M847">
            <v>1</v>
          </cell>
          <cell r="N847" t="str">
            <v>+</v>
          </cell>
          <cell r="O847">
            <v>0.02</v>
          </cell>
          <cell r="P847" t="str">
            <v>)</v>
          </cell>
          <cell r="V847" t="str">
            <v>=</v>
          </cell>
          <cell r="W847">
            <v>0.16</v>
          </cell>
          <cell r="Y847" t="str">
            <v>기본</v>
          </cell>
          <cell r="Z847" t="str">
            <v>x</v>
          </cell>
          <cell r="AA847" t="str">
            <v>단위량</v>
          </cell>
          <cell r="AB847" t="str">
            <v>x</v>
          </cell>
          <cell r="AC847" t="str">
            <v>(</v>
          </cell>
          <cell r="AD847">
            <v>1</v>
          </cell>
          <cell r="AE847" t="str">
            <v>+</v>
          </cell>
          <cell r="AF847" t="str">
            <v>지하</v>
          </cell>
          <cell r="AG847" t="str">
            <v>)</v>
          </cell>
          <cell r="AM847">
            <v>55970</v>
          </cell>
          <cell r="AN847">
            <v>0</v>
          </cell>
        </row>
        <row r="848">
          <cell r="B848">
            <v>544</v>
          </cell>
          <cell r="D848" t="str">
            <v>소    계</v>
          </cell>
          <cell r="E848">
            <v>0</v>
          </cell>
          <cell r="F848">
            <v>0</v>
          </cell>
          <cell r="AM848">
            <v>0</v>
          </cell>
          <cell r="AN848">
            <v>0</v>
          </cell>
        </row>
        <row r="849">
          <cell r="A849" t="str">
            <v>29-6</v>
          </cell>
          <cell r="B849">
            <v>553</v>
          </cell>
          <cell r="D849" t="str">
            <v>광케이블설치사</v>
          </cell>
          <cell r="E849">
            <v>0</v>
          </cell>
          <cell r="F849" t="str">
            <v>인</v>
          </cell>
          <cell r="V849" t="str">
            <v>=</v>
          </cell>
          <cell r="W849">
            <v>0.16</v>
          </cell>
          <cell r="AM849">
            <v>104231</v>
          </cell>
          <cell r="AN849">
            <v>0</v>
          </cell>
        </row>
        <row r="850">
          <cell r="A850" t="str">
            <v>29-7</v>
          </cell>
          <cell r="B850">
            <v>522</v>
          </cell>
          <cell r="D850" t="str">
            <v>특별인부</v>
          </cell>
          <cell r="E850">
            <v>0</v>
          </cell>
          <cell r="F850" t="str">
            <v>인</v>
          </cell>
          <cell r="V850" t="str">
            <v>=</v>
          </cell>
          <cell r="W850">
            <v>0.16</v>
          </cell>
          <cell r="AM850">
            <v>55970</v>
          </cell>
          <cell r="AN850">
            <v>0</v>
          </cell>
        </row>
        <row r="851">
          <cell r="A851" t="str">
            <v>29-8</v>
          </cell>
          <cell r="B851">
            <v>543</v>
          </cell>
          <cell r="D851" t="str">
            <v>다. 공구손료</v>
          </cell>
          <cell r="E851" t="str">
            <v>노무비x3%</v>
          </cell>
          <cell r="F851">
            <v>0</v>
          </cell>
          <cell r="AM851">
            <v>0</v>
          </cell>
          <cell r="AN851">
            <v>0</v>
          </cell>
        </row>
        <row r="852">
          <cell r="A852" t="str">
            <v>29-9</v>
          </cell>
          <cell r="B852">
            <v>553</v>
          </cell>
          <cell r="D852" t="str">
            <v>광케이블설치사</v>
          </cell>
          <cell r="E852">
            <v>0</v>
          </cell>
          <cell r="F852" t="str">
            <v>인</v>
          </cell>
          <cell r="H852">
            <v>0.16</v>
          </cell>
          <cell r="I852" t="str">
            <v>x</v>
          </cell>
          <cell r="J852">
            <v>0.03</v>
          </cell>
          <cell r="V852" t="str">
            <v>=</v>
          </cell>
          <cell r="W852" t="str">
            <v>0</v>
          </cell>
          <cell r="Y852" t="str">
            <v>기본</v>
          </cell>
          <cell r="Z852" t="str">
            <v>x</v>
          </cell>
          <cell r="AA852" t="str">
            <v>공구손료</v>
          </cell>
          <cell r="AM852">
            <v>104231</v>
          </cell>
          <cell r="AN852">
            <v>0</v>
          </cell>
        </row>
        <row r="853">
          <cell r="A853" t="str">
            <v>29-10</v>
          </cell>
          <cell r="B853">
            <v>522</v>
          </cell>
          <cell r="D853" t="str">
            <v>특별인부</v>
          </cell>
          <cell r="E853">
            <v>0</v>
          </cell>
          <cell r="F853" t="str">
            <v>인</v>
          </cell>
          <cell r="H853">
            <v>0.16</v>
          </cell>
          <cell r="I853" t="str">
            <v>x</v>
          </cell>
          <cell r="J853">
            <v>0.03</v>
          </cell>
          <cell r="V853" t="str">
            <v>=</v>
          </cell>
          <cell r="W853" t="str">
            <v>0</v>
          </cell>
          <cell r="Y853" t="str">
            <v>기본</v>
          </cell>
          <cell r="Z853" t="str">
            <v>x</v>
          </cell>
          <cell r="AA853" t="str">
            <v>공구손료</v>
          </cell>
          <cell r="AM853">
            <v>55970</v>
          </cell>
          <cell r="AN853">
            <v>0</v>
          </cell>
        </row>
        <row r="854">
          <cell r="AM854">
            <v>0</v>
          </cell>
          <cell r="AN854">
            <v>0</v>
          </cell>
        </row>
        <row r="855">
          <cell r="AM855">
            <v>0</v>
          </cell>
          <cell r="AN855">
            <v>0</v>
          </cell>
        </row>
        <row r="856">
          <cell r="AM856">
            <v>0</v>
          </cell>
          <cell r="AN856">
            <v>0</v>
          </cell>
        </row>
        <row r="857">
          <cell r="AM857">
            <v>0</v>
          </cell>
          <cell r="AN857">
            <v>0</v>
          </cell>
        </row>
        <row r="858">
          <cell r="AM858">
            <v>0</v>
          </cell>
          <cell r="AN858">
            <v>0</v>
          </cell>
        </row>
        <row r="859">
          <cell r="AM859">
            <v>0</v>
          </cell>
          <cell r="AN859">
            <v>0</v>
          </cell>
        </row>
        <row r="860">
          <cell r="AM860">
            <v>0</v>
          </cell>
          <cell r="AN860">
            <v>0</v>
          </cell>
        </row>
        <row r="861">
          <cell r="AM861">
            <v>0</v>
          </cell>
          <cell r="AN861">
            <v>0</v>
          </cell>
        </row>
        <row r="862">
          <cell r="AM862">
            <v>0</v>
          </cell>
        </row>
        <row r="863">
          <cell r="AM863">
            <v>0</v>
          </cell>
        </row>
        <row r="864">
          <cell r="AM864">
            <v>0</v>
          </cell>
        </row>
        <row r="865">
          <cell r="AM865">
            <v>0</v>
          </cell>
          <cell r="AN865">
            <v>0</v>
          </cell>
        </row>
        <row r="866">
          <cell r="AM866">
            <v>0</v>
          </cell>
          <cell r="AN866">
            <v>0</v>
          </cell>
        </row>
        <row r="867">
          <cell r="A867">
            <v>30</v>
          </cell>
          <cell r="C867">
            <v>30</v>
          </cell>
          <cell r="D867" t="str">
            <v>광케이블심선접속(지상)</v>
          </cell>
          <cell r="E867" t="str">
            <v>OF-SM-12Cor이하(3m이상)</v>
          </cell>
          <cell r="F867" t="str">
            <v>Core</v>
          </cell>
          <cell r="AM867">
            <v>0</v>
          </cell>
          <cell r="AN867">
            <v>0</v>
          </cell>
        </row>
        <row r="868">
          <cell r="A868" t="str">
            <v>30-1</v>
          </cell>
          <cell r="B868">
            <v>541</v>
          </cell>
          <cell r="D868" t="str">
            <v>가. 재료비</v>
          </cell>
          <cell r="E868">
            <v>0</v>
          </cell>
          <cell r="F868">
            <v>0</v>
          </cell>
          <cell r="AM868">
            <v>0</v>
          </cell>
          <cell r="AN868">
            <v>0</v>
          </cell>
        </row>
        <row r="869">
          <cell r="A869" t="str">
            <v>30-2</v>
          </cell>
          <cell r="B869">
            <v>40</v>
          </cell>
          <cell r="D869" t="str">
            <v>가재</v>
          </cell>
          <cell r="E869" t="str">
            <v>10㎝x10㎝</v>
          </cell>
          <cell r="F869" t="str">
            <v>매</v>
          </cell>
          <cell r="V869" t="str">
            <v>=</v>
          </cell>
          <cell r="W869">
            <v>1</v>
          </cell>
          <cell r="Y869" t="str">
            <v>기본</v>
          </cell>
          <cell r="AM869">
            <v>43</v>
          </cell>
          <cell r="AN869">
            <v>0</v>
          </cell>
        </row>
        <row r="870">
          <cell r="A870" t="str">
            <v>30-3</v>
          </cell>
          <cell r="B870">
            <v>41</v>
          </cell>
          <cell r="D870" t="str">
            <v>젤리세척제</v>
          </cell>
          <cell r="E870">
            <v>0</v>
          </cell>
          <cell r="F870" t="str">
            <v>ℓ</v>
          </cell>
          <cell r="H870">
            <v>2E-3</v>
          </cell>
          <cell r="I870" t="str">
            <v>x</v>
          </cell>
          <cell r="J870">
            <v>1</v>
          </cell>
          <cell r="K870" t="str">
            <v>x</v>
          </cell>
          <cell r="M870">
            <v>0.25</v>
          </cell>
          <cell r="N870" t="str">
            <v>x</v>
          </cell>
          <cell r="O870">
            <v>1</v>
          </cell>
          <cell r="V870" t="str">
            <v>=</v>
          </cell>
          <cell r="W870">
            <v>5.0000000000000001E-4</v>
          </cell>
          <cell r="Y870" t="str">
            <v>기본</v>
          </cell>
          <cell r="Z870" t="str">
            <v>x</v>
          </cell>
          <cell r="AA870" t="str">
            <v>케이블길이</v>
          </cell>
          <cell r="AB870" t="str">
            <v>x</v>
          </cell>
          <cell r="AC870" t="str">
            <v>케이블심경</v>
          </cell>
          <cell r="AE870" t="str">
            <v>x</v>
          </cell>
          <cell r="AF870" t="str">
            <v>심선수</v>
          </cell>
          <cell r="AM870">
            <v>8000</v>
          </cell>
          <cell r="AN870">
            <v>0</v>
          </cell>
        </row>
        <row r="871">
          <cell r="A871" t="str">
            <v>30-4</v>
          </cell>
          <cell r="B871">
            <v>42</v>
          </cell>
          <cell r="D871" t="str">
            <v>열수축 슬리브</v>
          </cell>
          <cell r="E871">
            <v>0</v>
          </cell>
          <cell r="F871" t="str">
            <v>개</v>
          </cell>
          <cell r="V871" t="str">
            <v>=</v>
          </cell>
          <cell r="W871">
            <v>1</v>
          </cell>
          <cell r="Y871" t="str">
            <v>기본</v>
          </cell>
          <cell r="AM871">
            <v>400</v>
          </cell>
          <cell r="AN871">
            <v>0</v>
          </cell>
        </row>
        <row r="872">
          <cell r="A872" t="str">
            <v>30-5</v>
          </cell>
          <cell r="B872">
            <v>542</v>
          </cell>
          <cell r="D872" t="str">
            <v>나. 노무비</v>
          </cell>
          <cell r="E872">
            <v>0</v>
          </cell>
          <cell r="F872">
            <v>0</v>
          </cell>
          <cell r="AM872">
            <v>0</v>
          </cell>
          <cell r="AN872">
            <v>0</v>
          </cell>
        </row>
        <row r="873">
          <cell r="B873">
            <v>553</v>
          </cell>
          <cell r="D873" t="str">
            <v>광케이블설치사</v>
          </cell>
          <cell r="E873">
            <v>0</v>
          </cell>
          <cell r="F873" t="str">
            <v>인</v>
          </cell>
          <cell r="H873">
            <v>0.16</v>
          </cell>
          <cell r="I873" t="str">
            <v>x</v>
          </cell>
          <cell r="J873">
            <v>1</v>
          </cell>
          <cell r="V873" t="str">
            <v>=</v>
          </cell>
          <cell r="W873">
            <v>0.16</v>
          </cell>
          <cell r="Y873" t="str">
            <v>기본</v>
          </cell>
          <cell r="Z873" t="str">
            <v>x</v>
          </cell>
          <cell r="AA873" t="str">
            <v>단위량</v>
          </cell>
          <cell r="AL873" t="str">
            <v>통 3-49</v>
          </cell>
          <cell r="AM873">
            <v>104231</v>
          </cell>
          <cell r="AN873">
            <v>0</v>
          </cell>
        </row>
        <row r="874">
          <cell r="B874">
            <v>522</v>
          </cell>
          <cell r="D874" t="str">
            <v>특별인부</v>
          </cell>
          <cell r="E874">
            <v>0</v>
          </cell>
          <cell r="F874" t="str">
            <v>인</v>
          </cell>
          <cell r="H874">
            <v>0.16</v>
          </cell>
          <cell r="I874" t="str">
            <v>x</v>
          </cell>
          <cell r="J874">
            <v>1</v>
          </cell>
          <cell r="V874" t="str">
            <v>=</v>
          </cell>
          <cell r="W874">
            <v>0.16</v>
          </cell>
          <cell r="Y874" t="str">
            <v>기본</v>
          </cell>
          <cell r="Z874" t="str">
            <v>x</v>
          </cell>
          <cell r="AA874" t="str">
            <v>단위량</v>
          </cell>
          <cell r="AM874">
            <v>55970</v>
          </cell>
          <cell r="AN874">
            <v>0</v>
          </cell>
        </row>
        <row r="875">
          <cell r="B875">
            <v>544</v>
          </cell>
          <cell r="D875" t="str">
            <v>소    계</v>
          </cell>
          <cell r="E875">
            <v>0</v>
          </cell>
          <cell r="F875">
            <v>0</v>
          </cell>
          <cell r="AM875">
            <v>0</v>
          </cell>
          <cell r="AN875">
            <v>0</v>
          </cell>
        </row>
        <row r="876">
          <cell r="A876" t="str">
            <v>30-6</v>
          </cell>
          <cell r="B876">
            <v>553</v>
          </cell>
          <cell r="D876" t="str">
            <v>광케이블설치사</v>
          </cell>
          <cell r="E876">
            <v>0</v>
          </cell>
          <cell r="F876" t="str">
            <v>인</v>
          </cell>
          <cell r="V876" t="str">
            <v>=</v>
          </cell>
          <cell r="W876">
            <v>0.16</v>
          </cell>
          <cell r="AM876">
            <v>104231</v>
          </cell>
          <cell r="AN876">
            <v>0</v>
          </cell>
        </row>
        <row r="877">
          <cell r="A877" t="str">
            <v>30-7</v>
          </cell>
          <cell r="B877">
            <v>522</v>
          </cell>
          <cell r="D877" t="str">
            <v>특별인부</v>
          </cell>
          <cell r="E877">
            <v>0</v>
          </cell>
          <cell r="F877" t="str">
            <v>인</v>
          </cell>
          <cell r="V877" t="str">
            <v>=</v>
          </cell>
          <cell r="W877">
            <v>0.16</v>
          </cell>
          <cell r="AM877">
            <v>55970</v>
          </cell>
          <cell r="AN877">
            <v>0</v>
          </cell>
        </row>
        <row r="878">
          <cell r="A878" t="str">
            <v>30-8</v>
          </cell>
          <cell r="B878">
            <v>543</v>
          </cell>
          <cell r="D878" t="str">
            <v>다. 공구손료</v>
          </cell>
          <cell r="E878" t="str">
            <v>노무비x3%</v>
          </cell>
          <cell r="F878">
            <v>0</v>
          </cell>
          <cell r="AM878">
            <v>0</v>
          </cell>
          <cell r="AN878">
            <v>0</v>
          </cell>
        </row>
        <row r="879">
          <cell r="A879" t="str">
            <v>30-9</v>
          </cell>
          <cell r="B879">
            <v>553</v>
          </cell>
          <cell r="D879" t="str">
            <v>광케이블설치사</v>
          </cell>
          <cell r="E879">
            <v>0</v>
          </cell>
          <cell r="F879" t="str">
            <v>인</v>
          </cell>
          <cell r="H879">
            <v>0.16</v>
          </cell>
          <cell r="I879" t="str">
            <v>x</v>
          </cell>
          <cell r="J879">
            <v>0.03</v>
          </cell>
          <cell r="V879" t="str">
            <v>=</v>
          </cell>
          <cell r="W879" t="str">
            <v>0</v>
          </cell>
          <cell r="Y879" t="str">
            <v>기본</v>
          </cell>
          <cell r="Z879" t="str">
            <v>x</v>
          </cell>
          <cell r="AA879" t="str">
            <v>공구손료</v>
          </cell>
          <cell r="AM879">
            <v>104231</v>
          </cell>
          <cell r="AN879">
            <v>0</v>
          </cell>
        </row>
        <row r="880">
          <cell r="A880" t="str">
            <v>30-10</v>
          </cell>
          <cell r="B880">
            <v>522</v>
          </cell>
          <cell r="D880" t="str">
            <v>특별인부</v>
          </cell>
          <cell r="E880">
            <v>0</v>
          </cell>
          <cell r="F880" t="str">
            <v>인</v>
          </cell>
          <cell r="H880">
            <v>0.16</v>
          </cell>
          <cell r="I880" t="str">
            <v>x</v>
          </cell>
          <cell r="J880">
            <v>0.03</v>
          </cell>
          <cell r="V880" t="str">
            <v>=</v>
          </cell>
          <cell r="W880" t="str">
            <v>0</v>
          </cell>
          <cell r="Y880" t="str">
            <v>기본</v>
          </cell>
          <cell r="Z880" t="str">
            <v>x</v>
          </cell>
          <cell r="AA880" t="str">
            <v>공구손료</v>
          </cell>
          <cell r="AM880">
            <v>55970</v>
          </cell>
          <cell r="AN880">
            <v>0</v>
          </cell>
        </row>
        <row r="881">
          <cell r="AM881">
            <v>0</v>
          </cell>
          <cell r="AN881">
            <v>0</v>
          </cell>
        </row>
        <row r="882">
          <cell r="AM882">
            <v>0</v>
          </cell>
          <cell r="AN882">
            <v>0</v>
          </cell>
        </row>
        <row r="883">
          <cell r="AM883">
            <v>0</v>
          </cell>
          <cell r="AN883">
            <v>0</v>
          </cell>
        </row>
        <row r="884">
          <cell r="AM884">
            <v>0</v>
          </cell>
          <cell r="AN884">
            <v>0</v>
          </cell>
        </row>
        <row r="885">
          <cell r="AM885">
            <v>0</v>
          </cell>
          <cell r="AN885">
            <v>0</v>
          </cell>
        </row>
        <row r="886">
          <cell r="AM886">
            <v>0</v>
          </cell>
          <cell r="AN886">
            <v>0</v>
          </cell>
        </row>
        <row r="887">
          <cell r="AM887">
            <v>0</v>
          </cell>
          <cell r="AN887">
            <v>0</v>
          </cell>
        </row>
        <row r="888">
          <cell r="AM888">
            <v>0</v>
          </cell>
          <cell r="AN888">
            <v>0</v>
          </cell>
        </row>
        <row r="889">
          <cell r="AM889">
            <v>0</v>
          </cell>
        </row>
        <row r="890">
          <cell r="AM890">
            <v>0</v>
          </cell>
        </row>
        <row r="891">
          <cell r="AM891">
            <v>0</v>
          </cell>
        </row>
        <row r="892">
          <cell r="AM892">
            <v>0</v>
          </cell>
          <cell r="AN892">
            <v>0</v>
          </cell>
        </row>
        <row r="893">
          <cell r="AM893">
            <v>0</v>
          </cell>
          <cell r="AN893">
            <v>0</v>
          </cell>
        </row>
        <row r="894">
          <cell r="A894">
            <v>31</v>
          </cell>
          <cell r="C894">
            <v>31</v>
          </cell>
          <cell r="D894" t="str">
            <v>광케이블심선접속(지하)</v>
          </cell>
          <cell r="E894" t="str">
            <v>OF-SM-13Core∼71Core이하</v>
          </cell>
          <cell r="F894" t="str">
            <v>Core</v>
          </cell>
          <cell r="AM894">
            <v>0</v>
          </cell>
          <cell r="AN894">
            <v>0</v>
          </cell>
        </row>
        <row r="895">
          <cell r="A895" t="str">
            <v>31-1</v>
          </cell>
          <cell r="B895">
            <v>541</v>
          </cell>
          <cell r="D895" t="str">
            <v>가. 재료비</v>
          </cell>
          <cell r="E895">
            <v>0</v>
          </cell>
          <cell r="F895">
            <v>0</v>
          </cell>
          <cell r="AM895">
            <v>0</v>
          </cell>
          <cell r="AN895">
            <v>0</v>
          </cell>
        </row>
        <row r="896">
          <cell r="A896" t="str">
            <v>31-2</v>
          </cell>
          <cell r="B896">
            <v>40</v>
          </cell>
          <cell r="D896" t="str">
            <v>가재</v>
          </cell>
          <cell r="E896" t="str">
            <v>10㎝x10㎝</v>
          </cell>
          <cell r="F896" t="str">
            <v>매</v>
          </cell>
          <cell r="V896" t="str">
            <v>=</v>
          </cell>
          <cell r="W896">
            <v>1</v>
          </cell>
          <cell r="Y896" t="str">
            <v>기본</v>
          </cell>
          <cell r="AM896">
            <v>43</v>
          </cell>
          <cell r="AN896">
            <v>0</v>
          </cell>
        </row>
        <row r="897">
          <cell r="A897" t="str">
            <v>31-3</v>
          </cell>
          <cell r="B897">
            <v>41</v>
          </cell>
          <cell r="D897" t="str">
            <v>젤리세척제</v>
          </cell>
          <cell r="E897">
            <v>0</v>
          </cell>
          <cell r="F897" t="str">
            <v>ℓ</v>
          </cell>
          <cell r="H897">
            <v>2E-3</v>
          </cell>
          <cell r="I897" t="str">
            <v>x</v>
          </cell>
          <cell r="J897">
            <v>1</v>
          </cell>
          <cell r="K897" t="str">
            <v>x</v>
          </cell>
          <cell r="M897">
            <v>0.25</v>
          </cell>
          <cell r="N897" t="str">
            <v>x</v>
          </cell>
          <cell r="O897">
            <v>1</v>
          </cell>
          <cell r="V897" t="str">
            <v>=</v>
          </cell>
          <cell r="W897">
            <v>5.0000000000000001E-4</v>
          </cell>
          <cell r="Y897" t="str">
            <v>기본</v>
          </cell>
          <cell r="Z897" t="str">
            <v>x</v>
          </cell>
          <cell r="AA897" t="str">
            <v>케이블길이</v>
          </cell>
          <cell r="AB897" t="str">
            <v>x</v>
          </cell>
          <cell r="AC897" t="str">
            <v>케이블심경</v>
          </cell>
          <cell r="AE897" t="str">
            <v>x</v>
          </cell>
          <cell r="AF897" t="str">
            <v>심선수</v>
          </cell>
          <cell r="AM897">
            <v>8000</v>
          </cell>
          <cell r="AN897">
            <v>0</v>
          </cell>
        </row>
        <row r="898">
          <cell r="A898" t="str">
            <v>31-4</v>
          </cell>
          <cell r="B898">
            <v>42</v>
          </cell>
          <cell r="D898" t="str">
            <v>열수축 슬리브</v>
          </cell>
          <cell r="E898">
            <v>0</v>
          </cell>
          <cell r="F898" t="str">
            <v>개</v>
          </cell>
          <cell r="V898" t="str">
            <v>=</v>
          </cell>
          <cell r="W898">
            <v>1</v>
          </cell>
          <cell r="Y898" t="str">
            <v>기본</v>
          </cell>
          <cell r="AM898">
            <v>400</v>
          </cell>
          <cell r="AN898">
            <v>0</v>
          </cell>
        </row>
        <row r="899">
          <cell r="A899" t="str">
            <v>31-5</v>
          </cell>
          <cell r="B899">
            <v>542</v>
          </cell>
          <cell r="D899" t="str">
            <v>나. 노무비</v>
          </cell>
          <cell r="E899">
            <v>0</v>
          </cell>
          <cell r="F899">
            <v>0</v>
          </cell>
          <cell r="AM899">
            <v>0</v>
          </cell>
          <cell r="AN899">
            <v>0</v>
          </cell>
        </row>
        <row r="900">
          <cell r="B900">
            <v>553</v>
          </cell>
          <cell r="D900" t="str">
            <v>광케이블설치사</v>
          </cell>
          <cell r="E900">
            <v>0</v>
          </cell>
          <cell r="F900" t="str">
            <v>인</v>
          </cell>
          <cell r="H900">
            <v>0.11</v>
          </cell>
          <cell r="I900" t="str">
            <v>x</v>
          </cell>
          <cell r="J900">
            <v>1</v>
          </cell>
          <cell r="K900" t="str">
            <v>x</v>
          </cell>
          <cell r="L900" t="str">
            <v>(</v>
          </cell>
          <cell r="M900">
            <v>1</v>
          </cell>
          <cell r="N900" t="str">
            <v>+</v>
          </cell>
          <cell r="O900">
            <v>0.02</v>
          </cell>
          <cell r="P900" t="str">
            <v>)</v>
          </cell>
          <cell r="V900" t="str">
            <v>=</v>
          </cell>
          <cell r="W900">
            <v>0.11</v>
          </cell>
          <cell r="Y900" t="str">
            <v>기본</v>
          </cell>
          <cell r="Z900" t="str">
            <v>x</v>
          </cell>
          <cell r="AA900" t="str">
            <v>단위량</v>
          </cell>
          <cell r="AB900" t="str">
            <v>x</v>
          </cell>
          <cell r="AC900" t="str">
            <v>(</v>
          </cell>
          <cell r="AD900">
            <v>1</v>
          </cell>
          <cell r="AE900" t="str">
            <v>+</v>
          </cell>
          <cell r="AF900" t="str">
            <v>지하</v>
          </cell>
          <cell r="AG900" t="str">
            <v>)</v>
          </cell>
          <cell r="AL900" t="str">
            <v>통 3-49(지하)</v>
          </cell>
          <cell r="AM900">
            <v>104231</v>
          </cell>
          <cell r="AN900">
            <v>0</v>
          </cell>
        </row>
        <row r="901">
          <cell r="B901">
            <v>522</v>
          </cell>
          <cell r="D901" t="str">
            <v>특별인부</v>
          </cell>
          <cell r="E901">
            <v>0</v>
          </cell>
          <cell r="F901" t="str">
            <v>인</v>
          </cell>
          <cell r="H901">
            <v>0.11</v>
          </cell>
          <cell r="I901" t="str">
            <v>x</v>
          </cell>
          <cell r="J901">
            <v>1</v>
          </cell>
          <cell r="K901" t="str">
            <v>x</v>
          </cell>
          <cell r="L901" t="str">
            <v>(</v>
          </cell>
          <cell r="M901">
            <v>1</v>
          </cell>
          <cell r="N901" t="str">
            <v>+</v>
          </cell>
          <cell r="O901">
            <v>0.02</v>
          </cell>
          <cell r="P901" t="str">
            <v>)</v>
          </cell>
          <cell r="V901" t="str">
            <v>=</v>
          </cell>
          <cell r="W901">
            <v>0.11</v>
          </cell>
          <cell r="Y901" t="str">
            <v>기본</v>
          </cell>
          <cell r="Z901" t="str">
            <v>x</v>
          </cell>
          <cell r="AA901" t="str">
            <v>단위량</v>
          </cell>
          <cell r="AB901" t="str">
            <v>x</v>
          </cell>
          <cell r="AC901" t="str">
            <v>(</v>
          </cell>
          <cell r="AD901">
            <v>1</v>
          </cell>
          <cell r="AE901" t="str">
            <v>+</v>
          </cell>
          <cell r="AF901" t="str">
            <v>지하</v>
          </cell>
          <cell r="AG901" t="str">
            <v>)</v>
          </cell>
          <cell r="AM901">
            <v>55970</v>
          </cell>
          <cell r="AN901">
            <v>0</v>
          </cell>
        </row>
        <row r="902">
          <cell r="B902">
            <v>544</v>
          </cell>
          <cell r="D902" t="str">
            <v>소    계</v>
          </cell>
          <cell r="E902">
            <v>0</v>
          </cell>
          <cell r="F902">
            <v>0</v>
          </cell>
          <cell r="AM902">
            <v>0</v>
          </cell>
          <cell r="AN902">
            <v>0</v>
          </cell>
        </row>
        <row r="903">
          <cell r="A903" t="str">
            <v>31-6</v>
          </cell>
          <cell r="B903">
            <v>553</v>
          </cell>
          <cell r="D903" t="str">
            <v>광케이블설치사</v>
          </cell>
          <cell r="E903">
            <v>0</v>
          </cell>
          <cell r="F903" t="str">
            <v>인</v>
          </cell>
          <cell r="V903" t="str">
            <v>=</v>
          </cell>
          <cell r="W903">
            <v>0.11</v>
          </cell>
          <cell r="AM903">
            <v>104231</v>
          </cell>
          <cell r="AN903">
            <v>0</v>
          </cell>
        </row>
        <row r="904">
          <cell r="A904" t="str">
            <v>31-7</v>
          </cell>
          <cell r="B904">
            <v>522</v>
          </cell>
          <cell r="D904" t="str">
            <v>특별인부</v>
          </cell>
          <cell r="E904">
            <v>0</v>
          </cell>
          <cell r="F904" t="str">
            <v>인</v>
          </cell>
          <cell r="V904" t="str">
            <v>=</v>
          </cell>
          <cell r="W904">
            <v>0.11</v>
          </cell>
          <cell r="AM904">
            <v>55970</v>
          </cell>
          <cell r="AN904">
            <v>0</v>
          </cell>
        </row>
        <row r="905">
          <cell r="A905" t="str">
            <v>31-8</v>
          </cell>
          <cell r="B905">
            <v>543</v>
          </cell>
          <cell r="D905" t="str">
            <v>다. 공구손료</v>
          </cell>
          <cell r="E905" t="str">
            <v>노무비x3%</v>
          </cell>
          <cell r="F905">
            <v>0</v>
          </cell>
          <cell r="AM905">
            <v>0</v>
          </cell>
          <cell r="AN905">
            <v>0</v>
          </cell>
        </row>
        <row r="906">
          <cell r="A906" t="str">
            <v>31-9</v>
          </cell>
          <cell r="B906">
            <v>553</v>
          </cell>
          <cell r="D906" t="str">
            <v>광케이블설치사</v>
          </cell>
          <cell r="E906">
            <v>0</v>
          </cell>
          <cell r="F906" t="str">
            <v>인</v>
          </cell>
          <cell r="H906">
            <v>0.11</v>
          </cell>
          <cell r="I906" t="str">
            <v>x</v>
          </cell>
          <cell r="J906">
            <v>0.03</v>
          </cell>
          <cell r="V906" t="str">
            <v>=</v>
          </cell>
          <cell r="W906" t="str">
            <v>0</v>
          </cell>
          <cell r="Y906" t="str">
            <v>기본</v>
          </cell>
          <cell r="Z906" t="str">
            <v>x</v>
          </cell>
          <cell r="AA906" t="str">
            <v>공구손료</v>
          </cell>
          <cell r="AM906">
            <v>104231</v>
          </cell>
          <cell r="AN906">
            <v>0</v>
          </cell>
        </row>
        <row r="907">
          <cell r="A907" t="str">
            <v>31-10</v>
          </cell>
          <cell r="B907">
            <v>522</v>
          </cell>
          <cell r="D907" t="str">
            <v>특별인부</v>
          </cell>
          <cell r="E907">
            <v>0</v>
          </cell>
          <cell r="F907" t="str">
            <v>인</v>
          </cell>
          <cell r="H907">
            <v>0.11</v>
          </cell>
          <cell r="I907" t="str">
            <v>x</v>
          </cell>
          <cell r="J907">
            <v>0.03</v>
          </cell>
          <cell r="V907" t="str">
            <v>=</v>
          </cell>
          <cell r="W907" t="str">
            <v>0</v>
          </cell>
          <cell r="Y907" t="str">
            <v>기본</v>
          </cell>
          <cell r="Z907" t="str">
            <v>x</v>
          </cell>
          <cell r="AA907" t="str">
            <v>공구손료</v>
          </cell>
          <cell r="AM907">
            <v>55970</v>
          </cell>
          <cell r="AN907">
            <v>0</v>
          </cell>
        </row>
        <row r="908">
          <cell r="AM908">
            <v>0</v>
          </cell>
          <cell r="AN908">
            <v>0</v>
          </cell>
        </row>
        <row r="909">
          <cell r="AM909">
            <v>0</v>
          </cell>
          <cell r="AN909">
            <v>0</v>
          </cell>
        </row>
        <row r="910">
          <cell r="AM910">
            <v>0</v>
          </cell>
          <cell r="AN910">
            <v>0</v>
          </cell>
        </row>
        <row r="911">
          <cell r="AM911">
            <v>0</v>
          </cell>
          <cell r="AN911">
            <v>0</v>
          </cell>
        </row>
        <row r="912">
          <cell r="AM912">
            <v>0</v>
          </cell>
          <cell r="AN912">
            <v>0</v>
          </cell>
        </row>
        <row r="913">
          <cell r="AM913">
            <v>0</v>
          </cell>
          <cell r="AN913">
            <v>0</v>
          </cell>
        </row>
        <row r="914">
          <cell r="AM914">
            <v>0</v>
          </cell>
          <cell r="AN914">
            <v>0</v>
          </cell>
        </row>
        <row r="915">
          <cell r="AM915">
            <v>0</v>
          </cell>
          <cell r="AN915">
            <v>0</v>
          </cell>
        </row>
        <row r="916">
          <cell r="AM916">
            <v>0</v>
          </cell>
        </row>
        <row r="917">
          <cell r="AM917">
            <v>0</v>
          </cell>
        </row>
        <row r="918">
          <cell r="AM918">
            <v>0</v>
          </cell>
        </row>
        <row r="919">
          <cell r="AM919">
            <v>0</v>
          </cell>
          <cell r="AN919">
            <v>0</v>
          </cell>
        </row>
        <row r="920">
          <cell r="AM920">
            <v>0</v>
          </cell>
          <cell r="AN920">
            <v>0</v>
          </cell>
        </row>
        <row r="921">
          <cell r="A921">
            <v>32</v>
          </cell>
          <cell r="C921">
            <v>32</v>
          </cell>
          <cell r="D921" t="str">
            <v>광케이블심선접속(지상)</v>
          </cell>
          <cell r="E921" t="str">
            <v>OF-SM-13Core∼71Core이하</v>
          </cell>
          <cell r="F921" t="str">
            <v>Core</v>
          </cell>
          <cell r="AM921">
            <v>0</v>
          </cell>
          <cell r="AN921">
            <v>0</v>
          </cell>
        </row>
        <row r="922">
          <cell r="A922" t="str">
            <v>32-1</v>
          </cell>
          <cell r="B922">
            <v>541</v>
          </cell>
          <cell r="D922" t="str">
            <v>가. 재료비</v>
          </cell>
          <cell r="E922">
            <v>0</v>
          </cell>
          <cell r="F922">
            <v>0</v>
          </cell>
          <cell r="AM922">
            <v>0</v>
          </cell>
          <cell r="AN922">
            <v>0</v>
          </cell>
        </row>
        <row r="923">
          <cell r="A923" t="str">
            <v>32-2</v>
          </cell>
          <cell r="B923">
            <v>40</v>
          </cell>
          <cell r="D923" t="str">
            <v>가재</v>
          </cell>
          <cell r="E923" t="str">
            <v>10㎝x10㎝</v>
          </cell>
          <cell r="F923" t="str">
            <v>매</v>
          </cell>
          <cell r="V923" t="str">
            <v>=</v>
          </cell>
          <cell r="W923">
            <v>1</v>
          </cell>
          <cell r="Y923" t="str">
            <v>기본</v>
          </cell>
          <cell r="AM923">
            <v>43</v>
          </cell>
          <cell r="AN923">
            <v>0</v>
          </cell>
        </row>
        <row r="924">
          <cell r="A924" t="str">
            <v>32-3</v>
          </cell>
          <cell r="B924">
            <v>41</v>
          </cell>
          <cell r="D924" t="str">
            <v>젤리세척제</v>
          </cell>
          <cell r="E924">
            <v>0</v>
          </cell>
          <cell r="F924" t="str">
            <v>ℓ</v>
          </cell>
          <cell r="H924">
            <v>2E-3</v>
          </cell>
          <cell r="I924" t="str">
            <v>x</v>
          </cell>
          <cell r="J924">
            <v>1</v>
          </cell>
          <cell r="K924" t="str">
            <v>x</v>
          </cell>
          <cell r="M924">
            <v>0.25</v>
          </cell>
          <cell r="N924" t="str">
            <v>x</v>
          </cell>
          <cell r="O924">
            <v>1</v>
          </cell>
          <cell r="V924" t="str">
            <v>=</v>
          </cell>
          <cell r="W924">
            <v>5.0000000000000001E-4</v>
          </cell>
          <cell r="Y924" t="str">
            <v>기본</v>
          </cell>
          <cell r="Z924" t="str">
            <v>x</v>
          </cell>
          <cell r="AA924" t="str">
            <v>케이블길이</v>
          </cell>
          <cell r="AB924" t="str">
            <v>x</v>
          </cell>
          <cell r="AC924" t="str">
            <v>케이블심경</v>
          </cell>
          <cell r="AE924" t="str">
            <v>x</v>
          </cell>
          <cell r="AF924" t="str">
            <v>심선수</v>
          </cell>
          <cell r="AM924">
            <v>8000</v>
          </cell>
          <cell r="AN924">
            <v>0</v>
          </cell>
        </row>
        <row r="925">
          <cell r="A925" t="str">
            <v>32-4</v>
          </cell>
          <cell r="B925">
            <v>42</v>
          </cell>
          <cell r="D925" t="str">
            <v>열수축 슬리브</v>
          </cell>
          <cell r="E925">
            <v>0</v>
          </cell>
          <cell r="F925" t="str">
            <v>개</v>
          </cell>
          <cell r="V925" t="str">
            <v>=</v>
          </cell>
          <cell r="W925">
            <v>1</v>
          </cell>
          <cell r="Y925" t="str">
            <v>기본</v>
          </cell>
          <cell r="AM925">
            <v>400</v>
          </cell>
          <cell r="AN925">
            <v>0</v>
          </cell>
        </row>
        <row r="926">
          <cell r="A926" t="str">
            <v>32-5</v>
          </cell>
          <cell r="B926">
            <v>542</v>
          </cell>
          <cell r="D926" t="str">
            <v>나. 노무비</v>
          </cell>
          <cell r="E926">
            <v>0</v>
          </cell>
          <cell r="F926">
            <v>0</v>
          </cell>
          <cell r="AM926">
            <v>0</v>
          </cell>
          <cell r="AN926">
            <v>0</v>
          </cell>
        </row>
        <row r="927">
          <cell r="B927">
            <v>553</v>
          </cell>
          <cell r="D927" t="str">
            <v>광케이블설치사</v>
          </cell>
          <cell r="E927">
            <v>0</v>
          </cell>
          <cell r="F927" t="str">
            <v>인</v>
          </cell>
          <cell r="H927">
            <v>0.11</v>
          </cell>
          <cell r="I927" t="str">
            <v>x</v>
          </cell>
          <cell r="J927">
            <v>1</v>
          </cell>
          <cell r="V927" t="str">
            <v>=</v>
          </cell>
          <cell r="W927">
            <v>0.11</v>
          </cell>
          <cell r="Y927" t="str">
            <v>기본</v>
          </cell>
          <cell r="Z927" t="str">
            <v>x</v>
          </cell>
          <cell r="AA927" t="str">
            <v>단위량</v>
          </cell>
          <cell r="AL927" t="str">
            <v>통 3-49</v>
          </cell>
          <cell r="AM927">
            <v>104231</v>
          </cell>
          <cell r="AN927">
            <v>0</v>
          </cell>
        </row>
        <row r="928">
          <cell r="B928">
            <v>522</v>
          </cell>
          <cell r="D928" t="str">
            <v>특별인부</v>
          </cell>
          <cell r="E928">
            <v>0</v>
          </cell>
          <cell r="F928" t="str">
            <v>인</v>
          </cell>
          <cell r="H928">
            <v>0.11</v>
          </cell>
          <cell r="I928" t="str">
            <v>x</v>
          </cell>
          <cell r="J928">
            <v>1</v>
          </cell>
          <cell r="V928" t="str">
            <v>=</v>
          </cell>
          <cell r="W928">
            <v>0.11</v>
          </cell>
          <cell r="Y928" t="str">
            <v>기본</v>
          </cell>
          <cell r="Z928" t="str">
            <v>x</v>
          </cell>
          <cell r="AA928" t="str">
            <v>단위량</v>
          </cell>
          <cell r="AM928">
            <v>55970</v>
          </cell>
          <cell r="AN928">
            <v>0</v>
          </cell>
        </row>
        <row r="929">
          <cell r="B929">
            <v>544</v>
          </cell>
          <cell r="D929" t="str">
            <v>소    계</v>
          </cell>
          <cell r="E929">
            <v>0</v>
          </cell>
          <cell r="F929">
            <v>0</v>
          </cell>
          <cell r="AM929">
            <v>0</v>
          </cell>
          <cell r="AN929">
            <v>0</v>
          </cell>
        </row>
        <row r="930">
          <cell r="A930" t="str">
            <v>32-6</v>
          </cell>
          <cell r="B930">
            <v>553</v>
          </cell>
          <cell r="D930" t="str">
            <v>광케이블설치사</v>
          </cell>
          <cell r="E930">
            <v>0</v>
          </cell>
          <cell r="F930" t="str">
            <v>인</v>
          </cell>
          <cell r="V930" t="str">
            <v>=</v>
          </cell>
          <cell r="W930">
            <v>0.11</v>
          </cell>
          <cell r="AM930">
            <v>104231</v>
          </cell>
          <cell r="AN930">
            <v>0</v>
          </cell>
        </row>
        <row r="931">
          <cell r="A931" t="str">
            <v>32-7</v>
          </cell>
          <cell r="B931">
            <v>522</v>
          </cell>
          <cell r="D931" t="str">
            <v>특별인부</v>
          </cell>
          <cell r="E931">
            <v>0</v>
          </cell>
          <cell r="F931" t="str">
            <v>인</v>
          </cell>
          <cell r="V931" t="str">
            <v>=</v>
          </cell>
          <cell r="W931">
            <v>0.11</v>
          </cell>
          <cell r="AM931">
            <v>55970</v>
          </cell>
          <cell r="AN931">
            <v>0</v>
          </cell>
        </row>
        <row r="932">
          <cell r="A932" t="str">
            <v>32-8</v>
          </cell>
          <cell r="B932">
            <v>543</v>
          </cell>
          <cell r="D932" t="str">
            <v>다. 공구손료</v>
          </cell>
          <cell r="E932" t="str">
            <v>노무비x3%</v>
          </cell>
          <cell r="F932">
            <v>0</v>
          </cell>
          <cell r="AM932">
            <v>0</v>
          </cell>
          <cell r="AN932">
            <v>0</v>
          </cell>
        </row>
        <row r="933">
          <cell r="A933" t="str">
            <v>32-9</v>
          </cell>
          <cell r="B933">
            <v>553</v>
          </cell>
          <cell r="D933" t="str">
            <v>광케이블설치사</v>
          </cell>
          <cell r="E933">
            <v>0</v>
          </cell>
          <cell r="F933" t="str">
            <v>인</v>
          </cell>
          <cell r="H933">
            <v>0.11</v>
          </cell>
          <cell r="I933" t="str">
            <v>x</v>
          </cell>
          <cell r="J933">
            <v>0.03</v>
          </cell>
          <cell r="V933" t="str">
            <v>=</v>
          </cell>
          <cell r="W933" t="str">
            <v>0</v>
          </cell>
          <cell r="Y933" t="str">
            <v>기본</v>
          </cell>
          <cell r="Z933" t="str">
            <v>x</v>
          </cell>
          <cell r="AA933" t="str">
            <v>공구손료</v>
          </cell>
          <cell r="AM933">
            <v>104231</v>
          </cell>
          <cell r="AN933">
            <v>0</v>
          </cell>
        </row>
        <row r="934">
          <cell r="A934" t="str">
            <v>32-10</v>
          </cell>
          <cell r="B934">
            <v>522</v>
          </cell>
          <cell r="D934" t="str">
            <v>특별인부</v>
          </cell>
          <cell r="E934">
            <v>0</v>
          </cell>
          <cell r="F934" t="str">
            <v>인</v>
          </cell>
          <cell r="H934">
            <v>0.11</v>
          </cell>
          <cell r="I934" t="str">
            <v>x</v>
          </cell>
          <cell r="J934">
            <v>0.03</v>
          </cell>
          <cell r="V934" t="str">
            <v>=</v>
          </cell>
          <cell r="W934" t="str">
            <v>0</v>
          </cell>
          <cell r="Y934" t="str">
            <v>기본</v>
          </cell>
          <cell r="Z934" t="str">
            <v>x</v>
          </cell>
          <cell r="AA934" t="str">
            <v>공구손료</v>
          </cell>
          <cell r="AM934">
            <v>55970</v>
          </cell>
          <cell r="AN934">
            <v>0</v>
          </cell>
        </row>
        <row r="935">
          <cell r="AM935">
            <v>0</v>
          </cell>
          <cell r="AN935">
            <v>0</v>
          </cell>
        </row>
        <row r="936">
          <cell r="AM936">
            <v>0</v>
          </cell>
          <cell r="AN936">
            <v>0</v>
          </cell>
        </row>
        <row r="937">
          <cell r="AM937">
            <v>0</v>
          </cell>
          <cell r="AN937">
            <v>0</v>
          </cell>
        </row>
        <row r="938">
          <cell r="AM938">
            <v>0</v>
          </cell>
          <cell r="AN938">
            <v>0</v>
          </cell>
        </row>
        <row r="939">
          <cell r="AM939">
            <v>0</v>
          </cell>
          <cell r="AN939">
            <v>0</v>
          </cell>
        </row>
        <row r="940">
          <cell r="AM940">
            <v>0</v>
          </cell>
          <cell r="AN940">
            <v>0</v>
          </cell>
        </row>
        <row r="941">
          <cell r="AM941">
            <v>0</v>
          </cell>
          <cell r="AN941">
            <v>0</v>
          </cell>
        </row>
        <row r="942">
          <cell r="AM942">
            <v>0</v>
          </cell>
          <cell r="AN942">
            <v>0</v>
          </cell>
        </row>
        <row r="943">
          <cell r="AM943">
            <v>0</v>
          </cell>
        </row>
        <row r="944">
          <cell r="AM944">
            <v>0</v>
          </cell>
        </row>
        <row r="945">
          <cell r="AM945">
            <v>0</v>
          </cell>
        </row>
        <row r="946">
          <cell r="AM946">
            <v>0</v>
          </cell>
          <cell r="AN946">
            <v>0</v>
          </cell>
        </row>
        <row r="947">
          <cell r="AM947">
            <v>0</v>
          </cell>
          <cell r="AN947">
            <v>0</v>
          </cell>
        </row>
        <row r="948">
          <cell r="A948">
            <v>33</v>
          </cell>
          <cell r="C948">
            <v>33</v>
          </cell>
          <cell r="D948" t="str">
            <v>광케이블심선접속(지하)</v>
          </cell>
          <cell r="E948" t="str">
            <v>OF-SM-72Cor이상(3m이상)</v>
          </cell>
          <cell r="F948" t="str">
            <v>Core</v>
          </cell>
          <cell r="AM948">
            <v>0</v>
          </cell>
          <cell r="AN948">
            <v>0</v>
          </cell>
        </row>
        <row r="949">
          <cell r="A949" t="str">
            <v>33-1</v>
          </cell>
          <cell r="B949">
            <v>541</v>
          </cell>
          <cell r="D949" t="str">
            <v>가. 재료비</v>
          </cell>
          <cell r="E949">
            <v>0</v>
          </cell>
          <cell r="F949">
            <v>0</v>
          </cell>
          <cell r="AM949">
            <v>0</v>
          </cell>
          <cell r="AN949">
            <v>0</v>
          </cell>
        </row>
        <row r="950">
          <cell r="A950" t="str">
            <v>33-2</v>
          </cell>
          <cell r="B950">
            <v>40</v>
          </cell>
          <cell r="D950" t="str">
            <v>가재</v>
          </cell>
          <cell r="E950" t="str">
            <v>10㎝x10㎝</v>
          </cell>
          <cell r="F950" t="str">
            <v>매</v>
          </cell>
          <cell r="V950" t="str">
            <v>=</v>
          </cell>
          <cell r="W950">
            <v>1</v>
          </cell>
          <cell r="Y950" t="str">
            <v>기본</v>
          </cell>
          <cell r="AM950">
            <v>43</v>
          </cell>
          <cell r="AN950">
            <v>0</v>
          </cell>
        </row>
        <row r="951">
          <cell r="A951" t="str">
            <v>33-3</v>
          </cell>
          <cell r="B951">
            <v>41</v>
          </cell>
          <cell r="D951" t="str">
            <v>젤리세척제</v>
          </cell>
          <cell r="E951">
            <v>0</v>
          </cell>
          <cell r="F951" t="str">
            <v>ℓ</v>
          </cell>
          <cell r="H951">
            <v>2E-3</v>
          </cell>
          <cell r="I951" t="str">
            <v>x</v>
          </cell>
          <cell r="J951">
            <v>1</v>
          </cell>
          <cell r="K951" t="str">
            <v>x</v>
          </cell>
          <cell r="M951">
            <v>0.25</v>
          </cell>
          <cell r="N951" t="str">
            <v>x</v>
          </cell>
          <cell r="O951">
            <v>1</v>
          </cell>
          <cell r="V951" t="str">
            <v>=</v>
          </cell>
          <cell r="W951">
            <v>5.0000000000000001E-4</v>
          </cell>
          <cell r="Y951" t="str">
            <v>기본</v>
          </cell>
          <cell r="Z951" t="str">
            <v>x</v>
          </cell>
          <cell r="AA951" t="str">
            <v>케이블길이</v>
          </cell>
          <cell r="AB951" t="str">
            <v>x</v>
          </cell>
          <cell r="AC951" t="str">
            <v>케이블심경</v>
          </cell>
          <cell r="AE951" t="str">
            <v>x</v>
          </cell>
          <cell r="AF951" t="str">
            <v>심선수</v>
          </cell>
          <cell r="AM951">
            <v>8000</v>
          </cell>
          <cell r="AN951">
            <v>0</v>
          </cell>
        </row>
        <row r="952">
          <cell r="A952" t="str">
            <v>33-4</v>
          </cell>
          <cell r="B952">
            <v>42</v>
          </cell>
          <cell r="D952" t="str">
            <v>열수축 슬리브</v>
          </cell>
          <cell r="E952">
            <v>0</v>
          </cell>
          <cell r="F952" t="str">
            <v>개</v>
          </cell>
          <cell r="V952" t="str">
            <v>=</v>
          </cell>
          <cell r="W952">
            <v>1</v>
          </cell>
          <cell r="Y952" t="str">
            <v>기본</v>
          </cell>
          <cell r="AM952">
            <v>400</v>
          </cell>
          <cell r="AN952">
            <v>0</v>
          </cell>
        </row>
        <row r="953">
          <cell r="A953" t="str">
            <v>33-5</v>
          </cell>
          <cell r="B953">
            <v>542</v>
          </cell>
          <cell r="D953" t="str">
            <v>나. 노무비</v>
          </cell>
          <cell r="E953">
            <v>0</v>
          </cell>
          <cell r="F953">
            <v>0</v>
          </cell>
          <cell r="AM953">
            <v>0</v>
          </cell>
          <cell r="AN953">
            <v>0</v>
          </cell>
        </row>
        <row r="954">
          <cell r="B954">
            <v>553</v>
          </cell>
          <cell r="D954" t="str">
            <v>광케이블설치사</v>
          </cell>
          <cell r="E954">
            <v>0</v>
          </cell>
          <cell r="F954" t="str">
            <v>인</v>
          </cell>
          <cell r="H954">
            <v>0.06</v>
          </cell>
          <cell r="I954" t="str">
            <v>x</v>
          </cell>
          <cell r="J954">
            <v>1</v>
          </cell>
          <cell r="K954" t="str">
            <v>x</v>
          </cell>
          <cell r="L954" t="str">
            <v>(</v>
          </cell>
          <cell r="M954">
            <v>1</v>
          </cell>
          <cell r="N954" t="str">
            <v>+</v>
          </cell>
          <cell r="O954">
            <v>0.02</v>
          </cell>
          <cell r="P954" t="str">
            <v>)</v>
          </cell>
          <cell r="V954" t="str">
            <v>=</v>
          </cell>
          <cell r="W954">
            <v>0.06</v>
          </cell>
          <cell r="Y954" t="str">
            <v>기본</v>
          </cell>
          <cell r="Z954" t="str">
            <v>x</v>
          </cell>
          <cell r="AA954" t="str">
            <v>단위량</v>
          </cell>
          <cell r="AB954" t="str">
            <v>x</v>
          </cell>
          <cell r="AC954" t="str">
            <v>(</v>
          </cell>
          <cell r="AD954">
            <v>1</v>
          </cell>
          <cell r="AE954" t="str">
            <v>+</v>
          </cell>
          <cell r="AF954" t="str">
            <v>지하</v>
          </cell>
          <cell r="AG954" t="str">
            <v>)</v>
          </cell>
          <cell r="AL954" t="str">
            <v>통 3-49(지하)</v>
          </cell>
          <cell r="AM954">
            <v>104231</v>
          </cell>
          <cell r="AN954">
            <v>0</v>
          </cell>
        </row>
        <row r="955">
          <cell r="B955">
            <v>522</v>
          </cell>
          <cell r="D955" t="str">
            <v>특별인부</v>
          </cell>
          <cell r="E955">
            <v>0</v>
          </cell>
          <cell r="F955" t="str">
            <v>인</v>
          </cell>
          <cell r="H955">
            <v>0.06</v>
          </cell>
          <cell r="I955" t="str">
            <v>x</v>
          </cell>
          <cell r="J955">
            <v>1</v>
          </cell>
          <cell r="K955" t="str">
            <v>x</v>
          </cell>
          <cell r="L955" t="str">
            <v>(</v>
          </cell>
          <cell r="M955">
            <v>1</v>
          </cell>
          <cell r="N955" t="str">
            <v>+</v>
          </cell>
          <cell r="O955">
            <v>0.02</v>
          </cell>
          <cell r="P955" t="str">
            <v>)</v>
          </cell>
          <cell r="V955" t="str">
            <v>=</v>
          </cell>
          <cell r="W955">
            <v>0.06</v>
          </cell>
          <cell r="Y955" t="str">
            <v>기본</v>
          </cell>
          <cell r="Z955" t="str">
            <v>x</v>
          </cell>
          <cell r="AA955" t="str">
            <v>단위량</v>
          </cell>
          <cell r="AB955" t="str">
            <v>x</v>
          </cell>
          <cell r="AC955" t="str">
            <v>(</v>
          </cell>
          <cell r="AD955">
            <v>1</v>
          </cell>
          <cell r="AE955" t="str">
            <v>+</v>
          </cell>
          <cell r="AF955" t="str">
            <v>지하</v>
          </cell>
          <cell r="AG955" t="str">
            <v>)</v>
          </cell>
          <cell r="AM955">
            <v>55970</v>
          </cell>
          <cell r="AN955">
            <v>0</v>
          </cell>
        </row>
        <row r="956">
          <cell r="B956">
            <v>544</v>
          </cell>
          <cell r="D956" t="str">
            <v>소    계</v>
          </cell>
          <cell r="E956">
            <v>0</v>
          </cell>
          <cell r="F956">
            <v>0</v>
          </cell>
          <cell r="AM956">
            <v>0</v>
          </cell>
          <cell r="AN956">
            <v>0</v>
          </cell>
        </row>
        <row r="957">
          <cell r="A957" t="str">
            <v>33-6</v>
          </cell>
          <cell r="B957">
            <v>553</v>
          </cell>
          <cell r="D957" t="str">
            <v>광케이블설치사</v>
          </cell>
          <cell r="E957">
            <v>0</v>
          </cell>
          <cell r="F957" t="str">
            <v>인</v>
          </cell>
          <cell r="V957" t="str">
            <v>=</v>
          </cell>
          <cell r="W957">
            <v>0.06</v>
          </cell>
          <cell r="AM957">
            <v>104231</v>
          </cell>
          <cell r="AN957">
            <v>0</v>
          </cell>
        </row>
        <row r="958">
          <cell r="A958" t="str">
            <v>33-7</v>
          </cell>
          <cell r="B958">
            <v>522</v>
          </cell>
          <cell r="D958" t="str">
            <v>특별인부</v>
          </cell>
          <cell r="E958">
            <v>0</v>
          </cell>
          <cell r="F958" t="str">
            <v>인</v>
          </cell>
          <cell r="V958" t="str">
            <v>=</v>
          </cell>
          <cell r="W958">
            <v>0.06</v>
          </cell>
          <cell r="AM958">
            <v>55970</v>
          </cell>
          <cell r="AN958">
            <v>0</v>
          </cell>
        </row>
        <row r="959">
          <cell r="A959" t="str">
            <v>33-8</v>
          </cell>
          <cell r="B959">
            <v>543</v>
          </cell>
          <cell r="D959" t="str">
            <v>다. 공구손료</v>
          </cell>
          <cell r="E959" t="str">
            <v>노무비x3%</v>
          </cell>
          <cell r="F959">
            <v>0</v>
          </cell>
          <cell r="AM959">
            <v>0</v>
          </cell>
          <cell r="AN959">
            <v>0</v>
          </cell>
        </row>
        <row r="960">
          <cell r="A960" t="str">
            <v>33-9</v>
          </cell>
          <cell r="B960">
            <v>553</v>
          </cell>
          <cell r="D960" t="str">
            <v>광케이블설치사</v>
          </cell>
          <cell r="E960">
            <v>0</v>
          </cell>
          <cell r="F960" t="str">
            <v>인</v>
          </cell>
          <cell r="H960">
            <v>0.06</v>
          </cell>
          <cell r="I960" t="str">
            <v>x</v>
          </cell>
          <cell r="J960">
            <v>0.03</v>
          </cell>
          <cell r="V960" t="str">
            <v>=</v>
          </cell>
          <cell r="W960" t="str">
            <v>0</v>
          </cell>
          <cell r="Y960" t="str">
            <v>기본</v>
          </cell>
          <cell r="Z960" t="str">
            <v>x</v>
          </cell>
          <cell r="AA960" t="str">
            <v>공구손료</v>
          </cell>
          <cell r="AM960">
            <v>104231</v>
          </cell>
          <cell r="AN960">
            <v>0</v>
          </cell>
        </row>
        <row r="961">
          <cell r="A961" t="str">
            <v>33-10</v>
          </cell>
          <cell r="B961">
            <v>522</v>
          </cell>
          <cell r="D961" t="str">
            <v>특별인부</v>
          </cell>
          <cell r="E961">
            <v>0</v>
          </cell>
          <cell r="F961" t="str">
            <v>인</v>
          </cell>
          <cell r="H961">
            <v>0.06</v>
          </cell>
          <cell r="I961" t="str">
            <v>x</v>
          </cell>
          <cell r="J961">
            <v>0.03</v>
          </cell>
          <cell r="V961" t="str">
            <v>=</v>
          </cell>
          <cell r="W961" t="str">
            <v>0</v>
          </cell>
          <cell r="Y961" t="str">
            <v>기본</v>
          </cell>
          <cell r="Z961" t="str">
            <v>x</v>
          </cell>
          <cell r="AA961" t="str">
            <v>공구손료</v>
          </cell>
          <cell r="AM961">
            <v>55970</v>
          </cell>
          <cell r="AN961">
            <v>0</v>
          </cell>
        </row>
        <row r="962">
          <cell r="AM962">
            <v>0</v>
          </cell>
          <cell r="AN962">
            <v>0</v>
          </cell>
        </row>
        <row r="963">
          <cell r="AM963">
            <v>0</v>
          </cell>
          <cell r="AN963">
            <v>0</v>
          </cell>
        </row>
        <row r="964">
          <cell r="AM964">
            <v>0</v>
          </cell>
          <cell r="AN964">
            <v>0</v>
          </cell>
        </row>
        <row r="965">
          <cell r="AM965">
            <v>0</v>
          </cell>
          <cell r="AN965">
            <v>0</v>
          </cell>
        </row>
        <row r="966">
          <cell r="AM966">
            <v>0</v>
          </cell>
          <cell r="AN966">
            <v>0</v>
          </cell>
        </row>
        <row r="967">
          <cell r="AM967">
            <v>0</v>
          </cell>
          <cell r="AN967">
            <v>0</v>
          </cell>
        </row>
        <row r="968">
          <cell r="AM968">
            <v>0</v>
          </cell>
          <cell r="AN968">
            <v>0</v>
          </cell>
        </row>
        <row r="969">
          <cell r="AM969">
            <v>0</v>
          </cell>
          <cell r="AN969">
            <v>0</v>
          </cell>
        </row>
        <row r="970">
          <cell r="AM970">
            <v>0</v>
          </cell>
        </row>
        <row r="971">
          <cell r="AM971">
            <v>0</v>
          </cell>
        </row>
        <row r="972">
          <cell r="AM972">
            <v>0</v>
          </cell>
        </row>
        <row r="973">
          <cell r="AM973">
            <v>0</v>
          </cell>
          <cell r="AN973">
            <v>0</v>
          </cell>
        </row>
        <row r="974">
          <cell r="AM974">
            <v>0</v>
          </cell>
          <cell r="AN974">
            <v>0</v>
          </cell>
        </row>
        <row r="975">
          <cell r="A975">
            <v>34</v>
          </cell>
          <cell r="C975">
            <v>34</v>
          </cell>
          <cell r="D975" t="str">
            <v>광케이블심선접속(지상)</v>
          </cell>
          <cell r="E975" t="str">
            <v>OF-SM-72Cor이상(3m이상)</v>
          </cell>
          <cell r="F975" t="str">
            <v>Core</v>
          </cell>
          <cell r="AM975">
            <v>0</v>
          </cell>
          <cell r="AN975">
            <v>0</v>
          </cell>
        </row>
        <row r="976">
          <cell r="A976" t="str">
            <v>34-1</v>
          </cell>
          <cell r="B976">
            <v>541</v>
          </cell>
          <cell r="D976" t="str">
            <v>가. 재료비</v>
          </cell>
          <cell r="E976">
            <v>0</v>
          </cell>
          <cell r="F976">
            <v>0</v>
          </cell>
          <cell r="AM976">
            <v>0</v>
          </cell>
          <cell r="AN976">
            <v>0</v>
          </cell>
        </row>
        <row r="977">
          <cell r="A977" t="str">
            <v>34-2</v>
          </cell>
          <cell r="B977">
            <v>40</v>
          </cell>
          <cell r="D977" t="str">
            <v>가재</v>
          </cell>
          <cell r="E977" t="str">
            <v>10㎝x10㎝</v>
          </cell>
          <cell r="F977" t="str">
            <v>매</v>
          </cell>
          <cell r="V977" t="str">
            <v>=</v>
          </cell>
          <cell r="W977">
            <v>1</v>
          </cell>
          <cell r="Y977" t="str">
            <v>기본</v>
          </cell>
          <cell r="AM977">
            <v>43</v>
          </cell>
          <cell r="AN977">
            <v>0</v>
          </cell>
        </row>
        <row r="978">
          <cell r="A978" t="str">
            <v>34-3</v>
          </cell>
          <cell r="B978">
            <v>41</v>
          </cell>
          <cell r="D978" t="str">
            <v>젤리세척제</v>
          </cell>
          <cell r="E978">
            <v>0</v>
          </cell>
          <cell r="F978" t="str">
            <v>ℓ</v>
          </cell>
          <cell r="H978">
            <v>2E-3</v>
          </cell>
          <cell r="I978" t="str">
            <v>x</v>
          </cell>
          <cell r="J978">
            <v>1</v>
          </cell>
          <cell r="K978" t="str">
            <v>x</v>
          </cell>
          <cell r="M978">
            <v>0.25</v>
          </cell>
          <cell r="N978" t="str">
            <v>x</v>
          </cell>
          <cell r="O978">
            <v>1</v>
          </cell>
          <cell r="V978" t="str">
            <v>=</v>
          </cell>
          <cell r="W978">
            <v>5.0000000000000001E-4</v>
          </cell>
          <cell r="Y978" t="str">
            <v>기본</v>
          </cell>
          <cell r="Z978" t="str">
            <v>x</v>
          </cell>
          <cell r="AA978" t="str">
            <v>케이블길이</v>
          </cell>
          <cell r="AB978" t="str">
            <v>x</v>
          </cell>
          <cell r="AC978" t="str">
            <v>케이블심경</v>
          </cell>
          <cell r="AE978" t="str">
            <v>x</v>
          </cell>
          <cell r="AF978" t="str">
            <v>심선수</v>
          </cell>
          <cell r="AM978">
            <v>8000</v>
          </cell>
          <cell r="AN978">
            <v>0</v>
          </cell>
        </row>
        <row r="979">
          <cell r="A979" t="str">
            <v>34-4</v>
          </cell>
          <cell r="B979">
            <v>42</v>
          </cell>
          <cell r="D979" t="str">
            <v>열수축 슬리브</v>
          </cell>
          <cell r="E979">
            <v>0</v>
          </cell>
          <cell r="F979" t="str">
            <v>개</v>
          </cell>
          <cell r="V979" t="str">
            <v>=</v>
          </cell>
          <cell r="W979">
            <v>1</v>
          </cell>
          <cell r="Y979" t="str">
            <v>기본</v>
          </cell>
          <cell r="AM979">
            <v>400</v>
          </cell>
          <cell r="AN979">
            <v>0</v>
          </cell>
        </row>
        <row r="980">
          <cell r="A980" t="str">
            <v>34-5</v>
          </cell>
          <cell r="B980">
            <v>542</v>
          </cell>
          <cell r="D980" t="str">
            <v>나. 노무비</v>
          </cell>
          <cell r="E980">
            <v>0</v>
          </cell>
          <cell r="F980">
            <v>0</v>
          </cell>
          <cell r="AM980">
            <v>0</v>
          </cell>
          <cell r="AN980">
            <v>0</v>
          </cell>
        </row>
        <row r="981">
          <cell r="B981">
            <v>553</v>
          </cell>
          <cell r="D981" t="str">
            <v>광케이블설치사</v>
          </cell>
          <cell r="E981">
            <v>0</v>
          </cell>
          <cell r="F981" t="str">
            <v>인</v>
          </cell>
          <cell r="H981">
            <v>0.06</v>
          </cell>
          <cell r="I981" t="str">
            <v>x</v>
          </cell>
          <cell r="J981">
            <v>1</v>
          </cell>
          <cell r="V981" t="str">
            <v>=</v>
          </cell>
          <cell r="W981">
            <v>0.06</v>
          </cell>
          <cell r="Y981" t="str">
            <v>기본</v>
          </cell>
          <cell r="Z981" t="str">
            <v>x</v>
          </cell>
          <cell r="AA981" t="str">
            <v>단위량</v>
          </cell>
          <cell r="AL981" t="str">
            <v>통 3-49</v>
          </cell>
          <cell r="AM981">
            <v>104231</v>
          </cell>
          <cell r="AN981">
            <v>0</v>
          </cell>
        </row>
        <row r="982">
          <cell r="B982">
            <v>522</v>
          </cell>
          <cell r="D982" t="str">
            <v>특별인부</v>
          </cell>
          <cell r="E982">
            <v>0</v>
          </cell>
          <cell r="F982" t="str">
            <v>인</v>
          </cell>
          <cell r="H982">
            <v>0.06</v>
          </cell>
          <cell r="I982" t="str">
            <v>x</v>
          </cell>
          <cell r="J982">
            <v>1</v>
          </cell>
          <cell r="V982" t="str">
            <v>=</v>
          </cell>
          <cell r="W982">
            <v>0.06</v>
          </cell>
          <cell r="Y982" t="str">
            <v>기본</v>
          </cell>
          <cell r="Z982" t="str">
            <v>x</v>
          </cell>
          <cell r="AA982" t="str">
            <v>단위량</v>
          </cell>
          <cell r="AM982">
            <v>55970</v>
          </cell>
          <cell r="AN982">
            <v>0</v>
          </cell>
        </row>
        <row r="983">
          <cell r="B983">
            <v>544</v>
          </cell>
          <cell r="D983" t="str">
            <v>소    계</v>
          </cell>
          <cell r="E983">
            <v>0</v>
          </cell>
          <cell r="F983">
            <v>0</v>
          </cell>
          <cell r="AM983">
            <v>0</v>
          </cell>
          <cell r="AN983">
            <v>0</v>
          </cell>
        </row>
        <row r="984">
          <cell r="A984" t="str">
            <v>34-6</v>
          </cell>
          <cell r="B984">
            <v>553</v>
          </cell>
          <cell r="D984" t="str">
            <v>광케이블설치사</v>
          </cell>
          <cell r="E984">
            <v>0</v>
          </cell>
          <cell r="F984" t="str">
            <v>인</v>
          </cell>
          <cell r="V984" t="str">
            <v>=</v>
          </cell>
          <cell r="W984">
            <v>0.06</v>
          </cell>
          <cell r="AM984">
            <v>104231</v>
          </cell>
          <cell r="AN984">
            <v>0</v>
          </cell>
        </row>
        <row r="985">
          <cell r="A985" t="str">
            <v>34-7</v>
          </cell>
          <cell r="B985">
            <v>522</v>
          </cell>
          <cell r="D985" t="str">
            <v>특별인부</v>
          </cell>
          <cell r="E985">
            <v>0</v>
          </cell>
          <cell r="F985" t="str">
            <v>인</v>
          </cell>
          <cell r="V985" t="str">
            <v>=</v>
          </cell>
          <cell r="W985">
            <v>0.06</v>
          </cell>
          <cell r="AM985">
            <v>55970</v>
          </cell>
          <cell r="AN985">
            <v>0</v>
          </cell>
        </row>
        <row r="986">
          <cell r="A986" t="str">
            <v>34-8</v>
          </cell>
          <cell r="B986">
            <v>543</v>
          </cell>
          <cell r="D986" t="str">
            <v>다. 공구손료</v>
          </cell>
          <cell r="E986" t="str">
            <v>노무비x3%</v>
          </cell>
          <cell r="F986">
            <v>0</v>
          </cell>
          <cell r="AM986">
            <v>0</v>
          </cell>
          <cell r="AN986">
            <v>0</v>
          </cell>
        </row>
        <row r="987">
          <cell r="A987" t="str">
            <v>34-9</v>
          </cell>
          <cell r="B987">
            <v>553</v>
          </cell>
          <cell r="D987" t="str">
            <v>광케이블설치사</v>
          </cell>
          <cell r="E987">
            <v>0</v>
          </cell>
          <cell r="F987" t="str">
            <v>인</v>
          </cell>
          <cell r="H987">
            <v>0.06</v>
          </cell>
          <cell r="I987" t="str">
            <v>x</v>
          </cell>
          <cell r="J987">
            <v>0.03</v>
          </cell>
          <cell r="V987" t="str">
            <v>=</v>
          </cell>
          <cell r="W987" t="str">
            <v>0</v>
          </cell>
          <cell r="Y987" t="str">
            <v>기본</v>
          </cell>
          <cell r="Z987" t="str">
            <v>x</v>
          </cell>
          <cell r="AA987" t="str">
            <v>공구손료</v>
          </cell>
          <cell r="AM987">
            <v>104231</v>
          </cell>
          <cell r="AN987">
            <v>0</v>
          </cell>
        </row>
        <row r="988">
          <cell r="A988" t="str">
            <v>34-10</v>
          </cell>
          <cell r="B988">
            <v>522</v>
          </cell>
          <cell r="D988" t="str">
            <v>특별인부</v>
          </cell>
          <cell r="E988">
            <v>0</v>
          </cell>
          <cell r="F988" t="str">
            <v>인</v>
          </cell>
          <cell r="H988">
            <v>0.06</v>
          </cell>
          <cell r="I988" t="str">
            <v>x</v>
          </cell>
          <cell r="J988">
            <v>0.03</v>
          </cell>
          <cell r="V988" t="str">
            <v>=</v>
          </cell>
          <cell r="W988" t="str">
            <v>0</v>
          </cell>
          <cell r="Y988" t="str">
            <v>기본</v>
          </cell>
          <cell r="Z988" t="str">
            <v>x</v>
          </cell>
          <cell r="AA988" t="str">
            <v>공구손료</v>
          </cell>
          <cell r="AM988">
            <v>55970</v>
          </cell>
          <cell r="AN988">
            <v>0</v>
          </cell>
        </row>
        <row r="989">
          <cell r="AM989">
            <v>0</v>
          </cell>
          <cell r="AN989">
            <v>0</v>
          </cell>
        </row>
        <row r="990">
          <cell r="AM990">
            <v>0</v>
          </cell>
          <cell r="AN990">
            <v>0</v>
          </cell>
        </row>
        <row r="991">
          <cell r="AM991">
            <v>0</v>
          </cell>
          <cell r="AN991">
            <v>0</v>
          </cell>
        </row>
        <row r="992">
          <cell r="AM992">
            <v>0</v>
          </cell>
          <cell r="AN992">
            <v>0</v>
          </cell>
        </row>
        <row r="993">
          <cell r="AM993">
            <v>0</v>
          </cell>
          <cell r="AN993">
            <v>0</v>
          </cell>
        </row>
        <row r="994">
          <cell r="AM994">
            <v>0</v>
          </cell>
          <cell r="AN994">
            <v>0</v>
          </cell>
        </row>
        <row r="995">
          <cell r="AM995">
            <v>0</v>
          </cell>
          <cell r="AN995">
            <v>0</v>
          </cell>
        </row>
        <row r="996">
          <cell r="AM996">
            <v>0</v>
          </cell>
          <cell r="AN996">
            <v>0</v>
          </cell>
        </row>
        <row r="997">
          <cell r="AM997">
            <v>0</v>
          </cell>
        </row>
        <row r="998">
          <cell r="AM998">
            <v>0</v>
          </cell>
        </row>
        <row r="999">
          <cell r="AM999">
            <v>0</v>
          </cell>
        </row>
        <row r="1000">
          <cell r="AM1000">
            <v>0</v>
          </cell>
          <cell r="AN1000">
            <v>0</v>
          </cell>
        </row>
        <row r="1001">
          <cell r="AM1001">
            <v>0</v>
          </cell>
          <cell r="AN1001">
            <v>0</v>
          </cell>
        </row>
        <row r="1002">
          <cell r="A1002">
            <v>35</v>
          </cell>
          <cell r="C1002">
            <v>35</v>
          </cell>
          <cell r="D1002" t="str">
            <v>광케이블외피접속(지하)</v>
          </cell>
          <cell r="E1002" t="str">
            <v>OF-SM-12Core 이하</v>
          </cell>
          <cell r="F1002" t="str">
            <v>개소</v>
          </cell>
          <cell r="AM1002">
            <v>0</v>
          </cell>
          <cell r="AN1002">
            <v>0</v>
          </cell>
        </row>
        <row r="1003">
          <cell r="A1003" t="str">
            <v>35-1</v>
          </cell>
          <cell r="B1003">
            <v>541</v>
          </cell>
          <cell r="D1003" t="str">
            <v>가. 재료비</v>
          </cell>
          <cell r="E1003">
            <v>0</v>
          </cell>
          <cell r="F1003">
            <v>0</v>
          </cell>
          <cell r="AM1003">
            <v>0</v>
          </cell>
          <cell r="AN1003">
            <v>0</v>
          </cell>
        </row>
        <row r="1004">
          <cell r="A1004" t="str">
            <v>35-2</v>
          </cell>
          <cell r="B1004">
            <v>43</v>
          </cell>
          <cell r="D1004" t="str">
            <v>광접속함체</v>
          </cell>
          <cell r="E1004" t="str">
            <v>12Core</v>
          </cell>
          <cell r="F1004" t="str">
            <v>조</v>
          </cell>
          <cell r="V1004" t="str">
            <v>=</v>
          </cell>
          <cell r="W1004">
            <v>1</v>
          </cell>
          <cell r="AM1004">
            <v>251550</v>
          </cell>
          <cell r="AN1004">
            <v>0</v>
          </cell>
        </row>
        <row r="1005">
          <cell r="A1005" t="str">
            <v>35-3</v>
          </cell>
          <cell r="B1005">
            <v>542</v>
          </cell>
          <cell r="D1005" t="str">
            <v>나. 노무비</v>
          </cell>
          <cell r="E1005">
            <v>0</v>
          </cell>
          <cell r="F1005">
            <v>0</v>
          </cell>
          <cell r="AM1005">
            <v>0</v>
          </cell>
          <cell r="AN1005">
            <v>0</v>
          </cell>
        </row>
        <row r="1006">
          <cell r="B1006">
            <v>553</v>
          </cell>
          <cell r="D1006" t="str">
            <v>광케이블설치사</v>
          </cell>
          <cell r="E1006">
            <v>0</v>
          </cell>
          <cell r="F1006" t="str">
            <v>인</v>
          </cell>
          <cell r="H1006">
            <v>0.67</v>
          </cell>
          <cell r="I1006" t="str">
            <v>x</v>
          </cell>
          <cell r="J1006">
            <v>1</v>
          </cell>
          <cell r="K1006" t="str">
            <v>x</v>
          </cell>
          <cell r="L1006" t="str">
            <v>(</v>
          </cell>
          <cell r="M1006">
            <v>1</v>
          </cell>
          <cell r="N1006" t="str">
            <v>+</v>
          </cell>
          <cell r="O1006">
            <v>0.02</v>
          </cell>
          <cell r="P1006" t="str">
            <v>)</v>
          </cell>
          <cell r="V1006" t="str">
            <v>=</v>
          </cell>
          <cell r="W1006">
            <v>0.68</v>
          </cell>
          <cell r="Y1006" t="str">
            <v>기본</v>
          </cell>
          <cell r="Z1006" t="str">
            <v>x</v>
          </cell>
          <cell r="AA1006" t="str">
            <v>단위량</v>
          </cell>
          <cell r="AB1006" t="str">
            <v>x</v>
          </cell>
          <cell r="AC1006" t="str">
            <v>(</v>
          </cell>
          <cell r="AD1006">
            <v>1</v>
          </cell>
          <cell r="AE1006" t="str">
            <v>+</v>
          </cell>
          <cell r="AF1006" t="str">
            <v>지하</v>
          </cell>
          <cell r="AG1006" t="str">
            <v>)</v>
          </cell>
          <cell r="AL1006" t="str">
            <v>통 3-49(지하)</v>
          </cell>
          <cell r="AM1006">
            <v>104231</v>
          </cell>
          <cell r="AN1006">
            <v>0</v>
          </cell>
        </row>
        <row r="1007">
          <cell r="B1007">
            <v>522</v>
          </cell>
          <cell r="D1007" t="str">
            <v>특별인부</v>
          </cell>
          <cell r="E1007">
            <v>0</v>
          </cell>
          <cell r="F1007" t="str">
            <v>인</v>
          </cell>
          <cell r="H1007">
            <v>0.31</v>
          </cell>
          <cell r="I1007" t="str">
            <v>x</v>
          </cell>
          <cell r="J1007">
            <v>1</v>
          </cell>
          <cell r="K1007" t="str">
            <v>x</v>
          </cell>
          <cell r="L1007" t="str">
            <v>(</v>
          </cell>
          <cell r="M1007">
            <v>1</v>
          </cell>
          <cell r="N1007" t="str">
            <v>+</v>
          </cell>
          <cell r="O1007">
            <v>0.02</v>
          </cell>
          <cell r="P1007" t="str">
            <v>)</v>
          </cell>
          <cell r="V1007" t="str">
            <v>=</v>
          </cell>
          <cell r="W1007">
            <v>0.32</v>
          </cell>
          <cell r="Y1007" t="str">
            <v>기본</v>
          </cell>
          <cell r="Z1007" t="str">
            <v>x</v>
          </cell>
          <cell r="AA1007" t="str">
            <v>단위량</v>
          </cell>
          <cell r="AB1007" t="str">
            <v>x</v>
          </cell>
          <cell r="AC1007" t="str">
            <v>(</v>
          </cell>
          <cell r="AD1007">
            <v>1</v>
          </cell>
          <cell r="AE1007" t="str">
            <v>+</v>
          </cell>
          <cell r="AF1007" t="str">
            <v>지하</v>
          </cell>
          <cell r="AG1007" t="str">
            <v>)</v>
          </cell>
          <cell r="AM1007">
            <v>55970</v>
          </cell>
          <cell r="AN1007">
            <v>0</v>
          </cell>
        </row>
        <row r="1008">
          <cell r="B1008">
            <v>544</v>
          </cell>
          <cell r="D1008" t="str">
            <v>소    계</v>
          </cell>
          <cell r="E1008">
            <v>0</v>
          </cell>
          <cell r="F1008">
            <v>0</v>
          </cell>
          <cell r="AM1008">
            <v>0</v>
          </cell>
          <cell r="AN1008">
            <v>0</v>
          </cell>
        </row>
        <row r="1009">
          <cell r="A1009" t="str">
            <v>35-4</v>
          </cell>
          <cell r="B1009">
            <v>553</v>
          </cell>
          <cell r="D1009" t="str">
            <v>광케이블설치사</v>
          </cell>
          <cell r="E1009">
            <v>0</v>
          </cell>
          <cell r="F1009" t="str">
            <v>인</v>
          </cell>
          <cell r="V1009" t="str">
            <v>=</v>
          </cell>
          <cell r="W1009">
            <v>0.68</v>
          </cell>
          <cell r="AM1009">
            <v>104231</v>
          </cell>
          <cell r="AN1009">
            <v>0</v>
          </cell>
        </row>
        <row r="1010">
          <cell r="A1010" t="str">
            <v>35-5</v>
          </cell>
          <cell r="B1010">
            <v>522</v>
          </cell>
          <cell r="D1010" t="str">
            <v>특별인부</v>
          </cell>
          <cell r="E1010">
            <v>0</v>
          </cell>
          <cell r="F1010" t="str">
            <v>인</v>
          </cell>
          <cell r="V1010" t="str">
            <v>=</v>
          </cell>
          <cell r="W1010">
            <v>0.32</v>
          </cell>
          <cell r="AM1010">
            <v>55970</v>
          </cell>
          <cell r="AN1010">
            <v>0</v>
          </cell>
        </row>
        <row r="1011">
          <cell r="A1011" t="str">
            <v>35-6</v>
          </cell>
          <cell r="B1011">
            <v>543</v>
          </cell>
          <cell r="D1011" t="str">
            <v>다. 공구손료</v>
          </cell>
          <cell r="E1011" t="str">
            <v>노무비x3%</v>
          </cell>
          <cell r="F1011">
            <v>0</v>
          </cell>
          <cell r="AM1011">
            <v>0</v>
          </cell>
          <cell r="AN1011">
            <v>0</v>
          </cell>
        </row>
        <row r="1012">
          <cell r="A1012" t="str">
            <v>35-7</v>
          </cell>
          <cell r="B1012">
            <v>553</v>
          </cell>
          <cell r="D1012" t="str">
            <v>광케이블설치사</v>
          </cell>
          <cell r="E1012">
            <v>0</v>
          </cell>
          <cell r="F1012" t="str">
            <v>인</v>
          </cell>
          <cell r="H1012">
            <v>0.67</v>
          </cell>
          <cell r="I1012" t="str">
            <v>x</v>
          </cell>
          <cell r="J1012">
            <v>0.03</v>
          </cell>
          <cell r="V1012" t="str">
            <v>=</v>
          </cell>
          <cell r="W1012">
            <v>0.02</v>
          </cell>
          <cell r="Y1012" t="str">
            <v>기본</v>
          </cell>
          <cell r="Z1012" t="str">
            <v>x</v>
          </cell>
          <cell r="AA1012" t="str">
            <v>공구손료</v>
          </cell>
          <cell r="AM1012">
            <v>104231</v>
          </cell>
          <cell r="AN1012">
            <v>0</v>
          </cell>
        </row>
        <row r="1013">
          <cell r="A1013" t="str">
            <v>35-8</v>
          </cell>
          <cell r="B1013">
            <v>522</v>
          </cell>
          <cell r="D1013" t="str">
            <v>특별인부</v>
          </cell>
          <cell r="E1013">
            <v>0</v>
          </cell>
          <cell r="F1013" t="str">
            <v>인</v>
          </cell>
          <cell r="H1013">
            <v>0.31</v>
          </cell>
          <cell r="I1013" t="str">
            <v>x</v>
          </cell>
          <cell r="J1013">
            <v>0.03</v>
          </cell>
          <cell r="V1013" t="str">
            <v>=</v>
          </cell>
          <cell r="W1013">
            <v>0.01</v>
          </cell>
          <cell r="Y1013" t="str">
            <v>기본</v>
          </cell>
          <cell r="Z1013" t="str">
            <v>x</v>
          </cell>
          <cell r="AA1013" t="str">
            <v>공구손료</v>
          </cell>
          <cell r="AM1013">
            <v>55970</v>
          </cell>
          <cell r="AN1013">
            <v>0</v>
          </cell>
        </row>
        <row r="1014">
          <cell r="AM1014">
            <v>0</v>
          </cell>
          <cell r="AN1014">
            <v>0</v>
          </cell>
        </row>
        <row r="1015">
          <cell r="AM1015">
            <v>0</v>
          </cell>
          <cell r="AN1015">
            <v>0</v>
          </cell>
        </row>
        <row r="1016">
          <cell r="AM1016">
            <v>0</v>
          </cell>
          <cell r="AN1016">
            <v>0</v>
          </cell>
        </row>
        <row r="1017">
          <cell r="AM1017">
            <v>0</v>
          </cell>
          <cell r="AN1017">
            <v>0</v>
          </cell>
        </row>
        <row r="1018">
          <cell r="AM1018">
            <v>0</v>
          </cell>
          <cell r="AN1018">
            <v>0</v>
          </cell>
        </row>
        <row r="1019">
          <cell r="AM1019">
            <v>0</v>
          </cell>
          <cell r="AN1019">
            <v>0</v>
          </cell>
        </row>
        <row r="1020">
          <cell r="AM1020">
            <v>0</v>
          </cell>
          <cell r="AN1020">
            <v>0</v>
          </cell>
        </row>
        <row r="1021">
          <cell r="AM1021">
            <v>0</v>
          </cell>
        </row>
        <row r="1022">
          <cell r="AM1022">
            <v>0</v>
          </cell>
          <cell r="AN1022">
            <v>0</v>
          </cell>
        </row>
        <row r="1023">
          <cell r="AM1023">
            <v>0</v>
          </cell>
          <cell r="AN1023">
            <v>0</v>
          </cell>
        </row>
        <row r="1024">
          <cell r="AM1024">
            <v>0</v>
          </cell>
          <cell r="AN1024">
            <v>0</v>
          </cell>
        </row>
        <row r="1025">
          <cell r="AM1025">
            <v>0</v>
          </cell>
          <cell r="AN1025">
            <v>0</v>
          </cell>
        </row>
        <row r="1026">
          <cell r="AM1026">
            <v>0</v>
          </cell>
          <cell r="AN1026">
            <v>0</v>
          </cell>
        </row>
        <row r="1027">
          <cell r="AM1027">
            <v>0</v>
          </cell>
          <cell r="AN1027">
            <v>0</v>
          </cell>
        </row>
        <row r="1028">
          <cell r="AM1028">
            <v>0</v>
          </cell>
          <cell r="AN1028">
            <v>0</v>
          </cell>
        </row>
        <row r="1029">
          <cell r="A1029">
            <v>36</v>
          </cell>
          <cell r="C1029">
            <v>36</v>
          </cell>
          <cell r="D1029" t="str">
            <v>광케이블외피접속(지상)</v>
          </cell>
          <cell r="E1029" t="str">
            <v>OF-SM-12Core 이하</v>
          </cell>
          <cell r="F1029" t="str">
            <v>개소</v>
          </cell>
          <cell r="AM1029">
            <v>0</v>
          </cell>
          <cell r="AN1029">
            <v>0</v>
          </cell>
        </row>
        <row r="1030">
          <cell r="A1030" t="str">
            <v>36-1</v>
          </cell>
          <cell r="B1030">
            <v>541</v>
          </cell>
          <cell r="D1030" t="str">
            <v>가. 재료비</v>
          </cell>
          <cell r="E1030">
            <v>0</v>
          </cell>
          <cell r="F1030">
            <v>0</v>
          </cell>
          <cell r="AM1030">
            <v>0</v>
          </cell>
          <cell r="AN1030">
            <v>0</v>
          </cell>
        </row>
        <row r="1031">
          <cell r="A1031" t="str">
            <v>36-2</v>
          </cell>
          <cell r="B1031">
            <v>43</v>
          </cell>
          <cell r="D1031" t="str">
            <v>광접속함체</v>
          </cell>
          <cell r="E1031" t="str">
            <v>12Core</v>
          </cell>
          <cell r="F1031" t="str">
            <v>조</v>
          </cell>
          <cell r="V1031" t="str">
            <v>=</v>
          </cell>
          <cell r="W1031">
            <v>1</v>
          </cell>
          <cell r="AM1031">
            <v>251550</v>
          </cell>
          <cell r="AN1031">
            <v>0</v>
          </cell>
        </row>
        <row r="1032">
          <cell r="A1032" t="str">
            <v>36-3</v>
          </cell>
          <cell r="B1032">
            <v>542</v>
          </cell>
          <cell r="D1032" t="str">
            <v>나. 노무비</v>
          </cell>
          <cell r="E1032">
            <v>0</v>
          </cell>
          <cell r="F1032">
            <v>0</v>
          </cell>
          <cell r="AM1032">
            <v>0</v>
          </cell>
          <cell r="AN1032">
            <v>0</v>
          </cell>
        </row>
        <row r="1033">
          <cell r="B1033">
            <v>553</v>
          </cell>
          <cell r="D1033" t="str">
            <v>광케이블설치사</v>
          </cell>
          <cell r="E1033">
            <v>0</v>
          </cell>
          <cell r="F1033" t="str">
            <v>인</v>
          </cell>
          <cell r="H1033">
            <v>0.67</v>
          </cell>
          <cell r="I1033" t="str">
            <v>x</v>
          </cell>
          <cell r="J1033">
            <v>1</v>
          </cell>
          <cell r="V1033" t="str">
            <v>=</v>
          </cell>
          <cell r="W1033">
            <v>0.67</v>
          </cell>
          <cell r="Y1033" t="str">
            <v>기본</v>
          </cell>
          <cell r="Z1033" t="str">
            <v>x</v>
          </cell>
          <cell r="AA1033" t="str">
            <v>단위량</v>
          </cell>
          <cell r="AL1033" t="str">
            <v>통 3-49</v>
          </cell>
          <cell r="AM1033">
            <v>104231</v>
          </cell>
          <cell r="AN1033">
            <v>0</v>
          </cell>
        </row>
        <row r="1034">
          <cell r="B1034">
            <v>522</v>
          </cell>
          <cell r="D1034" t="str">
            <v>특별인부</v>
          </cell>
          <cell r="E1034">
            <v>0</v>
          </cell>
          <cell r="F1034" t="str">
            <v>인</v>
          </cell>
          <cell r="H1034">
            <v>0.31</v>
          </cell>
          <cell r="I1034" t="str">
            <v>x</v>
          </cell>
          <cell r="J1034">
            <v>1</v>
          </cell>
          <cell r="V1034" t="str">
            <v>=</v>
          </cell>
          <cell r="W1034">
            <v>0.31</v>
          </cell>
          <cell r="Y1034" t="str">
            <v>기본</v>
          </cell>
          <cell r="Z1034" t="str">
            <v>x</v>
          </cell>
          <cell r="AA1034" t="str">
            <v>단위량</v>
          </cell>
          <cell r="AM1034">
            <v>55970</v>
          </cell>
          <cell r="AN1034">
            <v>0</v>
          </cell>
        </row>
        <row r="1035">
          <cell r="B1035">
            <v>544</v>
          </cell>
          <cell r="D1035" t="str">
            <v>소    계</v>
          </cell>
          <cell r="E1035">
            <v>0</v>
          </cell>
          <cell r="F1035">
            <v>0</v>
          </cell>
          <cell r="AM1035">
            <v>0</v>
          </cell>
          <cell r="AN1035">
            <v>0</v>
          </cell>
        </row>
        <row r="1036">
          <cell r="A1036" t="str">
            <v>36-4</v>
          </cell>
          <cell r="B1036">
            <v>553</v>
          </cell>
          <cell r="D1036" t="str">
            <v>광케이블설치사</v>
          </cell>
          <cell r="E1036">
            <v>0</v>
          </cell>
          <cell r="F1036" t="str">
            <v>인</v>
          </cell>
          <cell r="V1036" t="str">
            <v>=</v>
          </cell>
          <cell r="W1036">
            <v>0.67</v>
          </cell>
          <cell r="AM1036">
            <v>104231</v>
          </cell>
          <cell r="AN1036">
            <v>0</v>
          </cell>
        </row>
        <row r="1037">
          <cell r="A1037" t="str">
            <v>36-5</v>
          </cell>
          <cell r="B1037">
            <v>522</v>
          </cell>
          <cell r="D1037" t="str">
            <v>특별인부</v>
          </cell>
          <cell r="E1037">
            <v>0</v>
          </cell>
          <cell r="F1037" t="str">
            <v>인</v>
          </cell>
          <cell r="V1037" t="str">
            <v>=</v>
          </cell>
          <cell r="W1037">
            <v>0.31</v>
          </cell>
          <cell r="AM1037">
            <v>55970</v>
          </cell>
          <cell r="AN1037">
            <v>0</v>
          </cell>
        </row>
        <row r="1038">
          <cell r="A1038" t="str">
            <v>36-6</v>
          </cell>
          <cell r="B1038">
            <v>543</v>
          </cell>
          <cell r="D1038" t="str">
            <v>다. 공구손료</v>
          </cell>
          <cell r="E1038" t="str">
            <v>노무비x3%</v>
          </cell>
          <cell r="F1038">
            <v>0</v>
          </cell>
          <cell r="AM1038">
            <v>0</v>
          </cell>
          <cell r="AN1038">
            <v>0</v>
          </cell>
        </row>
        <row r="1039">
          <cell r="A1039" t="str">
            <v>36-7</v>
          </cell>
          <cell r="B1039">
            <v>553</v>
          </cell>
          <cell r="D1039" t="str">
            <v>광케이블설치사</v>
          </cell>
          <cell r="E1039">
            <v>0</v>
          </cell>
          <cell r="F1039" t="str">
            <v>인</v>
          </cell>
          <cell r="H1039">
            <v>0.67</v>
          </cell>
          <cell r="I1039" t="str">
            <v>x</v>
          </cell>
          <cell r="J1039">
            <v>0.03</v>
          </cell>
          <cell r="V1039" t="str">
            <v>=</v>
          </cell>
          <cell r="W1039">
            <v>0.02</v>
          </cell>
          <cell r="Y1039" t="str">
            <v>기본</v>
          </cell>
          <cell r="Z1039" t="str">
            <v>x</v>
          </cell>
          <cell r="AA1039" t="str">
            <v>공구손료</v>
          </cell>
          <cell r="AM1039">
            <v>104231</v>
          </cell>
          <cell r="AN1039">
            <v>0</v>
          </cell>
        </row>
        <row r="1040">
          <cell r="A1040" t="str">
            <v>36-8</v>
          </cell>
          <cell r="B1040">
            <v>522</v>
          </cell>
          <cell r="D1040" t="str">
            <v>특별인부</v>
          </cell>
          <cell r="E1040">
            <v>0</v>
          </cell>
          <cell r="F1040" t="str">
            <v>인</v>
          </cell>
          <cell r="H1040">
            <v>0.31</v>
          </cell>
          <cell r="I1040" t="str">
            <v>x</v>
          </cell>
          <cell r="J1040">
            <v>0.03</v>
          </cell>
          <cell r="V1040" t="str">
            <v>=</v>
          </cell>
          <cell r="W1040">
            <v>0.01</v>
          </cell>
          <cell r="Y1040" t="str">
            <v>기본</v>
          </cell>
          <cell r="Z1040" t="str">
            <v>x</v>
          </cell>
          <cell r="AA1040" t="str">
            <v>공구손료</v>
          </cell>
          <cell r="AM1040">
            <v>55970</v>
          </cell>
          <cell r="AN1040">
            <v>0</v>
          </cell>
        </row>
        <row r="1041">
          <cell r="AM1041">
            <v>0</v>
          </cell>
          <cell r="AN1041">
            <v>0</v>
          </cell>
        </row>
        <row r="1042">
          <cell r="AM1042">
            <v>0</v>
          </cell>
          <cell r="AN1042">
            <v>0</v>
          </cell>
        </row>
        <row r="1043">
          <cell r="AM1043">
            <v>0</v>
          </cell>
          <cell r="AN1043">
            <v>0</v>
          </cell>
        </row>
        <row r="1044">
          <cell r="AM1044">
            <v>0</v>
          </cell>
          <cell r="AN1044">
            <v>0</v>
          </cell>
        </row>
        <row r="1045">
          <cell r="AM1045">
            <v>0</v>
          </cell>
          <cell r="AN1045">
            <v>0</v>
          </cell>
        </row>
        <row r="1046">
          <cell r="AM1046">
            <v>0</v>
          </cell>
          <cell r="AN1046">
            <v>0</v>
          </cell>
        </row>
        <row r="1047">
          <cell r="AM1047">
            <v>0</v>
          </cell>
          <cell r="AN1047">
            <v>0</v>
          </cell>
        </row>
        <row r="1048">
          <cell r="AM1048">
            <v>0</v>
          </cell>
        </row>
        <row r="1049">
          <cell r="AM1049">
            <v>0</v>
          </cell>
          <cell r="AN1049">
            <v>0</v>
          </cell>
        </row>
        <row r="1050">
          <cell r="AM1050">
            <v>0</v>
          </cell>
          <cell r="AN1050">
            <v>0</v>
          </cell>
        </row>
        <row r="1051">
          <cell r="AM1051">
            <v>0</v>
          </cell>
          <cell r="AN1051">
            <v>0</v>
          </cell>
        </row>
        <row r="1052">
          <cell r="AM1052">
            <v>0</v>
          </cell>
          <cell r="AN1052">
            <v>0</v>
          </cell>
        </row>
        <row r="1053">
          <cell r="AM1053">
            <v>0</v>
          </cell>
          <cell r="AN1053">
            <v>0</v>
          </cell>
        </row>
        <row r="1054">
          <cell r="AM1054">
            <v>0</v>
          </cell>
          <cell r="AN1054">
            <v>0</v>
          </cell>
        </row>
        <row r="1055">
          <cell r="AM1055">
            <v>0</v>
          </cell>
          <cell r="AN1055">
            <v>0</v>
          </cell>
        </row>
        <row r="1056">
          <cell r="A1056">
            <v>37</v>
          </cell>
          <cell r="C1056">
            <v>37</v>
          </cell>
          <cell r="D1056" t="str">
            <v>광케이블외피접속(지하)</v>
          </cell>
          <cell r="E1056" t="str">
            <v>OF-SM-24Core 이하</v>
          </cell>
          <cell r="F1056" t="str">
            <v>개소</v>
          </cell>
          <cell r="AM1056">
            <v>0</v>
          </cell>
          <cell r="AN1056">
            <v>0</v>
          </cell>
        </row>
        <row r="1057">
          <cell r="A1057" t="str">
            <v>37-1</v>
          </cell>
          <cell r="B1057">
            <v>541</v>
          </cell>
          <cell r="D1057" t="str">
            <v>가. 재료비</v>
          </cell>
          <cell r="E1057">
            <v>0</v>
          </cell>
          <cell r="F1057">
            <v>0</v>
          </cell>
          <cell r="AM1057">
            <v>0</v>
          </cell>
          <cell r="AN1057">
            <v>0</v>
          </cell>
        </row>
        <row r="1058">
          <cell r="A1058" t="str">
            <v>37-2</v>
          </cell>
          <cell r="B1058">
            <v>45</v>
          </cell>
          <cell r="D1058" t="str">
            <v>광접속함체</v>
          </cell>
          <cell r="E1058" t="str">
            <v>24Core</v>
          </cell>
          <cell r="F1058" t="str">
            <v>조</v>
          </cell>
          <cell r="V1058" t="str">
            <v>=</v>
          </cell>
          <cell r="W1058">
            <v>1</v>
          </cell>
          <cell r="AM1058">
            <v>331500</v>
          </cell>
          <cell r="AN1058">
            <v>0</v>
          </cell>
        </row>
        <row r="1059">
          <cell r="A1059" t="str">
            <v>37-3</v>
          </cell>
          <cell r="B1059">
            <v>542</v>
          </cell>
          <cell r="D1059" t="str">
            <v>나. 노무비</v>
          </cell>
          <cell r="E1059">
            <v>0</v>
          </cell>
          <cell r="F1059">
            <v>0</v>
          </cell>
          <cell r="AM1059">
            <v>0</v>
          </cell>
          <cell r="AN1059">
            <v>0</v>
          </cell>
        </row>
        <row r="1060">
          <cell r="B1060">
            <v>553</v>
          </cell>
          <cell r="D1060" t="str">
            <v>광케이블설치사</v>
          </cell>
          <cell r="E1060">
            <v>0</v>
          </cell>
          <cell r="F1060" t="str">
            <v>인</v>
          </cell>
          <cell r="H1060">
            <v>0.67</v>
          </cell>
          <cell r="I1060" t="str">
            <v>x</v>
          </cell>
          <cell r="J1060">
            <v>1</v>
          </cell>
          <cell r="K1060" t="str">
            <v>x</v>
          </cell>
          <cell r="L1060" t="str">
            <v>(</v>
          </cell>
          <cell r="M1060">
            <v>1</v>
          </cell>
          <cell r="N1060" t="str">
            <v>+</v>
          </cell>
          <cell r="O1060">
            <v>0.02</v>
          </cell>
          <cell r="P1060" t="str">
            <v>)</v>
          </cell>
          <cell r="V1060" t="str">
            <v>=</v>
          </cell>
          <cell r="W1060">
            <v>0.68</v>
          </cell>
          <cell r="Y1060" t="str">
            <v>기본</v>
          </cell>
          <cell r="Z1060" t="str">
            <v>x</v>
          </cell>
          <cell r="AA1060" t="str">
            <v>단위량</v>
          </cell>
          <cell r="AB1060" t="str">
            <v>x</v>
          </cell>
          <cell r="AC1060" t="str">
            <v>(</v>
          </cell>
          <cell r="AD1060">
            <v>1</v>
          </cell>
          <cell r="AE1060" t="str">
            <v>+</v>
          </cell>
          <cell r="AF1060" t="str">
            <v>지하</v>
          </cell>
          <cell r="AG1060" t="str">
            <v>)</v>
          </cell>
          <cell r="AL1060" t="str">
            <v>통 3-49(지하)</v>
          </cell>
          <cell r="AM1060">
            <v>104231</v>
          </cell>
          <cell r="AN1060">
            <v>0</v>
          </cell>
        </row>
        <row r="1061">
          <cell r="B1061">
            <v>522</v>
          </cell>
          <cell r="D1061" t="str">
            <v>특별인부</v>
          </cell>
          <cell r="E1061">
            <v>0</v>
          </cell>
          <cell r="F1061" t="str">
            <v>인</v>
          </cell>
          <cell r="H1061">
            <v>0.31</v>
          </cell>
          <cell r="I1061" t="str">
            <v>x</v>
          </cell>
          <cell r="J1061">
            <v>1</v>
          </cell>
          <cell r="K1061" t="str">
            <v>x</v>
          </cell>
          <cell r="L1061" t="str">
            <v>(</v>
          </cell>
          <cell r="M1061">
            <v>1</v>
          </cell>
          <cell r="N1061" t="str">
            <v>+</v>
          </cell>
          <cell r="O1061">
            <v>0.02</v>
          </cell>
          <cell r="P1061" t="str">
            <v>)</v>
          </cell>
          <cell r="V1061" t="str">
            <v>=</v>
          </cell>
          <cell r="W1061">
            <v>0.32</v>
          </cell>
          <cell r="Y1061" t="str">
            <v>기본</v>
          </cell>
          <cell r="Z1061" t="str">
            <v>x</v>
          </cell>
          <cell r="AA1061" t="str">
            <v>단위량</v>
          </cell>
          <cell r="AB1061" t="str">
            <v>x</v>
          </cell>
          <cell r="AC1061" t="str">
            <v>(</v>
          </cell>
          <cell r="AD1061">
            <v>1</v>
          </cell>
          <cell r="AE1061" t="str">
            <v>+</v>
          </cell>
          <cell r="AF1061" t="str">
            <v>지하</v>
          </cell>
          <cell r="AG1061" t="str">
            <v>)</v>
          </cell>
          <cell r="AM1061">
            <v>55970</v>
          </cell>
          <cell r="AN1061">
            <v>0</v>
          </cell>
        </row>
        <row r="1062">
          <cell r="B1062">
            <v>544</v>
          </cell>
          <cell r="D1062" t="str">
            <v>소    계</v>
          </cell>
          <cell r="E1062">
            <v>0</v>
          </cell>
          <cell r="F1062">
            <v>0</v>
          </cell>
          <cell r="AM1062">
            <v>0</v>
          </cell>
          <cell r="AN1062">
            <v>0</v>
          </cell>
        </row>
        <row r="1063">
          <cell r="A1063" t="str">
            <v>37-4</v>
          </cell>
          <cell r="B1063">
            <v>553</v>
          </cell>
          <cell r="D1063" t="str">
            <v>광케이블설치사</v>
          </cell>
          <cell r="E1063">
            <v>0</v>
          </cell>
          <cell r="F1063" t="str">
            <v>인</v>
          </cell>
          <cell r="V1063" t="str">
            <v>=</v>
          </cell>
          <cell r="W1063">
            <v>0.68</v>
          </cell>
          <cell r="AM1063">
            <v>104231</v>
          </cell>
          <cell r="AN1063">
            <v>0</v>
          </cell>
        </row>
        <row r="1064">
          <cell r="A1064" t="str">
            <v>37-5</v>
          </cell>
          <cell r="B1064">
            <v>522</v>
          </cell>
          <cell r="D1064" t="str">
            <v>특별인부</v>
          </cell>
          <cell r="E1064">
            <v>0</v>
          </cell>
          <cell r="F1064" t="str">
            <v>인</v>
          </cell>
          <cell r="V1064" t="str">
            <v>=</v>
          </cell>
          <cell r="W1064">
            <v>0.32</v>
          </cell>
          <cell r="AM1064">
            <v>55970</v>
          </cell>
          <cell r="AN1064">
            <v>0</v>
          </cell>
        </row>
        <row r="1065">
          <cell r="A1065" t="str">
            <v>37-6</v>
          </cell>
          <cell r="B1065">
            <v>543</v>
          </cell>
          <cell r="D1065" t="str">
            <v>다. 공구손료</v>
          </cell>
          <cell r="E1065" t="str">
            <v>노무비x3%</v>
          </cell>
          <cell r="F1065">
            <v>0</v>
          </cell>
          <cell r="AM1065">
            <v>0</v>
          </cell>
          <cell r="AN1065">
            <v>0</v>
          </cell>
        </row>
        <row r="1066">
          <cell r="A1066" t="str">
            <v>37-7</v>
          </cell>
          <cell r="B1066">
            <v>553</v>
          </cell>
          <cell r="D1066" t="str">
            <v>광케이블설치사</v>
          </cell>
          <cell r="E1066">
            <v>0</v>
          </cell>
          <cell r="F1066" t="str">
            <v>인</v>
          </cell>
          <cell r="H1066">
            <v>0.67</v>
          </cell>
          <cell r="I1066" t="str">
            <v>x</v>
          </cell>
          <cell r="J1066">
            <v>0.03</v>
          </cell>
          <cell r="V1066" t="str">
            <v>=</v>
          </cell>
          <cell r="W1066">
            <v>0.02</v>
          </cell>
          <cell r="Y1066" t="str">
            <v>기본</v>
          </cell>
          <cell r="Z1066" t="str">
            <v>x</v>
          </cell>
          <cell r="AA1066" t="str">
            <v>공구손료</v>
          </cell>
          <cell r="AM1066">
            <v>104231</v>
          </cell>
          <cell r="AN1066">
            <v>0</v>
          </cell>
        </row>
        <row r="1067">
          <cell r="A1067" t="str">
            <v>37-8</v>
          </cell>
          <cell r="B1067">
            <v>522</v>
          </cell>
          <cell r="D1067" t="str">
            <v>특별인부</v>
          </cell>
          <cell r="E1067">
            <v>0</v>
          </cell>
          <cell r="F1067" t="str">
            <v>인</v>
          </cell>
          <cell r="H1067">
            <v>0.31</v>
          </cell>
          <cell r="I1067" t="str">
            <v>x</v>
          </cell>
          <cell r="J1067">
            <v>0.03</v>
          </cell>
          <cell r="V1067" t="str">
            <v>=</v>
          </cell>
          <cell r="W1067">
            <v>0.01</v>
          </cell>
          <cell r="Y1067" t="str">
            <v>기본</v>
          </cell>
          <cell r="Z1067" t="str">
            <v>x</v>
          </cell>
          <cell r="AA1067" t="str">
            <v>공구손료</v>
          </cell>
          <cell r="AM1067">
            <v>55970</v>
          </cell>
          <cell r="AN1067">
            <v>0</v>
          </cell>
        </row>
        <row r="1068">
          <cell r="AM1068">
            <v>0</v>
          </cell>
          <cell r="AN1068">
            <v>0</v>
          </cell>
        </row>
        <row r="1069">
          <cell r="AM1069">
            <v>0</v>
          </cell>
          <cell r="AN1069">
            <v>0</v>
          </cell>
        </row>
        <row r="1070">
          <cell r="AM1070">
            <v>0</v>
          </cell>
          <cell r="AN1070">
            <v>0</v>
          </cell>
        </row>
        <row r="1071">
          <cell r="AM1071">
            <v>0</v>
          </cell>
          <cell r="AN1071">
            <v>0</v>
          </cell>
        </row>
        <row r="1072">
          <cell r="AM1072">
            <v>0</v>
          </cell>
          <cell r="AN1072">
            <v>0</v>
          </cell>
        </row>
        <row r="1073">
          <cell r="AM1073">
            <v>0</v>
          </cell>
          <cell r="AN1073">
            <v>0</v>
          </cell>
        </row>
        <row r="1074">
          <cell r="AM1074">
            <v>0</v>
          </cell>
          <cell r="AN1074">
            <v>0</v>
          </cell>
        </row>
        <row r="1075">
          <cell r="AM1075">
            <v>0</v>
          </cell>
        </row>
        <row r="1076">
          <cell r="AM1076">
            <v>0</v>
          </cell>
          <cell r="AN1076">
            <v>0</v>
          </cell>
        </row>
        <row r="1077">
          <cell r="AM1077">
            <v>0</v>
          </cell>
          <cell r="AN1077">
            <v>0</v>
          </cell>
        </row>
        <row r="1078">
          <cell r="AM1078">
            <v>0</v>
          </cell>
          <cell r="AN1078">
            <v>0</v>
          </cell>
        </row>
        <row r="1079">
          <cell r="AM1079">
            <v>0</v>
          </cell>
          <cell r="AN1079">
            <v>0</v>
          </cell>
        </row>
        <row r="1080">
          <cell r="AM1080">
            <v>0</v>
          </cell>
          <cell r="AN1080">
            <v>0</v>
          </cell>
        </row>
        <row r="1081">
          <cell r="AM1081">
            <v>0</v>
          </cell>
          <cell r="AN1081">
            <v>0</v>
          </cell>
        </row>
        <row r="1082">
          <cell r="AM1082">
            <v>0</v>
          </cell>
          <cell r="AN1082">
            <v>0</v>
          </cell>
        </row>
        <row r="1083">
          <cell r="A1083">
            <v>38</v>
          </cell>
          <cell r="C1083">
            <v>38</v>
          </cell>
          <cell r="D1083" t="str">
            <v>광케이블외피접속(지상)</v>
          </cell>
          <cell r="E1083" t="str">
            <v>OF-SM-24Core 이하</v>
          </cell>
          <cell r="F1083" t="str">
            <v>개소</v>
          </cell>
          <cell r="AM1083">
            <v>0</v>
          </cell>
          <cell r="AN1083">
            <v>0</v>
          </cell>
        </row>
        <row r="1084">
          <cell r="A1084" t="str">
            <v>38-1</v>
          </cell>
          <cell r="B1084">
            <v>541</v>
          </cell>
          <cell r="D1084" t="str">
            <v>가. 재료비</v>
          </cell>
          <cell r="E1084">
            <v>0</v>
          </cell>
          <cell r="F1084">
            <v>0</v>
          </cell>
          <cell r="AM1084">
            <v>0</v>
          </cell>
          <cell r="AN1084">
            <v>0</v>
          </cell>
        </row>
        <row r="1085">
          <cell r="A1085" t="str">
            <v>38-2</v>
          </cell>
          <cell r="B1085">
            <v>45</v>
          </cell>
          <cell r="D1085" t="str">
            <v>광접속함체</v>
          </cell>
          <cell r="E1085" t="str">
            <v>24Core</v>
          </cell>
          <cell r="F1085" t="str">
            <v>조</v>
          </cell>
          <cell r="V1085" t="str">
            <v>=</v>
          </cell>
          <cell r="W1085">
            <v>1</v>
          </cell>
          <cell r="AM1085">
            <v>331500</v>
          </cell>
          <cell r="AN1085">
            <v>0</v>
          </cell>
        </row>
        <row r="1086">
          <cell r="A1086" t="str">
            <v>38-3</v>
          </cell>
          <cell r="B1086">
            <v>542</v>
          </cell>
          <cell r="D1086" t="str">
            <v>나. 노무비</v>
          </cell>
          <cell r="E1086">
            <v>0</v>
          </cell>
          <cell r="F1086">
            <v>0</v>
          </cell>
          <cell r="AM1086">
            <v>0</v>
          </cell>
          <cell r="AN1086">
            <v>0</v>
          </cell>
        </row>
        <row r="1087">
          <cell r="B1087">
            <v>553</v>
          </cell>
          <cell r="D1087" t="str">
            <v>광케이블설치사</v>
          </cell>
          <cell r="E1087">
            <v>0</v>
          </cell>
          <cell r="F1087" t="str">
            <v>인</v>
          </cell>
          <cell r="H1087">
            <v>0.67</v>
          </cell>
          <cell r="I1087" t="str">
            <v>x</v>
          </cell>
          <cell r="J1087">
            <v>1</v>
          </cell>
          <cell r="V1087" t="str">
            <v>=</v>
          </cell>
          <cell r="W1087">
            <v>0.67</v>
          </cell>
          <cell r="Y1087" t="str">
            <v>기본</v>
          </cell>
          <cell r="Z1087" t="str">
            <v>x</v>
          </cell>
          <cell r="AA1087" t="str">
            <v>단위량</v>
          </cell>
          <cell r="AL1087" t="str">
            <v>통 3-49</v>
          </cell>
          <cell r="AM1087">
            <v>104231</v>
          </cell>
          <cell r="AN1087">
            <v>0</v>
          </cell>
        </row>
        <row r="1088">
          <cell r="B1088">
            <v>522</v>
          </cell>
          <cell r="D1088" t="str">
            <v>특별인부</v>
          </cell>
          <cell r="E1088">
            <v>0</v>
          </cell>
          <cell r="F1088" t="str">
            <v>인</v>
          </cell>
          <cell r="H1088">
            <v>0.31</v>
          </cell>
          <cell r="I1088" t="str">
            <v>x</v>
          </cell>
          <cell r="J1088">
            <v>1</v>
          </cell>
          <cell r="V1088" t="str">
            <v>=</v>
          </cell>
          <cell r="W1088">
            <v>0.31</v>
          </cell>
          <cell r="Y1088" t="str">
            <v>기본</v>
          </cell>
          <cell r="Z1088" t="str">
            <v>x</v>
          </cell>
          <cell r="AA1088" t="str">
            <v>단위량</v>
          </cell>
          <cell r="AM1088">
            <v>55970</v>
          </cell>
          <cell r="AN1088">
            <v>0</v>
          </cell>
        </row>
        <row r="1089">
          <cell r="B1089">
            <v>544</v>
          </cell>
          <cell r="D1089" t="str">
            <v>소    계</v>
          </cell>
          <cell r="E1089">
            <v>0</v>
          </cell>
          <cell r="F1089">
            <v>0</v>
          </cell>
          <cell r="AM1089">
            <v>0</v>
          </cell>
          <cell r="AN1089">
            <v>0</v>
          </cell>
        </row>
        <row r="1090">
          <cell r="A1090" t="str">
            <v>38-4</v>
          </cell>
          <cell r="B1090">
            <v>553</v>
          </cell>
          <cell r="D1090" t="str">
            <v>광케이블설치사</v>
          </cell>
          <cell r="E1090">
            <v>0</v>
          </cell>
          <cell r="F1090" t="str">
            <v>인</v>
          </cell>
          <cell r="V1090" t="str">
            <v>=</v>
          </cell>
          <cell r="W1090">
            <v>0.67</v>
          </cell>
          <cell r="AM1090">
            <v>104231</v>
          </cell>
          <cell r="AN1090">
            <v>0</v>
          </cell>
        </row>
        <row r="1091">
          <cell r="A1091" t="str">
            <v>38-5</v>
          </cell>
          <cell r="B1091">
            <v>522</v>
          </cell>
          <cell r="D1091" t="str">
            <v>특별인부</v>
          </cell>
          <cell r="E1091">
            <v>0</v>
          </cell>
          <cell r="F1091" t="str">
            <v>인</v>
          </cell>
          <cell r="V1091" t="str">
            <v>=</v>
          </cell>
          <cell r="W1091">
            <v>0.31</v>
          </cell>
          <cell r="AM1091">
            <v>55970</v>
          </cell>
          <cell r="AN1091">
            <v>0</v>
          </cell>
        </row>
        <row r="1092">
          <cell r="A1092" t="str">
            <v>38-6</v>
          </cell>
          <cell r="B1092">
            <v>543</v>
          </cell>
          <cell r="D1092" t="str">
            <v>다. 공구손료</v>
          </cell>
          <cell r="E1092" t="str">
            <v>노무비x3%</v>
          </cell>
          <cell r="F1092">
            <v>0</v>
          </cell>
          <cell r="AM1092">
            <v>0</v>
          </cell>
          <cell r="AN1092">
            <v>0</v>
          </cell>
        </row>
        <row r="1093">
          <cell r="A1093" t="str">
            <v>38-7</v>
          </cell>
          <cell r="B1093">
            <v>553</v>
          </cell>
          <cell r="D1093" t="str">
            <v>광케이블설치사</v>
          </cell>
          <cell r="E1093">
            <v>0</v>
          </cell>
          <cell r="F1093" t="str">
            <v>인</v>
          </cell>
          <cell r="H1093">
            <v>0.67</v>
          </cell>
          <cell r="I1093" t="str">
            <v>x</v>
          </cell>
          <cell r="J1093">
            <v>0.03</v>
          </cell>
          <cell r="V1093" t="str">
            <v>=</v>
          </cell>
          <cell r="W1093">
            <v>0.02</v>
          </cell>
          <cell r="Y1093" t="str">
            <v>기본</v>
          </cell>
          <cell r="Z1093" t="str">
            <v>x</v>
          </cell>
          <cell r="AA1093" t="str">
            <v>공구손료</v>
          </cell>
          <cell r="AM1093">
            <v>104231</v>
          </cell>
          <cell r="AN1093">
            <v>0</v>
          </cell>
        </row>
        <row r="1094">
          <cell r="A1094" t="str">
            <v>38-8</v>
          </cell>
          <cell r="B1094">
            <v>522</v>
          </cell>
          <cell r="D1094" t="str">
            <v>특별인부</v>
          </cell>
          <cell r="E1094">
            <v>0</v>
          </cell>
          <cell r="F1094" t="str">
            <v>인</v>
          </cell>
          <cell r="H1094">
            <v>0.31</v>
          </cell>
          <cell r="I1094" t="str">
            <v>x</v>
          </cell>
          <cell r="J1094">
            <v>0.03</v>
          </cell>
          <cell r="V1094" t="str">
            <v>=</v>
          </cell>
          <cell r="W1094">
            <v>0.01</v>
          </cell>
          <cell r="Y1094" t="str">
            <v>기본</v>
          </cell>
          <cell r="Z1094" t="str">
            <v>x</v>
          </cell>
          <cell r="AA1094" t="str">
            <v>공구손료</v>
          </cell>
          <cell r="AM1094">
            <v>55970</v>
          </cell>
          <cell r="AN1094">
            <v>0</v>
          </cell>
        </row>
        <row r="1095">
          <cell r="AM1095">
            <v>0</v>
          </cell>
          <cell r="AN1095">
            <v>0</v>
          </cell>
        </row>
        <row r="1096">
          <cell r="AM1096">
            <v>0</v>
          </cell>
          <cell r="AN1096">
            <v>0</v>
          </cell>
        </row>
        <row r="1097">
          <cell r="AM1097">
            <v>0</v>
          </cell>
          <cell r="AN1097">
            <v>0</v>
          </cell>
        </row>
        <row r="1098">
          <cell r="AM1098">
            <v>0</v>
          </cell>
          <cell r="AN1098">
            <v>0</v>
          </cell>
        </row>
        <row r="1099">
          <cell r="AM1099">
            <v>0</v>
          </cell>
          <cell r="AN1099">
            <v>0</v>
          </cell>
        </row>
        <row r="1100">
          <cell r="AM1100">
            <v>0</v>
          </cell>
          <cell r="AN1100">
            <v>0</v>
          </cell>
        </row>
        <row r="1101">
          <cell r="AM1101">
            <v>0</v>
          </cell>
          <cell r="AN1101">
            <v>0</v>
          </cell>
        </row>
        <row r="1102">
          <cell r="AM1102">
            <v>0</v>
          </cell>
        </row>
        <row r="1103">
          <cell r="AM1103">
            <v>0</v>
          </cell>
          <cell r="AN1103">
            <v>0</v>
          </cell>
        </row>
        <row r="1104">
          <cell r="AM1104">
            <v>0</v>
          </cell>
          <cell r="AN1104">
            <v>0</v>
          </cell>
        </row>
        <row r="1105">
          <cell r="AM1105">
            <v>0</v>
          </cell>
          <cell r="AN1105">
            <v>0</v>
          </cell>
        </row>
        <row r="1106">
          <cell r="AM1106">
            <v>0</v>
          </cell>
          <cell r="AN1106">
            <v>0</v>
          </cell>
        </row>
        <row r="1107">
          <cell r="AM1107">
            <v>0</v>
          </cell>
          <cell r="AN1107">
            <v>0</v>
          </cell>
        </row>
        <row r="1108">
          <cell r="AM1108">
            <v>0</v>
          </cell>
          <cell r="AN1108">
            <v>0</v>
          </cell>
        </row>
        <row r="1109">
          <cell r="AM1109">
            <v>0</v>
          </cell>
          <cell r="AN1109">
            <v>0</v>
          </cell>
        </row>
        <row r="1110">
          <cell r="A1110">
            <v>39</v>
          </cell>
          <cell r="C1110">
            <v>39</v>
          </cell>
          <cell r="D1110" t="str">
            <v>광케이블외피접속(지하)</v>
          </cell>
          <cell r="E1110" t="str">
            <v>OF-SM-36Core 이하</v>
          </cell>
          <cell r="F1110" t="str">
            <v>개소</v>
          </cell>
          <cell r="AM1110">
            <v>0</v>
          </cell>
          <cell r="AN1110">
            <v>0</v>
          </cell>
        </row>
        <row r="1111">
          <cell r="A1111" t="str">
            <v>39-1</v>
          </cell>
          <cell r="B1111">
            <v>541</v>
          </cell>
          <cell r="D1111" t="str">
            <v>가. 재료비</v>
          </cell>
          <cell r="E1111">
            <v>0</v>
          </cell>
          <cell r="F1111">
            <v>0</v>
          </cell>
          <cell r="AM1111">
            <v>0</v>
          </cell>
          <cell r="AN1111">
            <v>0</v>
          </cell>
        </row>
        <row r="1112">
          <cell r="A1112" t="str">
            <v>39-2</v>
          </cell>
          <cell r="B1112">
            <v>444</v>
          </cell>
          <cell r="D1112" t="str">
            <v>광접속함체</v>
          </cell>
          <cell r="E1112" t="str">
            <v>36Core</v>
          </cell>
          <cell r="F1112" t="str">
            <v>조</v>
          </cell>
          <cell r="V1112" t="str">
            <v>=</v>
          </cell>
          <cell r="W1112">
            <v>1</v>
          </cell>
          <cell r="AM1112">
            <v>380000</v>
          </cell>
          <cell r="AN1112">
            <v>0</v>
          </cell>
        </row>
        <row r="1113">
          <cell r="A1113" t="str">
            <v>39-3</v>
          </cell>
          <cell r="B1113">
            <v>542</v>
          </cell>
          <cell r="D1113" t="str">
            <v>나. 노무비</v>
          </cell>
          <cell r="E1113">
            <v>0</v>
          </cell>
          <cell r="F1113">
            <v>0</v>
          </cell>
          <cell r="AM1113">
            <v>0</v>
          </cell>
          <cell r="AN1113">
            <v>0</v>
          </cell>
        </row>
        <row r="1114">
          <cell r="B1114">
            <v>553</v>
          </cell>
          <cell r="D1114" t="str">
            <v>광케이블설치사</v>
          </cell>
          <cell r="E1114">
            <v>0</v>
          </cell>
          <cell r="F1114" t="str">
            <v>인</v>
          </cell>
          <cell r="H1114">
            <v>0.67</v>
          </cell>
          <cell r="I1114" t="str">
            <v>x</v>
          </cell>
          <cell r="J1114">
            <v>1</v>
          </cell>
          <cell r="K1114" t="str">
            <v>x</v>
          </cell>
          <cell r="L1114" t="str">
            <v>(</v>
          </cell>
          <cell r="M1114">
            <v>1</v>
          </cell>
          <cell r="N1114" t="str">
            <v>+</v>
          </cell>
          <cell r="O1114">
            <v>0.02</v>
          </cell>
          <cell r="P1114" t="str">
            <v>)</v>
          </cell>
          <cell r="V1114" t="str">
            <v>=</v>
          </cell>
          <cell r="W1114">
            <v>0.68</v>
          </cell>
          <cell r="Y1114" t="str">
            <v>기본</v>
          </cell>
          <cell r="Z1114" t="str">
            <v>x</v>
          </cell>
          <cell r="AA1114" t="str">
            <v>단위량</v>
          </cell>
          <cell r="AB1114" t="str">
            <v>x</v>
          </cell>
          <cell r="AC1114" t="str">
            <v>(</v>
          </cell>
          <cell r="AD1114">
            <v>1</v>
          </cell>
          <cell r="AE1114" t="str">
            <v>+</v>
          </cell>
          <cell r="AF1114" t="str">
            <v>지하</v>
          </cell>
          <cell r="AG1114" t="str">
            <v>)</v>
          </cell>
          <cell r="AL1114" t="str">
            <v>통 3-49(지하)</v>
          </cell>
          <cell r="AM1114">
            <v>104231</v>
          </cell>
          <cell r="AN1114">
            <v>0</v>
          </cell>
        </row>
        <row r="1115">
          <cell r="B1115">
            <v>522</v>
          </cell>
          <cell r="D1115" t="str">
            <v>특별인부</v>
          </cell>
          <cell r="E1115">
            <v>0</v>
          </cell>
          <cell r="F1115" t="str">
            <v>인</v>
          </cell>
          <cell r="H1115">
            <v>0.31</v>
          </cell>
          <cell r="I1115" t="str">
            <v>x</v>
          </cell>
          <cell r="J1115">
            <v>1</v>
          </cell>
          <cell r="K1115" t="str">
            <v>x</v>
          </cell>
          <cell r="L1115" t="str">
            <v>(</v>
          </cell>
          <cell r="M1115">
            <v>1</v>
          </cell>
          <cell r="N1115" t="str">
            <v>+</v>
          </cell>
          <cell r="O1115">
            <v>0.02</v>
          </cell>
          <cell r="P1115" t="str">
            <v>)</v>
          </cell>
          <cell r="V1115" t="str">
            <v>=</v>
          </cell>
          <cell r="W1115">
            <v>0.32</v>
          </cell>
          <cell r="Y1115" t="str">
            <v>기본</v>
          </cell>
          <cell r="Z1115" t="str">
            <v>x</v>
          </cell>
          <cell r="AA1115" t="str">
            <v>단위량</v>
          </cell>
          <cell r="AB1115" t="str">
            <v>x</v>
          </cell>
          <cell r="AC1115" t="str">
            <v>(</v>
          </cell>
          <cell r="AD1115">
            <v>1</v>
          </cell>
          <cell r="AE1115" t="str">
            <v>+</v>
          </cell>
          <cell r="AF1115" t="str">
            <v>지하</v>
          </cell>
          <cell r="AG1115" t="str">
            <v>)</v>
          </cell>
          <cell r="AM1115">
            <v>55970</v>
          </cell>
          <cell r="AN1115">
            <v>0</v>
          </cell>
        </row>
        <row r="1116">
          <cell r="B1116">
            <v>544</v>
          </cell>
          <cell r="D1116" t="str">
            <v>소    계</v>
          </cell>
          <cell r="E1116">
            <v>0</v>
          </cell>
          <cell r="F1116">
            <v>0</v>
          </cell>
          <cell r="AM1116">
            <v>0</v>
          </cell>
          <cell r="AN1116">
            <v>0</v>
          </cell>
        </row>
        <row r="1117">
          <cell r="A1117" t="str">
            <v>39-4</v>
          </cell>
          <cell r="B1117">
            <v>553</v>
          </cell>
          <cell r="D1117" t="str">
            <v>광케이블설치사</v>
          </cell>
          <cell r="E1117">
            <v>0</v>
          </cell>
          <cell r="F1117" t="str">
            <v>인</v>
          </cell>
          <cell r="V1117" t="str">
            <v>=</v>
          </cell>
          <cell r="W1117">
            <v>0.68</v>
          </cell>
          <cell r="AM1117">
            <v>104231</v>
          </cell>
          <cell r="AN1117">
            <v>0</v>
          </cell>
        </row>
        <row r="1118">
          <cell r="A1118" t="str">
            <v>39-5</v>
          </cell>
          <cell r="B1118">
            <v>522</v>
          </cell>
          <cell r="D1118" t="str">
            <v>특별인부</v>
          </cell>
          <cell r="E1118">
            <v>0</v>
          </cell>
          <cell r="F1118" t="str">
            <v>인</v>
          </cell>
          <cell r="V1118" t="str">
            <v>=</v>
          </cell>
          <cell r="W1118">
            <v>0.32</v>
          </cell>
          <cell r="AM1118">
            <v>55970</v>
          </cell>
          <cell r="AN1118">
            <v>0</v>
          </cell>
        </row>
        <row r="1119">
          <cell r="A1119" t="str">
            <v>39-6</v>
          </cell>
          <cell r="B1119">
            <v>543</v>
          </cell>
          <cell r="D1119" t="str">
            <v>다. 공구손료</v>
          </cell>
          <cell r="E1119" t="str">
            <v>노무비x3%</v>
          </cell>
          <cell r="F1119">
            <v>0</v>
          </cell>
          <cell r="AM1119">
            <v>0</v>
          </cell>
          <cell r="AN1119">
            <v>0</v>
          </cell>
        </row>
        <row r="1120">
          <cell r="A1120" t="str">
            <v>39-7</v>
          </cell>
          <cell r="B1120">
            <v>553</v>
          </cell>
          <cell r="D1120" t="str">
            <v>광케이블설치사</v>
          </cell>
          <cell r="E1120">
            <v>0</v>
          </cell>
          <cell r="F1120" t="str">
            <v>인</v>
          </cell>
          <cell r="H1120">
            <v>0.67</v>
          </cell>
          <cell r="I1120" t="str">
            <v>x</v>
          </cell>
          <cell r="J1120">
            <v>0.03</v>
          </cell>
          <cell r="V1120" t="str">
            <v>=</v>
          </cell>
          <cell r="W1120">
            <v>0.02</v>
          </cell>
          <cell r="Y1120" t="str">
            <v>기본</v>
          </cell>
          <cell r="Z1120" t="str">
            <v>x</v>
          </cell>
          <cell r="AA1120" t="str">
            <v>공구손료</v>
          </cell>
          <cell r="AM1120">
            <v>104231</v>
          </cell>
          <cell r="AN1120">
            <v>0</v>
          </cell>
        </row>
        <row r="1121">
          <cell r="A1121" t="str">
            <v>39-8</v>
          </cell>
          <cell r="B1121">
            <v>522</v>
          </cell>
          <cell r="D1121" t="str">
            <v>특별인부</v>
          </cell>
          <cell r="E1121">
            <v>0</v>
          </cell>
          <cell r="F1121" t="str">
            <v>인</v>
          </cell>
          <cell r="H1121">
            <v>0.31</v>
          </cell>
          <cell r="I1121" t="str">
            <v>x</v>
          </cell>
          <cell r="J1121">
            <v>0.03</v>
          </cell>
          <cell r="V1121" t="str">
            <v>=</v>
          </cell>
          <cell r="W1121">
            <v>0.01</v>
          </cell>
          <cell r="Y1121" t="str">
            <v>기본</v>
          </cell>
          <cell r="Z1121" t="str">
            <v>x</v>
          </cell>
          <cell r="AA1121" t="str">
            <v>공구손료</v>
          </cell>
          <cell r="AM1121">
            <v>55970</v>
          </cell>
          <cell r="AN1121">
            <v>0</v>
          </cell>
        </row>
        <row r="1122">
          <cell r="AM1122">
            <v>0</v>
          </cell>
          <cell r="AN1122">
            <v>0</v>
          </cell>
        </row>
        <row r="1123">
          <cell r="AM1123">
            <v>0</v>
          </cell>
          <cell r="AN1123">
            <v>0</v>
          </cell>
        </row>
        <row r="1124">
          <cell r="AM1124">
            <v>0</v>
          </cell>
          <cell r="AN1124">
            <v>0</v>
          </cell>
        </row>
        <row r="1125">
          <cell r="AM1125">
            <v>0</v>
          </cell>
          <cell r="AN1125">
            <v>0</v>
          </cell>
        </row>
        <row r="1126">
          <cell r="AM1126">
            <v>0</v>
          </cell>
          <cell r="AN1126">
            <v>0</v>
          </cell>
        </row>
        <row r="1127">
          <cell r="AM1127">
            <v>0</v>
          </cell>
          <cell r="AN1127">
            <v>0</v>
          </cell>
        </row>
        <row r="1128">
          <cell r="AM1128">
            <v>0</v>
          </cell>
          <cell r="AN1128">
            <v>0</v>
          </cell>
        </row>
        <row r="1129">
          <cell r="AM1129">
            <v>0</v>
          </cell>
        </row>
        <row r="1130">
          <cell r="AM1130">
            <v>0</v>
          </cell>
          <cell r="AN1130">
            <v>0</v>
          </cell>
        </row>
        <row r="1131">
          <cell r="AM1131">
            <v>0</v>
          </cell>
          <cell r="AN1131">
            <v>0</v>
          </cell>
        </row>
        <row r="1132">
          <cell r="AM1132">
            <v>0</v>
          </cell>
          <cell r="AN1132">
            <v>0</v>
          </cell>
        </row>
        <row r="1133">
          <cell r="AM1133">
            <v>0</v>
          </cell>
          <cell r="AN1133">
            <v>0</v>
          </cell>
        </row>
        <row r="1134">
          <cell r="AM1134">
            <v>0</v>
          </cell>
          <cell r="AN1134">
            <v>0</v>
          </cell>
        </row>
        <row r="1135">
          <cell r="AM1135">
            <v>0</v>
          </cell>
          <cell r="AN1135">
            <v>0</v>
          </cell>
        </row>
        <row r="1136">
          <cell r="AM1136">
            <v>0</v>
          </cell>
          <cell r="AN1136">
            <v>0</v>
          </cell>
        </row>
        <row r="1137">
          <cell r="A1137">
            <v>40</v>
          </cell>
          <cell r="C1137">
            <v>40</v>
          </cell>
          <cell r="D1137" t="str">
            <v>광케이블외피접속(지상)</v>
          </cell>
          <cell r="E1137" t="str">
            <v>OF-SM-36Core 이하</v>
          </cell>
          <cell r="F1137" t="str">
            <v>개소</v>
          </cell>
          <cell r="AM1137">
            <v>0</v>
          </cell>
          <cell r="AN1137">
            <v>0</v>
          </cell>
        </row>
        <row r="1138">
          <cell r="A1138" t="str">
            <v>40-1</v>
          </cell>
          <cell r="B1138">
            <v>541</v>
          </cell>
          <cell r="D1138" t="str">
            <v>가. 재료비</v>
          </cell>
          <cell r="E1138">
            <v>0</v>
          </cell>
          <cell r="F1138">
            <v>0</v>
          </cell>
          <cell r="AM1138">
            <v>0</v>
          </cell>
          <cell r="AN1138">
            <v>0</v>
          </cell>
        </row>
        <row r="1139">
          <cell r="A1139" t="str">
            <v>40-2</v>
          </cell>
          <cell r="B1139">
            <v>444</v>
          </cell>
          <cell r="D1139" t="str">
            <v>광접속함체</v>
          </cell>
          <cell r="E1139" t="str">
            <v>36Core</v>
          </cell>
          <cell r="F1139" t="str">
            <v>조</v>
          </cell>
          <cell r="V1139" t="str">
            <v>=</v>
          </cell>
          <cell r="W1139">
            <v>1</v>
          </cell>
          <cell r="AM1139">
            <v>380000</v>
          </cell>
          <cell r="AN1139">
            <v>0</v>
          </cell>
        </row>
        <row r="1140">
          <cell r="A1140" t="str">
            <v>40-3</v>
          </cell>
          <cell r="B1140">
            <v>542</v>
          </cell>
          <cell r="D1140" t="str">
            <v>나. 노무비</v>
          </cell>
          <cell r="E1140">
            <v>0</v>
          </cell>
          <cell r="F1140">
            <v>0</v>
          </cell>
          <cell r="AM1140">
            <v>0</v>
          </cell>
          <cell r="AN1140">
            <v>0</v>
          </cell>
        </row>
        <row r="1141">
          <cell r="B1141">
            <v>553</v>
          </cell>
          <cell r="D1141" t="str">
            <v>광케이블설치사</v>
          </cell>
          <cell r="E1141">
            <v>0</v>
          </cell>
          <cell r="F1141" t="str">
            <v>인</v>
          </cell>
          <cell r="H1141">
            <v>0.67</v>
          </cell>
          <cell r="I1141" t="str">
            <v>x</v>
          </cell>
          <cell r="J1141">
            <v>1</v>
          </cell>
          <cell r="V1141" t="str">
            <v>=</v>
          </cell>
          <cell r="W1141">
            <v>0.67</v>
          </cell>
          <cell r="Y1141" t="str">
            <v>기본</v>
          </cell>
          <cell r="Z1141" t="str">
            <v>x</v>
          </cell>
          <cell r="AA1141" t="str">
            <v>단위량</v>
          </cell>
          <cell r="AL1141" t="str">
            <v>통 3-49</v>
          </cell>
          <cell r="AM1141">
            <v>104231</v>
          </cell>
          <cell r="AN1141">
            <v>0</v>
          </cell>
        </row>
        <row r="1142">
          <cell r="B1142">
            <v>522</v>
          </cell>
          <cell r="D1142" t="str">
            <v>특별인부</v>
          </cell>
          <cell r="E1142">
            <v>0</v>
          </cell>
          <cell r="F1142" t="str">
            <v>인</v>
          </cell>
          <cell r="H1142">
            <v>0.31</v>
          </cell>
          <cell r="I1142" t="str">
            <v>x</v>
          </cell>
          <cell r="J1142">
            <v>1</v>
          </cell>
          <cell r="V1142" t="str">
            <v>=</v>
          </cell>
          <cell r="W1142">
            <v>0.31</v>
          </cell>
          <cell r="Y1142" t="str">
            <v>기본</v>
          </cell>
          <cell r="Z1142" t="str">
            <v>x</v>
          </cell>
          <cell r="AA1142" t="str">
            <v>단위량</v>
          </cell>
          <cell r="AM1142">
            <v>55970</v>
          </cell>
          <cell r="AN1142">
            <v>0</v>
          </cell>
        </row>
        <row r="1143">
          <cell r="B1143">
            <v>544</v>
          </cell>
          <cell r="D1143" t="str">
            <v>소    계</v>
          </cell>
          <cell r="E1143">
            <v>0</v>
          </cell>
          <cell r="F1143">
            <v>0</v>
          </cell>
          <cell r="AM1143">
            <v>0</v>
          </cell>
          <cell r="AN1143">
            <v>0</v>
          </cell>
        </row>
        <row r="1144">
          <cell r="A1144" t="str">
            <v>40-4</v>
          </cell>
          <cell r="B1144">
            <v>553</v>
          </cell>
          <cell r="D1144" t="str">
            <v>광케이블설치사</v>
          </cell>
          <cell r="E1144">
            <v>0</v>
          </cell>
          <cell r="F1144" t="str">
            <v>인</v>
          </cell>
          <cell r="V1144" t="str">
            <v>=</v>
          </cell>
          <cell r="W1144">
            <v>0.67</v>
          </cell>
          <cell r="AM1144">
            <v>104231</v>
          </cell>
          <cell r="AN1144">
            <v>0</v>
          </cell>
        </row>
        <row r="1145">
          <cell r="A1145" t="str">
            <v>40-5</v>
          </cell>
          <cell r="B1145">
            <v>522</v>
          </cell>
          <cell r="D1145" t="str">
            <v>특별인부</v>
          </cell>
          <cell r="E1145">
            <v>0</v>
          </cell>
          <cell r="F1145" t="str">
            <v>인</v>
          </cell>
          <cell r="V1145" t="str">
            <v>=</v>
          </cell>
          <cell r="W1145">
            <v>0.31</v>
          </cell>
          <cell r="AM1145">
            <v>55970</v>
          </cell>
          <cell r="AN1145">
            <v>0</v>
          </cell>
        </row>
        <row r="1146">
          <cell r="A1146" t="str">
            <v>40-6</v>
          </cell>
          <cell r="B1146">
            <v>543</v>
          </cell>
          <cell r="D1146" t="str">
            <v>다. 공구손료</v>
          </cell>
          <cell r="E1146" t="str">
            <v>노무비x3%</v>
          </cell>
          <cell r="F1146">
            <v>0</v>
          </cell>
          <cell r="AM1146">
            <v>0</v>
          </cell>
          <cell r="AN1146">
            <v>0</v>
          </cell>
        </row>
        <row r="1147">
          <cell r="A1147" t="str">
            <v>40-7</v>
          </cell>
          <cell r="B1147">
            <v>553</v>
          </cell>
          <cell r="D1147" t="str">
            <v>광케이블설치사</v>
          </cell>
          <cell r="E1147">
            <v>0</v>
          </cell>
          <cell r="F1147" t="str">
            <v>인</v>
          </cell>
          <cell r="H1147">
            <v>0.67</v>
          </cell>
          <cell r="I1147" t="str">
            <v>x</v>
          </cell>
          <cell r="J1147">
            <v>0.03</v>
          </cell>
          <cell r="V1147" t="str">
            <v>=</v>
          </cell>
          <cell r="W1147">
            <v>0.02</v>
          </cell>
          <cell r="Y1147" t="str">
            <v>기본</v>
          </cell>
          <cell r="Z1147" t="str">
            <v>x</v>
          </cell>
          <cell r="AA1147" t="str">
            <v>공구손료</v>
          </cell>
          <cell r="AM1147">
            <v>104231</v>
          </cell>
          <cell r="AN1147">
            <v>0</v>
          </cell>
        </row>
        <row r="1148">
          <cell r="A1148" t="str">
            <v>40-8</v>
          </cell>
          <cell r="B1148">
            <v>522</v>
          </cell>
          <cell r="D1148" t="str">
            <v>특별인부</v>
          </cell>
          <cell r="E1148">
            <v>0</v>
          </cell>
          <cell r="F1148" t="str">
            <v>인</v>
          </cell>
          <cell r="H1148">
            <v>0.31</v>
          </cell>
          <cell r="I1148" t="str">
            <v>x</v>
          </cell>
          <cell r="J1148">
            <v>0.03</v>
          </cell>
          <cell r="V1148" t="str">
            <v>=</v>
          </cell>
          <cell r="W1148">
            <v>0.01</v>
          </cell>
          <cell r="Y1148" t="str">
            <v>기본</v>
          </cell>
          <cell r="Z1148" t="str">
            <v>x</v>
          </cell>
          <cell r="AA1148" t="str">
            <v>공구손료</v>
          </cell>
          <cell r="AM1148">
            <v>55970</v>
          </cell>
          <cell r="AN1148">
            <v>0</v>
          </cell>
        </row>
        <row r="1149">
          <cell r="AM1149">
            <v>0</v>
          </cell>
          <cell r="AN1149">
            <v>0</v>
          </cell>
        </row>
        <row r="1150">
          <cell r="AM1150">
            <v>0</v>
          </cell>
          <cell r="AN1150">
            <v>0</v>
          </cell>
        </row>
        <row r="1151">
          <cell r="AM1151">
            <v>0</v>
          </cell>
          <cell r="AN1151">
            <v>0</v>
          </cell>
        </row>
        <row r="1152">
          <cell r="AM1152">
            <v>0</v>
          </cell>
          <cell r="AN1152">
            <v>0</v>
          </cell>
        </row>
        <row r="1153">
          <cell r="AM1153">
            <v>0</v>
          </cell>
          <cell r="AN1153">
            <v>0</v>
          </cell>
        </row>
        <row r="1154">
          <cell r="AM1154">
            <v>0</v>
          </cell>
          <cell r="AN1154">
            <v>0</v>
          </cell>
        </row>
        <row r="1155">
          <cell r="AM1155">
            <v>0</v>
          </cell>
          <cell r="AN1155">
            <v>0</v>
          </cell>
        </row>
        <row r="1156">
          <cell r="AM1156">
            <v>0</v>
          </cell>
        </row>
        <row r="1157">
          <cell r="AM1157">
            <v>0</v>
          </cell>
          <cell r="AN1157">
            <v>0</v>
          </cell>
        </row>
        <row r="1158">
          <cell r="AM1158">
            <v>0</v>
          </cell>
          <cell r="AN1158">
            <v>0</v>
          </cell>
        </row>
        <row r="1159">
          <cell r="AM1159">
            <v>0</v>
          </cell>
          <cell r="AN1159">
            <v>0</v>
          </cell>
        </row>
        <row r="1160">
          <cell r="AM1160">
            <v>0</v>
          </cell>
          <cell r="AN1160">
            <v>0</v>
          </cell>
        </row>
        <row r="1161">
          <cell r="AM1161">
            <v>0</v>
          </cell>
          <cell r="AN1161">
            <v>0</v>
          </cell>
        </row>
        <row r="1162">
          <cell r="AM1162">
            <v>0</v>
          </cell>
          <cell r="AN1162">
            <v>0</v>
          </cell>
        </row>
        <row r="1163">
          <cell r="AM1163">
            <v>0</v>
          </cell>
          <cell r="AN1163">
            <v>0</v>
          </cell>
        </row>
        <row r="1164">
          <cell r="A1164">
            <v>41</v>
          </cell>
          <cell r="C1164">
            <v>41</v>
          </cell>
          <cell r="D1164" t="str">
            <v>광케이블외피접속(지하)</v>
          </cell>
          <cell r="E1164" t="str">
            <v>OF-SM-48Core 이하</v>
          </cell>
          <cell r="F1164" t="str">
            <v>개소</v>
          </cell>
          <cell r="AM1164">
            <v>0</v>
          </cell>
          <cell r="AN1164">
            <v>0</v>
          </cell>
        </row>
        <row r="1165">
          <cell r="A1165" t="str">
            <v>41-1</v>
          </cell>
          <cell r="B1165">
            <v>541</v>
          </cell>
          <cell r="D1165" t="str">
            <v>가. 재료비</v>
          </cell>
          <cell r="E1165">
            <v>0</v>
          </cell>
          <cell r="F1165">
            <v>0</v>
          </cell>
          <cell r="AM1165">
            <v>0</v>
          </cell>
          <cell r="AN1165">
            <v>0</v>
          </cell>
        </row>
        <row r="1166">
          <cell r="A1166" t="str">
            <v>41-2</v>
          </cell>
          <cell r="B1166">
            <v>445</v>
          </cell>
          <cell r="D1166" t="str">
            <v>광접속함체</v>
          </cell>
          <cell r="E1166" t="str">
            <v>48Core</v>
          </cell>
          <cell r="F1166" t="str">
            <v>조</v>
          </cell>
          <cell r="V1166" t="str">
            <v>=</v>
          </cell>
          <cell r="W1166">
            <v>1</v>
          </cell>
          <cell r="AM1166">
            <v>460000</v>
          </cell>
          <cell r="AN1166">
            <v>0</v>
          </cell>
        </row>
        <row r="1167">
          <cell r="A1167" t="str">
            <v>41-3</v>
          </cell>
          <cell r="B1167">
            <v>542</v>
          </cell>
          <cell r="D1167" t="str">
            <v>나. 노무비</v>
          </cell>
          <cell r="E1167">
            <v>0</v>
          </cell>
          <cell r="F1167">
            <v>0</v>
          </cell>
          <cell r="AM1167">
            <v>0</v>
          </cell>
          <cell r="AN1167">
            <v>0</v>
          </cell>
        </row>
        <row r="1168">
          <cell r="B1168">
            <v>553</v>
          </cell>
          <cell r="D1168" t="str">
            <v>광케이블설치사</v>
          </cell>
          <cell r="E1168">
            <v>0</v>
          </cell>
          <cell r="F1168" t="str">
            <v>인</v>
          </cell>
          <cell r="H1168">
            <v>0.67</v>
          </cell>
          <cell r="I1168" t="str">
            <v>x</v>
          </cell>
          <cell r="J1168">
            <v>1</v>
          </cell>
          <cell r="K1168" t="str">
            <v>x</v>
          </cell>
          <cell r="L1168" t="str">
            <v>(</v>
          </cell>
          <cell r="M1168">
            <v>1</v>
          </cell>
          <cell r="N1168" t="str">
            <v>+</v>
          </cell>
          <cell r="O1168">
            <v>0.02</v>
          </cell>
          <cell r="P1168" t="str">
            <v>)</v>
          </cell>
          <cell r="V1168" t="str">
            <v>=</v>
          </cell>
          <cell r="W1168">
            <v>0.68</v>
          </cell>
          <cell r="Y1168" t="str">
            <v>기본</v>
          </cell>
          <cell r="Z1168" t="str">
            <v>x</v>
          </cell>
          <cell r="AA1168" t="str">
            <v>단위량</v>
          </cell>
          <cell r="AB1168" t="str">
            <v>x</v>
          </cell>
          <cell r="AC1168" t="str">
            <v>(</v>
          </cell>
          <cell r="AD1168">
            <v>1</v>
          </cell>
          <cell r="AE1168" t="str">
            <v>+</v>
          </cell>
          <cell r="AF1168" t="str">
            <v>지하</v>
          </cell>
          <cell r="AG1168" t="str">
            <v>)</v>
          </cell>
          <cell r="AL1168" t="str">
            <v>통 3-49(지하)</v>
          </cell>
          <cell r="AM1168">
            <v>104231</v>
          </cell>
          <cell r="AN1168">
            <v>0</v>
          </cell>
        </row>
        <row r="1169">
          <cell r="B1169">
            <v>522</v>
          </cell>
          <cell r="D1169" t="str">
            <v>특별인부</v>
          </cell>
          <cell r="E1169">
            <v>0</v>
          </cell>
          <cell r="F1169" t="str">
            <v>인</v>
          </cell>
          <cell r="H1169">
            <v>0.31</v>
          </cell>
          <cell r="I1169" t="str">
            <v>x</v>
          </cell>
          <cell r="J1169">
            <v>1</v>
          </cell>
          <cell r="K1169" t="str">
            <v>x</v>
          </cell>
          <cell r="L1169" t="str">
            <v>(</v>
          </cell>
          <cell r="M1169">
            <v>1</v>
          </cell>
          <cell r="N1169" t="str">
            <v>+</v>
          </cell>
          <cell r="O1169">
            <v>0.02</v>
          </cell>
          <cell r="P1169" t="str">
            <v>)</v>
          </cell>
          <cell r="V1169" t="str">
            <v>=</v>
          </cell>
          <cell r="W1169">
            <v>0.32</v>
          </cell>
          <cell r="Y1169" t="str">
            <v>기본</v>
          </cell>
          <cell r="Z1169" t="str">
            <v>x</v>
          </cell>
          <cell r="AA1169" t="str">
            <v>단위량</v>
          </cell>
          <cell r="AB1169" t="str">
            <v>x</v>
          </cell>
          <cell r="AC1169" t="str">
            <v>(</v>
          </cell>
          <cell r="AD1169">
            <v>1</v>
          </cell>
          <cell r="AE1169" t="str">
            <v>+</v>
          </cell>
          <cell r="AF1169" t="str">
            <v>지하</v>
          </cell>
          <cell r="AG1169" t="str">
            <v>)</v>
          </cell>
          <cell r="AM1169">
            <v>55970</v>
          </cell>
          <cell r="AN1169">
            <v>0</v>
          </cell>
        </row>
        <row r="1170">
          <cell r="B1170">
            <v>544</v>
          </cell>
          <cell r="D1170" t="str">
            <v>소    계</v>
          </cell>
          <cell r="E1170">
            <v>0</v>
          </cell>
          <cell r="F1170">
            <v>0</v>
          </cell>
          <cell r="AM1170">
            <v>0</v>
          </cell>
          <cell r="AN1170">
            <v>0</v>
          </cell>
        </row>
        <row r="1171">
          <cell r="A1171" t="str">
            <v>41-4</v>
          </cell>
          <cell r="B1171">
            <v>553</v>
          </cell>
          <cell r="D1171" t="str">
            <v>광케이블설치사</v>
          </cell>
          <cell r="E1171">
            <v>0</v>
          </cell>
          <cell r="F1171" t="str">
            <v>인</v>
          </cell>
          <cell r="V1171" t="str">
            <v>=</v>
          </cell>
          <cell r="W1171">
            <v>0.68</v>
          </cell>
          <cell r="AM1171">
            <v>104231</v>
          </cell>
          <cell r="AN1171">
            <v>0</v>
          </cell>
        </row>
        <row r="1172">
          <cell r="A1172" t="str">
            <v>41-5</v>
          </cell>
          <cell r="B1172">
            <v>522</v>
          </cell>
          <cell r="D1172" t="str">
            <v>특별인부</v>
          </cell>
          <cell r="E1172">
            <v>0</v>
          </cell>
          <cell r="F1172" t="str">
            <v>인</v>
          </cell>
          <cell r="V1172" t="str">
            <v>=</v>
          </cell>
          <cell r="W1172">
            <v>0.32</v>
          </cell>
          <cell r="AM1172">
            <v>55970</v>
          </cell>
          <cell r="AN1172">
            <v>0</v>
          </cell>
        </row>
        <row r="1173">
          <cell r="A1173" t="str">
            <v>41-6</v>
          </cell>
          <cell r="B1173">
            <v>543</v>
          </cell>
          <cell r="D1173" t="str">
            <v>다. 공구손료</v>
          </cell>
          <cell r="E1173" t="str">
            <v>노무비x3%</v>
          </cell>
          <cell r="F1173">
            <v>0</v>
          </cell>
          <cell r="AM1173">
            <v>0</v>
          </cell>
          <cell r="AN1173">
            <v>0</v>
          </cell>
        </row>
        <row r="1174">
          <cell r="A1174" t="str">
            <v>41-7</v>
          </cell>
          <cell r="B1174">
            <v>553</v>
          </cell>
          <cell r="D1174" t="str">
            <v>광케이블설치사</v>
          </cell>
          <cell r="E1174">
            <v>0</v>
          </cell>
          <cell r="F1174" t="str">
            <v>인</v>
          </cell>
          <cell r="H1174">
            <v>0.67</v>
          </cell>
          <cell r="I1174" t="str">
            <v>x</v>
          </cell>
          <cell r="J1174">
            <v>0.03</v>
          </cell>
          <cell r="V1174" t="str">
            <v>=</v>
          </cell>
          <cell r="W1174">
            <v>0.02</v>
          </cell>
          <cell r="Y1174" t="str">
            <v>기본</v>
          </cell>
          <cell r="Z1174" t="str">
            <v>x</v>
          </cell>
          <cell r="AA1174" t="str">
            <v>공구손료</v>
          </cell>
          <cell r="AM1174">
            <v>104231</v>
          </cell>
          <cell r="AN1174">
            <v>0</v>
          </cell>
        </row>
        <row r="1175">
          <cell r="A1175" t="str">
            <v>41-8</v>
          </cell>
          <cell r="B1175">
            <v>522</v>
          </cell>
          <cell r="D1175" t="str">
            <v>특별인부</v>
          </cell>
          <cell r="E1175">
            <v>0</v>
          </cell>
          <cell r="F1175" t="str">
            <v>인</v>
          </cell>
          <cell r="H1175">
            <v>0.31</v>
          </cell>
          <cell r="I1175" t="str">
            <v>x</v>
          </cell>
          <cell r="J1175">
            <v>0.03</v>
          </cell>
          <cell r="V1175" t="str">
            <v>=</v>
          </cell>
          <cell r="W1175">
            <v>0.01</v>
          </cell>
          <cell r="Y1175" t="str">
            <v>기본</v>
          </cell>
          <cell r="Z1175" t="str">
            <v>x</v>
          </cell>
          <cell r="AA1175" t="str">
            <v>공구손료</v>
          </cell>
          <cell r="AM1175">
            <v>55970</v>
          </cell>
          <cell r="AN1175">
            <v>0</v>
          </cell>
        </row>
        <row r="1176">
          <cell r="AM1176">
            <v>0</v>
          </cell>
          <cell r="AN1176">
            <v>0</v>
          </cell>
        </row>
        <row r="1177">
          <cell r="AM1177">
            <v>0</v>
          </cell>
          <cell r="AN1177">
            <v>0</v>
          </cell>
        </row>
        <row r="1178">
          <cell r="AM1178">
            <v>0</v>
          </cell>
          <cell r="AN1178">
            <v>0</v>
          </cell>
        </row>
        <row r="1179">
          <cell r="AM1179">
            <v>0</v>
          </cell>
          <cell r="AN1179">
            <v>0</v>
          </cell>
        </row>
        <row r="1180">
          <cell r="AM1180">
            <v>0</v>
          </cell>
          <cell r="AN1180">
            <v>0</v>
          </cell>
        </row>
        <row r="1181">
          <cell r="AM1181">
            <v>0</v>
          </cell>
          <cell r="AN1181">
            <v>0</v>
          </cell>
        </row>
        <row r="1182">
          <cell r="AM1182">
            <v>0</v>
          </cell>
          <cell r="AN1182">
            <v>0</v>
          </cell>
        </row>
        <row r="1183">
          <cell r="AM1183">
            <v>0</v>
          </cell>
        </row>
        <row r="1184">
          <cell r="AM1184">
            <v>0</v>
          </cell>
          <cell r="AN1184">
            <v>0</v>
          </cell>
        </row>
        <row r="1185">
          <cell r="AM1185">
            <v>0</v>
          </cell>
          <cell r="AN1185">
            <v>0</v>
          </cell>
        </row>
        <row r="1186">
          <cell r="AM1186">
            <v>0</v>
          </cell>
          <cell r="AN1186">
            <v>0</v>
          </cell>
        </row>
        <row r="1187">
          <cell r="AM1187">
            <v>0</v>
          </cell>
          <cell r="AN1187">
            <v>0</v>
          </cell>
        </row>
        <row r="1188">
          <cell r="AM1188">
            <v>0</v>
          </cell>
          <cell r="AN1188">
            <v>0</v>
          </cell>
        </row>
        <row r="1189">
          <cell r="AM1189">
            <v>0</v>
          </cell>
          <cell r="AN1189">
            <v>0</v>
          </cell>
        </row>
        <row r="1190">
          <cell r="AM1190">
            <v>0</v>
          </cell>
          <cell r="AN1190">
            <v>0</v>
          </cell>
        </row>
        <row r="1191">
          <cell r="A1191">
            <v>42</v>
          </cell>
          <cell r="C1191">
            <v>42</v>
          </cell>
          <cell r="D1191" t="str">
            <v>광케이블외피접속(지상)</v>
          </cell>
          <cell r="E1191" t="str">
            <v>OF-SM-48Core 이하</v>
          </cell>
          <cell r="F1191" t="str">
            <v>개소</v>
          </cell>
          <cell r="AM1191">
            <v>0</v>
          </cell>
          <cell r="AN1191">
            <v>0</v>
          </cell>
        </row>
        <row r="1192">
          <cell r="A1192" t="str">
            <v>42-1</v>
          </cell>
          <cell r="B1192">
            <v>541</v>
          </cell>
          <cell r="D1192" t="str">
            <v>가. 재료비</v>
          </cell>
          <cell r="E1192">
            <v>0</v>
          </cell>
          <cell r="F1192">
            <v>0</v>
          </cell>
          <cell r="AM1192">
            <v>0</v>
          </cell>
          <cell r="AN1192">
            <v>0</v>
          </cell>
        </row>
        <row r="1193">
          <cell r="A1193" t="str">
            <v>42-2</v>
          </cell>
          <cell r="B1193">
            <v>445</v>
          </cell>
          <cell r="D1193" t="str">
            <v>광접속함체</v>
          </cell>
          <cell r="E1193" t="str">
            <v>48Core</v>
          </cell>
          <cell r="F1193" t="str">
            <v>조</v>
          </cell>
          <cell r="V1193" t="str">
            <v>=</v>
          </cell>
          <cell r="W1193">
            <v>1</v>
          </cell>
          <cell r="AM1193">
            <v>460000</v>
          </cell>
          <cell r="AN1193">
            <v>0</v>
          </cell>
        </row>
        <row r="1194">
          <cell r="A1194" t="str">
            <v>42-3</v>
          </cell>
          <cell r="B1194">
            <v>542</v>
          </cell>
          <cell r="D1194" t="str">
            <v>나. 노무비</v>
          </cell>
          <cell r="E1194">
            <v>0</v>
          </cell>
          <cell r="F1194">
            <v>0</v>
          </cell>
          <cell r="AM1194">
            <v>0</v>
          </cell>
          <cell r="AN1194">
            <v>0</v>
          </cell>
        </row>
        <row r="1195">
          <cell r="B1195">
            <v>553</v>
          </cell>
          <cell r="D1195" t="str">
            <v>광케이블설치사</v>
          </cell>
          <cell r="E1195">
            <v>0</v>
          </cell>
          <cell r="F1195" t="str">
            <v>인</v>
          </cell>
          <cell r="H1195">
            <v>0.67</v>
          </cell>
          <cell r="I1195" t="str">
            <v>x</v>
          </cell>
          <cell r="J1195">
            <v>1</v>
          </cell>
          <cell r="V1195" t="str">
            <v>=</v>
          </cell>
          <cell r="W1195">
            <v>0.67</v>
          </cell>
          <cell r="Y1195" t="str">
            <v>기본</v>
          </cell>
          <cell r="Z1195" t="str">
            <v>x</v>
          </cell>
          <cell r="AA1195" t="str">
            <v>단위량</v>
          </cell>
          <cell r="AL1195" t="str">
            <v>통 3-49</v>
          </cell>
          <cell r="AM1195">
            <v>104231</v>
          </cell>
          <cell r="AN1195">
            <v>0</v>
          </cell>
        </row>
        <row r="1196">
          <cell r="B1196">
            <v>522</v>
          </cell>
          <cell r="D1196" t="str">
            <v>특별인부</v>
          </cell>
          <cell r="E1196">
            <v>0</v>
          </cell>
          <cell r="F1196" t="str">
            <v>인</v>
          </cell>
          <cell r="H1196">
            <v>0.31</v>
          </cell>
          <cell r="I1196" t="str">
            <v>x</v>
          </cell>
          <cell r="J1196">
            <v>1</v>
          </cell>
          <cell r="V1196" t="str">
            <v>=</v>
          </cell>
          <cell r="W1196">
            <v>0.31</v>
          </cell>
          <cell r="Y1196" t="str">
            <v>기본</v>
          </cell>
          <cell r="Z1196" t="str">
            <v>x</v>
          </cell>
          <cell r="AA1196" t="str">
            <v>단위량</v>
          </cell>
          <cell r="AM1196">
            <v>55970</v>
          </cell>
          <cell r="AN1196">
            <v>0</v>
          </cell>
        </row>
        <row r="1197">
          <cell r="B1197">
            <v>544</v>
          </cell>
          <cell r="D1197" t="str">
            <v>소    계</v>
          </cell>
          <cell r="E1197">
            <v>0</v>
          </cell>
          <cell r="F1197">
            <v>0</v>
          </cell>
          <cell r="AM1197">
            <v>0</v>
          </cell>
          <cell r="AN1197">
            <v>0</v>
          </cell>
        </row>
        <row r="1198">
          <cell r="A1198" t="str">
            <v>42-4</v>
          </cell>
          <cell r="B1198">
            <v>553</v>
          </cell>
          <cell r="D1198" t="str">
            <v>광케이블설치사</v>
          </cell>
          <cell r="E1198">
            <v>0</v>
          </cell>
          <cell r="F1198" t="str">
            <v>인</v>
          </cell>
          <cell r="V1198" t="str">
            <v>=</v>
          </cell>
          <cell r="W1198">
            <v>0.67</v>
          </cell>
          <cell r="AM1198">
            <v>104231</v>
          </cell>
          <cell r="AN1198">
            <v>0</v>
          </cell>
        </row>
        <row r="1199">
          <cell r="A1199" t="str">
            <v>42-5</v>
          </cell>
          <cell r="B1199">
            <v>522</v>
          </cell>
          <cell r="D1199" t="str">
            <v>특별인부</v>
          </cell>
          <cell r="E1199">
            <v>0</v>
          </cell>
          <cell r="F1199" t="str">
            <v>인</v>
          </cell>
          <cell r="V1199" t="str">
            <v>=</v>
          </cell>
          <cell r="W1199">
            <v>0.31</v>
          </cell>
          <cell r="AM1199">
            <v>55970</v>
          </cell>
          <cell r="AN1199">
            <v>0</v>
          </cell>
        </row>
        <row r="1200">
          <cell r="A1200" t="str">
            <v>42-6</v>
          </cell>
          <cell r="B1200">
            <v>543</v>
          </cell>
          <cell r="D1200" t="str">
            <v>다. 공구손료</v>
          </cell>
          <cell r="E1200" t="str">
            <v>노무비x3%</v>
          </cell>
          <cell r="F1200">
            <v>0</v>
          </cell>
          <cell r="AM1200">
            <v>0</v>
          </cell>
          <cell r="AN1200">
            <v>0</v>
          </cell>
        </row>
        <row r="1201">
          <cell r="A1201" t="str">
            <v>42-7</v>
          </cell>
          <cell r="B1201">
            <v>553</v>
          </cell>
          <cell r="D1201" t="str">
            <v>광케이블설치사</v>
          </cell>
          <cell r="E1201">
            <v>0</v>
          </cell>
          <cell r="F1201" t="str">
            <v>인</v>
          </cell>
          <cell r="H1201">
            <v>0.67</v>
          </cell>
          <cell r="I1201" t="str">
            <v>x</v>
          </cell>
          <cell r="J1201">
            <v>0.03</v>
          </cell>
          <cell r="V1201" t="str">
            <v>=</v>
          </cell>
          <cell r="W1201">
            <v>0.02</v>
          </cell>
          <cell r="Y1201" t="str">
            <v>기본</v>
          </cell>
          <cell r="Z1201" t="str">
            <v>x</v>
          </cell>
          <cell r="AA1201" t="str">
            <v>공구손료</v>
          </cell>
          <cell r="AM1201">
            <v>104231</v>
          </cell>
          <cell r="AN1201">
            <v>0</v>
          </cell>
        </row>
        <row r="1202">
          <cell r="A1202" t="str">
            <v>42-8</v>
          </cell>
          <cell r="B1202">
            <v>522</v>
          </cell>
          <cell r="D1202" t="str">
            <v>특별인부</v>
          </cell>
          <cell r="E1202">
            <v>0</v>
          </cell>
          <cell r="F1202" t="str">
            <v>인</v>
          </cell>
          <cell r="H1202">
            <v>0.31</v>
          </cell>
          <cell r="I1202" t="str">
            <v>x</v>
          </cell>
          <cell r="J1202">
            <v>0.03</v>
          </cell>
          <cell r="V1202" t="str">
            <v>=</v>
          </cell>
          <cell r="W1202">
            <v>0.01</v>
          </cell>
          <cell r="Y1202" t="str">
            <v>기본</v>
          </cell>
          <cell r="Z1202" t="str">
            <v>x</v>
          </cell>
          <cell r="AA1202" t="str">
            <v>공구손료</v>
          </cell>
          <cell r="AM1202">
            <v>55970</v>
          </cell>
          <cell r="AN1202">
            <v>0</v>
          </cell>
        </row>
        <row r="1203">
          <cell r="AM1203">
            <v>0</v>
          </cell>
          <cell r="AN1203">
            <v>0</v>
          </cell>
        </row>
        <row r="1204">
          <cell r="AM1204">
            <v>0</v>
          </cell>
          <cell r="AN1204">
            <v>0</v>
          </cell>
        </row>
        <row r="1205">
          <cell r="AM1205">
            <v>0</v>
          </cell>
          <cell r="AN1205">
            <v>0</v>
          </cell>
        </row>
        <row r="1206">
          <cell r="AM1206">
            <v>0</v>
          </cell>
          <cell r="AN1206">
            <v>0</v>
          </cell>
        </row>
        <row r="1207">
          <cell r="AM1207">
            <v>0</v>
          </cell>
          <cell r="AN1207">
            <v>0</v>
          </cell>
        </row>
        <row r="1208">
          <cell r="AM1208">
            <v>0</v>
          </cell>
          <cell r="AN1208">
            <v>0</v>
          </cell>
        </row>
        <row r="1209">
          <cell r="AM1209">
            <v>0</v>
          </cell>
          <cell r="AN1209">
            <v>0</v>
          </cell>
        </row>
        <row r="1210">
          <cell r="AM1210">
            <v>0</v>
          </cell>
        </row>
        <row r="1211">
          <cell r="AM1211">
            <v>0</v>
          </cell>
          <cell r="AN1211">
            <v>0</v>
          </cell>
        </row>
        <row r="1212">
          <cell r="AM1212">
            <v>0</v>
          </cell>
          <cell r="AN1212">
            <v>0</v>
          </cell>
        </row>
        <row r="1213">
          <cell r="AM1213">
            <v>0</v>
          </cell>
          <cell r="AN1213">
            <v>0</v>
          </cell>
        </row>
        <row r="1214">
          <cell r="AM1214">
            <v>0</v>
          </cell>
          <cell r="AN1214">
            <v>0</v>
          </cell>
        </row>
        <row r="1215">
          <cell r="AM1215">
            <v>0</v>
          </cell>
          <cell r="AN1215">
            <v>0</v>
          </cell>
        </row>
        <row r="1216">
          <cell r="AM1216">
            <v>0</v>
          </cell>
          <cell r="AN1216">
            <v>0</v>
          </cell>
        </row>
        <row r="1217">
          <cell r="AM1217">
            <v>0</v>
          </cell>
          <cell r="AN1217">
            <v>0</v>
          </cell>
        </row>
        <row r="1218">
          <cell r="A1218">
            <v>43</v>
          </cell>
          <cell r="C1218">
            <v>43</v>
          </cell>
          <cell r="D1218" t="str">
            <v>광케이블접속후시험(지하)</v>
          </cell>
          <cell r="F1218" t="str">
            <v>Core</v>
          </cell>
          <cell r="AM1218">
            <v>0</v>
          </cell>
          <cell r="AN1218">
            <v>0</v>
          </cell>
        </row>
        <row r="1219">
          <cell r="A1219" t="str">
            <v>43-1</v>
          </cell>
          <cell r="B1219">
            <v>541</v>
          </cell>
          <cell r="D1219" t="str">
            <v>가. 재료비</v>
          </cell>
          <cell r="E1219">
            <v>0</v>
          </cell>
          <cell r="F1219">
            <v>0</v>
          </cell>
          <cell r="AM1219">
            <v>0</v>
          </cell>
          <cell r="AN1219">
            <v>0</v>
          </cell>
        </row>
        <row r="1220">
          <cell r="A1220" t="str">
            <v>43-2</v>
          </cell>
          <cell r="B1220">
            <v>46</v>
          </cell>
          <cell r="D1220" t="str">
            <v>크리넥스티슈</v>
          </cell>
          <cell r="E1220" t="str">
            <v>심선수/4</v>
          </cell>
          <cell r="F1220" t="str">
            <v>매</v>
          </cell>
          <cell r="H1220">
            <v>1</v>
          </cell>
          <cell r="I1220" t="str">
            <v>/</v>
          </cell>
          <cell r="J1220">
            <v>4</v>
          </cell>
          <cell r="V1220" t="str">
            <v>=</v>
          </cell>
          <cell r="W1220">
            <v>0.25</v>
          </cell>
          <cell r="Y1220" t="str">
            <v>심선수</v>
          </cell>
          <cell r="Z1220" t="str">
            <v>/</v>
          </cell>
          <cell r="AA1220">
            <v>4</v>
          </cell>
          <cell r="AM1220">
            <v>9</v>
          </cell>
          <cell r="AN1220">
            <v>0</v>
          </cell>
        </row>
        <row r="1221">
          <cell r="A1221" t="str">
            <v>43-3</v>
          </cell>
          <cell r="B1221">
            <v>47</v>
          </cell>
          <cell r="D1221" t="str">
            <v>면봉</v>
          </cell>
          <cell r="E1221" t="str">
            <v>심선수/2</v>
          </cell>
          <cell r="F1221" t="str">
            <v>개</v>
          </cell>
          <cell r="H1221">
            <v>1</v>
          </cell>
          <cell r="I1221" t="str">
            <v>/</v>
          </cell>
          <cell r="J1221">
            <v>2</v>
          </cell>
          <cell r="V1221" t="str">
            <v>=</v>
          </cell>
          <cell r="W1221">
            <v>0.5</v>
          </cell>
          <cell r="Y1221" t="str">
            <v>심선수</v>
          </cell>
          <cell r="Z1221" t="str">
            <v>/</v>
          </cell>
          <cell r="AA1221">
            <v>2</v>
          </cell>
          <cell r="AM1221">
            <v>15</v>
          </cell>
          <cell r="AN1221">
            <v>0</v>
          </cell>
        </row>
        <row r="1222">
          <cell r="A1222" t="str">
            <v>43-4</v>
          </cell>
          <cell r="B1222">
            <v>48</v>
          </cell>
          <cell r="D1222" t="str">
            <v>이소프로필알코올</v>
          </cell>
          <cell r="E1222" t="str">
            <v>순도99%(360g)</v>
          </cell>
          <cell r="F1222" t="str">
            <v>병</v>
          </cell>
          <cell r="H1222">
            <v>0.25</v>
          </cell>
          <cell r="I1222" t="str">
            <v>x</v>
          </cell>
          <cell r="J1222">
            <v>1</v>
          </cell>
          <cell r="V1222" t="str">
            <v>=</v>
          </cell>
          <cell r="W1222">
            <v>0.25</v>
          </cell>
          <cell r="Y1222" t="str">
            <v>기본</v>
          </cell>
          <cell r="Z1222" t="str">
            <v>x</v>
          </cell>
          <cell r="AA1222" t="str">
            <v>단위량</v>
          </cell>
          <cell r="AM1222">
            <v>1300</v>
          </cell>
          <cell r="AN1222">
            <v>0</v>
          </cell>
        </row>
        <row r="1223">
          <cell r="A1223" t="str">
            <v>43-5</v>
          </cell>
          <cell r="B1223">
            <v>49</v>
          </cell>
          <cell r="D1223" t="str">
            <v>OTDR용지</v>
          </cell>
          <cell r="E1223" t="str">
            <v>심선수x4</v>
          </cell>
          <cell r="F1223" t="str">
            <v>매</v>
          </cell>
          <cell r="H1223">
            <v>1</v>
          </cell>
          <cell r="I1223" t="str">
            <v>x</v>
          </cell>
          <cell r="J1223">
            <v>4</v>
          </cell>
          <cell r="V1223" t="str">
            <v>=</v>
          </cell>
          <cell r="W1223">
            <v>4</v>
          </cell>
          <cell r="Y1223" t="str">
            <v>심선수</v>
          </cell>
          <cell r="Z1223" t="str">
            <v>x</v>
          </cell>
          <cell r="AA1223">
            <v>4</v>
          </cell>
          <cell r="AM1223">
            <v>100</v>
          </cell>
          <cell r="AN1223">
            <v>0</v>
          </cell>
        </row>
        <row r="1224">
          <cell r="A1224" t="str">
            <v>43-6</v>
          </cell>
          <cell r="B1224">
            <v>542</v>
          </cell>
          <cell r="D1224" t="str">
            <v>나. 노무비</v>
          </cell>
          <cell r="E1224">
            <v>0</v>
          </cell>
          <cell r="F1224">
            <v>0</v>
          </cell>
          <cell r="AM1224">
            <v>0</v>
          </cell>
          <cell r="AN1224">
            <v>0</v>
          </cell>
        </row>
        <row r="1225">
          <cell r="B1225">
            <v>553</v>
          </cell>
          <cell r="D1225" t="str">
            <v>광케이블설치사</v>
          </cell>
          <cell r="E1225">
            <v>0</v>
          </cell>
          <cell r="F1225" t="str">
            <v>인</v>
          </cell>
          <cell r="H1225">
            <v>0.15</v>
          </cell>
          <cell r="I1225" t="str">
            <v>x</v>
          </cell>
          <cell r="J1225">
            <v>1</v>
          </cell>
          <cell r="K1225" t="str">
            <v>x</v>
          </cell>
          <cell r="L1225" t="str">
            <v>(</v>
          </cell>
          <cell r="M1225">
            <v>1</v>
          </cell>
          <cell r="N1225" t="str">
            <v>+</v>
          </cell>
          <cell r="O1225">
            <v>0.02</v>
          </cell>
          <cell r="P1225" t="str">
            <v>)</v>
          </cell>
          <cell r="V1225" t="str">
            <v>=</v>
          </cell>
          <cell r="W1225">
            <v>0.15</v>
          </cell>
          <cell r="Y1225" t="str">
            <v>기본</v>
          </cell>
          <cell r="Z1225" t="str">
            <v>x</v>
          </cell>
          <cell r="AA1225" t="str">
            <v>단위량</v>
          </cell>
          <cell r="AB1225" t="str">
            <v>x</v>
          </cell>
          <cell r="AC1225" t="str">
            <v>(</v>
          </cell>
          <cell r="AD1225">
            <v>1</v>
          </cell>
          <cell r="AE1225" t="str">
            <v>+</v>
          </cell>
          <cell r="AF1225" t="str">
            <v>지하</v>
          </cell>
          <cell r="AG1225" t="str">
            <v>)</v>
          </cell>
          <cell r="AL1225" t="str">
            <v>통 3-49(지하)</v>
          </cell>
          <cell r="AM1225">
            <v>104231</v>
          </cell>
          <cell r="AN1225">
            <v>0</v>
          </cell>
        </row>
        <row r="1226">
          <cell r="B1226">
            <v>522</v>
          </cell>
          <cell r="D1226" t="str">
            <v>특별인부</v>
          </cell>
          <cell r="E1226">
            <v>0</v>
          </cell>
          <cell r="F1226" t="str">
            <v>인</v>
          </cell>
          <cell r="H1226">
            <v>0.13</v>
          </cell>
          <cell r="I1226" t="str">
            <v>x</v>
          </cell>
          <cell r="J1226">
            <v>1</v>
          </cell>
          <cell r="K1226" t="str">
            <v>x</v>
          </cell>
          <cell r="L1226" t="str">
            <v>(</v>
          </cell>
          <cell r="M1226">
            <v>1</v>
          </cell>
          <cell r="N1226" t="str">
            <v>+</v>
          </cell>
          <cell r="O1226">
            <v>0.02</v>
          </cell>
          <cell r="P1226" t="str">
            <v>)</v>
          </cell>
          <cell r="V1226" t="str">
            <v>=</v>
          </cell>
          <cell r="W1226">
            <v>0.13</v>
          </cell>
          <cell r="Y1226" t="str">
            <v>기본</v>
          </cell>
          <cell r="Z1226" t="str">
            <v>x</v>
          </cell>
          <cell r="AA1226" t="str">
            <v>단위량</v>
          </cell>
          <cell r="AB1226" t="str">
            <v>x</v>
          </cell>
          <cell r="AC1226" t="str">
            <v>(</v>
          </cell>
          <cell r="AD1226">
            <v>1</v>
          </cell>
          <cell r="AE1226" t="str">
            <v>+</v>
          </cell>
          <cell r="AF1226" t="str">
            <v>지하</v>
          </cell>
          <cell r="AG1226" t="str">
            <v>)</v>
          </cell>
          <cell r="AM1226">
            <v>55970</v>
          </cell>
          <cell r="AN1226">
            <v>0</v>
          </cell>
        </row>
        <row r="1227">
          <cell r="B1227">
            <v>544</v>
          </cell>
          <cell r="D1227" t="str">
            <v>소    계</v>
          </cell>
          <cell r="E1227">
            <v>0</v>
          </cell>
          <cell r="F1227">
            <v>0</v>
          </cell>
          <cell r="AM1227">
            <v>0</v>
          </cell>
          <cell r="AN1227">
            <v>0</v>
          </cell>
        </row>
        <row r="1228">
          <cell r="A1228" t="str">
            <v>43-7</v>
          </cell>
          <cell r="B1228">
            <v>553</v>
          </cell>
          <cell r="D1228" t="str">
            <v>광케이블설치사</v>
          </cell>
          <cell r="E1228">
            <v>0</v>
          </cell>
          <cell r="F1228" t="str">
            <v>인</v>
          </cell>
          <cell r="V1228" t="str">
            <v>=</v>
          </cell>
          <cell r="W1228">
            <v>0.15</v>
          </cell>
          <cell r="AM1228">
            <v>104231</v>
          </cell>
          <cell r="AN1228">
            <v>0</v>
          </cell>
        </row>
        <row r="1229">
          <cell r="A1229" t="str">
            <v>43-8</v>
          </cell>
          <cell r="B1229">
            <v>522</v>
          </cell>
          <cell r="D1229" t="str">
            <v>특별인부</v>
          </cell>
          <cell r="E1229">
            <v>0</v>
          </cell>
          <cell r="F1229" t="str">
            <v>인</v>
          </cell>
          <cell r="V1229" t="str">
            <v>=</v>
          </cell>
          <cell r="W1229">
            <v>0.13</v>
          </cell>
          <cell r="AM1229">
            <v>55970</v>
          </cell>
          <cell r="AN1229">
            <v>0</v>
          </cell>
        </row>
        <row r="1230">
          <cell r="A1230" t="str">
            <v>43-9</v>
          </cell>
          <cell r="B1230">
            <v>543</v>
          </cell>
          <cell r="D1230" t="str">
            <v>다. 공구손료</v>
          </cell>
          <cell r="E1230" t="str">
            <v>노무비x3%</v>
          </cell>
          <cell r="F1230">
            <v>0</v>
          </cell>
          <cell r="AM1230">
            <v>0</v>
          </cell>
          <cell r="AN1230">
            <v>0</v>
          </cell>
        </row>
        <row r="1231">
          <cell r="A1231" t="str">
            <v>43-10</v>
          </cell>
          <cell r="B1231">
            <v>553</v>
          </cell>
          <cell r="D1231" t="str">
            <v>광케이블설치사</v>
          </cell>
          <cell r="E1231">
            <v>0</v>
          </cell>
          <cell r="F1231" t="str">
            <v>인</v>
          </cell>
          <cell r="H1231">
            <v>0.15</v>
          </cell>
          <cell r="I1231" t="str">
            <v>x</v>
          </cell>
          <cell r="J1231">
            <v>0.03</v>
          </cell>
          <cell r="V1231" t="str">
            <v>=</v>
          </cell>
          <cell r="W1231" t="str">
            <v>0</v>
          </cell>
          <cell r="Y1231" t="str">
            <v>기본</v>
          </cell>
          <cell r="Z1231" t="str">
            <v>x</v>
          </cell>
          <cell r="AA1231" t="str">
            <v>공구손료</v>
          </cell>
          <cell r="AM1231">
            <v>104231</v>
          </cell>
          <cell r="AN1231">
            <v>0</v>
          </cell>
        </row>
        <row r="1232">
          <cell r="A1232" t="str">
            <v>43-11</v>
          </cell>
          <cell r="B1232">
            <v>522</v>
          </cell>
          <cell r="D1232" t="str">
            <v>특별인부</v>
          </cell>
          <cell r="E1232">
            <v>0</v>
          </cell>
          <cell r="F1232" t="str">
            <v>인</v>
          </cell>
          <cell r="H1232">
            <v>0.13</v>
          </cell>
          <cell r="I1232" t="str">
            <v>x</v>
          </cell>
          <cell r="J1232">
            <v>0.03</v>
          </cell>
          <cell r="V1232" t="str">
            <v>=</v>
          </cell>
          <cell r="W1232" t="str">
            <v>0</v>
          </cell>
          <cell r="Y1232" t="str">
            <v>기본</v>
          </cell>
          <cell r="Z1232" t="str">
            <v>x</v>
          </cell>
          <cell r="AA1232" t="str">
            <v>공구손료</v>
          </cell>
          <cell r="AM1232">
            <v>55970</v>
          </cell>
          <cell r="AN1232">
            <v>0</v>
          </cell>
        </row>
        <row r="1233">
          <cell r="AM1233">
            <v>0</v>
          </cell>
          <cell r="AN1233">
            <v>0</v>
          </cell>
        </row>
        <row r="1234">
          <cell r="AM1234">
            <v>0</v>
          </cell>
          <cell r="AN1234">
            <v>0</v>
          </cell>
        </row>
        <row r="1235">
          <cell r="AM1235">
            <v>0</v>
          </cell>
          <cell r="AN1235">
            <v>0</v>
          </cell>
        </row>
        <row r="1236">
          <cell r="AM1236">
            <v>0</v>
          </cell>
          <cell r="AN1236">
            <v>0</v>
          </cell>
        </row>
        <row r="1237">
          <cell r="AM1237">
            <v>0</v>
          </cell>
          <cell r="AN1237">
            <v>0</v>
          </cell>
        </row>
        <row r="1238">
          <cell r="AM1238">
            <v>0</v>
          </cell>
        </row>
        <row r="1239">
          <cell r="AM1239">
            <v>0</v>
          </cell>
        </row>
        <row r="1240">
          <cell r="AM1240">
            <v>0</v>
          </cell>
        </row>
        <row r="1241">
          <cell r="AM1241">
            <v>0</v>
          </cell>
          <cell r="AN1241">
            <v>0</v>
          </cell>
        </row>
        <row r="1242">
          <cell r="AM1242">
            <v>0</v>
          </cell>
          <cell r="AN1242">
            <v>0</v>
          </cell>
        </row>
        <row r="1243">
          <cell r="AM1243">
            <v>0</v>
          </cell>
          <cell r="AN1243">
            <v>0</v>
          </cell>
        </row>
        <row r="1244">
          <cell r="AM1244">
            <v>0</v>
          </cell>
          <cell r="AN1244">
            <v>0</v>
          </cell>
        </row>
        <row r="1245">
          <cell r="A1245">
            <v>44</v>
          </cell>
          <cell r="C1245">
            <v>44</v>
          </cell>
          <cell r="D1245" t="str">
            <v>광케이블접속후시험(지상)</v>
          </cell>
          <cell r="F1245" t="str">
            <v>Core</v>
          </cell>
          <cell r="AM1245">
            <v>0</v>
          </cell>
          <cell r="AN1245">
            <v>0</v>
          </cell>
        </row>
        <row r="1246">
          <cell r="A1246" t="str">
            <v>44-1</v>
          </cell>
          <cell r="B1246">
            <v>541</v>
          </cell>
          <cell r="D1246" t="str">
            <v>가. 재료비</v>
          </cell>
          <cell r="E1246">
            <v>0</v>
          </cell>
          <cell r="F1246">
            <v>0</v>
          </cell>
          <cell r="AM1246">
            <v>0</v>
          </cell>
          <cell r="AN1246">
            <v>0</v>
          </cell>
        </row>
        <row r="1247">
          <cell r="A1247" t="str">
            <v>44-2</v>
          </cell>
          <cell r="B1247">
            <v>46</v>
          </cell>
          <cell r="D1247" t="str">
            <v>크리넥스티슈</v>
          </cell>
          <cell r="E1247" t="str">
            <v>심선수/4</v>
          </cell>
          <cell r="F1247" t="str">
            <v>매</v>
          </cell>
          <cell r="H1247">
            <v>1</v>
          </cell>
          <cell r="I1247" t="str">
            <v>/</v>
          </cell>
          <cell r="J1247">
            <v>4</v>
          </cell>
          <cell r="V1247" t="str">
            <v>=</v>
          </cell>
          <cell r="W1247">
            <v>0.25</v>
          </cell>
          <cell r="Y1247" t="str">
            <v>심선수</v>
          </cell>
          <cell r="Z1247" t="str">
            <v>/</v>
          </cell>
          <cell r="AA1247">
            <v>4</v>
          </cell>
          <cell r="AM1247">
            <v>9</v>
          </cell>
          <cell r="AN1247">
            <v>0</v>
          </cell>
        </row>
        <row r="1248">
          <cell r="A1248" t="str">
            <v>44-3</v>
          </cell>
          <cell r="B1248">
            <v>47</v>
          </cell>
          <cell r="D1248" t="str">
            <v>면봉</v>
          </cell>
          <cell r="E1248" t="str">
            <v>심선수/2</v>
          </cell>
          <cell r="F1248" t="str">
            <v>개</v>
          </cell>
          <cell r="H1248">
            <v>1</v>
          </cell>
          <cell r="I1248" t="str">
            <v>/</v>
          </cell>
          <cell r="J1248">
            <v>2</v>
          </cell>
          <cell r="V1248" t="str">
            <v>=</v>
          </cell>
          <cell r="W1248">
            <v>0.5</v>
          </cell>
          <cell r="Y1248" t="str">
            <v>심선수</v>
          </cell>
          <cell r="Z1248" t="str">
            <v>/</v>
          </cell>
          <cell r="AA1248">
            <v>2</v>
          </cell>
          <cell r="AM1248">
            <v>15</v>
          </cell>
          <cell r="AN1248">
            <v>0</v>
          </cell>
        </row>
        <row r="1249">
          <cell r="A1249" t="str">
            <v>44-4</v>
          </cell>
          <cell r="B1249">
            <v>48</v>
          </cell>
          <cell r="D1249" t="str">
            <v>이소프로필알코올</v>
          </cell>
          <cell r="E1249" t="str">
            <v>순도99%(360g)</v>
          </cell>
          <cell r="F1249" t="str">
            <v>병</v>
          </cell>
          <cell r="H1249">
            <v>0.25</v>
          </cell>
          <cell r="I1249" t="str">
            <v>x</v>
          </cell>
          <cell r="J1249">
            <v>1</v>
          </cell>
          <cell r="V1249" t="str">
            <v>=</v>
          </cell>
          <cell r="W1249">
            <v>0.25</v>
          </cell>
          <cell r="Y1249" t="str">
            <v>기본</v>
          </cell>
          <cell r="Z1249" t="str">
            <v>x</v>
          </cell>
          <cell r="AA1249" t="str">
            <v>단위량</v>
          </cell>
          <cell r="AM1249">
            <v>1300</v>
          </cell>
          <cell r="AN1249">
            <v>0</v>
          </cell>
        </row>
        <row r="1250">
          <cell r="A1250" t="str">
            <v>44-5</v>
          </cell>
          <cell r="B1250">
            <v>49</v>
          </cell>
          <cell r="D1250" t="str">
            <v>OTDR용지</v>
          </cell>
          <cell r="E1250" t="str">
            <v>심선수x4</v>
          </cell>
          <cell r="F1250" t="str">
            <v>매</v>
          </cell>
          <cell r="H1250">
            <v>1</v>
          </cell>
          <cell r="I1250" t="str">
            <v>x</v>
          </cell>
          <cell r="J1250">
            <v>4</v>
          </cell>
          <cell r="V1250" t="str">
            <v>=</v>
          </cell>
          <cell r="W1250">
            <v>4</v>
          </cell>
          <cell r="Y1250" t="str">
            <v>심선수</v>
          </cell>
          <cell r="Z1250" t="str">
            <v>x</v>
          </cell>
          <cell r="AA1250">
            <v>4</v>
          </cell>
          <cell r="AM1250">
            <v>100</v>
          </cell>
          <cell r="AN1250">
            <v>0</v>
          </cell>
        </row>
        <row r="1251">
          <cell r="A1251" t="str">
            <v>44-6</v>
          </cell>
          <cell r="B1251">
            <v>542</v>
          </cell>
          <cell r="D1251" t="str">
            <v>나. 노무비</v>
          </cell>
          <cell r="E1251">
            <v>0</v>
          </cell>
          <cell r="F1251">
            <v>0</v>
          </cell>
          <cell r="AM1251">
            <v>0</v>
          </cell>
          <cell r="AN1251">
            <v>0</v>
          </cell>
        </row>
        <row r="1252">
          <cell r="B1252">
            <v>553</v>
          </cell>
          <cell r="D1252" t="str">
            <v>광케이블설치사</v>
          </cell>
          <cell r="E1252">
            <v>0</v>
          </cell>
          <cell r="F1252" t="str">
            <v>인</v>
          </cell>
          <cell r="H1252">
            <v>0.15</v>
          </cell>
          <cell r="I1252" t="str">
            <v>x</v>
          </cell>
          <cell r="J1252">
            <v>1</v>
          </cell>
          <cell r="V1252" t="str">
            <v>=</v>
          </cell>
          <cell r="W1252">
            <v>0.15</v>
          </cell>
          <cell r="Y1252" t="str">
            <v>기본</v>
          </cell>
          <cell r="Z1252" t="str">
            <v>x</v>
          </cell>
          <cell r="AA1252" t="str">
            <v>단위량</v>
          </cell>
          <cell r="AL1252" t="str">
            <v>통 3-49</v>
          </cell>
          <cell r="AM1252">
            <v>104231</v>
          </cell>
          <cell r="AN1252">
            <v>0</v>
          </cell>
        </row>
        <row r="1253">
          <cell r="B1253">
            <v>522</v>
          </cell>
          <cell r="D1253" t="str">
            <v>특별인부</v>
          </cell>
          <cell r="E1253">
            <v>0</v>
          </cell>
          <cell r="F1253" t="str">
            <v>인</v>
          </cell>
          <cell r="H1253">
            <v>0.13</v>
          </cell>
          <cell r="I1253" t="str">
            <v>x</v>
          </cell>
          <cell r="J1253">
            <v>1</v>
          </cell>
          <cell r="V1253" t="str">
            <v>=</v>
          </cell>
          <cell r="W1253">
            <v>0.13</v>
          </cell>
          <cell r="Y1253" t="str">
            <v>기본</v>
          </cell>
          <cell r="Z1253" t="str">
            <v>x</v>
          </cell>
          <cell r="AA1253" t="str">
            <v>단위량</v>
          </cell>
          <cell r="AM1253">
            <v>55970</v>
          </cell>
          <cell r="AN1253">
            <v>0</v>
          </cell>
        </row>
        <row r="1254">
          <cell r="B1254">
            <v>544</v>
          </cell>
          <cell r="D1254" t="str">
            <v>소    계</v>
          </cell>
          <cell r="E1254">
            <v>0</v>
          </cell>
          <cell r="F1254">
            <v>0</v>
          </cell>
          <cell r="AM1254">
            <v>0</v>
          </cell>
          <cell r="AN1254">
            <v>0</v>
          </cell>
        </row>
        <row r="1255">
          <cell r="A1255" t="str">
            <v>44-7</v>
          </cell>
          <cell r="B1255">
            <v>553</v>
          </cell>
          <cell r="D1255" t="str">
            <v>광케이블설치사</v>
          </cell>
          <cell r="E1255">
            <v>0</v>
          </cell>
          <cell r="F1255" t="str">
            <v>인</v>
          </cell>
          <cell r="V1255" t="str">
            <v>=</v>
          </cell>
          <cell r="W1255">
            <v>0.15</v>
          </cell>
          <cell r="AM1255">
            <v>104231</v>
          </cell>
          <cell r="AN1255">
            <v>0</v>
          </cell>
        </row>
        <row r="1256">
          <cell r="A1256" t="str">
            <v>44-8</v>
          </cell>
          <cell r="B1256">
            <v>522</v>
          </cell>
          <cell r="D1256" t="str">
            <v>특별인부</v>
          </cell>
          <cell r="E1256">
            <v>0</v>
          </cell>
          <cell r="F1256" t="str">
            <v>인</v>
          </cell>
          <cell r="V1256" t="str">
            <v>=</v>
          </cell>
          <cell r="W1256">
            <v>0.13</v>
          </cell>
          <cell r="AM1256">
            <v>55970</v>
          </cell>
          <cell r="AN1256">
            <v>0</v>
          </cell>
        </row>
        <row r="1257">
          <cell r="A1257" t="str">
            <v>44-9</v>
          </cell>
          <cell r="B1257">
            <v>543</v>
          </cell>
          <cell r="D1257" t="str">
            <v>다. 공구손료</v>
          </cell>
          <cell r="E1257" t="str">
            <v>노무비x3%</v>
          </cell>
          <cell r="F1257">
            <v>0</v>
          </cell>
          <cell r="AM1257">
            <v>0</v>
          </cell>
          <cell r="AN1257">
            <v>0</v>
          </cell>
        </row>
        <row r="1258">
          <cell r="A1258" t="str">
            <v>44-10</v>
          </cell>
          <cell r="B1258">
            <v>553</v>
          </cell>
          <cell r="D1258" t="str">
            <v>광케이블설치사</v>
          </cell>
          <cell r="E1258">
            <v>0</v>
          </cell>
          <cell r="F1258" t="str">
            <v>인</v>
          </cell>
          <cell r="H1258">
            <v>0.15</v>
          </cell>
          <cell r="I1258" t="str">
            <v>x</v>
          </cell>
          <cell r="J1258">
            <v>0.03</v>
          </cell>
          <cell r="V1258" t="str">
            <v>=</v>
          </cell>
          <cell r="W1258" t="str">
            <v>0</v>
          </cell>
          <cell r="Y1258" t="str">
            <v>기본</v>
          </cell>
          <cell r="Z1258" t="str">
            <v>x</v>
          </cell>
          <cell r="AA1258" t="str">
            <v>공구손료</v>
          </cell>
          <cell r="AM1258">
            <v>104231</v>
          </cell>
          <cell r="AN1258">
            <v>0</v>
          </cell>
        </row>
        <row r="1259">
          <cell r="A1259" t="str">
            <v>44-11</v>
          </cell>
          <cell r="B1259">
            <v>522</v>
          </cell>
          <cell r="D1259" t="str">
            <v>특별인부</v>
          </cell>
          <cell r="E1259">
            <v>0</v>
          </cell>
          <cell r="F1259" t="str">
            <v>인</v>
          </cell>
          <cell r="H1259">
            <v>0.13</v>
          </cell>
          <cell r="I1259" t="str">
            <v>x</v>
          </cell>
          <cell r="J1259">
            <v>0.03</v>
          </cell>
          <cell r="V1259" t="str">
            <v>=</v>
          </cell>
          <cell r="W1259" t="str">
            <v>0</v>
          </cell>
          <cell r="Y1259" t="str">
            <v>기본</v>
          </cell>
          <cell r="Z1259" t="str">
            <v>x</v>
          </cell>
          <cell r="AA1259" t="str">
            <v>공구손료</v>
          </cell>
          <cell r="AM1259">
            <v>55970</v>
          </cell>
          <cell r="AN1259">
            <v>0</v>
          </cell>
        </row>
        <row r="1260">
          <cell r="AM1260">
            <v>0</v>
          </cell>
          <cell r="AN1260">
            <v>0</v>
          </cell>
        </row>
        <row r="1261">
          <cell r="AM1261">
            <v>0</v>
          </cell>
          <cell r="AN1261">
            <v>0</v>
          </cell>
        </row>
        <row r="1262">
          <cell r="AM1262">
            <v>0</v>
          </cell>
          <cell r="AN1262">
            <v>0</v>
          </cell>
        </row>
        <row r="1263">
          <cell r="AM1263">
            <v>0</v>
          </cell>
          <cell r="AN1263">
            <v>0</v>
          </cell>
        </row>
        <row r="1264">
          <cell r="AM1264">
            <v>0</v>
          </cell>
          <cell r="AN1264">
            <v>0</v>
          </cell>
        </row>
        <row r="1265">
          <cell r="AM1265">
            <v>0</v>
          </cell>
        </row>
        <row r="1266">
          <cell r="AM1266">
            <v>0</v>
          </cell>
        </row>
        <row r="1267">
          <cell r="AM1267">
            <v>0</v>
          </cell>
        </row>
        <row r="1268">
          <cell r="AM1268">
            <v>0</v>
          </cell>
          <cell r="AN1268">
            <v>0</v>
          </cell>
        </row>
        <row r="1269">
          <cell r="AM1269">
            <v>0</v>
          </cell>
          <cell r="AN1269">
            <v>0</v>
          </cell>
        </row>
        <row r="1270">
          <cell r="AM1270">
            <v>0</v>
          </cell>
          <cell r="AN1270">
            <v>0</v>
          </cell>
        </row>
        <row r="1271">
          <cell r="AM1271">
            <v>0</v>
          </cell>
          <cell r="AN1271">
            <v>0</v>
          </cell>
        </row>
        <row r="1272">
          <cell r="A1272">
            <v>45</v>
          </cell>
          <cell r="C1272">
            <v>45</v>
          </cell>
          <cell r="D1272" t="str">
            <v>광케이블최종시험(지하)</v>
          </cell>
          <cell r="F1272" t="str">
            <v>Core</v>
          </cell>
          <cell r="AM1272">
            <v>0</v>
          </cell>
          <cell r="AN1272">
            <v>0</v>
          </cell>
        </row>
        <row r="1273">
          <cell r="A1273" t="str">
            <v>45-1</v>
          </cell>
          <cell r="B1273">
            <v>541</v>
          </cell>
          <cell r="D1273" t="str">
            <v>가. 재료비</v>
          </cell>
          <cell r="E1273">
            <v>0</v>
          </cell>
          <cell r="F1273">
            <v>0</v>
          </cell>
          <cell r="AM1273">
            <v>0</v>
          </cell>
          <cell r="AN1273">
            <v>0</v>
          </cell>
        </row>
        <row r="1274">
          <cell r="A1274" t="str">
            <v>45-2</v>
          </cell>
          <cell r="B1274">
            <v>46</v>
          </cell>
          <cell r="D1274" t="str">
            <v>크리넥스티슈</v>
          </cell>
          <cell r="E1274" t="str">
            <v>심선수/4</v>
          </cell>
          <cell r="F1274" t="str">
            <v>매</v>
          </cell>
          <cell r="H1274">
            <v>1</v>
          </cell>
          <cell r="I1274" t="str">
            <v>/</v>
          </cell>
          <cell r="J1274">
            <v>4</v>
          </cell>
          <cell r="V1274" t="str">
            <v>=</v>
          </cell>
          <cell r="W1274">
            <v>0.25</v>
          </cell>
          <cell r="Y1274" t="str">
            <v>심선수</v>
          </cell>
          <cell r="Z1274" t="str">
            <v>/</v>
          </cell>
          <cell r="AA1274">
            <v>4</v>
          </cell>
          <cell r="AM1274">
            <v>9</v>
          </cell>
          <cell r="AN1274">
            <v>0</v>
          </cell>
        </row>
        <row r="1275">
          <cell r="A1275" t="str">
            <v>45-3</v>
          </cell>
          <cell r="B1275">
            <v>47</v>
          </cell>
          <cell r="D1275" t="str">
            <v>면봉</v>
          </cell>
          <cell r="E1275" t="str">
            <v>심선수/2</v>
          </cell>
          <cell r="F1275" t="str">
            <v>개</v>
          </cell>
          <cell r="H1275">
            <v>1</v>
          </cell>
          <cell r="I1275" t="str">
            <v>/</v>
          </cell>
          <cell r="J1275">
            <v>2</v>
          </cell>
          <cell r="V1275" t="str">
            <v>=</v>
          </cell>
          <cell r="W1275">
            <v>0.5</v>
          </cell>
          <cell r="Y1275" t="str">
            <v>심선수</v>
          </cell>
          <cell r="Z1275" t="str">
            <v>/</v>
          </cell>
          <cell r="AA1275">
            <v>2</v>
          </cell>
          <cell r="AM1275">
            <v>15</v>
          </cell>
          <cell r="AN1275">
            <v>0</v>
          </cell>
        </row>
        <row r="1276">
          <cell r="A1276" t="str">
            <v>45-4</v>
          </cell>
          <cell r="B1276">
            <v>48</v>
          </cell>
          <cell r="D1276" t="str">
            <v>이소프로필알코올</v>
          </cell>
          <cell r="E1276" t="str">
            <v>순도99%(360g)</v>
          </cell>
          <cell r="F1276" t="str">
            <v>병</v>
          </cell>
          <cell r="H1276">
            <v>0.25</v>
          </cell>
          <cell r="I1276" t="str">
            <v>x</v>
          </cell>
          <cell r="J1276">
            <v>1</v>
          </cell>
          <cell r="V1276" t="str">
            <v>=</v>
          </cell>
          <cell r="W1276">
            <v>0.25</v>
          </cell>
          <cell r="Y1276" t="str">
            <v>기본</v>
          </cell>
          <cell r="Z1276" t="str">
            <v>x</v>
          </cell>
          <cell r="AA1276" t="str">
            <v>단위량</v>
          </cell>
          <cell r="AM1276">
            <v>1300</v>
          </cell>
          <cell r="AN1276">
            <v>0</v>
          </cell>
        </row>
        <row r="1277">
          <cell r="A1277" t="str">
            <v>45-5</v>
          </cell>
          <cell r="B1277">
            <v>49</v>
          </cell>
          <cell r="D1277" t="str">
            <v>OTDR용지</v>
          </cell>
          <cell r="E1277" t="str">
            <v>심선수x4</v>
          </cell>
          <cell r="F1277" t="str">
            <v>매</v>
          </cell>
          <cell r="H1277">
            <v>1</v>
          </cell>
          <cell r="I1277" t="str">
            <v>x</v>
          </cell>
          <cell r="J1277">
            <v>4</v>
          </cell>
          <cell r="V1277" t="str">
            <v>=</v>
          </cell>
          <cell r="W1277">
            <v>4</v>
          </cell>
          <cell r="Y1277" t="str">
            <v>심선수</v>
          </cell>
          <cell r="Z1277" t="str">
            <v>x</v>
          </cell>
          <cell r="AA1277">
            <v>4</v>
          </cell>
          <cell r="AM1277">
            <v>100</v>
          </cell>
          <cell r="AN1277">
            <v>0</v>
          </cell>
        </row>
        <row r="1278">
          <cell r="A1278" t="str">
            <v>45-6</v>
          </cell>
          <cell r="B1278">
            <v>542</v>
          </cell>
          <cell r="D1278" t="str">
            <v>나. 노무비</v>
          </cell>
          <cell r="E1278">
            <v>0</v>
          </cell>
          <cell r="F1278">
            <v>0</v>
          </cell>
          <cell r="AM1278">
            <v>0</v>
          </cell>
          <cell r="AN1278">
            <v>0</v>
          </cell>
        </row>
        <row r="1279">
          <cell r="B1279">
            <v>553</v>
          </cell>
          <cell r="D1279" t="str">
            <v>광케이블설치사</v>
          </cell>
          <cell r="E1279">
            <v>0</v>
          </cell>
          <cell r="F1279" t="str">
            <v>인</v>
          </cell>
          <cell r="H1279">
            <v>0.25</v>
          </cell>
          <cell r="I1279" t="str">
            <v>x</v>
          </cell>
          <cell r="J1279">
            <v>1</v>
          </cell>
          <cell r="K1279" t="str">
            <v>x</v>
          </cell>
          <cell r="L1279" t="str">
            <v>(</v>
          </cell>
          <cell r="M1279">
            <v>1</v>
          </cell>
          <cell r="N1279" t="str">
            <v>+</v>
          </cell>
          <cell r="O1279">
            <v>0.02</v>
          </cell>
          <cell r="P1279" t="str">
            <v>)</v>
          </cell>
          <cell r="V1279" t="str">
            <v>=</v>
          </cell>
          <cell r="W1279">
            <v>0.26</v>
          </cell>
          <cell r="Y1279" t="str">
            <v>기본</v>
          </cell>
          <cell r="Z1279" t="str">
            <v>x</v>
          </cell>
          <cell r="AA1279" t="str">
            <v>단위량</v>
          </cell>
          <cell r="AB1279" t="str">
            <v>x</v>
          </cell>
          <cell r="AC1279" t="str">
            <v>(</v>
          </cell>
          <cell r="AD1279">
            <v>1</v>
          </cell>
          <cell r="AE1279" t="str">
            <v>+</v>
          </cell>
          <cell r="AF1279" t="str">
            <v>지하</v>
          </cell>
          <cell r="AG1279" t="str">
            <v>)</v>
          </cell>
          <cell r="AL1279" t="str">
            <v>통 3-49(지하)</v>
          </cell>
          <cell r="AM1279">
            <v>104231</v>
          </cell>
          <cell r="AN1279">
            <v>0</v>
          </cell>
        </row>
        <row r="1280">
          <cell r="B1280">
            <v>522</v>
          </cell>
          <cell r="D1280" t="str">
            <v>특별인부</v>
          </cell>
          <cell r="E1280">
            <v>0</v>
          </cell>
          <cell r="F1280" t="str">
            <v>인</v>
          </cell>
          <cell r="H1280">
            <v>0.2</v>
          </cell>
          <cell r="I1280" t="str">
            <v>x</v>
          </cell>
          <cell r="J1280">
            <v>1</v>
          </cell>
          <cell r="K1280" t="str">
            <v>x</v>
          </cell>
          <cell r="L1280" t="str">
            <v>(</v>
          </cell>
          <cell r="M1280">
            <v>1</v>
          </cell>
          <cell r="N1280" t="str">
            <v>+</v>
          </cell>
          <cell r="O1280">
            <v>0.02</v>
          </cell>
          <cell r="P1280" t="str">
            <v>)</v>
          </cell>
          <cell r="V1280" t="str">
            <v>=</v>
          </cell>
          <cell r="W1280">
            <v>0.2</v>
          </cell>
          <cell r="Y1280" t="str">
            <v>기본</v>
          </cell>
          <cell r="Z1280" t="str">
            <v>x</v>
          </cell>
          <cell r="AA1280" t="str">
            <v>단위량</v>
          </cell>
          <cell r="AB1280" t="str">
            <v>x</v>
          </cell>
          <cell r="AC1280" t="str">
            <v>(</v>
          </cell>
          <cell r="AD1280">
            <v>1</v>
          </cell>
          <cell r="AE1280" t="str">
            <v>+</v>
          </cell>
          <cell r="AF1280" t="str">
            <v>지하</v>
          </cell>
          <cell r="AG1280" t="str">
            <v>)</v>
          </cell>
          <cell r="AM1280">
            <v>55970</v>
          </cell>
          <cell r="AN1280">
            <v>0</v>
          </cell>
        </row>
        <row r="1281">
          <cell r="B1281">
            <v>544</v>
          </cell>
          <cell r="D1281" t="str">
            <v>소    계</v>
          </cell>
          <cell r="E1281">
            <v>0</v>
          </cell>
          <cell r="F1281">
            <v>0</v>
          </cell>
          <cell r="AM1281">
            <v>0</v>
          </cell>
          <cell r="AN1281">
            <v>0</v>
          </cell>
        </row>
        <row r="1282">
          <cell r="A1282" t="str">
            <v>45-7</v>
          </cell>
          <cell r="B1282">
            <v>553</v>
          </cell>
          <cell r="D1282" t="str">
            <v>광케이블설치사</v>
          </cell>
          <cell r="E1282">
            <v>0</v>
          </cell>
          <cell r="F1282" t="str">
            <v>인</v>
          </cell>
          <cell r="V1282" t="str">
            <v>=</v>
          </cell>
          <cell r="W1282">
            <v>0.26</v>
          </cell>
          <cell r="AM1282">
            <v>104231</v>
          </cell>
          <cell r="AN1282">
            <v>0</v>
          </cell>
        </row>
        <row r="1283">
          <cell r="A1283" t="str">
            <v>45-8</v>
          </cell>
          <cell r="B1283">
            <v>522</v>
          </cell>
          <cell r="D1283" t="str">
            <v>특별인부</v>
          </cell>
          <cell r="E1283">
            <v>0</v>
          </cell>
          <cell r="F1283" t="str">
            <v>인</v>
          </cell>
          <cell r="V1283" t="str">
            <v>=</v>
          </cell>
          <cell r="W1283">
            <v>0.2</v>
          </cell>
          <cell r="AM1283">
            <v>55970</v>
          </cell>
          <cell r="AN1283">
            <v>0</v>
          </cell>
        </row>
        <row r="1284">
          <cell r="A1284" t="str">
            <v>45-9</v>
          </cell>
          <cell r="B1284">
            <v>543</v>
          </cell>
          <cell r="D1284" t="str">
            <v>다. 공구손료</v>
          </cell>
          <cell r="E1284" t="str">
            <v>노무비x3%</v>
          </cell>
          <cell r="F1284">
            <v>0</v>
          </cell>
          <cell r="AM1284">
            <v>0</v>
          </cell>
          <cell r="AN1284">
            <v>0</v>
          </cell>
        </row>
        <row r="1285">
          <cell r="A1285" t="str">
            <v>45-10</v>
          </cell>
          <cell r="B1285">
            <v>553</v>
          </cell>
          <cell r="D1285" t="str">
            <v>광케이블설치사</v>
          </cell>
          <cell r="E1285">
            <v>0</v>
          </cell>
          <cell r="F1285" t="str">
            <v>인</v>
          </cell>
          <cell r="H1285">
            <v>0.25</v>
          </cell>
          <cell r="I1285" t="str">
            <v>x</v>
          </cell>
          <cell r="J1285">
            <v>0.03</v>
          </cell>
          <cell r="V1285" t="str">
            <v>=</v>
          </cell>
          <cell r="W1285">
            <v>0.01</v>
          </cell>
          <cell r="Y1285" t="str">
            <v>기본</v>
          </cell>
          <cell r="Z1285" t="str">
            <v>x</v>
          </cell>
          <cell r="AA1285" t="str">
            <v>공구손료</v>
          </cell>
          <cell r="AM1285">
            <v>104231</v>
          </cell>
          <cell r="AN1285">
            <v>0</v>
          </cell>
        </row>
        <row r="1286">
          <cell r="A1286" t="str">
            <v>45-11</v>
          </cell>
          <cell r="B1286">
            <v>522</v>
          </cell>
          <cell r="D1286" t="str">
            <v>특별인부</v>
          </cell>
          <cell r="E1286">
            <v>0</v>
          </cell>
          <cell r="F1286" t="str">
            <v>인</v>
          </cell>
          <cell r="H1286">
            <v>0.2</v>
          </cell>
          <cell r="I1286" t="str">
            <v>x</v>
          </cell>
          <cell r="J1286">
            <v>0.03</v>
          </cell>
          <cell r="V1286" t="str">
            <v>=</v>
          </cell>
          <cell r="W1286">
            <v>0.01</v>
          </cell>
          <cell r="Y1286" t="str">
            <v>기본</v>
          </cell>
          <cell r="Z1286" t="str">
            <v>x</v>
          </cell>
          <cell r="AA1286" t="str">
            <v>공구손료</v>
          </cell>
          <cell r="AM1286">
            <v>55970</v>
          </cell>
          <cell r="AN1286">
            <v>0</v>
          </cell>
        </row>
        <row r="1287">
          <cell r="AM1287">
            <v>0</v>
          </cell>
          <cell r="AN1287">
            <v>0</v>
          </cell>
        </row>
        <row r="1288">
          <cell r="AM1288">
            <v>0</v>
          </cell>
          <cell r="AN1288">
            <v>0</v>
          </cell>
        </row>
        <row r="1289">
          <cell r="AM1289">
            <v>0</v>
          </cell>
          <cell r="AN1289">
            <v>0</v>
          </cell>
        </row>
        <row r="1290">
          <cell r="AM1290">
            <v>0</v>
          </cell>
          <cell r="AN1290">
            <v>0</v>
          </cell>
        </row>
        <row r="1291">
          <cell r="AM1291">
            <v>0</v>
          </cell>
          <cell r="AN1291">
            <v>0</v>
          </cell>
        </row>
        <row r="1292">
          <cell r="AM1292">
            <v>0</v>
          </cell>
          <cell r="AN1292">
            <v>0</v>
          </cell>
        </row>
        <row r="1293">
          <cell r="AM1293">
            <v>0</v>
          </cell>
          <cell r="AN1293">
            <v>0</v>
          </cell>
        </row>
        <row r="1294">
          <cell r="AM1294">
            <v>0</v>
          </cell>
          <cell r="AN1294">
            <v>0</v>
          </cell>
        </row>
        <row r="1295">
          <cell r="AM1295">
            <v>0</v>
          </cell>
          <cell r="AN1295">
            <v>0</v>
          </cell>
        </row>
        <row r="1296">
          <cell r="AM1296">
            <v>0</v>
          </cell>
          <cell r="AN1296">
            <v>0</v>
          </cell>
        </row>
        <row r="1297">
          <cell r="AM1297">
            <v>0</v>
          </cell>
          <cell r="AN1297">
            <v>0</v>
          </cell>
        </row>
        <row r="1298">
          <cell r="AM1298">
            <v>0</v>
          </cell>
          <cell r="AN1298">
            <v>0</v>
          </cell>
        </row>
        <row r="1299">
          <cell r="A1299">
            <v>46</v>
          </cell>
          <cell r="C1299">
            <v>46</v>
          </cell>
          <cell r="D1299" t="str">
            <v>광케이블최종시험(지상)</v>
          </cell>
          <cell r="F1299" t="str">
            <v>Core</v>
          </cell>
          <cell r="AM1299">
            <v>0</v>
          </cell>
          <cell r="AN1299">
            <v>0</v>
          </cell>
        </row>
        <row r="1300">
          <cell r="A1300" t="str">
            <v>46-1</v>
          </cell>
          <cell r="B1300">
            <v>541</v>
          </cell>
          <cell r="D1300" t="str">
            <v>가. 재료비</v>
          </cell>
          <cell r="E1300">
            <v>0</v>
          </cell>
          <cell r="F1300">
            <v>0</v>
          </cell>
          <cell r="AM1300">
            <v>0</v>
          </cell>
          <cell r="AN1300">
            <v>0</v>
          </cell>
        </row>
        <row r="1301">
          <cell r="A1301" t="str">
            <v>46-2</v>
          </cell>
          <cell r="B1301">
            <v>46</v>
          </cell>
          <cell r="D1301" t="str">
            <v>크리넥스티슈</v>
          </cell>
          <cell r="E1301" t="str">
            <v>심선수/4</v>
          </cell>
          <cell r="F1301" t="str">
            <v>매</v>
          </cell>
          <cell r="H1301">
            <v>1</v>
          </cell>
          <cell r="I1301" t="str">
            <v>/</v>
          </cell>
          <cell r="J1301">
            <v>4</v>
          </cell>
          <cell r="V1301" t="str">
            <v>=</v>
          </cell>
          <cell r="W1301">
            <v>0.25</v>
          </cell>
          <cell r="Y1301" t="str">
            <v>심선수</v>
          </cell>
          <cell r="Z1301" t="str">
            <v>/</v>
          </cell>
          <cell r="AA1301">
            <v>4</v>
          </cell>
          <cell r="AM1301">
            <v>9</v>
          </cell>
          <cell r="AN1301">
            <v>0</v>
          </cell>
        </row>
        <row r="1302">
          <cell r="A1302" t="str">
            <v>46-3</v>
          </cell>
          <cell r="B1302">
            <v>47</v>
          </cell>
          <cell r="D1302" t="str">
            <v>면봉</v>
          </cell>
          <cell r="E1302" t="str">
            <v>심선수/2</v>
          </cell>
          <cell r="F1302" t="str">
            <v>개</v>
          </cell>
          <cell r="H1302">
            <v>1</v>
          </cell>
          <cell r="I1302" t="str">
            <v>/</v>
          </cell>
          <cell r="J1302">
            <v>2</v>
          </cell>
          <cell r="V1302" t="str">
            <v>=</v>
          </cell>
          <cell r="W1302">
            <v>0.5</v>
          </cell>
          <cell r="Y1302" t="str">
            <v>심선수</v>
          </cell>
          <cell r="Z1302" t="str">
            <v>/</v>
          </cell>
          <cell r="AA1302">
            <v>2</v>
          </cell>
          <cell r="AM1302">
            <v>15</v>
          </cell>
          <cell r="AN1302">
            <v>0</v>
          </cell>
        </row>
        <row r="1303">
          <cell r="A1303" t="str">
            <v>46-4</v>
          </cell>
          <cell r="B1303">
            <v>48</v>
          </cell>
          <cell r="D1303" t="str">
            <v>이소프로필알코올</v>
          </cell>
          <cell r="E1303" t="str">
            <v>순도99%(360g)</v>
          </cell>
          <cell r="F1303" t="str">
            <v>병</v>
          </cell>
          <cell r="H1303">
            <v>0.25</v>
          </cell>
          <cell r="I1303" t="str">
            <v>x</v>
          </cell>
          <cell r="J1303">
            <v>1</v>
          </cell>
          <cell r="V1303" t="str">
            <v>=</v>
          </cell>
          <cell r="W1303">
            <v>0.25</v>
          </cell>
          <cell r="Y1303" t="str">
            <v>기본</v>
          </cell>
          <cell r="Z1303" t="str">
            <v>x</v>
          </cell>
          <cell r="AA1303" t="str">
            <v>단위량</v>
          </cell>
          <cell r="AM1303">
            <v>1300</v>
          </cell>
          <cell r="AN1303">
            <v>0</v>
          </cell>
        </row>
        <row r="1304">
          <cell r="A1304" t="str">
            <v>46-5</v>
          </cell>
          <cell r="B1304">
            <v>49</v>
          </cell>
          <cell r="D1304" t="str">
            <v>OTDR용지</v>
          </cell>
          <cell r="E1304" t="str">
            <v>심선수x4</v>
          </cell>
          <cell r="F1304" t="str">
            <v>매</v>
          </cell>
          <cell r="H1304">
            <v>1</v>
          </cell>
          <cell r="I1304" t="str">
            <v>x</v>
          </cell>
          <cell r="J1304">
            <v>4</v>
          </cell>
          <cell r="V1304" t="str">
            <v>=</v>
          </cell>
          <cell r="W1304">
            <v>4</v>
          </cell>
          <cell r="Y1304" t="str">
            <v>심선수</v>
          </cell>
          <cell r="Z1304" t="str">
            <v>x</v>
          </cell>
          <cell r="AA1304">
            <v>4</v>
          </cell>
          <cell r="AM1304">
            <v>100</v>
          </cell>
          <cell r="AN1304">
            <v>0</v>
          </cell>
        </row>
        <row r="1305">
          <cell r="A1305" t="str">
            <v>46-6</v>
          </cell>
          <cell r="B1305">
            <v>542</v>
          </cell>
          <cell r="D1305" t="str">
            <v>나. 노무비</v>
          </cell>
          <cell r="E1305">
            <v>0</v>
          </cell>
          <cell r="F1305">
            <v>0</v>
          </cell>
          <cell r="AM1305">
            <v>0</v>
          </cell>
          <cell r="AN1305">
            <v>0</v>
          </cell>
        </row>
        <row r="1306">
          <cell r="B1306">
            <v>553</v>
          </cell>
          <cell r="D1306" t="str">
            <v>광케이블설치사</v>
          </cell>
          <cell r="E1306">
            <v>0</v>
          </cell>
          <cell r="F1306" t="str">
            <v>인</v>
          </cell>
          <cell r="H1306">
            <v>0.25</v>
          </cell>
          <cell r="I1306" t="str">
            <v>x</v>
          </cell>
          <cell r="J1306">
            <v>1</v>
          </cell>
          <cell r="V1306" t="str">
            <v>=</v>
          </cell>
          <cell r="W1306">
            <v>0.25</v>
          </cell>
          <cell r="Y1306" t="str">
            <v>기본</v>
          </cell>
          <cell r="Z1306" t="str">
            <v>x</v>
          </cell>
          <cell r="AA1306" t="str">
            <v>단위량</v>
          </cell>
          <cell r="AL1306" t="str">
            <v>통 3-49</v>
          </cell>
          <cell r="AM1306">
            <v>104231</v>
          </cell>
          <cell r="AN1306">
            <v>0</v>
          </cell>
        </row>
        <row r="1307">
          <cell r="B1307">
            <v>522</v>
          </cell>
          <cell r="D1307" t="str">
            <v>특별인부</v>
          </cell>
          <cell r="E1307">
            <v>0</v>
          </cell>
          <cell r="F1307" t="str">
            <v>인</v>
          </cell>
          <cell r="H1307">
            <v>0.2</v>
          </cell>
          <cell r="I1307" t="str">
            <v>x</v>
          </cell>
          <cell r="J1307">
            <v>1</v>
          </cell>
          <cell r="V1307" t="str">
            <v>=</v>
          </cell>
          <cell r="W1307">
            <v>0.2</v>
          </cell>
          <cell r="Y1307" t="str">
            <v>기본</v>
          </cell>
          <cell r="Z1307" t="str">
            <v>x</v>
          </cell>
          <cell r="AA1307" t="str">
            <v>단위량</v>
          </cell>
          <cell r="AM1307">
            <v>55970</v>
          </cell>
          <cell r="AN1307">
            <v>0</v>
          </cell>
        </row>
        <row r="1308">
          <cell r="B1308">
            <v>544</v>
          </cell>
          <cell r="D1308" t="str">
            <v>소    계</v>
          </cell>
          <cell r="E1308">
            <v>0</v>
          </cell>
          <cell r="F1308">
            <v>0</v>
          </cell>
          <cell r="AM1308">
            <v>0</v>
          </cell>
          <cell r="AN1308">
            <v>0</v>
          </cell>
        </row>
        <row r="1309">
          <cell r="A1309" t="str">
            <v>46-7</v>
          </cell>
          <cell r="B1309">
            <v>553</v>
          </cell>
          <cell r="D1309" t="str">
            <v>광케이블설치사</v>
          </cell>
          <cell r="E1309">
            <v>0</v>
          </cell>
          <cell r="F1309" t="str">
            <v>인</v>
          </cell>
          <cell r="V1309" t="str">
            <v>=</v>
          </cell>
          <cell r="W1309">
            <v>0.25</v>
          </cell>
          <cell r="AM1309">
            <v>104231</v>
          </cell>
          <cell r="AN1309">
            <v>0</v>
          </cell>
        </row>
        <row r="1310">
          <cell r="A1310" t="str">
            <v>46-8</v>
          </cell>
          <cell r="B1310">
            <v>522</v>
          </cell>
          <cell r="D1310" t="str">
            <v>특별인부</v>
          </cell>
          <cell r="E1310">
            <v>0</v>
          </cell>
          <cell r="F1310" t="str">
            <v>인</v>
          </cell>
          <cell r="V1310" t="str">
            <v>=</v>
          </cell>
          <cell r="W1310">
            <v>0.2</v>
          </cell>
          <cell r="AM1310">
            <v>55970</v>
          </cell>
          <cell r="AN1310">
            <v>0</v>
          </cell>
        </row>
        <row r="1311">
          <cell r="A1311" t="str">
            <v>46-9</v>
          </cell>
          <cell r="B1311">
            <v>543</v>
          </cell>
          <cell r="D1311" t="str">
            <v>다. 공구손료</v>
          </cell>
          <cell r="E1311" t="str">
            <v>노무비x3%</v>
          </cell>
          <cell r="F1311">
            <v>0</v>
          </cell>
          <cell r="AM1311">
            <v>0</v>
          </cell>
          <cell r="AN1311">
            <v>0</v>
          </cell>
        </row>
        <row r="1312">
          <cell r="A1312" t="str">
            <v>46-10</v>
          </cell>
          <cell r="B1312">
            <v>553</v>
          </cell>
          <cell r="D1312" t="str">
            <v>광케이블설치사</v>
          </cell>
          <cell r="E1312">
            <v>0</v>
          </cell>
          <cell r="F1312" t="str">
            <v>인</v>
          </cell>
          <cell r="H1312">
            <v>0.25</v>
          </cell>
          <cell r="I1312" t="str">
            <v>x</v>
          </cell>
          <cell r="J1312">
            <v>0.03</v>
          </cell>
          <cell r="V1312" t="str">
            <v>=</v>
          </cell>
          <cell r="W1312">
            <v>0.01</v>
          </cell>
          <cell r="Y1312" t="str">
            <v>기본</v>
          </cell>
          <cell r="Z1312" t="str">
            <v>x</v>
          </cell>
          <cell r="AA1312" t="str">
            <v>공구손료</v>
          </cell>
          <cell r="AM1312">
            <v>104231</v>
          </cell>
          <cell r="AN1312">
            <v>0</v>
          </cell>
        </row>
        <row r="1313">
          <cell r="A1313" t="str">
            <v>46-11</v>
          </cell>
          <cell r="B1313">
            <v>522</v>
          </cell>
          <cell r="D1313" t="str">
            <v>특별인부</v>
          </cell>
          <cell r="E1313">
            <v>0</v>
          </cell>
          <cell r="F1313" t="str">
            <v>인</v>
          </cell>
          <cell r="H1313">
            <v>0.2</v>
          </cell>
          <cell r="I1313" t="str">
            <v>x</v>
          </cell>
          <cell r="J1313">
            <v>0.03</v>
          </cell>
          <cell r="V1313" t="str">
            <v>=</v>
          </cell>
          <cell r="W1313">
            <v>0.01</v>
          </cell>
          <cell r="Y1313" t="str">
            <v>기본</v>
          </cell>
          <cell r="Z1313" t="str">
            <v>x</v>
          </cell>
          <cell r="AA1313" t="str">
            <v>공구손료</v>
          </cell>
          <cell r="AM1313">
            <v>55970</v>
          </cell>
          <cell r="AN1313">
            <v>0</v>
          </cell>
        </row>
        <row r="1314">
          <cell r="AM1314">
            <v>0</v>
          </cell>
          <cell r="AN1314">
            <v>0</v>
          </cell>
        </row>
        <row r="1315">
          <cell r="AM1315">
            <v>0</v>
          </cell>
          <cell r="AN1315">
            <v>0</v>
          </cell>
        </row>
        <row r="1316">
          <cell r="AM1316">
            <v>0</v>
          </cell>
          <cell r="AN1316">
            <v>0</v>
          </cell>
        </row>
        <row r="1317">
          <cell r="AM1317">
            <v>0</v>
          </cell>
          <cell r="AN1317">
            <v>0</v>
          </cell>
        </row>
        <row r="1318">
          <cell r="AM1318">
            <v>0</v>
          </cell>
          <cell r="AN1318">
            <v>0</v>
          </cell>
        </row>
        <row r="1319">
          <cell r="AM1319">
            <v>0</v>
          </cell>
          <cell r="AN1319">
            <v>0</v>
          </cell>
        </row>
        <row r="1320">
          <cell r="AM1320">
            <v>0</v>
          </cell>
          <cell r="AN1320">
            <v>0</v>
          </cell>
        </row>
        <row r="1321">
          <cell r="AM1321">
            <v>0</v>
          </cell>
          <cell r="AN1321">
            <v>0</v>
          </cell>
        </row>
        <row r="1322">
          <cell r="AM1322">
            <v>0</v>
          </cell>
          <cell r="AN1322">
            <v>0</v>
          </cell>
        </row>
        <row r="1323">
          <cell r="AM1323">
            <v>0</v>
          </cell>
          <cell r="AN1323">
            <v>0</v>
          </cell>
        </row>
        <row r="1324">
          <cell r="AM1324">
            <v>0</v>
          </cell>
          <cell r="AN1324">
            <v>0</v>
          </cell>
        </row>
        <row r="1325">
          <cell r="AM1325">
            <v>0</v>
          </cell>
          <cell r="AN1325">
            <v>0</v>
          </cell>
        </row>
        <row r="1326">
          <cell r="A1326">
            <v>47</v>
          </cell>
          <cell r="C1326">
            <v>47</v>
          </cell>
          <cell r="D1326" t="str">
            <v>광케이블성단(지하)</v>
          </cell>
          <cell r="E1326" t="str">
            <v>OF-SM-12Cor이하</v>
          </cell>
          <cell r="F1326" t="str">
            <v>Core</v>
          </cell>
          <cell r="AM1326">
            <v>0</v>
          </cell>
          <cell r="AN1326">
            <v>0</v>
          </cell>
        </row>
        <row r="1327">
          <cell r="A1327" t="str">
            <v>47-1</v>
          </cell>
          <cell r="B1327">
            <v>541</v>
          </cell>
          <cell r="D1327" t="str">
            <v>가. 재료비</v>
          </cell>
          <cell r="E1327">
            <v>0</v>
          </cell>
          <cell r="F1327">
            <v>0</v>
          </cell>
          <cell r="AM1327">
            <v>0</v>
          </cell>
          <cell r="AN1327">
            <v>0</v>
          </cell>
        </row>
        <row r="1328">
          <cell r="A1328" t="str">
            <v>47-2</v>
          </cell>
          <cell r="B1328">
            <v>41</v>
          </cell>
          <cell r="D1328" t="str">
            <v>젤리세척제</v>
          </cell>
          <cell r="E1328">
            <v>0</v>
          </cell>
          <cell r="F1328" t="str">
            <v>ℓ</v>
          </cell>
          <cell r="H1328">
            <v>2E-3</v>
          </cell>
          <cell r="I1328" t="str">
            <v>x</v>
          </cell>
          <cell r="J1328">
            <v>1</v>
          </cell>
          <cell r="K1328" t="str">
            <v>x</v>
          </cell>
          <cell r="M1328">
            <v>0.25</v>
          </cell>
          <cell r="V1328" t="str">
            <v>=</v>
          </cell>
          <cell r="W1328">
            <v>5.0000000000000001E-4</v>
          </cell>
          <cell r="Y1328">
            <v>2E-3</v>
          </cell>
          <cell r="Z1328" t="str">
            <v>x</v>
          </cell>
          <cell r="AA1328" t="str">
            <v>케이블 길이</v>
          </cell>
          <cell r="AB1328" t="str">
            <v>x</v>
          </cell>
          <cell r="AC1328" t="str">
            <v>케이블 심경</v>
          </cell>
          <cell r="AM1328">
            <v>8000</v>
          </cell>
          <cell r="AN1328">
            <v>0</v>
          </cell>
        </row>
        <row r="1329">
          <cell r="A1329" t="str">
            <v>47-3</v>
          </cell>
          <cell r="B1329">
            <v>40</v>
          </cell>
          <cell r="D1329" t="str">
            <v>가재</v>
          </cell>
          <cell r="E1329" t="str">
            <v>10㎝x10㎝</v>
          </cell>
          <cell r="F1329" t="str">
            <v>매</v>
          </cell>
          <cell r="H1329">
            <v>1</v>
          </cell>
          <cell r="I1329" t="str">
            <v>x</v>
          </cell>
          <cell r="J1329">
            <v>1</v>
          </cell>
          <cell r="V1329" t="str">
            <v>=</v>
          </cell>
          <cell r="W1329">
            <v>1</v>
          </cell>
          <cell r="Y1329" t="str">
            <v>기본</v>
          </cell>
          <cell r="Z1329" t="str">
            <v>x</v>
          </cell>
          <cell r="AA1329" t="str">
            <v>단위량</v>
          </cell>
          <cell r="AM1329">
            <v>43</v>
          </cell>
          <cell r="AN1329">
            <v>0</v>
          </cell>
        </row>
        <row r="1330">
          <cell r="A1330" t="str">
            <v>47-4</v>
          </cell>
          <cell r="B1330">
            <v>46</v>
          </cell>
          <cell r="D1330" t="str">
            <v>크리넥스티슈</v>
          </cell>
          <cell r="E1330" t="str">
            <v>심선수/4</v>
          </cell>
          <cell r="F1330" t="str">
            <v>매</v>
          </cell>
          <cell r="H1330">
            <v>0.5</v>
          </cell>
          <cell r="I1330" t="str">
            <v>x</v>
          </cell>
          <cell r="J1330">
            <v>1</v>
          </cell>
          <cell r="V1330" t="str">
            <v>=</v>
          </cell>
          <cell r="W1330">
            <v>0.5</v>
          </cell>
          <cell r="Y1330" t="str">
            <v>기본</v>
          </cell>
          <cell r="Z1330" t="str">
            <v>x</v>
          </cell>
          <cell r="AA1330" t="str">
            <v>단위량</v>
          </cell>
          <cell r="AM1330">
            <v>9</v>
          </cell>
          <cell r="AN1330">
            <v>0</v>
          </cell>
        </row>
        <row r="1331">
          <cell r="A1331" t="str">
            <v>47-5</v>
          </cell>
          <cell r="B1331">
            <v>47</v>
          </cell>
          <cell r="D1331" t="str">
            <v>면봉</v>
          </cell>
          <cell r="E1331" t="str">
            <v>심선수/2</v>
          </cell>
          <cell r="F1331" t="str">
            <v>개</v>
          </cell>
          <cell r="H1331">
            <v>1</v>
          </cell>
          <cell r="I1331" t="str">
            <v>/</v>
          </cell>
          <cell r="J1331">
            <v>2</v>
          </cell>
          <cell r="V1331" t="str">
            <v>=</v>
          </cell>
          <cell r="W1331">
            <v>0.5</v>
          </cell>
          <cell r="Y1331" t="str">
            <v>기본</v>
          </cell>
          <cell r="Z1331" t="str">
            <v>/</v>
          </cell>
          <cell r="AA1331">
            <v>2</v>
          </cell>
          <cell r="AM1331">
            <v>15</v>
          </cell>
          <cell r="AN1331">
            <v>0</v>
          </cell>
        </row>
        <row r="1332">
          <cell r="A1332" t="str">
            <v>47-6</v>
          </cell>
          <cell r="B1332">
            <v>48</v>
          </cell>
          <cell r="D1332" t="str">
            <v>이소프로필알코올</v>
          </cell>
          <cell r="E1332" t="str">
            <v>순도99%(360g)</v>
          </cell>
          <cell r="F1332" t="str">
            <v>병</v>
          </cell>
          <cell r="H1332">
            <v>0.5</v>
          </cell>
          <cell r="I1332" t="str">
            <v>x</v>
          </cell>
          <cell r="J1332">
            <v>1</v>
          </cell>
          <cell r="V1332" t="str">
            <v>=</v>
          </cell>
          <cell r="W1332">
            <v>0.5</v>
          </cell>
          <cell r="Y1332" t="str">
            <v>기본</v>
          </cell>
          <cell r="Z1332" t="str">
            <v>x</v>
          </cell>
          <cell r="AA1332" t="str">
            <v>단위량</v>
          </cell>
          <cell r="AM1332">
            <v>1300</v>
          </cell>
          <cell r="AN1332">
            <v>0</v>
          </cell>
        </row>
        <row r="1333">
          <cell r="A1333" t="str">
            <v>47-7</v>
          </cell>
          <cell r="B1333">
            <v>50</v>
          </cell>
          <cell r="D1333" t="str">
            <v>면테이프</v>
          </cell>
          <cell r="E1333" t="str">
            <v>12㎝x30㎝</v>
          </cell>
          <cell r="F1333" t="str">
            <v>개</v>
          </cell>
          <cell r="H1333">
            <v>0.05</v>
          </cell>
          <cell r="I1333" t="str">
            <v>x</v>
          </cell>
          <cell r="J1333">
            <v>1</v>
          </cell>
          <cell r="V1333" t="str">
            <v>=</v>
          </cell>
          <cell r="W1333">
            <v>0.05</v>
          </cell>
          <cell r="Y1333" t="str">
            <v>기본</v>
          </cell>
          <cell r="Z1333" t="str">
            <v>x</v>
          </cell>
          <cell r="AA1333" t="str">
            <v>단위량</v>
          </cell>
          <cell r="AM1333">
            <v>850</v>
          </cell>
          <cell r="AN1333">
            <v>0</v>
          </cell>
        </row>
        <row r="1334">
          <cell r="A1334" t="str">
            <v>47-8</v>
          </cell>
          <cell r="B1334">
            <v>51</v>
          </cell>
          <cell r="D1334" t="str">
            <v>PVC테이프</v>
          </cell>
          <cell r="E1334">
            <v>0</v>
          </cell>
          <cell r="F1334" t="str">
            <v>권</v>
          </cell>
          <cell r="H1334">
            <v>0.5</v>
          </cell>
          <cell r="I1334" t="str">
            <v>x</v>
          </cell>
          <cell r="J1334">
            <v>1</v>
          </cell>
          <cell r="V1334" t="str">
            <v>=</v>
          </cell>
          <cell r="W1334">
            <v>0.5</v>
          </cell>
          <cell r="Y1334" t="str">
            <v>기본</v>
          </cell>
          <cell r="Z1334" t="str">
            <v>x</v>
          </cell>
          <cell r="AA1334" t="str">
            <v>단위량</v>
          </cell>
          <cell r="AM1334">
            <v>800</v>
          </cell>
          <cell r="AN1334">
            <v>0</v>
          </cell>
        </row>
        <row r="1335">
          <cell r="A1335" t="str">
            <v>47-9</v>
          </cell>
          <cell r="B1335">
            <v>15</v>
          </cell>
          <cell r="D1335" t="str">
            <v>걸레</v>
          </cell>
          <cell r="E1335" t="str">
            <v>면포류</v>
          </cell>
          <cell r="F1335" t="str">
            <v>㎏</v>
          </cell>
          <cell r="H1335">
            <v>2.5000000000000001E-2</v>
          </cell>
          <cell r="I1335" t="str">
            <v>x</v>
          </cell>
          <cell r="J1335">
            <v>1</v>
          </cell>
          <cell r="V1335" t="str">
            <v>=</v>
          </cell>
          <cell r="W1335">
            <v>0.03</v>
          </cell>
          <cell r="Y1335" t="str">
            <v>기본</v>
          </cell>
          <cell r="Z1335" t="str">
            <v>x</v>
          </cell>
          <cell r="AA1335" t="str">
            <v>단위량</v>
          </cell>
          <cell r="AM1335">
            <v>1200</v>
          </cell>
          <cell r="AN1335">
            <v>0</v>
          </cell>
        </row>
        <row r="1336">
          <cell r="A1336" t="str">
            <v>47-10</v>
          </cell>
          <cell r="B1336">
            <v>42</v>
          </cell>
          <cell r="D1336" t="str">
            <v>열수축 슬리브</v>
          </cell>
          <cell r="E1336">
            <v>0</v>
          </cell>
          <cell r="F1336" t="str">
            <v>개</v>
          </cell>
          <cell r="H1336">
            <v>1</v>
          </cell>
          <cell r="I1336" t="str">
            <v>x</v>
          </cell>
          <cell r="J1336">
            <v>1</v>
          </cell>
          <cell r="V1336" t="str">
            <v>=</v>
          </cell>
          <cell r="W1336">
            <v>1</v>
          </cell>
          <cell r="Y1336" t="str">
            <v>기본</v>
          </cell>
          <cell r="Z1336" t="str">
            <v>x</v>
          </cell>
          <cell r="AA1336" t="str">
            <v>단위량</v>
          </cell>
          <cell r="AM1336">
            <v>400</v>
          </cell>
          <cell r="AN1336">
            <v>0</v>
          </cell>
        </row>
        <row r="1337">
          <cell r="A1337" t="str">
            <v>47-11</v>
          </cell>
          <cell r="B1337">
            <v>52</v>
          </cell>
          <cell r="D1337" t="str">
            <v>어댑터</v>
          </cell>
          <cell r="E1337">
            <v>0</v>
          </cell>
          <cell r="F1337" t="str">
            <v>개</v>
          </cell>
          <cell r="H1337">
            <v>1</v>
          </cell>
          <cell r="I1337" t="str">
            <v>x</v>
          </cell>
          <cell r="J1337">
            <v>1</v>
          </cell>
          <cell r="V1337" t="str">
            <v>=</v>
          </cell>
          <cell r="W1337">
            <v>1</v>
          </cell>
          <cell r="Y1337" t="str">
            <v>기본</v>
          </cell>
          <cell r="Z1337" t="str">
            <v>x</v>
          </cell>
          <cell r="AA1337" t="str">
            <v>단위량</v>
          </cell>
          <cell r="AM1337">
            <v>1800</v>
          </cell>
          <cell r="AN1337">
            <v>0</v>
          </cell>
        </row>
        <row r="1338">
          <cell r="A1338" t="str">
            <v>47-12</v>
          </cell>
          <cell r="B1338">
            <v>842</v>
          </cell>
          <cell r="D1338" t="str">
            <v>광점퍼코드</v>
          </cell>
          <cell r="E1338" t="str">
            <v>양단</v>
          </cell>
          <cell r="F1338" t="str">
            <v>개</v>
          </cell>
          <cell r="H1338">
            <v>0.5</v>
          </cell>
          <cell r="I1338" t="str">
            <v>x</v>
          </cell>
          <cell r="J1338">
            <v>1</v>
          </cell>
          <cell r="V1338" t="str">
            <v>=</v>
          </cell>
          <cell r="W1338">
            <v>0.5</v>
          </cell>
          <cell r="Y1338" t="str">
            <v>기본</v>
          </cell>
          <cell r="Z1338" t="str">
            <v>x</v>
          </cell>
          <cell r="AA1338" t="str">
            <v>단위량</v>
          </cell>
          <cell r="AM1338">
            <v>15000</v>
          </cell>
          <cell r="AN1338">
            <v>0</v>
          </cell>
        </row>
        <row r="1339">
          <cell r="A1339" t="str">
            <v>47-13</v>
          </cell>
          <cell r="B1339">
            <v>542</v>
          </cell>
          <cell r="D1339" t="str">
            <v>나. 노무비</v>
          </cell>
          <cell r="E1339">
            <v>0</v>
          </cell>
          <cell r="F1339">
            <v>0</v>
          </cell>
          <cell r="AM1339">
            <v>0</v>
          </cell>
          <cell r="AN1339">
            <v>0</v>
          </cell>
        </row>
        <row r="1340">
          <cell r="B1340">
            <v>553</v>
          </cell>
          <cell r="D1340" t="str">
            <v>광케이블설치사</v>
          </cell>
          <cell r="E1340">
            <v>0</v>
          </cell>
          <cell r="F1340" t="str">
            <v>인</v>
          </cell>
          <cell r="H1340">
            <v>0.22</v>
          </cell>
          <cell r="I1340" t="str">
            <v>x</v>
          </cell>
          <cell r="J1340">
            <v>1</v>
          </cell>
          <cell r="K1340" t="str">
            <v>x</v>
          </cell>
          <cell r="L1340" t="str">
            <v>(</v>
          </cell>
          <cell r="M1340">
            <v>1</v>
          </cell>
          <cell r="N1340" t="str">
            <v>+</v>
          </cell>
          <cell r="O1340">
            <v>0.02</v>
          </cell>
          <cell r="P1340" t="str">
            <v>)</v>
          </cell>
          <cell r="V1340" t="str">
            <v>=</v>
          </cell>
          <cell r="W1340">
            <v>0.22</v>
          </cell>
          <cell r="Y1340" t="str">
            <v>기본</v>
          </cell>
          <cell r="Z1340" t="str">
            <v>x</v>
          </cell>
          <cell r="AA1340" t="str">
            <v>단위량</v>
          </cell>
          <cell r="AB1340" t="str">
            <v>x</v>
          </cell>
          <cell r="AC1340" t="str">
            <v>(</v>
          </cell>
          <cell r="AD1340">
            <v>1</v>
          </cell>
          <cell r="AE1340" t="str">
            <v>+</v>
          </cell>
          <cell r="AF1340" t="str">
            <v>지하</v>
          </cell>
          <cell r="AG1340" t="str">
            <v>)</v>
          </cell>
          <cell r="AL1340" t="str">
            <v>통 3-49(지하)</v>
          </cell>
          <cell r="AM1340">
            <v>104231</v>
          </cell>
          <cell r="AN1340">
            <v>0</v>
          </cell>
        </row>
        <row r="1341">
          <cell r="B1341">
            <v>522</v>
          </cell>
          <cell r="D1341" t="str">
            <v>특별인부</v>
          </cell>
          <cell r="E1341">
            <v>0</v>
          </cell>
          <cell r="F1341" t="str">
            <v>인</v>
          </cell>
          <cell r="H1341">
            <v>0.22</v>
          </cell>
          <cell r="I1341" t="str">
            <v>x</v>
          </cell>
          <cell r="J1341">
            <v>1</v>
          </cell>
          <cell r="K1341" t="str">
            <v>x</v>
          </cell>
          <cell r="L1341" t="str">
            <v>(</v>
          </cell>
          <cell r="M1341">
            <v>1</v>
          </cell>
          <cell r="N1341" t="str">
            <v>+</v>
          </cell>
          <cell r="O1341">
            <v>0.02</v>
          </cell>
          <cell r="P1341" t="str">
            <v>)</v>
          </cell>
          <cell r="V1341" t="str">
            <v>=</v>
          </cell>
          <cell r="W1341">
            <v>0.22</v>
          </cell>
          <cell r="Y1341" t="str">
            <v>기본</v>
          </cell>
          <cell r="Z1341" t="str">
            <v>x</v>
          </cell>
          <cell r="AA1341" t="str">
            <v>단위량</v>
          </cell>
          <cell r="AB1341" t="str">
            <v>x</v>
          </cell>
          <cell r="AC1341" t="str">
            <v>(</v>
          </cell>
          <cell r="AD1341">
            <v>1</v>
          </cell>
          <cell r="AE1341" t="str">
            <v>+</v>
          </cell>
          <cell r="AF1341" t="str">
            <v>지하</v>
          </cell>
          <cell r="AG1341" t="str">
            <v>)</v>
          </cell>
          <cell r="AM1341">
            <v>55970</v>
          </cell>
          <cell r="AN1341">
            <v>0</v>
          </cell>
        </row>
        <row r="1342">
          <cell r="B1342">
            <v>544</v>
          </cell>
          <cell r="D1342" t="str">
            <v>소    계</v>
          </cell>
          <cell r="E1342">
            <v>0</v>
          </cell>
          <cell r="F1342">
            <v>0</v>
          </cell>
          <cell r="AM1342">
            <v>0</v>
          </cell>
          <cell r="AN1342">
            <v>0</v>
          </cell>
        </row>
        <row r="1343">
          <cell r="A1343" t="str">
            <v>47-14</v>
          </cell>
          <cell r="B1343">
            <v>553</v>
          </cell>
          <cell r="D1343" t="str">
            <v>광케이블설치사</v>
          </cell>
          <cell r="E1343">
            <v>0</v>
          </cell>
          <cell r="F1343" t="str">
            <v>인</v>
          </cell>
          <cell r="V1343" t="str">
            <v>=</v>
          </cell>
          <cell r="W1343">
            <v>0.22</v>
          </cell>
          <cell r="AM1343">
            <v>104231</v>
          </cell>
          <cell r="AN1343">
            <v>0</v>
          </cell>
        </row>
        <row r="1344">
          <cell r="A1344" t="str">
            <v>47-15</v>
          </cell>
          <cell r="B1344">
            <v>522</v>
          </cell>
          <cell r="D1344" t="str">
            <v>특별인부</v>
          </cell>
          <cell r="E1344">
            <v>0</v>
          </cell>
          <cell r="F1344" t="str">
            <v>인</v>
          </cell>
          <cell r="V1344" t="str">
            <v>=</v>
          </cell>
          <cell r="W1344">
            <v>0.22</v>
          </cell>
          <cell r="AM1344">
            <v>55970</v>
          </cell>
          <cell r="AN1344">
            <v>0</v>
          </cell>
        </row>
        <row r="1345">
          <cell r="A1345" t="str">
            <v>47-16</v>
          </cell>
          <cell r="B1345">
            <v>543</v>
          </cell>
          <cell r="D1345" t="str">
            <v>다. 공구손료</v>
          </cell>
          <cell r="E1345" t="str">
            <v>노무비x3%</v>
          </cell>
          <cell r="F1345">
            <v>0</v>
          </cell>
          <cell r="AM1345">
            <v>0</v>
          </cell>
          <cell r="AN1345">
            <v>0</v>
          </cell>
        </row>
        <row r="1346">
          <cell r="A1346" t="str">
            <v>47-17</v>
          </cell>
          <cell r="B1346">
            <v>553</v>
          </cell>
          <cell r="D1346" t="str">
            <v>광케이블설치사</v>
          </cell>
          <cell r="E1346">
            <v>0</v>
          </cell>
          <cell r="F1346" t="str">
            <v>인</v>
          </cell>
          <cell r="H1346">
            <v>0.22</v>
          </cell>
          <cell r="I1346" t="str">
            <v>x</v>
          </cell>
          <cell r="J1346">
            <v>0.03</v>
          </cell>
          <cell r="V1346" t="str">
            <v>=</v>
          </cell>
          <cell r="W1346">
            <v>0.01</v>
          </cell>
          <cell r="Y1346" t="str">
            <v>기본</v>
          </cell>
          <cell r="Z1346" t="str">
            <v>x</v>
          </cell>
          <cell r="AA1346" t="str">
            <v>공구손료</v>
          </cell>
          <cell r="AM1346">
            <v>104231</v>
          </cell>
          <cell r="AN1346">
            <v>0</v>
          </cell>
        </row>
        <row r="1347">
          <cell r="A1347" t="str">
            <v>47-18</v>
          </cell>
          <cell r="B1347">
            <v>522</v>
          </cell>
          <cell r="D1347" t="str">
            <v>특별인부</v>
          </cell>
          <cell r="E1347">
            <v>0</v>
          </cell>
          <cell r="F1347" t="str">
            <v>인</v>
          </cell>
          <cell r="H1347">
            <v>0.22</v>
          </cell>
          <cell r="I1347" t="str">
            <v>x</v>
          </cell>
          <cell r="J1347">
            <v>0.03</v>
          </cell>
          <cell r="V1347" t="str">
            <v>=</v>
          </cell>
          <cell r="W1347">
            <v>0.01</v>
          </cell>
          <cell r="Y1347" t="str">
            <v>기본</v>
          </cell>
          <cell r="Z1347" t="str">
            <v>x</v>
          </cell>
          <cell r="AA1347" t="str">
            <v>공구손료</v>
          </cell>
          <cell r="AM1347">
            <v>55970</v>
          </cell>
          <cell r="AN1347">
            <v>0</v>
          </cell>
        </row>
        <row r="1348">
          <cell r="AM1348">
            <v>0</v>
          </cell>
          <cell r="AN1348">
            <v>0</v>
          </cell>
        </row>
        <row r="1349">
          <cell r="AM1349">
            <v>0</v>
          </cell>
        </row>
        <row r="1350">
          <cell r="AM1350">
            <v>0</v>
          </cell>
          <cell r="AN1350">
            <v>0</v>
          </cell>
        </row>
        <row r="1351">
          <cell r="AM1351">
            <v>0</v>
          </cell>
          <cell r="AN1351">
            <v>0</v>
          </cell>
        </row>
        <row r="1352">
          <cell r="AM1352">
            <v>0</v>
          </cell>
          <cell r="AN1352">
            <v>0</v>
          </cell>
        </row>
        <row r="1353">
          <cell r="A1353">
            <v>48</v>
          </cell>
          <cell r="C1353">
            <v>48</v>
          </cell>
          <cell r="D1353" t="str">
            <v>광케이블성단(지상)</v>
          </cell>
          <cell r="E1353" t="str">
            <v>OF-SM-12Cor이하</v>
          </cell>
          <cell r="F1353" t="str">
            <v>Core</v>
          </cell>
          <cell r="AM1353">
            <v>0</v>
          </cell>
          <cell r="AN1353">
            <v>0</v>
          </cell>
        </row>
        <row r="1354">
          <cell r="A1354" t="str">
            <v>48-1</v>
          </cell>
          <cell r="B1354">
            <v>541</v>
          </cell>
          <cell r="D1354" t="str">
            <v>가. 재료비</v>
          </cell>
          <cell r="E1354">
            <v>0</v>
          </cell>
          <cell r="F1354">
            <v>0</v>
          </cell>
          <cell r="AM1354">
            <v>0</v>
          </cell>
          <cell r="AN1354">
            <v>0</v>
          </cell>
        </row>
        <row r="1355">
          <cell r="A1355" t="str">
            <v>48-2</v>
          </cell>
          <cell r="B1355">
            <v>41</v>
          </cell>
          <cell r="D1355" t="str">
            <v>젤리세척제</v>
          </cell>
          <cell r="E1355">
            <v>0</v>
          </cell>
          <cell r="F1355" t="str">
            <v>ℓ</v>
          </cell>
          <cell r="H1355">
            <v>2E-3</v>
          </cell>
          <cell r="I1355" t="str">
            <v>x</v>
          </cell>
          <cell r="J1355">
            <v>1</v>
          </cell>
          <cell r="K1355" t="str">
            <v>x</v>
          </cell>
          <cell r="M1355">
            <v>0.25</v>
          </cell>
          <cell r="V1355" t="str">
            <v>=</v>
          </cell>
          <cell r="W1355">
            <v>5.0000000000000001E-4</v>
          </cell>
          <cell r="Y1355">
            <v>2E-3</v>
          </cell>
          <cell r="Z1355" t="str">
            <v>x</v>
          </cell>
          <cell r="AA1355" t="str">
            <v>케이블 길이</v>
          </cell>
          <cell r="AB1355" t="str">
            <v>x</v>
          </cell>
          <cell r="AC1355" t="str">
            <v>케이블 심경</v>
          </cell>
          <cell r="AM1355">
            <v>8000</v>
          </cell>
          <cell r="AN1355">
            <v>0</v>
          </cell>
        </row>
        <row r="1356">
          <cell r="A1356" t="str">
            <v>48-3</v>
          </cell>
          <cell r="B1356">
            <v>40</v>
          </cell>
          <cell r="D1356" t="str">
            <v>가재</v>
          </cell>
          <cell r="E1356" t="str">
            <v>10㎝x10㎝</v>
          </cell>
          <cell r="F1356" t="str">
            <v>매</v>
          </cell>
          <cell r="H1356">
            <v>1</v>
          </cell>
          <cell r="I1356" t="str">
            <v>x</v>
          </cell>
          <cell r="J1356">
            <v>1</v>
          </cell>
          <cell r="V1356" t="str">
            <v>=</v>
          </cell>
          <cell r="W1356">
            <v>1</v>
          </cell>
          <cell r="Y1356" t="str">
            <v>기본</v>
          </cell>
          <cell r="Z1356" t="str">
            <v>x</v>
          </cell>
          <cell r="AA1356" t="str">
            <v>단위량</v>
          </cell>
          <cell r="AM1356">
            <v>43</v>
          </cell>
          <cell r="AN1356">
            <v>0</v>
          </cell>
        </row>
        <row r="1357">
          <cell r="A1357" t="str">
            <v>48-4</v>
          </cell>
          <cell r="B1357">
            <v>46</v>
          </cell>
          <cell r="D1357" t="str">
            <v>크리넥스티슈</v>
          </cell>
          <cell r="E1357" t="str">
            <v>심선수/4</v>
          </cell>
          <cell r="F1357" t="str">
            <v>매</v>
          </cell>
          <cell r="H1357">
            <v>0.5</v>
          </cell>
          <cell r="I1357" t="str">
            <v>x</v>
          </cell>
          <cell r="J1357">
            <v>1</v>
          </cell>
          <cell r="V1357" t="str">
            <v>=</v>
          </cell>
          <cell r="W1357">
            <v>0.5</v>
          </cell>
          <cell r="Y1357" t="str">
            <v>기본</v>
          </cell>
          <cell r="Z1357" t="str">
            <v>x</v>
          </cell>
          <cell r="AA1357" t="str">
            <v>단위량</v>
          </cell>
          <cell r="AM1357">
            <v>9</v>
          </cell>
          <cell r="AN1357">
            <v>0</v>
          </cell>
        </row>
        <row r="1358">
          <cell r="A1358" t="str">
            <v>48-5</v>
          </cell>
          <cell r="B1358">
            <v>47</v>
          </cell>
          <cell r="D1358" t="str">
            <v>면봉</v>
          </cell>
          <cell r="E1358" t="str">
            <v>심선수/2</v>
          </cell>
          <cell r="F1358" t="str">
            <v>개</v>
          </cell>
          <cell r="H1358">
            <v>1</v>
          </cell>
          <cell r="I1358" t="str">
            <v>/</v>
          </cell>
          <cell r="J1358">
            <v>2</v>
          </cell>
          <cell r="V1358" t="str">
            <v>=</v>
          </cell>
          <cell r="W1358">
            <v>0.5</v>
          </cell>
          <cell r="Y1358" t="str">
            <v>기본</v>
          </cell>
          <cell r="Z1358" t="str">
            <v>/</v>
          </cell>
          <cell r="AA1358">
            <v>2</v>
          </cell>
          <cell r="AM1358">
            <v>15</v>
          </cell>
          <cell r="AN1358">
            <v>0</v>
          </cell>
        </row>
        <row r="1359">
          <cell r="A1359" t="str">
            <v>48-6</v>
          </cell>
          <cell r="B1359">
            <v>48</v>
          </cell>
          <cell r="D1359" t="str">
            <v>이소프로필알코올</v>
          </cell>
          <cell r="E1359" t="str">
            <v>순도99%(360g)</v>
          </cell>
          <cell r="F1359" t="str">
            <v>병</v>
          </cell>
          <cell r="H1359">
            <v>0.5</v>
          </cell>
          <cell r="I1359" t="str">
            <v>x</v>
          </cell>
          <cell r="J1359">
            <v>1</v>
          </cell>
          <cell r="V1359" t="str">
            <v>=</v>
          </cell>
          <cell r="W1359">
            <v>0.5</v>
          </cell>
          <cell r="Y1359" t="str">
            <v>기본</v>
          </cell>
          <cell r="Z1359" t="str">
            <v>x</v>
          </cell>
          <cell r="AA1359" t="str">
            <v>단위량</v>
          </cell>
          <cell r="AM1359">
            <v>1300</v>
          </cell>
          <cell r="AN1359">
            <v>0</v>
          </cell>
        </row>
        <row r="1360">
          <cell r="A1360" t="str">
            <v>48-7</v>
          </cell>
          <cell r="B1360">
            <v>50</v>
          </cell>
          <cell r="D1360" t="str">
            <v>면테이프</v>
          </cell>
          <cell r="E1360" t="str">
            <v>12㎝x30㎝</v>
          </cell>
          <cell r="F1360" t="str">
            <v>개</v>
          </cell>
          <cell r="H1360">
            <v>0.05</v>
          </cell>
          <cell r="I1360" t="str">
            <v>x</v>
          </cell>
          <cell r="J1360">
            <v>1</v>
          </cell>
          <cell r="V1360" t="str">
            <v>=</v>
          </cell>
          <cell r="W1360">
            <v>0.05</v>
          </cell>
          <cell r="Y1360" t="str">
            <v>기본</v>
          </cell>
          <cell r="Z1360" t="str">
            <v>x</v>
          </cell>
          <cell r="AA1360" t="str">
            <v>단위량</v>
          </cell>
          <cell r="AM1360">
            <v>850</v>
          </cell>
          <cell r="AN1360">
            <v>0</v>
          </cell>
        </row>
        <row r="1361">
          <cell r="A1361" t="str">
            <v>48-8</v>
          </cell>
          <cell r="B1361">
            <v>51</v>
          </cell>
          <cell r="D1361" t="str">
            <v>PVC테이프</v>
          </cell>
          <cell r="E1361">
            <v>0</v>
          </cell>
          <cell r="F1361" t="str">
            <v>권</v>
          </cell>
          <cell r="H1361">
            <v>0.5</v>
          </cell>
          <cell r="I1361" t="str">
            <v>x</v>
          </cell>
          <cell r="J1361">
            <v>1</v>
          </cell>
          <cell r="V1361" t="str">
            <v>=</v>
          </cell>
          <cell r="W1361">
            <v>0.5</v>
          </cell>
          <cell r="Y1361" t="str">
            <v>기본</v>
          </cell>
          <cell r="Z1361" t="str">
            <v>x</v>
          </cell>
          <cell r="AA1361" t="str">
            <v>단위량</v>
          </cell>
          <cell r="AM1361">
            <v>800</v>
          </cell>
          <cell r="AN1361">
            <v>0</v>
          </cell>
        </row>
        <row r="1362">
          <cell r="A1362" t="str">
            <v>48-9</v>
          </cell>
          <cell r="B1362">
            <v>15</v>
          </cell>
          <cell r="D1362" t="str">
            <v>걸레</v>
          </cell>
          <cell r="E1362" t="str">
            <v>면포류</v>
          </cell>
          <cell r="F1362" t="str">
            <v>㎏</v>
          </cell>
          <cell r="H1362">
            <v>2.5000000000000001E-2</v>
          </cell>
          <cell r="I1362" t="str">
            <v>x</v>
          </cell>
          <cell r="J1362">
            <v>1</v>
          </cell>
          <cell r="V1362" t="str">
            <v>=</v>
          </cell>
          <cell r="W1362">
            <v>0.03</v>
          </cell>
          <cell r="Y1362" t="str">
            <v>기본</v>
          </cell>
          <cell r="Z1362" t="str">
            <v>x</v>
          </cell>
          <cell r="AA1362" t="str">
            <v>단위량</v>
          </cell>
          <cell r="AM1362">
            <v>1200</v>
          </cell>
          <cell r="AN1362">
            <v>0</v>
          </cell>
        </row>
        <row r="1363">
          <cell r="A1363" t="str">
            <v>48-10</v>
          </cell>
          <cell r="B1363">
            <v>42</v>
          </cell>
          <cell r="D1363" t="str">
            <v>열수축 슬리브</v>
          </cell>
          <cell r="E1363">
            <v>0</v>
          </cell>
          <cell r="F1363" t="str">
            <v>개</v>
          </cell>
          <cell r="H1363">
            <v>1</v>
          </cell>
          <cell r="I1363" t="str">
            <v>x</v>
          </cell>
          <cell r="J1363">
            <v>1</v>
          </cell>
          <cell r="V1363" t="str">
            <v>=</v>
          </cell>
          <cell r="W1363">
            <v>1</v>
          </cell>
          <cell r="Y1363" t="str">
            <v>기본</v>
          </cell>
          <cell r="Z1363" t="str">
            <v>x</v>
          </cell>
          <cell r="AA1363" t="str">
            <v>단위량</v>
          </cell>
          <cell r="AM1363">
            <v>400</v>
          </cell>
          <cell r="AN1363">
            <v>0</v>
          </cell>
        </row>
        <row r="1364">
          <cell r="A1364" t="str">
            <v>48-11</v>
          </cell>
          <cell r="B1364">
            <v>52</v>
          </cell>
          <cell r="D1364" t="str">
            <v>어댑터</v>
          </cell>
          <cell r="E1364">
            <v>0</v>
          </cell>
          <cell r="F1364" t="str">
            <v>개</v>
          </cell>
          <cell r="H1364">
            <v>1</v>
          </cell>
          <cell r="I1364" t="str">
            <v>x</v>
          </cell>
          <cell r="J1364">
            <v>1</v>
          </cell>
          <cell r="V1364" t="str">
            <v>=</v>
          </cell>
          <cell r="W1364">
            <v>1</v>
          </cell>
          <cell r="Y1364" t="str">
            <v>기본</v>
          </cell>
          <cell r="Z1364" t="str">
            <v>x</v>
          </cell>
          <cell r="AA1364" t="str">
            <v>단위량</v>
          </cell>
          <cell r="AM1364">
            <v>1800</v>
          </cell>
          <cell r="AN1364">
            <v>0</v>
          </cell>
        </row>
        <row r="1365">
          <cell r="A1365" t="str">
            <v>48-12</v>
          </cell>
          <cell r="B1365">
            <v>842</v>
          </cell>
          <cell r="D1365" t="str">
            <v>광점퍼코드</v>
          </cell>
          <cell r="E1365" t="str">
            <v>양단</v>
          </cell>
          <cell r="F1365" t="str">
            <v>개</v>
          </cell>
          <cell r="H1365">
            <v>0.5</v>
          </cell>
          <cell r="I1365" t="str">
            <v>x</v>
          </cell>
          <cell r="J1365">
            <v>1</v>
          </cell>
          <cell r="V1365" t="str">
            <v>=</v>
          </cell>
          <cell r="W1365">
            <v>0.5</v>
          </cell>
          <cell r="Y1365" t="str">
            <v>기본</v>
          </cell>
          <cell r="Z1365" t="str">
            <v>x</v>
          </cell>
          <cell r="AA1365" t="str">
            <v>단위량</v>
          </cell>
          <cell r="AM1365">
            <v>15000</v>
          </cell>
          <cell r="AN1365">
            <v>0</v>
          </cell>
        </row>
        <row r="1366">
          <cell r="A1366" t="str">
            <v>48-13</v>
          </cell>
          <cell r="B1366">
            <v>542</v>
          </cell>
          <cell r="D1366" t="str">
            <v>나. 노무비</v>
          </cell>
          <cell r="E1366">
            <v>0</v>
          </cell>
          <cell r="F1366">
            <v>0</v>
          </cell>
          <cell r="AM1366">
            <v>0</v>
          </cell>
          <cell r="AN1366">
            <v>0</v>
          </cell>
        </row>
        <row r="1367">
          <cell r="B1367">
            <v>553</v>
          </cell>
          <cell r="D1367" t="str">
            <v>광케이블설치사</v>
          </cell>
          <cell r="E1367">
            <v>0</v>
          </cell>
          <cell r="F1367" t="str">
            <v>인</v>
          </cell>
          <cell r="H1367">
            <v>0.22</v>
          </cell>
          <cell r="I1367" t="str">
            <v>x</v>
          </cell>
          <cell r="J1367">
            <v>1</v>
          </cell>
          <cell r="V1367" t="str">
            <v>=</v>
          </cell>
          <cell r="W1367">
            <v>0.22</v>
          </cell>
          <cell r="Y1367" t="str">
            <v>기본</v>
          </cell>
          <cell r="Z1367" t="str">
            <v>x</v>
          </cell>
          <cell r="AA1367" t="str">
            <v>단위량</v>
          </cell>
          <cell r="AL1367" t="str">
            <v>통 3-49</v>
          </cell>
          <cell r="AM1367">
            <v>104231</v>
          </cell>
          <cell r="AN1367">
            <v>0</v>
          </cell>
        </row>
        <row r="1368">
          <cell r="B1368">
            <v>522</v>
          </cell>
          <cell r="D1368" t="str">
            <v>특별인부</v>
          </cell>
          <cell r="E1368">
            <v>0</v>
          </cell>
          <cell r="F1368" t="str">
            <v>인</v>
          </cell>
          <cell r="H1368">
            <v>0.22</v>
          </cell>
          <cell r="I1368" t="str">
            <v>x</v>
          </cell>
          <cell r="J1368">
            <v>1</v>
          </cell>
          <cell r="V1368" t="str">
            <v>=</v>
          </cell>
          <cell r="W1368">
            <v>0.22</v>
          </cell>
          <cell r="Y1368" t="str">
            <v>기본</v>
          </cell>
          <cell r="Z1368" t="str">
            <v>x</v>
          </cell>
          <cell r="AA1368" t="str">
            <v>단위량</v>
          </cell>
          <cell r="AM1368">
            <v>55970</v>
          </cell>
          <cell r="AN1368">
            <v>0</v>
          </cell>
        </row>
        <row r="1369">
          <cell r="B1369">
            <v>544</v>
          </cell>
          <cell r="D1369" t="str">
            <v>소    계</v>
          </cell>
          <cell r="E1369">
            <v>0</v>
          </cell>
          <cell r="F1369">
            <v>0</v>
          </cell>
          <cell r="AM1369">
            <v>0</v>
          </cell>
          <cell r="AN1369">
            <v>0</v>
          </cell>
        </row>
        <row r="1370">
          <cell r="A1370" t="str">
            <v>48-14</v>
          </cell>
          <cell r="B1370">
            <v>553</v>
          </cell>
          <cell r="D1370" t="str">
            <v>광케이블설치사</v>
          </cell>
          <cell r="E1370">
            <v>0</v>
          </cell>
          <cell r="F1370" t="str">
            <v>인</v>
          </cell>
          <cell r="V1370" t="str">
            <v>=</v>
          </cell>
          <cell r="W1370">
            <v>0.22</v>
          </cell>
          <cell r="AM1370">
            <v>104231</v>
          </cell>
          <cell r="AN1370">
            <v>0</v>
          </cell>
        </row>
        <row r="1371">
          <cell r="A1371" t="str">
            <v>48-15</v>
          </cell>
          <cell r="B1371">
            <v>522</v>
          </cell>
          <cell r="D1371" t="str">
            <v>특별인부</v>
          </cell>
          <cell r="E1371">
            <v>0</v>
          </cell>
          <cell r="F1371" t="str">
            <v>인</v>
          </cell>
          <cell r="V1371" t="str">
            <v>=</v>
          </cell>
          <cell r="W1371">
            <v>0.22</v>
          </cell>
          <cell r="AM1371">
            <v>55970</v>
          </cell>
          <cell r="AN1371">
            <v>0</v>
          </cell>
        </row>
        <row r="1372">
          <cell r="A1372" t="str">
            <v>48-16</v>
          </cell>
          <cell r="B1372">
            <v>543</v>
          </cell>
          <cell r="D1372" t="str">
            <v>다. 공구손료</v>
          </cell>
          <cell r="E1372" t="str">
            <v>노무비x3%</v>
          </cell>
          <cell r="F1372">
            <v>0</v>
          </cell>
          <cell r="AM1372">
            <v>0</v>
          </cell>
          <cell r="AN1372">
            <v>0</v>
          </cell>
        </row>
        <row r="1373">
          <cell r="A1373" t="str">
            <v>48-17</v>
          </cell>
          <cell r="B1373">
            <v>553</v>
          </cell>
          <cell r="D1373" t="str">
            <v>광케이블설치사</v>
          </cell>
          <cell r="E1373">
            <v>0</v>
          </cell>
          <cell r="F1373" t="str">
            <v>인</v>
          </cell>
          <cell r="H1373">
            <v>0.22</v>
          </cell>
          <cell r="I1373" t="str">
            <v>x</v>
          </cell>
          <cell r="J1373">
            <v>0.03</v>
          </cell>
          <cell r="V1373" t="str">
            <v>=</v>
          </cell>
          <cell r="W1373">
            <v>0.01</v>
          </cell>
          <cell r="Y1373" t="str">
            <v>기본</v>
          </cell>
          <cell r="Z1373" t="str">
            <v>x</v>
          </cell>
          <cell r="AA1373" t="str">
            <v>공구손료</v>
          </cell>
          <cell r="AM1373">
            <v>104231</v>
          </cell>
          <cell r="AN1373">
            <v>0</v>
          </cell>
        </row>
        <row r="1374">
          <cell r="A1374" t="str">
            <v>48-18</v>
          </cell>
          <cell r="B1374">
            <v>522</v>
          </cell>
          <cell r="D1374" t="str">
            <v>특별인부</v>
          </cell>
          <cell r="E1374">
            <v>0</v>
          </cell>
          <cell r="F1374" t="str">
            <v>인</v>
          </cell>
          <cell r="H1374">
            <v>0.22</v>
          </cell>
          <cell r="I1374" t="str">
            <v>x</v>
          </cell>
          <cell r="J1374">
            <v>0.03</v>
          </cell>
          <cell r="V1374" t="str">
            <v>=</v>
          </cell>
          <cell r="W1374">
            <v>0.01</v>
          </cell>
          <cell r="Y1374" t="str">
            <v>기본</v>
          </cell>
          <cell r="Z1374" t="str">
            <v>x</v>
          </cell>
          <cell r="AA1374" t="str">
            <v>공구손료</v>
          </cell>
          <cell r="AM1374">
            <v>55970</v>
          </cell>
          <cell r="AN1374">
            <v>0</v>
          </cell>
        </row>
        <row r="1375">
          <cell r="AM1375">
            <v>0</v>
          </cell>
          <cell r="AN1375">
            <v>0</v>
          </cell>
        </row>
        <row r="1376">
          <cell r="AM1376">
            <v>0</v>
          </cell>
        </row>
        <row r="1377">
          <cell r="AM1377">
            <v>0</v>
          </cell>
          <cell r="AN1377">
            <v>0</v>
          </cell>
        </row>
        <row r="1378">
          <cell r="AM1378">
            <v>0</v>
          </cell>
          <cell r="AN1378">
            <v>0</v>
          </cell>
        </row>
        <row r="1379">
          <cell r="AM1379">
            <v>0</v>
          </cell>
          <cell r="AN1379">
            <v>0</v>
          </cell>
        </row>
        <row r="1380">
          <cell r="A1380">
            <v>49</v>
          </cell>
          <cell r="C1380">
            <v>49</v>
          </cell>
          <cell r="D1380" t="str">
            <v>광케이블성단(지하)</v>
          </cell>
          <cell r="E1380" t="str">
            <v>OF-SM-13Core∼71Core이하</v>
          </cell>
          <cell r="F1380" t="str">
            <v>Core</v>
          </cell>
          <cell r="AM1380">
            <v>0</v>
          </cell>
          <cell r="AN1380">
            <v>0</v>
          </cell>
        </row>
        <row r="1381">
          <cell r="A1381" t="str">
            <v>49-1</v>
          </cell>
          <cell r="B1381">
            <v>541</v>
          </cell>
          <cell r="D1381" t="str">
            <v>가. 재료비</v>
          </cell>
          <cell r="E1381">
            <v>0</v>
          </cell>
          <cell r="F1381">
            <v>0</v>
          </cell>
          <cell r="AM1381">
            <v>0</v>
          </cell>
          <cell r="AN1381">
            <v>0</v>
          </cell>
        </row>
        <row r="1382">
          <cell r="A1382" t="str">
            <v>49-2</v>
          </cell>
          <cell r="B1382">
            <v>41</v>
          </cell>
          <cell r="D1382" t="str">
            <v>젤리세척제</v>
          </cell>
          <cell r="E1382">
            <v>0</v>
          </cell>
          <cell r="F1382" t="str">
            <v>ℓ</v>
          </cell>
          <cell r="H1382">
            <v>2E-3</v>
          </cell>
          <cell r="I1382" t="str">
            <v>x</v>
          </cell>
          <cell r="J1382">
            <v>1</v>
          </cell>
          <cell r="K1382" t="str">
            <v>x</v>
          </cell>
          <cell r="M1382">
            <v>0.25</v>
          </cell>
          <cell r="V1382" t="str">
            <v>=</v>
          </cell>
          <cell r="W1382">
            <v>5.0000000000000001E-4</v>
          </cell>
          <cell r="Y1382">
            <v>2E-3</v>
          </cell>
          <cell r="Z1382" t="str">
            <v>x</v>
          </cell>
          <cell r="AA1382" t="str">
            <v>케이블 길이</v>
          </cell>
          <cell r="AB1382" t="str">
            <v>x</v>
          </cell>
          <cell r="AC1382" t="str">
            <v>케이블 심경</v>
          </cell>
          <cell r="AM1382">
            <v>8000</v>
          </cell>
          <cell r="AN1382">
            <v>0</v>
          </cell>
        </row>
        <row r="1383">
          <cell r="A1383" t="str">
            <v>49-3</v>
          </cell>
          <cell r="B1383">
            <v>40</v>
          </cell>
          <cell r="D1383" t="str">
            <v>가재</v>
          </cell>
          <cell r="E1383" t="str">
            <v>10㎝x10㎝</v>
          </cell>
          <cell r="F1383" t="str">
            <v>매</v>
          </cell>
          <cell r="H1383">
            <v>1</v>
          </cell>
          <cell r="I1383" t="str">
            <v>x</v>
          </cell>
          <cell r="J1383">
            <v>1</v>
          </cell>
          <cell r="V1383" t="str">
            <v>=</v>
          </cell>
          <cell r="W1383">
            <v>1</v>
          </cell>
          <cell r="Y1383" t="str">
            <v>기본</v>
          </cell>
          <cell r="Z1383" t="str">
            <v>x</v>
          </cell>
          <cell r="AA1383" t="str">
            <v>단위량</v>
          </cell>
          <cell r="AM1383">
            <v>43</v>
          </cell>
          <cell r="AN1383">
            <v>0</v>
          </cell>
        </row>
        <row r="1384">
          <cell r="A1384" t="str">
            <v>49-4</v>
          </cell>
          <cell r="B1384">
            <v>46</v>
          </cell>
          <cell r="D1384" t="str">
            <v>크리넥스티슈</v>
          </cell>
          <cell r="E1384" t="str">
            <v>심선수/4</v>
          </cell>
          <cell r="F1384" t="str">
            <v>매</v>
          </cell>
          <cell r="H1384">
            <v>0.5</v>
          </cell>
          <cell r="I1384" t="str">
            <v>x</v>
          </cell>
          <cell r="J1384">
            <v>1</v>
          </cell>
          <cell r="V1384" t="str">
            <v>=</v>
          </cell>
          <cell r="W1384">
            <v>0.5</v>
          </cell>
          <cell r="Y1384" t="str">
            <v>기본</v>
          </cell>
          <cell r="Z1384" t="str">
            <v>x</v>
          </cell>
          <cell r="AA1384" t="str">
            <v>단위량</v>
          </cell>
          <cell r="AM1384">
            <v>9</v>
          </cell>
          <cell r="AN1384">
            <v>0</v>
          </cell>
        </row>
        <row r="1385">
          <cell r="A1385" t="str">
            <v>49-5</v>
          </cell>
          <cell r="B1385">
            <v>47</v>
          </cell>
          <cell r="D1385" t="str">
            <v>면봉</v>
          </cell>
          <cell r="E1385" t="str">
            <v>심선수/2</v>
          </cell>
          <cell r="F1385" t="str">
            <v>개</v>
          </cell>
          <cell r="H1385">
            <v>1</v>
          </cell>
          <cell r="I1385" t="str">
            <v>/</v>
          </cell>
          <cell r="J1385">
            <v>2</v>
          </cell>
          <cell r="V1385" t="str">
            <v>=</v>
          </cell>
          <cell r="W1385">
            <v>0.5</v>
          </cell>
          <cell r="Y1385" t="str">
            <v>기본</v>
          </cell>
          <cell r="Z1385" t="str">
            <v>/</v>
          </cell>
          <cell r="AA1385">
            <v>2</v>
          </cell>
          <cell r="AM1385">
            <v>15</v>
          </cell>
          <cell r="AN1385">
            <v>0</v>
          </cell>
        </row>
        <row r="1386">
          <cell r="A1386" t="str">
            <v>49-6</v>
          </cell>
          <cell r="B1386">
            <v>48</v>
          </cell>
          <cell r="D1386" t="str">
            <v>이소프로필알코올</v>
          </cell>
          <cell r="E1386" t="str">
            <v>순도99%(360g)</v>
          </cell>
          <cell r="F1386" t="str">
            <v>병</v>
          </cell>
          <cell r="H1386">
            <v>0.5</v>
          </cell>
          <cell r="I1386" t="str">
            <v>x</v>
          </cell>
          <cell r="J1386">
            <v>1</v>
          </cell>
          <cell r="V1386" t="str">
            <v>=</v>
          </cell>
          <cell r="W1386">
            <v>0.5</v>
          </cell>
          <cell r="Y1386" t="str">
            <v>기본</v>
          </cell>
          <cell r="Z1386" t="str">
            <v>x</v>
          </cell>
          <cell r="AA1386" t="str">
            <v>단위량</v>
          </cell>
          <cell r="AM1386">
            <v>1300</v>
          </cell>
          <cell r="AN1386">
            <v>0</v>
          </cell>
        </row>
        <row r="1387">
          <cell r="A1387" t="str">
            <v>49-7</v>
          </cell>
          <cell r="B1387">
            <v>50</v>
          </cell>
          <cell r="D1387" t="str">
            <v>면테이프</v>
          </cell>
          <cell r="E1387" t="str">
            <v>12㎝x30㎝</v>
          </cell>
          <cell r="F1387" t="str">
            <v>개</v>
          </cell>
          <cell r="H1387">
            <v>0.05</v>
          </cell>
          <cell r="I1387" t="str">
            <v>x</v>
          </cell>
          <cell r="J1387">
            <v>1</v>
          </cell>
          <cell r="V1387" t="str">
            <v>=</v>
          </cell>
          <cell r="W1387">
            <v>0.05</v>
          </cell>
          <cell r="Y1387" t="str">
            <v>기본</v>
          </cell>
          <cell r="Z1387" t="str">
            <v>x</v>
          </cell>
          <cell r="AA1387" t="str">
            <v>단위량</v>
          </cell>
          <cell r="AM1387">
            <v>850</v>
          </cell>
          <cell r="AN1387">
            <v>0</v>
          </cell>
        </row>
        <row r="1388">
          <cell r="A1388" t="str">
            <v>49-8</v>
          </cell>
          <cell r="B1388">
            <v>51</v>
          </cell>
          <cell r="D1388" t="str">
            <v>PVC테이프</v>
          </cell>
          <cell r="E1388">
            <v>0</v>
          </cell>
          <cell r="F1388" t="str">
            <v>권</v>
          </cell>
          <cell r="H1388">
            <v>0.5</v>
          </cell>
          <cell r="I1388" t="str">
            <v>x</v>
          </cell>
          <cell r="J1388">
            <v>1</v>
          </cell>
          <cell r="V1388" t="str">
            <v>=</v>
          </cell>
          <cell r="W1388">
            <v>0.5</v>
          </cell>
          <cell r="Y1388" t="str">
            <v>기본</v>
          </cell>
          <cell r="Z1388" t="str">
            <v>x</v>
          </cell>
          <cell r="AA1388" t="str">
            <v>단위량</v>
          </cell>
          <cell r="AM1388">
            <v>800</v>
          </cell>
          <cell r="AN1388">
            <v>0</v>
          </cell>
        </row>
        <row r="1389">
          <cell r="A1389" t="str">
            <v>49-9</v>
          </cell>
          <cell r="B1389">
            <v>15</v>
          </cell>
          <cell r="D1389" t="str">
            <v>걸레</v>
          </cell>
          <cell r="E1389" t="str">
            <v>면포류</v>
          </cell>
          <cell r="F1389" t="str">
            <v>㎏</v>
          </cell>
          <cell r="H1389">
            <v>2.5000000000000001E-2</v>
          </cell>
          <cell r="I1389" t="str">
            <v>x</v>
          </cell>
          <cell r="J1389">
            <v>1</v>
          </cell>
          <cell r="V1389" t="str">
            <v>=</v>
          </cell>
          <cell r="W1389">
            <v>0.03</v>
          </cell>
          <cell r="Y1389" t="str">
            <v>기본</v>
          </cell>
          <cell r="Z1389" t="str">
            <v>x</v>
          </cell>
          <cell r="AA1389" t="str">
            <v>단위량</v>
          </cell>
          <cell r="AM1389">
            <v>1200</v>
          </cell>
          <cell r="AN1389">
            <v>0</v>
          </cell>
        </row>
        <row r="1390">
          <cell r="A1390" t="str">
            <v>49-10</v>
          </cell>
          <cell r="B1390">
            <v>42</v>
          </cell>
          <cell r="D1390" t="str">
            <v>열수축 슬리브</v>
          </cell>
          <cell r="E1390">
            <v>0</v>
          </cell>
          <cell r="F1390" t="str">
            <v>개</v>
          </cell>
          <cell r="H1390">
            <v>1</v>
          </cell>
          <cell r="I1390" t="str">
            <v>x</v>
          </cell>
          <cell r="J1390">
            <v>1</v>
          </cell>
          <cell r="V1390" t="str">
            <v>=</v>
          </cell>
          <cell r="W1390">
            <v>1</v>
          </cell>
          <cell r="Y1390" t="str">
            <v>기본</v>
          </cell>
          <cell r="Z1390" t="str">
            <v>x</v>
          </cell>
          <cell r="AA1390" t="str">
            <v>단위량</v>
          </cell>
          <cell r="AM1390">
            <v>400</v>
          </cell>
          <cell r="AN1390">
            <v>0</v>
          </cell>
        </row>
        <row r="1391">
          <cell r="A1391" t="str">
            <v>49-11</v>
          </cell>
          <cell r="B1391">
            <v>52</v>
          </cell>
          <cell r="D1391" t="str">
            <v>어댑터</v>
          </cell>
          <cell r="E1391">
            <v>0</v>
          </cell>
          <cell r="F1391" t="str">
            <v>개</v>
          </cell>
          <cell r="H1391">
            <v>1</v>
          </cell>
          <cell r="I1391" t="str">
            <v>x</v>
          </cell>
          <cell r="J1391">
            <v>1</v>
          </cell>
          <cell r="V1391" t="str">
            <v>=</v>
          </cell>
          <cell r="W1391">
            <v>1</v>
          </cell>
          <cell r="Y1391" t="str">
            <v>기본</v>
          </cell>
          <cell r="Z1391" t="str">
            <v>x</v>
          </cell>
          <cell r="AA1391" t="str">
            <v>단위량</v>
          </cell>
          <cell r="AM1391">
            <v>1800</v>
          </cell>
          <cell r="AN1391">
            <v>0</v>
          </cell>
        </row>
        <row r="1392">
          <cell r="A1392" t="str">
            <v>49-12</v>
          </cell>
          <cell r="B1392">
            <v>842</v>
          </cell>
          <cell r="D1392" t="str">
            <v>광점퍼코드</v>
          </cell>
          <cell r="E1392" t="str">
            <v>양단</v>
          </cell>
          <cell r="F1392" t="str">
            <v>개</v>
          </cell>
          <cell r="H1392">
            <v>0.5</v>
          </cell>
          <cell r="I1392" t="str">
            <v>x</v>
          </cell>
          <cell r="J1392">
            <v>1</v>
          </cell>
          <cell r="V1392" t="str">
            <v>=</v>
          </cell>
          <cell r="W1392">
            <v>0.5</v>
          </cell>
          <cell r="Y1392" t="str">
            <v>기본</v>
          </cell>
          <cell r="Z1392" t="str">
            <v>x</v>
          </cell>
          <cell r="AA1392" t="str">
            <v>단위량</v>
          </cell>
          <cell r="AM1392">
            <v>15000</v>
          </cell>
          <cell r="AN1392">
            <v>0</v>
          </cell>
        </row>
        <row r="1393">
          <cell r="A1393" t="str">
            <v>49-13</v>
          </cell>
          <cell r="B1393">
            <v>542</v>
          </cell>
          <cell r="D1393" t="str">
            <v>나. 노무비</v>
          </cell>
          <cell r="E1393">
            <v>0</v>
          </cell>
          <cell r="F1393">
            <v>0</v>
          </cell>
          <cell r="AM1393">
            <v>0</v>
          </cell>
          <cell r="AN1393">
            <v>0</v>
          </cell>
        </row>
        <row r="1394">
          <cell r="B1394">
            <v>553</v>
          </cell>
          <cell r="D1394" t="str">
            <v>광케이블설치사</v>
          </cell>
          <cell r="E1394">
            <v>0</v>
          </cell>
          <cell r="F1394" t="str">
            <v>인</v>
          </cell>
          <cell r="H1394">
            <v>0.17</v>
          </cell>
          <cell r="I1394" t="str">
            <v>x</v>
          </cell>
          <cell r="J1394">
            <v>1</v>
          </cell>
          <cell r="K1394" t="str">
            <v>x</v>
          </cell>
          <cell r="L1394" t="str">
            <v>(</v>
          </cell>
          <cell r="M1394">
            <v>1</v>
          </cell>
          <cell r="N1394" t="str">
            <v>+</v>
          </cell>
          <cell r="O1394">
            <v>0.02</v>
          </cell>
          <cell r="P1394" t="str">
            <v>)</v>
          </cell>
          <cell r="V1394" t="str">
            <v>=</v>
          </cell>
          <cell r="W1394">
            <v>0.17</v>
          </cell>
          <cell r="Y1394" t="str">
            <v>기본</v>
          </cell>
          <cell r="Z1394" t="str">
            <v>x</v>
          </cell>
          <cell r="AA1394" t="str">
            <v>단위량</v>
          </cell>
          <cell r="AB1394" t="str">
            <v>x</v>
          </cell>
          <cell r="AC1394" t="str">
            <v>(</v>
          </cell>
          <cell r="AD1394">
            <v>1</v>
          </cell>
          <cell r="AE1394" t="str">
            <v>+</v>
          </cell>
          <cell r="AF1394" t="str">
            <v>지하</v>
          </cell>
          <cell r="AG1394" t="str">
            <v>)</v>
          </cell>
          <cell r="AL1394" t="str">
            <v>통 3-49(지하)</v>
          </cell>
          <cell r="AM1394">
            <v>104231</v>
          </cell>
          <cell r="AN1394">
            <v>0</v>
          </cell>
        </row>
        <row r="1395">
          <cell r="B1395">
            <v>522</v>
          </cell>
          <cell r="D1395" t="str">
            <v>특별인부</v>
          </cell>
          <cell r="E1395">
            <v>0</v>
          </cell>
          <cell r="F1395" t="str">
            <v>인</v>
          </cell>
          <cell r="H1395">
            <v>0.13</v>
          </cell>
          <cell r="I1395" t="str">
            <v>x</v>
          </cell>
          <cell r="J1395">
            <v>1</v>
          </cell>
          <cell r="K1395" t="str">
            <v>x</v>
          </cell>
          <cell r="L1395" t="str">
            <v>(</v>
          </cell>
          <cell r="M1395">
            <v>1</v>
          </cell>
          <cell r="N1395" t="str">
            <v>+</v>
          </cell>
          <cell r="O1395">
            <v>0.02</v>
          </cell>
          <cell r="P1395" t="str">
            <v>)</v>
          </cell>
          <cell r="V1395" t="str">
            <v>=</v>
          </cell>
          <cell r="W1395">
            <v>0.13</v>
          </cell>
          <cell r="Y1395" t="str">
            <v>기본</v>
          </cell>
          <cell r="Z1395" t="str">
            <v>x</v>
          </cell>
          <cell r="AA1395" t="str">
            <v>단위량</v>
          </cell>
          <cell r="AB1395" t="str">
            <v>x</v>
          </cell>
          <cell r="AC1395" t="str">
            <v>(</v>
          </cell>
          <cell r="AD1395">
            <v>1</v>
          </cell>
          <cell r="AE1395" t="str">
            <v>+</v>
          </cell>
          <cell r="AF1395" t="str">
            <v>지하</v>
          </cell>
          <cell r="AG1395" t="str">
            <v>)</v>
          </cell>
          <cell r="AM1395">
            <v>55970</v>
          </cell>
          <cell r="AN1395">
            <v>0</v>
          </cell>
        </row>
        <row r="1396">
          <cell r="B1396">
            <v>544</v>
          </cell>
          <cell r="D1396" t="str">
            <v>소    계</v>
          </cell>
          <cell r="E1396">
            <v>0</v>
          </cell>
          <cell r="F1396">
            <v>0</v>
          </cell>
          <cell r="AM1396">
            <v>0</v>
          </cell>
          <cell r="AN1396">
            <v>0</v>
          </cell>
        </row>
        <row r="1397">
          <cell r="A1397" t="str">
            <v>49-14</v>
          </cell>
          <cell r="B1397">
            <v>553</v>
          </cell>
          <cell r="D1397" t="str">
            <v>광케이블설치사</v>
          </cell>
          <cell r="E1397">
            <v>0</v>
          </cell>
          <cell r="F1397" t="str">
            <v>인</v>
          </cell>
          <cell r="V1397" t="str">
            <v>=</v>
          </cell>
          <cell r="W1397">
            <v>0.17</v>
          </cell>
          <cell r="AM1397">
            <v>104231</v>
          </cell>
          <cell r="AN1397">
            <v>0</v>
          </cell>
        </row>
        <row r="1398">
          <cell r="A1398" t="str">
            <v>49-15</v>
          </cell>
          <cell r="B1398">
            <v>522</v>
          </cell>
          <cell r="D1398" t="str">
            <v>특별인부</v>
          </cell>
          <cell r="E1398">
            <v>0</v>
          </cell>
          <cell r="F1398" t="str">
            <v>인</v>
          </cell>
          <cell r="V1398" t="str">
            <v>=</v>
          </cell>
          <cell r="W1398">
            <v>0.13</v>
          </cell>
          <cell r="AM1398">
            <v>55970</v>
          </cell>
          <cell r="AN1398">
            <v>0</v>
          </cell>
        </row>
        <row r="1399">
          <cell r="A1399" t="str">
            <v>49-16</v>
          </cell>
          <cell r="B1399">
            <v>543</v>
          </cell>
          <cell r="D1399" t="str">
            <v>다. 공구손료</v>
          </cell>
          <cell r="E1399" t="str">
            <v>노무비x3%</v>
          </cell>
          <cell r="F1399">
            <v>0</v>
          </cell>
          <cell r="AM1399">
            <v>0</v>
          </cell>
          <cell r="AN1399">
            <v>0</v>
          </cell>
        </row>
        <row r="1400">
          <cell r="A1400" t="str">
            <v>49-17</v>
          </cell>
          <cell r="B1400">
            <v>553</v>
          </cell>
          <cell r="D1400" t="str">
            <v>광케이블설치사</v>
          </cell>
          <cell r="E1400">
            <v>0</v>
          </cell>
          <cell r="F1400" t="str">
            <v>인</v>
          </cell>
          <cell r="H1400">
            <v>0.17</v>
          </cell>
          <cell r="I1400" t="str">
            <v>x</v>
          </cell>
          <cell r="J1400">
            <v>0.03</v>
          </cell>
          <cell r="V1400" t="str">
            <v>=</v>
          </cell>
          <cell r="W1400">
            <v>0.01</v>
          </cell>
          <cell r="Y1400" t="str">
            <v>기본</v>
          </cell>
          <cell r="Z1400" t="str">
            <v>x</v>
          </cell>
          <cell r="AA1400" t="str">
            <v>공구손료</v>
          </cell>
          <cell r="AM1400">
            <v>104231</v>
          </cell>
          <cell r="AN1400">
            <v>0</v>
          </cell>
        </row>
        <row r="1401">
          <cell r="A1401" t="str">
            <v>49-18</v>
          </cell>
          <cell r="B1401">
            <v>522</v>
          </cell>
          <cell r="D1401" t="str">
            <v>특별인부</v>
          </cell>
          <cell r="E1401">
            <v>0</v>
          </cell>
          <cell r="F1401" t="str">
            <v>인</v>
          </cell>
          <cell r="H1401">
            <v>0.13</v>
          </cell>
          <cell r="I1401" t="str">
            <v>x</v>
          </cell>
          <cell r="J1401">
            <v>0.03</v>
          </cell>
          <cell r="V1401" t="str">
            <v>=</v>
          </cell>
          <cell r="W1401" t="str">
            <v>0</v>
          </cell>
          <cell r="Y1401" t="str">
            <v>기본</v>
          </cell>
          <cell r="Z1401" t="str">
            <v>x</v>
          </cell>
          <cell r="AA1401" t="str">
            <v>공구손료</v>
          </cell>
          <cell r="AM1401">
            <v>55970</v>
          </cell>
          <cell r="AN1401">
            <v>0</v>
          </cell>
        </row>
        <row r="1402">
          <cell r="AM1402">
            <v>0</v>
          </cell>
          <cell r="AN1402">
            <v>0</v>
          </cell>
        </row>
        <row r="1403">
          <cell r="AM1403">
            <v>0</v>
          </cell>
        </row>
        <row r="1404">
          <cell r="AM1404">
            <v>0</v>
          </cell>
          <cell r="AN1404">
            <v>0</v>
          </cell>
        </row>
        <row r="1405">
          <cell r="AM1405">
            <v>0</v>
          </cell>
          <cell r="AN1405">
            <v>0</v>
          </cell>
        </row>
        <row r="1406">
          <cell r="AM1406">
            <v>0</v>
          </cell>
          <cell r="AN1406">
            <v>0</v>
          </cell>
        </row>
        <row r="1407">
          <cell r="A1407">
            <v>50</v>
          </cell>
          <cell r="C1407">
            <v>50</v>
          </cell>
          <cell r="D1407" t="str">
            <v>광케이블성단(지상)</v>
          </cell>
          <cell r="E1407" t="str">
            <v>OF-SM-13Core∼71Core이하</v>
          </cell>
          <cell r="F1407" t="str">
            <v>Core</v>
          </cell>
          <cell r="AM1407">
            <v>0</v>
          </cell>
          <cell r="AN1407">
            <v>0</v>
          </cell>
        </row>
        <row r="1408">
          <cell r="A1408" t="str">
            <v>50-1</v>
          </cell>
          <cell r="B1408">
            <v>541</v>
          </cell>
          <cell r="D1408" t="str">
            <v>가. 재료비</v>
          </cell>
          <cell r="E1408">
            <v>0</v>
          </cell>
          <cell r="F1408">
            <v>0</v>
          </cell>
          <cell r="AM1408">
            <v>0</v>
          </cell>
          <cell r="AN1408">
            <v>0</v>
          </cell>
        </row>
        <row r="1409">
          <cell r="A1409" t="str">
            <v>50-2</v>
          </cell>
          <cell r="B1409">
            <v>41</v>
          </cell>
          <cell r="D1409" t="str">
            <v>젤리세척제</v>
          </cell>
          <cell r="E1409">
            <v>0</v>
          </cell>
          <cell r="F1409" t="str">
            <v>ℓ</v>
          </cell>
          <cell r="H1409">
            <v>2E-3</v>
          </cell>
          <cell r="I1409" t="str">
            <v>x</v>
          </cell>
          <cell r="J1409">
            <v>1</v>
          </cell>
          <cell r="K1409" t="str">
            <v>x</v>
          </cell>
          <cell r="M1409">
            <v>0.25</v>
          </cell>
          <cell r="V1409" t="str">
            <v>=</v>
          </cell>
          <cell r="W1409">
            <v>5.0000000000000001E-4</v>
          </cell>
          <cell r="Y1409">
            <v>2E-3</v>
          </cell>
          <cell r="Z1409" t="str">
            <v>x</v>
          </cell>
          <cell r="AA1409" t="str">
            <v>케이블 길이</v>
          </cell>
          <cell r="AB1409" t="str">
            <v>x</v>
          </cell>
          <cell r="AC1409" t="str">
            <v>케이블 심경</v>
          </cell>
          <cell r="AM1409">
            <v>8000</v>
          </cell>
          <cell r="AN1409">
            <v>0</v>
          </cell>
        </row>
        <row r="1410">
          <cell r="A1410" t="str">
            <v>50-3</v>
          </cell>
          <cell r="B1410">
            <v>40</v>
          </cell>
          <cell r="D1410" t="str">
            <v>가재</v>
          </cell>
          <cell r="E1410" t="str">
            <v>10㎝x10㎝</v>
          </cell>
          <cell r="F1410" t="str">
            <v>매</v>
          </cell>
          <cell r="H1410">
            <v>1</v>
          </cell>
          <cell r="I1410" t="str">
            <v>x</v>
          </cell>
          <cell r="J1410">
            <v>1</v>
          </cell>
          <cell r="V1410" t="str">
            <v>=</v>
          </cell>
          <cell r="W1410">
            <v>1</v>
          </cell>
          <cell r="Y1410" t="str">
            <v>기본</v>
          </cell>
          <cell r="Z1410" t="str">
            <v>x</v>
          </cell>
          <cell r="AA1410" t="str">
            <v>단위량</v>
          </cell>
          <cell r="AM1410">
            <v>43</v>
          </cell>
          <cell r="AN1410">
            <v>0</v>
          </cell>
        </row>
        <row r="1411">
          <cell r="A1411" t="str">
            <v>50-4</v>
          </cell>
          <cell r="B1411">
            <v>46</v>
          </cell>
          <cell r="D1411" t="str">
            <v>크리넥스티슈</v>
          </cell>
          <cell r="E1411" t="str">
            <v>심선수/4</v>
          </cell>
          <cell r="F1411" t="str">
            <v>매</v>
          </cell>
          <cell r="H1411">
            <v>0.5</v>
          </cell>
          <cell r="I1411" t="str">
            <v>x</v>
          </cell>
          <cell r="J1411">
            <v>1</v>
          </cell>
          <cell r="V1411" t="str">
            <v>=</v>
          </cell>
          <cell r="W1411">
            <v>0.5</v>
          </cell>
          <cell r="Y1411" t="str">
            <v>기본</v>
          </cell>
          <cell r="Z1411" t="str">
            <v>x</v>
          </cell>
          <cell r="AA1411" t="str">
            <v>단위량</v>
          </cell>
          <cell r="AM1411">
            <v>9</v>
          </cell>
          <cell r="AN1411">
            <v>0</v>
          </cell>
        </row>
        <row r="1412">
          <cell r="A1412" t="str">
            <v>50-5</v>
          </cell>
          <cell r="B1412">
            <v>47</v>
          </cell>
          <cell r="D1412" t="str">
            <v>면봉</v>
          </cell>
          <cell r="E1412" t="str">
            <v>심선수/2</v>
          </cell>
          <cell r="F1412" t="str">
            <v>개</v>
          </cell>
          <cell r="H1412">
            <v>1</v>
          </cell>
          <cell r="I1412" t="str">
            <v>/</v>
          </cell>
          <cell r="J1412">
            <v>2</v>
          </cell>
          <cell r="V1412" t="str">
            <v>=</v>
          </cell>
          <cell r="W1412">
            <v>0.5</v>
          </cell>
          <cell r="Y1412" t="str">
            <v>기본</v>
          </cell>
          <cell r="Z1412" t="str">
            <v>/</v>
          </cell>
          <cell r="AA1412">
            <v>2</v>
          </cell>
          <cell r="AM1412">
            <v>15</v>
          </cell>
          <cell r="AN1412">
            <v>0</v>
          </cell>
        </row>
        <row r="1413">
          <cell r="A1413" t="str">
            <v>50-6</v>
          </cell>
          <cell r="B1413">
            <v>48</v>
          </cell>
          <cell r="D1413" t="str">
            <v>이소프로필알코올</v>
          </cell>
          <cell r="E1413" t="str">
            <v>순도99%(360g)</v>
          </cell>
          <cell r="F1413" t="str">
            <v>병</v>
          </cell>
          <cell r="H1413">
            <v>0.5</v>
          </cell>
          <cell r="I1413" t="str">
            <v>x</v>
          </cell>
          <cell r="J1413">
            <v>1</v>
          </cell>
          <cell r="V1413" t="str">
            <v>=</v>
          </cell>
          <cell r="W1413">
            <v>0.5</v>
          </cell>
          <cell r="Y1413" t="str">
            <v>기본</v>
          </cell>
          <cell r="Z1413" t="str">
            <v>x</v>
          </cell>
          <cell r="AA1413" t="str">
            <v>단위량</v>
          </cell>
          <cell r="AM1413">
            <v>1300</v>
          </cell>
          <cell r="AN1413">
            <v>0</v>
          </cell>
        </row>
        <row r="1414">
          <cell r="A1414" t="str">
            <v>50-7</v>
          </cell>
          <cell r="B1414">
            <v>50</v>
          </cell>
          <cell r="D1414" t="str">
            <v>면테이프</v>
          </cell>
          <cell r="E1414" t="str">
            <v>12㎝x30㎝</v>
          </cell>
          <cell r="F1414" t="str">
            <v>개</v>
          </cell>
          <cell r="H1414">
            <v>0.05</v>
          </cell>
          <cell r="I1414" t="str">
            <v>x</v>
          </cell>
          <cell r="J1414">
            <v>1</v>
          </cell>
          <cell r="V1414" t="str">
            <v>=</v>
          </cell>
          <cell r="W1414">
            <v>0.05</v>
          </cell>
          <cell r="Y1414" t="str">
            <v>기본</v>
          </cell>
          <cell r="Z1414" t="str">
            <v>x</v>
          </cell>
          <cell r="AA1414" t="str">
            <v>단위량</v>
          </cell>
          <cell r="AM1414">
            <v>850</v>
          </cell>
          <cell r="AN1414">
            <v>0</v>
          </cell>
        </row>
        <row r="1415">
          <cell r="A1415" t="str">
            <v>50-8</v>
          </cell>
          <cell r="B1415">
            <v>51</v>
          </cell>
          <cell r="D1415" t="str">
            <v>PVC테이프</v>
          </cell>
          <cell r="E1415">
            <v>0</v>
          </cell>
          <cell r="F1415" t="str">
            <v>권</v>
          </cell>
          <cell r="H1415">
            <v>0.5</v>
          </cell>
          <cell r="I1415" t="str">
            <v>x</v>
          </cell>
          <cell r="J1415">
            <v>1</v>
          </cell>
          <cell r="V1415" t="str">
            <v>=</v>
          </cell>
          <cell r="W1415">
            <v>0.5</v>
          </cell>
          <cell r="Y1415" t="str">
            <v>기본</v>
          </cell>
          <cell r="Z1415" t="str">
            <v>x</v>
          </cell>
          <cell r="AA1415" t="str">
            <v>단위량</v>
          </cell>
          <cell r="AM1415">
            <v>800</v>
          </cell>
          <cell r="AN1415">
            <v>0</v>
          </cell>
        </row>
        <row r="1416">
          <cell r="A1416" t="str">
            <v>50-9</v>
          </cell>
          <cell r="B1416">
            <v>15</v>
          </cell>
          <cell r="D1416" t="str">
            <v>걸레</v>
          </cell>
          <cell r="E1416" t="str">
            <v>면포류</v>
          </cell>
          <cell r="F1416" t="str">
            <v>㎏</v>
          </cell>
          <cell r="H1416">
            <v>2.5000000000000001E-2</v>
          </cell>
          <cell r="I1416" t="str">
            <v>x</v>
          </cell>
          <cell r="J1416">
            <v>1</v>
          </cell>
          <cell r="V1416" t="str">
            <v>=</v>
          </cell>
          <cell r="W1416">
            <v>0.03</v>
          </cell>
          <cell r="Y1416" t="str">
            <v>기본</v>
          </cell>
          <cell r="Z1416" t="str">
            <v>x</v>
          </cell>
          <cell r="AA1416" t="str">
            <v>단위량</v>
          </cell>
          <cell r="AM1416">
            <v>1200</v>
          </cell>
          <cell r="AN1416">
            <v>0</v>
          </cell>
        </row>
        <row r="1417">
          <cell r="A1417" t="str">
            <v>50-10</v>
          </cell>
          <cell r="B1417">
            <v>42</v>
          </cell>
          <cell r="D1417" t="str">
            <v>열수축 슬리브</v>
          </cell>
          <cell r="E1417">
            <v>0</v>
          </cell>
          <cell r="F1417" t="str">
            <v>개</v>
          </cell>
          <cell r="H1417">
            <v>1</v>
          </cell>
          <cell r="I1417" t="str">
            <v>x</v>
          </cell>
          <cell r="J1417">
            <v>1</v>
          </cell>
          <cell r="V1417" t="str">
            <v>=</v>
          </cell>
          <cell r="W1417">
            <v>1</v>
          </cell>
          <cell r="Y1417" t="str">
            <v>기본</v>
          </cell>
          <cell r="Z1417" t="str">
            <v>x</v>
          </cell>
          <cell r="AA1417" t="str">
            <v>단위량</v>
          </cell>
          <cell r="AM1417">
            <v>400</v>
          </cell>
          <cell r="AN1417">
            <v>0</v>
          </cell>
        </row>
        <row r="1418">
          <cell r="A1418" t="str">
            <v>50-11</v>
          </cell>
          <cell r="B1418">
            <v>52</v>
          </cell>
          <cell r="D1418" t="str">
            <v>어댑터</v>
          </cell>
          <cell r="E1418">
            <v>0</v>
          </cell>
          <cell r="F1418" t="str">
            <v>개</v>
          </cell>
          <cell r="H1418">
            <v>1</v>
          </cell>
          <cell r="I1418" t="str">
            <v>x</v>
          </cell>
          <cell r="J1418">
            <v>1</v>
          </cell>
          <cell r="V1418" t="str">
            <v>=</v>
          </cell>
          <cell r="W1418">
            <v>1</v>
          </cell>
          <cell r="Y1418" t="str">
            <v>기본</v>
          </cell>
          <cell r="Z1418" t="str">
            <v>x</v>
          </cell>
          <cell r="AA1418" t="str">
            <v>단위량</v>
          </cell>
          <cell r="AM1418">
            <v>1800</v>
          </cell>
          <cell r="AN1418">
            <v>0</v>
          </cell>
        </row>
        <row r="1419">
          <cell r="A1419" t="str">
            <v>50-12</v>
          </cell>
          <cell r="B1419">
            <v>842</v>
          </cell>
          <cell r="D1419" t="str">
            <v>광점퍼코드</v>
          </cell>
          <cell r="E1419" t="str">
            <v>양단</v>
          </cell>
          <cell r="F1419" t="str">
            <v>개</v>
          </cell>
          <cell r="H1419">
            <v>0.5</v>
          </cell>
          <cell r="I1419" t="str">
            <v>x</v>
          </cell>
          <cell r="J1419">
            <v>1</v>
          </cell>
          <cell r="V1419" t="str">
            <v>=</v>
          </cell>
          <cell r="W1419">
            <v>0.5</v>
          </cell>
          <cell r="Y1419" t="str">
            <v>기본</v>
          </cell>
          <cell r="Z1419" t="str">
            <v>x</v>
          </cell>
          <cell r="AA1419" t="str">
            <v>단위량</v>
          </cell>
          <cell r="AM1419">
            <v>15000</v>
          </cell>
          <cell r="AN1419">
            <v>0</v>
          </cell>
        </row>
        <row r="1420">
          <cell r="A1420" t="str">
            <v>50-13</v>
          </cell>
          <cell r="B1420">
            <v>542</v>
          </cell>
          <cell r="D1420" t="str">
            <v>나. 노무비</v>
          </cell>
          <cell r="E1420">
            <v>0</v>
          </cell>
          <cell r="F1420">
            <v>0</v>
          </cell>
          <cell r="AM1420">
            <v>0</v>
          </cell>
          <cell r="AN1420">
            <v>0</v>
          </cell>
        </row>
        <row r="1421">
          <cell r="B1421">
            <v>553</v>
          </cell>
          <cell r="D1421" t="str">
            <v>광케이블설치사</v>
          </cell>
          <cell r="E1421">
            <v>0</v>
          </cell>
          <cell r="F1421" t="str">
            <v>인</v>
          </cell>
          <cell r="H1421">
            <v>0.17</v>
          </cell>
          <cell r="I1421" t="str">
            <v>x</v>
          </cell>
          <cell r="J1421">
            <v>1</v>
          </cell>
          <cell r="V1421" t="str">
            <v>=</v>
          </cell>
          <cell r="W1421">
            <v>0.17</v>
          </cell>
          <cell r="Y1421" t="str">
            <v>기본</v>
          </cell>
          <cell r="Z1421" t="str">
            <v>x</v>
          </cell>
          <cell r="AA1421" t="str">
            <v>단위량</v>
          </cell>
          <cell r="AL1421" t="str">
            <v>통 3-49</v>
          </cell>
          <cell r="AM1421">
            <v>104231</v>
          </cell>
          <cell r="AN1421">
            <v>0</v>
          </cell>
        </row>
        <row r="1422">
          <cell r="B1422">
            <v>522</v>
          </cell>
          <cell r="D1422" t="str">
            <v>특별인부</v>
          </cell>
          <cell r="E1422">
            <v>0</v>
          </cell>
          <cell r="F1422" t="str">
            <v>인</v>
          </cell>
          <cell r="H1422">
            <v>0.13</v>
          </cell>
          <cell r="I1422" t="str">
            <v>x</v>
          </cell>
          <cell r="J1422">
            <v>1</v>
          </cell>
          <cell r="V1422" t="str">
            <v>=</v>
          </cell>
          <cell r="W1422">
            <v>0.13</v>
          </cell>
          <cell r="Y1422" t="str">
            <v>기본</v>
          </cell>
          <cell r="Z1422" t="str">
            <v>x</v>
          </cell>
          <cell r="AA1422" t="str">
            <v>단위량</v>
          </cell>
          <cell r="AM1422">
            <v>55970</v>
          </cell>
          <cell r="AN1422">
            <v>0</v>
          </cell>
        </row>
        <row r="1423">
          <cell r="B1423">
            <v>544</v>
          </cell>
          <cell r="D1423" t="str">
            <v>소    계</v>
          </cell>
          <cell r="E1423">
            <v>0</v>
          </cell>
          <cell r="F1423">
            <v>0</v>
          </cell>
          <cell r="AM1423">
            <v>0</v>
          </cell>
          <cell r="AN1423">
            <v>0</v>
          </cell>
        </row>
        <row r="1424">
          <cell r="A1424" t="str">
            <v>50-14</v>
          </cell>
          <cell r="B1424">
            <v>553</v>
          </cell>
          <cell r="D1424" t="str">
            <v>광케이블설치사</v>
          </cell>
          <cell r="E1424">
            <v>0</v>
          </cell>
          <cell r="F1424" t="str">
            <v>인</v>
          </cell>
          <cell r="V1424" t="str">
            <v>=</v>
          </cell>
          <cell r="W1424">
            <v>0.17</v>
          </cell>
          <cell r="AM1424">
            <v>104231</v>
          </cell>
          <cell r="AN1424">
            <v>0</v>
          </cell>
        </row>
        <row r="1425">
          <cell r="A1425" t="str">
            <v>50-15</v>
          </cell>
          <cell r="B1425">
            <v>522</v>
          </cell>
          <cell r="D1425" t="str">
            <v>특별인부</v>
          </cell>
          <cell r="E1425">
            <v>0</v>
          </cell>
          <cell r="F1425" t="str">
            <v>인</v>
          </cell>
          <cell r="V1425" t="str">
            <v>=</v>
          </cell>
          <cell r="W1425">
            <v>0.13</v>
          </cell>
          <cell r="AM1425">
            <v>55970</v>
          </cell>
          <cell r="AN1425">
            <v>0</v>
          </cell>
        </row>
        <row r="1426">
          <cell r="A1426" t="str">
            <v>50-16</v>
          </cell>
          <cell r="B1426">
            <v>543</v>
          </cell>
          <cell r="D1426" t="str">
            <v>다. 공구손료</v>
          </cell>
          <cell r="E1426" t="str">
            <v>노무비x3%</v>
          </cell>
          <cell r="F1426">
            <v>0</v>
          </cell>
          <cell r="AM1426">
            <v>0</v>
          </cell>
          <cell r="AN1426">
            <v>0</v>
          </cell>
        </row>
        <row r="1427">
          <cell r="A1427" t="str">
            <v>50-17</v>
          </cell>
          <cell r="B1427">
            <v>553</v>
          </cell>
          <cell r="D1427" t="str">
            <v>광케이블설치사</v>
          </cell>
          <cell r="E1427">
            <v>0</v>
          </cell>
          <cell r="F1427" t="str">
            <v>인</v>
          </cell>
          <cell r="H1427">
            <v>0.17</v>
          </cell>
          <cell r="I1427" t="str">
            <v>x</v>
          </cell>
          <cell r="J1427">
            <v>0.03</v>
          </cell>
          <cell r="V1427" t="str">
            <v>=</v>
          </cell>
          <cell r="W1427">
            <v>0.01</v>
          </cell>
          <cell r="Y1427" t="str">
            <v>기본</v>
          </cell>
          <cell r="Z1427" t="str">
            <v>x</v>
          </cell>
          <cell r="AA1427" t="str">
            <v>공구손료</v>
          </cell>
          <cell r="AM1427">
            <v>104231</v>
          </cell>
          <cell r="AN1427">
            <v>0</v>
          </cell>
        </row>
        <row r="1428">
          <cell r="A1428" t="str">
            <v>50-18</v>
          </cell>
          <cell r="B1428">
            <v>522</v>
          </cell>
          <cell r="D1428" t="str">
            <v>특별인부</v>
          </cell>
          <cell r="E1428">
            <v>0</v>
          </cell>
          <cell r="F1428" t="str">
            <v>인</v>
          </cell>
          <cell r="H1428">
            <v>0.13</v>
          </cell>
          <cell r="I1428" t="str">
            <v>x</v>
          </cell>
          <cell r="J1428">
            <v>0.03</v>
          </cell>
          <cell r="V1428" t="str">
            <v>=</v>
          </cell>
          <cell r="W1428" t="str">
            <v>0</v>
          </cell>
          <cell r="Y1428" t="str">
            <v>기본</v>
          </cell>
          <cell r="Z1428" t="str">
            <v>x</v>
          </cell>
          <cell r="AA1428" t="str">
            <v>공구손료</v>
          </cell>
          <cell r="AM1428">
            <v>55970</v>
          </cell>
          <cell r="AN1428">
            <v>0</v>
          </cell>
        </row>
        <row r="1429">
          <cell r="AM1429">
            <v>0</v>
          </cell>
          <cell r="AN1429">
            <v>0</v>
          </cell>
        </row>
        <row r="1430">
          <cell r="AM1430">
            <v>0</v>
          </cell>
        </row>
        <row r="1431">
          <cell r="AM1431">
            <v>0</v>
          </cell>
          <cell r="AN1431">
            <v>0</v>
          </cell>
        </row>
        <row r="1432">
          <cell r="AM1432">
            <v>0</v>
          </cell>
          <cell r="AN1432">
            <v>0</v>
          </cell>
        </row>
        <row r="1433">
          <cell r="AM1433">
            <v>0</v>
          </cell>
          <cell r="AN1433">
            <v>0</v>
          </cell>
        </row>
        <row r="1434">
          <cell r="A1434">
            <v>51</v>
          </cell>
          <cell r="C1434">
            <v>51</v>
          </cell>
          <cell r="D1434" t="str">
            <v>광케이블성단(지하)</v>
          </cell>
          <cell r="E1434" t="str">
            <v>OF-SM-72Cor이상</v>
          </cell>
          <cell r="F1434" t="str">
            <v>Core</v>
          </cell>
          <cell r="AM1434">
            <v>0</v>
          </cell>
          <cell r="AN1434">
            <v>0</v>
          </cell>
        </row>
        <row r="1435">
          <cell r="A1435" t="str">
            <v>51-1</v>
          </cell>
          <cell r="B1435">
            <v>541</v>
          </cell>
          <cell r="D1435" t="str">
            <v>가. 재료비</v>
          </cell>
          <cell r="E1435">
            <v>0</v>
          </cell>
          <cell r="F1435">
            <v>0</v>
          </cell>
          <cell r="AM1435">
            <v>0</v>
          </cell>
          <cell r="AN1435">
            <v>0</v>
          </cell>
        </row>
        <row r="1436">
          <cell r="A1436" t="str">
            <v>51-2</v>
          </cell>
          <cell r="B1436">
            <v>41</v>
          </cell>
          <cell r="D1436" t="str">
            <v>젤리세척제</v>
          </cell>
          <cell r="E1436">
            <v>0</v>
          </cell>
          <cell r="F1436" t="str">
            <v>ℓ</v>
          </cell>
          <cell r="H1436">
            <v>2E-3</v>
          </cell>
          <cell r="I1436" t="str">
            <v>x</v>
          </cell>
          <cell r="J1436">
            <v>1</v>
          </cell>
          <cell r="K1436" t="str">
            <v>x</v>
          </cell>
          <cell r="M1436">
            <v>0.25</v>
          </cell>
          <cell r="V1436" t="str">
            <v>=</v>
          </cell>
          <cell r="W1436">
            <v>5.0000000000000001E-4</v>
          </cell>
          <cell r="Y1436">
            <v>2E-3</v>
          </cell>
          <cell r="Z1436" t="str">
            <v>x</v>
          </cell>
          <cell r="AA1436" t="str">
            <v>케이블 길이</v>
          </cell>
          <cell r="AB1436" t="str">
            <v>x</v>
          </cell>
          <cell r="AC1436" t="str">
            <v>케이블 심경</v>
          </cell>
          <cell r="AM1436">
            <v>8000</v>
          </cell>
          <cell r="AN1436">
            <v>0</v>
          </cell>
        </row>
        <row r="1437">
          <cell r="A1437" t="str">
            <v>51-3</v>
          </cell>
          <cell r="B1437">
            <v>40</v>
          </cell>
          <cell r="D1437" t="str">
            <v>가재</v>
          </cell>
          <cell r="E1437" t="str">
            <v>10㎝x10㎝</v>
          </cell>
          <cell r="F1437" t="str">
            <v>매</v>
          </cell>
          <cell r="H1437">
            <v>1</v>
          </cell>
          <cell r="I1437" t="str">
            <v>x</v>
          </cell>
          <cell r="J1437">
            <v>1</v>
          </cell>
          <cell r="V1437" t="str">
            <v>=</v>
          </cell>
          <cell r="W1437">
            <v>1</v>
          </cell>
          <cell r="Y1437" t="str">
            <v>기본</v>
          </cell>
          <cell r="Z1437" t="str">
            <v>x</v>
          </cell>
          <cell r="AA1437" t="str">
            <v>단위량</v>
          </cell>
          <cell r="AM1437">
            <v>43</v>
          </cell>
          <cell r="AN1437">
            <v>0</v>
          </cell>
        </row>
        <row r="1438">
          <cell r="A1438" t="str">
            <v>51-4</v>
          </cell>
          <cell r="B1438">
            <v>46</v>
          </cell>
          <cell r="D1438" t="str">
            <v>크리넥스티슈</v>
          </cell>
          <cell r="E1438" t="str">
            <v>심선수/4</v>
          </cell>
          <cell r="F1438" t="str">
            <v>매</v>
          </cell>
          <cell r="H1438">
            <v>0.5</v>
          </cell>
          <cell r="I1438" t="str">
            <v>x</v>
          </cell>
          <cell r="J1438">
            <v>1</v>
          </cell>
          <cell r="V1438" t="str">
            <v>=</v>
          </cell>
          <cell r="W1438">
            <v>0.5</v>
          </cell>
          <cell r="Y1438" t="str">
            <v>기본</v>
          </cell>
          <cell r="Z1438" t="str">
            <v>x</v>
          </cell>
          <cell r="AA1438" t="str">
            <v>단위량</v>
          </cell>
          <cell r="AM1438">
            <v>9</v>
          </cell>
          <cell r="AN1438">
            <v>0</v>
          </cell>
        </row>
        <row r="1439">
          <cell r="A1439" t="str">
            <v>51-5</v>
          </cell>
          <cell r="B1439">
            <v>47</v>
          </cell>
          <cell r="D1439" t="str">
            <v>면봉</v>
          </cell>
          <cell r="E1439" t="str">
            <v>심선수/2</v>
          </cell>
          <cell r="F1439" t="str">
            <v>개</v>
          </cell>
          <cell r="H1439">
            <v>1</v>
          </cell>
          <cell r="I1439" t="str">
            <v>/</v>
          </cell>
          <cell r="J1439">
            <v>2</v>
          </cell>
          <cell r="V1439" t="str">
            <v>=</v>
          </cell>
          <cell r="W1439">
            <v>0.5</v>
          </cell>
          <cell r="Y1439" t="str">
            <v>기본</v>
          </cell>
          <cell r="Z1439" t="str">
            <v>/</v>
          </cell>
          <cell r="AA1439">
            <v>2</v>
          </cell>
          <cell r="AM1439">
            <v>15</v>
          </cell>
          <cell r="AN1439">
            <v>0</v>
          </cell>
        </row>
        <row r="1440">
          <cell r="A1440" t="str">
            <v>51-6</v>
          </cell>
          <cell r="B1440">
            <v>48</v>
          </cell>
          <cell r="D1440" t="str">
            <v>이소프로필알코올</v>
          </cell>
          <cell r="E1440" t="str">
            <v>순도99%(360g)</v>
          </cell>
          <cell r="F1440" t="str">
            <v>병</v>
          </cell>
          <cell r="H1440">
            <v>0.5</v>
          </cell>
          <cell r="I1440" t="str">
            <v>x</v>
          </cell>
          <cell r="J1440">
            <v>1</v>
          </cell>
          <cell r="V1440" t="str">
            <v>=</v>
          </cell>
          <cell r="W1440">
            <v>0.5</v>
          </cell>
          <cell r="Y1440" t="str">
            <v>기본</v>
          </cell>
          <cell r="Z1440" t="str">
            <v>x</v>
          </cell>
          <cell r="AA1440" t="str">
            <v>단위량</v>
          </cell>
          <cell r="AM1440">
            <v>1300</v>
          </cell>
          <cell r="AN1440">
            <v>0</v>
          </cell>
        </row>
        <row r="1441">
          <cell r="A1441" t="str">
            <v>51-7</v>
          </cell>
          <cell r="B1441">
            <v>50</v>
          </cell>
          <cell r="D1441" t="str">
            <v>면테이프</v>
          </cell>
          <cell r="E1441" t="str">
            <v>12㎝x30㎝</v>
          </cell>
          <cell r="F1441" t="str">
            <v>개</v>
          </cell>
          <cell r="H1441">
            <v>0.05</v>
          </cell>
          <cell r="I1441" t="str">
            <v>x</v>
          </cell>
          <cell r="J1441">
            <v>1</v>
          </cell>
          <cell r="V1441" t="str">
            <v>=</v>
          </cell>
          <cell r="W1441">
            <v>0.05</v>
          </cell>
          <cell r="Y1441" t="str">
            <v>기본</v>
          </cell>
          <cell r="Z1441" t="str">
            <v>x</v>
          </cell>
          <cell r="AA1441" t="str">
            <v>단위량</v>
          </cell>
          <cell r="AM1441">
            <v>850</v>
          </cell>
          <cell r="AN1441">
            <v>0</v>
          </cell>
        </row>
        <row r="1442">
          <cell r="A1442" t="str">
            <v>51-8</v>
          </cell>
          <cell r="B1442">
            <v>51</v>
          </cell>
          <cell r="D1442" t="str">
            <v>PVC테이프</v>
          </cell>
          <cell r="E1442">
            <v>0</v>
          </cell>
          <cell r="F1442" t="str">
            <v>권</v>
          </cell>
          <cell r="H1442">
            <v>0.5</v>
          </cell>
          <cell r="I1442" t="str">
            <v>x</v>
          </cell>
          <cell r="J1442">
            <v>1</v>
          </cell>
          <cell r="V1442" t="str">
            <v>=</v>
          </cell>
          <cell r="W1442">
            <v>0.5</v>
          </cell>
          <cell r="Y1442" t="str">
            <v>기본</v>
          </cell>
          <cell r="Z1442" t="str">
            <v>x</v>
          </cell>
          <cell r="AA1442" t="str">
            <v>단위량</v>
          </cell>
          <cell r="AM1442">
            <v>800</v>
          </cell>
          <cell r="AN1442">
            <v>0</v>
          </cell>
        </row>
        <row r="1443">
          <cell r="A1443" t="str">
            <v>51-9</v>
          </cell>
          <cell r="B1443">
            <v>15</v>
          </cell>
          <cell r="D1443" t="str">
            <v>걸레</v>
          </cell>
          <cell r="E1443" t="str">
            <v>면포류</v>
          </cell>
          <cell r="F1443" t="str">
            <v>㎏</v>
          </cell>
          <cell r="H1443">
            <v>2.5000000000000001E-2</v>
          </cell>
          <cell r="I1443" t="str">
            <v>x</v>
          </cell>
          <cell r="J1443">
            <v>1</v>
          </cell>
          <cell r="V1443" t="str">
            <v>=</v>
          </cell>
          <cell r="W1443">
            <v>0.03</v>
          </cell>
          <cell r="Y1443" t="str">
            <v>기본</v>
          </cell>
          <cell r="Z1443" t="str">
            <v>x</v>
          </cell>
          <cell r="AA1443" t="str">
            <v>단위량</v>
          </cell>
          <cell r="AM1443">
            <v>1200</v>
          </cell>
          <cell r="AN1443">
            <v>0</v>
          </cell>
        </row>
        <row r="1444">
          <cell r="A1444" t="str">
            <v>51-10</v>
          </cell>
          <cell r="B1444">
            <v>42</v>
          </cell>
          <cell r="D1444" t="str">
            <v>열수축 슬리브</v>
          </cell>
          <cell r="E1444">
            <v>0</v>
          </cell>
          <cell r="F1444" t="str">
            <v>개</v>
          </cell>
          <cell r="H1444">
            <v>1</v>
          </cell>
          <cell r="I1444" t="str">
            <v>x</v>
          </cell>
          <cell r="J1444">
            <v>1</v>
          </cell>
          <cell r="V1444" t="str">
            <v>=</v>
          </cell>
          <cell r="W1444">
            <v>1</v>
          </cell>
          <cell r="Y1444" t="str">
            <v>기본</v>
          </cell>
          <cell r="Z1444" t="str">
            <v>x</v>
          </cell>
          <cell r="AA1444" t="str">
            <v>단위량</v>
          </cell>
          <cell r="AM1444">
            <v>400</v>
          </cell>
          <cell r="AN1444">
            <v>0</v>
          </cell>
        </row>
        <row r="1445">
          <cell r="A1445" t="str">
            <v>51-11</v>
          </cell>
          <cell r="B1445">
            <v>52</v>
          </cell>
          <cell r="D1445" t="str">
            <v>어댑터</v>
          </cell>
          <cell r="E1445">
            <v>0</v>
          </cell>
          <cell r="F1445" t="str">
            <v>개</v>
          </cell>
          <cell r="H1445">
            <v>1</v>
          </cell>
          <cell r="I1445" t="str">
            <v>x</v>
          </cell>
          <cell r="J1445">
            <v>1</v>
          </cell>
          <cell r="V1445" t="str">
            <v>=</v>
          </cell>
          <cell r="W1445">
            <v>1</v>
          </cell>
          <cell r="Y1445" t="str">
            <v>기본</v>
          </cell>
          <cell r="Z1445" t="str">
            <v>x</v>
          </cell>
          <cell r="AA1445" t="str">
            <v>단위량</v>
          </cell>
          <cell r="AM1445">
            <v>1800</v>
          </cell>
          <cell r="AN1445">
            <v>0</v>
          </cell>
        </row>
        <row r="1446">
          <cell r="A1446" t="str">
            <v>51-12</v>
          </cell>
          <cell r="B1446">
            <v>842</v>
          </cell>
          <cell r="D1446" t="str">
            <v>광점퍼코드</v>
          </cell>
          <cell r="E1446" t="str">
            <v>양단</v>
          </cell>
          <cell r="F1446" t="str">
            <v>개</v>
          </cell>
          <cell r="H1446">
            <v>0.5</v>
          </cell>
          <cell r="I1446" t="str">
            <v>x</v>
          </cell>
          <cell r="J1446">
            <v>1</v>
          </cell>
          <cell r="V1446" t="str">
            <v>=</v>
          </cell>
          <cell r="W1446">
            <v>0.5</v>
          </cell>
          <cell r="Y1446" t="str">
            <v>기본</v>
          </cell>
          <cell r="Z1446" t="str">
            <v>x</v>
          </cell>
          <cell r="AA1446" t="str">
            <v>단위량</v>
          </cell>
          <cell r="AM1446">
            <v>15000</v>
          </cell>
          <cell r="AN1446">
            <v>0</v>
          </cell>
        </row>
        <row r="1447">
          <cell r="A1447" t="str">
            <v>51-13</v>
          </cell>
          <cell r="B1447">
            <v>542</v>
          </cell>
          <cell r="D1447" t="str">
            <v>나. 노무비</v>
          </cell>
          <cell r="E1447">
            <v>0</v>
          </cell>
          <cell r="F1447">
            <v>0</v>
          </cell>
          <cell r="AM1447">
            <v>0</v>
          </cell>
          <cell r="AN1447">
            <v>0</v>
          </cell>
        </row>
        <row r="1448">
          <cell r="B1448">
            <v>553</v>
          </cell>
          <cell r="D1448" t="str">
            <v>광케이블설치사</v>
          </cell>
          <cell r="E1448">
            <v>0</v>
          </cell>
          <cell r="F1448" t="str">
            <v>인</v>
          </cell>
          <cell r="H1448">
            <v>0.12</v>
          </cell>
          <cell r="I1448" t="str">
            <v>x</v>
          </cell>
          <cell r="J1448">
            <v>1</v>
          </cell>
          <cell r="K1448" t="str">
            <v>x</v>
          </cell>
          <cell r="L1448" t="str">
            <v>(</v>
          </cell>
          <cell r="M1448">
            <v>1</v>
          </cell>
          <cell r="N1448" t="str">
            <v>+</v>
          </cell>
          <cell r="O1448">
            <v>0.02</v>
          </cell>
          <cell r="P1448" t="str">
            <v>)</v>
          </cell>
          <cell r="V1448" t="str">
            <v>=</v>
          </cell>
          <cell r="W1448">
            <v>0.12</v>
          </cell>
          <cell r="Y1448" t="str">
            <v>기본</v>
          </cell>
          <cell r="Z1448" t="str">
            <v>x</v>
          </cell>
          <cell r="AA1448" t="str">
            <v>단위량</v>
          </cell>
          <cell r="AB1448" t="str">
            <v>x</v>
          </cell>
          <cell r="AC1448" t="str">
            <v>(</v>
          </cell>
          <cell r="AD1448">
            <v>1</v>
          </cell>
          <cell r="AE1448" t="str">
            <v>+</v>
          </cell>
          <cell r="AF1448" t="str">
            <v>지하</v>
          </cell>
          <cell r="AG1448" t="str">
            <v>)</v>
          </cell>
          <cell r="AL1448" t="str">
            <v>통 3-49(지하)</v>
          </cell>
          <cell r="AM1448">
            <v>104231</v>
          </cell>
          <cell r="AN1448">
            <v>0</v>
          </cell>
        </row>
        <row r="1449">
          <cell r="B1449">
            <v>522</v>
          </cell>
          <cell r="D1449" t="str">
            <v>특별인부</v>
          </cell>
          <cell r="E1449">
            <v>0</v>
          </cell>
          <cell r="F1449" t="str">
            <v>인</v>
          </cell>
          <cell r="H1449">
            <v>0.08</v>
          </cell>
          <cell r="I1449" t="str">
            <v>x</v>
          </cell>
          <cell r="J1449">
            <v>1</v>
          </cell>
          <cell r="K1449" t="str">
            <v>x</v>
          </cell>
          <cell r="L1449" t="str">
            <v>(</v>
          </cell>
          <cell r="M1449">
            <v>1</v>
          </cell>
          <cell r="N1449" t="str">
            <v>+</v>
          </cell>
          <cell r="O1449">
            <v>0.02</v>
          </cell>
          <cell r="P1449" t="str">
            <v>)</v>
          </cell>
          <cell r="V1449" t="str">
            <v>=</v>
          </cell>
          <cell r="W1449">
            <v>0.08</v>
          </cell>
          <cell r="Y1449" t="str">
            <v>기본</v>
          </cell>
          <cell r="Z1449" t="str">
            <v>x</v>
          </cell>
          <cell r="AA1449" t="str">
            <v>단위량</v>
          </cell>
          <cell r="AB1449" t="str">
            <v>x</v>
          </cell>
          <cell r="AC1449" t="str">
            <v>(</v>
          </cell>
          <cell r="AD1449">
            <v>1</v>
          </cell>
          <cell r="AE1449" t="str">
            <v>+</v>
          </cell>
          <cell r="AF1449" t="str">
            <v>지하</v>
          </cell>
          <cell r="AG1449" t="str">
            <v>)</v>
          </cell>
          <cell r="AM1449">
            <v>55970</v>
          </cell>
          <cell r="AN1449">
            <v>0</v>
          </cell>
        </row>
        <row r="1450">
          <cell r="B1450">
            <v>544</v>
          </cell>
          <cell r="D1450" t="str">
            <v>소    계</v>
          </cell>
          <cell r="E1450">
            <v>0</v>
          </cell>
          <cell r="F1450">
            <v>0</v>
          </cell>
          <cell r="AM1450">
            <v>0</v>
          </cell>
          <cell r="AN1450">
            <v>0</v>
          </cell>
        </row>
        <row r="1451">
          <cell r="A1451" t="str">
            <v>51-14</v>
          </cell>
          <cell r="B1451">
            <v>553</v>
          </cell>
          <cell r="D1451" t="str">
            <v>광케이블설치사</v>
          </cell>
          <cell r="E1451">
            <v>0</v>
          </cell>
          <cell r="F1451" t="str">
            <v>인</v>
          </cell>
          <cell r="V1451" t="str">
            <v>=</v>
          </cell>
          <cell r="W1451">
            <v>0.12</v>
          </cell>
          <cell r="AM1451">
            <v>104231</v>
          </cell>
          <cell r="AN1451">
            <v>0</v>
          </cell>
        </row>
        <row r="1452">
          <cell r="A1452" t="str">
            <v>51-15</v>
          </cell>
          <cell r="B1452">
            <v>522</v>
          </cell>
          <cell r="D1452" t="str">
            <v>특별인부</v>
          </cell>
          <cell r="E1452">
            <v>0</v>
          </cell>
          <cell r="F1452" t="str">
            <v>인</v>
          </cell>
          <cell r="V1452" t="str">
            <v>=</v>
          </cell>
          <cell r="W1452">
            <v>0.08</v>
          </cell>
          <cell r="AM1452">
            <v>55970</v>
          </cell>
          <cell r="AN1452">
            <v>0</v>
          </cell>
        </row>
        <row r="1453">
          <cell r="A1453" t="str">
            <v>51-16</v>
          </cell>
          <cell r="B1453">
            <v>543</v>
          </cell>
          <cell r="D1453" t="str">
            <v>다. 공구손료</v>
          </cell>
          <cell r="E1453" t="str">
            <v>노무비x3%</v>
          </cell>
          <cell r="F1453">
            <v>0</v>
          </cell>
          <cell r="AM1453">
            <v>0</v>
          </cell>
          <cell r="AN1453">
            <v>0</v>
          </cell>
        </row>
        <row r="1454">
          <cell r="A1454" t="str">
            <v>47-17</v>
          </cell>
          <cell r="B1454">
            <v>553</v>
          </cell>
          <cell r="D1454" t="str">
            <v>광케이블설치사</v>
          </cell>
          <cell r="E1454">
            <v>0</v>
          </cell>
          <cell r="F1454" t="str">
            <v>인</v>
          </cell>
          <cell r="H1454">
            <v>0.12</v>
          </cell>
          <cell r="I1454" t="str">
            <v>x</v>
          </cell>
          <cell r="J1454">
            <v>0.03</v>
          </cell>
          <cell r="V1454" t="str">
            <v>=</v>
          </cell>
          <cell r="W1454" t="str">
            <v>0</v>
          </cell>
          <cell r="Y1454" t="str">
            <v>기본</v>
          </cell>
          <cell r="Z1454" t="str">
            <v>x</v>
          </cell>
          <cell r="AA1454" t="str">
            <v>공구손료</v>
          </cell>
          <cell r="AM1454">
            <v>104231</v>
          </cell>
          <cell r="AN1454">
            <v>0</v>
          </cell>
        </row>
        <row r="1455">
          <cell r="A1455" t="str">
            <v>47-18</v>
          </cell>
          <cell r="B1455">
            <v>522</v>
          </cell>
          <cell r="D1455" t="str">
            <v>특별인부</v>
          </cell>
          <cell r="E1455">
            <v>0</v>
          </cell>
          <cell r="F1455" t="str">
            <v>인</v>
          </cell>
          <cell r="H1455">
            <v>0.08</v>
          </cell>
          <cell r="I1455" t="str">
            <v>x</v>
          </cell>
          <cell r="J1455">
            <v>0.03</v>
          </cell>
          <cell r="V1455" t="str">
            <v>=</v>
          </cell>
          <cell r="W1455" t="str">
            <v>0</v>
          </cell>
          <cell r="Y1455" t="str">
            <v>기본</v>
          </cell>
          <cell r="Z1455" t="str">
            <v>x</v>
          </cell>
          <cell r="AA1455" t="str">
            <v>공구손료</v>
          </cell>
          <cell r="AM1455">
            <v>55970</v>
          </cell>
          <cell r="AN1455">
            <v>0</v>
          </cell>
        </row>
        <row r="1456">
          <cell r="AM1456">
            <v>0</v>
          </cell>
          <cell r="AN1456">
            <v>0</v>
          </cell>
        </row>
        <row r="1457">
          <cell r="AM1457">
            <v>0</v>
          </cell>
          <cell r="AN1457">
            <v>0</v>
          </cell>
        </row>
        <row r="1458">
          <cell r="AM1458">
            <v>0</v>
          </cell>
        </row>
        <row r="1459">
          <cell r="AM1459">
            <v>0</v>
          </cell>
          <cell r="AN1459">
            <v>0</v>
          </cell>
        </row>
        <row r="1460">
          <cell r="AM1460">
            <v>0</v>
          </cell>
          <cell r="AN1460">
            <v>0</v>
          </cell>
        </row>
        <row r="1461">
          <cell r="A1461">
            <v>52</v>
          </cell>
          <cell r="C1461">
            <v>52</v>
          </cell>
          <cell r="D1461" t="str">
            <v>광케이블성단(지상)</v>
          </cell>
          <cell r="E1461" t="str">
            <v>OF-SM-72Cor이상</v>
          </cell>
          <cell r="F1461" t="str">
            <v>Core</v>
          </cell>
          <cell r="AM1461">
            <v>0</v>
          </cell>
          <cell r="AN1461">
            <v>0</v>
          </cell>
        </row>
        <row r="1462">
          <cell r="A1462" t="str">
            <v>52-1</v>
          </cell>
          <cell r="B1462">
            <v>541</v>
          </cell>
          <cell r="D1462" t="str">
            <v>가. 재료비</v>
          </cell>
          <cell r="E1462">
            <v>0</v>
          </cell>
          <cell r="F1462">
            <v>0</v>
          </cell>
          <cell r="AM1462">
            <v>0</v>
          </cell>
          <cell r="AN1462">
            <v>0</v>
          </cell>
        </row>
        <row r="1463">
          <cell r="A1463" t="str">
            <v>52-2</v>
          </cell>
          <cell r="B1463">
            <v>41</v>
          </cell>
          <cell r="D1463" t="str">
            <v>젤리세척제</v>
          </cell>
          <cell r="E1463">
            <v>0</v>
          </cell>
          <cell r="F1463" t="str">
            <v>ℓ</v>
          </cell>
          <cell r="H1463">
            <v>2E-3</v>
          </cell>
          <cell r="I1463" t="str">
            <v>x</v>
          </cell>
          <cell r="J1463">
            <v>1</v>
          </cell>
          <cell r="K1463" t="str">
            <v>x</v>
          </cell>
          <cell r="M1463">
            <v>0.25</v>
          </cell>
          <cell r="V1463" t="str">
            <v>=</v>
          </cell>
          <cell r="W1463">
            <v>5.0000000000000001E-4</v>
          </cell>
          <cell r="Y1463">
            <v>2E-3</v>
          </cell>
          <cell r="Z1463" t="str">
            <v>x</v>
          </cell>
          <cell r="AA1463" t="str">
            <v>케이블 길이</v>
          </cell>
          <cell r="AB1463" t="str">
            <v>x</v>
          </cell>
          <cell r="AC1463" t="str">
            <v>케이블 심경</v>
          </cell>
          <cell r="AM1463">
            <v>8000</v>
          </cell>
          <cell r="AN1463">
            <v>0</v>
          </cell>
        </row>
        <row r="1464">
          <cell r="A1464" t="str">
            <v>52-3</v>
          </cell>
          <cell r="B1464">
            <v>40</v>
          </cell>
          <cell r="D1464" t="str">
            <v>가재</v>
          </cell>
          <cell r="E1464" t="str">
            <v>10㎝x10㎝</v>
          </cell>
          <cell r="F1464" t="str">
            <v>매</v>
          </cell>
          <cell r="H1464">
            <v>1</v>
          </cell>
          <cell r="I1464" t="str">
            <v>x</v>
          </cell>
          <cell r="J1464">
            <v>1</v>
          </cell>
          <cell r="V1464" t="str">
            <v>=</v>
          </cell>
          <cell r="W1464">
            <v>1</v>
          </cell>
          <cell r="Y1464" t="str">
            <v>기본</v>
          </cell>
          <cell r="Z1464" t="str">
            <v>x</v>
          </cell>
          <cell r="AA1464" t="str">
            <v>단위량</v>
          </cell>
          <cell r="AM1464">
            <v>43</v>
          </cell>
          <cell r="AN1464">
            <v>0</v>
          </cell>
        </row>
        <row r="1465">
          <cell r="A1465" t="str">
            <v>52-4</v>
          </cell>
          <cell r="B1465">
            <v>46</v>
          </cell>
          <cell r="D1465" t="str">
            <v>크리넥스티슈</v>
          </cell>
          <cell r="E1465" t="str">
            <v>심선수/4</v>
          </cell>
          <cell r="F1465" t="str">
            <v>매</v>
          </cell>
          <cell r="H1465">
            <v>0.5</v>
          </cell>
          <cell r="I1465" t="str">
            <v>x</v>
          </cell>
          <cell r="J1465">
            <v>1</v>
          </cell>
          <cell r="V1465" t="str">
            <v>=</v>
          </cell>
          <cell r="W1465">
            <v>0.5</v>
          </cell>
          <cell r="Y1465" t="str">
            <v>기본</v>
          </cell>
          <cell r="Z1465" t="str">
            <v>x</v>
          </cell>
          <cell r="AA1465" t="str">
            <v>단위량</v>
          </cell>
          <cell r="AM1465">
            <v>9</v>
          </cell>
          <cell r="AN1465">
            <v>0</v>
          </cell>
        </row>
        <row r="1466">
          <cell r="A1466" t="str">
            <v>52-5</v>
          </cell>
          <cell r="B1466">
            <v>47</v>
          </cell>
          <cell r="D1466" t="str">
            <v>면봉</v>
          </cell>
          <cell r="E1466" t="str">
            <v>심선수/2</v>
          </cell>
          <cell r="F1466" t="str">
            <v>개</v>
          </cell>
          <cell r="H1466">
            <v>1</v>
          </cell>
          <cell r="I1466" t="str">
            <v>/</v>
          </cell>
          <cell r="J1466">
            <v>2</v>
          </cell>
          <cell r="V1466" t="str">
            <v>=</v>
          </cell>
          <cell r="W1466">
            <v>0.5</v>
          </cell>
          <cell r="Y1466" t="str">
            <v>기본</v>
          </cell>
          <cell r="Z1466" t="str">
            <v>/</v>
          </cell>
          <cell r="AA1466">
            <v>2</v>
          </cell>
          <cell r="AM1466">
            <v>15</v>
          </cell>
          <cell r="AN1466">
            <v>0</v>
          </cell>
        </row>
        <row r="1467">
          <cell r="A1467" t="str">
            <v>52-6</v>
          </cell>
          <cell r="B1467">
            <v>48</v>
          </cell>
          <cell r="D1467" t="str">
            <v>이소프로필알코올</v>
          </cell>
          <cell r="E1467" t="str">
            <v>순도99%(360g)</v>
          </cell>
          <cell r="F1467" t="str">
            <v>병</v>
          </cell>
          <cell r="H1467">
            <v>0.5</v>
          </cell>
          <cell r="I1467" t="str">
            <v>x</v>
          </cell>
          <cell r="J1467">
            <v>1</v>
          </cell>
          <cell r="V1467" t="str">
            <v>=</v>
          </cell>
          <cell r="W1467">
            <v>0.5</v>
          </cell>
          <cell r="Y1467" t="str">
            <v>기본</v>
          </cell>
          <cell r="Z1467" t="str">
            <v>x</v>
          </cell>
          <cell r="AA1467" t="str">
            <v>단위량</v>
          </cell>
          <cell r="AM1467">
            <v>1300</v>
          </cell>
          <cell r="AN1467">
            <v>0</v>
          </cell>
        </row>
        <row r="1468">
          <cell r="A1468" t="str">
            <v>52-7</v>
          </cell>
          <cell r="B1468">
            <v>50</v>
          </cell>
          <cell r="D1468" t="str">
            <v>면테이프</v>
          </cell>
          <cell r="E1468" t="str">
            <v>12㎝x30㎝</v>
          </cell>
          <cell r="F1468" t="str">
            <v>개</v>
          </cell>
          <cell r="H1468">
            <v>0.05</v>
          </cell>
          <cell r="I1468" t="str">
            <v>x</v>
          </cell>
          <cell r="J1468">
            <v>1</v>
          </cell>
          <cell r="V1468" t="str">
            <v>=</v>
          </cell>
          <cell r="W1468">
            <v>0.05</v>
          </cell>
          <cell r="Y1468" t="str">
            <v>기본</v>
          </cell>
          <cell r="Z1468" t="str">
            <v>x</v>
          </cell>
          <cell r="AA1468" t="str">
            <v>단위량</v>
          </cell>
          <cell r="AM1468">
            <v>850</v>
          </cell>
          <cell r="AN1468">
            <v>0</v>
          </cell>
        </row>
        <row r="1469">
          <cell r="A1469" t="str">
            <v>52-8</v>
          </cell>
          <cell r="B1469">
            <v>51</v>
          </cell>
          <cell r="D1469" t="str">
            <v>PVC테이프</v>
          </cell>
          <cell r="E1469">
            <v>0</v>
          </cell>
          <cell r="F1469" t="str">
            <v>권</v>
          </cell>
          <cell r="H1469">
            <v>0.5</v>
          </cell>
          <cell r="I1469" t="str">
            <v>x</v>
          </cell>
          <cell r="J1469">
            <v>1</v>
          </cell>
          <cell r="V1469" t="str">
            <v>=</v>
          </cell>
          <cell r="W1469">
            <v>0.5</v>
          </cell>
          <cell r="Y1469" t="str">
            <v>기본</v>
          </cell>
          <cell r="Z1469" t="str">
            <v>x</v>
          </cell>
          <cell r="AA1469" t="str">
            <v>단위량</v>
          </cell>
          <cell r="AM1469">
            <v>800</v>
          </cell>
          <cell r="AN1469">
            <v>0</v>
          </cell>
        </row>
        <row r="1470">
          <cell r="A1470" t="str">
            <v>52-9</v>
          </cell>
          <cell r="B1470">
            <v>15</v>
          </cell>
          <cell r="D1470" t="str">
            <v>걸레</v>
          </cell>
          <cell r="E1470" t="str">
            <v>면포류</v>
          </cell>
          <cell r="F1470" t="str">
            <v>㎏</v>
          </cell>
          <cell r="H1470">
            <v>2.5000000000000001E-2</v>
          </cell>
          <cell r="I1470" t="str">
            <v>x</v>
          </cell>
          <cell r="J1470">
            <v>1</v>
          </cell>
          <cell r="V1470" t="str">
            <v>=</v>
          </cell>
          <cell r="W1470">
            <v>0.03</v>
          </cell>
          <cell r="Y1470" t="str">
            <v>기본</v>
          </cell>
          <cell r="Z1470" t="str">
            <v>x</v>
          </cell>
          <cell r="AA1470" t="str">
            <v>단위량</v>
          </cell>
          <cell r="AM1470">
            <v>1200</v>
          </cell>
          <cell r="AN1470">
            <v>0</v>
          </cell>
        </row>
        <row r="1471">
          <cell r="A1471" t="str">
            <v>52-10</v>
          </cell>
          <cell r="B1471">
            <v>42</v>
          </cell>
          <cell r="D1471" t="str">
            <v>열수축 슬리브</v>
          </cell>
          <cell r="E1471">
            <v>0</v>
          </cell>
          <cell r="F1471" t="str">
            <v>개</v>
          </cell>
          <cell r="H1471">
            <v>1</v>
          </cell>
          <cell r="I1471" t="str">
            <v>x</v>
          </cell>
          <cell r="J1471">
            <v>1</v>
          </cell>
          <cell r="V1471" t="str">
            <v>=</v>
          </cell>
          <cell r="W1471">
            <v>1</v>
          </cell>
          <cell r="Y1471" t="str">
            <v>기본</v>
          </cell>
          <cell r="Z1471" t="str">
            <v>x</v>
          </cell>
          <cell r="AA1471" t="str">
            <v>단위량</v>
          </cell>
          <cell r="AM1471">
            <v>400</v>
          </cell>
          <cell r="AN1471">
            <v>0</v>
          </cell>
        </row>
        <row r="1472">
          <cell r="A1472" t="str">
            <v>52-11</v>
          </cell>
          <cell r="B1472">
            <v>52</v>
          </cell>
          <cell r="D1472" t="str">
            <v>어댑터</v>
          </cell>
          <cell r="E1472">
            <v>0</v>
          </cell>
          <cell r="F1472" t="str">
            <v>개</v>
          </cell>
          <cell r="H1472">
            <v>1</v>
          </cell>
          <cell r="I1472" t="str">
            <v>x</v>
          </cell>
          <cell r="J1472">
            <v>1</v>
          </cell>
          <cell r="V1472" t="str">
            <v>=</v>
          </cell>
          <cell r="W1472">
            <v>1</v>
          </cell>
          <cell r="Y1472" t="str">
            <v>기본</v>
          </cell>
          <cell r="Z1472" t="str">
            <v>x</v>
          </cell>
          <cell r="AA1472" t="str">
            <v>단위량</v>
          </cell>
          <cell r="AM1472">
            <v>1800</v>
          </cell>
          <cell r="AN1472">
            <v>0</v>
          </cell>
        </row>
        <row r="1473">
          <cell r="A1473" t="str">
            <v>52-12</v>
          </cell>
          <cell r="B1473">
            <v>842</v>
          </cell>
          <cell r="D1473" t="str">
            <v>광점퍼코드</v>
          </cell>
          <cell r="E1473" t="str">
            <v>양단</v>
          </cell>
          <cell r="F1473" t="str">
            <v>개</v>
          </cell>
          <cell r="H1473">
            <v>0.5</v>
          </cell>
          <cell r="I1473" t="str">
            <v>x</v>
          </cell>
          <cell r="J1473">
            <v>1</v>
          </cell>
          <cell r="V1473" t="str">
            <v>=</v>
          </cell>
          <cell r="W1473">
            <v>0.5</v>
          </cell>
          <cell r="Y1473" t="str">
            <v>기본</v>
          </cell>
          <cell r="Z1473" t="str">
            <v>x</v>
          </cell>
          <cell r="AA1473" t="str">
            <v>단위량</v>
          </cell>
          <cell r="AM1473">
            <v>15000</v>
          </cell>
          <cell r="AN1473">
            <v>0</v>
          </cell>
        </row>
        <row r="1474">
          <cell r="A1474" t="str">
            <v>52-13</v>
          </cell>
          <cell r="B1474">
            <v>542</v>
          </cell>
          <cell r="D1474" t="str">
            <v>나. 노무비</v>
          </cell>
          <cell r="E1474">
            <v>0</v>
          </cell>
          <cell r="F1474">
            <v>0</v>
          </cell>
          <cell r="AM1474">
            <v>0</v>
          </cell>
          <cell r="AN1474">
            <v>0</v>
          </cell>
        </row>
        <row r="1475">
          <cell r="B1475">
            <v>553</v>
          </cell>
          <cell r="D1475" t="str">
            <v>광케이블설치사</v>
          </cell>
          <cell r="E1475">
            <v>0</v>
          </cell>
          <cell r="F1475" t="str">
            <v>인</v>
          </cell>
          <cell r="H1475">
            <v>0.12</v>
          </cell>
          <cell r="I1475" t="str">
            <v>x</v>
          </cell>
          <cell r="J1475">
            <v>1</v>
          </cell>
          <cell r="V1475" t="str">
            <v>=</v>
          </cell>
          <cell r="W1475">
            <v>0.12</v>
          </cell>
          <cell r="Y1475" t="str">
            <v>기본</v>
          </cell>
          <cell r="Z1475" t="str">
            <v>x</v>
          </cell>
          <cell r="AA1475" t="str">
            <v>단위량</v>
          </cell>
          <cell r="AL1475" t="str">
            <v>통 3-49</v>
          </cell>
          <cell r="AM1475">
            <v>104231</v>
          </cell>
          <cell r="AN1475">
            <v>0</v>
          </cell>
        </row>
        <row r="1476">
          <cell r="B1476">
            <v>522</v>
          </cell>
          <cell r="D1476" t="str">
            <v>특별인부</v>
          </cell>
          <cell r="E1476">
            <v>0</v>
          </cell>
          <cell r="F1476" t="str">
            <v>인</v>
          </cell>
          <cell r="H1476">
            <v>0.08</v>
          </cell>
          <cell r="I1476" t="str">
            <v>x</v>
          </cell>
          <cell r="J1476">
            <v>1</v>
          </cell>
          <cell r="V1476" t="str">
            <v>=</v>
          </cell>
          <cell r="W1476">
            <v>0.08</v>
          </cell>
          <cell r="Y1476" t="str">
            <v>기본</v>
          </cell>
          <cell r="Z1476" t="str">
            <v>x</v>
          </cell>
          <cell r="AA1476" t="str">
            <v>단위량</v>
          </cell>
          <cell r="AM1476">
            <v>55970</v>
          </cell>
          <cell r="AN1476">
            <v>0</v>
          </cell>
        </row>
        <row r="1477">
          <cell r="B1477">
            <v>544</v>
          </cell>
          <cell r="D1477" t="str">
            <v>소    계</v>
          </cell>
          <cell r="E1477">
            <v>0</v>
          </cell>
          <cell r="F1477">
            <v>0</v>
          </cell>
          <cell r="AM1477">
            <v>0</v>
          </cell>
          <cell r="AN1477">
            <v>0</v>
          </cell>
        </row>
        <row r="1478">
          <cell r="A1478" t="str">
            <v>52-14</v>
          </cell>
          <cell r="B1478">
            <v>553</v>
          </cell>
          <cell r="D1478" t="str">
            <v>광케이블설치사</v>
          </cell>
          <cell r="E1478">
            <v>0</v>
          </cell>
          <cell r="F1478" t="str">
            <v>인</v>
          </cell>
          <cell r="V1478" t="str">
            <v>=</v>
          </cell>
          <cell r="W1478">
            <v>0.12</v>
          </cell>
          <cell r="AM1478">
            <v>104231</v>
          </cell>
          <cell r="AN1478">
            <v>0</v>
          </cell>
        </row>
        <row r="1479">
          <cell r="A1479" t="str">
            <v>52-15</v>
          </cell>
          <cell r="B1479">
            <v>522</v>
          </cell>
          <cell r="D1479" t="str">
            <v>특별인부</v>
          </cell>
          <cell r="E1479">
            <v>0</v>
          </cell>
          <cell r="F1479" t="str">
            <v>인</v>
          </cell>
          <cell r="V1479" t="str">
            <v>=</v>
          </cell>
          <cell r="W1479">
            <v>0.08</v>
          </cell>
          <cell r="AM1479">
            <v>55970</v>
          </cell>
          <cell r="AN1479">
            <v>0</v>
          </cell>
        </row>
        <row r="1480">
          <cell r="A1480" t="str">
            <v>52-16</v>
          </cell>
          <cell r="B1480">
            <v>543</v>
          </cell>
          <cell r="D1480" t="str">
            <v>다. 공구손료</v>
          </cell>
          <cell r="E1480" t="str">
            <v>노무비x3%</v>
          </cell>
          <cell r="F1480">
            <v>0</v>
          </cell>
          <cell r="AM1480">
            <v>0</v>
          </cell>
          <cell r="AN1480">
            <v>0</v>
          </cell>
        </row>
        <row r="1481">
          <cell r="A1481" t="str">
            <v>47-17</v>
          </cell>
          <cell r="B1481">
            <v>553</v>
          </cell>
          <cell r="D1481" t="str">
            <v>광케이블설치사</v>
          </cell>
          <cell r="E1481">
            <v>0</v>
          </cell>
          <cell r="F1481" t="str">
            <v>인</v>
          </cell>
          <cell r="H1481">
            <v>0.12</v>
          </cell>
          <cell r="I1481" t="str">
            <v>x</v>
          </cell>
          <cell r="J1481">
            <v>0.03</v>
          </cell>
          <cell r="V1481" t="str">
            <v>=</v>
          </cell>
          <cell r="W1481" t="str">
            <v>0</v>
          </cell>
          <cell r="Y1481" t="str">
            <v>기본</v>
          </cell>
          <cell r="Z1481" t="str">
            <v>x</v>
          </cell>
          <cell r="AA1481" t="str">
            <v>공구손료</v>
          </cell>
          <cell r="AM1481">
            <v>104231</v>
          </cell>
          <cell r="AN1481">
            <v>0</v>
          </cell>
        </row>
        <row r="1482">
          <cell r="A1482" t="str">
            <v>47-18</v>
          </cell>
          <cell r="B1482">
            <v>522</v>
          </cell>
          <cell r="D1482" t="str">
            <v>특별인부</v>
          </cell>
          <cell r="E1482">
            <v>0</v>
          </cell>
          <cell r="F1482" t="str">
            <v>인</v>
          </cell>
          <cell r="H1482">
            <v>0.08</v>
          </cell>
          <cell r="I1482" t="str">
            <v>x</v>
          </cell>
          <cell r="J1482">
            <v>0.03</v>
          </cell>
          <cell r="V1482" t="str">
            <v>=</v>
          </cell>
          <cell r="W1482" t="str">
            <v>0</v>
          </cell>
          <cell r="Y1482" t="str">
            <v>기본</v>
          </cell>
          <cell r="Z1482" t="str">
            <v>x</v>
          </cell>
          <cell r="AA1482" t="str">
            <v>공구손료</v>
          </cell>
          <cell r="AM1482">
            <v>55970</v>
          </cell>
          <cell r="AN1482">
            <v>0</v>
          </cell>
        </row>
        <row r="1483">
          <cell r="AM1483">
            <v>0</v>
          </cell>
          <cell r="AN1483">
            <v>0</v>
          </cell>
        </row>
        <row r="1484">
          <cell r="AM1484">
            <v>0</v>
          </cell>
          <cell r="AN1484">
            <v>0</v>
          </cell>
        </row>
        <row r="1485">
          <cell r="AM1485">
            <v>0</v>
          </cell>
        </row>
        <row r="1486">
          <cell r="AM1486">
            <v>0</v>
          </cell>
          <cell r="AN1486">
            <v>0</v>
          </cell>
        </row>
        <row r="1487">
          <cell r="AM1487">
            <v>0</v>
          </cell>
          <cell r="AN1487">
            <v>0</v>
          </cell>
        </row>
        <row r="1488">
          <cell r="A1488">
            <v>53</v>
          </cell>
          <cell r="C1488">
            <v>53</v>
          </cell>
          <cell r="D1488" t="str">
            <v>케이블포설(관로,지하)</v>
          </cell>
          <cell r="E1488" t="str">
            <v>FS/JF 0.65x15P(15%차폐, 3m이상)</v>
          </cell>
          <cell r="F1488" t="str">
            <v>100m</v>
          </cell>
          <cell r="AM1488">
            <v>0</v>
          </cell>
          <cell r="AN1488">
            <v>0</v>
          </cell>
        </row>
        <row r="1489">
          <cell r="A1489" t="str">
            <v>53-1</v>
          </cell>
          <cell r="B1489">
            <v>542</v>
          </cell>
          <cell r="D1489" t="str">
            <v>나. 노무비</v>
          </cell>
          <cell r="E1489">
            <v>0</v>
          </cell>
          <cell r="F1489">
            <v>0</v>
          </cell>
          <cell r="AM1489">
            <v>0</v>
          </cell>
          <cell r="AN1489">
            <v>0</v>
          </cell>
        </row>
        <row r="1490">
          <cell r="B1490">
            <v>519</v>
          </cell>
          <cell r="D1490" t="str">
            <v>통신케이블공</v>
          </cell>
          <cell r="E1490">
            <v>0</v>
          </cell>
          <cell r="F1490" t="str">
            <v>인</v>
          </cell>
          <cell r="H1490">
            <v>1.1000000000000001</v>
          </cell>
          <cell r="I1490" t="str">
            <v>x</v>
          </cell>
          <cell r="J1490">
            <v>1</v>
          </cell>
          <cell r="K1490" t="str">
            <v>x</v>
          </cell>
          <cell r="L1490" t="str">
            <v>(</v>
          </cell>
          <cell r="M1490">
            <v>1</v>
          </cell>
          <cell r="N1490" t="str">
            <v>+</v>
          </cell>
          <cell r="O1490">
            <v>0.02</v>
          </cell>
          <cell r="P1490" t="str">
            <v>)</v>
          </cell>
          <cell r="V1490" t="str">
            <v>=</v>
          </cell>
          <cell r="W1490">
            <v>1.1200000000000001</v>
          </cell>
          <cell r="Y1490" t="str">
            <v>기본</v>
          </cell>
          <cell r="Z1490" t="str">
            <v>x</v>
          </cell>
          <cell r="AA1490" t="str">
            <v>단위량</v>
          </cell>
          <cell r="AB1490" t="str">
            <v>x</v>
          </cell>
          <cell r="AC1490" t="str">
            <v>(</v>
          </cell>
          <cell r="AD1490">
            <v>1</v>
          </cell>
          <cell r="AE1490" t="str">
            <v>+</v>
          </cell>
          <cell r="AF1490" t="str">
            <v>지하</v>
          </cell>
          <cell r="AG1490" t="str">
            <v>)</v>
          </cell>
          <cell r="AL1490" t="str">
            <v>통 3-6(지하)</v>
          </cell>
          <cell r="AM1490">
            <v>95424</v>
          </cell>
          <cell r="AN1490">
            <v>0</v>
          </cell>
        </row>
        <row r="1491">
          <cell r="B1491">
            <v>523</v>
          </cell>
          <cell r="D1491" t="str">
            <v>보통인부</v>
          </cell>
          <cell r="E1491">
            <v>0</v>
          </cell>
          <cell r="F1491" t="str">
            <v>인</v>
          </cell>
          <cell r="H1491">
            <v>1.5</v>
          </cell>
          <cell r="I1491" t="str">
            <v>x</v>
          </cell>
          <cell r="J1491">
            <v>1</v>
          </cell>
          <cell r="K1491" t="str">
            <v>x</v>
          </cell>
          <cell r="L1491" t="str">
            <v>(</v>
          </cell>
          <cell r="M1491">
            <v>1</v>
          </cell>
          <cell r="N1491" t="str">
            <v>+</v>
          </cell>
          <cell r="O1491">
            <v>0.02</v>
          </cell>
          <cell r="P1491" t="str">
            <v>)</v>
          </cell>
          <cell r="V1491" t="str">
            <v>=</v>
          </cell>
          <cell r="W1491">
            <v>1.53</v>
          </cell>
          <cell r="Y1491" t="str">
            <v>기본</v>
          </cell>
          <cell r="Z1491" t="str">
            <v>x</v>
          </cell>
          <cell r="AA1491" t="str">
            <v>단위량</v>
          </cell>
          <cell r="AB1491" t="str">
            <v>x</v>
          </cell>
          <cell r="AC1491" t="str">
            <v>(</v>
          </cell>
          <cell r="AD1491">
            <v>1</v>
          </cell>
          <cell r="AE1491" t="str">
            <v>+</v>
          </cell>
          <cell r="AF1491" t="str">
            <v>지하</v>
          </cell>
          <cell r="AG1491" t="str">
            <v>)</v>
          </cell>
          <cell r="AM1491">
            <v>40922</v>
          </cell>
          <cell r="AN1491">
            <v>0</v>
          </cell>
        </row>
        <row r="1492">
          <cell r="B1492">
            <v>544</v>
          </cell>
          <cell r="D1492" t="str">
            <v>소    계</v>
          </cell>
          <cell r="E1492">
            <v>0</v>
          </cell>
          <cell r="F1492">
            <v>0</v>
          </cell>
          <cell r="AM1492">
            <v>0</v>
          </cell>
          <cell r="AN1492">
            <v>0</v>
          </cell>
        </row>
        <row r="1493">
          <cell r="A1493" t="str">
            <v>53-2</v>
          </cell>
          <cell r="B1493">
            <v>519</v>
          </cell>
          <cell r="D1493" t="str">
            <v>통신케이블공</v>
          </cell>
          <cell r="E1493">
            <v>0</v>
          </cell>
          <cell r="F1493" t="str">
            <v>인</v>
          </cell>
          <cell r="V1493" t="str">
            <v>=</v>
          </cell>
          <cell r="W1493">
            <v>1.1200000000000001</v>
          </cell>
          <cell r="AM1493">
            <v>95424</v>
          </cell>
          <cell r="AN1493">
            <v>0</v>
          </cell>
        </row>
        <row r="1494">
          <cell r="A1494" t="str">
            <v>53-3</v>
          </cell>
          <cell r="B1494">
            <v>523</v>
          </cell>
          <cell r="D1494" t="str">
            <v>보통인부</v>
          </cell>
          <cell r="E1494">
            <v>0</v>
          </cell>
          <cell r="F1494" t="str">
            <v>인</v>
          </cell>
          <cell r="V1494" t="str">
            <v>=</v>
          </cell>
          <cell r="W1494">
            <v>1.53</v>
          </cell>
          <cell r="AM1494">
            <v>40922</v>
          </cell>
          <cell r="AN1494">
            <v>0</v>
          </cell>
        </row>
        <row r="1495">
          <cell r="A1495" t="str">
            <v>53-4</v>
          </cell>
          <cell r="B1495">
            <v>543</v>
          </cell>
          <cell r="D1495" t="str">
            <v>다. 공구손료</v>
          </cell>
          <cell r="E1495" t="str">
            <v>노무비x3%</v>
          </cell>
          <cell r="F1495">
            <v>0</v>
          </cell>
          <cell r="AM1495">
            <v>0</v>
          </cell>
          <cell r="AN1495">
            <v>0</v>
          </cell>
        </row>
        <row r="1496">
          <cell r="A1496" t="str">
            <v>53-5</v>
          </cell>
          <cell r="B1496">
            <v>519</v>
          </cell>
          <cell r="D1496" t="str">
            <v>통신케이블공</v>
          </cell>
          <cell r="E1496">
            <v>0</v>
          </cell>
          <cell r="F1496" t="str">
            <v>인</v>
          </cell>
          <cell r="H1496">
            <v>1.1000000000000001</v>
          </cell>
          <cell r="I1496" t="str">
            <v>x</v>
          </cell>
          <cell r="J1496">
            <v>0.03</v>
          </cell>
          <cell r="V1496" t="str">
            <v>=</v>
          </cell>
          <cell r="W1496">
            <v>0.03</v>
          </cell>
          <cell r="Y1496" t="str">
            <v>기본</v>
          </cell>
          <cell r="Z1496" t="str">
            <v>x</v>
          </cell>
          <cell r="AA1496" t="str">
            <v>공구손료</v>
          </cell>
          <cell r="AM1496">
            <v>95424</v>
          </cell>
          <cell r="AN1496">
            <v>0</v>
          </cell>
        </row>
        <row r="1497">
          <cell r="A1497" t="str">
            <v>53-6</v>
          </cell>
          <cell r="B1497">
            <v>523</v>
          </cell>
          <cell r="D1497" t="str">
            <v>보통인부</v>
          </cell>
          <cell r="E1497">
            <v>0</v>
          </cell>
          <cell r="F1497" t="str">
            <v>인</v>
          </cell>
          <cell r="H1497">
            <v>1.5</v>
          </cell>
          <cell r="I1497" t="str">
            <v>x</v>
          </cell>
          <cell r="J1497">
            <v>0.03</v>
          </cell>
          <cell r="V1497" t="str">
            <v>=</v>
          </cell>
          <cell r="W1497">
            <v>0.05</v>
          </cell>
          <cell r="Y1497" t="str">
            <v>기본</v>
          </cell>
          <cell r="Z1497" t="str">
            <v>x</v>
          </cell>
          <cell r="AA1497" t="str">
            <v>공구손료</v>
          </cell>
          <cell r="AM1497">
            <v>40922</v>
          </cell>
          <cell r="AN1497">
            <v>0</v>
          </cell>
        </row>
        <row r="1498">
          <cell r="AM1498">
            <v>0</v>
          </cell>
          <cell r="AN1498">
            <v>0</v>
          </cell>
        </row>
        <row r="1499">
          <cell r="AM1499">
            <v>0</v>
          </cell>
          <cell r="AN1499">
            <v>0</v>
          </cell>
        </row>
        <row r="1500">
          <cell r="AM1500">
            <v>0</v>
          </cell>
          <cell r="AN1500">
            <v>0</v>
          </cell>
        </row>
        <row r="1501">
          <cell r="AM1501">
            <v>0</v>
          </cell>
          <cell r="AN1501">
            <v>0</v>
          </cell>
        </row>
        <row r="1502">
          <cell r="AM1502">
            <v>0</v>
          </cell>
          <cell r="AN1502">
            <v>0</v>
          </cell>
        </row>
        <row r="1503">
          <cell r="AM1503">
            <v>0</v>
          </cell>
          <cell r="AN1503">
            <v>0</v>
          </cell>
        </row>
        <row r="1504">
          <cell r="AM1504">
            <v>0</v>
          </cell>
          <cell r="AN1504">
            <v>0</v>
          </cell>
        </row>
        <row r="1505">
          <cell r="AM1505">
            <v>0</v>
          </cell>
          <cell r="AN1505">
            <v>0</v>
          </cell>
        </row>
        <row r="1506">
          <cell r="AM1506">
            <v>0</v>
          </cell>
        </row>
        <row r="1507">
          <cell r="AM1507">
            <v>0</v>
          </cell>
        </row>
        <row r="1508">
          <cell r="AM1508">
            <v>0</v>
          </cell>
          <cell r="AN1508">
            <v>0</v>
          </cell>
        </row>
        <row r="1509">
          <cell r="AM1509">
            <v>0</v>
          </cell>
          <cell r="AN1509">
            <v>0</v>
          </cell>
        </row>
        <row r="1510">
          <cell r="AM1510">
            <v>0</v>
          </cell>
          <cell r="AN1510">
            <v>0</v>
          </cell>
        </row>
        <row r="1511">
          <cell r="AM1511">
            <v>0</v>
          </cell>
          <cell r="AN1511">
            <v>0</v>
          </cell>
        </row>
        <row r="1512">
          <cell r="AM1512">
            <v>0</v>
          </cell>
          <cell r="AN1512">
            <v>0</v>
          </cell>
        </row>
        <row r="1513">
          <cell r="AM1513">
            <v>0</v>
          </cell>
          <cell r="AN1513">
            <v>0</v>
          </cell>
        </row>
        <row r="1514">
          <cell r="AM1514">
            <v>0</v>
          </cell>
          <cell r="AN1514">
            <v>0</v>
          </cell>
        </row>
        <row r="1515">
          <cell r="A1515">
            <v>54</v>
          </cell>
          <cell r="C1515">
            <v>54</v>
          </cell>
          <cell r="D1515" t="str">
            <v>케이블포설(관로,지상)</v>
          </cell>
          <cell r="E1515" t="str">
            <v>FS/JF 0.65x15P(15%차폐, 3m이상)</v>
          </cell>
          <cell r="F1515" t="str">
            <v>100m</v>
          </cell>
          <cell r="AM1515">
            <v>0</v>
          </cell>
          <cell r="AN1515">
            <v>0</v>
          </cell>
        </row>
        <row r="1516">
          <cell r="A1516" t="str">
            <v>54-1</v>
          </cell>
          <cell r="B1516">
            <v>542</v>
          </cell>
          <cell r="D1516" t="str">
            <v>나. 노무비</v>
          </cell>
          <cell r="E1516">
            <v>0</v>
          </cell>
          <cell r="F1516">
            <v>0</v>
          </cell>
          <cell r="AM1516">
            <v>0</v>
          </cell>
          <cell r="AN1516">
            <v>0</v>
          </cell>
        </row>
        <row r="1517">
          <cell r="B1517">
            <v>519</v>
          </cell>
          <cell r="D1517" t="str">
            <v>통신케이블공</v>
          </cell>
          <cell r="E1517">
            <v>0</v>
          </cell>
          <cell r="F1517" t="str">
            <v>인</v>
          </cell>
          <cell r="H1517">
            <v>1.1000000000000001</v>
          </cell>
          <cell r="I1517" t="str">
            <v>x</v>
          </cell>
          <cell r="J1517">
            <v>1</v>
          </cell>
          <cell r="V1517" t="str">
            <v>=</v>
          </cell>
          <cell r="W1517">
            <v>1.1000000000000001</v>
          </cell>
          <cell r="Y1517" t="str">
            <v>기본</v>
          </cell>
          <cell r="Z1517" t="str">
            <v>x</v>
          </cell>
          <cell r="AA1517" t="str">
            <v>단위량</v>
          </cell>
          <cell r="AL1517" t="str">
            <v>통 3-6</v>
          </cell>
          <cell r="AM1517">
            <v>95424</v>
          </cell>
          <cell r="AN1517">
            <v>0</v>
          </cell>
        </row>
        <row r="1518">
          <cell r="B1518">
            <v>523</v>
          </cell>
          <cell r="D1518" t="str">
            <v>보통인부</v>
          </cell>
          <cell r="E1518">
            <v>0</v>
          </cell>
          <cell r="F1518" t="str">
            <v>인</v>
          </cell>
          <cell r="H1518">
            <v>1.5</v>
          </cell>
          <cell r="I1518" t="str">
            <v>x</v>
          </cell>
          <cell r="J1518">
            <v>1</v>
          </cell>
          <cell r="V1518" t="str">
            <v>=</v>
          </cell>
          <cell r="W1518">
            <v>1.5</v>
          </cell>
          <cell r="Y1518" t="str">
            <v>기본</v>
          </cell>
          <cell r="Z1518" t="str">
            <v>x</v>
          </cell>
          <cell r="AA1518" t="str">
            <v>단위량</v>
          </cell>
          <cell r="AM1518">
            <v>40922</v>
          </cell>
          <cell r="AN1518">
            <v>0</v>
          </cell>
        </row>
        <row r="1519">
          <cell r="B1519">
            <v>544</v>
          </cell>
          <cell r="D1519" t="str">
            <v>소    계</v>
          </cell>
          <cell r="E1519">
            <v>0</v>
          </cell>
          <cell r="F1519">
            <v>0</v>
          </cell>
          <cell r="AM1519">
            <v>0</v>
          </cell>
          <cell r="AN1519">
            <v>0</v>
          </cell>
        </row>
        <row r="1520">
          <cell r="A1520" t="str">
            <v>54-2</v>
          </cell>
          <cell r="B1520">
            <v>519</v>
          </cell>
          <cell r="D1520" t="str">
            <v>통신케이블공</v>
          </cell>
          <cell r="E1520">
            <v>0</v>
          </cell>
          <cell r="F1520" t="str">
            <v>인</v>
          </cell>
          <cell r="V1520" t="str">
            <v>=</v>
          </cell>
          <cell r="W1520">
            <v>1.1000000000000001</v>
          </cell>
          <cell r="AM1520">
            <v>95424</v>
          </cell>
          <cell r="AN1520">
            <v>0</v>
          </cell>
        </row>
        <row r="1521">
          <cell r="A1521" t="str">
            <v>54-3</v>
          </cell>
          <cell r="B1521">
            <v>523</v>
          </cell>
          <cell r="D1521" t="str">
            <v>보통인부</v>
          </cell>
          <cell r="E1521">
            <v>0</v>
          </cell>
          <cell r="F1521" t="str">
            <v>인</v>
          </cell>
          <cell r="V1521" t="str">
            <v>=</v>
          </cell>
          <cell r="W1521">
            <v>1.5</v>
          </cell>
          <cell r="AM1521">
            <v>40922</v>
          </cell>
          <cell r="AN1521">
            <v>0</v>
          </cell>
        </row>
        <row r="1522">
          <cell r="A1522" t="str">
            <v>54-4</v>
          </cell>
          <cell r="B1522">
            <v>543</v>
          </cell>
          <cell r="D1522" t="str">
            <v>다. 공구손료</v>
          </cell>
          <cell r="E1522" t="str">
            <v>노무비x3%</v>
          </cell>
          <cell r="F1522">
            <v>0</v>
          </cell>
          <cell r="AM1522">
            <v>0</v>
          </cell>
          <cell r="AN1522">
            <v>0</v>
          </cell>
        </row>
        <row r="1523">
          <cell r="A1523" t="str">
            <v>54-5</v>
          </cell>
          <cell r="B1523">
            <v>519</v>
          </cell>
          <cell r="D1523" t="str">
            <v>통신케이블공</v>
          </cell>
          <cell r="E1523">
            <v>0</v>
          </cell>
          <cell r="F1523" t="str">
            <v>인</v>
          </cell>
          <cell r="H1523">
            <v>1.1000000000000001</v>
          </cell>
          <cell r="I1523" t="str">
            <v>x</v>
          </cell>
          <cell r="J1523">
            <v>0.03</v>
          </cell>
          <cell r="V1523" t="str">
            <v>=</v>
          </cell>
          <cell r="W1523">
            <v>0.03</v>
          </cell>
          <cell r="Y1523" t="str">
            <v>기본</v>
          </cell>
          <cell r="Z1523" t="str">
            <v>x</v>
          </cell>
          <cell r="AA1523" t="str">
            <v>공구손료</v>
          </cell>
          <cell r="AM1523">
            <v>95424</v>
          </cell>
          <cell r="AN1523">
            <v>0</v>
          </cell>
        </row>
        <row r="1524">
          <cell r="A1524" t="str">
            <v>54-6</v>
          </cell>
          <cell r="B1524">
            <v>523</v>
          </cell>
          <cell r="D1524" t="str">
            <v>보통인부</v>
          </cell>
          <cell r="E1524">
            <v>0</v>
          </cell>
          <cell r="F1524" t="str">
            <v>인</v>
          </cell>
          <cell r="H1524">
            <v>1.5</v>
          </cell>
          <cell r="I1524" t="str">
            <v>x</v>
          </cell>
          <cell r="J1524">
            <v>0.03</v>
          </cell>
          <cell r="V1524" t="str">
            <v>=</v>
          </cell>
          <cell r="W1524">
            <v>0.05</v>
          </cell>
          <cell r="Y1524" t="str">
            <v>기본</v>
          </cell>
          <cell r="Z1524" t="str">
            <v>x</v>
          </cell>
          <cell r="AA1524" t="str">
            <v>공구손료</v>
          </cell>
          <cell r="AM1524">
            <v>40922</v>
          </cell>
          <cell r="AN1524">
            <v>0</v>
          </cell>
        </row>
        <row r="1525">
          <cell r="AM1525">
            <v>0</v>
          </cell>
          <cell r="AN1525">
            <v>0</v>
          </cell>
        </row>
        <row r="1526">
          <cell r="AM1526">
            <v>0</v>
          </cell>
          <cell r="AN1526">
            <v>0</v>
          </cell>
        </row>
        <row r="1527">
          <cell r="AM1527">
            <v>0</v>
          </cell>
          <cell r="AN1527">
            <v>0</v>
          </cell>
        </row>
        <row r="1528">
          <cell r="AM1528">
            <v>0</v>
          </cell>
          <cell r="AN1528">
            <v>0</v>
          </cell>
        </row>
        <row r="1529">
          <cell r="AM1529">
            <v>0</v>
          </cell>
          <cell r="AN1529">
            <v>0</v>
          </cell>
        </row>
        <row r="1530">
          <cell r="AM1530">
            <v>0</v>
          </cell>
          <cell r="AN1530">
            <v>0</v>
          </cell>
        </row>
        <row r="1531">
          <cell r="AM1531">
            <v>0</v>
          </cell>
        </row>
        <row r="1532">
          <cell r="AM1532">
            <v>0</v>
          </cell>
        </row>
        <row r="1533">
          <cell r="AM1533">
            <v>0</v>
          </cell>
          <cell r="AN1533">
            <v>0</v>
          </cell>
        </row>
        <row r="1534">
          <cell r="AM1534">
            <v>0</v>
          </cell>
          <cell r="AN1534">
            <v>0</v>
          </cell>
        </row>
        <row r="1535">
          <cell r="AM1535">
            <v>0</v>
          </cell>
          <cell r="AN1535">
            <v>0</v>
          </cell>
        </row>
        <row r="1536">
          <cell r="AM1536">
            <v>0</v>
          </cell>
          <cell r="AN1536">
            <v>0</v>
          </cell>
        </row>
        <row r="1537">
          <cell r="AM1537">
            <v>0</v>
          </cell>
          <cell r="AN1537">
            <v>0</v>
          </cell>
        </row>
        <row r="1538">
          <cell r="AM1538">
            <v>0</v>
          </cell>
          <cell r="AN1538">
            <v>0</v>
          </cell>
        </row>
        <row r="1539">
          <cell r="AM1539">
            <v>0</v>
          </cell>
          <cell r="AN1539">
            <v>0</v>
          </cell>
        </row>
        <row r="1540">
          <cell r="AM1540">
            <v>0</v>
          </cell>
          <cell r="AN1540">
            <v>0</v>
          </cell>
        </row>
        <row r="1541">
          <cell r="AM1541">
            <v>0</v>
          </cell>
          <cell r="AN1541">
            <v>0</v>
          </cell>
        </row>
        <row r="1542">
          <cell r="A1542">
            <v>55</v>
          </cell>
          <cell r="C1542">
            <v>55</v>
          </cell>
          <cell r="D1542" t="str">
            <v>케이블접속(보통,직선,지하)</v>
          </cell>
          <cell r="E1542" t="str">
            <v>FS J/F 0.65x15P(15%차폐,3m이상)</v>
          </cell>
          <cell r="F1542" t="str">
            <v>개소</v>
          </cell>
          <cell r="AM1542">
            <v>0</v>
          </cell>
          <cell r="AN1542">
            <v>0</v>
          </cell>
        </row>
        <row r="1543">
          <cell r="A1543" t="str">
            <v>55-1</v>
          </cell>
          <cell r="B1543">
            <v>541</v>
          </cell>
          <cell r="D1543" t="str">
            <v>가. 재료비</v>
          </cell>
          <cell r="E1543">
            <v>0</v>
          </cell>
          <cell r="F1543">
            <v>0</v>
          </cell>
          <cell r="AM1543">
            <v>0</v>
          </cell>
          <cell r="AN1543">
            <v>0</v>
          </cell>
        </row>
        <row r="1544">
          <cell r="A1544" t="str">
            <v>55-2</v>
          </cell>
          <cell r="B1544">
            <v>56</v>
          </cell>
          <cell r="D1544" t="str">
            <v>케이블접속제</v>
          </cell>
          <cell r="E1544" t="str">
            <v>75-300-1</v>
          </cell>
          <cell r="F1544" t="str">
            <v>KIT</v>
          </cell>
          <cell r="V1544" t="str">
            <v>=</v>
          </cell>
          <cell r="W1544">
            <v>1</v>
          </cell>
          <cell r="AM1544">
            <v>121000</v>
          </cell>
          <cell r="AN1544">
            <v>0</v>
          </cell>
        </row>
        <row r="1545">
          <cell r="A1545" t="str">
            <v>55-3</v>
          </cell>
          <cell r="B1545">
            <v>58</v>
          </cell>
          <cell r="D1545" t="str">
            <v>케이블심선접속자</v>
          </cell>
          <cell r="E1545" t="str">
            <v>0.4-0.9(ULG)</v>
          </cell>
          <cell r="F1545" t="str">
            <v>개</v>
          </cell>
          <cell r="H1545">
            <v>15</v>
          </cell>
          <cell r="I1545" t="str">
            <v>x</v>
          </cell>
          <cell r="J1545">
            <v>2</v>
          </cell>
          <cell r="K1545" t="str">
            <v>x</v>
          </cell>
          <cell r="M1545">
            <v>1.02</v>
          </cell>
          <cell r="V1545" t="str">
            <v>=</v>
          </cell>
          <cell r="W1545">
            <v>31</v>
          </cell>
          <cell r="AM1545">
            <v>170</v>
          </cell>
          <cell r="AN1545">
            <v>0</v>
          </cell>
        </row>
        <row r="1546">
          <cell r="A1546" t="str">
            <v>55-4</v>
          </cell>
          <cell r="B1546">
            <v>542</v>
          </cell>
          <cell r="D1546" t="str">
            <v>나. 노무비</v>
          </cell>
          <cell r="E1546">
            <v>0</v>
          </cell>
          <cell r="F1546">
            <v>0</v>
          </cell>
          <cell r="AM1546">
            <v>0</v>
          </cell>
          <cell r="AN1546">
            <v>0</v>
          </cell>
        </row>
        <row r="1547">
          <cell r="D1547" t="str">
            <v>1) 보통접속</v>
          </cell>
          <cell r="AM1547">
            <v>0</v>
          </cell>
          <cell r="AN1547">
            <v>0</v>
          </cell>
        </row>
        <row r="1548">
          <cell r="B1548">
            <v>519</v>
          </cell>
          <cell r="D1548" t="str">
            <v>통신케이블공</v>
          </cell>
          <cell r="E1548">
            <v>0</v>
          </cell>
          <cell r="F1548" t="str">
            <v>인</v>
          </cell>
          <cell r="H1548">
            <v>0.77</v>
          </cell>
          <cell r="I1548" t="str">
            <v>x</v>
          </cell>
          <cell r="J1548">
            <v>1</v>
          </cell>
          <cell r="K1548" t="str">
            <v>x</v>
          </cell>
          <cell r="L1548" t="str">
            <v>(</v>
          </cell>
          <cell r="M1548">
            <v>1</v>
          </cell>
          <cell r="N1548" t="str">
            <v>+</v>
          </cell>
          <cell r="O1548">
            <v>0.02</v>
          </cell>
          <cell r="P1548" t="str">
            <v>)</v>
          </cell>
          <cell r="V1548" t="str">
            <v>=</v>
          </cell>
          <cell r="W1548">
            <v>0.79</v>
          </cell>
          <cell r="Y1548" t="str">
            <v>기본</v>
          </cell>
          <cell r="Z1548" t="str">
            <v>x</v>
          </cell>
          <cell r="AA1548" t="str">
            <v>단위량</v>
          </cell>
          <cell r="AB1548" t="str">
            <v>x</v>
          </cell>
          <cell r="AC1548" t="str">
            <v>(</v>
          </cell>
          <cell r="AD1548">
            <v>1</v>
          </cell>
          <cell r="AE1548" t="str">
            <v>+</v>
          </cell>
          <cell r="AF1548" t="str">
            <v>지하</v>
          </cell>
          <cell r="AG1548" t="str">
            <v>)</v>
          </cell>
          <cell r="AL1548" t="str">
            <v>통 3-7(지하)</v>
          </cell>
          <cell r="AM1548">
            <v>95424</v>
          </cell>
          <cell r="AN1548">
            <v>0</v>
          </cell>
        </row>
        <row r="1549">
          <cell r="B1549">
            <v>523</v>
          </cell>
          <cell r="D1549" t="str">
            <v>보통인부</v>
          </cell>
          <cell r="E1549">
            <v>0</v>
          </cell>
          <cell r="F1549" t="str">
            <v>인</v>
          </cell>
          <cell r="H1549">
            <v>1.07</v>
          </cell>
          <cell r="I1549" t="str">
            <v>x</v>
          </cell>
          <cell r="J1549">
            <v>1</v>
          </cell>
          <cell r="K1549" t="str">
            <v>x</v>
          </cell>
          <cell r="L1549" t="str">
            <v>(</v>
          </cell>
          <cell r="M1549">
            <v>1</v>
          </cell>
          <cell r="N1549" t="str">
            <v>+</v>
          </cell>
          <cell r="O1549">
            <v>0.02</v>
          </cell>
          <cell r="P1549" t="str">
            <v>)</v>
          </cell>
          <cell r="V1549" t="str">
            <v>=</v>
          </cell>
          <cell r="W1549">
            <v>1.0900000000000001</v>
          </cell>
          <cell r="Y1549" t="str">
            <v>기본</v>
          </cell>
          <cell r="Z1549" t="str">
            <v>x</v>
          </cell>
          <cell r="AA1549" t="str">
            <v>단위량</v>
          </cell>
          <cell r="AB1549" t="str">
            <v>x</v>
          </cell>
          <cell r="AC1549" t="str">
            <v>(</v>
          </cell>
          <cell r="AD1549">
            <v>1</v>
          </cell>
          <cell r="AE1549" t="str">
            <v>+</v>
          </cell>
          <cell r="AF1549" t="str">
            <v>지하</v>
          </cell>
          <cell r="AG1549" t="str">
            <v>)</v>
          </cell>
          <cell r="AM1549">
            <v>40922</v>
          </cell>
          <cell r="AN1549">
            <v>0</v>
          </cell>
        </row>
        <row r="1550">
          <cell r="D1550" t="str">
            <v>2) 외피접속</v>
          </cell>
          <cell r="AM1550">
            <v>0</v>
          </cell>
          <cell r="AN1550">
            <v>0</v>
          </cell>
        </row>
        <row r="1551">
          <cell r="B1551">
            <v>519</v>
          </cell>
          <cell r="D1551" t="str">
            <v>통신케이블공</v>
          </cell>
          <cell r="E1551">
            <v>0</v>
          </cell>
          <cell r="F1551" t="str">
            <v>인</v>
          </cell>
          <cell r="H1551">
            <v>0.33</v>
          </cell>
          <cell r="I1551" t="str">
            <v>x</v>
          </cell>
          <cell r="J1551">
            <v>1.5</v>
          </cell>
          <cell r="K1551" t="str">
            <v>x</v>
          </cell>
          <cell r="L1551" t="str">
            <v>(</v>
          </cell>
          <cell r="M1551">
            <v>1</v>
          </cell>
          <cell r="N1551" t="str">
            <v>+</v>
          </cell>
          <cell r="O1551">
            <v>0.02</v>
          </cell>
          <cell r="P1551" t="str">
            <v>)</v>
          </cell>
          <cell r="V1551" t="str">
            <v>=</v>
          </cell>
          <cell r="W1551">
            <v>0.5</v>
          </cell>
          <cell r="Y1551" t="str">
            <v>기본</v>
          </cell>
          <cell r="Z1551" t="str">
            <v>x</v>
          </cell>
          <cell r="AA1551" t="str">
            <v>차폐</v>
          </cell>
          <cell r="AB1551" t="str">
            <v>x</v>
          </cell>
          <cell r="AC1551" t="str">
            <v>(</v>
          </cell>
          <cell r="AD1551">
            <v>1</v>
          </cell>
          <cell r="AE1551" t="str">
            <v>+</v>
          </cell>
          <cell r="AF1551" t="str">
            <v>지하</v>
          </cell>
          <cell r="AG1551" t="str">
            <v>)</v>
          </cell>
          <cell r="AL1551" t="str">
            <v>통 3-37-라(차폐,지하)</v>
          </cell>
          <cell r="AM1551">
            <v>95424</v>
          </cell>
          <cell r="AN1551">
            <v>0</v>
          </cell>
        </row>
        <row r="1552">
          <cell r="B1552">
            <v>523</v>
          </cell>
          <cell r="D1552" t="str">
            <v>보통인부</v>
          </cell>
          <cell r="E1552">
            <v>0</v>
          </cell>
          <cell r="F1552" t="str">
            <v>인</v>
          </cell>
          <cell r="H1552">
            <v>0.31</v>
          </cell>
          <cell r="I1552" t="str">
            <v>x</v>
          </cell>
          <cell r="J1552">
            <v>1.5</v>
          </cell>
          <cell r="K1552" t="str">
            <v>x</v>
          </cell>
          <cell r="L1552" t="str">
            <v>(</v>
          </cell>
          <cell r="M1552">
            <v>1</v>
          </cell>
          <cell r="N1552" t="str">
            <v>+</v>
          </cell>
          <cell r="O1552">
            <v>0.02</v>
          </cell>
          <cell r="P1552" t="str">
            <v>)</v>
          </cell>
          <cell r="V1552" t="str">
            <v>=</v>
          </cell>
          <cell r="W1552">
            <v>0.47</v>
          </cell>
          <cell r="Y1552" t="str">
            <v>기본</v>
          </cell>
          <cell r="Z1552" t="str">
            <v>x</v>
          </cell>
          <cell r="AA1552" t="str">
            <v>차폐</v>
          </cell>
          <cell r="AB1552" t="str">
            <v>x</v>
          </cell>
          <cell r="AC1552" t="str">
            <v>(</v>
          </cell>
          <cell r="AD1552">
            <v>1</v>
          </cell>
          <cell r="AE1552" t="str">
            <v>+</v>
          </cell>
          <cell r="AF1552" t="str">
            <v>지하</v>
          </cell>
          <cell r="AG1552" t="str">
            <v>)</v>
          </cell>
          <cell r="AM1552">
            <v>40922</v>
          </cell>
          <cell r="AN1552">
            <v>0</v>
          </cell>
        </row>
        <row r="1553">
          <cell r="B1553">
            <v>544</v>
          </cell>
          <cell r="D1553" t="str">
            <v>소    계</v>
          </cell>
          <cell r="E1553">
            <v>0</v>
          </cell>
          <cell r="F1553">
            <v>0</v>
          </cell>
          <cell r="AM1553">
            <v>0</v>
          </cell>
          <cell r="AN1553">
            <v>0</v>
          </cell>
        </row>
        <row r="1554">
          <cell r="A1554" t="str">
            <v>55-5</v>
          </cell>
          <cell r="B1554">
            <v>519</v>
          </cell>
          <cell r="D1554" t="str">
            <v>통신케이블공</v>
          </cell>
          <cell r="E1554">
            <v>0</v>
          </cell>
          <cell r="F1554" t="str">
            <v>인</v>
          </cell>
          <cell r="V1554" t="str">
            <v>=</v>
          </cell>
          <cell r="W1554">
            <v>1.29</v>
          </cell>
          <cell r="AM1554">
            <v>95424</v>
          </cell>
          <cell r="AN1554">
            <v>0</v>
          </cell>
        </row>
        <row r="1555">
          <cell r="A1555" t="str">
            <v>55-6</v>
          </cell>
          <cell r="B1555">
            <v>523</v>
          </cell>
          <cell r="D1555" t="str">
            <v>보통인부</v>
          </cell>
          <cell r="E1555">
            <v>0</v>
          </cell>
          <cell r="F1555" t="str">
            <v>인</v>
          </cell>
          <cell r="V1555" t="str">
            <v>=</v>
          </cell>
          <cell r="W1555">
            <v>1.56</v>
          </cell>
          <cell r="AM1555">
            <v>40922</v>
          </cell>
          <cell r="AN1555">
            <v>0</v>
          </cell>
        </row>
        <row r="1556">
          <cell r="A1556" t="str">
            <v>55-7</v>
          </cell>
          <cell r="B1556">
            <v>543</v>
          </cell>
          <cell r="D1556" t="str">
            <v>다. 공구손료</v>
          </cell>
          <cell r="E1556" t="str">
            <v>노무비x3%</v>
          </cell>
          <cell r="F1556">
            <v>0</v>
          </cell>
          <cell r="AM1556">
            <v>0</v>
          </cell>
          <cell r="AN1556">
            <v>0</v>
          </cell>
        </row>
        <row r="1557">
          <cell r="A1557" t="str">
            <v>55-8</v>
          </cell>
          <cell r="B1557">
            <v>519</v>
          </cell>
          <cell r="D1557" t="str">
            <v>통신케이블공</v>
          </cell>
          <cell r="E1557">
            <v>0</v>
          </cell>
          <cell r="F1557" t="str">
            <v>인</v>
          </cell>
          <cell r="H1557">
            <v>1.27</v>
          </cell>
          <cell r="I1557" t="str">
            <v>x</v>
          </cell>
          <cell r="J1557">
            <v>0.03</v>
          </cell>
          <cell r="V1557" t="str">
            <v>=</v>
          </cell>
          <cell r="W1557">
            <v>0.04</v>
          </cell>
          <cell r="Y1557" t="str">
            <v>기본</v>
          </cell>
          <cell r="Z1557" t="str">
            <v>x</v>
          </cell>
          <cell r="AA1557" t="str">
            <v>공구손료</v>
          </cell>
          <cell r="AM1557">
            <v>95424</v>
          </cell>
          <cell r="AN1557">
            <v>0</v>
          </cell>
        </row>
        <row r="1558">
          <cell r="A1558" t="str">
            <v>55-9</v>
          </cell>
          <cell r="B1558">
            <v>523</v>
          </cell>
          <cell r="D1558" t="str">
            <v>보통인부</v>
          </cell>
          <cell r="E1558">
            <v>0</v>
          </cell>
          <cell r="F1558" t="str">
            <v>인</v>
          </cell>
          <cell r="H1558">
            <v>1.54</v>
          </cell>
          <cell r="I1558" t="str">
            <v>x</v>
          </cell>
          <cell r="J1558">
            <v>0.03</v>
          </cell>
          <cell r="V1558" t="str">
            <v>=</v>
          </cell>
          <cell r="W1558">
            <v>0.05</v>
          </cell>
          <cell r="Y1558" t="str">
            <v>기본</v>
          </cell>
          <cell r="Z1558" t="str">
            <v>x</v>
          </cell>
          <cell r="AA1558" t="str">
            <v>공구손료</v>
          </cell>
          <cell r="AM1558">
            <v>40922</v>
          </cell>
          <cell r="AN1558">
            <v>0</v>
          </cell>
        </row>
        <row r="1559">
          <cell r="AM1559">
            <v>0</v>
          </cell>
          <cell r="AN1559">
            <v>0</v>
          </cell>
        </row>
        <row r="1560">
          <cell r="AM1560">
            <v>0</v>
          </cell>
          <cell r="AN1560">
            <v>0</v>
          </cell>
        </row>
        <row r="1561">
          <cell r="AM1561">
            <v>0</v>
          </cell>
          <cell r="AN1561">
            <v>0</v>
          </cell>
        </row>
        <row r="1562">
          <cell r="AM1562">
            <v>0</v>
          </cell>
          <cell r="AN1562">
            <v>0</v>
          </cell>
        </row>
        <row r="1563">
          <cell r="AM1563">
            <v>0</v>
          </cell>
          <cell r="AN1563">
            <v>0</v>
          </cell>
        </row>
        <row r="1564">
          <cell r="AM1564">
            <v>0</v>
          </cell>
          <cell r="AN1564">
            <v>0</v>
          </cell>
        </row>
        <row r="1565">
          <cell r="AM1565">
            <v>0</v>
          </cell>
          <cell r="AN1565">
            <v>0</v>
          </cell>
        </row>
        <row r="1566">
          <cell r="AM1566">
            <v>0</v>
          </cell>
          <cell r="AN1566">
            <v>0</v>
          </cell>
        </row>
        <row r="1567">
          <cell r="AM1567">
            <v>0</v>
          </cell>
          <cell r="AN1567">
            <v>0</v>
          </cell>
        </row>
        <row r="1568">
          <cell r="AM1568">
            <v>0</v>
          </cell>
          <cell r="AN1568">
            <v>0</v>
          </cell>
        </row>
        <row r="1569">
          <cell r="A1569">
            <v>56</v>
          </cell>
          <cell r="C1569">
            <v>56</v>
          </cell>
          <cell r="D1569" t="str">
            <v>케이블접속(보통,직선,지상)</v>
          </cell>
          <cell r="E1569" t="str">
            <v>FS J/F 0.65x15P(15%차폐,3m이상)</v>
          </cell>
          <cell r="F1569" t="str">
            <v>개소</v>
          </cell>
          <cell r="AM1569">
            <v>0</v>
          </cell>
          <cell r="AN1569">
            <v>0</v>
          </cell>
        </row>
        <row r="1570">
          <cell r="A1570" t="str">
            <v>56-1</v>
          </cell>
          <cell r="B1570">
            <v>541</v>
          </cell>
          <cell r="D1570" t="str">
            <v>가. 재료비</v>
          </cell>
          <cell r="E1570">
            <v>0</v>
          </cell>
          <cell r="F1570">
            <v>0</v>
          </cell>
          <cell r="AM1570">
            <v>0</v>
          </cell>
          <cell r="AN1570">
            <v>0</v>
          </cell>
        </row>
        <row r="1571">
          <cell r="A1571" t="str">
            <v>56-2</v>
          </cell>
          <cell r="B1571">
            <v>56</v>
          </cell>
          <cell r="D1571" t="str">
            <v>케이블접속제</v>
          </cell>
          <cell r="E1571" t="str">
            <v>75-300-1</v>
          </cell>
          <cell r="F1571" t="str">
            <v>KIT</v>
          </cell>
          <cell r="V1571" t="str">
            <v>=</v>
          </cell>
          <cell r="W1571">
            <v>1</v>
          </cell>
          <cell r="AM1571">
            <v>121000</v>
          </cell>
          <cell r="AN1571">
            <v>0</v>
          </cell>
        </row>
        <row r="1572">
          <cell r="A1572" t="str">
            <v>56-3</v>
          </cell>
          <cell r="B1572">
            <v>58</v>
          </cell>
          <cell r="D1572" t="str">
            <v>케이블심선접속자</v>
          </cell>
          <cell r="E1572" t="str">
            <v>0.4-0.9(ULG)</v>
          </cell>
          <cell r="F1572" t="str">
            <v>개</v>
          </cell>
          <cell r="H1572">
            <v>15</v>
          </cell>
          <cell r="I1572" t="str">
            <v>x</v>
          </cell>
          <cell r="J1572">
            <v>2</v>
          </cell>
          <cell r="K1572" t="str">
            <v>x</v>
          </cell>
          <cell r="M1572">
            <v>1.02</v>
          </cell>
          <cell r="V1572" t="str">
            <v>=</v>
          </cell>
          <cell r="W1572">
            <v>31</v>
          </cell>
          <cell r="AM1572">
            <v>170</v>
          </cell>
          <cell r="AN1572">
            <v>0</v>
          </cell>
        </row>
        <row r="1573">
          <cell r="A1573" t="str">
            <v>56-4</v>
          </cell>
          <cell r="B1573">
            <v>542</v>
          </cell>
          <cell r="D1573" t="str">
            <v>나. 노무비</v>
          </cell>
          <cell r="E1573">
            <v>0</v>
          </cell>
          <cell r="F1573">
            <v>0</v>
          </cell>
          <cell r="AM1573">
            <v>0</v>
          </cell>
          <cell r="AN1573">
            <v>0</v>
          </cell>
        </row>
        <row r="1574">
          <cell r="D1574" t="str">
            <v>1) 보통접속</v>
          </cell>
          <cell r="AM1574">
            <v>0</v>
          </cell>
          <cell r="AN1574">
            <v>0</v>
          </cell>
        </row>
        <row r="1575">
          <cell r="B1575">
            <v>519</v>
          </cell>
          <cell r="D1575" t="str">
            <v>통신케이블공</v>
          </cell>
          <cell r="E1575">
            <v>0</v>
          </cell>
          <cell r="F1575" t="str">
            <v>인</v>
          </cell>
          <cell r="H1575">
            <v>0.77</v>
          </cell>
          <cell r="I1575" t="str">
            <v>x</v>
          </cell>
          <cell r="J1575">
            <v>1</v>
          </cell>
          <cell r="V1575" t="str">
            <v>=</v>
          </cell>
          <cell r="W1575">
            <v>0.77</v>
          </cell>
          <cell r="Y1575" t="str">
            <v>기본</v>
          </cell>
          <cell r="Z1575" t="str">
            <v>x</v>
          </cell>
          <cell r="AA1575" t="str">
            <v>단위량</v>
          </cell>
          <cell r="AL1575" t="str">
            <v>통 3-7</v>
          </cell>
          <cell r="AM1575">
            <v>95424</v>
          </cell>
          <cell r="AN1575">
            <v>0</v>
          </cell>
        </row>
        <row r="1576">
          <cell r="B1576">
            <v>523</v>
          </cell>
          <cell r="D1576" t="str">
            <v>보통인부</v>
          </cell>
          <cell r="E1576">
            <v>0</v>
          </cell>
          <cell r="F1576" t="str">
            <v>인</v>
          </cell>
          <cell r="H1576">
            <v>1.07</v>
          </cell>
          <cell r="I1576" t="str">
            <v>x</v>
          </cell>
          <cell r="J1576">
            <v>1</v>
          </cell>
          <cell r="V1576" t="str">
            <v>=</v>
          </cell>
          <cell r="W1576">
            <v>1.07</v>
          </cell>
          <cell r="Y1576" t="str">
            <v>기본</v>
          </cell>
          <cell r="Z1576" t="str">
            <v>x</v>
          </cell>
          <cell r="AA1576" t="str">
            <v>단위량</v>
          </cell>
          <cell r="AM1576">
            <v>40922</v>
          </cell>
          <cell r="AN1576">
            <v>0</v>
          </cell>
        </row>
        <row r="1577">
          <cell r="D1577" t="str">
            <v>2) 외피접속</v>
          </cell>
          <cell r="AM1577">
            <v>0</v>
          </cell>
          <cell r="AN1577">
            <v>0</v>
          </cell>
        </row>
        <row r="1578">
          <cell r="B1578">
            <v>519</v>
          </cell>
          <cell r="D1578" t="str">
            <v>통신케이블공</v>
          </cell>
          <cell r="E1578">
            <v>0</v>
          </cell>
          <cell r="F1578" t="str">
            <v>인</v>
          </cell>
          <cell r="H1578">
            <v>0.33</v>
          </cell>
          <cell r="I1578" t="str">
            <v>x</v>
          </cell>
          <cell r="J1578">
            <v>1.5</v>
          </cell>
          <cell r="V1578" t="str">
            <v>=</v>
          </cell>
          <cell r="W1578">
            <v>0.5</v>
          </cell>
          <cell r="Y1578" t="str">
            <v>기본</v>
          </cell>
          <cell r="Z1578" t="str">
            <v>x</v>
          </cell>
          <cell r="AA1578" t="str">
            <v>차폐</v>
          </cell>
          <cell r="AL1578" t="str">
            <v>통 3-37-라(차폐)</v>
          </cell>
          <cell r="AM1578">
            <v>95424</v>
          </cell>
          <cell r="AN1578">
            <v>0</v>
          </cell>
        </row>
        <row r="1579">
          <cell r="B1579">
            <v>523</v>
          </cell>
          <cell r="D1579" t="str">
            <v>보통인부</v>
          </cell>
          <cell r="E1579">
            <v>0</v>
          </cell>
          <cell r="F1579" t="str">
            <v>인</v>
          </cell>
          <cell r="H1579">
            <v>0.31</v>
          </cell>
          <cell r="I1579" t="str">
            <v>x</v>
          </cell>
          <cell r="J1579">
            <v>1.5</v>
          </cell>
          <cell r="V1579" t="str">
            <v>=</v>
          </cell>
          <cell r="W1579">
            <v>0.47</v>
          </cell>
          <cell r="Y1579" t="str">
            <v>기본</v>
          </cell>
          <cell r="Z1579" t="str">
            <v>x</v>
          </cell>
          <cell r="AA1579" t="str">
            <v>차폐</v>
          </cell>
          <cell r="AM1579">
            <v>40922</v>
          </cell>
          <cell r="AN1579">
            <v>0</v>
          </cell>
        </row>
        <row r="1580">
          <cell r="B1580">
            <v>544</v>
          </cell>
          <cell r="D1580" t="str">
            <v>소    계</v>
          </cell>
          <cell r="E1580">
            <v>0</v>
          </cell>
          <cell r="F1580">
            <v>0</v>
          </cell>
          <cell r="AM1580">
            <v>0</v>
          </cell>
          <cell r="AN1580">
            <v>0</v>
          </cell>
        </row>
        <row r="1581">
          <cell r="A1581" t="str">
            <v>56-5</v>
          </cell>
          <cell r="B1581">
            <v>519</v>
          </cell>
          <cell r="D1581" t="str">
            <v>통신케이블공</v>
          </cell>
          <cell r="E1581">
            <v>0</v>
          </cell>
          <cell r="F1581" t="str">
            <v>인</v>
          </cell>
          <cell r="V1581" t="str">
            <v>=</v>
          </cell>
          <cell r="W1581">
            <v>1.27</v>
          </cell>
          <cell r="AM1581">
            <v>95424</v>
          </cell>
          <cell r="AN1581">
            <v>0</v>
          </cell>
        </row>
        <row r="1582">
          <cell r="A1582" t="str">
            <v>56-6</v>
          </cell>
          <cell r="B1582">
            <v>523</v>
          </cell>
          <cell r="D1582" t="str">
            <v>보통인부</v>
          </cell>
          <cell r="E1582">
            <v>0</v>
          </cell>
          <cell r="F1582" t="str">
            <v>인</v>
          </cell>
          <cell r="V1582" t="str">
            <v>=</v>
          </cell>
          <cell r="W1582">
            <v>1.54</v>
          </cell>
          <cell r="AM1582">
            <v>40922</v>
          </cell>
          <cell r="AN1582">
            <v>0</v>
          </cell>
        </row>
        <row r="1583">
          <cell r="A1583" t="str">
            <v>56-7</v>
          </cell>
          <cell r="B1583">
            <v>543</v>
          </cell>
          <cell r="D1583" t="str">
            <v>다. 공구손료</v>
          </cell>
          <cell r="E1583" t="str">
            <v>노무비x3%</v>
          </cell>
          <cell r="F1583">
            <v>0</v>
          </cell>
          <cell r="AM1583">
            <v>0</v>
          </cell>
          <cell r="AN1583">
            <v>0</v>
          </cell>
        </row>
        <row r="1584">
          <cell r="A1584" t="str">
            <v>56-8</v>
          </cell>
          <cell r="B1584">
            <v>519</v>
          </cell>
          <cell r="D1584" t="str">
            <v>통신케이블공</v>
          </cell>
          <cell r="E1584">
            <v>0</v>
          </cell>
          <cell r="F1584" t="str">
            <v>인</v>
          </cell>
          <cell r="H1584">
            <v>1.27</v>
          </cell>
          <cell r="I1584" t="str">
            <v>x</v>
          </cell>
          <cell r="J1584">
            <v>0.03</v>
          </cell>
          <cell r="V1584" t="str">
            <v>=</v>
          </cell>
          <cell r="W1584">
            <v>0.04</v>
          </cell>
          <cell r="Y1584" t="str">
            <v>기본</v>
          </cell>
          <cell r="Z1584" t="str">
            <v>x</v>
          </cell>
          <cell r="AA1584" t="str">
            <v>공구손료</v>
          </cell>
          <cell r="AM1584">
            <v>95424</v>
          </cell>
          <cell r="AN1584">
            <v>0</v>
          </cell>
        </row>
        <row r="1585">
          <cell r="A1585" t="str">
            <v>56-9</v>
          </cell>
          <cell r="B1585">
            <v>523</v>
          </cell>
          <cell r="D1585" t="str">
            <v>보통인부</v>
          </cell>
          <cell r="E1585">
            <v>0</v>
          </cell>
          <cell r="F1585" t="str">
            <v>인</v>
          </cell>
          <cell r="H1585">
            <v>1.54</v>
          </cell>
          <cell r="I1585" t="str">
            <v>x</v>
          </cell>
          <cell r="J1585">
            <v>0.03</v>
          </cell>
          <cell r="V1585" t="str">
            <v>=</v>
          </cell>
          <cell r="W1585">
            <v>0.05</v>
          </cell>
          <cell r="Y1585" t="str">
            <v>기본</v>
          </cell>
          <cell r="Z1585" t="str">
            <v>x</v>
          </cell>
          <cell r="AA1585" t="str">
            <v>공구손료</v>
          </cell>
          <cell r="AM1585">
            <v>40922</v>
          </cell>
          <cell r="AN1585">
            <v>0</v>
          </cell>
        </row>
        <row r="1586">
          <cell r="AM1586">
            <v>0</v>
          </cell>
          <cell r="AN1586">
            <v>0</v>
          </cell>
        </row>
        <row r="1587">
          <cell r="AM1587">
            <v>0</v>
          </cell>
          <cell r="AN1587">
            <v>0</v>
          </cell>
        </row>
        <row r="1588">
          <cell r="AM1588">
            <v>0</v>
          </cell>
          <cell r="AN1588">
            <v>0</v>
          </cell>
        </row>
        <row r="1589">
          <cell r="AM1589">
            <v>0</v>
          </cell>
          <cell r="AN1589">
            <v>0</v>
          </cell>
        </row>
        <row r="1590">
          <cell r="AM1590">
            <v>0</v>
          </cell>
          <cell r="AN1590">
            <v>0</v>
          </cell>
        </row>
        <row r="1591">
          <cell r="AM1591">
            <v>0</v>
          </cell>
          <cell r="AN1591">
            <v>0</v>
          </cell>
        </row>
        <row r="1592">
          <cell r="AM1592">
            <v>0</v>
          </cell>
          <cell r="AN1592">
            <v>0</v>
          </cell>
        </row>
        <row r="1593">
          <cell r="AM1593">
            <v>0</v>
          </cell>
          <cell r="AN1593">
            <v>0</v>
          </cell>
        </row>
        <row r="1594">
          <cell r="AM1594">
            <v>0</v>
          </cell>
          <cell r="AN1594">
            <v>0</v>
          </cell>
        </row>
        <row r="1595">
          <cell r="AM1595">
            <v>0</v>
          </cell>
          <cell r="AN1595">
            <v>0</v>
          </cell>
        </row>
        <row r="1596">
          <cell r="A1596">
            <v>57</v>
          </cell>
          <cell r="C1596">
            <v>57</v>
          </cell>
          <cell r="D1596" t="str">
            <v>케이블접속(보통,2분기,지하)</v>
          </cell>
          <cell r="E1596" t="str">
            <v>FS J/F 0.65x15P(15%차폐,3m이상)</v>
          </cell>
          <cell r="F1596" t="str">
            <v>개소</v>
          </cell>
          <cell r="AM1596">
            <v>0</v>
          </cell>
          <cell r="AN1596">
            <v>0</v>
          </cell>
        </row>
        <row r="1597">
          <cell r="A1597" t="str">
            <v>57-1</v>
          </cell>
          <cell r="B1597">
            <v>541</v>
          </cell>
          <cell r="D1597" t="str">
            <v>가. 재료비</v>
          </cell>
          <cell r="E1597">
            <v>0</v>
          </cell>
          <cell r="F1597">
            <v>0</v>
          </cell>
          <cell r="AM1597">
            <v>0</v>
          </cell>
          <cell r="AN1597">
            <v>0</v>
          </cell>
        </row>
        <row r="1598">
          <cell r="A1598" t="str">
            <v>57-2</v>
          </cell>
          <cell r="B1598">
            <v>57</v>
          </cell>
          <cell r="D1598" t="str">
            <v>케이블접속제</v>
          </cell>
          <cell r="E1598" t="str">
            <v>75-300-2</v>
          </cell>
          <cell r="F1598" t="str">
            <v>KIT</v>
          </cell>
          <cell r="V1598" t="str">
            <v>=</v>
          </cell>
          <cell r="W1598">
            <v>1</v>
          </cell>
          <cell r="AM1598">
            <v>125000</v>
          </cell>
          <cell r="AN1598">
            <v>0</v>
          </cell>
        </row>
        <row r="1599">
          <cell r="A1599" t="str">
            <v>57-3</v>
          </cell>
          <cell r="B1599">
            <v>58</v>
          </cell>
          <cell r="D1599" t="str">
            <v>케이블심선접속자</v>
          </cell>
          <cell r="E1599" t="str">
            <v>0.4-0.9(ULG)</v>
          </cell>
          <cell r="F1599" t="str">
            <v>개</v>
          </cell>
          <cell r="H1599">
            <v>15</v>
          </cell>
          <cell r="I1599" t="str">
            <v>x</v>
          </cell>
          <cell r="J1599">
            <v>2</v>
          </cell>
          <cell r="K1599" t="str">
            <v>+</v>
          </cell>
          <cell r="M1599">
            <v>14</v>
          </cell>
          <cell r="N1599" t="str">
            <v>x</v>
          </cell>
          <cell r="O1599">
            <v>1.02</v>
          </cell>
          <cell r="V1599" t="str">
            <v>=</v>
          </cell>
          <cell r="W1599">
            <v>45</v>
          </cell>
          <cell r="AM1599">
            <v>170</v>
          </cell>
          <cell r="AN1599">
            <v>0</v>
          </cell>
        </row>
        <row r="1600">
          <cell r="A1600" t="str">
            <v>57-4</v>
          </cell>
          <cell r="B1600">
            <v>542</v>
          </cell>
          <cell r="D1600" t="str">
            <v>나. 노무비</v>
          </cell>
          <cell r="E1600">
            <v>0</v>
          </cell>
          <cell r="F1600">
            <v>0</v>
          </cell>
          <cell r="AM1600">
            <v>0</v>
          </cell>
          <cell r="AN1600">
            <v>0</v>
          </cell>
        </row>
        <row r="1601">
          <cell r="D1601" t="str">
            <v>1) 보통접속</v>
          </cell>
          <cell r="AM1601">
            <v>0</v>
          </cell>
          <cell r="AN1601">
            <v>0</v>
          </cell>
        </row>
        <row r="1602">
          <cell r="B1602">
            <v>519</v>
          </cell>
          <cell r="D1602" t="str">
            <v>통신케이블공</v>
          </cell>
          <cell r="E1602">
            <v>0</v>
          </cell>
          <cell r="F1602" t="str">
            <v>인</v>
          </cell>
          <cell r="H1602">
            <v>0.28999999999999998</v>
          </cell>
          <cell r="I1602" t="str">
            <v>x</v>
          </cell>
          <cell r="J1602">
            <v>1.2</v>
          </cell>
          <cell r="K1602" t="str">
            <v>x</v>
          </cell>
          <cell r="L1602" t="str">
            <v>(</v>
          </cell>
          <cell r="M1602">
            <v>1</v>
          </cell>
          <cell r="N1602" t="str">
            <v>+</v>
          </cell>
          <cell r="O1602">
            <v>0.02</v>
          </cell>
          <cell r="P1602" t="str">
            <v>+</v>
          </cell>
          <cell r="Q1602">
            <v>0.3</v>
          </cell>
          <cell r="R1602" t="str">
            <v>)</v>
          </cell>
          <cell r="S1602">
            <v>1.5</v>
          </cell>
          <cell r="T1602" t="str">
            <v>x</v>
          </cell>
          <cell r="U1602">
            <v>1.5</v>
          </cell>
          <cell r="V1602" t="str">
            <v>=</v>
          </cell>
          <cell r="W1602">
            <v>1.03</v>
          </cell>
          <cell r="Y1602" t="str">
            <v>기본</v>
          </cell>
          <cell r="Z1602" t="str">
            <v>x</v>
          </cell>
          <cell r="AA1602" t="str">
            <v>단위량</v>
          </cell>
          <cell r="AB1602" t="str">
            <v>x</v>
          </cell>
          <cell r="AC1602" t="str">
            <v>(</v>
          </cell>
          <cell r="AD1602">
            <v>1</v>
          </cell>
          <cell r="AE1602" t="str">
            <v>+</v>
          </cell>
          <cell r="AF1602" t="str">
            <v>2분기</v>
          </cell>
          <cell r="AG1602" t="str">
            <v>+</v>
          </cell>
          <cell r="AH1602" t="str">
            <v>지하</v>
          </cell>
          <cell r="AI1602" t="str">
            <v>)</v>
          </cell>
          <cell r="AL1602" t="str">
            <v>통 3-7(지하)</v>
          </cell>
          <cell r="AM1602">
            <v>95424</v>
          </cell>
          <cell r="AN1602">
            <v>0</v>
          </cell>
        </row>
        <row r="1603">
          <cell r="B1603">
            <v>523</v>
          </cell>
          <cell r="D1603" t="str">
            <v>보통인부</v>
          </cell>
          <cell r="E1603">
            <v>0</v>
          </cell>
          <cell r="F1603" t="str">
            <v>인</v>
          </cell>
          <cell r="H1603">
            <v>0.28999999999999998</v>
          </cell>
          <cell r="I1603" t="str">
            <v>x</v>
          </cell>
          <cell r="J1603">
            <v>1.2</v>
          </cell>
          <cell r="K1603" t="str">
            <v>x</v>
          </cell>
          <cell r="L1603" t="str">
            <v>(</v>
          </cell>
          <cell r="M1603">
            <v>1</v>
          </cell>
          <cell r="N1603" t="str">
            <v>+</v>
          </cell>
          <cell r="O1603">
            <v>0.02</v>
          </cell>
          <cell r="P1603" t="str">
            <v>+</v>
          </cell>
          <cell r="Q1603">
            <v>0.3</v>
          </cell>
          <cell r="R1603" t="str">
            <v>)</v>
          </cell>
          <cell r="S1603">
            <v>1.5</v>
          </cell>
          <cell r="T1603" t="str">
            <v>x</v>
          </cell>
          <cell r="U1603">
            <v>1.5</v>
          </cell>
          <cell r="V1603" t="str">
            <v>=</v>
          </cell>
          <cell r="W1603">
            <v>1.03</v>
          </cell>
          <cell r="Y1603" t="str">
            <v>기본</v>
          </cell>
          <cell r="Z1603" t="str">
            <v>x</v>
          </cell>
          <cell r="AA1603" t="str">
            <v>단위량</v>
          </cell>
          <cell r="AB1603" t="str">
            <v>x</v>
          </cell>
          <cell r="AC1603" t="str">
            <v>(</v>
          </cell>
          <cell r="AD1603">
            <v>1</v>
          </cell>
          <cell r="AE1603" t="str">
            <v>+</v>
          </cell>
          <cell r="AF1603" t="str">
            <v>2분기</v>
          </cell>
          <cell r="AG1603" t="str">
            <v>+</v>
          </cell>
          <cell r="AH1603" t="str">
            <v>지하</v>
          </cell>
          <cell r="AI1603" t="str">
            <v>)</v>
          </cell>
          <cell r="AM1603">
            <v>40922</v>
          </cell>
          <cell r="AN1603">
            <v>0</v>
          </cell>
        </row>
        <row r="1604">
          <cell r="D1604" t="str">
            <v>2) 외피접속</v>
          </cell>
          <cell r="AM1604">
            <v>0</v>
          </cell>
          <cell r="AN1604">
            <v>0</v>
          </cell>
        </row>
        <row r="1605">
          <cell r="B1605">
            <v>519</v>
          </cell>
          <cell r="D1605" t="str">
            <v>통신케이블공</v>
          </cell>
          <cell r="E1605">
            <v>0</v>
          </cell>
          <cell r="F1605" t="str">
            <v>인</v>
          </cell>
          <cell r="H1605">
            <v>0.33</v>
          </cell>
          <cell r="I1605" t="str">
            <v>x</v>
          </cell>
          <cell r="J1605">
            <v>1.5</v>
          </cell>
          <cell r="K1605" t="str">
            <v>x</v>
          </cell>
          <cell r="L1605" t="str">
            <v>(</v>
          </cell>
          <cell r="M1605">
            <v>1</v>
          </cell>
          <cell r="N1605" t="str">
            <v>+</v>
          </cell>
          <cell r="O1605">
            <v>0.3</v>
          </cell>
          <cell r="P1605" t="str">
            <v>+</v>
          </cell>
          <cell r="Q1605">
            <v>0.02</v>
          </cell>
          <cell r="R1605" t="str">
            <v>)</v>
          </cell>
          <cell r="V1605" t="str">
            <v>=</v>
          </cell>
          <cell r="W1605">
            <v>0.65</v>
          </cell>
          <cell r="Y1605" t="str">
            <v>기본</v>
          </cell>
          <cell r="Z1605" t="str">
            <v>x</v>
          </cell>
          <cell r="AA1605" t="str">
            <v>차폐</v>
          </cell>
          <cell r="AB1605" t="str">
            <v>x</v>
          </cell>
          <cell r="AC1605" t="str">
            <v>(</v>
          </cell>
          <cell r="AD1605">
            <v>1</v>
          </cell>
          <cell r="AE1605" t="str">
            <v>+</v>
          </cell>
          <cell r="AF1605" t="str">
            <v>2분기</v>
          </cell>
          <cell r="AG1605" t="str">
            <v>+</v>
          </cell>
          <cell r="AH1605" t="str">
            <v>지하</v>
          </cell>
          <cell r="AI1605" t="str">
            <v>)</v>
          </cell>
          <cell r="AL1605" t="str">
            <v>통 3-37-라(차폐,분기,지하)</v>
          </cell>
          <cell r="AM1605">
            <v>95424</v>
          </cell>
          <cell r="AN1605">
            <v>0</v>
          </cell>
        </row>
        <row r="1606">
          <cell r="B1606">
            <v>523</v>
          </cell>
          <cell r="D1606" t="str">
            <v>보통인부</v>
          </cell>
          <cell r="E1606">
            <v>0</v>
          </cell>
          <cell r="F1606" t="str">
            <v>인</v>
          </cell>
          <cell r="H1606">
            <v>0.31</v>
          </cell>
          <cell r="I1606" t="str">
            <v>x</v>
          </cell>
          <cell r="J1606">
            <v>1.5</v>
          </cell>
          <cell r="K1606" t="str">
            <v>x</v>
          </cell>
          <cell r="L1606" t="str">
            <v>(</v>
          </cell>
          <cell r="M1606">
            <v>1</v>
          </cell>
          <cell r="N1606" t="str">
            <v>+</v>
          </cell>
          <cell r="O1606">
            <v>0.3</v>
          </cell>
          <cell r="P1606" t="str">
            <v>+</v>
          </cell>
          <cell r="Q1606">
            <v>0.02</v>
          </cell>
          <cell r="R1606" t="str">
            <v>)</v>
          </cell>
          <cell r="V1606" t="str">
            <v>=</v>
          </cell>
          <cell r="W1606">
            <v>0.61</v>
          </cell>
          <cell r="Y1606" t="str">
            <v>기본</v>
          </cell>
          <cell r="Z1606" t="str">
            <v>x</v>
          </cell>
          <cell r="AA1606" t="str">
            <v>차폐</v>
          </cell>
          <cell r="AB1606" t="str">
            <v>x</v>
          </cell>
          <cell r="AC1606" t="str">
            <v>(</v>
          </cell>
          <cell r="AD1606">
            <v>1</v>
          </cell>
          <cell r="AE1606" t="str">
            <v>+</v>
          </cell>
          <cell r="AF1606" t="str">
            <v>2분기</v>
          </cell>
          <cell r="AG1606" t="str">
            <v>+</v>
          </cell>
          <cell r="AH1606" t="str">
            <v>지하</v>
          </cell>
          <cell r="AI1606" t="str">
            <v>)</v>
          </cell>
          <cell r="AM1606">
            <v>40922</v>
          </cell>
          <cell r="AN1606">
            <v>0</v>
          </cell>
        </row>
        <row r="1607">
          <cell r="B1607">
            <v>544</v>
          </cell>
          <cell r="D1607" t="str">
            <v>소    계</v>
          </cell>
          <cell r="E1607">
            <v>0</v>
          </cell>
          <cell r="F1607">
            <v>0</v>
          </cell>
          <cell r="AM1607">
            <v>0</v>
          </cell>
          <cell r="AN1607">
            <v>0</v>
          </cell>
        </row>
        <row r="1608">
          <cell r="A1608" t="str">
            <v>57-5</v>
          </cell>
          <cell r="B1608">
            <v>519</v>
          </cell>
          <cell r="D1608" t="str">
            <v>통신케이블공</v>
          </cell>
          <cell r="E1608">
            <v>0</v>
          </cell>
          <cell r="F1608" t="str">
            <v>인</v>
          </cell>
          <cell r="V1608" t="str">
            <v>=</v>
          </cell>
          <cell r="W1608">
            <v>1.6800000000000002</v>
          </cell>
          <cell r="AM1608">
            <v>95424</v>
          </cell>
          <cell r="AN1608">
            <v>0</v>
          </cell>
        </row>
        <row r="1609">
          <cell r="A1609" t="str">
            <v>57-6</v>
          </cell>
          <cell r="B1609">
            <v>523</v>
          </cell>
          <cell r="D1609" t="str">
            <v>보통인부</v>
          </cell>
          <cell r="E1609">
            <v>0</v>
          </cell>
          <cell r="F1609" t="str">
            <v>인</v>
          </cell>
          <cell r="V1609" t="str">
            <v>=</v>
          </cell>
          <cell r="W1609">
            <v>1.6400000000000001</v>
          </cell>
          <cell r="AM1609">
            <v>40922</v>
          </cell>
          <cell r="AN1609">
            <v>0</v>
          </cell>
        </row>
        <row r="1610">
          <cell r="A1610" t="str">
            <v>57-7</v>
          </cell>
          <cell r="B1610">
            <v>543</v>
          </cell>
          <cell r="D1610" t="str">
            <v>다. 공구손료</v>
          </cell>
          <cell r="E1610" t="str">
            <v>노무비x3%</v>
          </cell>
          <cell r="F1610">
            <v>0</v>
          </cell>
          <cell r="AM1610">
            <v>0</v>
          </cell>
          <cell r="AN1610">
            <v>0</v>
          </cell>
        </row>
        <row r="1611">
          <cell r="A1611" t="str">
            <v>57-8</v>
          </cell>
          <cell r="B1611">
            <v>519</v>
          </cell>
          <cell r="D1611" t="str">
            <v>통신케이블공</v>
          </cell>
          <cell r="E1611">
            <v>0</v>
          </cell>
          <cell r="F1611" t="str">
            <v>인</v>
          </cell>
          <cell r="H1611">
            <v>1.66</v>
          </cell>
          <cell r="I1611" t="str">
            <v>x</v>
          </cell>
          <cell r="J1611">
            <v>0.03</v>
          </cell>
          <cell r="V1611" t="str">
            <v>=</v>
          </cell>
          <cell r="W1611">
            <v>0.05</v>
          </cell>
          <cell r="Y1611" t="str">
            <v>기본</v>
          </cell>
          <cell r="Z1611" t="str">
            <v>x</v>
          </cell>
          <cell r="AA1611" t="str">
            <v>공구손료</v>
          </cell>
          <cell r="AM1611">
            <v>95424</v>
          </cell>
          <cell r="AN1611">
            <v>0</v>
          </cell>
        </row>
        <row r="1612">
          <cell r="A1612" t="str">
            <v>57-9</v>
          </cell>
          <cell r="B1612">
            <v>523</v>
          </cell>
          <cell r="D1612" t="str">
            <v>보통인부</v>
          </cell>
          <cell r="E1612">
            <v>0</v>
          </cell>
          <cell r="F1612" t="str">
            <v>인</v>
          </cell>
          <cell r="H1612">
            <v>1.62</v>
          </cell>
          <cell r="I1612" t="str">
            <v>x</v>
          </cell>
          <cell r="J1612">
            <v>0.03</v>
          </cell>
          <cell r="V1612" t="str">
            <v>=</v>
          </cell>
          <cell r="W1612">
            <v>0.05</v>
          </cell>
          <cell r="Y1612" t="str">
            <v>기본</v>
          </cell>
          <cell r="Z1612" t="str">
            <v>x</v>
          </cell>
          <cell r="AA1612" t="str">
            <v>공구손료</v>
          </cell>
          <cell r="AM1612">
            <v>40922</v>
          </cell>
          <cell r="AN1612">
            <v>0</v>
          </cell>
        </row>
        <row r="1613">
          <cell r="AM1613">
            <v>0</v>
          </cell>
          <cell r="AN1613">
            <v>0</v>
          </cell>
        </row>
        <row r="1614">
          <cell r="AM1614">
            <v>0</v>
          </cell>
          <cell r="AN1614">
            <v>0</v>
          </cell>
        </row>
        <row r="1615">
          <cell r="AM1615">
            <v>0</v>
          </cell>
          <cell r="AN1615">
            <v>0</v>
          </cell>
        </row>
        <row r="1616">
          <cell r="AM1616">
            <v>0</v>
          </cell>
          <cell r="AN1616">
            <v>0</v>
          </cell>
        </row>
        <row r="1617">
          <cell r="AM1617">
            <v>0</v>
          </cell>
          <cell r="AN1617">
            <v>0</v>
          </cell>
        </row>
        <row r="1618">
          <cell r="AM1618">
            <v>0</v>
          </cell>
          <cell r="AN1618">
            <v>0</v>
          </cell>
        </row>
        <row r="1619">
          <cell r="AM1619">
            <v>0</v>
          </cell>
          <cell r="AN1619">
            <v>0</v>
          </cell>
        </row>
        <row r="1620">
          <cell r="AM1620">
            <v>0</v>
          </cell>
          <cell r="AN1620">
            <v>0</v>
          </cell>
        </row>
        <row r="1621">
          <cell r="AM1621">
            <v>0</v>
          </cell>
          <cell r="AN1621">
            <v>0</v>
          </cell>
        </row>
        <row r="1622">
          <cell r="AM1622">
            <v>0</v>
          </cell>
          <cell r="AN1622">
            <v>0</v>
          </cell>
        </row>
        <row r="1623">
          <cell r="A1623">
            <v>58</v>
          </cell>
          <cell r="C1623">
            <v>58</v>
          </cell>
          <cell r="D1623" t="str">
            <v>케이블접속(보통,2분기,지상)</v>
          </cell>
          <cell r="E1623" t="str">
            <v>FS J/F 0.65x15P(15%차폐,3m이상)</v>
          </cell>
          <cell r="F1623" t="str">
            <v>개소</v>
          </cell>
          <cell r="AM1623">
            <v>0</v>
          </cell>
          <cell r="AN1623">
            <v>0</v>
          </cell>
        </row>
        <row r="1624">
          <cell r="A1624" t="str">
            <v>58-1</v>
          </cell>
          <cell r="B1624">
            <v>541</v>
          </cell>
          <cell r="D1624" t="str">
            <v>가. 재료비</v>
          </cell>
          <cell r="E1624">
            <v>0</v>
          </cell>
          <cell r="F1624">
            <v>0</v>
          </cell>
          <cell r="AM1624">
            <v>0</v>
          </cell>
          <cell r="AN1624">
            <v>0</v>
          </cell>
        </row>
        <row r="1625">
          <cell r="A1625" t="str">
            <v>58-2</v>
          </cell>
          <cell r="B1625">
            <v>57</v>
          </cell>
          <cell r="D1625" t="str">
            <v>케이블접속제</v>
          </cell>
          <cell r="E1625" t="str">
            <v>75-300-2</v>
          </cell>
          <cell r="F1625" t="str">
            <v>KIT</v>
          </cell>
          <cell r="V1625" t="str">
            <v>=</v>
          </cell>
          <cell r="W1625">
            <v>1</v>
          </cell>
          <cell r="AM1625">
            <v>125000</v>
          </cell>
          <cell r="AN1625">
            <v>0</v>
          </cell>
        </row>
        <row r="1626">
          <cell r="A1626" t="str">
            <v>58-3</v>
          </cell>
          <cell r="B1626">
            <v>58</v>
          </cell>
          <cell r="D1626" t="str">
            <v>케이블심선접속자</v>
          </cell>
          <cell r="E1626" t="str">
            <v>0.4-0.9(ULG)</v>
          </cell>
          <cell r="F1626" t="str">
            <v>개</v>
          </cell>
          <cell r="H1626">
            <v>15</v>
          </cell>
          <cell r="I1626" t="str">
            <v>x</v>
          </cell>
          <cell r="J1626">
            <v>2</v>
          </cell>
          <cell r="K1626" t="str">
            <v>+</v>
          </cell>
          <cell r="M1626">
            <v>14</v>
          </cell>
          <cell r="N1626" t="str">
            <v>x</v>
          </cell>
          <cell r="O1626">
            <v>1.02</v>
          </cell>
          <cell r="V1626" t="str">
            <v>=</v>
          </cell>
          <cell r="W1626">
            <v>45</v>
          </cell>
          <cell r="AM1626">
            <v>170</v>
          </cell>
          <cell r="AN1626">
            <v>0</v>
          </cell>
        </row>
        <row r="1627">
          <cell r="A1627" t="str">
            <v>58-4</v>
          </cell>
          <cell r="B1627">
            <v>542</v>
          </cell>
          <cell r="D1627" t="str">
            <v>나. 노무비</v>
          </cell>
          <cell r="E1627">
            <v>0</v>
          </cell>
          <cell r="F1627">
            <v>0</v>
          </cell>
          <cell r="AM1627">
            <v>0</v>
          </cell>
          <cell r="AN1627">
            <v>0</v>
          </cell>
        </row>
        <row r="1628">
          <cell r="D1628" t="str">
            <v>1) 보통접속</v>
          </cell>
          <cell r="AM1628">
            <v>0</v>
          </cell>
          <cell r="AN1628">
            <v>0</v>
          </cell>
        </row>
        <row r="1629">
          <cell r="B1629">
            <v>519</v>
          </cell>
          <cell r="D1629" t="str">
            <v>통신케이블공</v>
          </cell>
          <cell r="E1629">
            <v>0</v>
          </cell>
          <cell r="F1629" t="str">
            <v>인</v>
          </cell>
          <cell r="H1629">
            <v>0.77</v>
          </cell>
          <cell r="I1629" t="str">
            <v>x</v>
          </cell>
          <cell r="J1629">
            <v>1</v>
          </cell>
          <cell r="K1629" t="str">
            <v>x</v>
          </cell>
          <cell r="L1629" t="str">
            <v>(</v>
          </cell>
          <cell r="M1629">
            <v>1</v>
          </cell>
          <cell r="N1629" t="str">
            <v>+</v>
          </cell>
          <cell r="O1629">
            <v>0.3</v>
          </cell>
          <cell r="P1629" t="str">
            <v>)</v>
          </cell>
          <cell r="V1629" t="str">
            <v>=</v>
          </cell>
          <cell r="W1629">
            <v>1.02</v>
          </cell>
          <cell r="Y1629" t="str">
            <v>기본</v>
          </cell>
          <cell r="Z1629" t="str">
            <v>x</v>
          </cell>
          <cell r="AA1629" t="str">
            <v>단위량</v>
          </cell>
          <cell r="AB1629" t="str">
            <v>x</v>
          </cell>
          <cell r="AC1629" t="str">
            <v>(</v>
          </cell>
          <cell r="AD1629">
            <v>1</v>
          </cell>
          <cell r="AE1629" t="str">
            <v>+</v>
          </cell>
          <cell r="AF1629" t="str">
            <v>2분기</v>
          </cell>
          <cell r="AG1629" t="str">
            <v>)</v>
          </cell>
          <cell r="AL1629" t="str">
            <v>통 3-7</v>
          </cell>
          <cell r="AM1629">
            <v>95424</v>
          </cell>
          <cell r="AN1629">
            <v>0</v>
          </cell>
        </row>
        <row r="1630">
          <cell r="B1630">
            <v>523</v>
          </cell>
          <cell r="D1630" t="str">
            <v>보통인부</v>
          </cell>
          <cell r="E1630">
            <v>0</v>
          </cell>
          <cell r="F1630" t="str">
            <v>인</v>
          </cell>
          <cell r="H1630">
            <v>1.07</v>
          </cell>
          <cell r="I1630" t="str">
            <v>x</v>
          </cell>
          <cell r="J1630">
            <v>1</v>
          </cell>
          <cell r="K1630" t="str">
            <v>x</v>
          </cell>
          <cell r="L1630" t="str">
            <v>(</v>
          </cell>
          <cell r="M1630">
            <v>1</v>
          </cell>
          <cell r="N1630" t="str">
            <v>+</v>
          </cell>
          <cell r="O1630">
            <v>0.3</v>
          </cell>
          <cell r="P1630" t="str">
            <v>)</v>
          </cell>
          <cell r="V1630" t="str">
            <v>=</v>
          </cell>
          <cell r="W1630">
            <v>1.02</v>
          </cell>
          <cell r="Y1630" t="str">
            <v>기본</v>
          </cell>
          <cell r="Z1630" t="str">
            <v>x</v>
          </cell>
          <cell r="AA1630" t="str">
            <v>단위량</v>
          </cell>
          <cell r="AB1630" t="str">
            <v>x</v>
          </cell>
          <cell r="AC1630" t="str">
            <v>(</v>
          </cell>
          <cell r="AD1630">
            <v>1</v>
          </cell>
          <cell r="AE1630" t="str">
            <v>+</v>
          </cell>
          <cell r="AF1630" t="str">
            <v>2분기</v>
          </cell>
          <cell r="AG1630" t="str">
            <v>)</v>
          </cell>
          <cell r="AM1630">
            <v>40922</v>
          </cell>
          <cell r="AN1630">
            <v>0</v>
          </cell>
        </row>
        <row r="1631">
          <cell r="D1631" t="str">
            <v>2) 외피접속</v>
          </cell>
          <cell r="AM1631">
            <v>0</v>
          </cell>
          <cell r="AN1631">
            <v>0</v>
          </cell>
        </row>
        <row r="1632">
          <cell r="B1632">
            <v>519</v>
          </cell>
          <cell r="D1632" t="str">
            <v>통신케이블공</v>
          </cell>
          <cell r="E1632">
            <v>0</v>
          </cell>
          <cell r="F1632" t="str">
            <v>인</v>
          </cell>
          <cell r="H1632">
            <v>0.33</v>
          </cell>
          <cell r="I1632" t="str">
            <v>x</v>
          </cell>
          <cell r="J1632">
            <v>1.5</v>
          </cell>
          <cell r="K1632" t="str">
            <v>x</v>
          </cell>
          <cell r="L1632" t="str">
            <v>(</v>
          </cell>
          <cell r="M1632">
            <v>1</v>
          </cell>
          <cell r="N1632" t="str">
            <v>+</v>
          </cell>
          <cell r="O1632">
            <v>0.3</v>
          </cell>
          <cell r="P1632" t="str">
            <v>)</v>
          </cell>
          <cell r="V1632" t="str">
            <v>=</v>
          </cell>
          <cell r="W1632">
            <v>0.64</v>
          </cell>
          <cell r="Y1632" t="str">
            <v>기본</v>
          </cell>
          <cell r="Z1632" t="str">
            <v>x</v>
          </cell>
          <cell r="AA1632" t="str">
            <v>차폐</v>
          </cell>
          <cell r="AB1632" t="str">
            <v>x</v>
          </cell>
          <cell r="AC1632" t="str">
            <v>(</v>
          </cell>
          <cell r="AD1632">
            <v>1</v>
          </cell>
          <cell r="AE1632" t="str">
            <v>+</v>
          </cell>
          <cell r="AF1632" t="str">
            <v>2분기</v>
          </cell>
          <cell r="AG1632" t="str">
            <v>)</v>
          </cell>
          <cell r="AL1632" t="str">
            <v>통 3-37-라(차폐,분기)</v>
          </cell>
          <cell r="AM1632">
            <v>95424</v>
          </cell>
          <cell r="AN1632">
            <v>0</v>
          </cell>
        </row>
        <row r="1633">
          <cell r="B1633">
            <v>523</v>
          </cell>
          <cell r="D1633" t="str">
            <v>보통인부</v>
          </cell>
          <cell r="E1633">
            <v>0</v>
          </cell>
          <cell r="F1633" t="str">
            <v>인</v>
          </cell>
          <cell r="H1633">
            <v>0.31</v>
          </cell>
          <cell r="I1633" t="str">
            <v>x</v>
          </cell>
          <cell r="J1633">
            <v>1.5</v>
          </cell>
          <cell r="K1633" t="str">
            <v>x</v>
          </cell>
          <cell r="L1633" t="str">
            <v>(</v>
          </cell>
          <cell r="M1633">
            <v>1</v>
          </cell>
          <cell r="N1633" t="str">
            <v>+</v>
          </cell>
          <cell r="O1633">
            <v>0.3</v>
          </cell>
          <cell r="P1633" t="str">
            <v>)</v>
          </cell>
          <cell r="V1633" t="str">
            <v>=</v>
          </cell>
          <cell r="W1633">
            <v>0.6</v>
          </cell>
          <cell r="Y1633" t="str">
            <v>기본</v>
          </cell>
          <cell r="Z1633" t="str">
            <v>x</v>
          </cell>
          <cell r="AA1633" t="str">
            <v>차폐</v>
          </cell>
          <cell r="AB1633" t="str">
            <v>x</v>
          </cell>
          <cell r="AC1633" t="str">
            <v>(</v>
          </cell>
          <cell r="AD1633">
            <v>1</v>
          </cell>
          <cell r="AE1633" t="str">
            <v>+</v>
          </cell>
          <cell r="AF1633" t="str">
            <v>2분기</v>
          </cell>
          <cell r="AG1633" t="str">
            <v>)</v>
          </cell>
          <cell r="AM1633">
            <v>40922</v>
          </cell>
          <cell r="AN1633">
            <v>0</v>
          </cell>
        </row>
        <row r="1634">
          <cell r="B1634">
            <v>544</v>
          </cell>
          <cell r="D1634" t="str">
            <v>소    계</v>
          </cell>
          <cell r="E1634">
            <v>0</v>
          </cell>
          <cell r="F1634">
            <v>0</v>
          </cell>
          <cell r="AM1634">
            <v>0</v>
          </cell>
          <cell r="AN1634">
            <v>0</v>
          </cell>
        </row>
        <row r="1635">
          <cell r="A1635" t="str">
            <v>58-5</v>
          </cell>
          <cell r="B1635">
            <v>519</v>
          </cell>
          <cell r="D1635" t="str">
            <v>통신케이블공</v>
          </cell>
          <cell r="E1635">
            <v>0</v>
          </cell>
          <cell r="F1635" t="str">
            <v>인</v>
          </cell>
          <cell r="V1635" t="str">
            <v>=</v>
          </cell>
          <cell r="W1635">
            <v>1.6600000000000001</v>
          </cell>
          <cell r="AM1635">
            <v>95424</v>
          </cell>
          <cell r="AN1635">
            <v>0</v>
          </cell>
        </row>
        <row r="1636">
          <cell r="A1636" t="str">
            <v>58-6</v>
          </cell>
          <cell r="B1636">
            <v>523</v>
          </cell>
          <cell r="D1636" t="str">
            <v>보통인부</v>
          </cell>
          <cell r="E1636">
            <v>0</v>
          </cell>
          <cell r="F1636" t="str">
            <v>인</v>
          </cell>
          <cell r="V1636" t="str">
            <v>=</v>
          </cell>
          <cell r="W1636">
            <v>1.62</v>
          </cell>
          <cell r="AM1636">
            <v>40922</v>
          </cell>
          <cell r="AN1636">
            <v>0</v>
          </cell>
        </row>
        <row r="1637">
          <cell r="A1637" t="str">
            <v>58-7</v>
          </cell>
          <cell r="B1637">
            <v>543</v>
          </cell>
          <cell r="D1637" t="str">
            <v>다. 공구손료</v>
          </cell>
          <cell r="E1637" t="str">
            <v>노무비x3%</v>
          </cell>
          <cell r="F1637">
            <v>0</v>
          </cell>
          <cell r="AM1637">
            <v>0</v>
          </cell>
          <cell r="AN1637">
            <v>0</v>
          </cell>
        </row>
        <row r="1638">
          <cell r="A1638" t="str">
            <v>58-8</v>
          </cell>
          <cell r="B1638">
            <v>519</v>
          </cell>
          <cell r="D1638" t="str">
            <v>통신케이블공</v>
          </cell>
          <cell r="E1638">
            <v>0</v>
          </cell>
          <cell r="F1638" t="str">
            <v>인</v>
          </cell>
          <cell r="H1638">
            <v>1.66</v>
          </cell>
          <cell r="I1638" t="str">
            <v>x</v>
          </cell>
          <cell r="J1638">
            <v>0.03</v>
          </cell>
          <cell r="V1638" t="str">
            <v>=</v>
          </cell>
          <cell r="W1638">
            <v>0.05</v>
          </cell>
          <cell r="Y1638" t="str">
            <v>기본</v>
          </cell>
          <cell r="Z1638" t="str">
            <v>x</v>
          </cell>
          <cell r="AA1638" t="str">
            <v>공구손료</v>
          </cell>
          <cell r="AM1638">
            <v>95424</v>
          </cell>
          <cell r="AN1638">
            <v>0</v>
          </cell>
        </row>
        <row r="1639">
          <cell r="A1639" t="str">
            <v>58-9</v>
          </cell>
          <cell r="B1639">
            <v>523</v>
          </cell>
          <cell r="D1639" t="str">
            <v>보통인부</v>
          </cell>
          <cell r="E1639">
            <v>0</v>
          </cell>
          <cell r="F1639" t="str">
            <v>인</v>
          </cell>
          <cell r="H1639">
            <v>1.62</v>
          </cell>
          <cell r="I1639" t="str">
            <v>x</v>
          </cell>
          <cell r="J1639">
            <v>0.03</v>
          </cell>
          <cell r="V1639" t="str">
            <v>=</v>
          </cell>
          <cell r="W1639">
            <v>0.05</v>
          </cell>
          <cell r="Y1639" t="str">
            <v>기본</v>
          </cell>
          <cell r="Z1639" t="str">
            <v>x</v>
          </cell>
          <cell r="AA1639" t="str">
            <v>공구손료</v>
          </cell>
          <cell r="AM1639">
            <v>40922</v>
          </cell>
          <cell r="AN1639">
            <v>0</v>
          </cell>
        </row>
        <row r="1640">
          <cell r="AM1640">
            <v>0</v>
          </cell>
          <cell r="AN1640">
            <v>0</v>
          </cell>
        </row>
        <row r="1641">
          <cell r="AM1641">
            <v>0</v>
          </cell>
          <cell r="AN1641">
            <v>0</v>
          </cell>
        </row>
        <row r="1642">
          <cell r="AM1642">
            <v>0</v>
          </cell>
          <cell r="AN1642">
            <v>0</v>
          </cell>
        </row>
        <row r="1643">
          <cell r="AM1643">
            <v>0</v>
          </cell>
          <cell r="AN1643">
            <v>0</v>
          </cell>
        </row>
        <row r="1644">
          <cell r="AM1644">
            <v>0</v>
          </cell>
          <cell r="AN1644">
            <v>0</v>
          </cell>
        </row>
        <row r="1645">
          <cell r="AM1645">
            <v>0</v>
          </cell>
          <cell r="AN1645">
            <v>0</v>
          </cell>
        </row>
        <row r="1646">
          <cell r="AM1646">
            <v>0</v>
          </cell>
          <cell r="AN1646">
            <v>0</v>
          </cell>
        </row>
        <row r="1647">
          <cell r="AM1647">
            <v>0</v>
          </cell>
          <cell r="AN1647">
            <v>0</v>
          </cell>
        </row>
        <row r="1648">
          <cell r="AM1648">
            <v>0</v>
          </cell>
          <cell r="AN1648">
            <v>0</v>
          </cell>
        </row>
        <row r="1649">
          <cell r="AM1649">
            <v>0</v>
          </cell>
          <cell r="AN1649">
            <v>0</v>
          </cell>
        </row>
        <row r="1650">
          <cell r="A1650">
            <v>59</v>
          </cell>
          <cell r="C1650">
            <v>59</v>
          </cell>
          <cell r="D1650" t="str">
            <v>케이블최종시험(지하)</v>
          </cell>
          <cell r="E1650" t="str">
            <v>FS/JF 0.65x15P(15% 차폐)</v>
          </cell>
          <cell r="F1650" t="str">
            <v>회</v>
          </cell>
          <cell r="AM1650">
            <v>0</v>
          </cell>
          <cell r="AN1650">
            <v>0</v>
          </cell>
        </row>
        <row r="1651">
          <cell r="A1651" t="str">
            <v>59-1</v>
          </cell>
          <cell r="B1651">
            <v>541</v>
          </cell>
          <cell r="D1651" t="str">
            <v>가. 재료비</v>
          </cell>
          <cell r="E1651">
            <v>0</v>
          </cell>
          <cell r="F1651">
            <v>0</v>
          </cell>
          <cell r="AM1651">
            <v>0</v>
          </cell>
          <cell r="AN1651">
            <v>0</v>
          </cell>
        </row>
        <row r="1652">
          <cell r="A1652" t="str">
            <v>59-2</v>
          </cell>
          <cell r="B1652">
            <v>59</v>
          </cell>
          <cell r="D1652" t="str">
            <v>건전지</v>
          </cell>
          <cell r="E1652" t="str">
            <v>4DM</v>
          </cell>
          <cell r="F1652" t="str">
            <v>개</v>
          </cell>
          <cell r="V1652" t="str">
            <v>=</v>
          </cell>
          <cell r="W1652">
            <v>0.1</v>
          </cell>
          <cell r="AM1652">
            <v>2900</v>
          </cell>
          <cell r="AN1652">
            <v>0</v>
          </cell>
        </row>
        <row r="1653">
          <cell r="A1653" t="str">
            <v>59-3</v>
          </cell>
          <cell r="B1653">
            <v>542</v>
          </cell>
          <cell r="D1653" t="str">
            <v>나. 노무비</v>
          </cell>
          <cell r="E1653">
            <v>0</v>
          </cell>
          <cell r="F1653">
            <v>0</v>
          </cell>
          <cell r="AM1653">
            <v>0</v>
          </cell>
          <cell r="AN1653">
            <v>0</v>
          </cell>
        </row>
        <row r="1654">
          <cell r="B1654">
            <v>555</v>
          </cell>
          <cell r="D1654" t="str">
            <v>통신관련산업기사</v>
          </cell>
          <cell r="E1654">
            <v>0</v>
          </cell>
          <cell r="F1654" t="str">
            <v>인</v>
          </cell>
          <cell r="H1654">
            <v>10.65</v>
          </cell>
          <cell r="I1654" t="str">
            <v>x</v>
          </cell>
          <cell r="J1654">
            <v>1</v>
          </cell>
          <cell r="K1654" t="str">
            <v>x</v>
          </cell>
          <cell r="L1654" t="str">
            <v>(</v>
          </cell>
          <cell r="M1654">
            <v>1</v>
          </cell>
          <cell r="N1654" t="str">
            <v>+</v>
          </cell>
          <cell r="O1654">
            <v>0.02</v>
          </cell>
          <cell r="P1654" t="str">
            <v>)</v>
          </cell>
          <cell r="V1654" t="str">
            <v>=</v>
          </cell>
          <cell r="W1654">
            <v>10.86</v>
          </cell>
          <cell r="Y1654" t="str">
            <v>기본</v>
          </cell>
          <cell r="Z1654" t="str">
            <v>x</v>
          </cell>
          <cell r="AA1654" t="str">
            <v>단위량</v>
          </cell>
          <cell r="AB1654" t="str">
            <v>x</v>
          </cell>
          <cell r="AC1654" t="str">
            <v>(</v>
          </cell>
          <cell r="AD1654">
            <v>1</v>
          </cell>
          <cell r="AE1654" t="str">
            <v>+</v>
          </cell>
          <cell r="AF1654" t="str">
            <v>지하</v>
          </cell>
          <cell r="AG1654" t="str">
            <v>)</v>
          </cell>
          <cell r="AL1654" t="str">
            <v>통 3-28-가(지하)</v>
          </cell>
          <cell r="AM1654">
            <v>91949</v>
          </cell>
          <cell r="AN1654">
            <v>0</v>
          </cell>
        </row>
        <row r="1655">
          <cell r="B1655">
            <v>519</v>
          </cell>
          <cell r="D1655" t="str">
            <v>통신케이블공</v>
          </cell>
          <cell r="E1655">
            <v>0</v>
          </cell>
          <cell r="F1655" t="str">
            <v>인</v>
          </cell>
          <cell r="H1655">
            <v>10.65</v>
          </cell>
          <cell r="I1655" t="str">
            <v>x</v>
          </cell>
          <cell r="J1655">
            <v>1</v>
          </cell>
          <cell r="K1655" t="str">
            <v>x</v>
          </cell>
          <cell r="L1655" t="str">
            <v>(</v>
          </cell>
          <cell r="M1655">
            <v>1</v>
          </cell>
          <cell r="N1655" t="str">
            <v>+</v>
          </cell>
          <cell r="O1655">
            <v>0.02</v>
          </cell>
          <cell r="P1655" t="str">
            <v>)</v>
          </cell>
          <cell r="V1655" t="str">
            <v>=</v>
          </cell>
          <cell r="W1655">
            <v>10.86</v>
          </cell>
          <cell r="Y1655" t="str">
            <v>기본</v>
          </cell>
          <cell r="Z1655" t="str">
            <v>x</v>
          </cell>
          <cell r="AA1655" t="str">
            <v>단위량</v>
          </cell>
          <cell r="AB1655" t="str">
            <v>x</v>
          </cell>
          <cell r="AC1655" t="str">
            <v>(</v>
          </cell>
          <cell r="AD1655">
            <v>1</v>
          </cell>
          <cell r="AE1655" t="str">
            <v>+</v>
          </cell>
          <cell r="AF1655" t="str">
            <v>지하</v>
          </cell>
          <cell r="AG1655" t="str">
            <v>)</v>
          </cell>
          <cell r="AM1655">
            <v>95424</v>
          </cell>
          <cell r="AN1655">
            <v>0</v>
          </cell>
        </row>
        <row r="1656">
          <cell r="B1656">
            <v>544</v>
          </cell>
          <cell r="D1656" t="str">
            <v>소    계</v>
          </cell>
          <cell r="E1656">
            <v>0</v>
          </cell>
          <cell r="F1656">
            <v>0</v>
          </cell>
          <cell r="AM1656">
            <v>0</v>
          </cell>
          <cell r="AN1656">
            <v>0</v>
          </cell>
        </row>
        <row r="1657">
          <cell r="A1657" t="str">
            <v>59-4</v>
          </cell>
          <cell r="B1657">
            <v>555</v>
          </cell>
          <cell r="D1657" t="str">
            <v>통신관련산업기사</v>
          </cell>
          <cell r="E1657">
            <v>0</v>
          </cell>
          <cell r="F1657" t="str">
            <v>인</v>
          </cell>
          <cell r="V1657" t="str">
            <v>=</v>
          </cell>
          <cell r="W1657">
            <v>10.86</v>
          </cell>
          <cell r="AM1657">
            <v>91949</v>
          </cell>
          <cell r="AN1657">
            <v>0</v>
          </cell>
        </row>
        <row r="1658">
          <cell r="A1658" t="str">
            <v>59-5</v>
          </cell>
          <cell r="B1658">
            <v>519</v>
          </cell>
          <cell r="D1658" t="str">
            <v>통신케이블공</v>
          </cell>
          <cell r="E1658">
            <v>0</v>
          </cell>
          <cell r="F1658" t="str">
            <v>인</v>
          </cell>
          <cell r="V1658" t="str">
            <v>=</v>
          </cell>
          <cell r="W1658">
            <v>10.86</v>
          </cell>
          <cell r="AM1658">
            <v>95424</v>
          </cell>
          <cell r="AN1658">
            <v>0</v>
          </cell>
        </row>
        <row r="1659">
          <cell r="A1659" t="str">
            <v>59-6</v>
          </cell>
          <cell r="B1659">
            <v>543</v>
          </cell>
          <cell r="D1659" t="str">
            <v>다. 공구손료</v>
          </cell>
          <cell r="E1659" t="str">
            <v>노무비x3%</v>
          </cell>
          <cell r="F1659">
            <v>0</v>
          </cell>
          <cell r="AM1659">
            <v>0</v>
          </cell>
          <cell r="AN1659">
            <v>0</v>
          </cell>
        </row>
        <row r="1660">
          <cell r="A1660" t="str">
            <v>59-7</v>
          </cell>
          <cell r="B1660">
            <v>555</v>
          </cell>
          <cell r="D1660" t="str">
            <v>통신관련산업기사</v>
          </cell>
          <cell r="E1660">
            <v>0</v>
          </cell>
          <cell r="F1660" t="str">
            <v>인</v>
          </cell>
          <cell r="H1660">
            <v>10.65</v>
          </cell>
          <cell r="I1660" t="str">
            <v>x</v>
          </cell>
          <cell r="J1660">
            <v>0.03</v>
          </cell>
          <cell r="V1660" t="str">
            <v>=</v>
          </cell>
          <cell r="W1660">
            <v>0.32</v>
          </cell>
          <cell r="Y1660" t="str">
            <v>기본</v>
          </cell>
          <cell r="Z1660" t="str">
            <v>x</v>
          </cell>
          <cell r="AA1660" t="str">
            <v>공구손료</v>
          </cell>
          <cell r="AM1660">
            <v>91949</v>
          </cell>
          <cell r="AN1660">
            <v>0</v>
          </cell>
        </row>
        <row r="1661">
          <cell r="A1661" t="str">
            <v>59-8</v>
          </cell>
          <cell r="B1661">
            <v>519</v>
          </cell>
          <cell r="D1661" t="str">
            <v>통신케이블공</v>
          </cell>
          <cell r="E1661">
            <v>0</v>
          </cell>
          <cell r="F1661" t="str">
            <v>인</v>
          </cell>
          <cell r="H1661">
            <v>10.65</v>
          </cell>
          <cell r="I1661" t="str">
            <v>x</v>
          </cell>
          <cell r="J1661">
            <v>0.03</v>
          </cell>
          <cell r="V1661" t="str">
            <v>=</v>
          </cell>
          <cell r="W1661">
            <v>0.32</v>
          </cell>
          <cell r="Y1661" t="str">
            <v>기본</v>
          </cell>
          <cell r="Z1661" t="str">
            <v>x</v>
          </cell>
          <cell r="AA1661" t="str">
            <v>공구손료</v>
          </cell>
          <cell r="AM1661">
            <v>95424</v>
          </cell>
          <cell r="AN1661">
            <v>0</v>
          </cell>
        </row>
        <row r="1662">
          <cell r="AM1662">
            <v>0</v>
          </cell>
          <cell r="AN1662">
            <v>0</v>
          </cell>
        </row>
        <row r="1663">
          <cell r="AM1663">
            <v>0</v>
          </cell>
          <cell r="AN1663">
            <v>0</v>
          </cell>
        </row>
        <row r="1664">
          <cell r="AM1664">
            <v>0</v>
          </cell>
          <cell r="AN1664">
            <v>0</v>
          </cell>
        </row>
        <row r="1665">
          <cell r="AM1665">
            <v>0</v>
          </cell>
          <cell r="AN1665">
            <v>0</v>
          </cell>
        </row>
        <row r="1666">
          <cell r="AM1666">
            <v>0</v>
          </cell>
          <cell r="AN1666">
            <v>0</v>
          </cell>
        </row>
        <row r="1667">
          <cell r="AM1667">
            <v>0</v>
          </cell>
          <cell r="AN1667">
            <v>0</v>
          </cell>
        </row>
        <row r="1668">
          <cell r="AM1668">
            <v>0</v>
          </cell>
          <cell r="AN1668">
            <v>0</v>
          </cell>
        </row>
        <row r="1669">
          <cell r="AM1669">
            <v>0</v>
          </cell>
          <cell r="AN1669">
            <v>0</v>
          </cell>
        </row>
        <row r="1670">
          <cell r="AM1670">
            <v>0</v>
          </cell>
          <cell r="AN1670">
            <v>0</v>
          </cell>
        </row>
        <row r="1671">
          <cell r="AM1671">
            <v>0</v>
          </cell>
        </row>
        <row r="1672">
          <cell r="AM1672">
            <v>0</v>
          </cell>
        </row>
        <row r="1673">
          <cell r="AM1673">
            <v>0</v>
          </cell>
        </row>
        <row r="1674">
          <cell r="AM1674">
            <v>0</v>
          </cell>
          <cell r="AN1674">
            <v>0</v>
          </cell>
        </row>
        <row r="1675">
          <cell r="AM1675">
            <v>0</v>
          </cell>
          <cell r="AN1675">
            <v>0</v>
          </cell>
        </row>
        <row r="1676">
          <cell r="AM1676">
            <v>0</v>
          </cell>
          <cell r="AN1676">
            <v>0</v>
          </cell>
        </row>
        <row r="1677">
          <cell r="A1677">
            <v>60</v>
          </cell>
          <cell r="C1677">
            <v>60</v>
          </cell>
          <cell r="D1677" t="str">
            <v>케이블최종시험(지상)</v>
          </cell>
          <cell r="E1677" t="str">
            <v>FS/JF 0.65x15P(15% 차폐)</v>
          </cell>
          <cell r="F1677" t="str">
            <v>회</v>
          </cell>
          <cell r="AM1677">
            <v>0</v>
          </cell>
          <cell r="AN1677">
            <v>0</v>
          </cell>
        </row>
        <row r="1678">
          <cell r="A1678" t="str">
            <v>60-1</v>
          </cell>
          <cell r="B1678">
            <v>541</v>
          </cell>
          <cell r="D1678" t="str">
            <v>가. 재료비</v>
          </cell>
          <cell r="E1678">
            <v>0</v>
          </cell>
          <cell r="F1678">
            <v>0</v>
          </cell>
          <cell r="AM1678">
            <v>0</v>
          </cell>
          <cell r="AN1678">
            <v>0</v>
          </cell>
        </row>
        <row r="1679">
          <cell r="A1679" t="str">
            <v>60-2</v>
          </cell>
          <cell r="B1679">
            <v>59</v>
          </cell>
          <cell r="D1679" t="str">
            <v>건전지</v>
          </cell>
          <cell r="E1679" t="str">
            <v>4DM</v>
          </cell>
          <cell r="F1679" t="str">
            <v>개</v>
          </cell>
          <cell r="V1679" t="str">
            <v>=</v>
          </cell>
          <cell r="W1679">
            <v>0.1</v>
          </cell>
          <cell r="AM1679">
            <v>2900</v>
          </cell>
          <cell r="AN1679">
            <v>0</v>
          </cell>
        </row>
        <row r="1680">
          <cell r="A1680" t="str">
            <v>60-3</v>
          </cell>
          <cell r="B1680">
            <v>542</v>
          </cell>
          <cell r="D1680" t="str">
            <v>나. 노무비</v>
          </cell>
          <cell r="E1680">
            <v>0</v>
          </cell>
          <cell r="F1680">
            <v>0</v>
          </cell>
          <cell r="AM1680">
            <v>0</v>
          </cell>
          <cell r="AN1680">
            <v>0</v>
          </cell>
        </row>
        <row r="1681">
          <cell r="B1681">
            <v>555</v>
          </cell>
          <cell r="D1681" t="str">
            <v>통신관련산업기사</v>
          </cell>
          <cell r="E1681">
            <v>0</v>
          </cell>
          <cell r="F1681" t="str">
            <v>인</v>
          </cell>
          <cell r="H1681">
            <v>10.65</v>
          </cell>
          <cell r="I1681" t="str">
            <v>x</v>
          </cell>
          <cell r="J1681">
            <v>1</v>
          </cell>
          <cell r="V1681" t="str">
            <v>=</v>
          </cell>
          <cell r="W1681">
            <v>10.65</v>
          </cell>
          <cell r="Y1681" t="str">
            <v>기본</v>
          </cell>
          <cell r="Z1681" t="str">
            <v>x</v>
          </cell>
          <cell r="AA1681" t="str">
            <v>단위량</v>
          </cell>
          <cell r="AL1681" t="str">
            <v>통 3-28-가(시외국간중계케이블)</v>
          </cell>
          <cell r="AM1681">
            <v>91949</v>
          </cell>
          <cell r="AN1681">
            <v>0</v>
          </cell>
        </row>
        <row r="1682">
          <cell r="B1682">
            <v>519</v>
          </cell>
          <cell r="D1682" t="str">
            <v>통신케이블공</v>
          </cell>
          <cell r="E1682">
            <v>0</v>
          </cell>
          <cell r="F1682" t="str">
            <v>인</v>
          </cell>
          <cell r="H1682">
            <v>10.65</v>
          </cell>
          <cell r="I1682" t="str">
            <v>x</v>
          </cell>
          <cell r="J1682">
            <v>1</v>
          </cell>
          <cell r="V1682" t="str">
            <v>=</v>
          </cell>
          <cell r="W1682">
            <v>10.65</v>
          </cell>
          <cell r="Y1682" t="str">
            <v>기본</v>
          </cell>
          <cell r="Z1682" t="str">
            <v>x</v>
          </cell>
          <cell r="AA1682" t="str">
            <v>단위량</v>
          </cell>
          <cell r="AM1682">
            <v>95424</v>
          </cell>
          <cell r="AN1682">
            <v>0</v>
          </cell>
        </row>
        <row r="1683">
          <cell r="B1683">
            <v>544</v>
          </cell>
          <cell r="D1683" t="str">
            <v>소    계</v>
          </cell>
          <cell r="E1683">
            <v>0</v>
          </cell>
          <cell r="F1683">
            <v>0</v>
          </cell>
          <cell r="AM1683">
            <v>0</v>
          </cell>
          <cell r="AN1683">
            <v>0</v>
          </cell>
        </row>
        <row r="1684">
          <cell r="A1684" t="str">
            <v>60-4</v>
          </cell>
          <cell r="B1684">
            <v>555</v>
          </cell>
          <cell r="D1684" t="str">
            <v>통신관련산업기사</v>
          </cell>
          <cell r="E1684">
            <v>0</v>
          </cell>
          <cell r="F1684" t="str">
            <v>인</v>
          </cell>
          <cell r="V1684" t="str">
            <v>=</v>
          </cell>
          <cell r="W1684">
            <v>10.65</v>
          </cell>
          <cell r="AM1684">
            <v>91949</v>
          </cell>
          <cell r="AN1684">
            <v>0</v>
          </cell>
        </row>
        <row r="1685">
          <cell r="A1685" t="str">
            <v>60-5</v>
          </cell>
          <cell r="B1685">
            <v>519</v>
          </cell>
          <cell r="D1685" t="str">
            <v>통신케이블공</v>
          </cell>
          <cell r="E1685">
            <v>0</v>
          </cell>
          <cell r="F1685" t="str">
            <v>인</v>
          </cell>
          <cell r="V1685" t="str">
            <v>=</v>
          </cell>
          <cell r="W1685">
            <v>10.65</v>
          </cell>
          <cell r="AM1685">
            <v>95424</v>
          </cell>
          <cell r="AN1685">
            <v>0</v>
          </cell>
        </row>
        <row r="1686">
          <cell r="A1686" t="str">
            <v>60-6</v>
          </cell>
          <cell r="B1686">
            <v>543</v>
          </cell>
          <cell r="D1686" t="str">
            <v>다. 공구손료</v>
          </cell>
          <cell r="E1686" t="str">
            <v>노무비x3%</v>
          </cell>
          <cell r="F1686">
            <v>0</v>
          </cell>
          <cell r="AM1686">
            <v>0</v>
          </cell>
          <cell r="AN1686">
            <v>0</v>
          </cell>
        </row>
        <row r="1687">
          <cell r="A1687" t="str">
            <v>60-7</v>
          </cell>
          <cell r="B1687">
            <v>555</v>
          </cell>
          <cell r="D1687" t="str">
            <v>통신관련산업기사</v>
          </cell>
          <cell r="E1687">
            <v>0</v>
          </cell>
          <cell r="F1687" t="str">
            <v>인</v>
          </cell>
          <cell r="H1687">
            <v>10.65</v>
          </cell>
          <cell r="I1687" t="str">
            <v>x</v>
          </cell>
          <cell r="J1687">
            <v>0.03</v>
          </cell>
          <cell r="V1687" t="str">
            <v>=</v>
          </cell>
          <cell r="W1687">
            <v>0.32</v>
          </cell>
          <cell r="Y1687" t="str">
            <v>기본</v>
          </cell>
          <cell r="Z1687" t="str">
            <v>x</v>
          </cell>
          <cell r="AA1687" t="str">
            <v>공구손료</v>
          </cell>
          <cell r="AM1687">
            <v>91949</v>
          </cell>
          <cell r="AN1687">
            <v>0</v>
          </cell>
        </row>
        <row r="1688">
          <cell r="A1688" t="str">
            <v>60-8</v>
          </cell>
          <cell r="B1688">
            <v>519</v>
          </cell>
          <cell r="D1688" t="str">
            <v>통신케이블공</v>
          </cell>
          <cell r="E1688">
            <v>0</v>
          </cell>
          <cell r="F1688" t="str">
            <v>인</v>
          </cell>
          <cell r="H1688">
            <v>10.65</v>
          </cell>
          <cell r="I1688" t="str">
            <v>x</v>
          </cell>
          <cell r="J1688">
            <v>0.03</v>
          </cell>
          <cell r="V1688" t="str">
            <v>=</v>
          </cell>
          <cell r="W1688">
            <v>0.32</v>
          </cell>
          <cell r="Y1688" t="str">
            <v>기본</v>
          </cell>
          <cell r="Z1688" t="str">
            <v>x</v>
          </cell>
          <cell r="AA1688" t="str">
            <v>공구손료</v>
          </cell>
          <cell r="AM1688">
            <v>95424</v>
          </cell>
          <cell r="AN1688">
            <v>0</v>
          </cell>
        </row>
        <row r="1689">
          <cell r="AM1689">
            <v>0</v>
          </cell>
          <cell r="AN1689">
            <v>0</v>
          </cell>
        </row>
        <row r="1690">
          <cell r="AM1690">
            <v>0</v>
          </cell>
          <cell r="AN1690">
            <v>0</v>
          </cell>
        </row>
        <row r="1691">
          <cell r="AM1691">
            <v>0</v>
          </cell>
          <cell r="AN1691">
            <v>0</v>
          </cell>
        </row>
        <row r="1692">
          <cell r="AM1692">
            <v>0</v>
          </cell>
          <cell r="AN1692">
            <v>0</v>
          </cell>
        </row>
        <row r="1693">
          <cell r="AM1693">
            <v>0</v>
          </cell>
          <cell r="AN1693">
            <v>0</v>
          </cell>
        </row>
        <row r="1694">
          <cell r="AM1694">
            <v>0</v>
          </cell>
          <cell r="AN1694">
            <v>0</v>
          </cell>
        </row>
        <row r="1695">
          <cell r="AM1695">
            <v>0</v>
          </cell>
          <cell r="AN1695">
            <v>0</v>
          </cell>
        </row>
        <row r="1696">
          <cell r="AM1696">
            <v>0</v>
          </cell>
          <cell r="AN1696">
            <v>0</v>
          </cell>
        </row>
        <row r="1697">
          <cell r="AM1697">
            <v>0</v>
          </cell>
          <cell r="AN1697">
            <v>0</v>
          </cell>
        </row>
        <row r="1698">
          <cell r="AM1698">
            <v>0</v>
          </cell>
        </row>
        <row r="1699">
          <cell r="AM1699">
            <v>0</v>
          </cell>
        </row>
        <row r="1700">
          <cell r="AM1700">
            <v>0</v>
          </cell>
        </row>
        <row r="1701">
          <cell r="AM1701">
            <v>0</v>
          </cell>
          <cell r="AN1701">
            <v>0</v>
          </cell>
        </row>
        <row r="1702">
          <cell r="AM1702">
            <v>0</v>
          </cell>
          <cell r="AN1702">
            <v>0</v>
          </cell>
        </row>
        <row r="1703">
          <cell r="AM1703">
            <v>0</v>
          </cell>
          <cell r="AN1703">
            <v>0</v>
          </cell>
        </row>
        <row r="1704">
          <cell r="A1704">
            <v>61</v>
          </cell>
          <cell r="C1704">
            <v>61</v>
          </cell>
          <cell r="D1704" t="str">
            <v>스파이랄슬리브설치</v>
          </cell>
          <cell r="E1704" t="str">
            <v>케이블보호용</v>
          </cell>
          <cell r="F1704" t="str">
            <v>5m</v>
          </cell>
          <cell r="AM1704">
            <v>0</v>
          </cell>
          <cell r="AN1704">
            <v>0</v>
          </cell>
        </row>
        <row r="1705">
          <cell r="A1705" t="str">
            <v>61-1</v>
          </cell>
          <cell r="B1705">
            <v>541</v>
          </cell>
          <cell r="D1705" t="str">
            <v>가. 재료비</v>
          </cell>
          <cell r="E1705">
            <v>0</v>
          </cell>
          <cell r="F1705">
            <v>0</v>
          </cell>
          <cell r="AM1705">
            <v>0</v>
          </cell>
          <cell r="AN1705">
            <v>0</v>
          </cell>
        </row>
        <row r="1706">
          <cell r="A1706" t="str">
            <v>61-2</v>
          </cell>
          <cell r="B1706">
            <v>31</v>
          </cell>
          <cell r="D1706" t="str">
            <v>스파이랄슬리브</v>
          </cell>
          <cell r="E1706" t="str">
            <v>케이블보호용</v>
          </cell>
          <cell r="F1706" t="str">
            <v>m</v>
          </cell>
          <cell r="H1706">
            <v>5</v>
          </cell>
          <cell r="I1706" t="str">
            <v>x</v>
          </cell>
          <cell r="J1706">
            <v>1.03</v>
          </cell>
          <cell r="V1706" t="str">
            <v>=</v>
          </cell>
          <cell r="W1706">
            <v>5.15</v>
          </cell>
          <cell r="Y1706" t="str">
            <v>기본</v>
          </cell>
          <cell r="Z1706" t="str">
            <v>x</v>
          </cell>
          <cell r="AA1706" t="str">
            <v>할증</v>
          </cell>
          <cell r="AM1706">
            <v>6500</v>
          </cell>
          <cell r="AN1706">
            <v>0</v>
          </cell>
        </row>
        <row r="1707">
          <cell r="A1707" t="str">
            <v>61-3</v>
          </cell>
          <cell r="B1707">
            <v>542</v>
          </cell>
          <cell r="D1707" t="str">
            <v>나. 노무비</v>
          </cell>
          <cell r="E1707">
            <v>0</v>
          </cell>
          <cell r="F1707">
            <v>0</v>
          </cell>
          <cell r="AM1707">
            <v>0</v>
          </cell>
          <cell r="AN1707">
            <v>0</v>
          </cell>
        </row>
        <row r="1708">
          <cell r="B1708">
            <v>523</v>
          </cell>
          <cell r="D1708" t="str">
            <v>보통인부</v>
          </cell>
          <cell r="E1708">
            <v>0</v>
          </cell>
          <cell r="F1708" t="str">
            <v>인</v>
          </cell>
          <cell r="H1708">
            <v>7.0000000000000007E-2</v>
          </cell>
          <cell r="I1708" t="str">
            <v>+(</v>
          </cell>
          <cell r="J1708">
            <v>7.0000000000000007E-2</v>
          </cell>
          <cell r="K1708" t="str">
            <v>x</v>
          </cell>
          <cell r="M1708">
            <v>4</v>
          </cell>
          <cell r="N1708" t="str">
            <v>x</v>
          </cell>
          <cell r="O1708">
            <v>0.35</v>
          </cell>
          <cell r="P1708" t="str">
            <v>)</v>
          </cell>
          <cell r="V1708" t="str">
            <v>=</v>
          </cell>
          <cell r="W1708">
            <v>0.17</v>
          </cell>
          <cell r="Y1708" t="str">
            <v>기본</v>
          </cell>
          <cell r="Z1708" t="str">
            <v>x</v>
          </cell>
          <cell r="AA1708" t="str">
            <v>단위량</v>
          </cell>
          <cell r="AL1708" t="str">
            <v>통 3-15</v>
          </cell>
          <cell r="AM1708">
            <v>40922</v>
          </cell>
          <cell r="AN1708">
            <v>0</v>
          </cell>
        </row>
        <row r="1709">
          <cell r="B1709">
            <v>544</v>
          </cell>
          <cell r="D1709" t="str">
            <v>소    계</v>
          </cell>
          <cell r="E1709">
            <v>0</v>
          </cell>
          <cell r="F1709">
            <v>0</v>
          </cell>
          <cell r="AM1709">
            <v>0</v>
          </cell>
          <cell r="AN1709">
            <v>0</v>
          </cell>
        </row>
        <row r="1710">
          <cell r="A1710" t="str">
            <v>61-4</v>
          </cell>
          <cell r="B1710">
            <v>523</v>
          </cell>
          <cell r="D1710" t="str">
            <v>보통인부</v>
          </cell>
          <cell r="E1710">
            <v>0</v>
          </cell>
          <cell r="F1710" t="str">
            <v>인</v>
          </cell>
          <cell r="V1710" t="str">
            <v>=</v>
          </cell>
          <cell r="W1710">
            <v>0.17</v>
          </cell>
          <cell r="AM1710">
            <v>40922</v>
          </cell>
          <cell r="AN1710">
            <v>0</v>
          </cell>
        </row>
        <row r="1711">
          <cell r="A1711" t="str">
            <v>61-5</v>
          </cell>
          <cell r="B1711">
            <v>543</v>
          </cell>
          <cell r="D1711" t="str">
            <v>다. 공구손료</v>
          </cell>
          <cell r="E1711" t="str">
            <v>노무비x3%</v>
          </cell>
          <cell r="F1711">
            <v>0</v>
          </cell>
          <cell r="AM1711">
            <v>0</v>
          </cell>
          <cell r="AN1711">
            <v>0</v>
          </cell>
        </row>
        <row r="1712">
          <cell r="A1712" t="str">
            <v>61-6</v>
          </cell>
          <cell r="B1712">
            <v>523</v>
          </cell>
          <cell r="D1712" t="str">
            <v>보통인부</v>
          </cell>
          <cell r="E1712">
            <v>0</v>
          </cell>
          <cell r="F1712" t="str">
            <v>인</v>
          </cell>
          <cell r="H1712">
            <v>0.17</v>
          </cell>
          <cell r="I1712" t="str">
            <v>x</v>
          </cell>
          <cell r="J1712">
            <v>0.03</v>
          </cell>
          <cell r="V1712" t="str">
            <v>=</v>
          </cell>
          <cell r="W1712">
            <v>0.01</v>
          </cell>
          <cell r="Y1712" t="str">
            <v>기본</v>
          </cell>
          <cell r="Z1712" t="str">
            <v>x</v>
          </cell>
          <cell r="AA1712" t="str">
            <v>공구손료</v>
          </cell>
          <cell r="AM1712">
            <v>40922</v>
          </cell>
          <cell r="AN1712">
            <v>0</v>
          </cell>
        </row>
        <row r="1713">
          <cell r="AM1713">
            <v>0</v>
          </cell>
        </row>
        <row r="1714">
          <cell r="AM1714">
            <v>0</v>
          </cell>
          <cell r="AN1714">
            <v>0</v>
          </cell>
        </row>
        <row r="1715">
          <cell r="AM1715">
            <v>0</v>
          </cell>
          <cell r="AN1715">
            <v>0</v>
          </cell>
        </row>
        <row r="1716">
          <cell r="AM1716">
            <v>0</v>
          </cell>
          <cell r="AN1716">
            <v>0</v>
          </cell>
        </row>
        <row r="1717">
          <cell r="AM1717">
            <v>0</v>
          </cell>
          <cell r="AN1717">
            <v>0</v>
          </cell>
        </row>
        <row r="1718">
          <cell r="AM1718">
            <v>0</v>
          </cell>
          <cell r="AN1718">
            <v>0</v>
          </cell>
        </row>
        <row r="1719">
          <cell r="AM1719">
            <v>0</v>
          </cell>
          <cell r="AN1719">
            <v>0</v>
          </cell>
        </row>
        <row r="1720">
          <cell r="AM1720">
            <v>0</v>
          </cell>
          <cell r="AN1720">
            <v>0</v>
          </cell>
        </row>
        <row r="1721">
          <cell r="AM1721">
            <v>0</v>
          </cell>
          <cell r="AN1721">
            <v>0</v>
          </cell>
        </row>
        <row r="1722">
          <cell r="AM1722">
            <v>0</v>
          </cell>
          <cell r="AN1722">
            <v>0</v>
          </cell>
        </row>
        <row r="1723">
          <cell r="AM1723">
            <v>0</v>
          </cell>
        </row>
        <row r="1724">
          <cell r="AM1724">
            <v>0</v>
          </cell>
        </row>
        <row r="1725">
          <cell r="AM1725">
            <v>0</v>
          </cell>
        </row>
        <row r="1726">
          <cell r="AM1726">
            <v>0</v>
          </cell>
        </row>
        <row r="1727">
          <cell r="AM1727">
            <v>0</v>
          </cell>
          <cell r="AN1727">
            <v>0</v>
          </cell>
        </row>
        <row r="1728">
          <cell r="AM1728">
            <v>0</v>
          </cell>
          <cell r="AN1728">
            <v>0</v>
          </cell>
        </row>
        <row r="1729">
          <cell r="AM1729">
            <v>0</v>
          </cell>
          <cell r="AN1729">
            <v>0</v>
          </cell>
        </row>
        <row r="1730">
          <cell r="AM1730">
            <v>0</v>
          </cell>
          <cell r="AN1730">
            <v>0</v>
          </cell>
        </row>
        <row r="1731">
          <cell r="A1731">
            <v>62</v>
          </cell>
          <cell r="C1731">
            <v>62</v>
          </cell>
          <cell r="D1731" t="str">
            <v>표주설치(접속)</v>
          </cell>
          <cell r="E1731" t="str">
            <v>100x100x500㎜</v>
          </cell>
          <cell r="F1731" t="str">
            <v>본</v>
          </cell>
          <cell r="AM1731">
            <v>0</v>
          </cell>
          <cell r="AN1731">
            <v>0</v>
          </cell>
        </row>
        <row r="1732">
          <cell r="A1732" t="str">
            <v>62-1</v>
          </cell>
          <cell r="B1732">
            <v>541</v>
          </cell>
          <cell r="D1732" t="str">
            <v>가. 재료비</v>
          </cell>
          <cell r="E1732">
            <v>0</v>
          </cell>
          <cell r="F1732">
            <v>0</v>
          </cell>
          <cell r="AM1732">
            <v>0</v>
          </cell>
          <cell r="AN1732">
            <v>0</v>
          </cell>
        </row>
        <row r="1733">
          <cell r="A1733" t="str">
            <v>62-2</v>
          </cell>
          <cell r="B1733">
            <v>23</v>
          </cell>
          <cell r="D1733" t="str">
            <v>표주(콘크리트제)</v>
          </cell>
          <cell r="E1733" t="str">
            <v>100x100x500mm</v>
          </cell>
          <cell r="F1733" t="str">
            <v>본</v>
          </cell>
          <cell r="V1733" t="str">
            <v>=</v>
          </cell>
          <cell r="W1733">
            <v>1</v>
          </cell>
          <cell r="Y1733" t="str">
            <v>기본</v>
          </cell>
          <cell r="AM1733">
            <v>6000</v>
          </cell>
          <cell r="AN1733">
            <v>0</v>
          </cell>
        </row>
        <row r="1734">
          <cell r="A1734" t="str">
            <v>62-3</v>
          </cell>
          <cell r="B1734">
            <v>542</v>
          </cell>
          <cell r="D1734" t="str">
            <v>나. 노무비</v>
          </cell>
          <cell r="E1734">
            <v>0</v>
          </cell>
          <cell r="F1734">
            <v>0</v>
          </cell>
          <cell r="AM1734">
            <v>0</v>
          </cell>
          <cell r="AN1734">
            <v>0</v>
          </cell>
        </row>
        <row r="1735">
          <cell r="B1735">
            <v>523</v>
          </cell>
          <cell r="D1735" t="str">
            <v>보통인부</v>
          </cell>
          <cell r="E1735">
            <v>0</v>
          </cell>
          <cell r="F1735" t="str">
            <v>인</v>
          </cell>
          <cell r="H1735">
            <v>0.15</v>
          </cell>
          <cell r="I1735" t="str">
            <v>x</v>
          </cell>
          <cell r="J1735">
            <v>1</v>
          </cell>
          <cell r="V1735" t="str">
            <v>=</v>
          </cell>
          <cell r="W1735">
            <v>0.15</v>
          </cell>
          <cell r="Y1735" t="str">
            <v>기본</v>
          </cell>
          <cell r="Z1735" t="str">
            <v>x</v>
          </cell>
          <cell r="AA1735" t="str">
            <v>단위량</v>
          </cell>
          <cell r="AL1735" t="str">
            <v>통 3-33</v>
          </cell>
          <cell r="AM1735">
            <v>40922</v>
          </cell>
          <cell r="AN1735">
            <v>0</v>
          </cell>
        </row>
        <row r="1736">
          <cell r="B1736">
            <v>544</v>
          </cell>
          <cell r="D1736" t="str">
            <v>소    계</v>
          </cell>
          <cell r="E1736">
            <v>0</v>
          </cell>
          <cell r="F1736">
            <v>0</v>
          </cell>
          <cell r="AM1736">
            <v>0</v>
          </cell>
          <cell r="AN1736">
            <v>0</v>
          </cell>
        </row>
        <row r="1737">
          <cell r="A1737" t="str">
            <v>62-4</v>
          </cell>
          <cell r="B1737">
            <v>523</v>
          </cell>
          <cell r="D1737" t="str">
            <v>보통인부</v>
          </cell>
          <cell r="E1737">
            <v>0</v>
          </cell>
          <cell r="F1737" t="str">
            <v>인</v>
          </cell>
          <cell r="V1737" t="str">
            <v>=</v>
          </cell>
          <cell r="W1737">
            <v>0.15</v>
          </cell>
          <cell r="AM1737">
            <v>40922</v>
          </cell>
          <cell r="AN1737">
            <v>0</v>
          </cell>
        </row>
        <row r="1738">
          <cell r="A1738" t="str">
            <v>62-5</v>
          </cell>
          <cell r="B1738">
            <v>543</v>
          </cell>
          <cell r="D1738" t="str">
            <v>다. 공구손료</v>
          </cell>
          <cell r="E1738" t="str">
            <v>노무비x3%</v>
          </cell>
          <cell r="F1738">
            <v>0</v>
          </cell>
          <cell r="AM1738">
            <v>0</v>
          </cell>
          <cell r="AN1738">
            <v>0</v>
          </cell>
        </row>
        <row r="1739">
          <cell r="A1739" t="str">
            <v>62-6</v>
          </cell>
          <cell r="B1739">
            <v>523</v>
          </cell>
          <cell r="D1739" t="str">
            <v>보통인부</v>
          </cell>
          <cell r="E1739">
            <v>0</v>
          </cell>
          <cell r="F1739" t="str">
            <v>인</v>
          </cell>
          <cell r="H1739">
            <v>0.15</v>
          </cell>
          <cell r="I1739" t="str">
            <v>x</v>
          </cell>
          <cell r="J1739">
            <v>0.03</v>
          </cell>
          <cell r="V1739" t="str">
            <v>=</v>
          </cell>
          <cell r="W1739" t="str">
            <v>0</v>
          </cell>
          <cell r="Y1739" t="str">
            <v>기본</v>
          </cell>
          <cell r="Z1739" t="str">
            <v>x</v>
          </cell>
          <cell r="AA1739" t="str">
            <v>공구손료</v>
          </cell>
          <cell r="AM1739">
            <v>40922</v>
          </cell>
          <cell r="AN1739">
            <v>0</v>
          </cell>
        </row>
        <row r="1740">
          <cell r="AM1740">
            <v>0</v>
          </cell>
          <cell r="AN1740">
            <v>0</v>
          </cell>
        </row>
        <row r="1741">
          <cell r="AM1741">
            <v>0</v>
          </cell>
          <cell r="AN1741">
            <v>0</v>
          </cell>
        </row>
        <row r="1742">
          <cell r="AM1742">
            <v>0</v>
          </cell>
          <cell r="AN1742">
            <v>0</v>
          </cell>
        </row>
        <row r="1743">
          <cell r="AM1743">
            <v>0</v>
          </cell>
          <cell r="AN1743">
            <v>0</v>
          </cell>
        </row>
        <row r="1744">
          <cell r="AM1744">
            <v>0</v>
          </cell>
          <cell r="AN1744">
            <v>0</v>
          </cell>
        </row>
        <row r="1745">
          <cell r="AM1745">
            <v>0</v>
          </cell>
          <cell r="AN1745">
            <v>0</v>
          </cell>
        </row>
        <row r="1746">
          <cell r="AM1746">
            <v>0</v>
          </cell>
          <cell r="AN1746">
            <v>0</v>
          </cell>
        </row>
        <row r="1747">
          <cell r="AM1747">
            <v>0</v>
          </cell>
          <cell r="AN1747">
            <v>0</v>
          </cell>
        </row>
        <row r="1748">
          <cell r="AM1748">
            <v>0</v>
          </cell>
          <cell r="AN1748">
            <v>0</v>
          </cell>
        </row>
        <row r="1749">
          <cell r="AM1749">
            <v>0</v>
          </cell>
          <cell r="AN1749">
            <v>0</v>
          </cell>
        </row>
        <row r="1750">
          <cell r="AM1750">
            <v>0</v>
          </cell>
          <cell r="AN1750">
            <v>0</v>
          </cell>
        </row>
        <row r="1751">
          <cell r="AM1751">
            <v>0</v>
          </cell>
          <cell r="AN1751">
            <v>0</v>
          </cell>
        </row>
        <row r="1752">
          <cell r="AM1752">
            <v>0</v>
          </cell>
          <cell r="AN1752">
            <v>0</v>
          </cell>
        </row>
        <row r="1753">
          <cell r="AM1753">
            <v>0</v>
          </cell>
        </row>
        <row r="1754">
          <cell r="AM1754">
            <v>0</v>
          </cell>
          <cell r="AN1754">
            <v>0</v>
          </cell>
        </row>
        <row r="1755">
          <cell r="AM1755">
            <v>0</v>
          </cell>
          <cell r="AN1755">
            <v>0</v>
          </cell>
        </row>
        <row r="1756">
          <cell r="AM1756">
            <v>0</v>
          </cell>
          <cell r="AN1756">
            <v>0</v>
          </cell>
        </row>
        <row r="1757">
          <cell r="AM1757">
            <v>0</v>
          </cell>
          <cell r="AN1757">
            <v>0</v>
          </cell>
        </row>
        <row r="1758">
          <cell r="A1758">
            <v>63</v>
          </cell>
          <cell r="C1758">
            <v>63</v>
          </cell>
          <cell r="D1758" t="str">
            <v>표주설치(방향)</v>
          </cell>
          <cell r="E1758" t="str">
            <v>100x100x500㎜</v>
          </cell>
          <cell r="F1758" t="str">
            <v>본</v>
          </cell>
          <cell r="AM1758">
            <v>0</v>
          </cell>
          <cell r="AN1758">
            <v>0</v>
          </cell>
        </row>
        <row r="1759">
          <cell r="A1759" t="str">
            <v>63-1</v>
          </cell>
          <cell r="B1759">
            <v>541</v>
          </cell>
          <cell r="D1759" t="str">
            <v>가. 재료비</v>
          </cell>
          <cell r="E1759">
            <v>0</v>
          </cell>
          <cell r="F1759">
            <v>0</v>
          </cell>
          <cell r="AM1759">
            <v>0</v>
          </cell>
          <cell r="AN1759">
            <v>0</v>
          </cell>
        </row>
        <row r="1760">
          <cell r="A1760" t="str">
            <v>63-2</v>
          </cell>
          <cell r="B1760">
            <v>23</v>
          </cell>
          <cell r="D1760" t="str">
            <v>표주(콘크리트제)</v>
          </cell>
          <cell r="E1760" t="str">
            <v>100x100x500mm</v>
          </cell>
          <cell r="F1760" t="str">
            <v>본</v>
          </cell>
          <cell r="V1760" t="str">
            <v>=</v>
          </cell>
          <cell r="W1760">
            <v>1</v>
          </cell>
          <cell r="Y1760" t="str">
            <v>기본</v>
          </cell>
          <cell r="AM1760">
            <v>6000</v>
          </cell>
          <cell r="AN1760">
            <v>0</v>
          </cell>
        </row>
        <row r="1761">
          <cell r="A1761" t="str">
            <v>63-3</v>
          </cell>
          <cell r="B1761">
            <v>542</v>
          </cell>
          <cell r="D1761" t="str">
            <v>나. 노무비</v>
          </cell>
          <cell r="E1761">
            <v>0</v>
          </cell>
          <cell r="F1761">
            <v>0</v>
          </cell>
          <cell r="AM1761">
            <v>0</v>
          </cell>
          <cell r="AN1761">
            <v>0</v>
          </cell>
        </row>
        <row r="1762">
          <cell r="B1762">
            <v>523</v>
          </cell>
          <cell r="D1762" t="str">
            <v>보통인부</v>
          </cell>
          <cell r="E1762">
            <v>0</v>
          </cell>
          <cell r="F1762" t="str">
            <v>인</v>
          </cell>
          <cell r="H1762">
            <v>0.15</v>
          </cell>
          <cell r="I1762" t="str">
            <v>x</v>
          </cell>
          <cell r="J1762">
            <v>1</v>
          </cell>
          <cell r="V1762" t="str">
            <v>=</v>
          </cell>
          <cell r="W1762">
            <v>0.15</v>
          </cell>
          <cell r="Y1762" t="str">
            <v>기본</v>
          </cell>
          <cell r="Z1762" t="str">
            <v>x</v>
          </cell>
          <cell r="AA1762" t="str">
            <v>단위량</v>
          </cell>
          <cell r="AL1762" t="str">
            <v>통 3-33</v>
          </cell>
          <cell r="AM1762">
            <v>40922</v>
          </cell>
          <cell r="AN1762">
            <v>0</v>
          </cell>
        </row>
        <row r="1763">
          <cell r="B1763">
            <v>544</v>
          </cell>
          <cell r="D1763" t="str">
            <v>소    계</v>
          </cell>
          <cell r="E1763">
            <v>0</v>
          </cell>
          <cell r="F1763">
            <v>0</v>
          </cell>
          <cell r="AM1763">
            <v>0</v>
          </cell>
          <cell r="AN1763">
            <v>0</v>
          </cell>
        </row>
        <row r="1764">
          <cell r="A1764" t="str">
            <v>63-4</v>
          </cell>
          <cell r="B1764">
            <v>523</v>
          </cell>
          <cell r="D1764" t="str">
            <v>보통인부</v>
          </cell>
          <cell r="E1764">
            <v>0</v>
          </cell>
          <cell r="F1764" t="str">
            <v>인</v>
          </cell>
          <cell r="V1764" t="str">
            <v>=</v>
          </cell>
          <cell r="W1764">
            <v>0.15</v>
          </cell>
          <cell r="AM1764">
            <v>40922</v>
          </cell>
          <cell r="AN1764">
            <v>0</v>
          </cell>
        </row>
        <row r="1765">
          <cell r="A1765" t="str">
            <v>63-5</v>
          </cell>
          <cell r="B1765">
            <v>543</v>
          </cell>
          <cell r="D1765" t="str">
            <v>다. 공구손료</v>
          </cell>
          <cell r="E1765" t="str">
            <v>노무비x3%</v>
          </cell>
          <cell r="F1765">
            <v>0</v>
          </cell>
          <cell r="AM1765">
            <v>0</v>
          </cell>
          <cell r="AN1765">
            <v>0</v>
          </cell>
        </row>
        <row r="1766">
          <cell r="A1766" t="str">
            <v>63-6</v>
          </cell>
          <cell r="B1766">
            <v>523</v>
          </cell>
          <cell r="D1766" t="str">
            <v>보통인부</v>
          </cell>
          <cell r="E1766">
            <v>0</v>
          </cell>
          <cell r="F1766" t="str">
            <v>인</v>
          </cell>
          <cell r="H1766">
            <v>0.15</v>
          </cell>
          <cell r="I1766" t="str">
            <v>x</v>
          </cell>
          <cell r="J1766">
            <v>0.03</v>
          </cell>
          <cell r="V1766" t="str">
            <v>=</v>
          </cell>
          <cell r="W1766" t="str">
            <v>0</v>
          </cell>
          <cell r="Y1766" t="str">
            <v>기본</v>
          </cell>
          <cell r="Z1766" t="str">
            <v>x</v>
          </cell>
          <cell r="AA1766" t="str">
            <v>공구손료</v>
          </cell>
          <cell r="AM1766">
            <v>40922</v>
          </cell>
          <cell r="AN1766">
            <v>0</v>
          </cell>
        </row>
        <row r="1767">
          <cell r="AM1767">
            <v>0</v>
          </cell>
        </row>
        <row r="1768">
          <cell r="AM1768">
            <v>0</v>
          </cell>
        </row>
        <row r="1769">
          <cell r="AM1769">
            <v>0</v>
          </cell>
          <cell r="AN1769">
            <v>0</v>
          </cell>
        </row>
        <row r="1770">
          <cell r="AM1770">
            <v>0</v>
          </cell>
          <cell r="AN1770">
            <v>0</v>
          </cell>
        </row>
        <row r="1771">
          <cell r="AM1771">
            <v>0</v>
          </cell>
          <cell r="AN1771">
            <v>0</v>
          </cell>
        </row>
        <row r="1772">
          <cell r="AM1772">
            <v>0</v>
          </cell>
          <cell r="AN1772">
            <v>0</v>
          </cell>
        </row>
        <row r="1773">
          <cell r="AM1773">
            <v>0</v>
          </cell>
          <cell r="AN1773">
            <v>0</v>
          </cell>
        </row>
        <row r="1774">
          <cell r="AM1774">
            <v>0</v>
          </cell>
          <cell r="AN1774">
            <v>0</v>
          </cell>
        </row>
        <row r="1775">
          <cell r="AM1775">
            <v>0</v>
          </cell>
          <cell r="AN1775">
            <v>0</v>
          </cell>
        </row>
        <row r="1776">
          <cell r="AM1776">
            <v>0</v>
          </cell>
          <cell r="AN1776">
            <v>0</v>
          </cell>
        </row>
        <row r="1777">
          <cell r="AM1777">
            <v>0</v>
          </cell>
          <cell r="AN1777">
            <v>0</v>
          </cell>
        </row>
        <row r="1778">
          <cell r="AM1778">
            <v>0</v>
          </cell>
          <cell r="AN1778">
            <v>0</v>
          </cell>
        </row>
        <row r="1779">
          <cell r="AM1779">
            <v>0</v>
          </cell>
          <cell r="AN1779">
            <v>0</v>
          </cell>
        </row>
        <row r="1780">
          <cell r="AM1780">
            <v>0</v>
          </cell>
          <cell r="AN1780">
            <v>0</v>
          </cell>
        </row>
        <row r="1781">
          <cell r="AM1781">
            <v>0</v>
          </cell>
        </row>
        <row r="1782">
          <cell r="AM1782">
            <v>0</v>
          </cell>
        </row>
        <row r="1783">
          <cell r="AM1783">
            <v>0</v>
          </cell>
          <cell r="AN1783">
            <v>0</v>
          </cell>
        </row>
        <row r="1784">
          <cell r="AM1784">
            <v>0</v>
          </cell>
          <cell r="AN1784">
            <v>0</v>
          </cell>
        </row>
        <row r="1785">
          <cell r="A1785">
            <v>64</v>
          </cell>
          <cell r="C1785">
            <v>64</v>
          </cell>
          <cell r="D1785" t="str">
            <v>케이블포설(관로,지하,WTB)</v>
          </cell>
          <cell r="E1785" t="str">
            <v>FS/JF 0.65x15P(15%차폐,3m이상)</v>
          </cell>
          <cell r="F1785" t="str">
            <v>100m</v>
          </cell>
          <cell r="AM1785">
            <v>0</v>
          </cell>
          <cell r="AN1785">
            <v>0</v>
          </cell>
        </row>
        <row r="1786">
          <cell r="A1786" t="str">
            <v>64-1</v>
          </cell>
          <cell r="B1786">
            <v>541</v>
          </cell>
          <cell r="D1786" t="str">
            <v>가. 재료비</v>
          </cell>
          <cell r="E1786">
            <v>0</v>
          </cell>
          <cell r="F1786">
            <v>0</v>
          </cell>
          <cell r="AM1786">
            <v>0</v>
          </cell>
          <cell r="AN1786">
            <v>0</v>
          </cell>
        </row>
        <row r="1787">
          <cell r="A1787" t="str">
            <v>64-2</v>
          </cell>
          <cell r="B1787">
            <v>54</v>
          </cell>
          <cell r="D1787" t="str">
            <v>시외케이블</v>
          </cell>
          <cell r="E1787" t="str">
            <v>FS/JF 0.65x15P(15%차폐)</v>
          </cell>
          <cell r="F1787" t="str">
            <v>m</v>
          </cell>
          <cell r="H1787">
            <v>100</v>
          </cell>
          <cell r="I1787" t="str">
            <v>x</v>
          </cell>
          <cell r="J1787">
            <v>1</v>
          </cell>
          <cell r="K1787" t="str">
            <v>x</v>
          </cell>
          <cell r="L1787" t="str">
            <v>(</v>
          </cell>
          <cell r="M1787">
            <v>1</v>
          </cell>
          <cell r="N1787" t="str">
            <v>+</v>
          </cell>
          <cell r="O1787">
            <v>0.03</v>
          </cell>
          <cell r="P1787" t="str">
            <v>)</v>
          </cell>
          <cell r="V1787" t="str">
            <v>=</v>
          </cell>
          <cell r="W1787">
            <v>103</v>
          </cell>
          <cell r="Y1787" t="str">
            <v>기본</v>
          </cell>
          <cell r="Z1787" t="str">
            <v>x</v>
          </cell>
          <cell r="AA1787" t="str">
            <v>단위량</v>
          </cell>
          <cell r="AB1787" t="str">
            <v>x</v>
          </cell>
          <cell r="AC1787" t="str">
            <v>(</v>
          </cell>
          <cell r="AD1787">
            <v>1</v>
          </cell>
          <cell r="AE1787" t="str">
            <v>+</v>
          </cell>
          <cell r="AF1787" t="str">
            <v>할증</v>
          </cell>
          <cell r="AG1787" t="str">
            <v>)</v>
          </cell>
          <cell r="AM1787">
            <v>7560</v>
          </cell>
          <cell r="AN1787">
            <v>0</v>
          </cell>
        </row>
        <row r="1788">
          <cell r="A1788" t="str">
            <v>64-3</v>
          </cell>
          <cell r="B1788">
            <v>700</v>
          </cell>
          <cell r="D1788" t="str">
            <v>잡재료비</v>
          </cell>
          <cell r="E1788" t="str">
            <v>재료비의2%</v>
          </cell>
          <cell r="F1788" t="str">
            <v>식</v>
          </cell>
          <cell r="V1788" t="str">
            <v>=</v>
          </cell>
          <cell r="W1788">
            <v>1</v>
          </cell>
          <cell r="Y1788" t="str">
            <v>기본</v>
          </cell>
          <cell r="AM1788">
            <v>0</v>
          </cell>
        </row>
        <row r="1789">
          <cell r="A1789" t="str">
            <v>64-4</v>
          </cell>
          <cell r="B1789">
            <v>542</v>
          </cell>
          <cell r="D1789" t="str">
            <v>나. 노무비</v>
          </cell>
          <cell r="E1789">
            <v>0</v>
          </cell>
          <cell r="F1789">
            <v>0</v>
          </cell>
          <cell r="AM1789">
            <v>0</v>
          </cell>
          <cell r="AN1789">
            <v>0</v>
          </cell>
        </row>
        <row r="1790">
          <cell r="B1790">
            <v>519</v>
          </cell>
          <cell r="D1790" t="str">
            <v>통신케이블공</v>
          </cell>
          <cell r="E1790">
            <v>0</v>
          </cell>
          <cell r="F1790" t="str">
            <v>인</v>
          </cell>
          <cell r="H1790">
            <v>1.1000000000000001</v>
          </cell>
          <cell r="I1790" t="str">
            <v>x</v>
          </cell>
          <cell r="J1790">
            <v>1</v>
          </cell>
          <cell r="K1790" t="str">
            <v>x</v>
          </cell>
          <cell r="L1790" t="str">
            <v>(</v>
          </cell>
          <cell r="M1790">
            <v>1</v>
          </cell>
          <cell r="N1790" t="str">
            <v>+</v>
          </cell>
          <cell r="O1790">
            <v>0.02</v>
          </cell>
          <cell r="P1790" t="str">
            <v>)</v>
          </cell>
          <cell r="V1790" t="str">
            <v>=</v>
          </cell>
          <cell r="W1790">
            <v>1.1200000000000001</v>
          </cell>
          <cell r="Y1790" t="str">
            <v>기본</v>
          </cell>
          <cell r="Z1790" t="str">
            <v>x</v>
          </cell>
          <cell r="AA1790" t="str">
            <v>단위량</v>
          </cell>
          <cell r="AB1790" t="str">
            <v>x</v>
          </cell>
          <cell r="AC1790" t="str">
            <v>(</v>
          </cell>
          <cell r="AD1790">
            <v>1</v>
          </cell>
          <cell r="AE1790" t="str">
            <v>+</v>
          </cell>
          <cell r="AF1790" t="str">
            <v>지하</v>
          </cell>
          <cell r="AG1790" t="str">
            <v>)</v>
          </cell>
          <cell r="AL1790" t="str">
            <v>통 3-6(지하)</v>
          </cell>
          <cell r="AM1790">
            <v>95424</v>
          </cell>
          <cell r="AN1790">
            <v>0</v>
          </cell>
        </row>
        <row r="1791">
          <cell r="B1791">
            <v>523</v>
          </cell>
          <cell r="D1791" t="str">
            <v>보통인부</v>
          </cell>
          <cell r="E1791">
            <v>0</v>
          </cell>
          <cell r="F1791" t="str">
            <v>인</v>
          </cell>
          <cell r="H1791">
            <v>1.5</v>
          </cell>
          <cell r="I1791" t="str">
            <v>x</v>
          </cell>
          <cell r="J1791">
            <v>1</v>
          </cell>
          <cell r="K1791" t="str">
            <v>x</v>
          </cell>
          <cell r="L1791" t="str">
            <v>(</v>
          </cell>
          <cell r="M1791">
            <v>1</v>
          </cell>
          <cell r="N1791" t="str">
            <v>+</v>
          </cell>
          <cell r="O1791">
            <v>0.02</v>
          </cell>
          <cell r="P1791" t="str">
            <v>)</v>
          </cell>
          <cell r="V1791" t="str">
            <v>=</v>
          </cell>
          <cell r="W1791">
            <v>1.53</v>
          </cell>
          <cell r="Y1791" t="str">
            <v>기본</v>
          </cell>
          <cell r="Z1791" t="str">
            <v>x</v>
          </cell>
          <cell r="AA1791" t="str">
            <v>단위량</v>
          </cell>
          <cell r="AB1791" t="str">
            <v>x</v>
          </cell>
          <cell r="AC1791" t="str">
            <v>(</v>
          </cell>
          <cell r="AD1791">
            <v>1</v>
          </cell>
          <cell r="AE1791" t="str">
            <v>+</v>
          </cell>
          <cell r="AF1791" t="str">
            <v>지하</v>
          </cell>
          <cell r="AG1791" t="str">
            <v>)</v>
          </cell>
          <cell r="AM1791">
            <v>40922</v>
          </cell>
          <cell r="AN1791">
            <v>0</v>
          </cell>
        </row>
        <row r="1792">
          <cell r="B1792">
            <v>544</v>
          </cell>
          <cell r="D1792" t="str">
            <v>소    계</v>
          </cell>
          <cell r="E1792">
            <v>0</v>
          </cell>
          <cell r="F1792">
            <v>0</v>
          </cell>
          <cell r="AM1792">
            <v>0</v>
          </cell>
          <cell r="AN1792">
            <v>0</v>
          </cell>
        </row>
        <row r="1793">
          <cell r="A1793" t="str">
            <v>64-5</v>
          </cell>
          <cell r="B1793">
            <v>519</v>
          </cell>
          <cell r="D1793" t="str">
            <v>통신케이블공</v>
          </cell>
          <cell r="E1793">
            <v>0</v>
          </cell>
          <cell r="F1793" t="str">
            <v>인</v>
          </cell>
          <cell r="V1793" t="str">
            <v>=</v>
          </cell>
          <cell r="W1793">
            <v>1.1200000000000001</v>
          </cell>
          <cell r="AM1793">
            <v>95424</v>
          </cell>
          <cell r="AN1793">
            <v>0</v>
          </cell>
        </row>
        <row r="1794">
          <cell r="A1794" t="str">
            <v>64-6</v>
          </cell>
          <cell r="B1794">
            <v>523</v>
          </cell>
          <cell r="D1794" t="str">
            <v>보통인부</v>
          </cell>
          <cell r="E1794">
            <v>0</v>
          </cell>
          <cell r="F1794" t="str">
            <v>인</v>
          </cell>
          <cell r="V1794" t="str">
            <v>=</v>
          </cell>
          <cell r="W1794">
            <v>1.53</v>
          </cell>
          <cell r="AM1794">
            <v>40922</v>
          </cell>
          <cell r="AN1794">
            <v>0</v>
          </cell>
        </row>
        <row r="1795">
          <cell r="A1795" t="str">
            <v>64-7</v>
          </cell>
          <cell r="B1795">
            <v>543</v>
          </cell>
          <cell r="D1795" t="str">
            <v>다. 공구손료</v>
          </cell>
          <cell r="E1795" t="str">
            <v>노무비x3%</v>
          </cell>
          <cell r="F1795">
            <v>0</v>
          </cell>
          <cell r="AM1795">
            <v>0</v>
          </cell>
          <cell r="AN1795">
            <v>0</v>
          </cell>
        </row>
        <row r="1796">
          <cell r="A1796" t="str">
            <v>64-8</v>
          </cell>
          <cell r="B1796">
            <v>519</v>
          </cell>
          <cell r="D1796" t="str">
            <v>통신케이블공</v>
          </cell>
          <cell r="E1796">
            <v>0</v>
          </cell>
          <cell r="F1796" t="str">
            <v>인</v>
          </cell>
          <cell r="H1796">
            <v>1.1000000000000001</v>
          </cell>
          <cell r="I1796" t="str">
            <v>x</v>
          </cell>
          <cell r="J1796">
            <v>0.03</v>
          </cell>
          <cell r="V1796" t="str">
            <v>=</v>
          </cell>
          <cell r="W1796">
            <v>0.03</v>
          </cell>
          <cell r="Y1796" t="str">
            <v>기본</v>
          </cell>
          <cell r="Z1796" t="str">
            <v>x</v>
          </cell>
          <cell r="AA1796" t="str">
            <v>공구손료</v>
          </cell>
          <cell r="AM1796">
            <v>95424</v>
          </cell>
          <cell r="AN1796">
            <v>0</v>
          </cell>
        </row>
        <row r="1797">
          <cell r="A1797" t="str">
            <v>64-9</v>
          </cell>
          <cell r="B1797">
            <v>523</v>
          </cell>
          <cell r="D1797" t="str">
            <v>보통인부</v>
          </cell>
          <cell r="E1797">
            <v>0</v>
          </cell>
          <cell r="F1797" t="str">
            <v>인</v>
          </cell>
          <cell r="H1797">
            <v>1.5</v>
          </cell>
          <cell r="I1797" t="str">
            <v>x</v>
          </cell>
          <cell r="J1797">
            <v>0.03</v>
          </cell>
          <cell r="V1797" t="str">
            <v>=</v>
          </cell>
          <cell r="W1797">
            <v>0.05</v>
          </cell>
          <cell r="Y1797" t="str">
            <v>기본</v>
          </cell>
          <cell r="Z1797" t="str">
            <v>x</v>
          </cell>
          <cell r="AA1797" t="str">
            <v>공구손료</v>
          </cell>
          <cell r="AM1797">
            <v>40922</v>
          </cell>
          <cell r="AN1797">
            <v>0</v>
          </cell>
        </row>
        <row r="1798">
          <cell r="AM1798">
            <v>0</v>
          </cell>
          <cell r="AN1798">
            <v>0</v>
          </cell>
        </row>
        <row r="1799">
          <cell r="AM1799">
            <v>0</v>
          </cell>
          <cell r="AN1799">
            <v>0</v>
          </cell>
        </row>
        <row r="1800">
          <cell r="AM1800">
            <v>0</v>
          </cell>
          <cell r="AN1800">
            <v>0</v>
          </cell>
        </row>
        <row r="1801">
          <cell r="AM1801">
            <v>0</v>
          </cell>
          <cell r="AN1801">
            <v>0</v>
          </cell>
        </row>
        <row r="1802">
          <cell r="AM1802">
            <v>0</v>
          </cell>
          <cell r="AN1802">
            <v>0</v>
          </cell>
        </row>
        <row r="1803">
          <cell r="AM1803">
            <v>0</v>
          </cell>
          <cell r="AN1803">
            <v>0</v>
          </cell>
        </row>
        <row r="1804">
          <cell r="AM1804">
            <v>0</v>
          </cell>
          <cell r="AN1804">
            <v>0</v>
          </cell>
        </row>
        <row r="1805">
          <cell r="AM1805">
            <v>0</v>
          </cell>
          <cell r="AN1805">
            <v>0</v>
          </cell>
        </row>
        <row r="1806">
          <cell r="AM1806">
            <v>0</v>
          </cell>
          <cell r="AN1806">
            <v>0</v>
          </cell>
        </row>
        <row r="1807">
          <cell r="AM1807">
            <v>0</v>
          </cell>
          <cell r="AN1807">
            <v>0</v>
          </cell>
        </row>
        <row r="1808">
          <cell r="AM1808">
            <v>0</v>
          </cell>
          <cell r="AN1808">
            <v>0</v>
          </cell>
        </row>
        <row r="1809">
          <cell r="AM1809">
            <v>0</v>
          </cell>
          <cell r="AN1809">
            <v>0</v>
          </cell>
        </row>
        <row r="1810">
          <cell r="AM1810">
            <v>0</v>
          </cell>
          <cell r="AN1810">
            <v>0</v>
          </cell>
        </row>
        <row r="1811">
          <cell r="AM1811">
            <v>0</v>
          </cell>
          <cell r="AN1811">
            <v>0</v>
          </cell>
        </row>
        <row r="1812">
          <cell r="A1812">
            <v>65</v>
          </cell>
          <cell r="C1812">
            <v>65</v>
          </cell>
          <cell r="D1812" t="str">
            <v>케이블포설(직매,지상,WTB)</v>
          </cell>
          <cell r="E1812" t="str">
            <v>FS/JF 0.65x15P(15%차폐,3m이상)</v>
          </cell>
          <cell r="F1812" t="str">
            <v>100m</v>
          </cell>
          <cell r="AM1812">
            <v>0</v>
          </cell>
          <cell r="AN1812">
            <v>0</v>
          </cell>
        </row>
        <row r="1813">
          <cell r="A1813" t="str">
            <v>65-1</v>
          </cell>
          <cell r="B1813">
            <v>541</v>
          </cell>
          <cell r="D1813" t="str">
            <v>가. 재료비</v>
          </cell>
          <cell r="E1813">
            <v>0</v>
          </cell>
          <cell r="F1813">
            <v>0</v>
          </cell>
          <cell r="AM1813">
            <v>0</v>
          </cell>
          <cell r="AN1813">
            <v>0</v>
          </cell>
        </row>
        <row r="1814">
          <cell r="A1814" t="str">
            <v>65-2</v>
          </cell>
          <cell r="B1814">
            <v>54</v>
          </cell>
          <cell r="D1814" t="str">
            <v>시외케이블</v>
          </cell>
          <cell r="E1814" t="str">
            <v>FS/JF 0.65x15P(15%차폐)</v>
          </cell>
          <cell r="F1814" t="str">
            <v>m</v>
          </cell>
          <cell r="H1814">
            <v>100</v>
          </cell>
          <cell r="I1814" t="str">
            <v>x</v>
          </cell>
          <cell r="J1814">
            <v>1</v>
          </cell>
          <cell r="K1814" t="str">
            <v>x</v>
          </cell>
          <cell r="L1814" t="str">
            <v>(</v>
          </cell>
          <cell r="M1814">
            <v>1</v>
          </cell>
          <cell r="N1814" t="str">
            <v>+</v>
          </cell>
          <cell r="O1814">
            <v>0.03</v>
          </cell>
          <cell r="P1814" t="str">
            <v>)</v>
          </cell>
          <cell r="V1814" t="str">
            <v>=</v>
          </cell>
          <cell r="W1814">
            <v>103</v>
          </cell>
          <cell r="Y1814" t="str">
            <v>기본</v>
          </cell>
          <cell r="Z1814" t="str">
            <v>x</v>
          </cell>
          <cell r="AA1814" t="str">
            <v>단위량</v>
          </cell>
          <cell r="AB1814" t="str">
            <v>x</v>
          </cell>
          <cell r="AC1814" t="str">
            <v>(</v>
          </cell>
          <cell r="AD1814">
            <v>1</v>
          </cell>
          <cell r="AE1814" t="str">
            <v>+</v>
          </cell>
          <cell r="AF1814" t="str">
            <v>할증</v>
          </cell>
          <cell r="AG1814" t="str">
            <v>)</v>
          </cell>
          <cell r="AM1814">
            <v>7560</v>
          </cell>
          <cell r="AN1814">
            <v>0</v>
          </cell>
        </row>
        <row r="1815">
          <cell r="A1815" t="str">
            <v>65-3</v>
          </cell>
          <cell r="B1815">
            <v>700</v>
          </cell>
          <cell r="D1815" t="str">
            <v>잡재료비</v>
          </cell>
          <cell r="E1815" t="str">
            <v>재료비의2%</v>
          </cell>
          <cell r="F1815" t="str">
            <v>식</v>
          </cell>
          <cell r="V1815" t="str">
            <v>=</v>
          </cell>
          <cell r="W1815">
            <v>1</v>
          </cell>
          <cell r="Y1815" t="str">
            <v>기본</v>
          </cell>
          <cell r="AM1815">
            <v>0</v>
          </cell>
        </row>
        <row r="1816">
          <cell r="A1816" t="str">
            <v>65-4</v>
          </cell>
          <cell r="B1816">
            <v>542</v>
          </cell>
          <cell r="D1816" t="str">
            <v>나. 노무비</v>
          </cell>
          <cell r="E1816">
            <v>0</v>
          </cell>
          <cell r="F1816">
            <v>0</v>
          </cell>
          <cell r="AM1816">
            <v>0</v>
          </cell>
          <cell r="AN1816">
            <v>0</v>
          </cell>
        </row>
        <row r="1817">
          <cell r="B1817">
            <v>519</v>
          </cell>
          <cell r="D1817" t="str">
            <v>통신케이블공</v>
          </cell>
          <cell r="E1817">
            <v>0</v>
          </cell>
          <cell r="F1817" t="str">
            <v>인</v>
          </cell>
          <cell r="H1817">
            <v>1.43</v>
          </cell>
          <cell r="I1817" t="str">
            <v>x</v>
          </cell>
          <cell r="J1817">
            <v>1</v>
          </cell>
          <cell r="V1817" t="str">
            <v>=</v>
          </cell>
          <cell r="W1817">
            <v>1.43</v>
          </cell>
          <cell r="Y1817" t="str">
            <v>기본</v>
          </cell>
          <cell r="Z1817" t="str">
            <v>x</v>
          </cell>
          <cell r="AA1817" t="str">
            <v>단위량</v>
          </cell>
          <cell r="AL1817" t="str">
            <v>통 3-6</v>
          </cell>
          <cell r="AM1817">
            <v>95424</v>
          </cell>
          <cell r="AN1817">
            <v>0</v>
          </cell>
        </row>
        <row r="1818">
          <cell r="B1818">
            <v>523</v>
          </cell>
          <cell r="D1818" t="str">
            <v>보통인부</v>
          </cell>
          <cell r="E1818">
            <v>0</v>
          </cell>
          <cell r="F1818" t="str">
            <v>인</v>
          </cell>
          <cell r="H1818">
            <v>6.86</v>
          </cell>
          <cell r="I1818" t="str">
            <v>x</v>
          </cell>
          <cell r="J1818">
            <v>1</v>
          </cell>
          <cell r="V1818" t="str">
            <v>=</v>
          </cell>
          <cell r="W1818">
            <v>6.86</v>
          </cell>
          <cell r="Y1818" t="str">
            <v>기본</v>
          </cell>
          <cell r="Z1818" t="str">
            <v>x</v>
          </cell>
          <cell r="AA1818" t="str">
            <v>단위량</v>
          </cell>
          <cell r="AM1818">
            <v>40922</v>
          </cell>
          <cell r="AN1818">
            <v>0</v>
          </cell>
        </row>
        <row r="1819">
          <cell r="B1819">
            <v>544</v>
          </cell>
          <cell r="D1819" t="str">
            <v>소    계</v>
          </cell>
          <cell r="E1819">
            <v>0</v>
          </cell>
          <cell r="F1819">
            <v>0</v>
          </cell>
          <cell r="AM1819">
            <v>0</v>
          </cell>
          <cell r="AN1819">
            <v>0</v>
          </cell>
        </row>
        <row r="1820">
          <cell r="A1820" t="str">
            <v>65-5</v>
          </cell>
          <cell r="B1820">
            <v>519</v>
          </cell>
          <cell r="D1820" t="str">
            <v>통신케이블공</v>
          </cell>
          <cell r="E1820">
            <v>0</v>
          </cell>
          <cell r="F1820" t="str">
            <v>인</v>
          </cell>
          <cell r="V1820" t="str">
            <v>=</v>
          </cell>
          <cell r="W1820">
            <v>1.43</v>
          </cell>
          <cell r="AM1820">
            <v>95424</v>
          </cell>
          <cell r="AN1820">
            <v>0</v>
          </cell>
        </row>
        <row r="1821">
          <cell r="A1821" t="str">
            <v>65-6</v>
          </cell>
          <cell r="B1821">
            <v>523</v>
          </cell>
          <cell r="D1821" t="str">
            <v>보통인부</v>
          </cell>
          <cell r="E1821">
            <v>0</v>
          </cell>
          <cell r="F1821" t="str">
            <v>인</v>
          </cell>
          <cell r="V1821" t="str">
            <v>=</v>
          </cell>
          <cell r="W1821">
            <v>6.86</v>
          </cell>
          <cell r="AM1821">
            <v>40922</v>
          </cell>
          <cell r="AN1821">
            <v>0</v>
          </cell>
        </row>
        <row r="1822">
          <cell r="A1822" t="str">
            <v>65-7</v>
          </cell>
          <cell r="B1822">
            <v>543</v>
          </cell>
          <cell r="D1822" t="str">
            <v>다. 공구손료</v>
          </cell>
          <cell r="E1822" t="str">
            <v>노무비x3%</v>
          </cell>
          <cell r="F1822">
            <v>0</v>
          </cell>
          <cell r="AM1822">
            <v>0</v>
          </cell>
          <cell r="AN1822">
            <v>0</v>
          </cell>
        </row>
        <row r="1823">
          <cell r="A1823" t="str">
            <v>65-8</v>
          </cell>
          <cell r="B1823">
            <v>519</v>
          </cell>
          <cell r="D1823" t="str">
            <v>통신케이블공</v>
          </cell>
          <cell r="E1823">
            <v>0</v>
          </cell>
          <cell r="F1823" t="str">
            <v>인</v>
          </cell>
          <cell r="H1823">
            <v>1.43</v>
          </cell>
          <cell r="I1823" t="str">
            <v>x</v>
          </cell>
          <cell r="J1823">
            <v>0.03</v>
          </cell>
          <cell r="V1823" t="str">
            <v>=</v>
          </cell>
          <cell r="W1823">
            <v>0.04</v>
          </cell>
          <cell r="Y1823" t="str">
            <v>기본</v>
          </cell>
          <cell r="Z1823" t="str">
            <v>x</v>
          </cell>
          <cell r="AA1823" t="str">
            <v>공구손료</v>
          </cell>
          <cell r="AM1823">
            <v>95424</v>
          </cell>
          <cell r="AN1823">
            <v>0</v>
          </cell>
        </row>
        <row r="1824">
          <cell r="A1824" t="str">
            <v>65-9</v>
          </cell>
          <cell r="B1824">
            <v>523</v>
          </cell>
          <cell r="D1824" t="str">
            <v>보통인부</v>
          </cell>
          <cell r="E1824">
            <v>0</v>
          </cell>
          <cell r="F1824" t="str">
            <v>인</v>
          </cell>
          <cell r="H1824">
            <v>6.86</v>
          </cell>
          <cell r="I1824" t="str">
            <v>x</v>
          </cell>
          <cell r="J1824">
            <v>0.03</v>
          </cell>
          <cell r="V1824" t="str">
            <v>=</v>
          </cell>
          <cell r="W1824">
            <v>0.21</v>
          </cell>
          <cell r="Y1824" t="str">
            <v>기본</v>
          </cell>
          <cell r="Z1824" t="str">
            <v>x</v>
          </cell>
          <cell r="AA1824" t="str">
            <v>공구손료</v>
          </cell>
          <cell r="AM1824">
            <v>40922</v>
          </cell>
          <cell r="AN1824">
            <v>0</v>
          </cell>
        </row>
        <row r="1825">
          <cell r="AM1825">
            <v>0</v>
          </cell>
          <cell r="AN1825">
            <v>0</v>
          </cell>
        </row>
        <row r="1826">
          <cell r="AM1826">
            <v>0</v>
          </cell>
          <cell r="AN1826">
            <v>0</v>
          </cell>
        </row>
        <row r="1827">
          <cell r="AM1827">
            <v>0</v>
          </cell>
          <cell r="AN1827">
            <v>0</v>
          </cell>
        </row>
        <row r="1828">
          <cell r="AM1828">
            <v>0</v>
          </cell>
          <cell r="AN1828">
            <v>0</v>
          </cell>
        </row>
        <row r="1829">
          <cell r="AM1829">
            <v>0</v>
          </cell>
          <cell r="AN1829">
            <v>0</v>
          </cell>
        </row>
        <row r="1830">
          <cell r="AM1830">
            <v>0</v>
          </cell>
          <cell r="AN1830">
            <v>0</v>
          </cell>
        </row>
        <row r="1831">
          <cell r="AM1831">
            <v>0</v>
          </cell>
          <cell r="AN1831">
            <v>0</v>
          </cell>
        </row>
        <row r="1832">
          <cell r="AM1832">
            <v>0</v>
          </cell>
          <cell r="AN1832">
            <v>0</v>
          </cell>
        </row>
        <row r="1833">
          <cell r="AM1833">
            <v>0</v>
          </cell>
          <cell r="AN1833">
            <v>0</v>
          </cell>
        </row>
        <row r="1834">
          <cell r="AM1834">
            <v>0</v>
          </cell>
          <cell r="AN1834">
            <v>0</v>
          </cell>
        </row>
        <row r="1835">
          <cell r="AM1835">
            <v>0</v>
          </cell>
          <cell r="AN1835">
            <v>0</v>
          </cell>
        </row>
        <row r="1836">
          <cell r="AM1836">
            <v>0</v>
          </cell>
          <cell r="AN1836">
            <v>0</v>
          </cell>
        </row>
        <row r="1837">
          <cell r="AM1837">
            <v>0</v>
          </cell>
          <cell r="AN1837">
            <v>0</v>
          </cell>
        </row>
        <row r="1838">
          <cell r="AM1838">
            <v>0</v>
          </cell>
          <cell r="AN1838">
            <v>0</v>
          </cell>
        </row>
        <row r="1839">
          <cell r="A1839">
            <v>66</v>
          </cell>
          <cell r="C1839">
            <v>66</v>
          </cell>
          <cell r="D1839" t="str">
            <v>케이블국내성단(지하)</v>
          </cell>
          <cell r="E1839" t="str">
            <v>FS/JF 0.65x15P(15% 차폐)</v>
          </cell>
          <cell r="F1839" t="str">
            <v>개소</v>
          </cell>
          <cell r="AM1839">
            <v>0</v>
          </cell>
          <cell r="AN1839">
            <v>0</v>
          </cell>
        </row>
        <row r="1840">
          <cell r="A1840" t="str">
            <v>66-1</v>
          </cell>
          <cell r="B1840">
            <v>541</v>
          </cell>
          <cell r="D1840" t="str">
            <v>가. 재료비</v>
          </cell>
          <cell r="E1840">
            <v>0</v>
          </cell>
          <cell r="F1840">
            <v>0</v>
          </cell>
          <cell r="AM1840">
            <v>0</v>
          </cell>
          <cell r="AN1840">
            <v>0</v>
          </cell>
        </row>
        <row r="1841">
          <cell r="A1841" t="str">
            <v>66-2</v>
          </cell>
          <cell r="B1841">
            <v>228</v>
          </cell>
          <cell r="D1841" t="str">
            <v>프라스틱 격벽제</v>
          </cell>
          <cell r="E1841" t="str">
            <v>50mm이하</v>
          </cell>
          <cell r="F1841" t="str">
            <v>개</v>
          </cell>
          <cell r="V1841" t="str">
            <v>=</v>
          </cell>
          <cell r="W1841">
            <v>1</v>
          </cell>
          <cell r="Y1841" t="str">
            <v>기본</v>
          </cell>
          <cell r="AM1841">
            <v>86300</v>
          </cell>
          <cell r="AN1841">
            <v>0</v>
          </cell>
        </row>
        <row r="1842">
          <cell r="A1842" t="str">
            <v>66-3</v>
          </cell>
          <cell r="B1842">
            <v>542</v>
          </cell>
          <cell r="D1842" t="str">
            <v>나. 노무비</v>
          </cell>
          <cell r="E1842">
            <v>0</v>
          </cell>
          <cell r="F1842">
            <v>0</v>
          </cell>
          <cell r="AM1842">
            <v>0</v>
          </cell>
          <cell r="AN1842">
            <v>0</v>
          </cell>
        </row>
        <row r="1843">
          <cell r="D1843" t="str">
            <v>1) 케이블 성단</v>
          </cell>
          <cell r="AM1843">
            <v>0</v>
          </cell>
        </row>
        <row r="1844">
          <cell r="B1844">
            <v>519</v>
          </cell>
          <cell r="D1844" t="str">
            <v>통신케이블공</v>
          </cell>
          <cell r="E1844">
            <v>0</v>
          </cell>
          <cell r="F1844" t="str">
            <v>인</v>
          </cell>
          <cell r="H1844">
            <v>0.6</v>
          </cell>
          <cell r="I1844" t="str">
            <v>x</v>
          </cell>
          <cell r="J1844">
            <v>15</v>
          </cell>
          <cell r="K1844" t="str">
            <v>/</v>
          </cell>
          <cell r="M1844">
            <v>100</v>
          </cell>
          <cell r="N1844" t="str">
            <v>x</v>
          </cell>
          <cell r="O1844">
            <v>1.5</v>
          </cell>
          <cell r="P1844" t="str">
            <v>x</v>
          </cell>
          <cell r="Q1844">
            <v>1</v>
          </cell>
          <cell r="R1844" t="str">
            <v>+</v>
          </cell>
          <cell r="S1844">
            <v>0.02</v>
          </cell>
          <cell r="T1844" t="str">
            <v>)</v>
          </cell>
          <cell r="V1844" t="str">
            <v>=</v>
          </cell>
          <cell r="W1844">
            <v>0.14000000000000001</v>
          </cell>
          <cell r="Y1844" t="str">
            <v>기본</v>
          </cell>
          <cell r="Z1844" t="str">
            <v>x</v>
          </cell>
          <cell r="AA1844" t="str">
            <v>단위량</v>
          </cell>
          <cell r="AC1844" t="str">
            <v>/</v>
          </cell>
          <cell r="AD1844" t="str">
            <v>100회선</v>
          </cell>
          <cell r="AE1844" t="str">
            <v>x</v>
          </cell>
          <cell r="AF1844" t="str">
            <v>젤리충진</v>
          </cell>
          <cell r="AH1844">
            <v>1</v>
          </cell>
          <cell r="AI1844" t="str">
            <v>+</v>
          </cell>
          <cell r="AJ1844" t="str">
            <v>지하</v>
          </cell>
          <cell r="AK1844" t="str">
            <v>)</v>
          </cell>
          <cell r="AL1844" t="str">
            <v>통 3-19-가(지하)</v>
          </cell>
          <cell r="AM1844">
            <v>95424</v>
          </cell>
          <cell r="AN1844">
            <v>0</v>
          </cell>
        </row>
        <row r="1845">
          <cell r="B1845">
            <v>523</v>
          </cell>
          <cell r="D1845" t="str">
            <v>보통인부</v>
          </cell>
          <cell r="E1845">
            <v>0</v>
          </cell>
          <cell r="F1845" t="str">
            <v>인</v>
          </cell>
          <cell r="H1845">
            <v>0.3</v>
          </cell>
          <cell r="I1845" t="str">
            <v>x</v>
          </cell>
          <cell r="J1845">
            <v>15</v>
          </cell>
          <cell r="K1845" t="str">
            <v>/</v>
          </cell>
          <cell r="M1845">
            <v>100</v>
          </cell>
          <cell r="N1845" t="str">
            <v>x</v>
          </cell>
          <cell r="O1845">
            <v>1.5</v>
          </cell>
          <cell r="P1845" t="str">
            <v>x</v>
          </cell>
          <cell r="Q1845">
            <v>1</v>
          </cell>
          <cell r="R1845" t="str">
            <v>+</v>
          </cell>
          <cell r="S1845">
            <v>0.02</v>
          </cell>
          <cell r="T1845" t="str">
            <v>)</v>
          </cell>
          <cell r="V1845" t="str">
            <v>=</v>
          </cell>
          <cell r="W1845">
            <v>7.0000000000000007E-2</v>
          </cell>
          <cell r="Y1845" t="str">
            <v>기본</v>
          </cell>
          <cell r="Z1845" t="str">
            <v>x</v>
          </cell>
          <cell r="AA1845" t="str">
            <v>단위량</v>
          </cell>
          <cell r="AC1845" t="str">
            <v>/</v>
          </cell>
          <cell r="AD1845" t="str">
            <v>100회선</v>
          </cell>
          <cell r="AE1845" t="str">
            <v>x</v>
          </cell>
          <cell r="AF1845" t="str">
            <v>젤리충진</v>
          </cell>
          <cell r="AH1845">
            <v>1</v>
          </cell>
          <cell r="AI1845" t="str">
            <v>+</v>
          </cell>
          <cell r="AJ1845" t="str">
            <v>지하</v>
          </cell>
          <cell r="AK1845" t="str">
            <v>)</v>
          </cell>
          <cell r="AM1845">
            <v>40922</v>
          </cell>
          <cell r="AN1845">
            <v>0</v>
          </cell>
        </row>
        <row r="1846">
          <cell r="D1846" t="str">
            <v>2) 격벽 설치</v>
          </cell>
          <cell r="AL1846" t="str">
            <v>통3-37-라(지하)</v>
          </cell>
          <cell r="AM1846">
            <v>0</v>
          </cell>
        </row>
        <row r="1847">
          <cell r="B1847">
            <v>519</v>
          </cell>
          <cell r="D1847" t="str">
            <v>통신케이블공</v>
          </cell>
          <cell r="E1847">
            <v>0</v>
          </cell>
          <cell r="F1847" t="str">
            <v>인</v>
          </cell>
          <cell r="H1847">
            <v>0.33</v>
          </cell>
          <cell r="I1847" t="str">
            <v>x</v>
          </cell>
          <cell r="J1847">
            <v>1</v>
          </cell>
          <cell r="K1847" t="str">
            <v>x</v>
          </cell>
          <cell r="M1847">
            <v>1.5</v>
          </cell>
          <cell r="N1847" t="str">
            <v>x</v>
          </cell>
          <cell r="O1847">
            <v>1</v>
          </cell>
          <cell r="P1847" t="str">
            <v>+</v>
          </cell>
          <cell r="Q1847">
            <v>0.02</v>
          </cell>
          <cell r="R1847" t="str">
            <v>)</v>
          </cell>
          <cell r="V1847" t="str">
            <v>=</v>
          </cell>
          <cell r="W1847">
            <v>0.5</v>
          </cell>
          <cell r="Y1847" t="str">
            <v>기본</v>
          </cell>
          <cell r="Z1847" t="str">
            <v>x</v>
          </cell>
          <cell r="AA1847" t="str">
            <v>단위량</v>
          </cell>
          <cell r="AB1847" t="str">
            <v>x</v>
          </cell>
          <cell r="AD1847" t="str">
            <v>차폐</v>
          </cell>
          <cell r="AE1847" t="str">
            <v>x</v>
          </cell>
          <cell r="AF1847">
            <v>1</v>
          </cell>
          <cell r="AG1847" t="str">
            <v>+</v>
          </cell>
          <cell r="AH1847" t="str">
            <v>지하</v>
          </cell>
          <cell r="AI1847" t="str">
            <v>)</v>
          </cell>
          <cell r="AM1847">
            <v>95424</v>
          </cell>
        </row>
        <row r="1848">
          <cell r="B1848">
            <v>523</v>
          </cell>
          <cell r="D1848" t="str">
            <v>보통인부</v>
          </cell>
          <cell r="E1848">
            <v>0</v>
          </cell>
          <cell r="F1848" t="str">
            <v>인</v>
          </cell>
          <cell r="H1848">
            <v>0.31</v>
          </cell>
          <cell r="I1848" t="str">
            <v>x</v>
          </cell>
          <cell r="J1848">
            <v>1</v>
          </cell>
          <cell r="K1848" t="str">
            <v>x</v>
          </cell>
          <cell r="M1848">
            <v>1.5</v>
          </cell>
          <cell r="N1848" t="str">
            <v>x</v>
          </cell>
          <cell r="O1848">
            <v>1</v>
          </cell>
          <cell r="P1848" t="str">
            <v>+</v>
          </cell>
          <cell r="Q1848">
            <v>0.02</v>
          </cell>
          <cell r="R1848" t="str">
            <v>)</v>
          </cell>
          <cell r="V1848" t="str">
            <v>=</v>
          </cell>
          <cell r="W1848">
            <v>0.47</v>
          </cell>
          <cell r="Y1848" t="str">
            <v>기본</v>
          </cell>
          <cell r="Z1848" t="str">
            <v>x</v>
          </cell>
          <cell r="AA1848" t="str">
            <v>단위량</v>
          </cell>
          <cell r="AB1848" t="str">
            <v>x</v>
          </cell>
          <cell r="AD1848" t="str">
            <v>차폐</v>
          </cell>
          <cell r="AE1848" t="str">
            <v>x</v>
          </cell>
          <cell r="AF1848">
            <v>1</v>
          </cell>
          <cell r="AG1848" t="str">
            <v>+</v>
          </cell>
          <cell r="AH1848" t="str">
            <v>지하</v>
          </cell>
          <cell r="AI1848" t="str">
            <v>)</v>
          </cell>
          <cell r="AM1848">
            <v>40922</v>
          </cell>
        </row>
        <row r="1849">
          <cell r="D1849" t="str">
            <v>3) 씨링콤파운드 주입</v>
          </cell>
          <cell r="AL1849" t="str">
            <v>통3-32(지하)</v>
          </cell>
          <cell r="AM1849">
            <v>0</v>
          </cell>
        </row>
        <row r="1850">
          <cell r="B1850">
            <v>519</v>
          </cell>
          <cell r="D1850" t="str">
            <v>통신케이블공</v>
          </cell>
          <cell r="E1850">
            <v>0</v>
          </cell>
          <cell r="F1850" t="str">
            <v>인</v>
          </cell>
          <cell r="H1850">
            <v>0.04</v>
          </cell>
          <cell r="I1850" t="str">
            <v>x</v>
          </cell>
          <cell r="J1850">
            <v>1</v>
          </cell>
          <cell r="K1850" t="str">
            <v>x</v>
          </cell>
          <cell r="L1850" t="str">
            <v>(</v>
          </cell>
          <cell r="M1850">
            <v>1</v>
          </cell>
          <cell r="N1850" t="str">
            <v>+</v>
          </cell>
          <cell r="O1850">
            <v>0.02</v>
          </cell>
          <cell r="P1850" t="str">
            <v>)</v>
          </cell>
          <cell r="V1850" t="str">
            <v>=</v>
          </cell>
          <cell r="W1850">
            <v>0.04</v>
          </cell>
          <cell r="Y1850" t="str">
            <v>기본</v>
          </cell>
          <cell r="Z1850" t="str">
            <v>x</v>
          </cell>
          <cell r="AA1850" t="str">
            <v>단위량</v>
          </cell>
          <cell r="AB1850" t="str">
            <v>x</v>
          </cell>
          <cell r="AC1850" t="str">
            <v>(</v>
          </cell>
          <cell r="AD1850">
            <v>1</v>
          </cell>
          <cell r="AE1850" t="str">
            <v>+</v>
          </cell>
          <cell r="AF1850" t="str">
            <v>지하</v>
          </cell>
          <cell r="AG1850" t="str">
            <v>)</v>
          </cell>
          <cell r="AM1850">
            <v>95424</v>
          </cell>
        </row>
        <row r="1851">
          <cell r="B1851">
            <v>523</v>
          </cell>
          <cell r="D1851" t="str">
            <v>보통인부</v>
          </cell>
          <cell r="E1851">
            <v>0</v>
          </cell>
          <cell r="F1851" t="str">
            <v>인</v>
          </cell>
          <cell r="H1851">
            <v>0.04</v>
          </cell>
          <cell r="I1851" t="str">
            <v>x</v>
          </cell>
          <cell r="J1851">
            <v>1</v>
          </cell>
          <cell r="K1851" t="str">
            <v>x</v>
          </cell>
          <cell r="L1851" t="str">
            <v>(</v>
          </cell>
          <cell r="M1851">
            <v>1</v>
          </cell>
          <cell r="N1851" t="str">
            <v>+</v>
          </cell>
          <cell r="O1851">
            <v>0.02</v>
          </cell>
          <cell r="P1851" t="str">
            <v>)</v>
          </cell>
          <cell r="V1851" t="str">
            <v>=</v>
          </cell>
          <cell r="W1851">
            <v>0.04</v>
          </cell>
          <cell r="Y1851" t="str">
            <v>기본</v>
          </cell>
          <cell r="Z1851" t="str">
            <v>x</v>
          </cell>
          <cell r="AA1851" t="str">
            <v>단위량</v>
          </cell>
          <cell r="AB1851" t="str">
            <v>x</v>
          </cell>
          <cell r="AC1851" t="str">
            <v>(</v>
          </cell>
          <cell r="AD1851">
            <v>1</v>
          </cell>
          <cell r="AE1851" t="str">
            <v>+</v>
          </cell>
          <cell r="AF1851" t="str">
            <v>지하</v>
          </cell>
          <cell r="AG1851" t="str">
            <v>)</v>
          </cell>
          <cell r="AM1851">
            <v>40922</v>
          </cell>
        </row>
        <row r="1852">
          <cell r="B1852">
            <v>544</v>
          </cell>
          <cell r="D1852" t="str">
            <v>소    계</v>
          </cell>
          <cell r="E1852">
            <v>0</v>
          </cell>
          <cell r="F1852">
            <v>0</v>
          </cell>
          <cell r="AM1852">
            <v>0</v>
          </cell>
          <cell r="AN1852">
            <v>0</v>
          </cell>
        </row>
        <row r="1853">
          <cell r="A1853" t="str">
            <v>66-4</v>
          </cell>
          <cell r="B1853">
            <v>519</v>
          </cell>
          <cell r="D1853" t="str">
            <v>통신케이블공</v>
          </cell>
          <cell r="E1853">
            <v>0</v>
          </cell>
          <cell r="F1853" t="str">
            <v>인</v>
          </cell>
          <cell r="V1853" t="str">
            <v>=</v>
          </cell>
          <cell r="W1853">
            <v>0.68</v>
          </cell>
          <cell r="AM1853">
            <v>95424</v>
          </cell>
          <cell r="AN1853">
            <v>0</v>
          </cell>
        </row>
        <row r="1854">
          <cell r="A1854" t="str">
            <v>66-5</v>
          </cell>
          <cell r="B1854">
            <v>523</v>
          </cell>
          <cell r="D1854" t="str">
            <v>보통인부</v>
          </cell>
          <cell r="E1854">
            <v>0</v>
          </cell>
          <cell r="F1854" t="str">
            <v>인</v>
          </cell>
          <cell r="V1854" t="str">
            <v>=</v>
          </cell>
          <cell r="W1854">
            <v>0.58000000000000007</v>
          </cell>
          <cell r="AM1854">
            <v>40922</v>
          </cell>
          <cell r="AN1854">
            <v>0</v>
          </cell>
        </row>
        <row r="1855">
          <cell r="A1855" t="str">
            <v>66-6</v>
          </cell>
          <cell r="B1855">
            <v>543</v>
          </cell>
          <cell r="D1855" t="str">
            <v>다. 공구손료</v>
          </cell>
          <cell r="E1855" t="str">
            <v>노무비x3%</v>
          </cell>
          <cell r="F1855">
            <v>0</v>
          </cell>
          <cell r="AM1855">
            <v>0</v>
          </cell>
          <cell r="AN1855">
            <v>0</v>
          </cell>
        </row>
        <row r="1856">
          <cell r="A1856" t="str">
            <v>66-7</v>
          </cell>
          <cell r="B1856">
            <v>519</v>
          </cell>
          <cell r="D1856" t="str">
            <v>통신케이블공</v>
          </cell>
          <cell r="E1856">
            <v>0</v>
          </cell>
          <cell r="F1856" t="str">
            <v>인</v>
          </cell>
          <cell r="H1856">
            <v>0.67</v>
          </cell>
          <cell r="I1856" t="str">
            <v>x</v>
          </cell>
          <cell r="J1856">
            <v>0.03</v>
          </cell>
          <cell r="V1856" t="str">
            <v>=</v>
          </cell>
          <cell r="W1856">
            <v>0.02</v>
          </cell>
          <cell r="Y1856" t="str">
            <v>기본</v>
          </cell>
          <cell r="Z1856" t="str">
            <v>x</v>
          </cell>
          <cell r="AA1856" t="str">
            <v>공구손료</v>
          </cell>
          <cell r="AM1856">
            <v>95424</v>
          </cell>
          <cell r="AN1856">
            <v>0</v>
          </cell>
        </row>
        <row r="1857">
          <cell r="A1857" t="str">
            <v>66-8</v>
          </cell>
          <cell r="B1857">
            <v>523</v>
          </cell>
          <cell r="D1857" t="str">
            <v>보통인부</v>
          </cell>
          <cell r="E1857">
            <v>0</v>
          </cell>
          <cell r="F1857" t="str">
            <v>인</v>
          </cell>
          <cell r="H1857">
            <v>0.56999999999999995</v>
          </cell>
          <cell r="I1857" t="str">
            <v>x</v>
          </cell>
          <cell r="J1857">
            <v>0.03</v>
          </cell>
          <cell r="V1857" t="str">
            <v>=</v>
          </cell>
          <cell r="W1857">
            <v>0.02</v>
          </cell>
          <cell r="Y1857" t="str">
            <v>기본</v>
          </cell>
          <cell r="Z1857" t="str">
            <v>x</v>
          </cell>
          <cell r="AA1857" t="str">
            <v>공구손료</v>
          </cell>
          <cell r="AM1857">
            <v>40922</v>
          </cell>
          <cell r="AN1857">
            <v>0</v>
          </cell>
        </row>
        <row r="1858">
          <cell r="AM1858">
            <v>0</v>
          </cell>
          <cell r="AN1858">
            <v>0</v>
          </cell>
        </row>
        <row r="1859">
          <cell r="AM1859">
            <v>0</v>
          </cell>
          <cell r="AN1859">
            <v>0</v>
          </cell>
        </row>
        <row r="1860">
          <cell r="AM1860">
            <v>0</v>
          </cell>
          <cell r="AN1860">
            <v>0</v>
          </cell>
        </row>
        <row r="1861">
          <cell r="AM1861">
            <v>0</v>
          </cell>
          <cell r="AN1861">
            <v>0</v>
          </cell>
        </row>
        <row r="1862">
          <cell r="AM1862">
            <v>0</v>
          </cell>
          <cell r="AN1862">
            <v>0</v>
          </cell>
        </row>
        <row r="1863">
          <cell r="AM1863">
            <v>0</v>
          </cell>
          <cell r="AN1863">
            <v>0</v>
          </cell>
        </row>
        <row r="1864">
          <cell r="AM1864">
            <v>0</v>
          </cell>
          <cell r="AN1864">
            <v>0</v>
          </cell>
        </row>
        <row r="1865">
          <cell r="AM1865">
            <v>0</v>
          </cell>
          <cell r="AN1865">
            <v>0</v>
          </cell>
        </row>
        <row r="1866">
          <cell r="A1866">
            <v>67</v>
          </cell>
          <cell r="C1866">
            <v>67</v>
          </cell>
          <cell r="D1866" t="str">
            <v>케이블국내성단(지상)</v>
          </cell>
          <cell r="E1866" t="str">
            <v>FS/JF 0.65x15P(15% 차폐)</v>
          </cell>
          <cell r="F1866" t="str">
            <v>개소</v>
          </cell>
          <cell r="AM1866">
            <v>0</v>
          </cell>
          <cell r="AN1866">
            <v>0</v>
          </cell>
        </row>
        <row r="1867">
          <cell r="A1867" t="str">
            <v>67-1</v>
          </cell>
          <cell r="B1867">
            <v>541</v>
          </cell>
          <cell r="D1867" t="str">
            <v>가. 재료비</v>
          </cell>
          <cell r="E1867">
            <v>0</v>
          </cell>
          <cell r="F1867">
            <v>0</v>
          </cell>
          <cell r="AM1867">
            <v>0</v>
          </cell>
          <cell r="AN1867">
            <v>0</v>
          </cell>
        </row>
        <row r="1868">
          <cell r="A1868" t="str">
            <v>67-2</v>
          </cell>
          <cell r="B1868">
            <v>228</v>
          </cell>
          <cell r="D1868" t="str">
            <v>프라스틱 격벽제</v>
          </cell>
          <cell r="E1868" t="str">
            <v>50mm이하</v>
          </cell>
          <cell r="F1868" t="str">
            <v>개</v>
          </cell>
          <cell r="V1868" t="str">
            <v>=</v>
          </cell>
          <cell r="W1868">
            <v>1</v>
          </cell>
          <cell r="Y1868" t="str">
            <v>기본</v>
          </cell>
          <cell r="AM1868">
            <v>86300</v>
          </cell>
          <cell r="AN1868">
            <v>0</v>
          </cell>
        </row>
        <row r="1869">
          <cell r="A1869" t="str">
            <v>67-3</v>
          </cell>
          <cell r="B1869">
            <v>542</v>
          </cell>
          <cell r="D1869" t="str">
            <v>나. 노무비</v>
          </cell>
          <cell r="E1869">
            <v>0</v>
          </cell>
          <cell r="F1869">
            <v>0</v>
          </cell>
          <cell r="AM1869">
            <v>0</v>
          </cell>
          <cell r="AN1869">
            <v>0</v>
          </cell>
        </row>
        <row r="1870">
          <cell r="D1870" t="str">
            <v>1) 케이블 성단</v>
          </cell>
          <cell r="AM1870">
            <v>0</v>
          </cell>
        </row>
        <row r="1871">
          <cell r="B1871">
            <v>519</v>
          </cell>
          <cell r="D1871" t="str">
            <v>통신케이블공</v>
          </cell>
          <cell r="E1871">
            <v>0</v>
          </cell>
          <cell r="F1871" t="str">
            <v>인</v>
          </cell>
          <cell r="H1871">
            <v>0.6</v>
          </cell>
          <cell r="I1871" t="str">
            <v>x</v>
          </cell>
          <cell r="J1871">
            <v>15</v>
          </cell>
          <cell r="K1871" t="str">
            <v>/</v>
          </cell>
          <cell r="M1871">
            <v>100</v>
          </cell>
          <cell r="N1871" t="str">
            <v>x</v>
          </cell>
          <cell r="O1871">
            <v>1.5</v>
          </cell>
          <cell r="V1871" t="str">
            <v>=</v>
          </cell>
          <cell r="W1871">
            <v>0.14000000000000001</v>
          </cell>
          <cell r="Y1871" t="str">
            <v>기본</v>
          </cell>
          <cell r="Z1871" t="str">
            <v>x</v>
          </cell>
          <cell r="AA1871" t="str">
            <v>단위량</v>
          </cell>
          <cell r="AC1871" t="str">
            <v>/</v>
          </cell>
          <cell r="AD1871" t="str">
            <v>100회선</v>
          </cell>
          <cell r="AE1871" t="str">
            <v>x</v>
          </cell>
          <cell r="AF1871" t="str">
            <v>젤리충진</v>
          </cell>
          <cell r="AL1871" t="str">
            <v>통 3-19-가</v>
          </cell>
          <cell r="AM1871">
            <v>95424</v>
          </cell>
          <cell r="AN1871">
            <v>0</v>
          </cell>
        </row>
        <row r="1872">
          <cell r="B1872">
            <v>523</v>
          </cell>
          <cell r="D1872" t="str">
            <v>보통인부</v>
          </cell>
          <cell r="E1872">
            <v>0</v>
          </cell>
          <cell r="F1872" t="str">
            <v>인</v>
          </cell>
          <cell r="H1872">
            <v>0.3</v>
          </cell>
          <cell r="I1872" t="str">
            <v>x</v>
          </cell>
          <cell r="J1872">
            <v>15</v>
          </cell>
          <cell r="K1872" t="str">
            <v>/</v>
          </cell>
          <cell r="M1872">
            <v>100</v>
          </cell>
          <cell r="N1872" t="str">
            <v>x</v>
          </cell>
          <cell r="O1872">
            <v>1.5</v>
          </cell>
          <cell r="V1872" t="str">
            <v>=</v>
          </cell>
          <cell r="W1872">
            <v>7.0000000000000007E-2</v>
          </cell>
          <cell r="Y1872" t="str">
            <v>기본</v>
          </cell>
          <cell r="Z1872" t="str">
            <v>x</v>
          </cell>
          <cell r="AA1872" t="str">
            <v>단위량</v>
          </cell>
          <cell r="AC1872" t="str">
            <v>/</v>
          </cell>
          <cell r="AD1872" t="str">
            <v>100회선</v>
          </cell>
          <cell r="AE1872" t="str">
            <v>x</v>
          </cell>
          <cell r="AF1872" t="str">
            <v>젤리충진</v>
          </cell>
          <cell r="AM1872">
            <v>40922</v>
          </cell>
          <cell r="AN1872">
            <v>0</v>
          </cell>
        </row>
        <row r="1873">
          <cell r="D1873" t="str">
            <v>2) 격벽 설치</v>
          </cell>
          <cell r="AL1873" t="str">
            <v>통3-37-라</v>
          </cell>
          <cell r="AM1873">
            <v>0</v>
          </cell>
        </row>
        <row r="1874">
          <cell r="B1874">
            <v>519</v>
          </cell>
          <cell r="D1874" t="str">
            <v>통신케이블공</v>
          </cell>
          <cell r="E1874">
            <v>0</v>
          </cell>
          <cell r="F1874" t="str">
            <v>인</v>
          </cell>
          <cell r="H1874">
            <v>0.33</v>
          </cell>
          <cell r="I1874" t="str">
            <v>x</v>
          </cell>
          <cell r="J1874">
            <v>1</v>
          </cell>
          <cell r="K1874" t="str">
            <v>x</v>
          </cell>
          <cell r="M1874">
            <v>1.5</v>
          </cell>
          <cell r="V1874" t="str">
            <v>=</v>
          </cell>
          <cell r="W1874">
            <v>0.5</v>
          </cell>
          <cell r="Y1874" t="str">
            <v>기본</v>
          </cell>
          <cell r="Z1874" t="str">
            <v>x</v>
          </cell>
          <cell r="AA1874" t="str">
            <v>단위량</v>
          </cell>
          <cell r="AB1874" t="str">
            <v>x</v>
          </cell>
          <cell r="AD1874" t="str">
            <v>차폐</v>
          </cell>
          <cell r="AM1874">
            <v>95424</v>
          </cell>
        </row>
        <row r="1875">
          <cell r="B1875">
            <v>523</v>
          </cell>
          <cell r="D1875" t="str">
            <v>보통인부</v>
          </cell>
          <cell r="E1875">
            <v>0</v>
          </cell>
          <cell r="F1875" t="str">
            <v>인</v>
          </cell>
          <cell r="H1875">
            <v>0.31</v>
          </cell>
          <cell r="I1875" t="str">
            <v>x</v>
          </cell>
          <cell r="J1875">
            <v>1</v>
          </cell>
          <cell r="K1875" t="str">
            <v>x</v>
          </cell>
          <cell r="M1875">
            <v>1.5</v>
          </cell>
          <cell r="V1875" t="str">
            <v>=</v>
          </cell>
          <cell r="W1875">
            <v>0.47</v>
          </cell>
          <cell r="Y1875" t="str">
            <v>기본</v>
          </cell>
          <cell r="Z1875" t="str">
            <v>x</v>
          </cell>
          <cell r="AA1875" t="str">
            <v>단위량</v>
          </cell>
          <cell r="AB1875" t="str">
            <v>x</v>
          </cell>
          <cell r="AD1875" t="str">
            <v>차폐</v>
          </cell>
          <cell r="AM1875">
            <v>40922</v>
          </cell>
        </row>
        <row r="1876">
          <cell r="D1876" t="str">
            <v>3) 씨링콤파운드 주입</v>
          </cell>
          <cell r="AL1876" t="str">
            <v>통3-32</v>
          </cell>
          <cell r="AM1876">
            <v>0</v>
          </cell>
        </row>
        <row r="1877">
          <cell r="B1877">
            <v>519</v>
          </cell>
          <cell r="D1877" t="str">
            <v>통신케이블공</v>
          </cell>
          <cell r="E1877">
            <v>0</v>
          </cell>
          <cell r="F1877" t="str">
            <v>인</v>
          </cell>
          <cell r="H1877">
            <v>0.04</v>
          </cell>
          <cell r="I1877" t="str">
            <v>x</v>
          </cell>
          <cell r="J1877">
            <v>1</v>
          </cell>
          <cell r="V1877" t="str">
            <v>=</v>
          </cell>
          <cell r="W1877">
            <v>0.04</v>
          </cell>
          <cell r="Y1877" t="str">
            <v>기본</v>
          </cell>
          <cell r="Z1877" t="str">
            <v>x</v>
          </cell>
          <cell r="AA1877" t="str">
            <v>단위량</v>
          </cell>
          <cell r="AM1877">
            <v>95424</v>
          </cell>
        </row>
        <row r="1878">
          <cell r="B1878">
            <v>523</v>
          </cell>
          <cell r="D1878" t="str">
            <v>보통인부</v>
          </cell>
          <cell r="E1878">
            <v>0</v>
          </cell>
          <cell r="F1878" t="str">
            <v>인</v>
          </cell>
          <cell r="H1878">
            <v>0.04</v>
          </cell>
          <cell r="I1878" t="str">
            <v>x</v>
          </cell>
          <cell r="J1878">
            <v>1</v>
          </cell>
          <cell r="V1878" t="str">
            <v>=</v>
          </cell>
          <cell r="W1878">
            <v>0.04</v>
          </cell>
          <cell r="Y1878" t="str">
            <v>기본</v>
          </cell>
          <cell r="Z1878" t="str">
            <v>x</v>
          </cell>
          <cell r="AA1878" t="str">
            <v>단위량</v>
          </cell>
          <cell r="AM1878">
            <v>40922</v>
          </cell>
        </row>
        <row r="1879">
          <cell r="B1879">
            <v>544</v>
          </cell>
          <cell r="D1879" t="str">
            <v>소    계</v>
          </cell>
          <cell r="E1879">
            <v>0</v>
          </cell>
          <cell r="F1879">
            <v>0</v>
          </cell>
          <cell r="AM1879">
            <v>0</v>
          </cell>
          <cell r="AN1879">
            <v>0</v>
          </cell>
        </row>
        <row r="1880">
          <cell r="A1880" t="str">
            <v>67-4</v>
          </cell>
          <cell r="B1880">
            <v>519</v>
          </cell>
          <cell r="D1880" t="str">
            <v>통신케이블공</v>
          </cell>
          <cell r="E1880">
            <v>0</v>
          </cell>
          <cell r="F1880" t="str">
            <v>인</v>
          </cell>
          <cell r="V1880" t="str">
            <v>=</v>
          </cell>
          <cell r="W1880">
            <v>0.68</v>
          </cell>
          <cell r="AM1880">
            <v>95424</v>
          </cell>
          <cell r="AN1880">
            <v>0</v>
          </cell>
        </row>
        <row r="1881">
          <cell r="A1881" t="str">
            <v>67-5</v>
          </cell>
          <cell r="B1881">
            <v>523</v>
          </cell>
          <cell r="D1881" t="str">
            <v>보통인부</v>
          </cell>
          <cell r="E1881">
            <v>0</v>
          </cell>
          <cell r="F1881" t="str">
            <v>인</v>
          </cell>
          <cell r="V1881" t="str">
            <v>=</v>
          </cell>
          <cell r="W1881">
            <v>0.58000000000000007</v>
          </cell>
          <cell r="AM1881">
            <v>40922</v>
          </cell>
          <cell r="AN1881">
            <v>0</v>
          </cell>
        </row>
        <row r="1882">
          <cell r="A1882" t="str">
            <v>67-6</v>
          </cell>
          <cell r="B1882">
            <v>543</v>
          </cell>
          <cell r="D1882" t="str">
            <v>다. 공구손료</v>
          </cell>
          <cell r="E1882" t="str">
            <v>노무비x3%</v>
          </cell>
          <cell r="F1882">
            <v>0</v>
          </cell>
          <cell r="AM1882">
            <v>0</v>
          </cell>
          <cell r="AN1882">
            <v>0</v>
          </cell>
        </row>
        <row r="1883">
          <cell r="A1883" t="str">
            <v>67-7</v>
          </cell>
          <cell r="B1883">
            <v>519</v>
          </cell>
          <cell r="D1883" t="str">
            <v>통신케이블공</v>
          </cell>
          <cell r="E1883">
            <v>0</v>
          </cell>
          <cell r="F1883" t="str">
            <v>인</v>
          </cell>
          <cell r="H1883">
            <v>0.68</v>
          </cell>
          <cell r="I1883" t="str">
            <v>x</v>
          </cell>
          <cell r="J1883">
            <v>0.03</v>
          </cell>
          <cell r="V1883" t="str">
            <v>=</v>
          </cell>
          <cell r="W1883">
            <v>0.02</v>
          </cell>
          <cell r="Y1883" t="str">
            <v>기본</v>
          </cell>
          <cell r="Z1883" t="str">
            <v>x</v>
          </cell>
          <cell r="AA1883" t="str">
            <v>공구손료</v>
          </cell>
          <cell r="AM1883">
            <v>95424</v>
          </cell>
          <cell r="AN1883">
            <v>0</v>
          </cell>
        </row>
        <row r="1884">
          <cell r="A1884" t="str">
            <v>67-8</v>
          </cell>
          <cell r="B1884">
            <v>523</v>
          </cell>
          <cell r="D1884" t="str">
            <v>보통인부</v>
          </cell>
          <cell r="E1884">
            <v>0</v>
          </cell>
          <cell r="F1884" t="str">
            <v>인</v>
          </cell>
          <cell r="H1884">
            <v>0.58000000000000007</v>
          </cell>
          <cell r="I1884" t="str">
            <v>x</v>
          </cell>
          <cell r="J1884">
            <v>0.03</v>
          </cell>
          <cell r="V1884" t="str">
            <v>=</v>
          </cell>
          <cell r="W1884">
            <v>0.02</v>
          </cell>
          <cell r="Y1884" t="str">
            <v>기본</v>
          </cell>
          <cell r="Z1884" t="str">
            <v>x</v>
          </cell>
          <cell r="AA1884" t="str">
            <v>공구손료</v>
          </cell>
          <cell r="AM1884">
            <v>40922</v>
          </cell>
          <cell r="AN1884">
            <v>0</v>
          </cell>
        </row>
        <row r="1885">
          <cell r="AM1885">
            <v>0</v>
          </cell>
          <cell r="AN1885">
            <v>0</v>
          </cell>
        </row>
        <row r="1886">
          <cell r="AM1886">
            <v>0</v>
          </cell>
          <cell r="AN1886">
            <v>0</v>
          </cell>
        </row>
        <row r="1887">
          <cell r="AM1887">
            <v>0</v>
          </cell>
          <cell r="AN1887">
            <v>0</v>
          </cell>
        </row>
        <row r="1888">
          <cell r="AM1888">
            <v>0</v>
          </cell>
          <cell r="AN1888">
            <v>0</v>
          </cell>
        </row>
        <row r="1889">
          <cell r="AM1889">
            <v>0</v>
          </cell>
          <cell r="AN1889">
            <v>0</v>
          </cell>
        </row>
        <row r="1890">
          <cell r="AM1890">
            <v>0</v>
          </cell>
          <cell r="AN1890">
            <v>0</v>
          </cell>
        </row>
        <row r="1891">
          <cell r="AM1891">
            <v>0</v>
          </cell>
          <cell r="AN1891">
            <v>0</v>
          </cell>
        </row>
        <row r="1892">
          <cell r="AM1892">
            <v>0</v>
          </cell>
          <cell r="AN1892">
            <v>0</v>
          </cell>
        </row>
        <row r="1893">
          <cell r="A1893">
            <v>68</v>
          </cell>
          <cell r="C1893">
            <v>68</v>
          </cell>
          <cell r="D1893" t="str">
            <v>접지선 신설(지하)</v>
          </cell>
          <cell r="E1893" t="str">
            <v>GV 80㎟</v>
          </cell>
          <cell r="F1893" t="str">
            <v>10m</v>
          </cell>
          <cell r="AM1893">
            <v>0</v>
          </cell>
          <cell r="AN1893">
            <v>0</v>
          </cell>
        </row>
        <row r="1894">
          <cell r="A1894" t="str">
            <v>68-1</v>
          </cell>
          <cell r="B1894">
            <v>541</v>
          </cell>
          <cell r="D1894" t="str">
            <v>가. 재료비</v>
          </cell>
          <cell r="E1894">
            <v>0</v>
          </cell>
          <cell r="F1894">
            <v>0</v>
          </cell>
          <cell r="AM1894">
            <v>0</v>
          </cell>
          <cell r="AN1894">
            <v>0</v>
          </cell>
        </row>
        <row r="1895">
          <cell r="A1895" t="str">
            <v>68-2</v>
          </cell>
          <cell r="B1895">
            <v>143</v>
          </cell>
          <cell r="D1895" t="str">
            <v>접지용전선</v>
          </cell>
          <cell r="E1895" t="str">
            <v>GV 80㎟</v>
          </cell>
          <cell r="F1895" t="str">
            <v>m</v>
          </cell>
          <cell r="H1895">
            <v>1</v>
          </cell>
          <cell r="I1895" t="str">
            <v>x</v>
          </cell>
          <cell r="J1895">
            <v>10</v>
          </cell>
          <cell r="K1895" t="str">
            <v>x</v>
          </cell>
          <cell r="L1895" t="str">
            <v>(</v>
          </cell>
          <cell r="M1895">
            <v>1</v>
          </cell>
          <cell r="N1895" t="str">
            <v>+</v>
          </cell>
          <cell r="O1895">
            <v>0.03</v>
          </cell>
          <cell r="P1895" t="str">
            <v>)</v>
          </cell>
          <cell r="V1895" t="str">
            <v>=</v>
          </cell>
          <cell r="W1895">
            <v>10.3</v>
          </cell>
          <cell r="Y1895" t="str">
            <v>기본</v>
          </cell>
          <cell r="Z1895" t="str">
            <v>x</v>
          </cell>
          <cell r="AA1895" t="str">
            <v>단위량</v>
          </cell>
          <cell r="AB1895" t="str">
            <v>x</v>
          </cell>
          <cell r="AC1895" t="str">
            <v>(</v>
          </cell>
          <cell r="AD1895">
            <v>1</v>
          </cell>
          <cell r="AE1895" t="str">
            <v>+</v>
          </cell>
          <cell r="AF1895" t="str">
            <v>할증</v>
          </cell>
          <cell r="AG1895" t="str">
            <v>)</v>
          </cell>
          <cell r="AM1895">
            <v>3159</v>
          </cell>
          <cell r="AN1895">
            <v>0</v>
          </cell>
        </row>
        <row r="1896">
          <cell r="A1896" t="str">
            <v>68-3</v>
          </cell>
          <cell r="B1896">
            <v>700</v>
          </cell>
          <cell r="D1896" t="str">
            <v>잡재료비</v>
          </cell>
          <cell r="E1896" t="str">
            <v>재료비의2%</v>
          </cell>
          <cell r="F1896" t="str">
            <v>식</v>
          </cell>
          <cell r="V1896" t="str">
            <v>=</v>
          </cell>
          <cell r="W1896">
            <v>1</v>
          </cell>
          <cell r="Y1896" t="str">
            <v>기본</v>
          </cell>
          <cell r="AM1896">
            <v>0</v>
          </cell>
        </row>
        <row r="1897">
          <cell r="A1897" t="str">
            <v>68-4</v>
          </cell>
          <cell r="B1897">
            <v>542</v>
          </cell>
          <cell r="D1897" t="str">
            <v>나. 노무비</v>
          </cell>
          <cell r="E1897">
            <v>0</v>
          </cell>
          <cell r="F1897">
            <v>0</v>
          </cell>
          <cell r="AM1897">
            <v>0</v>
          </cell>
          <cell r="AN1897">
            <v>0</v>
          </cell>
        </row>
        <row r="1898">
          <cell r="B1898">
            <v>516</v>
          </cell>
          <cell r="D1898" t="str">
            <v>통신외선공</v>
          </cell>
          <cell r="E1898">
            <v>0</v>
          </cell>
          <cell r="F1898" t="str">
            <v>인</v>
          </cell>
          <cell r="H1898">
            <v>0.15</v>
          </cell>
          <cell r="I1898" t="str">
            <v>x</v>
          </cell>
          <cell r="J1898">
            <v>1</v>
          </cell>
          <cell r="K1898" t="str">
            <v>x</v>
          </cell>
          <cell r="L1898" t="str">
            <v>(</v>
          </cell>
          <cell r="M1898">
            <v>1</v>
          </cell>
          <cell r="N1898" t="str">
            <v>+</v>
          </cell>
          <cell r="O1898">
            <v>0.02</v>
          </cell>
          <cell r="P1898" t="str">
            <v>)</v>
          </cell>
          <cell r="V1898" t="str">
            <v>=</v>
          </cell>
          <cell r="W1898">
            <v>0.15</v>
          </cell>
          <cell r="Y1898" t="str">
            <v>기본</v>
          </cell>
          <cell r="Z1898" t="str">
            <v>x</v>
          </cell>
          <cell r="AA1898" t="str">
            <v>단위량</v>
          </cell>
          <cell r="AB1898" t="str">
            <v>x</v>
          </cell>
          <cell r="AC1898" t="str">
            <v>(</v>
          </cell>
          <cell r="AD1898">
            <v>1</v>
          </cell>
          <cell r="AE1898" t="str">
            <v>+</v>
          </cell>
          <cell r="AF1898" t="str">
            <v>지하</v>
          </cell>
          <cell r="AG1898" t="str">
            <v>)</v>
          </cell>
          <cell r="AL1898" t="str">
            <v>통 3-39(지하)</v>
          </cell>
          <cell r="AM1898">
            <v>90961</v>
          </cell>
          <cell r="AN1898">
            <v>0</v>
          </cell>
        </row>
        <row r="1899">
          <cell r="B1899">
            <v>544</v>
          </cell>
          <cell r="D1899" t="str">
            <v>소    계</v>
          </cell>
          <cell r="E1899">
            <v>0</v>
          </cell>
          <cell r="F1899">
            <v>0</v>
          </cell>
          <cell r="AM1899">
            <v>0</v>
          </cell>
          <cell r="AN1899">
            <v>0</v>
          </cell>
        </row>
        <row r="1900">
          <cell r="A1900" t="str">
            <v>68-5</v>
          </cell>
          <cell r="B1900">
            <v>516</v>
          </cell>
          <cell r="D1900" t="str">
            <v>통신외선공</v>
          </cell>
          <cell r="E1900">
            <v>0</v>
          </cell>
          <cell r="F1900" t="str">
            <v>인</v>
          </cell>
          <cell r="V1900" t="str">
            <v>=</v>
          </cell>
          <cell r="W1900">
            <v>0.15</v>
          </cell>
          <cell r="AM1900">
            <v>90961</v>
          </cell>
          <cell r="AN1900">
            <v>0</v>
          </cell>
        </row>
        <row r="1901">
          <cell r="A1901" t="str">
            <v>68-6</v>
          </cell>
          <cell r="B1901">
            <v>543</v>
          </cell>
          <cell r="D1901" t="str">
            <v>다. 공구손료</v>
          </cell>
          <cell r="E1901" t="str">
            <v>노무비x3%</v>
          </cell>
          <cell r="F1901">
            <v>0</v>
          </cell>
          <cell r="AM1901">
            <v>0</v>
          </cell>
          <cell r="AN1901">
            <v>0</v>
          </cell>
        </row>
        <row r="1902">
          <cell r="A1902" t="str">
            <v>68-7</v>
          </cell>
          <cell r="B1902">
            <v>516</v>
          </cell>
          <cell r="D1902" t="str">
            <v>통신외선공</v>
          </cell>
          <cell r="E1902">
            <v>0</v>
          </cell>
          <cell r="F1902" t="str">
            <v>인</v>
          </cell>
          <cell r="H1902">
            <v>0.15</v>
          </cell>
          <cell r="I1902" t="str">
            <v>x</v>
          </cell>
          <cell r="J1902">
            <v>0.03</v>
          </cell>
          <cell r="V1902" t="str">
            <v>=</v>
          </cell>
          <cell r="W1902" t="str">
            <v>0</v>
          </cell>
          <cell r="Y1902" t="str">
            <v>기본</v>
          </cell>
          <cell r="Z1902" t="str">
            <v>x</v>
          </cell>
          <cell r="AA1902" t="str">
            <v>공구손료</v>
          </cell>
          <cell r="AM1902">
            <v>90961</v>
          </cell>
          <cell r="AN1902">
            <v>0</v>
          </cell>
        </row>
        <row r="1903">
          <cell r="AM1903">
            <v>0</v>
          </cell>
          <cell r="AN1903">
            <v>0</v>
          </cell>
        </row>
        <row r="1904">
          <cell r="AM1904">
            <v>0</v>
          </cell>
          <cell r="AN1904">
            <v>0</v>
          </cell>
        </row>
        <row r="1905">
          <cell r="AM1905">
            <v>0</v>
          </cell>
          <cell r="AN1905">
            <v>0</v>
          </cell>
        </row>
        <row r="1906">
          <cell r="AM1906">
            <v>0</v>
          </cell>
          <cell r="AN1906">
            <v>0</v>
          </cell>
        </row>
        <row r="1907">
          <cell r="AM1907">
            <v>0</v>
          </cell>
          <cell r="AN1907">
            <v>0</v>
          </cell>
        </row>
        <row r="1908">
          <cell r="AM1908">
            <v>0</v>
          </cell>
          <cell r="AN1908">
            <v>0</v>
          </cell>
        </row>
        <row r="1909">
          <cell r="AM1909">
            <v>0</v>
          </cell>
          <cell r="AN1909">
            <v>0</v>
          </cell>
        </row>
        <row r="1910">
          <cell r="AM1910">
            <v>0</v>
          </cell>
          <cell r="AN1910">
            <v>0</v>
          </cell>
        </row>
        <row r="1911">
          <cell r="AM1911">
            <v>0</v>
          </cell>
          <cell r="AN1911">
            <v>0</v>
          </cell>
        </row>
        <row r="1912">
          <cell r="AM1912">
            <v>0</v>
          </cell>
          <cell r="AN1912">
            <v>0</v>
          </cell>
        </row>
        <row r="1913">
          <cell r="AM1913">
            <v>0</v>
          </cell>
          <cell r="AN1913">
            <v>0</v>
          </cell>
        </row>
        <row r="1914">
          <cell r="AM1914">
            <v>0</v>
          </cell>
        </row>
        <row r="1915">
          <cell r="AM1915">
            <v>0</v>
          </cell>
        </row>
        <row r="1916">
          <cell r="AM1916">
            <v>0</v>
          </cell>
          <cell r="AN1916">
            <v>0</v>
          </cell>
        </row>
        <row r="1917">
          <cell r="AM1917">
            <v>0</v>
          </cell>
        </row>
        <row r="1918">
          <cell r="AM1918">
            <v>0</v>
          </cell>
        </row>
        <row r="1919">
          <cell r="AM1919">
            <v>0</v>
          </cell>
          <cell r="AN1919">
            <v>0</v>
          </cell>
        </row>
        <row r="1920">
          <cell r="A1920">
            <v>69</v>
          </cell>
          <cell r="C1920">
            <v>69</v>
          </cell>
          <cell r="D1920" t="str">
            <v>접지선신설(지상)</v>
          </cell>
          <cell r="E1920" t="str">
            <v>GV 80㎟</v>
          </cell>
          <cell r="F1920" t="str">
            <v>10m</v>
          </cell>
          <cell r="AM1920">
            <v>0</v>
          </cell>
          <cell r="AN1920">
            <v>0</v>
          </cell>
        </row>
        <row r="1921">
          <cell r="A1921" t="str">
            <v>69-1</v>
          </cell>
          <cell r="B1921">
            <v>541</v>
          </cell>
          <cell r="D1921" t="str">
            <v>가. 재료비</v>
          </cell>
          <cell r="E1921">
            <v>0</v>
          </cell>
          <cell r="F1921">
            <v>0</v>
          </cell>
          <cell r="AM1921">
            <v>0</v>
          </cell>
          <cell r="AN1921">
            <v>0</v>
          </cell>
        </row>
        <row r="1922">
          <cell r="A1922" t="str">
            <v>69-2</v>
          </cell>
          <cell r="B1922">
            <v>143</v>
          </cell>
          <cell r="D1922" t="str">
            <v>접지용전선</v>
          </cell>
          <cell r="E1922" t="str">
            <v>GV 80㎟</v>
          </cell>
          <cell r="F1922" t="str">
            <v>m</v>
          </cell>
          <cell r="H1922">
            <v>1</v>
          </cell>
          <cell r="I1922" t="str">
            <v>x</v>
          </cell>
          <cell r="J1922">
            <v>10</v>
          </cell>
          <cell r="K1922" t="str">
            <v>x</v>
          </cell>
          <cell r="L1922" t="str">
            <v>(</v>
          </cell>
          <cell r="M1922">
            <v>1</v>
          </cell>
          <cell r="N1922" t="str">
            <v>+</v>
          </cell>
          <cell r="O1922">
            <v>0.03</v>
          </cell>
          <cell r="P1922" t="str">
            <v>)</v>
          </cell>
          <cell r="V1922" t="str">
            <v>=</v>
          </cell>
          <cell r="W1922">
            <v>10.3</v>
          </cell>
          <cell r="Y1922" t="str">
            <v>기본</v>
          </cell>
          <cell r="Z1922" t="str">
            <v>x</v>
          </cell>
          <cell r="AA1922" t="str">
            <v>단위량</v>
          </cell>
          <cell r="AB1922" t="str">
            <v>x</v>
          </cell>
          <cell r="AC1922" t="str">
            <v>(</v>
          </cell>
          <cell r="AD1922">
            <v>1</v>
          </cell>
          <cell r="AE1922" t="str">
            <v>+</v>
          </cell>
          <cell r="AF1922" t="str">
            <v>할증</v>
          </cell>
          <cell r="AG1922" t="str">
            <v>)</v>
          </cell>
          <cell r="AM1922">
            <v>3159</v>
          </cell>
          <cell r="AN1922">
            <v>0</v>
          </cell>
        </row>
        <row r="1923">
          <cell r="A1923" t="str">
            <v>69-3</v>
          </cell>
          <cell r="B1923">
            <v>700</v>
          </cell>
          <cell r="D1923" t="str">
            <v>잡재료비</v>
          </cell>
          <cell r="E1923" t="str">
            <v>재료비의2%</v>
          </cell>
          <cell r="F1923" t="str">
            <v>식</v>
          </cell>
          <cell r="V1923" t="str">
            <v>=</v>
          </cell>
          <cell r="W1923">
            <v>1</v>
          </cell>
          <cell r="Y1923" t="str">
            <v>기본</v>
          </cell>
          <cell r="AM1923">
            <v>0</v>
          </cell>
        </row>
        <row r="1924">
          <cell r="A1924" t="str">
            <v>69-4</v>
          </cell>
          <cell r="B1924">
            <v>542</v>
          </cell>
          <cell r="D1924" t="str">
            <v>나. 노무비</v>
          </cell>
          <cell r="E1924">
            <v>0</v>
          </cell>
          <cell r="F1924">
            <v>0</v>
          </cell>
          <cell r="AL1924" t="str">
            <v>통 3-39</v>
          </cell>
          <cell r="AM1924">
            <v>0</v>
          </cell>
          <cell r="AN1924">
            <v>0</v>
          </cell>
        </row>
        <row r="1925">
          <cell r="B1925">
            <v>516</v>
          </cell>
          <cell r="D1925" t="str">
            <v>통신외선공</v>
          </cell>
          <cell r="E1925">
            <v>0</v>
          </cell>
          <cell r="F1925" t="str">
            <v>인</v>
          </cell>
          <cell r="H1925">
            <v>0.15</v>
          </cell>
          <cell r="I1925" t="str">
            <v>x</v>
          </cell>
          <cell r="J1925">
            <v>1</v>
          </cell>
          <cell r="V1925" t="str">
            <v>=</v>
          </cell>
          <cell r="W1925">
            <v>0.15</v>
          </cell>
          <cell r="Y1925" t="str">
            <v>기본</v>
          </cell>
          <cell r="Z1925" t="str">
            <v>x</v>
          </cell>
          <cell r="AA1925" t="str">
            <v>단위량</v>
          </cell>
          <cell r="AM1925">
            <v>90961</v>
          </cell>
          <cell r="AN1925">
            <v>0</v>
          </cell>
        </row>
        <row r="1926">
          <cell r="B1926">
            <v>544</v>
          </cell>
          <cell r="D1926" t="str">
            <v>소    계</v>
          </cell>
          <cell r="E1926">
            <v>0</v>
          </cell>
          <cell r="F1926">
            <v>0</v>
          </cell>
          <cell r="AM1926">
            <v>0</v>
          </cell>
          <cell r="AN1926">
            <v>0</v>
          </cell>
        </row>
        <row r="1927">
          <cell r="A1927" t="str">
            <v>69-5</v>
          </cell>
          <cell r="B1927">
            <v>516</v>
          </cell>
          <cell r="D1927" t="str">
            <v>통신외선공</v>
          </cell>
          <cell r="E1927">
            <v>0</v>
          </cell>
          <cell r="F1927" t="str">
            <v>인</v>
          </cell>
          <cell r="V1927" t="str">
            <v>=</v>
          </cell>
          <cell r="W1927">
            <v>0.15</v>
          </cell>
          <cell r="AM1927">
            <v>90961</v>
          </cell>
          <cell r="AN1927">
            <v>0</v>
          </cell>
        </row>
        <row r="1928">
          <cell r="A1928" t="str">
            <v>69-6</v>
          </cell>
          <cell r="B1928">
            <v>543</v>
          </cell>
          <cell r="D1928" t="str">
            <v>다. 공구손료</v>
          </cell>
          <cell r="E1928" t="str">
            <v>노무비x3%</v>
          </cell>
          <cell r="F1928">
            <v>0</v>
          </cell>
          <cell r="AM1928">
            <v>0</v>
          </cell>
          <cell r="AN1928">
            <v>0</v>
          </cell>
        </row>
        <row r="1929">
          <cell r="A1929" t="str">
            <v>69-7</v>
          </cell>
          <cell r="B1929">
            <v>516</v>
          </cell>
          <cell r="D1929" t="str">
            <v>통신외선공</v>
          </cell>
          <cell r="E1929">
            <v>0</v>
          </cell>
          <cell r="F1929" t="str">
            <v>인</v>
          </cell>
          <cell r="H1929">
            <v>0.15</v>
          </cell>
          <cell r="I1929" t="str">
            <v>x</v>
          </cell>
          <cell r="J1929">
            <v>0.03</v>
          </cell>
          <cell r="V1929" t="str">
            <v>=</v>
          </cell>
          <cell r="W1929" t="str">
            <v>0</v>
          </cell>
          <cell r="Y1929" t="str">
            <v>기본</v>
          </cell>
          <cell r="Z1929" t="str">
            <v>x</v>
          </cell>
          <cell r="AA1929" t="str">
            <v>공구손료</v>
          </cell>
          <cell r="AM1929">
            <v>90961</v>
          </cell>
          <cell r="AN1929">
            <v>0</v>
          </cell>
        </row>
        <row r="1930">
          <cell r="AM1930">
            <v>0</v>
          </cell>
          <cell r="AN1930">
            <v>0</v>
          </cell>
        </row>
        <row r="1931">
          <cell r="AM1931">
            <v>0</v>
          </cell>
          <cell r="AN1931">
            <v>0</v>
          </cell>
        </row>
        <row r="1932">
          <cell r="AM1932">
            <v>0</v>
          </cell>
          <cell r="AN1932">
            <v>0</v>
          </cell>
        </row>
        <row r="1933">
          <cell r="AM1933">
            <v>0</v>
          </cell>
          <cell r="AN1933">
            <v>0</v>
          </cell>
        </row>
        <row r="1934">
          <cell r="AM1934">
            <v>0</v>
          </cell>
          <cell r="AN1934">
            <v>0</v>
          </cell>
        </row>
        <row r="1935">
          <cell r="AM1935">
            <v>0</v>
          </cell>
          <cell r="AN1935">
            <v>0</v>
          </cell>
        </row>
        <row r="1936">
          <cell r="AM1936">
            <v>0</v>
          </cell>
          <cell r="AN1936">
            <v>0</v>
          </cell>
        </row>
        <row r="1937">
          <cell r="AM1937">
            <v>0</v>
          </cell>
          <cell r="AN1937">
            <v>0</v>
          </cell>
        </row>
        <row r="1938">
          <cell r="AM1938">
            <v>0</v>
          </cell>
          <cell r="AN1938">
            <v>0</v>
          </cell>
        </row>
        <row r="1939">
          <cell r="AM1939">
            <v>0</v>
          </cell>
        </row>
        <row r="1940">
          <cell r="AM1940">
            <v>0</v>
          </cell>
        </row>
        <row r="1941">
          <cell r="AM1941">
            <v>0</v>
          </cell>
          <cell r="AN1941">
            <v>0</v>
          </cell>
        </row>
        <row r="1942">
          <cell r="AM1942">
            <v>0</v>
          </cell>
          <cell r="AN1942">
            <v>0</v>
          </cell>
        </row>
        <row r="1943">
          <cell r="AM1943">
            <v>0</v>
          </cell>
        </row>
        <row r="1944">
          <cell r="AM1944">
            <v>0</v>
          </cell>
        </row>
        <row r="1945">
          <cell r="AM1945">
            <v>0</v>
          </cell>
        </row>
        <row r="1946">
          <cell r="AM1946">
            <v>0</v>
          </cell>
          <cell r="AN1946">
            <v>0</v>
          </cell>
        </row>
        <row r="1947">
          <cell r="A1947">
            <v>70</v>
          </cell>
          <cell r="C1947">
            <v>70</v>
          </cell>
          <cell r="D1947" t="str">
            <v>접지선 신설(지하)</v>
          </cell>
          <cell r="E1947" t="str">
            <v>GV 38㎟</v>
          </cell>
          <cell r="F1947" t="str">
            <v>10m</v>
          </cell>
          <cell r="AM1947">
            <v>0</v>
          </cell>
          <cell r="AN1947">
            <v>0</v>
          </cell>
        </row>
        <row r="1948">
          <cell r="A1948" t="str">
            <v>70-1</v>
          </cell>
          <cell r="B1948">
            <v>541</v>
          </cell>
          <cell r="D1948" t="str">
            <v>가. 재료비</v>
          </cell>
          <cell r="E1948">
            <v>0</v>
          </cell>
          <cell r="F1948">
            <v>0</v>
          </cell>
          <cell r="AM1948">
            <v>0</v>
          </cell>
          <cell r="AN1948">
            <v>0</v>
          </cell>
        </row>
        <row r="1949">
          <cell r="A1949" t="str">
            <v>70-2</v>
          </cell>
          <cell r="B1949">
            <v>142</v>
          </cell>
          <cell r="D1949" t="str">
            <v>접지용전선</v>
          </cell>
          <cell r="E1949" t="str">
            <v>GV 38㎟</v>
          </cell>
          <cell r="F1949" t="str">
            <v>m</v>
          </cell>
          <cell r="H1949">
            <v>1</v>
          </cell>
          <cell r="I1949" t="str">
            <v>x</v>
          </cell>
          <cell r="J1949">
            <v>10</v>
          </cell>
          <cell r="K1949" t="str">
            <v>x</v>
          </cell>
          <cell r="L1949" t="str">
            <v>(</v>
          </cell>
          <cell r="M1949">
            <v>1</v>
          </cell>
          <cell r="N1949" t="str">
            <v>+</v>
          </cell>
          <cell r="O1949">
            <v>0.03</v>
          </cell>
          <cell r="P1949" t="str">
            <v>)</v>
          </cell>
          <cell r="V1949" t="str">
            <v>=</v>
          </cell>
          <cell r="W1949">
            <v>10.3</v>
          </cell>
          <cell r="Y1949" t="str">
            <v>기본</v>
          </cell>
          <cell r="Z1949" t="str">
            <v>x</v>
          </cell>
          <cell r="AA1949" t="str">
            <v>단위량</v>
          </cell>
          <cell r="AB1949" t="str">
            <v>x</v>
          </cell>
          <cell r="AC1949" t="str">
            <v>(</v>
          </cell>
          <cell r="AD1949">
            <v>1</v>
          </cell>
          <cell r="AE1949" t="str">
            <v>+</v>
          </cell>
          <cell r="AF1949" t="str">
            <v>할증</v>
          </cell>
          <cell r="AG1949" t="str">
            <v>)</v>
          </cell>
          <cell r="AM1949">
            <v>1195</v>
          </cell>
          <cell r="AN1949">
            <v>0</v>
          </cell>
        </row>
        <row r="1950">
          <cell r="A1950" t="str">
            <v>70-3</v>
          </cell>
          <cell r="B1950">
            <v>700</v>
          </cell>
          <cell r="D1950" t="str">
            <v>잡재료비</v>
          </cell>
          <cell r="E1950" t="str">
            <v>재료비의2%</v>
          </cell>
          <cell r="F1950" t="str">
            <v>식</v>
          </cell>
          <cell r="V1950" t="str">
            <v>=</v>
          </cell>
          <cell r="W1950">
            <v>1</v>
          </cell>
          <cell r="Y1950" t="str">
            <v>기본</v>
          </cell>
          <cell r="AM1950">
            <v>0</v>
          </cell>
          <cell r="AN1950">
            <v>0</v>
          </cell>
        </row>
        <row r="1951">
          <cell r="A1951" t="str">
            <v>70-4</v>
          </cell>
          <cell r="B1951">
            <v>542</v>
          </cell>
          <cell r="D1951" t="str">
            <v>나. 노무비</v>
          </cell>
          <cell r="E1951">
            <v>0</v>
          </cell>
          <cell r="F1951">
            <v>0</v>
          </cell>
          <cell r="AM1951">
            <v>0</v>
          </cell>
          <cell r="AN1951">
            <v>0</v>
          </cell>
        </row>
        <row r="1952">
          <cell r="B1952">
            <v>516</v>
          </cell>
          <cell r="D1952" t="str">
            <v>통신외선공</v>
          </cell>
          <cell r="E1952">
            <v>0</v>
          </cell>
          <cell r="F1952" t="str">
            <v>인</v>
          </cell>
          <cell r="H1952">
            <v>0.12</v>
          </cell>
          <cell r="I1952" t="str">
            <v>x</v>
          </cell>
          <cell r="J1952">
            <v>1</v>
          </cell>
          <cell r="K1952" t="str">
            <v>x</v>
          </cell>
          <cell r="L1952" t="str">
            <v>(</v>
          </cell>
          <cell r="M1952">
            <v>1</v>
          </cell>
          <cell r="N1952" t="str">
            <v>+</v>
          </cell>
          <cell r="O1952">
            <v>0.02</v>
          </cell>
          <cell r="P1952" t="str">
            <v>)</v>
          </cell>
          <cell r="V1952" t="str">
            <v>=</v>
          </cell>
          <cell r="W1952">
            <v>0.12</v>
          </cell>
          <cell r="Y1952" t="str">
            <v>기본</v>
          </cell>
          <cell r="Z1952" t="str">
            <v>x</v>
          </cell>
          <cell r="AA1952" t="str">
            <v>단위량</v>
          </cell>
          <cell r="AB1952" t="str">
            <v>x</v>
          </cell>
          <cell r="AC1952" t="str">
            <v>(</v>
          </cell>
          <cell r="AD1952">
            <v>1</v>
          </cell>
          <cell r="AE1952" t="str">
            <v>+</v>
          </cell>
          <cell r="AF1952" t="str">
            <v>지하</v>
          </cell>
          <cell r="AG1952" t="str">
            <v>)</v>
          </cell>
          <cell r="AL1952" t="str">
            <v>통 3-39(지하)</v>
          </cell>
          <cell r="AM1952">
            <v>90961</v>
          </cell>
          <cell r="AN1952">
            <v>0</v>
          </cell>
        </row>
        <row r="1953">
          <cell r="B1953">
            <v>544</v>
          </cell>
          <cell r="D1953" t="str">
            <v>소    계</v>
          </cell>
          <cell r="E1953">
            <v>0</v>
          </cell>
          <cell r="F1953">
            <v>0</v>
          </cell>
          <cell r="AM1953">
            <v>0</v>
          </cell>
          <cell r="AN1953">
            <v>0</v>
          </cell>
        </row>
        <row r="1954">
          <cell r="A1954" t="str">
            <v>70-5</v>
          </cell>
          <cell r="B1954">
            <v>516</v>
          </cell>
          <cell r="D1954" t="str">
            <v>통신외선공</v>
          </cell>
          <cell r="E1954">
            <v>0</v>
          </cell>
          <cell r="F1954" t="str">
            <v>인</v>
          </cell>
          <cell r="V1954" t="str">
            <v>=</v>
          </cell>
          <cell r="W1954">
            <v>0.12</v>
          </cell>
          <cell r="AM1954">
            <v>90961</v>
          </cell>
          <cell r="AN1954">
            <v>0</v>
          </cell>
        </row>
        <row r="1955">
          <cell r="A1955" t="str">
            <v>70-6</v>
          </cell>
          <cell r="B1955">
            <v>543</v>
          </cell>
          <cell r="D1955" t="str">
            <v>다. 공구손료</v>
          </cell>
          <cell r="E1955" t="str">
            <v>노무비x3%</v>
          </cell>
          <cell r="F1955">
            <v>0</v>
          </cell>
          <cell r="AM1955">
            <v>0</v>
          </cell>
          <cell r="AN1955">
            <v>0</v>
          </cell>
        </row>
        <row r="1956">
          <cell r="A1956" t="str">
            <v>70-7</v>
          </cell>
          <cell r="B1956">
            <v>516</v>
          </cell>
          <cell r="D1956" t="str">
            <v>통신외선공</v>
          </cell>
          <cell r="E1956">
            <v>0</v>
          </cell>
          <cell r="F1956" t="str">
            <v>인</v>
          </cell>
          <cell r="H1956">
            <v>0.12</v>
          </cell>
          <cell r="I1956" t="str">
            <v>x</v>
          </cell>
          <cell r="J1956">
            <v>0.03</v>
          </cell>
          <cell r="V1956" t="str">
            <v>=</v>
          </cell>
          <cell r="W1956" t="str">
            <v>0</v>
          </cell>
          <cell r="Y1956" t="str">
            <v>기본</v>
          </cell>
          <cell r="Z1956" t="str">
            <v>x</v>
          </cell>
          <cell r="AA1956" t="str">
            <v>공구손료</v>
          </cell>
          <cell r="AM1956">
            <v>90961</v>
          </cell>
          <cell r="AN1956">
            <v>0</v>
          </cell>
        </row>
        <row r="1957">
          <cell r="AM1957">
            <v>0</v>
          </cell>
          <cell r="AN1957">
            <v>0</v>
          </cell>
        </row>
        <row r="1958">
          <cell r="AM1958">
            <v>0</v>
          </cell>
          <cell r="AN1958">
            <v>0</v>
          </cell>
        </row>
        <row r="1959">
          <cell r="AM1959">
            <v>0</v>
          </cell>
          <cell r="AN1959">
            <v>0</v>
          </cell>
        </row>
        <row r="1960">
          <cell r="AM1960">
            <v>0</v>
          </cell>
          <cell r="AN1960">
            <v>0</v>
          </cell>
        </row>
        <row r="1961">
          <cell r="AM1961">
            <v>0</v>
          </cell>
          <cell r="AN1961">
            <v>0</v>
          </cell>
        </row>
        <row r="1962">
          <cell r="AM1962">
            <v>0</v>
          </cell>
          <cell r="AN1962">
            <v>0</v>
          </cell>
        </row>
        <row r="1963">
          <cell r="AM1963">
            <v>0</v>
          </cell>
          <cell r="AN1963">
            <v>0</v>
          </cell>
        </row>
        <row r="1964">
          <cell r="AM1964">
            <v>0</v>
          </cell>
          <cell r="AN1964">
            <v>0</v>
          </cell>
        </row>
        <row r="1965">
          <cell r="AM1965">
            <v>0</v>
          </cell>
          <cell r="AN1965">
            <v>0</v>
          </cell>
        </row>
        <row r="1966">
          <cell r="AM1966">
            <v>0</v>
          </cell>
          <cell r="AN1966">
            <v>0</v>
          </cell>
        </row>
        <row r="1967">
          <cell r="AM1967">
            <v>0</v>
          </cell>
          <cell r="AN1967">
            <v>0</v>
          </cell>
        </row>
        <row r="1968">
          <cell r="AM1968">
            <v>0</v>
          </cell>
        </row>
        <row r="1969">
          <cell r="AM1969">
            <v>0</v>
          </cell>
        </row>
        <row r="1970">
          <cell r="AM1970">
            <v>0</v>
          </cell>
          <cell r="AN1970">
            <v>0</v>
          </cell>
        </row>
        <row r="1971">
          <cell r="AM1971">
            <v>0</v>
          </cell>
        </row>
        <row r="1972">
          <cell r="AM1972">
            <v>0</v>
          </cell>
        </row>
        <row r="1973">
          <cell r="AM1973">
            <v>0</v>
          </cell>
          <cell r="AN1973">
            <v>0</v>
          </cell>
        </row>
        <row r="1974">
          <cell r="A1974">
            <v>71</v>
          </cell>
          <cell r="C1974">
            <v>71</v>
          </cell>
          <cell r="D1974" t="str">
            <v>접지선신설(지상)</v>
          </cell>
          <cell r="E1974" t="str">
            <v>GV 38㎟</v>
          </cell>
          <cell r="F1974" t="str">
            <v>10m</v>
          </cell>
          <cell r="AM1974">
            <v>0</v>
          </cell>
          <cell r="AN1974">
            <v>0</v>
          </cell>
        </row>
        <row r="1975">
          <cell r="A1975" t="str">
            <v>71-1</v>
          </cell>
          <cell r="B1975">
            <v>541</v>
          </cell>
          <cell r="D1975" t="str">
            <v>가. 재료비</v>
          </cell>
          <cell r="E1975">
            <v>0</v>
          </cell>
          <cell r="F1975">
            <v>0</v>
          </cell>
          <cell r="AM1975">
            <v>0</v>
          </cell>
          <cell r="AN1975">
            <v>0</v>
          </cell>
        </row>
        <row r="1976">
          <cell r="A1976" t="str">
            <v>71-2</v>
          </cell>
          <cell r="B1976">
            <v>142</v>
          </cell>
          <cell r="D1976" t="str">
            <v>접지용전선</v>
          </cell>
          <cell r="E1976" t="str">
            <v>GV 38㎟</v>
          </cell>
          <cell r="F1976" t="str">
            <v>m</v>
          </cell>
          <cell r="H1976">
            <v>1</v>
          </cell>
          <cell r="I1976" t="str">
            <v>x</v>
          </cell>
          <cell r="J1976">
            <v>10</v>
          </cell>
          <cell r="K1976" t="str">
            <v>x</v>
          </cell>
          <cell r="L1976" t="str">
            <v>(</v>
          </cell>
          <cell r="M1976">
            <v>1</v>
          </cell>
          <cell r="N1976" t="str">
            <v>+</v>
          </cell>
          <cell r="O1976">
            <v>0.03</v>
          </cell>
          <cell r="P1976" t="str">
            <v>)</v>
          </cell>
          <cell r="V1976" t="str">
            <v>=</v>
          </cell>
          <cell r="W1976">
            <v>10.3</v>
          </cell>
          <cell r="Y1976" t="str">
            <v>기본</v>
          </cell>
          <cell r="Z1976" t="str">
            <v>x</v>
          </cell>
          <cell r="AA1976" t="str">
            <v>단위량</v>
          </cell>
          <cell r="AB1976" t="str">
            <v>x</v>
          </cell>
          <cell r="AC1976" t="str">
            <v>(</v>
          </cell>
          <cell r="AD1976">
            <v>1</v>
          </cell>
          <cell r="AE1976" t="str">
            <v>+</v>
          </cell>
          <cell r="AF1976" t="str">
            <v>할증</v>
          </cell>
          <cell r="AG1976" t="str">
            <v>)</v>
          </cell>
          <cell r="AM1976">
            <v>1195</v>
          </cell>
          <cell r="AN1976">
            <v>0</v>
          </cell>
        </row>
        <row r="1977">
          <cell r="A1977" t="str">
            <v>71-3</v>
          </cell>
          <cell r="B1977">
            <v>700</v>
          </cell>
          <cell r="D1977" t="str">
            <v>잡재료비</v>
          </cell>
          <cell r="E1977" t="str">
            <v>재료비의2%</v>
          </cell>
          <cell r="F1977" t="str">
            <v>식</v>
          </cell>
          <cell r="V1977" t="str">
            <v>=</v>
          </cell>
          <cell r="W1977">
            <v>1</v>
          </cell>
          <cell r="Y1977" t="str">
            <v>기본</v>
          </cell>
          <cell r="AM1977">
            <v>0</v>
          </cell>
        </row>
        <row r="1978">
          <cell r="A1978" t="str">
            <v>71-4</v>
          </cell>
          <cell r="B1978">
            <v>542</v>
          </cell>
          <cell r="D1978" t="str">
            <v>나. 노무비</v>
          </cell>
          <cell r="E1978">
            <v>0</v>
          </cell>
          <cell r="F1978">
            <v>0</v>
          </cell>
          <cell r="AL1978" t="str">
            <v>통 3-39</v>
          </cell>
          <cell r="AM1978">
            <v>0</v>
          </cell>
          <cell r="AN1978">
            <v>0</v>
          </cell>
        </row>
        <row r="1979">
          <cell r="B1979">
            <v>516</v>
          </cell>
          <cell r="D1979" t="str">
            <v>통신외선공</v>
          </cell>
          <cell r="E1979">
            <v>0</v>
          </cell>
          <cell r="F1979" t="str">
            <v>인</v>
          </cell>
          <cell r="H1979">
            <v>0.12</v>
          </cell>
          <cell r="I1979" t="str">
            <v>x</v>
          </cell>
          <cell r="J1979">
            <v>1</v>
          </cell>
          <cell r="V1979" t="str">
            <v>=</v>
          </cell>
          <cell r="W1979">
            <v>0.12</v>
          </cell>
          <cell r="Y1979" t="str">
            <v>기본</v>
          </cell>
          <cell r="Z1979" t="str">
            <v>x</v>
          </cell>
          <cell r="AA1979" t="str">
            <v>단위량</v>
          </cell>
          <cell r="AM1979">
            <v>90961</v>
          </cell>
          <cell r="AN1979">
            <v>0</v>
          </cell>
        </row>
        <row r="1980">
          <cell r="B1980">
            <v>544</v>
          </cell>
          <cell r="D1980" t="str">
            <v>소    계</v>
          </cell>
          <cell r="E1980">
            <v>0</v>
          </cell>
          <cell r="F1980">
            <v>0</v>
          </cell>
          <cell r="AM1980">
            <v>0</v>
          </cell>
          <cell r="AN1980">
            <v>0</v>
          </cell>
        </row>
        <row r="1981">
          <cell r="A1981" t="str">
            <v>71-5</v>
          </cell>
          <cell r="B1981">
            <v>516</v>
          </cell>
          <cell r="D1981" t="str">
            <v>통신외선공</v>
          </cell>
          <cell r="E1981">
            <v>0</v>
          </cell>
          <cell r="F1981" t="str">
            <v>인</v>
          </cell>
          <cell r="V1981" t="str">
            <v>=</v>
          </cell>
          <cell r="W1981">
            <v>0.12</v>
          </cell>
          <cell r="AM1981">
            <v>90961</v>
          </cell>
          <cell r="AN1981">
            <v>0</v>
          </cell>
        </row>
        <row r="1982">
          <cell r="A1982" t="str">
            <v>71-6</v>
          </cell>
          <cell r="B1982">
            <v>543</v>
          </cell>
          <cell r="D1982" t="str">
            <v>다. 공구손료</v>
          </cell>
          <cell r="E1982" t="str">
            <v>노무비x3%</v>
          </cell>
          <cell r="F1982">
            <v>0</v>
          </cell>
          <cell r="AM1982">
            <v>0</v>
          </cell>
          <cell r="AN1982">
            <v>0</v>
          </cell>
        </row>
        <row r="1983">
          <cell r="A1983" t="str">
            <v>71-7</v>
          </cell>
          <cell r="B1983">
            <v>516</v>
          </cell>
          <cell r="D1983" t="str">
            <v>통신외선공</v>
          </cell>
          <cell r="E1983">
            <v>0</v>
          </cell>
          <cell r="F1983" t="str">
            <v>인</v>
          </cell>
          <cell r="H1983">
            <v>0.12</v>
          </cell>
          <cell r="I1983" t="str">
            <v>x</v>
          </cell>
          <cell r="J1983">
            <v>0.03</v>
          </cell>
          <cell r="V1983" t="str">
            <v>=</v>
          </cell>
          <cell r="W1983" t="str">
            <v>0</v>
          </cell>
          <cell r="Y1983" t="str">
            <v>기본</v>
          </cell>
          <cell r="Z1983" t="str">
            <v>x</v>
          </cell>
          <cell r="AA1983" t="str">
            <v>공구손료</v>
          </cell>
          <cell r="AM1983">
            <v>90961</v>
          </cell>
          <cell r="AN1983">
            <v>0</v>
          </cell>
        </row>
        <row r="1984">
          <cell r="AM1984">
            <v>0</v>
          </cell>
          <cell r="AN1984">
            <v>0</v>
          </cell>
        </row>
        <row r="1985">
          <cell r="AM1985">
            <v>0</v>
          </cell>
          <cell r="AN1985">
            <v>0</v>
          </cell>
        </row>
        <row r="1986">
          <cell r="AM1986">
            <v>0</v>
          </cell>
          <cell r="AN1986">
            <v>0</v>
          </cell>
        </row>
        <row r="1987">
          <cell r="AM1987">
            <v>0</v>
          </cell>
          <cell r="AN1987">
            <v>0</v>
          </cell>
        </row>
        <row r="1988">
          <cell r="AM1988">
            <v>0</v>
          </cell>
          <cell r="AN1988">
            <v>0</v>
          </cell>
        </row>
        <row r="1989">
          <cell r="AM1989">
            <v>0</v>
          </cell>
          <cell r="AN1989">
            <v>0</v>
          </cell>
        </row>
        <row r="1990">
          <cell r="AM1990">
            <v>0</v>
          </cell>
          <cell r="AN1990">
            <v>0</v>
          </cell>
        </row>
        <row r="1991">
          <cell r="AM1991">
            <v>0</v>
          </cell>
          <cell r="AN1991">
            <v>0</v>
          </cell>
        </row>
        <row r="1992">
          <cell r="AM1992">
            <v>0</v>
          </cell>
          <cell r="AN1992">
            <v>0</v>
          </cell>
        </row>
        <row r="1993">
          <cell r="AM1993">
            <v>0</v>
          </cell>
        </row>
        <row r="1994">
          <cell r="AM1994">
            <v>0</v>
          </cell>
          <cell r="AN1994">
            <v>0</v>
          </cell>
        </row>
        <row r="1995">
          <cell r="AM1995">
            <v>0</v>
          </cell>
          <cell r="AN1995">
            <v>0</v>
          </cell>
        </row>
        <row r="1996">
          <cell r="AM1996">
            <v>0</v>
          </cell>
          <cell r="AN1996">
            <v>0</v>
          </cell>
        </row>
        <row r="1997">
          <cell r="AM1997">
            <v>0</v>
          </cell>
        </row>
        <row r="1998">
          <cell r="AM1998">
            <v>0</v>
          </cell>
        </row>
        <row r="1999">
          <cell r="AM1999">
            <v>0</v>
          </cell>
        </row>
        <row r="2000">
          <cell r="AM2000">
            <v>0</v>
          </cell>
          <cell r="AN2000">
            <v>0</v>
          </cell>
        </row>
        <row r="2001">
          <cell r="A2001">
            <v>72</v>
          </cell>
          <cell r="C2001">
            <v>72</v>
          </cell>
          <cell r="D2001" t="str">
            <v>연선전화기신설</v>
          </cell>
          <cell r="E2001" t="str">
            <v>3회로(기초대형)</v>
          </cell>
          <cell r="F2001" t="str">
            <v>대</v>
          </cell>
          <cell r="AM2001">
            <v>0</v>
          </cell>
          <cell r="AN2001">
            <v>0</v>
          </cell>
        </row>
        <row r="2002">
          <cell r="A2002" t="str">
            <v>72-1</v>
          </cell>
          <cell r="B2002">
            <v>541</v>
          </cell>
          <cell r="D2002" t="str">
            <v>가. 재료비</v>
          </cell>
          <cell r="E2002">
            <v>0</v>
          </cell>
          <cell r="F2002">
            <v>0</v>
          </cell>
          <cell r="AM2002">
            <v>0</v>
          </cell>
          <cell r="AN2002">
            <v>0</v>
          </cell>
        </row>
        <row r="2003">
          <cell r="A2003" t="str">
            <v>72-2</v>
          </cell>
          <cell r="B2003">
            <v>89</v>
          </cell>
          <cell r="D2003" t="str">
            <v>연선전화기</v>
          </cell>
          <cell r="E2003" t="str">
            <v>3회로</v>
          </cell>
          <cell r="F2003" t="str">
            <v>대</v>
          </cell>
          <cell r="H2003">
            <v>1</v>
          </cell>
          <cell r="V2003" t="str">
            <v>=</v>
          </cell>
          <cell r="W2003">
            <v>1</v>
          </cell>
          <cell r="AM2003">
            <v>495000</v>
          </cell>
          <cell r="AN2003">
            <v>0</v>
          </cell>
        </row>
        <row r="2004">
          <cell r="A2004" t="str">
            <v>72-3</v>
          </cell>
          <cell r="B2004">
            <v>2</v>
          </cell>
          <cell r="D2004" t="str">
            <v>시멘트</v>
          </cell>
          <cell r="E2004" t="str">
            <v>40㎏</v>
          </cell>
          <cell r="F2004" t="str">
            <v>포</v>
          </cell>
          <cell r="H2004">
            <v>320</v>
          </cell>
          <cell r="I2004" t="str">
            <v>x</v>
          </cell>
          <cell r="J2004">
            <v>0.12</v>
          </cell>
          <cell r="K2004" t="str">
            <v>/</v>
          </cell>
          <cell r="M2004">
            <v>40</v>
          </cell>
          <cell r="V2004" t="str">
            <v>=</v>
          </cell>
          <cell r="W2004">
            <v>0.96</v>
          </cell>
          <cell r="Y2004" t="str">
            <v>기본</v>
          </cell>
          <cell r="Z2004" t="str">
            <v>x</v>
          </cell>
          <cell r="AA2004" t="str">
            <v>콘크리트량</v>
          </cell>
          <cell r="AC2004" t="str">
            <v>/</v>
          </cell>
          <cell r="AD2004" t="str">
            <v>포</v>
          </cell>
          <cell r="AM2004">
            <v>2497</v>
          </cell>
          <cell r="AN2004">
            <v>0</v>
          </cell>
        </row>
        <row r="2005">
          <cell r="A2005" t="str">
            <v>72-4</v>
          </cell>
          <cell r="B2005">
            <v>3</v>
          </cell>
          <cell r="D2005" t="str">
            <v>모래</v>
          </cell>
          <cell r="E2005" t="str">
            <v>세사(친모래)</v>
          </cell>
          <cell r="F2005" t="str">
            <v>㎥</v>
          </cell>
          <cell r="H2005">
            <v>0.45</v>
          </cell>
          <cell r="I2005" t="str">
            <v>x</v>
          </cell>
          <cell r="J2005">
            <v>0.12</v>
          </cell>
          <cell r="V2005" t="str">
            <v>=</v>
          </cell>
          <cell r="W2005">
            <v>0.05</v>
          </cell>
          <cell r="Y2005" t="str">
            <v>기본</v>
          </cell>
          <cell r="Z2005" t="str">
            <v>x</v>
          </cell>
          <cell r="AA2005" t="str">
            <v>콘크리트량</v>
          </cell>
          <cell r="AM2005">
            <v>13000</v>
          </cell>
          <cell r="AN2005">
            <v>0</v>
          </cell>
        </row>
        <row r="2006">
          <cell r="A2006" t="str">
            <v>72-5</v>
          </cell>
          <cell r="B2006">
            <v>82</v>
          </cell>
          <cell r="D2006" t="str">
            <v>자갈</v>
          </cell>
          <cell r="E2006" t="str">
            <v>25mm</v>
          </cell>
          <cell r="F2006" t="str">
            <v>㎥</v>
          </cell>
          <cell r="H2006">
            <v>0.9</v>
          </cell>
          <cell r="I2006" t="str">
            <v>x</v>
          </cell>
          <cell r="J2006">
            <v>0.12</v>
          </cell>
          <cell r="V2006" t="str">
            <v>=</v>
          </cell>
          <cell r="W2006">
            <v>0.11</v>
          </cell>
          <cell r="Y2006" t="str">
            <v>기본</v>
          </cell>
          <cell r="Z2006" t="str">
            <v>x</v>
          </cell>
          <cell r="AA2006" t="str">
            <v>콘크리트량</v>
          </cell>
          <cell r="AM2006">
            <v>8500</v>
          </cell>
          <cell r="AN2006">
            <v>0</v>
          </cell>
        </row>
        <row r="2007">
          <cell r="A2007" t="str">
            <v>72-6</v>
          </cell>
          <cell r="B2007">
            <v>67</v>
          </cell>
          <cell r="D2007" t="str">
            <v>자갈(막돌)</v>
          </cell>
          <cell r="E2007" t="str">
            <v>#467(40mm)</v>
          </cell>
          <cell r="F2007" t="str">
            <v>㎥</v>
          </cell>
          <cell r="H2007">
            <v>9.8000000000000004E-2</v>
          </cell>
          <cell r="V2007" t="str">
            <v>=</v>
          </cell>
          <cell r="W2007">
            <v>9.8000000000000004E-2</v>
          </cell>
          <cell r="AM2007">
            <v>8500</v>
          </cell>
          <cell r="AN2007">
            <v>0</v>
          </cell>
        </row>
        <row r="2008">
          <cell r="A2008" t="str">
            <v>72-7</v>
          </cell>
          <cell r="B2008">
            <v>5</v>
          </cell>
          <cell r="D2008" t="str">
            <v>보통합판</v>
          </cell>
          <cell r="E2008" t="str">
            <v>12x1220x2440</v>
          </cell>
          <cell r="F2008" t="str">
            <v>㎡</v>
          </cell>
          <cell r="H2008">
            <v>1.03</v>
          </cell>
          <cell r="I2008" t="str">
            <v>x</v>
          </cell>
          <cell r="J2008">
            <v>0.371</v>
          </cell>
          <cell r="K2008" t="str">
            <v>x</v>
          </cell>
          <cell r="M2008">
            <v>1.2</v>
          </cell>
          <cell r="V2008" t="str">
            <v>=</v>
          </cell>
          <cell r="W2008">
            <v>0.46</v>
          </cell>
          <cell r="Y2008" t="str">
            <v>기본</v>
          </cell>
          <cell r="Z2008" t="str">
            <v>x</v>
          </cell>
          <cell r="AA2008" t="str">
            <v>사용회수</v>
          </cell>
          <cell r="AB2008" t="str">
            <v>x</v>
          </cell>
          <cell r="AC2008" t="str">
            <v>거푸집량</v>
          </cell>
          <cell r="AM2008">
            <v>5106</v>
          </cell>
          <cell r="AN2008">
            <v>0</v>
          </cell>
        </row>
        <row r="2009">
          <cell r="A2009" t="str">
            <v>72-8</v>
          </cell>
          <cell r="B2009">
            <v>6</v>
          </cell>
          <cell r="D2009" t="str">
            <v>각재</v>
          </cell>
          <cell r="E2009" t="str">
            <v>외송</v>
          </cell>
          <cell r="F2009" t="str">
            <v>㎥</v>
          </cell>
          <cell r="H2009">
            <v>3.7999999999999999E-2</v>
          </cell>
          <cell r="I2009" t="str">
            <v>x</v>
          </cell>
          <cell r="J2009">
            <v>0.371</v>
          </cell>
          <cell r="K2009" t="str">
            <v>x</v>
          </cell>
          <cell r="M2009">
            <v>1.2</v>
          </cell>
          <cell r="V2009" t="str">
            <v>=</v>
          </cell>
          <cell r="W2009">
            <v>0.02</v>
          </cell>
          <cell r="Y2009" t="str">
            <v>기본</v>
          </cell>
          <cell r="Z2009" t="str">
            <v>x</v>
          </cell>
          <cell r="AA2009" t="str">
            <v>사용회수</v>
          </cell>
          <cell r="AB2009" t="str">
            <v>x</v>
          </cell>
          <cell r="AC2009" t="str">
            <v>거푸집량</v>
          </cell>
          <cell r="AM2009">
            <v>210000</v>
          </cell>
          <cell r="AN2009">
            <v>0</v>
          </cell>
        </row>
        <row r="2010">
          <cell r="A2010" t="str">
            <v>72-9</v>
          </cell>
          <cell r="B2010">
            <v>7</v>
          </cell>
          <cell r="D2010" t="str">
            <v>철못</v>
          </cell>
          <cell r="E2010" t="str">
            <v>50mm</v>
          </cell>
          <cell r="F2010" t="str">
            <v>㎏</v>
          </cell>
          <cell r="H2010">
            <v>0.2</v>
          </cell>
          <cell r="I2010" t="str">
            <v>x</v>
          </cell>
          <cell r="J2010">
            <v>0.371</v>
          </cell>
          <cell r="K2010" t="str">
            <v>x</v>
          </cell>
          <cell r="M2010">
            <v>1.2</v>
          </cell>
          <cell r="V2010" t="str">
            <v>=</v>
          </cell>
          <cell r="W2010">
            <v>0.09</v>
          </cell>
          <cell r="Y2010" t="str">
            <v>기본</v>
          </cell>
          <cell r="Z2010" t="str">
            <v>x</v>
          </cell>
          <cell r="AA2010" t="str">
            <v>사용회수</v>
          </cell>
          <cell r="AB2010" t="str">
            <v>x</v>
          </cell>
          <cell r="AC2010" t="str">
            <v>거푸집량</v>
          </cell>
          <cell r="AM2010">
            <v>568</v>
          </cell>
          <cell r="AN2010">
            <v>0</v>
          </cell>
        </row>
        <row r="2011">
          <cell r="A2011" t="str">
            <v>72-10</v>
          </cell>
          <cell r="B2011">
            <v>90</v>
          </cell>
          <cell r="D2011" t="str">
            <v>소철선</v>
          </cell>
          <cell r="E2011" t="str">
            <v>#8</v>
          </cell>
          <cell r="F2011" t="str">
            <v>㎏</v>
          </cell>
          <cell r="H2011">
            <v>0.28999999999999998</v>
          </cell>
          <cell r="I2011" t="str">
            <v>x</v>
          </cell>
          <cell r="J2011">
            <v>0.371</v>
          </cell>
          <cell r="K2011" t="str">
            <v>x</v>
          </cell>
          <cell r="M2011">
            <v>1.2</v>
          </cell>
          <cell r="V2011" t="str">
            <v>=</v>
          </cell>
          <cell r="W2011">
            <v>0.13</v>
          </cell>
          <cell r="Y2011" t="str">
            <v>기본</v>
          </cell>
          <cell r="Z2011" t="str">
            <v>x</v>
          </cell>
          <cell r="AA2011" t="str">
            <v>사용회수</v>
          </cell>
          <cell r="AB2011" t="str">
            <v>x</v>
          </cell>
          <cell r="AC2011" t="str">
            <v>거푸집량</v>
          </cell>
          <cell r="AM2011">
            <v>580</v>
          </cell>
          <cell r="AN2011">
            <v>0</v>
          </cell>
        </row>
        <row r="2012">
          <cell r="A2012" t="str">
            <v>72-11</v>
          </cell>
          <cell r="B2012">
            <v>9</v>
          </cell>
          <cell r="D2012" t="str">
            <v>박리제</v>
          </cell>
          <cell r="E2012" t="str">
            <v>유성</v>
          </cell>
          <cell r="F2012" t="str">
            <v>ℓ</v>
          </cell>
          <cell r="H2012">
            <v>0.19</v>
          </cell>
          <cell r="I2012" t="str">
            <v>x</v>
          </cell>
          <cell r="J2012">
            <v>0.371</v>
          </cell>
          <cell r="K2012" t="str">
            <v>x</v>
          </cell>
          <cell r="M2012">
            <v>1.2</v>
          </cell>
          <cell r="V2012" t="str">
            <v>=</v>
          </cell>
          <cell r="W2012">
            <v>0.08</v>
          </cell>
          <cell r="Y2012" t="str">
            <v>기본</v>
          </cell>
          <cell r="Z2012" t="str">
            <v>x</v>
          </cell>
          <cell r="AA2012" t="str">
            <v>사용회수</v>
          </cell>
          <cell r="AB2012" t="str">
            <v>x</v>
          </cell>
          <cell r="AC2012" t="str">
            <v>거푸집량</v>
          </cell>
          <cell r="AM2012">
            <v>900</v>
          </cell>
          <cell r="AN2012">
            <v>0</v>
          </cell>
        </row>
        <row r="2013">
          <cell r="A2013" t="str">
            <v>72-12</v>
          </cell>
          <cell r="B2013">
            <v>91</v>
          </cell>
          <cell r="D2013" t="str">
            <v>기초대(POLE)</v>
          </cell>
          <cell r="E2013">
            <v>0</v>
          </cell>
          <cell r="F2013" t="str">
            <v>대</v>
          </cell>
          <cell r="V2013" t="str">
            <v>=</v>
          </cell>
          <cell r="W2013">
            <v>1</v>
          </cell>
          <cell r="AM2013">
            <v>144000</v>
          </cell>
          <cell r="AN2013">
            <v>0</v>
          </cell>
        </row>
        <row r="2014">
          <cell r="A2014" t="str">
            <v>72-13</v>
          </cell>
          <cell r="B2014">
            <v>542</v>
          </cell>
          <cell r="D2014" t="str">
            <v>나. 노무비</v>
          </cell>
          <cell r="E2014">
            <v>0</v>
          </cell>
          <cell r="F2014">
            <v>0</v>
          </cell>
          <cell r="AM2014">
            <v>0</v>
          </cell>
          <cell r="AN2014">
            <v>0</v>
          </cell>
        </row>
        <row r="2015">
          <cell r="D2015" t="str">
            <v>1) 콘크리트타설</v>
          </cell>
          <cell r="E2015" t="str">
            <v>(1:2:4)</v>
          </cell>
          <cell r="AM2015">
            <v>0</v>
          </cell>
          <cell r="AN2015">
            <v>0</v>
          </cell>
        </row>
        <row r="2016">
          <cell r="B2016">
            <v>506</v>
          </cell>
          <cell r="D2016" t="str">
            <v>콘크리트공</v>
          </cell>
          <cell r="E2016">
            <v>0</v>
          </cell>
          <cell r="F2016" t="str">
            <v>인</v>
          </cell>
          <cell r="H2016">
            <v>0.85</v>
          </cell>
          <cell r="I2016" t="str">
            <v>x</v>
          </cell>
          <cell r="J2016">
            <v>0.12</v>
          </cell>
          <cell r="V2016" t="str">
            <v>=</v>
          </cell>
          <cell r="W2016">
            <v>0.1</v>
          </cell>
          <cell r="Y2016" t="str">
            <v>기본</v>
          </cell>
          <cell r="Z2016" t="str">
            <v>x</v>
          </cell>
          <cell r="AA2016" t="str">
            <v>콘크리트량</v>
          </cell>
          <cell r="AL2016" t="str">
            <v>건 6-1-1-3</v>
          </cell>
          <cell r="AM2016">
            <v>68884</v>
          </cell>
          <cell r="AN2016">
            <v>0</v>
          </cell>
        </row>
        <row r="2017">
          <cell r="B2017">
            <v>523</v>
          </cell>
          <cell r="D2017" t="str">
            <v>보통인부</v>
          </cell>
          <cell r="E2017">
            <v>0</v>
          </cell>
          <cell r="F2017" t="str">
            <v>인</v>
          </cell>
          <cell r="H2017">
            <v>0.82</v>
          </cell>
          <cell r="I2017" t="str">
            <v>x</v>
          </cell>
          <cell r="J2017">
            <v>0.12</v>
          </cell>
          <cell r="V2017" t="str">
            <v>=</v>
          </cell>
          <cell r="W2017">
            <v>0.1</v>
          </cell>
          <cell r="Y2017" t="str">
            <v>기본</v>
          </cell>
          <cell r="Z2017" t="str">
            <v>x</v>
          </cell>
          <cell r="AA2017" t="str">
            <v>콘크리트량</v>
          </cell>
          <cell r="AM2017">
            <v>40922</v>
          </cell>
          <cell r="AN2017">
            <v>0</v>
          </cell>
        </row>
        <row r="2018">
          <cell r="D2018" t="str">
            <v>2) 합판거푸집</v>
          </cell>
          <cell r="E2018" t="str">
            <v>5회</v>
          </cell>
          <cell r="AM2018">
            <v>0</v>
          </cell>
          <cell r="AN2018">
            <v>0</v>
          </cell>
        </row>
        <row r="2019">
          <cell r="B2019">
            <v>501</v>
          </cell>
          <cell r="D2019" t="str">
            <v>형틀목공</v>
          </cell>
          <cell r="E2019">
            <v>0</v>
          </cell>
          <cell r="F2019" t="str">
            <v>인</v>
          </cell>
          <cell r="H2019">
            <v>0.3</v>
          </cell>
          <cell r="I2019" t="str">
            <v>x</v>
          </cell>
          <cell r="J2019">
            <v>1.2</v>
          </cell>
          <cell r="K2019" t="str">
            <v>x</v>
          </cell>
          <cell r="M2019">
            <v>0.34200000000000003</v>
          </cell>
          <cell r="V2019" t="str">
            <v>=</v>
          </cell>
          <cell r="W2019">
            <v>0.12</v>
          </cell>
          <cell r="Y2019" t="str">
            <v>기본</v>
          </cell>
          <cell r="Z2019" t="str">
            <v>x</v>
          </cell>
          <cell r="AA2019" t="str">
            <v>거푸집량</v>
          </cell>
          <cell r="AB2019" t="str">
            <v>x</v>
          </cell>
          <cell r="AC2019" t="str">
            <v>사용횟수</v>
          </cell>
          <cell r="AL2019" t="str">
            <v>건 6-3-2</v>
          </cell>
          <cell r="AM2019">
            <v>71251</v>
          </cell>
          <cell r="AN2019">
            <v>0</v>
          </cell>
        </row>
        <row r="2020">
          <cell r="B2020">
            <v>523</v>
          </cell>
          <cell r="D2020" t="str">
            <v>보통인부</v>
          </cell>
          <cell r="E2020">
            <v>0</v>
          </cell>
          <cell r="F2020" t="str">
            <v>인</v>
          </cell>
          <cell r="H2020">
            <v>0.25</v>
          </cell>
          <cell r="I2020" t="str">
            <v>x</v>
          </cell>
          <cell r="J2020">
            <v>1.2</v>
          </cell>
          <cell r="K2020" t="str">
            <v>x</v>
          </cell>
          <cell r="M2020">
            <v>0.34200000000000003</v>
          </cell>
          <cell r="V2020" t="str">
            <v>=</v>
          </cell>
          <cell r="W2020">
            <v>0.1</v>
          </cell>
          <cell r="Y2020" t="str">
            <v>기본</v>
          </cell>
          <cell r="Z2020" t="str">
            <v>x</v>
          </cell>
          <cell r="AA2020" t="str">
            <v>거푸집량</v>
          </cell>
          <cell r="AB2020" t="str">
            <v>x</v>
          </cell>
          <cell r="AC2020" t="str">
            <v>사용횟수</v>
          </cell>
          <cell r="AM2020">
            <v>40922</v>
          </cell>
          <cell r="AN2020">
            <v>0</v>
          </cell>
        </row>
        <row r="2021">
          <cell r="D2021" t="str">
            <v>3) 단자함및전화기신설</v>
          </cell>
          <cell r="AM2021">
            <v>0</v>
          </cell>
          <cell r="AN2021">
            <v>0</v>
          </cell>
        </row>
        <row r="2022">
          <cell r="B2022">
            <v>519</v>
          </cell>
          <cell r="D2022" t="str">
            <v>통신케이블공</v>
          </cell>
          <cell r="E2022">
            <v>0</v>
          </cell>
          <cell r="F2022" t="str">
            <v>인</v>
          </cell>
          <cell r="H2022">
            <v>0.34</v>
          </cell>
          <cell r="V2022" t="str">
            <v>=</v>
          </cell>
          <cell r="W2022">
            <v>0.34</v>
          </cell>
          <cell r="Y2022" t="str">
            <v>기본</v>
          </cell>
          <cell r="AL2022" t="str">
            <v>통 3-30</v>
          </cell>
          <cell r="AM2022">
            <v>95424</v>
          </cell>
          <cell r="AN2022">
            <v>0</v>
          </cell>
        </row>
        <row r="2023">
          <cell r="B2023">
            <v>523</v>
          </cell>
          <cell r="D2023" t="str">
            <v>보통인부</v>
          </cell>
          <cell r="E2023">
            <v>0</v>
          </cell>
          <cell r="F2023" t="str">
            <v>인</v>
          </cell>
          <cell r="H2023">
            <v>0.17</v>
          </cell>
          <cell r="V2023" t="str">
            <v>=</v>
          </cell>
          <cell r="W2023">
            <v>0.17</v>
          </cell>
          <cell r="Y2023" t="str">
            <v>기본</v>
          </cell>
          <cell r="AM2023">
            <v>40922</v>
          </cell>
          <cell r="AN2023">
            <v>0</v>
          </cell>
        </row>
        <row r="2024">
          <cell r="B2024">
            <v>518</v>
          </cell>
          <cell r="D2024" t="str">
            <v>통신내선공</v>
          </cell>
          <cell r="E2024">
            <v>0</v>
          </cell>
          <cell r="F2024" t="str">
            <v>인</v>
          </cell>
          <cell r="H2024">
            <v>0.04</v>
          </cell>
          <cell r="V2024" t="str">
            <v>=</v>
          </cell>
          <cell r="W2024">
            <v>0.04</v>
          </cell>
          <cell r="Y2024" t="str">
            <v>기본</v>
          </cell>
          <cell r="AL2024" t="str">
            <v>통 3-29</v>
          </cell>
          <cell r="AM2024">
            <v>63806</v>
          </cell>
          <cell r="AN2024">
            <v>0</v>
          </cell>
        </row>
        <row r="2025">
          <cell r="D2025" t="str">
            <v>4) 강관주 신설</v>
          </cell>
          <cell r="AL2025" t="str">
            <v>통 3-10</v>
          </cell>
          <cell r="AM2025">
            <v>0</v>
          </cell>
          <cell r="AN2025">
            <v>0</v>
          </cell>
        </row>
        <row r="2026">
          <cell r="B2026">
            <v>516</v>
          </cell>
          <cell r="D2026" t="str">
            <v>통신외선공</v>
          </cell>
          <cell r="E2026">
            <v>0</v>
          </cell>
          <cell r="F2026" t="str">
            <v>인</v>
          </cell>
          <cell r="H2026">
            <v>0.65</v>
          </cell>
          <cell r="I2026" t="str">
            <v>x</v>
          </cell>
          <cell r="J2026">
            <v>1</v>
          </cell>
          <cell r="K2026" t="str">
            <v>x</v>
          </cell>
          <cell r="M2026">
            <v>0.5</v>
          </cell>
          <cell r="V2026" t="str">
            <v>=</v>
          </cell>
          <cell r="W2026">
            <v>0.33</v>
          </cell>
          <cell r="Y2026" t="str">
            <v>기본</v>
          </cell>
          <cell r="Z2026" t="str">
            <v>x</v>
          </cell>
          <cell r="AA2026" t="str">
            <v>단위량</v>
          </cell>
          <cell r="AB2026" t="str">
            <v>x</v>
          </cell>
          <cell r="AC2026" t="str">
            <v>콘크리트주</v>
          </cell>
          <cell r="AM2026">
            <v>90961</v>
          </cell>
          <cell r="AN2026">
            <v>0</v>
          </cell>
        </row>
        <row r="2027">
          <cell r="B2027">
            <v>523</v>
          </cell>
          <cell r="D2027" t="str">
            <v>보통인부</v>
          </cell>
          <cell r="E2027">
            <v>0</v>
          </cell>
          <cell r="F2027" t="str">
            <v>인</v>
          </cell>
          <cell r="H2027">
            <v>0.73</v>
          </cell>
          <cell r="I2027" t="str">
            <v>x</v>
          </cell>
          <cell r="J2027">
            <v>1</v>
          </cell>
          <cell r="K2027" t="str">
            <v>x</v>
          </cell>
          <cell r="M2027">
            <v>0.5</v>
          </cell>
          <cell r="V2027" t="str">
            <v>=</v>
          </cell>
          <cell r="W2027">
            <v>0.37</v>
          </cell>
          <cell r="Y2027" t="str">
            <v>기본</v>
          </cell>
          <cell r="Z2027" t="str">
            <v>x</v>
          </cell>
          <cell r="AA2027" t="str">
            <v>단위량</v>
          </cell>
          <cell r="AB2027" t="str">
            <v>x</v>
          </cell>
          <cell r="AC2027" t="str">
            <v>콘크리트주</v>
          </cell>
          <cell r="AM2027">
            <v>40922</v>
          </cell>
          <cell r="AN2027">
            <v>0</v>
          </cell>
        </row>
        <row r="2028">
          <cell r="D2028" t="str">
            <v>5) 터파기,되메우기,다지기(0∼1m)</v>
          </cell>
          <cell r="AM2028">
            <v>0</v>
          </cell>
          <cell r="AN2028">
            <v>0</v>
          </cell>
        </row>
        <row r="2029">
          <cell r="B2029">
            <v>523</v>
          </cell>
          <cell r="D2029" t="str">
            <v>보통인부</v>
          </cell>
          <cell r="E2029" t="str">
            <v>터팍기</v>
          </cell>
          <cell r="F2029" t="str">
            <v>인</v>
          </cell>
          <cell r="H2029">
            <v>0.32</v>
          </cell>
          <cell r="I2029" t="str">
            <v>x</v>
          </cell>
          <cell r="J2029">
            <v>0.77</v>
          </cell>
          <cell r="K2029" t="str">
            <v>x</v>
          </cell>
          <cell r="M2029">
            <v>1.5</v>
          </cell>
          <cell r="V2029" t="str">
            <v>=</v>
          </cell>
          <cell r="W2029">
            <v>0.37</v>
          </cell>
          <cell r="Y2029" t="str">
            <v>기본</v>
          </cell>
          <cell r="Z2029" t="str">
            <v>x</v>
          </cell>
          <cell r="AA2029" t="str">
            <v>토사량</v>
          </cell>
          <cell r="AB2029" t="str">
            <v>x</v>
          </cell>
          <cell r="AC2029" t="str">
            <v>독립기초(협소)</v>
          </cell>
          <cell r="AL2029" t="str">
            <v>건 3-1-나</v>
          </cell>
          <cell r="AM2029">
            <v>40922</v>
          </cell>
          <cell r="AN2029">
            <v>0</v>
          </cell>
        </row>
        <row r="2030">
          <cell r="B2030">
            <v>523</v>
          </cell>
          <cell r="D2030" t="str">
            <v>보통인부</v>
          </cell>
          <cell r="E2030" t="str">
            <v>되메우기</v>
          </cell>
          <cell r="F2030" t="str">
            <v>인</v>
          </cell>
          <cell r="H2030">
            <v>0.1</v>
          </cell>
          <cell r="I2030" t="str">
            <v>x</v>
          </cell>
          <cell r="J2030">
            <v>0.55000000000000004</v>
          </cell>
          <cell r="V2030" t="str">
            <v>=</v>
          </cell>
          <cell r="W2030">
            <v>0.06</v>
          </cell>
          <cell r="Y2030" t="str">
            <v>기본</v>
          </cell>
          <cell r="Z2030" t="str">
            <v>x</v>
          </cell>
          <cell r="AA2030" t="str">
            <v>토사량</v>
          </cell>
          <cell r="AM2030">
            <v>40922</v>
          </cell>
          <cell r="AN2030">
            <v>0</v>
          </cell>
        </row>
        <row r="2031">
          <cell r="B2031">
            <v>523</v>
          </cell>
          <cell r="D2031" t="str">
            <v>보통인부</v>
          </cell>
          <cell r="E2031" t="str">
            <v>다지기</v>
          </cell>
          <cell r="F2031" t="str">
            <v>인</v>
          </cell>
          <cell r="H2031">
            <v>0.11</v>
          </cell>
          <cell r="I2031" t="str">
            <v>x</v>
          </cell>
          <cell r="J2031">
            <v>0.55000000000000004</v>
          </cell>
          <cell r="V2031" t="str">
            <v>=</v>
          </cell>
          <cell r="W2031">
            <v>0.06</v>
          </cell>
          <cell r="Y2031" t="str">
            <v>기본</v>
          </cell>
          <cell r="Z2031" t="str">
            <v>x</v>
          </cell>
          <cell r="AA2031" t="str">
            <v>토사량</v>
          </cell>
          <cell r="AL2031" t="str">
            <v>건 3-2</v>
          </cell>
          <cell r="AM2031">
            <v>40922</v>
          </cell>
          <cell r="AN2031">
            <v>0</v>
          </cell>
        </row>
        <row r="2032">
          <cell r="B2032">
            <v>523</v>
          </cell>
          <cell r="D2032" t="str">
            <v>보통인부</v>
          </cell>
          <cell r="E2032" t="str">
            <v>잔토처리</v>
          </cell>
          <cell r="F2032" t="str">
            <v>인</v>
          </cell>
          <cell r="H2032">
            <v>0.2</v>
          </cell>
          <cell r="I2032" t="str">
            <v>x</v>
          </cell>
          <cell r="J2032">
            <v>0.22</v>
          </cell>
          <cell r="V2032" t="str">
            <v>=</v>
          </cell>
          <cell r="W2032">
            <v>0.04</v>
          </cell>
          <cell r="Y2032" t="str">
            <v>기본</v>
          </cell>
          <cell r="Z2032" t="str">
            <v>x</v>
          </cell>
          <cell r="AA2032" t="str">
            <v>토사량</v>
          </cell>
          <cell r="AM2032">
            <v>40922</v>
          </cell>
          <cell r="AN2032">
            <v>0</v>
          </cell>
        </row>
        <row r="2033">
          <cell r="D2033" t="str">
            <v>6) 막돌기초다짐</v>
          </cell>
          <cell r="AM2033">
            <v>0</v>
          </cell>
          <cell r="AN2033">
            <v>0</v>
          </cell>
        </row>
        <row r="2034">
          <cell r="B2034">
            <v>523</v>
          </cell>
          <cell r="D2034" t="str">
            <v>보통인부</v>
          </cell>
          <cell r="E2034">
            <v>0</v>
          </cell>
          <cell r="F2034" t="str">
            <v>인</v>
          </cell>
          <cell r="H2034">
            <v>0.5</v>
          </cell>
          <cell r="I2034" t="str">
            <v>x</v>
          </cell>
          <cell r="J2034">
            <v>0.1</v>
          </cell>
          <cell r="V2034" t="str">
            <v>=</v>
          </cell>
          <cell r="W2034">
            <v>0.05</v>
          </cell>
          <cell r="Y2034" t="str">
            <v>기본</v>
          </cell>
          <cell r="Z2034" t="str">
            <v>x</v>
          </cell>
          <cell r="AA2034" t="str">
            <v>면적</v>
          </cell>
          <cell r="AL2034" t="str">
            <v>건 5-1</v>
          </cell>
          <cell r="AM2034">
            <v>40922</v>
          </cell>
          <cell r="AN2034">
            <v>0</v>
          </cell>
        </row>
        <row r="2035">
          <cell r="B2035">
            <v>544</v>
          </cell>
          <cell r="D2035" t="str">
            <v>소    계</v>
          </cell>
          <cell r="E2035">
            <v>0</v>
          </cell>
          <cell r="F2035">
            <v>0</v>
          </cell>
          <cell r="AM2035">
            <v>0</v>
          </cell>
          <cell r="AN2035">
            <v>0</v>
          </cell>
        </row>
        <row r="2036">
          <cell r="A2036" t="str">
            <v>72-14</v>
          </cell>
          <cell r="B2036">
            <v>506</v>
          </cell>
          <cell r="D2036" t="str">
            <v>콘크리트공</v>
          </cell>
          <cell r="E2036">
            <v>0</v>
          </cell>
          <cell r="F2036" t="str">
            <v>인</v>
          </cell>
          <cell r="V2036" t="str">
            <v>=</v>
          </cell>
          <cell r="W2036">
            <v>0.1</v>
          </cell>
          <cell r="AM2036">
            <v>68884</v>
          </cell>
          <cell r="AN2036">
            <v>0</v>
          </cell>
        </row>
        <row r="2037">
          <cell r="A2037" t="str">
            <v>72-15</v>
          </cell>
          <cell r="B2037">
            <v>501</v>
          </cell>
          <cell r="D2037" t="str">
            <v>형틀목공</v>
          </cell>
          <cell r="E2037">
            <v>0</v>
          </cell>
          <cell r="F2037" t="str">
            <v>인</v>
          </cell>
          <cell r="V2037" t="str">
            <v>=</v>
          </cell>
          <cell r="W2037">
            <v>0.12</v>
          </cell>
          <cell r="AM2037">
            <v>71251</v>
          </cell>
          <cell r="AN2037">
            <v>0</v>
          </cell>
        </row>
        <row r="2038">
          <cell r="A2038" t="str">
            <v>72-16</v>
          </cell>
          <cell r="B2038">
            <v>519</v>
          </cell>
          <cell r="D2038" t="str">
            <v>통신케이블공</v>
          </cell>
          <cell r="E2038">
            <v>0</v>
          </cell>
          <cell r="F2038" t="str">
            <v>인</v>
          </cell>
          <cell r="V2038" t="str">
            <v>=</v>
          </cell>
          <cell r="W2038">
            <v>0.34</v>
          </cell>
          <cell r="AM2038">
            <v>95424</v>
          </cell>
          <cell r="AN2038">
            <v>0</v>
          </cell>
        </row>
        <row r="2039">
          <cell r="A2039" t="str">
            <v>72-17</v>
          </cell>
          <cell r="B2039">
            <v>518</v>
          </cell>
          <cell r="D2039" t="str">
            <v>통신내선공</v>
          </cell>
          <cell r="E2039">
            <v>0</v>
          </cell>
          <cell r="F2039" t="str">
            <v>인</v>
          </cell>
          <cell r="V2039" t="str">
            <v>=</v>
          </cell>
          <cell r="W2039">
            <v>0.04</v>
          </cell>
          <cell r="AM2039">
            <v>63806</v>
          </cell>
          <cell r="AN2039">
            <v>0</v>
          </cell>
        </row>
        <row r="2040">
          <cell r="A2040" t="str">
            <v>72-18</v>
          </cell>
          <cell r="B2040">
            <v>516</v>
          </cell>
          <cell r="D2040" t="str">
            <v>통신외선공</v>
          </cell>
          <cell r="E2040">
            <v>0</v>
          </cell>
          <cell r="F2040" t="str">
            <v>인</v>
          </cell>
          <cell r="V2040" t="str">
            <v>=</v>
          </cell>
          <cell r="W2040">
            <v>0.33</v>
          </cell>
          <cell r="AM2040">
            <v>90961</v>
          </cell>
          <cell r="AN2040">
            <v>0</v>
          </cell>
        </row>
        <row r="2041">
          <cell r="A2041" t="str">
            <v>72-19</v>
          </cell>
          <cell r="B2041">
            <v>523</v>
          </cell>
          <cell r="D2041" t="str">
            <v>보통인부</v>
          </cell>
          <cell r="E2041">
            <v>0</v>
          </cell>
          <cell r="F2041" t="str">
            <v>인</v>
          </cell>
          <cell r="V2041" t="str">
            <v>=</v>
          </cell>
          <cell r="W2041">
            <v>1.32</v>
          </cell>
          <cell r="AM2041">
            <v>40922</v>
          </cell>
          <cell r="AN2041">
            <v>0</v>
          </cell>
        </row>
        <row r="2042">
          <cell r="A2042" t="str">
            <v>72-20</v>
          </cell>
          <cell r="B2042">
            <v>543</v>
          </cell>
          <cell r="D2042" t="str">
            <v>다. 공구손료</v>
          </cell>
          <cell r="E2042" t="str">
            <v>노무비x3%</v>
          </cell>
          <cell r="F2042">
            <v>0</v>
          </cell>
          <cell r="AM2042">
            <v>0</v>
          </cell>
          <cell r="AN2042">
            <v>0</v>
          </cell>
        </row>
        <row r="2043">
          <cell r="A2043" t="str">
            <v>72-21</v>
          </cell>
          <cell r="B2043">
            <v>506</v>
          </cell>
          <cell r="D2043" t="str">
            <v>콘크리트공</v>
          </cell>
          <cell r="E2043">
            <v>0</v>
          </cell>
          <cell r="F2043" t="str">
            <v>인</v>
          </cell>
          <cell r="H2043">
            <v>0.1</v>
          </cell>
          <cell r="I2043" t="str">
            <v>x</v>
          </cell>
          <cell r="J2043">
            <v>0.03</v>
          </cell>
          <cell r="V2043" t="str">
            <v>=</v>
          </cell>
          <cell r="W2043" t="str">
            <v>0</v>
          </cell>
          <cell r="Y2043" t="str">
            <v>기본</v>
          </cell>
          <cell r="Z2043" t="str">
            <v>x</v>
          </cell>
          <cell r="AA2043" t="str">
            <v>공구손료</v>
          </cell>
          <cell r="AM2043">
            <v>68884</v>
          </cell>
          <cell r="AN2043">
            <v>0</v>
          </cell>
        </row>
        <row r="2044">
          <cell r="A2044" t="str">
            <v>72-22</v>
          </cell>
          <cell r="B2044">
            <v>501</v>
          </cell>
          <cell r="D2044" t="str">
            <v>형틀목공</v>
          </cell>
          <cell r="E2044">
            <v>0</v>
          </cell>
          <cell r="F2044" t="str">
            <v>인</v>
          </cell>
          <cell r="H2044">
            <v>0.12</v>
          </cell>
          <cell r="I2044" t="str">
            <v>x</v>
          </cell>
          <cell r="J2044">
            <v>0.03</v>
          </cell>
          <cell r="V2044" t="str">
            <v>=</v>
          </cell>
          <cell r="W2044" t="str">
            <v>0</v>
          </cell>
          <cell r="Y2044" t="str">
            <v>기본</v>
          </cell>
          <cell r="Z2044" t="str">
            <v>x</v>
          </cell>
          <cell r="AA2044" t="str">
            <v>공구손료</v>
          </cell>
          <cell r="AM2044">
            <v>71251</v>
          </cell>
          <cell r="AN2044">
            <v>0</v>
          </cell>
        </row>
        <row r="2045">
          <cell r="A2045" t="str">
            <v>72-23</v>
          </cell>
          <cell r="B2045">
            <v>519</v>
          </cell>
          <cell r="D2045" t="str">
            <v>통신케이블공</v>
          </cell>
          <cell r="E2045">
            <v>0</v>
          </cell>
          <cell r="F2045" t="str">
            <v>인</v>
          </cell>
          <cell r="H2045">
            <v>0.34</v>
          </cell>
          <cell r="I2045" t="str">
            <v>x</v>
          </cell>
          <cell r="J2045">
            <v>0.03</v>
          </cell>
          <cell r="V2045" t="str">
            <v>=</v>
          </cell>
          <cell r="W2045">
            <v>0.01</v>
          </cell>
          <cell r="Y2045" t="str">
            <v>기본</v>
          </cell>
          <cell r="Z2045" t="str">
            <v>x</v>
          </cell>
          <cell r="AA2045" t="str">
            <v>공구손료</v>
          </cell>
          <cell r="AM2045">
            <v>95424</v>
          </cell>
          <cell r="AN2045">
            <v>0</v>
          </cell>
        </row>
        <row r="2046">
          <cell r="A2046" t="str">
            <v>72-24</v>
          </cell>
          <cell r="B2046">
            <v>518</v>
          </cell>
          <cell r="D2046" t="str">
            <v>통신내선공</v>
          </cell>
          <cell r="E2046">
            <v>0</v>
          </cell>
          <cell r="F2046" t="str">
            <v>인</v>
          </cell>
          <cell r="H2046">
            <v>0.04</v>
          </cell>
          <cell r="I2046" t="str">
            <v>x</v>
          </cell>
          <cell r="J2046">
            <v>0.03</v>
          </cell>
          <cell r="V2046" t="str">
            <v>=</v>
          </cell>
          <cell r="W2046" t="str">
            <v>0</v>
          </cell>
          <cell r="Y2046" t="str">
            <v>기본</v>
          </cell>
          <cell r="Z2046" t="str">
            <v>x</v>
          </cell>
          <cell r="AA2046" t="str">
            <v>공구손료</v>
          </cell>
          <cell r="AM2046">
            <v>63806</v>
          </cell>
          <cell r="AN2046">
            <v>0</v>
          </cell>
        </row>
        <row r="2047">
          <cell r="A2047" t="str">
            <v>72-25</v>
          </cell>
          <cell r="B2047">
            <v>516</v>
          </cell>
          <cell r="D2047" t="str">
            <v>통신외선공</v>
          </cell>
          <cell r="E2047">
            <v>0</v>
          </cell>
          <cell r="F2047" t="str">
            <v>인</v>
          </cell>
          <cell r="H2047">
            <v>0.33</v>
          </cell>
          <cell r="I2047" t="str">
            <v>x</v>
          </cell>
          <cell r="J2047">
            <v>0.03</v>
          </cell>
          <cell r="V2047" t="str">
            <v>=</v>
          </cell>
          <cell r="W2047">
            <v>0.01</v>
          </cell>
          <cell r="Y2047" t="str">
            <v>기본</v>
          </cell>
          <cell r="Z2047" t="str">
            <v>x</v>
          </cell>
          <cell r="AA2047" t="str">
            <v>공구손료</v>
          </cell>
          <cell r="AM2047">
            <v>90961</v>
          </cell>
          <cell r="AN2047">
            <v>0</v>
          </cell>
        </row>
        <row r="2048">
          <cell r="A2048" t="str">
            <v>72-26</v>
          </cell>
          <cell r="B2048">
            <v>523</v>
          </cell>
          <cell r="D2048" t="str">
            <v>보통인부</v>
          </cell>
          <cell r="E2048">
            <v>0</v>
          </cell>
          <cell r="F2048" t="str">
            <v>인</v>
          </cell>
          <cell r="H2048">
            <v>1.32</v>
          </cell>
          <cell r="I2048" t="str">
            <v>x</v>
          </cell>
          <cell r="J2048">
            <v>0.03</v>
          </cell>
          <cell r="V2048" t="str">
            <v>=</v>
          </cell>
          <cell r="W2048">
            <v>0.04</v>
          </cell>
          <cell r="Y2048" t="str">
            <v>기본</v>
          </cell>
          <cell r="Z2048" t="str">
            <v>x</v>
          </cell>
          <cell r="AA2048" t="str">
            <v>공구손료</v>
          </cell>
          <cell r="AM2048">
            <v>40922</v>
          </cell>
          <cell r="AN2048">
            <v>0</v>
          </cell>
        </row>
        <row r="2049">
          <cell r="AM2049">
            <v>0</v>
          </cell>
        </row>
        <row r="2050">
          <cell r="AM2050">
            <v>0</v>
          </cell>
        </row>
        <row r="2051">
          <cell r="AM2051">
            <v>0</v>
          </cell>
        </row>
        <row r="2052">
          <cell r="AM2052">
            <v>0</v>
          </cell>
        </row>
        <row r="2053">
          <cell r="AM2053">
            <v>0</v>
          </cell>
        </row>
        <row r="2054">
          <cell r="AM2054">
            <v>0</v>
          </cell>
          <cell r="AN2054">
            <v>0</v>
          </cell>
        </row>
        <row r="2055">
          <cell r="AM2055">
            <v>0</v>
          </cell>
        </row>
        <row r="2056">
          <cell r="AM2056">
            <v>0</v>
          </cell>
        </row>
        <row r="2057">
          <cell r="AM2057">
            <v>0</v>
          </cell>
        </row>
        <row r="2058">
          <cell r="AM2058">
            <v>0</v>
          </cell>
        </row>
        <row r="2059">
          <cell r="AM2059">
            <v>0</v>
          </cell>
        </row>
        <row r="2060">
          <cell r="AM2060">
            <v>0</v>
          </cell>
        </row>
        <row r="2061">
          <cell r="AM2061">
            <v>0</v>
          </cell>
        </row>
        <row r="2062">
          <cell r="AM2062">
            <v>0</v>
          </cell>
        </row>
        <row r="2063">
          <cell r="AM2063">
            <v>0</v>
          </cell>
        </row>
        <row r="2064">
          <cell r="AM2064">
            <v>0</v>
          </cell>
        </row>
        <row r="2065">
          <cell r="AM2065">
            <v>0</v>
          </cell>
        </row>
        <row r="2066">
          <cell r="AM2066">
            <v>0</v>
          </cell>
        </row>
        <row r="2067">
          <cell r="AM2067">
            <v>0</v>
          </cell>
        </row>
        <row r="2068">
          <cell r="AM2068">
            <v>0</v>
          </cell>
        </row>
        <row r="2069">
          <cell r="AM2069">
            <v>0</v>
          </cell>
        </row>
        <row r="2070">
          <cell r="AM2070">
            <v>0</v>
          </cell>
        </row>
        <row r="2071">
          <cell r="AM2071">
            <v>0</v>
          </cell>
        </row>
        <row r="2072">
          <cell r="AM2072">
            <v>0</v>
          </cell>
        </row>
        <row r="2073">
          <cell r="AM2073">
            <v>0</v>
          </cell>
        </row>
        <row r="2074">
          <cell r="AM2074">
            <v>0</v>
          </cell>
        </row>
        <row r="2075">
          <cell r="AM2075">
            <v>0</v>
          </cell>
        </row>
        <row r="2076">
          <cell r="AM2076">
            <v>0</v>
          </cell>
        </row>
        <row r="2077">
          <cell r="AM2077">
            <v>0</v>
          </cell>
        </row>
        <row r="2078">
          <cell r="AM2078">
            <v>0</v>
          </cell>
        </row>
        <row r="2079">
          <cell r="AM2079">
            <v>0</v>
          </cell>
        </row>
        <row r="2080">
          <cell r="AM2080">
            <v>0</v>
          </cell>
        </row>
        <row r="2081">
          <cell r="AM2081">
            <v>0</v>
          </cell>
        </row>
        <row r="2082">
          <cell r="A2082">
            <v>73</v>
          </cell>
          <cell r="C2082">
            <v>73</v>
          </cell>
          <cell r="D2082" t="str">
            <v>연선전화기 신설</v>
          </cell>
          <cell r="E2082" t="str">
            <v>벽부형,지하구간</v>
          </cell>
          <cell r="F2082" t="str">
            <v>대</v>
          </cell>
          <cell r="AM2082">
            <v>0</v>
          </cell>
          <cell r="AN2082">
            <v>0</v>
          </cell>
        </row>
        <row r="2083">
          <cell r="A2083" t="str">
            <v>73-1</v>
          </cell>
          <cell r="B2083">
            <v>541</v>
          </cell>
          <cell r="D2083" t="str">
            <v>가. 재료비</v>
          </cell>
          <cell r="E2083">
            <v>0</v>
          </cell>
          <cell r="F2083">
            <v>0</v>
          </cell>
          <cell r="AM2083">
            <v>0</v>
          </cell>
          <cell r="AN2083">
            <v>0</v>
          </cell>
        </row>
        <row r="2084">
          <cell r="A2084" t="str">
            <v>73-2</v>
          </cell>
          <cell r="B2084">
            <v>89</v>
          </cell>
          <cell r="D2084" t="str">
            <v>연선전화기</v>
          </cell>
          <cell r="E2084" t="str">
            <v>3회로</v>
          </cell>
          <cell r="F2084" t="str">
            <v>대</v>
          </cell>
          <cell r="V2084" t="str">
            <v>=</v>
          </cell>
          <cell r="W2084">
            <v>1</v>
          </cell>
          <cell r="Y2084" t="str">
            <v>기본</v>
          </cell>
          <cell r="AL2084">
            <v>0</v>
          </cell>
          <cell r="AM2084">
            <v>495000</v>
          </cell>
          <cell r="AN2084">
            <v>0</v>
          </cell>
        </row>
        <row r="2085">
          <cell r="A2085" t="str">
            <v>73-3</v>
          </cell>
          <cell r="B2085">
            <v>99</v>
          </cell>
          <cell r="D2085" t="str">
            <v>앙카볼트</v>
          </cell>
          <cell r="E2085" t="str">
            <v>(3/8")M10xL150</v>
          </cell>
          <cell r="F2085" t="str">
            <v>개</v>
          </cell>
          <cell r="V2085" t="str">
            <v>=</v>
          </cell>
          <cell r="W2085">
            <v>4</v>
          </cell>
          <cell r="Y2085" t="str">
            <v>기본</v>
          </cell>
          <cell r="AL2085">
            <v>0</v>
          </cell>
          <cell r="AM2085">
            <v>95</v>
          </cell>
          <cell r="AN2085">
            <v>0</v>
          </cell>
        </row>
        <row r="2086">
          <cell r="A2086" t="str">
            <v>73-4</v>
          </cell>
          <cell r="B2086">
            <v>542</v>
          </cell>
          <cell r="D2086" t="str">
            <v>나. 노무비</v>
          </cell>
          <cell r="E2086">
            <v>0</v>
          </cell>
          <cell r="F2086">
            <v>0</v>
          </cell>
          <cell r="AM2086">
            <v>0</v>
          </cell>
          <cell r="AN2086">
            <v>0</v>
          </cell>
        </row>
        <row r="2087">
          <cell r="D2087" t="str">
            <v>1) 단자함 신설</v>
          </cell>
          <cell r="AM2087">
            <v>0</v>
          </cell>
        </row>
        <row r="2088">
          <cell r="B2088">
            <v>519</v>
          </cell>
          <cell r="D2088" t="str">
            <v>통신케이블공</v>
          </cell>
          <cell r="E2088">
            <v>0</v>
          </cell>
          <cell r="F2088" t="str">
            <v>인</v>
          </cell>
          <cell r="H2088">
            <v>0.34</v>
          </cell>
          <cell r="I2088" t="str">
            <v>x</v>
          </cell>
          <cell r="J2088">
            <v>1</v>
          </cell>
          <cell r="K2088" t="str">
            <v>x</v>
          </cell>
          <cell r="L2088" t="str">
            <v>(</v>
          </cell>
          <cell r="M2088">
            <v>1</v>
          </cell>
          <cell r="N2088" t="str">
            <v>+</v>
          </cell>
          <cell r="O2088">
            <v>0.02</v>
          </cell>
          <cell r="P2088" t="str">
            <v>)</v>
          </cell>
          <cell r="V2088" t="str">
            <v>=</v>
          </cell>
          <cell r="W2088">
            <v>0.35</v>
          </cell>
          <cell r="Y2088" t="str">
            <v>기본</v>
          </cell>
          <cell r="Z2088" t="str">
            <v>x</v>
          </cell>
          <cell r="AA2088" t="str">
            <v>단위량</v>
          </cell>
          <cell r="AB2088" t="str">
            <v>x</v>
          </cell>
          <cell r="AC2088" t="str">
            <v>(</v>
          </cell>
          <cell r="AD2088">
            <v>1</v>
          </cell>
          <cell r="AE2088" t="str">
            <v>+</v>
          </cell>
          <cell r="AF2088" t="str">
            <v>지하</v>
          </cell>
          <cell r="AG2088" t="str">
            <v>)</v>
          </cell>
          <cell r="AL2088" t="str">
            <v xml:space="preserve"> 통 3-30(지하)</v>
          </cell>
          <cell r="AM2088">
            <v>95424</v>
          </cell>
          <cell r="AN2088">
            <v>0</v>
          </cell>
        </row>
        <row r="2089">
          <cell r="B2089">
            <v>523</v>
          </cell>
          <cell r="D2089" t="str">
            <v>보통인부</v>
          </cell>
          <cell r="E2089">
            <v>0</v>
          </cell>
          <cell r="F2089" t="str">
            <v>인</v>
          </cell>
          <cell r="H2089">
            <v>0.17</v>
          </cell>
          <cell r="I2089" t="str">
            <v>x</v>
          </cell>
          <cell r="J2089">
            <v>1</v>
          </cell>
          <cell r="K2089" t="str">
            <v>x</v>
          </cell>
          <cell r="L2089" t="str">
            <v>(</v>
          </cell>
          <cell r="M2089">
            <v>1</v>
          </cell>
          <cell r="N2089" t="str">
            <v>+</v>
          </cell>
          <cell r="O2089">
            <v>0.02</v>
          </cell>
          <cell r="P2089" t="str">
            <v>)</v>
          </cell>
          <cell r="V2089" t="str">
            <v>=</v>
          </cell>
          <cell r="W2089">
            <v>0.17</v>
          </cell>
          <cell r="Y2089" t="str">
            <v>기본</v>
          </cell>
          <cell r="Z2089" t="str">
            <v>x</v>
          </cell>
          <cell r="AA2089" t="str">
            <v>단위량</v>
          </cell>
          <cell r="AB2089" t="str">
            <v>x</v>
          </cell>
          <cell r="AC2089" t="str">
            <v>(</v>
          </cell>
          <cell r="AD2089">
            <v>1</v>
          </cell>
          <cell r="AE2089" t="str">
            <v>+</v>
          </cell>
          <cell r="AF2089" t="str">
            <v>지하</v>
          </cell>
          <cell r="AG2089" t="str">
            <v>)</v>
          </cell>
          <cell r="AM2089">
            <v>40922</v>
          </cell>
          <cell r="AN2089">
            <v>0</v>
          </cell>
        </row>
        <row r="2090">
          <cell r="B2090">
            <v>518</v>
          </cell>
          <cell r="D2090" t="str">
            <v>통신내선공</v>
          </cell>
          <cell r="E2090">
            <v>0</v>
          </cell>
          <cell r="F2090" t="str">
            <v>인</v>
          </cell>
          <cell r="H2090">
            <v>0.04</v>
          </cell>
          <cell r="I2090" t="str">
            <v>x</v>
          </cell>
          <cell r="J2090">
            <v>1</v>
          </cell>
          <cell r="K2090" t="str">
            <v>x</v>
          </cell>
          <cell r="L2090" t="str">
            <v>(</v>
          </cell>
          <cell r="M2090">
            <v>1</v>
          </cell>
          <cell r="N2090" t="str">
            <v>+</v>
          </cell>
          <cell r="O2090">
            <v>0.02</v>
          </cell>
          <cell r="P2090" t="str">
            <v>)</v>
          </cell>
          <cell r="V2090" t="str">
            <v>=</v>
          </cell>
          <cell r="W2090">
            <v>0.04</v>
          </cell>
          <cell r="Y2090" t="str">
            <v>기본</v>
          </cell>
          <cell r="Z2090" t="str">
            <v>x</v>
          </cell>
          <cell r="AA2090" t="str">
            <v>단위량</v>
          </cell>
          <cell r="AB2090" t="str">
            <v>x</v>
          </cell>
          <cell r="AC2090" t="str">
            <v>(</v>
          </cell>
          <cell r="AD2090">
            <v>1</v>
          </cell>
          <cell r="AE2090" t="str">
            <v>+</v>
          </cell>
          <cell r="AF2090" t="str">
            <v>지하</v>
          </cell>
          <cell r="AG2090" t="str">
            <v>)</v>
          </cell>
          <cell r="AL2090" t="str">
            <v>통 3-29(지하)</v>
          </cell>
          <cell r="AM2090">
            <v>63806</v>
          </cell>
          <cell r="AN2090">
            <v>0</v>
          </cell>
        </row>
        <row r="2091">
          <cell r="D2091" t="str">
            <v>2)앙카볼트설치및구멍뚫기</v>
          </cell>
          <cell r="AM2091">
            <v>0</v>
          </cell>
        </row>
        <row r="2092">
          <cell r="B2092">
            <v>523</v>
          </cell>
          <cell r="D2092" t="str">
            <v>보통인부</v>
          </cell>
          <cell r="E2092">
            <v>0</v>
          </cell>
          <cell r="F2092" t="str">
            <v>인</v>
          </cell>
          <cell r="H2092">
            <v>0.36</v>
          </cell>
          <cell r="I2092" t="str">
            <v>/</v>
          </cell>
          <cell r="J2092">
            <v>10</v>
          </cell>
          <cell r="K2092" t="str">
            <v>x</v>
          </cell>
          <cell r="L2092" t="str">
            <v>(</v>
          </cell>
          <cell r="M2092">
            <v>1</v>
          </cell>
          <cell r="N2092" t="str">
            <v>+</v>
          </cell>
          <cell r="O2092">
            <v>0.02</v>
          </cell>
          <cell r="P2092" t="str">
            <v>)</v>
          </cell>
          <cell r="Q2092" t="str">
            <v>x</v>
          </cell>
          <cell r="S2092">
            <v>4</v>
          </cell>
          <cell r="V2092" t="str">
            <v>=</v>
          </cell>
          <cell r="W2092">
            <v>0.15</v>
          </cell>
          <cell r="Y2092" t="str">
            <v>기본</v>
          </cell>
          <cell r="Z2092" t="str">
            <v>/</v>
          </cell>
          <cell r="AA2092" t="str">
            <v>단위량</v>
          </cell>
          <cell r="AB2092" t="str">
            <v>x</v>
          </cell>
          <cell r="AC2092" t="str">
            <v>(</v>
          </cell>
          <cell r="AD2092">
            <v>1</v>
          </cell>
          <cell r="AE2092" t="str">
            <v>+</v>
          </cell>
          <cell r="AF2092" t="str">
            <v>지하</v>
          </cell>
          <cell r="AG2092" t="str">
            <v>)x</v>
          </cell>
          <cell r="AH2092" t="str">
            <v>수량</v>
          </cell>
          <cell r="AM2092">
            <v>40922</v>
          </cell>
        </row>
        <row r="2093">
          <cell r="B2093">
            <v>518</v>
          </cell>
          <cell r="D2093" t="str">
            <v>통신내선공</v>
          </cell>
          <cell r="E2093">
            <v>0</v>
          </cell>
          <cell r="F2093" t="str">
            <v>인</v>
          </cell>
          <cell r="H2093">
            <v>0.08</v>
          </cell>
          <cell r="I2093" t="str">
            <v>x</v>
          </cell>
          <cell r="J2093">
            <v>4</v>
          </cell>
          <cell r="K2093" t="str">
            <v>x</v>
          </cell>
          <cell r="L2093" t="str">
            <v>(</v>
          </cell>
          <cell r="M2093">
            <v>1</v>
          </cell>
          <cell r="N2093" t="str">
            <v>+</v>
          </cell>
          <cell r="O2093">
            <v>0.02</v>
          </cell>
          <cell r="P2093" t="str">
            <v>)</v>
          </cell>
          <cell r="V2093" t="str">
            <v>=</v>
          </cell>
          <cell r="W2093">
            <v>0.33</v>
          </cell>
          <cell r="Y2093" t="str">
            <v>기본</v>
          </cell>
          <cell r="Z2093" t="str">
            <v>x</v>
          </cell>
          <cell r="AA2093" t="str">
            <v>단위량</v>
          </cell>
          <cell r="AB2093" t="str">
            <v>x</v>
          </cell>
          <cell r="AC2093" t="str">
            <v>(</v>
          </cell>
          <cell r="AD2093">
            <v>1</v>
          </cell>
          <cell r="AE2093" t="str">
            <v>+</v>
          </cell>
          <cell r="AF2093" t="str">
            <v>지하</v>
          </cell>
          <cell r="AG2093" t="str">
            <v>)</v>
          </cell>
          <cell r="AM2093">
            <v>63806</v>
          </cell>
        </row>
        <row r="2094">
          <cell r="B2094">
            <v>544</v>
          </cell>
          <cell r="D2094" t="str">
            <v>소    계</v>
          </cell>
          <cell r="E2094">
            <v>0</v>
          </cell>
          <cell r="F2094">
            <v>0</v>
          </cell>
          <cell r="AM2094">
            <v>0</v>
          </cell>
          <cell r="AN2094">
            <v>0</v>
          </cell>
        </row>
        <row r="2095">
          <cell r="A2095" t="str">
            <v>73-5</v>
          </cell>
          <cell r="B2095">
            <v>519</v>
          </cell>
          <cell r="D2095" t="str">
            <v>통신케이블공</v>
          </cell>
          <cell r="E2095">
            <v>0</v>
          </cell>
          <cell r="F2095" t="str">
            <v>인</v>
          </cell>
          <cell r="V2095" t="str">
            <v>=</v>
          </cell>
          <cell r="W2095">
            <v>0.35</v>
          </cell>
          <cell r="AM2095">
            <v>95424</v>
          </cell>
          <cell r="AN2095">
            <v>0</v>
          </cell>
        </row>
        <row r="2096">
          <cell r="A2096" t="str">
            <v>73-6</v>
          </cell>
          <cell r="B2096">
            <v>518</v>
          </cell>
          <cell r="D2096" t="str">
            <v>통신내선공</v>
          </cell>
          <cell r="E2096">
            <v>0</v>
          </cell>
          <cell r="F2096" t="str">
            <v>인</v>
          </cell>
          <cell r="V2096" t="str">
            <v>=</v>
          </cell>
          <cell r="W2096">
            <v>0.37</v>
          </cell>
          <cell r="AM2096">
            <v>63806</v>
          </cell>
          <cell r="AN2096">
            <v>0</v>
          </cell>
        </row>
        <row r="2097">
          <cell r="A2097" t="str">
            <v>73-7</v>
          </cell>
          <cell r="B2097">
            <v>523</v>
          </cell>
          <cell r="D2097" t="str">
            <v>보통인부</v>
          </cell>
          <cell r="E2097">
            <v>0</v>
          </cell>
          <cell r="F2097" t="str">
            <v>인</v>
          </cell>
          <cell r="V2097" t="str">
            <v>=</v>
          </cell>
          <cell r="W2097">
            <v>0.32</v>
          </cell>
          <cell r="AM2097">
            <v>40922</v>
          </cell>
          <cell r="AN2097">
            <v>0</v>
          </cell>
        </row>
        <row r="2098">
          <cell r="A2098" t="str">
            <v>73-8</v>
          </cell>
          <cell r="B2098">
            <v>543</v>
          </cell>
          <cell r="D2098" t="str">
            <v>다. 공구손료</v>
          </cell>
          <cell r="E2098" t="str">
            <v>노무비x3%</v>
          </cell>
          <cell r="F2098">
            <v>0</v>
          </cell>
          <cell r="AM2098">
            <v>0</v>
          </cell>
          <cell r="AN2098">
            <v>0</v>
          </cell>
        </row>
        <row r="2099">
          <cell r="A2099" t="str">
            <v>73-9</v>
          </cell>
          <cell r="B2099">
            <v>519</v>
          </cell>
          <cell r="D2099" t="str">
            <v>통신케이블공</v>
          </cell>
          <cell r="E2099">
            <v>0</v>
          </cell>
          <cell r="F2099" t="str">
            <v>인</v>
          </cell>
          <cell r="H2099">
            <v>0.34</v>
          </cell>
          <cell r="I2099" t="str">
            <v>x</v>
          </cell>
          <cell r="J2099">
            <v>0.03</v>
          </cell>
          <cell r="V2099" t="str">
            <v>=</v>
          </cell>
          <cell r="W2099">
            <v>0.01</v>
          </cell>
          <cell r="Y2099" t="str">
            <v>기본</v>
          </cell>
          <cell r="Z2099" t="str">
            <v>x</v>
          </cell>
          <cell r="AA2099" t="str">
            <v>공구손료</v>
          </cell>
          <cell r="AM2099">
            <v>95424</v>
          </cell>
          <cell r="AN2099">
            <v>0</v>
          </cell>
        </row>
        <row r="2100">
          <cell r="A2100" t="str">
            <v>73-10</v>
          </cell>
          <cell r="B2100">
            <v>518</v>
          </cell>
          <cell r="D2100" t="str">
            <v>통신내선공</v>
          </cell>
          <cell r="E2100">
            <v>0</v>
          </cell>
          <cell r="F2100" t="str">
            <v>인</v>
          </cell>
          <cell r="H2100">
            <v>0.36</v>
          </cell>
          <cell r="I2100" t="str">
            <v>x</v>
          </cell>
          <cell r="J2100">
            <v>0.03</v>
          </cell>
          <cell r="V2100" t="str">
            <v>=</v>
          </cell>
          <cell r="W2100">
            <v>0.01</v>
          </cell>
          <cell r="Y2100" t="str">
            <v>기본</v>
          </cell>
          <cell r="Z2100" t="str">
            <v>x</v>
          </cell>
          <cell r="AA2100" t="str">
            <v>공구손료</v>
          </cell>
          <cell r="AM2100">
            <v>63806</v>
          </cell>
          <cell r="AN2100">
            <v>0</v>
          </cell>
        </row>
        <row r="2101">
          <cell r="A2101" t="str">
            <v>73-11</v>
          </cell>
          <cell r="B2101">
            <v>523</v>
          </cell>
          <cell r="D2101" t="str">
            <v>보통인부</v>
          </cell>
          <cell r="E2101">
            <v>0</v>
          </cell>
          <cell r="F2101" t="str">
            <v>인</v>
          </cell>
          <cell r="H2101">
            <v>0.31</v>
          </cell>
          <cell r="I2101" t="str">
            <v>x</v>
          </cell>
          <cell r="J2101">
            <v>0.03</v>
          </cell>
          <cell r="V2101" t="str">
            <v>=</v>
          </cell>
          <cell r="W2101">
            <v>0.01</v>
          </cell>
          <cell r="Y2101" t="str">
            <v>기본</v>
          </cell>
          <cell r="Z2101" t="str">
            <v>x</v>
          </cell>
          <cell r="AA2101" t="str">
            <v>공구손료</v>
          </cell>
          <cell r="AM2101">
            <v>40922</v>
          </cell>
          <cell r="AN2101">
            <v>0</v>
          </cell>
        </row>
        <row r="2102">
          <cell r="AM2102">
            <v>0</v>
          </cell>
          <cell r="AN2102">
            <v>0</v>
          </cell>
        </row>
        <row r="2103">
          <cell r="AM2103">
            <v>0</v>
          </cell>
          <cell r="AN2103">
            <v>0</v>
          </cell>
        </row>
        <row r="2104">
          <cell r="AM2104">
            <v>0</v>
          </cell>
          <cell r="AN2104">
            <v>0</v>
          </cell>
        </row>
        <row r="2105">
          <cell r="AM2105">
            <v>0</v>
          </cell>
          <cell r="AN2105">
            <v>0</v>
          </cell>
        </row>
        <row r="2106">
          <cell r="AM2106">
            <v>0</v>
          </cell>
          <cell r="AN2106">
            <v>0</v>
          </cell>
        </row>
        <row r="2107">
          <cell r="AM2107">
            <v>0</v>
          </cell>
          <cell r="AN2107">
            <v>0</v>
          </cell>
        </row>
        <row r="2108">
          <cell r="AM2108">
            <v>0</v>
          </cell>
          <cell r="AN2108">
            <v>0</v>
          </cell>
        </row>
        <row r="2109">
          <cell r="A2109">
            <v>74</v>
          </cell>
          <cell r="C2109">
            <v>74</v>
          </cell>
          <cell r="D2109" t="str">
            <v>연선전화기 신설</v>
          </cell>
          <cell r="E2109" t="str">
            <v>교량</v>
          </cell>
          <cell r="F2109" t="str">
            <v>대</v>
          </cell>
          <cell r="AM2109">
            <v>0</v>
          </cell>
          <cell r="AN2109">
            <v>0</v>
          </cell>
        </row>
        <row r="2110">
          <cell r="A2110" t="str">
            <v>74-1</v>
          </cell>
          <cell r="B2110">
            <v>541</v>
          </cell>
          <cell r="D2110" t="str">
            <v>가. 재료비</v>
          </cell>
          <cell r="E2110">
            <v>0</v>
          </cell>
          <cell r="F2110">
            <v>0</v>
          </cell>
          <cell r="AM2110">
            <v>0</v>
          </cell>
          <cell r="AN2110">
            <v>0</v>
          </cell>
        </row>
        <row r="2111">
          <cell r="A2111" t="str">
            <v>74-2</v>
          </cell>
          <cell r="B2111">
            <v>89</v>
          </cell>
          <cell r="D2111" t="str">
            <v>연선전화기</v>
          </cell>
          <cell r="E2111" t="str">
            <v>3회로</v>
          </cell>
          <cell r="F2111" t="str">
            <v>대</v>
          </cell>
          <cell r="V2111" t="str">
            <v>=</v>
          </cell>
          <cell r="W2111">
            <v>1</v>
          </cell>
          <cell r="Y2111" t="str">
            <v>기본</v>
          </cell>
          <cell r="AL2111">
            <v>0</v>
          </cell>
          <cell r="AM2111">
            <v>495000</v>
          </cell>
          <cell r="AN2111">
            <v>0</v>
          </cell>
        </row>
        <row r="2112">
          <cell r="A2112" t="str">
            <v>74-3</v>
          </cell>
          <cell r="B2112">
            <v>99</v>
          </cell>
          <cell r="D2112" t="str">
            <v>앙카볼트</v>
          </cell>
          <cell r="E2112" t="str">
            <v>(3/8")M10xL150</v>
          </cell>
          <cell r="F2112" t="str">
            <v>개</v>
          </cell>
          <cell r="V2112" t="str">
            <v>=</v>
          </cell>
          <cell r="W2112">
            <v>4</v>
          </cell>
          <cell r="Y2112" t="str">
            <v>기본</v>
          </cell>
          <cell r="AL2112">
            <v>0</v>
          </cell>
          <cell r="AM2112">
            <v>95</v>
          </cell>
          <cell r="AN2112">
            <v>0</v>
          </cell>
        </row>
        <row r="2113">
          <cell r="A2113" t="str">
            <v>74-4</v>
          </cell>
          <cell r="B2113">
            <v>542</v>
          </cell>
          <cell r="D2113" t="str">
            <v>나. 노무비</v>
          </cell>
          <cell r="E2113">
            <v>0</v>
          </cell>
          <cell r="F2113">
            <v>0</v>
          </cell>
          <cell r="AM2113">
            <v>0</v>
          </cell>
          <cell r="AN2113">
            <v>0</v>
          </cell>
        </row>
        <row r="2114">
          <cell r="D2114" t="str">
            <v>1) 단자함 신설</v>
          </cell>
          <cell r="AM2114">
            <v>0</v>
          </cell>
        </row>
        <row r="2115">
          <cell r="B2115">
            <v>519</v>
          </cell>
          <cell r="D2115" t="str">
            <v>통신케이블공</v>
          </cell>
          <cell r="E2115">
            <v>0</v>
          </cell>
          <cell r="F2115" t="str">
            <v>인</v>
          </cell>
          <cell r="H2115">
            <v>0.34</v>
          </cell>
          <cell r="I2115" t="str">
            <v>x</v>
          </cell>
          <cell r="J2115">
            <v>1</v>
          </cell>
          <cell r="K2115" t="str">
            <v>x</v>
          </cell>
          <cell r="L2115" t="str">
            <v>(</v>
          </cell>
          <cell r="M2115">
            <v>1</v>
          </cell>
          <cell r="N2115" t="str">
            <v>+</v>
          </cell>
          <cell r="O2115">
            <v>0.15</v>
          </cell>
          <cell r="P2115" t="str">
            <v>)</v>
          </cell>
          <cell r="V2115" t="str">
            <v>=</v>
          </cell>
          <cell r="W2115">
            <v>0.39</v>
          </cell>
          <cell r="Y2115" t="str">
            <v>기본</v>
          </cell>
          <cell r="Z2115" t="str">
            <v>x</v>
          </cell>
          <cell r="AA2115" t="str">
            <v>단위량</v>
          </cell>
          <cell r="AB2115" t="str">
            <v>x</v>
          </cell>
          <cell r="AC2115" t="str">
            <v>(</v>
          </cell>
          <cell r="AD2115">
            <v>1</v>
          </cell>
          <cell r="AE2115" t="str">
            <v>+</v>
          </cell>
          <cell r="AF2115" t="str">
            <v>교량</v>
          </cell>
          <cell r="AG2115" t="str">
            <v>)</v>
          </cell>
          <cell r="AL2115" t="str">
            <v xml:space="preserve"> 통 3-30(교량)</v>
          </cell>
          <cell r="AM2115">
            <v>95424</v>
          </cell>
          <cell r="AN2115">
            <v>0</v>
          </cell>
        </row>
        <row r="2116">
          <cell r="B2116">
            <v>523</v>
          </cell>
          <cell r="D2116" t="str">
            <v>보통인부</v>
          </cell>
          <cell r="E2116">
            <v>0</v>
          </cell>
          <cell r="F2116" t="str">
            <v>인</v>
          </cell>
          <cell r="H2116">
            <v>0.17</v>
          </cell>
          <cell r="I2116" t="str">
            <v>x</v>
          </cell>
          <cell r="J2116">
            <v>1</v>
          </cell>
          <cell r="K2116" t="str">
            <v>x</v>
          </cell>
          <cell r="L2116" t="str">
            <v>(</v>
          </cell>
          <cell r="M2116">
            <v>1</v>
          </cell>
          <cell r="N2116" t="str">
            <v>+</v>
          </cell>
          <cell r="O2116">
            <v>0.15</v>
          </cell>
          <cell r="P2116" t="str">
            <v>)</v>
          </cell>
          <cell r="V2116" t="str">
            <v>=</v>
          </cell>
          <cell r="W2116">
            <v>0.2</v>
          </cell>
          <cell r="Y2116" t="str">
            <v>기본</v>
          </cell>
          <cell r="Z2116" t="str">
            <v>x</v>
          </cell>
          <cell r="AA2116" t="str">
            <v>단위량</v>
          </cell>
          <cell r="AB2116" t="str">
            <v>x</v>
          </cell>
          <cell r="AC2116" t="str">
            <v>(</v>
          </cell>
          <cell r="AD2116">
            <v>1</v>
          </cell>
          <cell r="AE2116" t="str">
            <v>+</v>
          </cell>
          <cell r="AF2116" t="str">
            <v>교량</v>
          </cell>
          <cell r="AG2116" t="str">
            <v>)</v>
          </cell>
          <cell r="AM2116">
            <v>40922</v>
          </cell>
          <cell r="AN2116">
            <v>0</v>
          </cell>
        </row>
        <row r="2117">
          <cell r="B2117">
            <v>518</v>
          </cell>
          <cell r="D2117" t="str">
            <v>통신내선공</v>
          </cell>
          <cell r="E2117">
            <v>0</v>
          </cell>
          <cell r="F2117" t="str">
            <v>인</v>
          </cell>
          <cell r="H2117">
            <v>0.04</v>
          </cell>
          <cell r="I2117" t="str">
            <v>x</v>
          </cell>
          <cell r="J2117">
            <v>1</v>
          </cell>
          <cell r="K2117" t="str">
            <v>x</v>
          </cell>
          <cell r="L2117" t="str">
            <v>(</v>
          </cell>
          <cell r="M2117">
            <v>1</v>
          </cell>
          <cell r="N2117" t="str">
            <v>+</v>
          </cell>
          <cell r="O2117">
            <v>0.15</v>
          </cell>
          <cell r="P2117" t="str">
            <v>)</v>
          </cell>
          <cell r="V2117" t="str">
            <v>=</v>
          </cell>
          <cell r="W2117">
            <v>0.05</v>
          </cell>
          <cell r="Y2117" t="str">
            <v>기본</v>
          </cell>
          <cell r="Z2117" t="str">
            <v>x</v>
          </cell>
          <cell r="AA2117" t="str">
            <v>단위량</v>
          </cell>
          <cell r="AB2117" t="str">
            <v>x</v>
          </cell>
          <cell r="AC2117" t="str">
            <v>(</v>
          </cell>
          <cell r="AD2117">
            <v>1</v>
          </cell>
          <cell r="AE2117" t="str">
            <v>+</v>
          </cell>
          <cell r="AF2117" t="str">
            <v>교량</v>
          </cell>
          <cell r="AG2117" t="str">
            <v>)</v>
          </cell>
          <cell r="AL2117" t="str">
            <v>통 3-29(교량)</v>
          </cell>
          <cell r="AM2117">
            <v>63806</v>
          </cell>
          <cell r="AN2117">
            <v>0</v>
          </cell>
        </row>
        <row r="2118">
          <cell r="D2118" t="str">
            <v>2)앙카볼트설치및구멍뚫기</v>
          </cell>
          <cell r="AM2118">
            <v>0</v>
          </cell>
        </row>
        <row r="2119">
          <cell r="B2119">
            <v>523</v>
          </cell>
          <cell r="D2119" t="str">
            <v>보통인부</v>
          </cell>
          <cell r="E2119">
            <v>0</v>
          </cell>
          <cell r="F2119" t="str">
            <v>인</v>
          </cell>
          <cell r="H2119">
            <v>0.36</v>
          </cell>
          <cell r="I2119" t="str">
            <v>/</v>
          </cell>
          <cell r="J2119">
            <v>10</v>
          </cell>
          <cell r="K2119" t="str">
            <v>x</v>
          </cell>
          <cell r="L2119" t="str">
            <v>(</v>
          </cell>
          <cell r="M2119">
            <v>1</v>
          </cell>
          <cell r="N2119" t="str">
            <v>+</v>
          </cell>
          <cell r="O2119">
            <v>0.15</v>
          </cell>
          <cell r="P2119" t="str">
            <v>)</v>
          </cell>
          <cell r="Q2119" t="str">
            <v>x</v>
          </cell>
          <cell r="S2119">
            <v>4</v>
          </cell>
          <cell r="V2119" t="str">
            <v>=</v>
          </cell>
          <cell r="W2119">
            <v>0.17</v>
          </cell>
          <cell r="Y2119" t="str">
            <v>기본</v>
          </cell>
          <cell r="Z2119" t="str">
            <v>/</v>
          </cell>
          <cell r="AA2119" t="str">
            <v>단위량</v>
          </cell>
          <cell r="AB2119" t="str">
            <v>x</v>
          </cell>
          <cell r="AC2119" t="str">
            <v>(</v>
          </cell>
          <cell r="AD2119">
            <v>1</v>
          </cell>
          <cell r="AE2119" t="str">
            <v>+</v>
          </cell>
          <cell r="AF2119" t="str">
            <v>교량</v>
          </cell>
          <cell r="AG2119" t="str">
            <v>)x</v>
          </cell>
          <cell r="AH2119" t="str">
            <v>수량</v>
          </cell>
          <cell r="AM2119">
            <v>40922</v>
          </cell>
        </row>
        <row r="2120">
          <cell r="B2120">
            <v>518</v>
          </cell>
          <cell r="D2120" t="str">
            <v>통신내선공</v>
          </cell>
          <cell r="E2120">
            <v>0</v>
          </cell>
          <cell r="F2120" t="str">
            <v>인</v>
          </cell>
          <cell r="H2120">
            <v>0.08</v>
          </cell>
          <cell r="I2120" t="str">
            <v>x</v>
          </cell>
          <cell r="J2120">
            <v>4</v>
          </cell>
          <cell r="K2120" t="str">
            <v>x</v>
          </cell>
          <cell r="L2120" t="str">
            <v>(</v>
          </cell>
          <cell r="M2120">
            <v>1</v>
          </cell>
          <cell r="N2120" t="str">
            <v>+</v>
          </cell>
          <cell r="O2120">
            <v>0.15</v>
          </cell>
          <cell r="P2120" t="str">
            <v>)</v>
          </cell>
          <cell r="V2120" t="str">
            <v>=</v>
          </cell>
          <cell r="W2120">
            <v>0.37</v>
          </cell>
          <cell r="Y2120" t="str">
            <v>기본</v>
          </cell>
          <cell r="Z2120" t="str">
            <v>x</v>
          </cell>
          <cell r="AA2120" t="str">
            <v>단위량</v>
          </cell>
          <cell r="AB2120" t="str">
            <v>x</v>
          </cell>
          <cell r="AC2120" t="str">
            <v>(</v>
          </cell>
          <cell r="AD2120">
            <v>1</v>
          </cell>
          <cell r="AE2120" t="str">
            <v>+</v>
          </cell>
          <cell r="AF2120" t="str">
            <v>교량</v>
          </cell>
          <cell r="AG2120" t="str">
            <v>)</v>
          </cell>
          <cell r="AM2120">
            <v>63806</v>
          </cell>
        </row>
        <row r="2121">
          <cell r="B2121">
            <v>544</v>
          </cell>
          <cell r="D2121" t="str">
            <v>소    계</v>
          </cell>
          <cell r="E2121">
            <v>0</v>
          </cell>
          <cell r="F2121">
            <v>0</v>
          </cell>
          <cell r="AM2121">
            <v>0</v>
          </cell>
          <cell r="AN2121">
            <v>0</v>
          </cell>
        </row>
        <row r="2122">
          <cell r="A2122" t="str">
            <v>74-5</v>
          </cell>
          <cell r="B2122">
            <v>519</v>
          </cell>
          <cell r="D2122" t="str">
            <v>통신케이블공</v>
          </cell>
          <cell r="E2122">
            <v>0</v>
          </cell>
          <cell r="F2122" t="str">
            <v>인</v>
          </cell>
          <cell r="V2122" t="str">
            <v>=</v>
          </cell>
          <cell r="W2122">
            <v>0.35</v>
          </cell>
          <cell r="AM2122">
            <v>95424</v>
          </cell>
          <cell r="AN2122">
            <v>0</v>
          </cell>
        </row>
        <row r="2123">
          <cell r="A2123" t="str">
            <v>74-6</v>
          </cell>
          <cell r="B2123">
            <v>518</v>
          </cell>
          <cell r="D2123" t="str">
            <v>통신내선공</v>
          </cell>
          <cell r="E2123">
            <v>0</v>
          </cell>
          <cell r="F2123" t="str">
            <v>인</v>
          </cell>
          <cell r="V2123" t="str">
            <v>=</v>
          </cell>
          <cell r="W2123">
            <v>0.37</v>
          </cell>
          <cell r="AM2123">
            <v>63806</v>
          </cell>
          <cell r="AN2123">
            <v>0</v>
          </cell>
        </row>
        <row r="2124">
          <cell r="A2124" t="str">
            <v>74-7</v>
          </cell>
          <cell r="B2124">
            <v>523</v>
          </cell>
          <cell r="D2124" t="str">
            <v>보통인부</v>
          </cell>
          <cell r="E2124">
            <v>0</v>
          </cell>
          <cell r="F2124" t="str">
            <v>인</v>
          </cell>
          <cell r="V2124" t="str">
            <v>=</v>
          </cell>
          <cell r="W2124">
            <v>0.32</v>
          </cell>
          <cell r="AM2124">
            <v>40922</v>
          </cell>
          <cell r="AN2124">
            <v>0</v>
          </cell>
        </row>
        <row r="2125">
          <cell r="A2125" t="str">
            <v>74-8</v>
          </cell>
          <cell r="B2125">
            <v>543</v>
          </cell>
          <cell r="D2125" t="str">
            <v>다. 공구손료</v>
          </cell>
          <cell r="E2125" t="str">
            <v>노무비x3%</v>
          </cell>
          <cell r="F2125">
            <v>0</v>
          </cell>
          <cell r="AM2125">
            <v>0</v>
          </cell>
          <cell r="AN2125">
            <v>0</v>
          </cell>
        </row>
        <row r="2126">
          <cell r="A2126" t="str">
            <v>74-9</v>
          </cell>
          <cell r="B2126">
            <v>519</v>
          </cell>
          <cell r="D2126" t="str">
            <v>통신케이블공</v>
          </cell>
          <cell r="E2126">
            <v>0</v>
          </cell>
          <cell r="F2126" t="str">
            <v>인</v>
          </cell>
          <cell r="H2126">
            <v>0.34</v>
          </cell>
          <cell r="I2126" t="str">
            <v>x</v>
          </cell>
          <cell r="J2126">
            <v>0.03</v>
          </cell>
          <cell r="V2126" t="str">
            <v>=</v>
          </cell>
          <cell r="W2126">
            <v>0.01</v>
          </cell>
          <cell r="Y2126" t="str">
            <v>기본</v>
          </cell>
          <cell r="Z2126" t="str">
            <v>x</v>
          </cell>
          <cell r="AA2126" t="str">
            <v>공구손료</v>
          </cell>
          <cell r="AM2126">
            <v>95424</v>
          </cell>
          <cell r="AN2126">
            <v>0</v>
          </cell>
        </row>
        <row r="2127">
          <cell r="A2127" t="str">
            <v>74-10</v>
          </cell>
          <cell r="B2127">
            <v>518</v>
          </cell>
          <cell r="D2127" t="str">
            <v>통신내선공</v>
          </cell>
          <cell r="E2127">
            <v>0</v>
          </cell>
          <cell r="F2127" t="str">
            <v>인</v>
          </cell>
          <cell r="H2127">
            <v>0.36</v>
          </cell>
          <cell r="I2127" t="str">
            <v>x</v>
          </cell>
          <cell r="J2127">
            <v>0.03</v>
          </cell>
          <cell r="V2127" t="str">
            <v>=</v>
          </cell>
          <cell r="W2127">
            <v>0.01</v>
          </cell>
          <cell r="Y2127" t="str">
            <v>기본</v>
          </cell>
          <cell r="Z2127" t="str">
            <v>x</v>
          </cell>
          <cell r="AA2127" t="str">
            <v>공구손료</v>
          </cell>
          <cell r="AM2127">
            <v>63806</v>
          </cell>
          <cell r="AN2127">
            <v>0</v>
          </cell>
        </row>
        <row r="2128">
          <cell r="A2128" t="str">
            <v>74-11</v>
          </cell>
          <cell r="B2128">
            <v>523</v>
          </cell>
          <cell r="D2128" t="str">
            <v>보통인부</v>
          </cell>
          <cell r="E2128">
            <v>0</v>
          </cell>
          <cell r="F2128" t="str">
            <v>인</v>
          </cell>
          <cell r="H2128">
            <v>0.31</v>
          </cell>
          <cell r="I2128" t="str">
            <v>x</v>
          </cell>
          <cell r="J2128">
            <v>0.03</v>
          </cell>
          <cell r="V2128" t="str">
            <v>=</v>
          </cell>
          <cell r="W2128">
            <v>0.01</v>
          </cell>
          <cell r="Y2128" t="str">
            <v>기본</v>
          </cell>
          <cell r="Z2128" t="str">
            <v>x</v>
          </cell>
          <cell r="AA2128" t="str">
            <v>공구손료</v>
          </cell>
          <cell r="AM2128">
            <v>40922</v>
          </cell>
          <cell r="AN2128">
            <v>0</v>
          </cell>
        </row>
        <row r="2129">
          <cell r="AM2129">
            <v>0</v>
          </cell>
          <cell r="AN2129">
            <v>0</v>
          </cell>
        </row>
        <row r="2130">
          <cell r="AM2130">
            <v>0</v>
          </cell>
          <cell r="AN2130">
            <v>0</v>
          </cell>
        </row>
        <row r="2131">
          <cell r="AM2131">
            <v>0</v>
          </cell>
          <cell r="AN2131">
            <v>0</v>
          </cell>
        </row>
        <row r="2132">
          <cell r="AM2132">
            <v>0</v>
          </cell>
          <cell r="AN2132">
            <v>0</v>
          </cell>
        </row>
        <row r="2133">
          <cell r="AM2133">
            <v>0</v>
          </cell>
          <cell r="AN2133">
            <v>0</v>
          </cell>
        </row>
        <row r="2134">
          <cell r="AM2134">
            <v>0</v>
          </cell>
          <cell r="AN2134">
            <v>0</v>
          </cell>
        </row>
        <row r="2135">
          <cell r="AM2135">
            <v>0</v>
          </cell>
          <cell r="AN2135">
            <v>0</v>
          </cell>
        </row>
        <row r="2136">
          <cell r="A2136">
            <v>75</v>
          </cell>
          <cell r="C2136">
            <v>75</v>
          </cell>
          <cell r="D2136" t="str">
            <v>MDF 신설</v>
          </cell>
          <cell r="E2136" t="str">
            <v>A형(OFD 포함)</v>
          </cell>
          <cell r="F2136" t="str">
            <v>대</v>
          </cell>
          <cell r="AM2136">
            <v>0</v>
          </cell>
          <cell r="AN2136">
            <v>0</v>
          </cell>
        </row>
        <row r="2137">
          <cell r="A2137" t="str">
            <v>75-1</v>
          </cell>
          <cell r="B2137">
            <v>541</v>
          </cell>
          <cell r="D2137" t="str">
            <v>가. 재료비</v>
          </cell>
          <cell r="AM2137">
            <v>0</v>
          </cell>
          <cell r="AN2137">
            <v>0</v>
          </cell>
        </row>
        <row r="2138">
          <cell r="A2138" t="str">
            <v>75-2</v>
          </cell>
          <cell r="B2138">
            <v>350</v>
          </cell>
          <cell r="D2138" t="str">
            <v>MDF 신설</v>
          </cell>
          <cell r="E2138" t="str">
            <v>A형(OFD 포함)</v>
          </cell>
          <cell r="F2138" t="str">
            <v>대</v>
          </cell>
          <cell r="V2138" t="str">
            <v>=</v>
          </cell>
          <cell r="W2138">
            <v>1</v>
          </cell>
          <cell r="AM2138">
            <v>27900000</v>
          </cell>
          <cell r="AN2138">
            <v>0</v>
          </cell>
        </row>
        <row r="2139">
          <cell r="A2139" t="str">
            <v>75-3</v>
          </cell>
          <cell r="B2139">
            <v>542</v>
          </cell>
          <cell r="D2139" t="str">
            <v>나. 노무비</v>
          </cell>
          <cell r="E2139">
            <v>0</v>
          </cell>
          <cell r="F2139">
            <v>0</v>
          </cell>
          <cell r="AL2139" t="str">
            <v>통4-10</v>
          </cell>
          <cell r="AM2139">
            <v>0</v>
          </cell>
          <cell r="AN2139">
            <v>0</v>
          </cell>
        </row>
        <row r="2140">
          <cell r="B2140">
            <v>517</v>
          </cell>
          <cell r="D2140" t="str">
            <v>통신설비공</v>
          </cell>
          <cell r="E2140">
            <v>0</v>
          </cell>
          <cell r="F2140" t="str">
            <v>인</v>
          </cell>
          <cell r="H2140">
            <v>2</v>
          </cell>
          <cell r="I2140" t="str">
            <v>x</v>
          </cell>
          <cell r="J2140">
            <v>1</v>
          </cell>
          <cell r="V2140" t="str">
            <v>=</v>
          </cell>
          <cell r="W2140">
            <v>2</v>
          </cell>
          <cell r="Y2140" t="str">
            <v>기본</v>
          </cell>
          <cell r="Z2140" t="str">
            <v>x</v>
          </cell>
          <cell r="AA2140" t="str">
            <v>단위량</v>
          </cell>
          <cell r="AM2140">
            <v>77401</v>
          </cell>
          <cell r="AN2140">
            <v>0</v>
          </cell>
        </row>
        <row r="2141">
          <cell r="B2141">
            <v>523</v>
          </cell>
          <cell r="D2141" t="str">
            <v>보통인부</v>
          </cell>
          <cell r="E2141">
            <v>0</v>
          </cell>
          <cell r="F2141" t="str">
            <v>인</v>
          </cell>
          <cell r="H2141">
            <v>1</v>
          </cell>
          <cell r="I2141" t="str">
            <v>x</v>
          </cell>
          <cell r="J2141">
            <v>1</v>
          </cell>
          <cell r="V2141" t="str">
            <v>=</v>
          </cell>
          <cell r="W2141">
            <v>1</v>
          </cell>
          <cell r="Y2141" t="str">
            <v>기본</v>
          </cell>
          <cell r="Z2141" t="str">
            <v>x</v>
          </cell>
          <cell r="AA2141" t="str">
            <v>단위량</v>
          </cell>
          <cell r="AM2141">
            <v>40922</v>
          </cell>
          <cell r="AN2141">
            <v>0</v>
          </cell>
        </row>
        <row r="2142">
          <cell r="B2142">
            <v>544</v>
          </cell>
          <cell r="D2142" t="str">
            <v>소    계</v>
          </cell>
          <cell r="E2142">
            <v>0</v>
          </cell>
          <cell r="F2142">
            <v>0</v>
          </cell>
          <cell r="AM2142">
            <v>0</v>
          </cell>
          <cell r="AN2142">
            <v>0</v>
          </cell>
        </row>
        <row r="2143">
          <cell r="A2143" t="str">
            <v>75-4</v>
          </cell>
          <cell r="B2143">
            <v>517</v>
          </cell>
          <cell r="D2143" t="str">
            <v>통신설비공</v>
          </cell>
          <cell r="E2143">
            <v>0</v>
          </cell>
          <cell r="F2143" t="str">
            <v>인</v>
          </cell>
          <cell r="V2143" t="str">
            <v>=</v>
          </cell>
          <cell r="W2143">
            <v>2</v>
          </cell>
          <cell r="AM2143">
            <v>77401</v>
          </cell>
          <cell r="AN2143">
            <v>0</v>
          </cell>
        </row>
        <row r="2144">
          <cell r="A2144" t="str">
            <v>75-5</v>
          </cell>
          <cell r="B2144">
            <v>523</v>
          </cell>
          <cell r="D2144" t="str">
            <v>보통인부</v>
          </cell>
          <cell r="E2144">
            <v>0</v>
          </cell>
          <cell r="F2144" t="str">
            <v>인</v>
          </cell>
          <cell r="V2144" t="str">
            <v>=</v>
          </cell>
          <cell r="W2144">
            <v>1</v>
          </cell>
          <cell r="AM2144">
            <v>40922</v>
          </cell>
          <cell r="AN2144">
            <v>0</v>
          </cell>
        </row>
        <row r="2145">
          <cell r="A2145" t="str">
            <v>75-6</v>
          </cell>
          <cell r="B2145">
            <v>543</v>
          </cell>
          <cell r="D2145" t="str">
            <v>다. 공구손료</v>
          </cell>
          <cell r="E2145" t="str">
            <v>노무비x3%</v>
          </cell>
          <cell r="F2145">
            <v>0</v>
          </cell>
          <cell r="AM2145">
            <v>0</v>
          </cell>
          <cell r="AN2145">
            <v>0</v>
          </cell>
        </row>
        <row r="2146">
          <cell r="A2146" t="str">
            <v>75-7</v>
          </cell>
          <cell r="B2146">
            <v>517</v>
          </cell>
          <cell r="D2146" t="str">
            <v>통신설비공</v>
          </cell>
          <cell r="E2146">
            <v>0</v>
          </cell>
          <cell r="F2146" t="str">
            <v>인</v>
          </cell>
          <cell r="H2146">
            <v>2</v>
          </cell>
          <cell r="I2146" t="str">
            <v>x</v>
          </cell>
          <cell r="J2146">
            <v>0.03</v>
          </cell>
          <cell r="V2146" t="str">
            <v>=</v>
          </cell>
          <cell r="W2146">
            <v>0.06</v>
          </cell>
          <cell r="Y2146" t="str">
            <v>기본</v>
          </cell>
          <cell r="Z2146" t="str">
            <v>x</v>
          </cell>
          <cell r="AA2146" t="str">
            <v>공구손료</v>
          </cell>
          <cell r="AM2146">
            <v>77401</v>
          </cell>
          <cell r="AN2146">
            <v>0</v>
          </cell>
        </row>
        <row r="2147">
          <cell r="A2147" t="str">
            <v>75-8</v>
          </cell>
          <cell r="B2147">
            <v>523</v>
          </cell>
          <cell r="D2147" t="str">
            <v>보통인부</v>
          </cell>
          <cell r="E2147">
            <v>0</v>
          </cell>
          <cell r="F2147" t="str">
            <v>인</v>
          </cell>
          <cell r="H2147">
            <v>1</v>
          </cell>
          <cell r="I2147" t="str">
            <v>x</v>
          </cell>
          <cell r="J2147">
            <v>0.03</v>
          </cell>
          <cell r="V2147" t="str">
            <v>=</v>
          </cell>
          <cell r="W2147">
            <v>0.03</v>
          </cell>
          <cell r="Y2147" t="str">
            <v>기본</v>
          </cell>
          <cell r="Z2147" t="str">
            <v>x</v>
          </cell>
          <cell r="AA2147" t="str">
            <v>공구손료</v>
          </cell>
          <cell r="AM2147">
            <v>40922</v>
          </cell>
          <cell r="AN2147">
            <v>0</v>
          </cell>
        </row>
        <row r="2148">
          <cell r="AM2148">
            <v>0</v>
          </cell>
          <cell r="AN2148">
            <v>0</v>
          </cell>
        </row>
        <row r="2149">
          <cell r="AM2149">
            <v>0</v>
          </cell>
          <cell r="AN2149">
            <v>0</v>
          </cell>
        </row>
        <row r="2150">
          <cell r="AM2150">
            <v>0</v>
          </cell>
          <cell r="AN2150">
            <v>0</v>
          </cell>
        </row>
        <row r="2151">
          <cell r="AM2151">
            <v>0</v>
          </cell>
          <cell r="AN2151">
            <v>0</v>
          </cell>
        </row>
        <row r="2152">
          <cell r="AM2152">
            <v>0</v>
          </cell>
          <cell r="AN2152">
            <v>0</v>
          </cell>
        </row>
        <row r="2153">
          <cell r="AM2153">
            <v>0</v>
          </cell>
          <cell r="AN2153">
            <v>0</v>
          </cell>
        </row>
        <row r="2154">
          <cell r="AM2154">
            <v>0</v>
          </cell>
          <cell r="AN2154">
            <v>0</v>
          </cell>
        </row>
        <row r="2155">
          <cell r="AM2155">
            <v>0</v>
          </cell>
          <cell r="AN2155">
            <v>0</v>
          </cell>
        </row>
        <row r="2156">
          <cell r="AM2156">
            <v>0</v>
          </cell>
          <cell r="AN2156">
            <v>0</v>
          </cell>
        </row>
        <row r="2157">
          <cell r="AM2157">
            <v>0</v>
          </cell>
          <cell r="AN2157">
            <v>0</v>
          </cell>
        </row>
        <row r="2158">
          <cell r="AM2158">
            <v>0</v>
          </cell>
        </row>
        <row r="2159">
          <cell r="AM2159">
            <v>0</v>
          </cell>
        </row>
        <row r="2160">
          <cell r="AM2160">
            <v>0</v>
          </cell>
          <cell r="AN2160">
            <v>0</v>
          </cell>
        </row>
        <row r="2161">
          <cell r="AM2161">
            <v>0</v>
          </cell>
          <cell r="AN2161">
            <v>0</v>
          </cell>
        </row>
        <row r="2162">
          <cell r="AM2162">
            <v>0</v>
          </cell>
          <cell r="AN2162">
            <v>0</v>
          </cell>
        </row>
        <row r="2163">
          <cell r="A2163">
            <v>76</v>
          </cell>
          <cell r="C2163">
            <v>76</v>
          </cell>
          <cell r="D2163" t="str">
            <v>MDF 신설</v>
          </cell>
          <cell r="E2163" t="str">
            <v>C형(OFD 포함)</v>
          </cell>
          <cell r="F2163" t="str">
            <v>대</v>
          </cell>
          <cell r="AM2163">
            <v>0</v>
          </cell>
          <cell r="AN2163">
            <v>0</v>
          </cell>
        </row>
        <row r="2164">
          <cell r="A2164" t="str">
            <v>76-1</v>
          </cell>
          <cell r="B2164">
            <v>541</v>
          </cell>
          <cell r="D2164" t="str">
            <v>가. 재료비</v>
          </cell>
          <cell r="AM2164">
            <v>0</v>
          </cell>
          <cell r="AN2164">
            <v>0</v>
          </cell>
        </row>
        <row r="2165">
          <cell r="A2165" t="str">
            <v>76-2</v>
          </cell>
          <cell r="B2165">
            <v>351</v>
          </cell>
          <cell r="D2165" t="str">
            <v>MDF 신설</v>
          </cell>
          <cell r="E2165" t="str">
            <v>C형(OFD 포함)</v>
          </cell>
          <cell r="F2165" t="str">
            <v>대</v>
          </cell>
          <cell r="V2165" t="str">
            <v>=</v>
          </cell>
          <cell r="W2165">
            <v>1</v>
          </cell>
          <cell r="AM2165">
            <v>22950000</v>
          </cell>
          <cell r="AN2165">
            <v>0</v>
          </cell>
        </row>
        <row r="2166">
          <cell r="A2166" t="str">
            <v>76-3</v>
          </cell>
          <cell r="B2166">
            <v>542</v>
          </cell>
          <cell r="D2166" t="str">
            <v>나. 노무비</v>
          </cell>
          <cell r="E2166">
            <v>0</v>
          </cell>
          <cell r="F2166">
            <v>0</v>
          </cell>
          <cell r="AL2166" t="str">
            <v>통4-10</v>
          </cell>
          <cell r="AM2166">
            <v>0</v>
          </cell>
          <cell r="AN2166">
            <v>0</v>
          </cell>
        </row>
        <row r="2167">
          <cell r="B2167">
            <v>517</v>
          </cell>
          <cell r="D2167" t="str">
            <v>통신설비공</v>
          </cell>
          <cell r="E2167">
            <v>0</v>
          </cell>
          <cell r="F2167" t="str">
            <v>인</v>
          </cell>
          <cell r="H2167">
            <v>2</v>
          </cell>
          <cell r="I2167" t="str">
            <v>x</v>
          </cell>
          <cell r="J2167">
            <v>1</v>
          </cell>
          <cell r="V2167" t="str">
            <v>=</v>
          </cell>
          <cell r="W2167">
            <v>2</v>
          </cell>
          <cell r="Y2167" t="str">
            <v>기본</v>
          </cell>
          <cell r="Z2167" t="str">
            <v>x</v>
          </cell>
          <cell r="AA2167" t="str">
            <v>단위량</v>
          </cell>
          <cell r="AM2167">
            <v>77401</v>
          </cell>
          <cell r="AN2167">
            <v>0</v>
          </cell>
        </row>
        <row r="2168">
          <cell r="B2168">
            <v>523</v>
          </cell>
          <cell r="D2168" t="str">
            <v>보통인부</v>
          </cell>
          <cell r="E2168">
            <v>0</v>
          </cell>
          <cell r="F2168" t="str">
            <v>인</v>
          </cell>
          <cell r="H2168">
            <v>1</v>
          </cell>
          <cell r="I2168" t="str">
            <v>x</v>
          </cell>
          <cell r="J2168">
            <v>1</v>
          </cell>
          <cell r="V2168" t="str">
            <v>=</v>
          </cell>
          <cell r="W2168">
            <v>1</v>
          </cell>
          <cell r="Y2168" t="str">
            <v>기본</v>
          </cell>
          <cell r="Z2168" t="str">
            <v>x</v>
          </cell>
          <cell r="AA2168" t="str">
            <v>단위량</v>
          </cell>
          <cell r="AM2168">
            <v>40922</v>
          </cell>
          <cell r="AN2168">
            <v>0</v>
          </cell>
        </row>
        <row r="2169">
          <cell r="B2169">
            <v>544</v>
          </cell>
          <cell r="D2169" t="str">
            <v>소    계</v>
          </cell>
          <cell r="E2169">
            <v>0</v>
          </cell>
          <cell r="F2169">
            <v>0</v>
          </cell>
          <cell r="AM2169">
            <v>0</v>
          </cell>
          <cell r="AN2169">
            <v>0</v>
          </cell>
        </row>
        <row r="2170">
          <cell r="A2170" t="str">
            <v>76-4</v>
          </cell>
          <cell r="B2170">
            <v>517</v>
          </cell>
          <cell r="D2170" t="str">
            <v>통신설비공</v>
          </cell>
          <cell r="E2170">
            <v>0</v>
          </cell>
          <cell r="F2170" t="str">
            <v>인</v>
          </cell>
          <cell r="V2170" t="str">
            <v>=</v>
          </cell>
          <cell r="W2170">
            <v>2</v>
          </cell>
          <cell r="AM2170">
            <v>77401</v>
          </cell>
          <cell r="AN2170">
            <v>0</v>
          </cell>
        </row>
        <row r="2171">
          <cell r="A2171" t="str">
            <v>76-5</v>
          </cell>
          <cell r="B2171">
            <v>523</v>
          </cell>
          <cell r="D2171" t="str">
            <v>보통인부</v>
          </cell>
          <cell r="E2171">
            <v>0</v>
          </cell>
          <cell r="F2171" t="str">
            <v>인</v>
          </cell>
          <cell r="V2171" t="str">
            <v>=</v>
          </cell>
          <cell r="W2171">
            <v>1</v>
          </cell>
          <cell r="AM2171">
            <v>40922</v>
          </cell>
          <cell r="AN2171">
            <v>0</v>
          </cell>
        </row>
        <row r="2172">
          <cell r="A2172" t="str">
            <v>76-6</v>
          </cell>
          <cell r="B2172">
            <v>543</v>
          </cell>
          <cell r="D2172" t="str">
            <v>다. 공구손료</v>
          </cell>
          <cell r="E2172" t="str">
            <v>노무비x3%</v>
          </cell>
          <cell r="F2172">
            <v>0</v>
          </cell>
          <cell r="AM2172">
            <v>0</v>
          </cell>
          <cell r="AN2172">
            <v>0</v>
          </cell>
        </row>
        <row r="2173">
          <cell r="A2173" t="str">
            <v>76-7</v>
          </cell>
          <cell r="B2173">
            <v>517</v>
          </cell>
          <cell r="D2173" t="str">
            <v>통신설비공</v>
          </cell>
          <cell r="E2173">
            <v>0</v>
          </cell>
          <cell r="F2173" t="str">
            <v>인</v>
          </cell>
          <cell r="H2173">
            <v>2</v>
          </cell>
          <cell r="I2173" t="str">
            <v>x</v>
          </cell>
          <cell r="J2173">
            <v>0.03</v>
          </cell>
          <cell r="V2173" t="str">
            <v>=</v>
          </cell>
          <cell r="W2173">
            <v>0.06</v>
          </cell>
          <cell r="Y2173" t="str">
            <v>기본</v>
          </cell>
          <cell r="Z2173" t="str">
            <v>x</v>
          </cell>
          <cell r="AA2173" t="str">
            <v>공구손료</v>
          </cell>
          <cell r="AM2173">
            <v>77401</v>
          </cell>
          <cell r="AN2173">
            <v>0</v>
          </cell>
        </row>
        <row r="2174">
          <cell r="A2174" t="str">
            <v>76-8</v>
          </cell>
          <cell r="B2174">
            <v>523</v>
          </cell>
          <cell r="D2174" t="str">
            <v>보통인부</v>
          </cell>
          <cell r="E2174">
            <v>0</v>
          </cell>
          <cell r="F2174" t="str">
            <v>인</v>
          </cell>
          <cell r="H2174">
            <v>1</v>
          </cell>
          <cell r="I2174" t="str">
            <v>x</v>
          </cell>
          <cell r="J2174">
            <v>0.03</v>
          </cell>
          <cell r="V2174" t="str">
            <v>=</v>
          </cell>
          <cell r="W2174">
            <v>0.03</v>
          </cell>
          <cell r="Y2174" t="str">
            <v>기본</v>
          </cell>
          <cell r="Z2174" t="str">
            <v>x</v>
          </cell>
          <cell r="AA2174" t="str">
            <v>공구손료</v>
          </cell>
          <cell r="AM2174">
            <v>40922</v>
          </cell>
          <cell r="AN2174">
            <v>0</v>
          </cell>
        </row>
        <row r="2175">
          <cell r="AM2175">
            <v>0</v>
          </cell>
          <cell r="AN2175">
            <v>0</v>
          </cell>
        </row>
        <row r="2176">
          <cell r="AM2176">
            <v>0</v>
          </cell>
          <cell r="AN2176">
            <v>0</v>
          </cell>
        </row>
        <row r="2177">
          <cell r="AM2177">
            <v>0</v>
          </cell>
          <cell r="AN2177">
            <v>0</v>
          </cell>
        </row>
        <row r="2178">
          <cell r="AM2178">
            <v>0</v>
          </cell>
          <cell r="AN2178">
            <v>0</v>
          </cell>
        </row>
        <row r="2179">
          <cell r="AM2179">
            <v>0</v>
          </cell>
          <cell r="AN2179">
            <v>0</v>
          </cell>
        </row>
        <row r="2180">
          <cell r="AM2180">
            <v>0</v>
          </cell>
          <cell r="AN2180">
            <v>0</v>
          </cell>
        </row>
        <row r="2181">
          <cell r="AM2181">
            <v>0</v>
          </cell>
          <cell r="AN2181">
            <v>0</v>
          </cell>
        </row>
        <row r="2182">
          <cell r="AM2182">
            <v>0</v>
          </cell>
          <cell r="AN2182">
            <v>0</v>
          </cell>
        </row>
        <row r="2183">
          <cell r="AM2183">
            <v>0</v>
          </cell>
          <cell r="AN2183">
            <v>0</v>
          </cell>
        </row>
        <row r="2184">
          <cell r="AM2184">
            <v>0</v>
          </cell>
          <cell r="AN2184">
            <v>0</v>
          </cell>
        </row>
        <row r="2185">
          <cell r="AM2185">
            <v>0</v>
          </cell>
        </row>
        <row r="2186">
          <cell r="AM2186">
            <v>0</v>
          </cell>
        </row>
        <row r="2187">
          <cell r="AM2187">
            <v>0</v>
          </cell>
          <cell r="AN2187">
            <v>0</v>
          </cell>
        </row>
        <row r="2188">
          <cell r="AM2188">
            <v>0</v>
          </cell>
          <cell r="AN2188">
            <v>0</v>
          </cell>
        </row>
        <row r="2189">
          <cell r="AM2189">
            <v>0</v>
          </cell>
          <cell r="AN2189">
            <v>0</v>
          </cell>
        </row>
        <row r="2190">
          <cell r="A2190">
            <v>77</v>
          </cell>
          <cell r="C2190">
            <v>77</v>
          </cell>
          <cell r="D2190" t="str">
            <v>MDF 신설</v>
          </cell>
          <cell r="E2190" t="str">
            <v>D형(OFD 포함)</v>
          </cell>
          <cell r="F2190" t="str">
            <v>대</v>
          </cell>
          <cell r="AM2190">
            <v>0</v>
          </cell>
          <cell r="AN2190">
            <v>0</v>
          </cell>
        </row>
        <row r="2191">
          <cell r="A2191" t="str">
            <v>77-1</v>
          </cell>
          <cell r="B2191">
            <v>541</v>
          </cell>
          <cell r="D2191" t="str">
            <v>가. 재료비</v>
          </cell>
          <cell r="AM2191">
            <v>0</v>
          </cell>
          <cell r="AN2191">
            <v>0</v>
          </cell>
        </row>
        <row r="2192">
          <cell r="A2192" t="str">
            <v>77-2</v>
          </cell>
          <cell r="B2192">
            <v>352</v>
          </cell>
          <cell r="D2192" t="str">
            <v>MDF 신설</v>
          </cell>
          <cell r="E2192" t="str">
            <v>D형(OFD 포함)</v>
          </cell>
          <cell r="F2192" t="str">
            <v>대</v>
          </cell>
          <cell r="V2192" t="str">
            <v>=</v>
          </cell>
          <cell r="W2192">
            <v>1</v>
          </cell>
          <cell r="AM2192">
            <v>10000000</v>
          </cell>
          <cell r="AN2192">
            <v>0</v>
          </cell>
        </row>
        <row r="2193">
          <cell r="A2193" t="str">
            <v>77-3</v>
          </cell>
          <cell r="B2193">
            <v>542</v>
          </cell>
          <cell r="D2193" t="str">
            <v>나. 노무비</v>
          </cell>
          <cell r="E2193">
            <v>0</v>
          </cell>
          <cell r="F2193">
            <v>0</v>
          </cell>
          <cell r="AL2193" t="str">
            <v>통4-10</v>
          </cell>
          <cell r="AM2193">
            <v>0</v>
          </cell>
          <cell r="AN2193">
            <v>0</v>
          </cell>
        </row>
        <row r="2194">
          <cell r="B2194">
            <v>517</v>
          </cell>
          <cell r="D2194" t="str">
            <v>통신설비공</v>
          </cell>
          <cell r="E2194">
            <v>0</v>
          </cell>
          <cell r="F2194" t="str">
            <v>인</v>
          </cell>
          <cell r="H2194">
            <v>2</v>
          </cell>
          <cell r="I2194" t="str">
            <v>x</v>
          </cell>
          <cell r="J2194">
            <v>1</v>
          </cell>
          <cell r="V2194" t="str">
            <v>=</v>
          </cell>
          <cell r="W2194">
            <v>2</v>
          </cell>
          <cell r="Y2194" t="str">
            <v>기본</v>
          </cell>
          <cell r="Z2194" t="str">
            <v>x</v>
          </cell>
          <cell r="AA2194" t="str">
            <v>단위량</v>
          </cell>
          <cell r="AM2194">
            <v>77401</v>
          </cell>
          <cell r="AN2194">
            <v>0</v>
          </cell>
        </row>
        <row r="2195">
          <cell r="B2195">
            <v>523</v>
          </cell>
          <cell r="D2195" t="str">
            <v>보통인부</v>
          </cell>
          <cell r="E2195">
            <v>0</v>
          </cell>
          <cell r="F2195" t="str">
            <v>인</v>
          </cell>
          <cell r="H2195">
            <v>1</v>
          </cell>
          <cell r="I2195" t="str">
            <v>x</v>
          </cell>
          <cell r="J2195">
            <v>1</v>
          </cell>
          <cell r="V2195" t="str">
            <v>=</v>
          </cell>
          <cell r="W2195">
            <v>1</v>
          </cell>
          <cell r="Y2195" t="str">
            <v>기본</v>
          </cell>
          <cell r="Z2195" t="str">
            <v>x</v>
          </cell>
          <cell r="AA2195" t="str">
            <v>단위량</v>
          </cell>
          <cell r="AM2195">
            <v>40922</v>
          </cell>
          <cell r="AN2195">
            <v>0</v>
          </cell>
        </row>
        <row r="2196">
          <cell r="B2196">
            <v>544</v>
          </cell>
          <cell r="D2196" t="str">
            <v>소    계</v>
          </cell>
          <cell r="E2196">
            <v>0</v>
          </cell>
          <cell r="F2196">
            <v>0</v>
          </cell>
          <cell r="AM2196">
            <v>0</v>
          </cell>
          <cell r="AN2196">
            <v>0</v>
          </cell>
        </row>
        <row r="2197">
          <cell r="A2197" t="str">
            <v>77-4</v>
          </cell>
          <cell r="B2197">
            <v>517</v>
          </cell>
          <cell r="D2197" t="str">
            <v>통신설비공</v>
          </cell>
          <cell r="E2197">
            <v>0</v>
          </cell>
          <cell r="F2197" t="str">
            <v>인</v>
          </cell>
          <cell r="V2197" t="str">
            <v>=</v>
          </cell>
          <cell r="W2197">
            <v>2</v>
          </cell>
          <cell r="AM2197">
            <v>77401</v>
          </cell>
          <cell r="AN2197">
            <v>0</v>
          </cell>
        </row>
        <row r="2198">
          <cell r="A2198" t="str">
            <v>77-5</v>
          </cell>
          <cell r="B2198">
            <v>523</v>
          </cell>
          <cell r="D2198" t="str">
            <v>보통인부</v>
          </cell>
          <cell r="E2198">
            <v>0</v>
          </cell>
          <cell r="F2198" t="str">
            <v>인</v>
          </cell>
          <cell r="V2198" t="str">
            <v>=</v>
          </cell>
          <cell r="W2198">
            <v>1</v>
          </cell>
          <cell r="AM2198">
            <v>40922</v>
          </cell>
          <cell r="AN2198">
            <v>0</v>
          </cell>
        </row>
        <row r="2199">
          <cell r="A2199" t="str">
            <v>77-6</v>
          </cell>
          <cell r="B2199">
            <v>543</v>
          </cell>
          <cell r="D2199" t="str">
            <v>다. 공구손료</v>
          </cell>
          <cell r="E2199" t="str">
            <v>노무비x3%</v>
          </cell>
          <cell r="F2199">
            <v>0</v>
          </cell>
          <cell r="AM2199">
            <v>0</v>
          </cell>
          <cell r="AN2199">
            <v>0</v>
          </cell>
        </row>
        <row r="2200">
          <cell r="A2200" t="str">
            <v>77-7</v>
          </cell>
          <cell r="B2200">
            <v>517</v>
          </cell>
          <cell r="D2200" t="str">
            <v>통신설비공</v>
          </cell>
          <cell r="E2200">
            <v>0</v>
          </cell>
          <cell r="F2200" t="str">
            <v>인</v>
          </cell>
          <cell r="H2200">
            <v>2</v>
          </cell>
          <cell r="I2200" t="str">
            <v>x</v>
          </cell>
          <cell r="J2200">
            <v>0.03</v>
          </cell>
          <cell r="V2200" t="str">
            <v>=</v>
          </cell>
          <cell r="W2200">
            <v>0.06</v>
          </cell>
          <cell r="Y2200" t="str">
            <v>기본</v>
          </cell>
          <cell r="Z2200" t="str">
            <v>x</v>
          </cell>
          <cell r="AA2200" t="str">
            <v>공구손료</v>
          </cell>
          <cell r="AM2200">
            <v>77401</v>
          </cell>
          <cell r="AN2200">
            <v>0</v>
          </cell>
        </row>
        <row r="2201">
          <cell r="A2201" t="str">
            <v>77-8</v>
          </cell>
          <cell r="B2201">
            <v>523</v>
          </cell>
          <cell r="D2201" t="str">
            <v>보통인부</v>
          </cell>
          <cell r="E2201">
            <v>0</v>
          </cell>
          <cell r="F2201" t="str">
            <v>인</v>
          </cell>
          <cell r="H2201">
            <v>1</v>
          </cell>
          <cell r="I2201" t="str">
            <v>x</v>
          </cell>
          <cell r="J2201">
            <v>0.03</v>
          </cell>
          <cell r="V2201" t="str">
            <v>=</v>
          </cell>
          <cell r="W2201">
            <v>0.03</v>
          </cell>
          <cell r="Y2201" t="str">
            <v>기본</v>
          </cell>
          <cell r="Z2201" t="str">
            <v>x</v>
          </cell>
          <cell r="AA2201" t="str">
            <v>공구손료</v>
          </cell>
          <cell r="AM2201">
            <v>40922</v>
          </cell>
          <cell r="AN2201">
            <v>0</v>
          </cell>
        </row>
        <row r="2202">
          <cell r="AM2202">
            <v>0</v>
          </cell>
          <cell r="AN2202">
            <v>0</v>
          </cell>
        </row>
        <row r="2203">
          <cell r="AM2203">
            <v>0</v>
          </cell>
          <cell r="AN2203">
            <v>0</v>
          </cell>
        </row>
        <row r="2204">
          <cell r="AM2204">
            <v>0</v>
          </cell>
          <cell r="AN2204">
            <v>0</v>
          </cell>
        </row>
        <row r="2205">
          <cell r="AM2205">
            <v>0</v>
          </cell>
          <cell r="AN2205">
            <v>0</v>
          </cell>
        </row>
        <row r="2206">
          <cell r="AM2206">
            <v>0</v>
          </cell>
          <cell r="AN2206">
            <v>0</v>
          </cell>
        </row>
        <row r="2207">
          <cell r="AM2207">
            <v>0</v>
          </cell>
          <cell r="AN2207">
            <v>0</v>
          </cell>
        </row>
        <row r="2208">
          <cell r="AM2208">
            <v>0</v>
          </cell>
          <cell r="AN2208">
            <v>0</v>
          </cell>
        </row>
        <row r="2209">
          <cell r="AM2209">
            <v>0</v>
          </cell>
          <cell r="AN2209">
            <v>0</v>
          </cell>
        </row>
        <row r="2210">
          <cell r="AM2210">
            <v>0</v>
          </cell>
          <cell r="AN2210">
            <v>0</v>
          </cell>
        </row>
        <row r="2211">
          <cell r="AM2211">
            <v>0</v>
          </cell>
          <cell r="AN2211">
            <v>0</v>
          </cell>
        </row>
        <row r="2212">
          <cell r="AM2212">
            <v>0</v>
          </cell>
        </row>
        <row r="2213">
          <cell r="AM2213">
            <v>0</v>
          </cell>
        </row>
        <row r="2214">
          <cell r="AM2214">
            <v>0</v>
          </cell>
          <cell r="AN2214">
            <v>0</v>
          </cell>
        </row>
        <row r="2215">
          <cell r="AM2215">
            <v>0</v>
          </cell>
          <cell r="AN2215">
            <v>0</v>
          </cell>
        </row>
        <row r="2216">
          <cell r="AM2216">
            <v>0</v>
          </cell>
          <cell r="AN2216">
            <v>0</v>
          </cell>
        </row>
        <row r="2217">
          <cell r="A2217">
            <v>78</v>
          </cell>
          <cell r="C2217">
            <v>78</v>
          </cell>
          <cell r="D2217" t="str">
            <v>PCM국내케이블 신설</v>
          </cell>
          <cell r="E2217" t="str">
            <v>6P</v>
          </cell>
          <cell r="F2217" t="str">
            <v>10m</v>
          </cell>
          <cell r="AM2217">
            <v>0</v>
          </cell>
          <cell r="AN2217">
            <v>0</v>
          </cell>
        </row>
        <row r="2218">
          <cell r="A2218" t="str">
            <v>78-1</v>
          </cell>
          <cell r="B2218">
            <v>541</v>
          </cell>
          <cell r="D2218" t="str">
            <v>가. 재료비</v>
          </cell>
          <cell r="AM2218">
            <v>0</v>
          </cell>
          <cell r="AN2218">
            <v>0</v>
          </cell>
        </row>
        <row r="2219">
          <cell r="A2219" t="str">
            <v>78-2</v>
          </cell>
          <cell r="B2219">
            <v>353</v>
          </cell>
          <cell r="D2219" t="str">
            <v>PCM 국내케이블</v>
          </cell>
          <cell r="E2219" t="str">
            <v>6P</v>
          </cell>
          <cell r="F2219" t="str">
            <v>m</v>
          </cell>
          <cell r="H2219">
            <v>1</v>
          </cell>
          <cell r="I2219" t="str">
            <v>x</v>
          </cell>
          <cell r="J2219">
            <v>10</v>
          </cell>
          <cell r="K2219" t="str">
            <v>x</v>
          </cell>
          <cell r="L2219" t="str">
            <v>(</v>
          </cell>
          <cell r="M2219">
            <v>1</v>
          </cell>
          <cell r="N2219" t="str">
            <v>+</v>
          </cell>
          <cell r="O2219">
            <v>0.03</v>
          </cell>
          <cell r="P2219" t="str">
            <v>)</v>
          </cell>
          <cell r="V2219" t="str">
            <v>=</v>
          </cell>
          <cell r="W2219">
            <v>10.3</v>
          </cell>
          <cell r="Y2219" t="str">
            <v>기본</v>
          </cell>
          <cell r="Z2219" t="str">
            <v>x</v>
          </cell>
          <cell r="AA2219" t="str">
            <v>단위량</v>
          </cell>
          <cell r="AB2219" t="str">
            <v>x</v>
          </cell>
          <cell r="AC2219" t="str">
            <v>(</v>
          </cell>
          <cell r="AD2219">
            <v>1</v>
          </cell>
          <cell r="AE2219" t="str">
            <v>+</v>
          </cell>
          <cell r="AF2219" t="str">
            <v>할증</v>
          </cell>
          <cell r="AG2219" t="str">
            <v>)</v>
          </cell>
          <cell r="AM2219">
            <v>532</v>
          </cell>
          <cell r="AN2219">
            <v>0</v>
          </cell>
        </row>
        <row r="2220">
          <cell r="A2220" t="str">
            <v>78-3</v>
          </cell>
          <cell r="B2220">
            <v>700</v>
          </cell>
          <cell r="D2220" t="str">
            <v>잡재료비</v>
          </cell>
          <cell r="E2220" t="str">
            <v>재료비의2%</v>
          </cell>
          <cell r="F2220" t="str">
            <v>식</v>
          </cell>
          <cell r="V2220" t="str">
            <v>=</v>
          </cell>
          <cell r="W2220">
            <v>1</v>
          </cell>
          <cell r="Y2220" t="str">
            <v>기본</v>
          </cell>
          <cell r="AM2220">
            <v>0</v>
          </cell>
        </row>
        <row r="2221">
          <cell r="A2221" t="str">
            <v>78-4</v>
          </cell>
          <cell r="B2221">
            <v>542</v>
          </cell>
          <cell r="D2221" t="str">
            <v>나. 노무비</v>
          </cell>
          <cell r="E2221">
            <v>0</v>
          </cell>
          <cell r="F2221">
            <v>0</v>
          </cell>
          <cell r="AL2221" t="str">
            <v>통5-59</v>
          </cell>
          <cell r="AM2221">
            <v>0</v>
          </cell>
          <cell r="AN2221">
            <v>0</v>
          </cell>
        </row>
        <row r="2222">
          <cell r="B2222">
            <v>519</v>
          </cell>
          <cell r="D2222" t="str">
            <v>통신케이블공</v>
          </cell>
          <cell r="E2222">
            <v>0</v>
          </cell>
          <cell r="F2222" t="str">
            <v>인</v>
          </cell>
          <cell r="H2222">
            <v>0.2</v>
          </cell>
          <cell r="I2222" t="str">
            <v>x</v>
          </cell>
          <cell r="J2222">
            <v>1</v>
          </cell>
          <cell r="V2222" t="str">
            <v>=</v>
          </cell>
          <cell r="W2222">
            <v>0.2</v>
          </cell>
          <cell r="Y2222" t="str">
            <v>기본</v>
          </cell>
          <cell r="Z2222" t="str">
            <v>x</v>
          </cell>
          <cell r="AA2222" t="str">
            <v>단위량</v>
          </cell>
          <cell r="AM2222">
            <v>95424</v>
          </cell>
          <cell r="AN2222">
            <v>0</v>
          </cell>
        </row>
        <row r="2223">
          <cell r="B2223">
            <v>517</v>
          </cell>
          <cell r="D2223" t="str">
            <v>통신설비공</v>
          </cell>
          <cell r="E2223">
            <v>0</v>
          </cell>
          <cell r="F2223" t="str">
            <v>인</v>
          </cell>
          <cell r="H2223">
            <v>0.26</v>
          </cell>
          <cell r="I2223" t="str">
            <v>x</v>
          </cell>
          <cell r="J2223">
            <v>1</v>
          </cell>
          <cell r="V2223" t="str">
            <v>=</v>
          </cell>
          <cell r="W2223">
            <v>0.26</v>
          </cell>
          <cell r="Y2223" t="str">
            <v>기본</v>
          </cell>
          <cell r="Z2223" t="str">
            <v>x</v>
          </cell>
          <cell r="AA2223" t="str">
            <v>단위량</v>
          </cell>
          <cell r="AM2223">
            <v>77401</v>
          </cell>
          <cell r="AN2223">
            <v>0</v>
          </cell>
        </row>
        <row r="2224">
          <cell r="B2224">
            <v>523</v>
          </cell>
          <cell r="D2224" t="str">
            <v>보통인부</v>
          </cell>
          <cell r="E2224">
            <v>0</v>
          </cell>
          <cell r="F2224" t="str">
            <v>인</v>
          </cell>
          <cell r="H2224">
            <v>0.1</v>
          </cell>
          <cell r="I2224" t="str">
            <v>x</v>
          </cell>
          <cell r="J2224">
            <v>1</v>
          </cell>
          <cell r="V2224" t="str">
            <v>=</v>
          </cell>
          <cell r="W2224">
            <v>0.1</v>
          </cell>
          <cell r="Y2224" t="str">
            <v>기본</v>
          </cell>
          <cell r="Z2224" t="str">
            <v>x</v>
          </cell>
          <cell r="AA2224" t="str">
            <v>단위량</v>
          </cell>
          <cell r="AM2224">
            <v>40922</v>
          </cell>
          <cell r="AN2224">
            <v>0</v>
          </cell>
        </row>
        <row r="2225">
          <cell r="B2225">
            <v>544</v>
          </cell>
          <cell r="D2225" t="str">
            <v>소    계</v>
          </cell>
          <cell r="E2225">
            <v>0</v>
          </cell>
          <cell r="F2225">
            <v>0</v>
          </cell>
          <cell r="AM2225">
            <v>0</v>
          </cell>
          <cell r="AN2225">
            <v>0</v>
          </cell>
        </row>
        <row r="2226">
          <cell r="A2226" t="str">
            <v>78-5</v>
          </cell>
          <cell r="B2226">
            <v>519</v>
          </cell>
          <cell r="D2226" t="str">
            <v>통신케이블공</v>
          </cell>
          <cell r="E2226">
            <v>0</v>
          </cell>
          <cell r="F2226" t="str">
            <v>인</v>
          </cell>
          <cell r="V2226" t="str">
            <v>=</v>
          </cell>
          <cell r="W2226">
            <v>0.2</v>
          </cell>
          <cell r="AM2226">
            <v>95424</v>
          </cell>
          <cell r="AN2226">
            <v>0</v>
          </cell>
        </row>
        <row r="2227">
          <cell r="A2227" t="str">
            <v>78-6</v>
          </cell>
          <cell r="B2227">
            <v>517</v>
          </cell>
          <cell r="D2227" t="str">
            <v>통신설비공</v>
          </cell>
          <cell r="E2227">
            <v>0</v>
          </cell>
          <cell r="F2227" t="str">
            <v>인</v>
          </cell>
          <cell r="V2227" t="str">
            <v>=</v>
          </cell>
          <cell r="W2227">
            <v>0.26</v>
          </cell>
          <cell r="AM2227">
            <v>77401</v>
          </cell>
          <cell r="AN2227">
            <v>0</v>
          </cell>
        </row>
        <row r="2228">
          <cell r="A2228" t="str">
            <v>78-7</v>
          </cell>
          <cell r="B2228">
            <v>523</v>
          </cell>
          <cell r="D2228" t="str">
            <v>보통인부</v>
          </cell>
          <cell r="E2228">
            <v>0</v>
          </cell>
          <cell r="F2228" t="str">
            <v>인</v>
          </cell>
          <cell r="V2228" t="str">
            <v>=</v>
          </cell>
          <cell r="W2228">
            <v>0.1</v>
          </cell>
          <cell r="AM2228">
            <v>40922</v>
          </cell>
          <cell r="AN2228">
            <v>0</v>
          </cell>
        </row>
        <row r="2229">
          <cell r="A2229" t="str">
            <v>78-8</v>
          </cell>
          <cell r="B2229">
            <v>543</v>
          </cell>
          <cell r="D2229" t="str">
            <v>다. 공구손료</v>
          </cell>
          <cell r="E2229" t="str">
            <v>노무비x3%</v>
          </cell>
          <cell r="F2229">
            <v>0</v>
          </cell>
          <cell r="AM2229">
            <v>0</v>
          </cell>
          <cell r="AN2229">
            <v>0</v>
          </cell>
        </row>
        <row r="2230">
          <cell r="A2230" t="str">
            <v>78-9</v>
          </cell>
          <cell r="B2230">
            <v>519</v>
          </cell>
          <cell r="D2230" t="str">
            <v>통신케이블공</v>
          </cell>
          <cell r="E2230">
            <v>0</v>
          </cell>
          <cell r="F2230" t="str">
            <v>인</v>
          </cell>
          <cell r="H2230">
            <v>0.2</v>
          </cell>
          <cell r="I2230" t="str">
            <v>x</v>
          </cell>
          <cell r="J2230">
            <v>0.03</v>
          </cell>
          <cell r="V2230" t="str">
            <v>=</v>
          </cell>
          <cell r="W2230">
            <v>0.01</v>
          </cell>
          <cell r="Y2230" t="str">
            <v>기본</v>
          </cell>
          <cell r="Z2230" t="str">
            <v>x</v>
          </cell>
          <cell r="AA2230" t="str">
            <v>공구손료</v>
          </cell>
          <cell r="AM2230">
            <v>95424</v>
          </cell>
          <cell r="AN2230">
            <v>0</v>
          </cell>
        </row>
        <row r="2231">
          <cell r="A2231" t="str">
            <v>78-10</v>
          </cell>
          <cell r="B2231">
            <v>517</v>
          </cell>
          <cell r="D2231" t="str">
            <v>통신설비공</v>
          </cell>
          <cell r="E2231">
            <v>0</v>
          </cell>
          <cell r="F2231" t="str">
            <v>인</v>
          </cell>
          <cell r="H2231">
            <v>0.26</v>
          </cell>
          <cell r="I2231" t="str">
            <v>x</v>
          </cell>
          <cell r="J2231">
            <v>0.03</v>
          </cell>
          <cell r="V2231" t="str">
            <v>=</v>
          </cell>
          <cell r="W2231">
            <v>0.01</v>
          </cell>
          <cell r="Y2231" t="str">
            <v>기본</v>
          </cell>
          <cell r="Z2231" t="str">
            <v>x</v>
          </cell>
          <cell r="AA2231" t="str">
            <v>공구손료</v>
          </cell>
          <cell r="AM2231">
            <v>77401</v>
          </cell>
          <cell r="AN2231">
            <v>0</v>
          </cell>
        </row>
        <row r="2232">
          <cell r="A2232" t="str">
            <v>78-11</v>
          </cell>
          <cell r="B2232">
            <v>523</v>
          </cell>
          <cell r="D2232" t="str">
            <v>보통인부</v>
          </cell>
          <cell r="E2232">
            <v>0</v>
          </cell>
          <cell r="F2232" t="str">
            <v>인</v>
          </cell>
          <cell r="H2232">
            <v>0.1</v>
          </cell>
          <cell r="I2232" t="str">
            <v>x</v>
          </cell>
          <cell r="J2232">
            <v>0.03</v>
          </cell>
          <cell r="V2232" t="str">
            <v>=</v>
          </cell>
          <cell r="W2232" t="str">
            <v>0</v>
          </cell>
          <cell r="Y2232" t="str">
            <v>기본</v>
          </cell>
          <cell r="Z2232" t="str">
            <v>x</v>
          </cell>
          <cell r="AA2232" t="str">
            <v>공구손료</v>
          </cell>
          <cell r="AM2232">
            <v>40922</v>
          </cell>
          <cell r="AN2232">
            <v>0</v>
          </cell>
        </row>
        <row r="2233">
          <cell r="AM2233">
            <v>0</v>
          </cell>
          <cell r="AN2233">
            <v>0</v>
          </cell>
        </row>
        <row r="2234">
          <cell r="AM2234">
            <v>0</v>
          </cell>
          <cell r="AN2234">
            <v>0</v>
          </cell>
        </row>
        <row r="2235">
          <cell r="AM2235">
            <v>0</v>
          </cell>
          <cell r="AN2235">
            <v>0</v>
          </cell>
        </row>
        <row r="2236">
          <cell r="AM2236">
            <v>0</v>
          </cell>
          <cell r="AN2236">
            <v>0</v>
          </cell>
        </row>
        <row r="2237">
          <cell r="AM2237">
            <v>0</v>
          </cell>
          <cell r="AN2237">
            <v>0</v>
          </cell>
        </row>
        <row r="2238">
          <cell r="AM2238">
            <v>0</v>
          </cell>
          <cell r="AN2238">
            <v>0</v>
          </cell>
        </row>
        <row r="2239">
          <cell r="AM2239">
            <v>0</v>
          </cell>
        </row>
        <row r="2240">
          <cell r="AM2240">
            <v>0</v>
          </cell>
        </row>
        <row r="2241">
          <cell r="AM2241">
            <v>0</v>
          </cell>
          <cell r="AN2241">
            <v>0</v>
          </cell>
        </row>
        <row r="2242">
          <cell r="AM2242">
            <v>0</v>
          </cell>
          <cell r="AN2242">
            <v>0</v>
          </cell>
        </row>
        <row r="2243">
          <cell r="AM2243">
            <v>0</v>
          </cell>
          <cell r="AN2243">
            <v>0</v>
          </cell>
        </row>
        <row r="2244">
          <cell r="A2244">
            <v>79</v>
          </cell>
          <cell r="C2244">
            <v>79</v>
          </cell>
          <cell r="D2244" t="str">
            <v>통신케이블 포설</v>
          </cell>
          <cell r="E2244" t="str">
            <v>CPEV 5P/.65</v>
          </cell>
          <cell r="F2244" t="str">
            <v>10m</v>
          </cell>
          <cell r="AM2244">
            <v>0</v>
          </cell>
          <cell r="AN2244">
            <v>0</v>
          </cell>
        </row>
        <row r="2245">
          <cell r="A2245" t="str">
            <v>79-1</v>
          </cell>
          <cell r="B2245">
            <v>541</v>
          </cell>
          <cell r="D2245" t="str">
            <v>가. 재료비</v>
          </cell>
          <cell r="AM2245">
            <v>0</v>
          </cell>
          <cell r="AN2245">
            <v>0</v>
          </cell>
        </row>
        <row r="2246">
          <cell r="A2246" t="str">
            <v>79-2</v>
          </cell>
          <cell r="B2246">
            <v>354</v>
          </cell>
          <cell r="D2246" t="str">
            <v xml:space="preserve">통신케이블 </v>
          </cell>
          <cell r="E2246" t="str">
            <v>CPEV 5P/.65</v>
          </cell>
          <cell r="F2246" t="str">
            <v>m</v>
          </cell>
          <cell r="H2246">
            <v>1</v>
          </cell>
          <cell r="I2246" t="str">
            <v>x</v>
          </cell>
          <cell r="J2246">
            <v>10</v>
          </cell>
          <cell r="K2246" t="str">
            <v>x</v>
          </cell>
          <cell r="L2246" t="str">
            <v>(</v>
          </cell>
          <cell r="M2246">
            <v>1</v>
          </cell>
          <cell r="N2246" t="str">
            <v>+</v>
          </cell>
          <cell r="O2246">
            <v>0.03</v>
          </cell>
          <cell r="P2246" t="str">
            <v>)</v>
          </cell>
          <cell r="V2246" t="str">
            <v>=</v>
          </cell>
          <cell r="W2246">
            <v>10.3</v>
          </cell>
          <cell r="Y2246" t="str">
            <v>기본</v>
          </cell>
          <cell r="Z2246" t="str">
            <v>x</v>
          </cell>
          <cell r="AA2246" t="str">
            <v>단위량</v>
          </cell>
          <cell r="AB2246" t="str">
            <v>x</v>
          </cell>
          <cell r="AC2246" t="str">
            <v>(</v>
          </cell>
          <cell r="AD2246">
            <v>1</v>
          </cell>
          <cell r="AE2246" t="str">
            <v>+</v>
          </cell>
          <cell r="AF2246" t="str">
            <v>할증</v>
          </cell>
          <cell r="AG2246" t="str">
            <v>)</v>
          </cell>
          <cell r="AM2246">
            <v>580</v>
          </cell>
          <cell r="AN2246">
            <v>0</v>
          </cell>
        </row>
        <row r="2247">
          <cell r="A2247" t="str">
            <v>79-3</v>
          </cell>
          <cell r="B2247">
            <v>700</v>
          </cell>
          <cell r="D2247" t="str">
            <v>잡재료비</v>
          </cell>
          <cell r="E2247" t="str">
            <v>재료비의2%</v>
          </cell>
          <cell r="F2247" t="str">
            <v>식</v>
          </cell>
          <cell r="V2247" t="str">
            <v>=</v>
          </cell>
          <cell r="W2247">
            <v>1</v>
          </cell>
          <cell r="Y2247" t="str">
            <v>기본</v>
          </cell>
          <cell r="AM2247">
            <v>0</v>
          </cell>
        </row>
        <row r="2248">
          <cell r="A2248" t="str">
            <v>79-4</v>
          </cell>
          <cell r="B2248">
            <v>542</v>
          </cell>
          <cell r="D2248" t="str">
            <v>나. 노무비</v>
          </cell>
          <cell r="E2248">
            <v>0</v>
          </cell>
          <cell r="F2248">
            <v>0</v>
          </cell>
          <cell r="AL2248" t="str">
            <v>통 3-16</v>
          </cell>
          <cell r="AM2248">
            <v>0</v>
          </cell>
          <cell r="AN2248">
            <v>0</v>
          </cell>
        </row>
        <row r="2249">
          <cell r="B2249">
            <v>519</v>
          </cell>
          <cell r="D2249" t="str">
            <v>통신케이블공</v>
          </cell>
          <cell r="E2249">
            <v>0</v>
          </cell>
          <cell r="F2249" t="str">
            <v>인</v>
          </cell>
          <cell r="H2249">
            <v>0.18</v>
          </cell>
          <cell r="I2249" t="str">
            <v>x</v>
          </cell>
          <cell r="J2249">
            <v>1</v>
          </cell>
          <cell r="V2249" t="str">
            <v>=</v>
          </cell>
          <cell r="W2249">
            <v>0.18</v>
          </cell>
          <cell r="Y2249" t="str">
            <v>기본</v>
          </cell>
          <cell r="Z2249" t="str">
            <v>x</v>
          </cell>
          <cell r="AA2249" t="str">
            <v>단위량</v>
          </cell>
          <cell r="AM2249">
            <v>95424</v>
          </cell>
          <cell r="AN2249">
            <v>0</v>
          </cell>
        </row>
        <row r="2250">
          <cell r="B2250">
            <v>544</v>
          </cell>
          <cell r="D2250" t="str">
            <v>소    계</v>
          </cell>
          <cell r="E2250">
            <v>0</v>
          </cell>
          <cell r="F2250">
            <v>0</v>
          </cell>
          <cell r="AM2250">
            <v>0</v>
          </cell>
          <cell r="AN2250">
            <v>0</v>
          </cell>
        </row>
        <row r="2251">
          <cell r="A2251" t="str">
            <v>79-5</v>
          </cell>
          <cell r="B2251">
            <v>519</v>
          </cell>
          <cell r="D2251" t="str">
            <v>통신케이블공</v>
          </cell>
          <cell r="E2251">
            <v>0</v>
          </cell>
          <cell r="F2251" t="str">
            <v>인</v>
          </cell>
          <cell r="V2251" t="str">
            <v>=</v>
          </cell>
          <cell r="W2251">
            <v>0.18</v>
          </cell>
          <cell r="AM2251">
            <v>95424</v>
          </cell>
          <cell r="AN2251">
            <v>0</v>
          </cell>
        </row>
        <row r="2252">
          <cell r="A2252" t="str">
            <v>79-6</v>
          </cell>
          <cell r="B2252">
            <v>543</v>
          </cell>
          <cell r="D2252" t="str">
            <v>다. 공구손료</v>
          </cell>
          <cell r="E2252" t="str">
            <v>노무비x3%</v>
          </cell>
          <cell r="F2252">
            <v>0</v>
          </cell>
          <cell r="AM2252">
            <v>0</v>
          </cell>
          <cell r="AN2252">
            <v>0</v>
          </cell>
        </row>
        <row r="2253">
          <cell r="A2253" t="str">
            <v>79-7</v>
          </cell>
          <cell r="B2253">
            <v>519</v>
          </cell>
          <cell r="D2253" t="str">
            <v>통신케이블공</v>
          </cell>
          <cell r="E2253">
            <v>0</v>
          </cell>
          <cell r="F2253" t="str">
            <v>인</v>
          </cell>
          <cell r="H2253">
            <v>0.18</v>
          </cell>
          <cell r="I2253" t="str">
            <v>x</v>
          </cell>
          <cell r="J2253">
            <v>0.03</v>
          </cell>
          <cell r="V2253" t="str">
            <v>=</v>
          </cell>
          <cell r="W2253">
            <v>0.01</v>
          </cell>
          <cell r="Y2253" t="str">
            <v>기본</v>
          </cell>
          <cell r="Z2253" t="str">
            <v>x</v>
          </cell>
          <cell r="AA2253" t="str">
            <v>공구손료</v>
          </cell>
          <cell r="AM2253">
            <v>95424</v>
          </cell>
          <cell r="AN2253">
            <v>0</v>
          </cell>
        </row>
        <row r="2254">
          <cell r="AM2254">
            <v>0</v>
          </cell>
        </row>
        <row r="2255">
          <cell r="AM2255">
            <v>0</v>
          </cell>
          <cell r="AN2255">
            <v>0</v>
          </cell>
        </row>
        <row r="2256">
          <cell r="AM2256">
            <v>0</v>
          </cell>
          <cell r="AN2256">
            <v>0</v>
          </cell>
        </row>
        <row r="2257">
          <cell r="AM2257">
            <v>0</v>
          </cell>
          <cell r="AN2257">
            <v>0</v>
          </cell>
        </row>
        <row r="2258">
          <cell r="AM2258">
            <v>0</v>
          </cell>
          <cell r="AN2258">
            <v>0</v>
          </cell>
        </row>
        <row r="2259">
          <cell r="AM2259">
            <v>0</v>
          </cell>
        </row>
        <row r="2260">
          <cell r="AM2260">
            <v>0</v>
          </cell>
        </row>
        <row r="2261">
          <cell r="AM2261">
            <v>0</v>
          </cell>
        </row>
        <row r="2262">
          <cell r="AM2262">
            <v>0</v>
          </cell>
        </row>
        <row r="2263">
          <cell r="AM2263">
            <v>0</v>
          </cell>
        </row>
        <row r="2264">
          <cell r="AM2264">
            <v>0</v>
          </cell>
          <cell r="AN2264">
            <v>0</v>
          </cell>
        </row>
        <row r="2265">
          <cell r="AM2265">
            <v>0</v>
          </cell>
          <cell r="AN2265">
            <v>0</v>
          </cell>
        </row>
        <row r="2266">
          <cell r="AM2266">
            <v>0</v>
          </cell>
        </row>
        <row r="2267">
          <cell r="AM2267">
            <v>0</v>
          </cell>
        </row>
        <row r="2268">
          <cell r="AM2268">
            <v>0</v>
          </cell>
          <cell r="AN2268">
            <v>0</v>
          </cell>
        </row>
        <row r="2269">
          <cell r="AM2269">
            <v>0</v>
          </cell>
          <cell r="AN2269">
            <v>0</v>
          </cell>
        </row>
        <row r="2270">
          <cell r="AM2270">
            <v>0</v>
          </cell>
          <cell r="AN2270">
            <v>0</v>
          </cell>
        </row>
        <row r="2271">
          <cell r="A2271">
            <v>80</v>
          </cell>
          <cell r="C2271">
            <v>80</v>
          </cell>
          <cell r="D2271" t="str">
            <v>통신케이블 포설</v>
          </cell>
          <cell r="E2271" t="str">
            <v>CPEV 10P/.65</v>
          </cell>
          <cell r="F2271" t="str">
            <v>10m</v>
          </cell>
          <cell r="AM2271">
            <v>0</v>
          </cell>
          <cell r="AN2271">
            <v>0</v>
          </cell>
        </row>
        <row r="2272">
          <cell r="A2272" t="str">
            <v>80-1</v>
          </cell>
          <cell r="B2272">
            <v>541</v>
          </cell>
          <cell r="D2272" t="str">
            <v>가. 재료비</v>
          </cell>
          <cell r="AM2272">
            <v>0</v>
          </cell>
          <cell r="AN2272">
            <v>0</v>
          </cell>
        </row>
        <row r="2273">
          <cell r="A2273" t="str">
            <v>80-2</v>
          </cell>
          <cell r="B2273">
            <v>355</v>
          </cell>
          <cell r="D2273" t="str">
            <v xml:space="preserve">통신케이블 </v>
          </cell>
          <cell r="E2273" t="str">
            <v>CPEV 10P/.65</v>
          </cell>
          <cell r="F2273" t="str">
            <v>m</v>
          </cell>
          <cell r="H2273">
            <v>1</v>
          </cell>
          <cell r="I2273" t="str">
            <v>x</v>
          </cell>
          <cell r="J2273">
            <v>10</v>
          </cell>
          <cell r="K2273" t="str">
            <v>x</v>
          </cell>
          <cell r="L2273" t="str">
            <v>(</v>
          </cell>
          <cell r="M2273">
            <v>1</v>
          </cell>
          <cell r="N2273" t="str">
            <v>+</v>
          </cell>
          <cell r="O2273">
            <v>0.03</v>
          </cell>
          <cell r="P2273" t="str">
            <v>)</v>
          </cell>
          <cell r="V2273" t="str">
            <v>=</v>
          </cell>
          <cell r="W2273">
            <v>10.3</v>
          </cell>
          <cell r="Y2273" t="str">
            <v>기본</v>
          </cell>
          <cell r="Z2273" t="str">
            <v>x</v>
          </cell>
          <cell r="AA2273" t="str">
            <v>단위량</v>
          </cell>
          <cell r="AB2273" t="str">
            <v>x</v>
          </cell>
          <cell r="AC2273" t="str">
            <v>(</v>
          </cell>
          <cell r="AD2273">
            <v>1</v>
          </cell>
          <cell r="AE2273" t="str">
            <v>+</v>
          </cell>
          <cell r="AF2273" t="str">
            <v>할증</v>
          </cell>
          <cell r="AG2273" t="str">
            <v>)</v>
          </cell>
          <cell r="AM2273">
            <v>749</v>
          </cell>
          <cell r="AN2273">
            <v>0</v>
          </cell>
        </row>
        <row r="2274">
          <cell r="A2274" t="str">
            <v>80-3</v>
          </cell>
          <cell r="B2274">
            <v>700</v>
          </cell>
          <cell r="D2274" t="str">
            <v>잡재료비</v>
          </cell>
          <cell r="E2274" t="str">
            <v>재료비의2%</v>
          </cell>
          <cell r="F2274" t="str">
            <v>식</v>
          </cell>
          <cell r="V2274" t="str">
            <v>=</v>
          </cell>
          <cell r="W2274">
            <v>1</v>
          </cell>
          <cell r="Y2274" t="str">
            <v>기본</v>
          </cell>
          <cell r="AM2274">
            <v>0</v>
          </cell>
        </row>
        <row r="2275">
          <cell r="A2275" t="str">
            <v>80-4</v>
          </cell>
          <cell r="B2275">
            <v>542</v>
          </cell>
          <cell r="D2275" t="str">
            <v>나. 노무비</v>
          </cell>
          <cell r="E2275">
            <v>0</v>
          </cell>
          <cell r="F2275">
            <v>0</v>
          </cell>
          <cell r="AL2275" t="str">
            <v>통 3-16</v>
          </cell>
          <cell r="AM2275">
            <v>0</v>
          </cell>
          <cell r="AN2275">
            <v>0</v>
          </cell>
        </row>
        <row r="2276">
          <cell r="B2276">
            <v>519</v>
          </cell>
          <cell r="D2276" t="str">
            <v>통신케이블공</v>
          </cell>
          <cell r="E2276">
            <v>0</v>
          </cell>
          <cell r="F2276" t="str">
            <v>인</v>
          </cell>
          <cell r="H2276">
            <v>0.18</v>
          </cell>
          <cell r="I2276" t="str">
            <v>x</v>
          </cell>
          <cell r="J2276">
            <v>1</v>
          </cell>
          <cell r="V2276" t="str">
            <v>=</v>
          </cell>
          <cell r="W2276">
            <v>0.18</v>
          </cell>
          <cell r="Y2276" t="str">
            <v>기본</v>
          </cell>
          <cell r="Z2276" t="str">
            <v>x</v>
          </cell>
          <cell r="AA2276" t="str">
            <v>단위량</v>
          </cell>
          <cell r="AM2276">
            <v>95424</v>
          </cell>
          <cell r="AN2276">
            <v>0</v>
          </cell>
        </row>
        <row r="2277">
          <cell r="B2277">
            <v>544</v>
          </cell>
          <cell r="D2277" t="str">
            <v>소    계</v>
          </cell>
          <cell r="E2277">
            <v>0</v>
          </cell>
          <cell r="F2277">
            <v>0</v>
          </cell>
          <cell r="AM2277">
            <v>0</v>
          </cell>
          <cell r="AN2277">
            <v>0</v>
          </cell>
        </row>
        <row r="2278">
          <cell r="A2278" t="str">
            <v>80-5</v>
          </cell>
          <cell r="B2278">
            <v>519</v>
          </cell>
          <cell r="D2278" t="str">
            <v>통신케이블공</v>
          </cell>
          <cell r="E2278">
            <v>0</v>
          </cell>
          <cell r="F2278" t="str">
            <v>인</v>
          </cell>
          <cell r="V2278" t="str">
            <v>=</v>
          </cell>
          <cell r="W2278">
            <v>0.18</v>
          </cell>
          <cell r="AM2278">
            <v>95424</v>
          </cell>
          <cell r="AN2278">
            <v>0</v>
          </cell>
        </row>
        <row r="2279">
          <cell r="A2279" t="str">
            <v>80-6</v>
          </cell>
          <cell r="B2279">
            <v>543</v>
          </cell>
          <cell r="D2279" t="str">
            <v>다. 공구손료</v>
          </cell>
          <cell r="E2279" t="str">
            <v>노무비x3%</v>
          </cell>
          <cell r="F2279">
            <v>0</v>
          </cell>
          <cell r="AM2279">
            <v>0</v>
          </cell>
          <cell r="AN2279">
            <v>0</v>
          </cell>
        </row>
        <row r="2280">
          <cell r="A2280" t="str">
            <v>80-7</v>
          </cell>
          <cell r="B2280">
            <v>519</v>
          </cell>
          <cell r="D2280" t="str">
            <v>통신케이블공</v>
          </cell>
          <cell r="E2280">
            <v>0</v>
          </cell>
          <cell r="F2280" t="str">
            <v>인</v>
          </cell>
          <cell r="H2280">
            <v>0.18</v>
          </cell>
          <cell r="I2280" t="str">
            <v>x</v>
          </cell>
          <cell r="J2280">
            <v>0.03</v>
          </cell>
          <cell r="V2280" t="str">
            <v>=</v>
          </cell>
          <cell r="W2280">
            <v>0.01</v>
          </cell>
          <cell r="Y2280" t="str">
            <v>기본</v>
          </cell>
          <cell r="Z2280" t="str">
            <v>x</v>
          </cell>
          <cell r="AA2280" t="str">
            <v>공구손료</v>
          </cell>
          <cell r="AM2280">
            <v>95424</v>
          </cell>
          <cell r="AN2280">
            <v>0</v>
          </cell>
        </row>
        <row r="2281">
          <cell r="AM2281">
            <v>0</v>
          </cell>
        </row>
        <row r="2282">
          <cell r="AM2282">
            <v>0</v>
          </cell>
          <cell r="AN2282">
            <v>0</v>
          </cell>
        </row>
        <row r="2283">
          <cell r="AM2283">
            <v>0</v>
          </cell>
          <cell r="AN2283">
            <v>0</v>
          </cell>
        </row>
        <row r="2284">
          <cell r="AM2284">
            <v>0</v>
          </cell>
          <cell r="AN2284">
            <v>0</v>
          </cell>
        </row>
        <row r="2285">
          <cell r="AM2285">
            <v>0</v>
          </cell>
          <cell r="AN2285">
            <v>0</v>
          </cell>
        </row>
        <row r="2286">
          <cell r="AM2286">
            <v>0</v>
          </cell>
          <cell r="AN2286">
            <v>0</v>
          </cell>
        </row>
        <row r="2287">
          <cell r="AM2287">
            <v>0</v>
          </cell>
        </row>
        <row r="2288">
          <cell r="AM2288">
            <v>0</v>
          </cell>
        </row>
        <row r="2289">
          <cell r="AM2289">
            <v>0</v>
          </cell>
        </row>
        <row r="2290">
          <cell r="AM2290">
            <v>0</v>
          </cell>
        </row>
        <row r="2291">
          <cell r="AM2291">
            <v>0</v>
          </cell>
          <cell r="AN2291">
            <v>0</v>
          </cell>
        </row>
        <row r="2292">
          <cell r="AM2292">
            <v>0</v>
          </cell>
          <cell r="AN2292">
            <v>0</v>
          </cell>
        </row>
        <row r="2293">
          <cell r="AM2293">
            <v>0</v>
          </cell>
        </row>
        <row r="2294">
          <cell r="AM2294">
            <v>0</v>
          </cell>
        </row>
        <row r="2295">
          <cell r="AM2295">
            <v>0</v>
          </cell>
          <cell r="AN2295">
            <v>0</v>
          </cell>
        </row>
        <row r="2296">
          <cell r="AM2296">
            <v>0</v>
          </cell>
          <cell r="AN2296">
            <v>0</v>
          </cell>
        </row>
        <row r="2297">
          <cell r="AM2297">
            <v>0</v>
          </cell>
          <cell r="AN2297">
            <v>0</v>
          </cell>
        </row>
        <row r="2298">
          <cell r="A2298">
            <v>81</v>
          </cell>
          <cell r="C2298">
            <v>81</v>
          </cell>
          <cell r="D2298" t="str">
            <v>통신케이블 포설</v>
          </cell>
          <cell r="E2298" t="str">
            <v>CPEV 15P/.65</v>
          </cell>
          <cell r="F2298" t="str">
            <v>10m</v>
          </cell>
          <cell r="AM2298">
            <v>0</v>
          </cell>
          <cell r="AN2298">
            <v>0</v>
          </cell>
        </row>
        <row r="2299">
          <cell r="A2299" t="str">
            <v>81-1</v>
          </cell>
          <cell r="B2299">
            <v>541</v>
          </cell>
          <cell r="D2299" t="str">
            <v>가. 재료비</v>
          </cell>
          <cell r="AM2299">
            <v>0</v>
          </cell>
          <cell r="AN2299">
            <v>0</v>
          </cell>
        </row>
        <row r="2300">
          <cell r="A2300" t="str">
            <v>81-2</v>
          </cell>
          <cell r="B2300">
            <v>356</v>
          </cell>
          <cell r="D2300" t="str">
            <v xml:space="preserve">통신케이블 </v>
          </cell>
          <cell r="E2300" t="str">
            <v>CPEV 15P/.65</v>
          </cell>
          <cell r="F2300" t="str">
            <v>m</v>
          </cell>
          <cell r="H2300">
            <v>1</v>
          </cell>
          <cell r="I2300" t="str">
            <v>x</v>
          </cell>
          <cell r="J2300">
            <v>10</v>
          </cell>
          <cell r="K2300" t="str">
            <v>x</v>
          </cell>
          <cell r="L2300" t="str">
            <v>(</v>
          </cell>
          <cell r="M2300">
            <v>1</v>
          </cell>
          <cell r="N2300" t="str">
            <v>+</v>
          </cell>
          <cell r="O2300">
            <v>0.03</v>
          </cell>
          <cell r="P2300" t="str">
            <v>)</v>
          </cell>
          <cell r="V2300" t="str">
            <v>=</v>
          </cell>
          <cell r="W2300">
            <v>10.3</v>
          </cell>
          <cell r="Y2300" t="str">
            <v>기본</v>
          </cell>
          <cell r="Z2300" t="str">
            <v>x</v>
          </cell>
          <cell r="AA2300" t="str">
            <v>단위량</v>
          </cell>
          <cell r="AB2300" t="str">
            <v>x</v>
          </cell>
          <cell r="AC2300" t="str">
            <v>(</v>
          </cell>
          <cell r="AD2300">
            <v>1</v>
          </cell>
          <cell r="AE2300" t="str">
            <v>+</v>
          </cell>
          <cell r="AF2300" t="str">
            <v>할증</v>
          </cell>
          <cell r="AG2300" t="str">
            <v>)</v>
          </cell>
          <cell r="AM2300">
            <v>946</v>
          </cell>
          <cell r="AN2300">
            <v>0</v>
          </cell>
        </row>
        <row r="2301">
          <cell r="A2301" t="str">
            <v>81-3</v>
          </cell>
          <cell r="B2301">
            <v>700</v>
          </cell>
          <cell r="D2301" t="str">
            <v>잡재료비</v>
          </cell>
          <cell r="E2301" t="str">
            <v>재료비의2%</v>
          </cell>
          <cell r="F2301" t="str">
            <v>식</v>
          </cell>
          <cell r="V2301" t="str">
            <v>=</v>
          </cell>
          <cell r="W2301">
            <v>1</v>
          </cell>
          <cell r="Y2301" t="str">
            <v>기본</v>
          </cell>
          <cell r="AM2301">
            <v>0</v>
          </cell>
        </row>
        <row r="2302">
          <cell r="A2302" t="str">
            <v>81-4</v>
          </cell>
          <cell r="B2302">
            <v>542</v>
          </cell>
          <cell r="D2302" t="str">
            <v>나. 노무비</v>
          </cell>
          <cell r="E2302">
            <v>0</v>
          </cell>
          <cell r="F2302">
            <v>0</v>
          </cell>
          <cell r="AL2302" t="str">
            <v>통 3-16</v>
          </cell>
          <cell r="AM2302">
            <v>0</v>
          </cell>
          <cell r="AN2302">
            <v>0</v>
          </cell>
        </row>
        <row r="2303">
          <cell r="B2303">
            <v>519</v>
          </cell>
          <cell r="D2303" t="str">
            <v>통신케이블공</v>
          </cell>
          <cell r="E2303">
            <v>0</v>
          </cell>
          <cell r="F2303" t="str">
            <v>인</v>
          </cell>
          <cell r="H2303">
            <v>0.22</v>
          </cell>
          <cell r="I2303" t="str">
            <v>x</v>
          </cell>
          <cell r="J2303">
            <v>1</v>
          </cell>
          <cell r="V2303" t="str">
            <v>=</v>
          </cell>
          <cell r="W2303">
            <v>0.22</v>
          </cell>
          <cell r="Y2303" t="str">
            <v>기본</v>
          </cell>
          <cell r="Z2303" t="str">
            <v>x</v>
          </cell>
          <cell r="AA2303" t="str">
            <v>단위량</v>
          </cell>
          <cell r="AM2303">
            <v>95424</v>
          </cell>
          <cell r="AN2303">
            <v>0</v>
          </cell>
        </row>
        <row r="2304">
          <cell r="B2304">
            <v>544</v>
          </cell>
          <cell r="D2304" t="str">
            <v>소    계</v>
          </cell>
          <cell r="E2304">
            <v>0</v>
          </cell>
          <cell r="F2304">
            <v>0</v>
          </cell>
          <cell r="AM2304">
            <v>0</v>
          </cell>
          <cell r="AN2304">
            <v>0</v>
          </cell>
        </row>
        <row r="2305">
          <cell r="A2305" t="str">
            <v>81-5</v>
          </cell>
          <cell r="B2305">
            <v>519</v>
          </cell>
          <cell r="D2305" t="str">
            <v>통신케이블공</v>
          </cell>
          <cell r="E2305">
            <v>0</v>
          </cell>
          <cell r="F2305" t="str">
            <v>인</v>
          </cell>
          <cell r="V2305" t="str">
            <v>=</v>
          </cell>
          <cell r="W2305">
            <v>0.22</v>
          </cell>
          <cell r="AM2305">
            <v>95424</v>
          </cell>
          <cell r="AN2305">
            <v>0</v>
          </cell>
        </row>
        <row r="2306">
          <cell r="A2306" t="str">
            <v>81-6</v>
          </cell>
          <cell r="B2306">
            <v>543</v>
          </cell>
          <cell r="D2306" t="str">
            <v>다. 공구손료</v>
          </cell>
          <cell r="E2306" t="str">
            <v>노무비x3%</v>
          </cell>
          <cell r="F2306">
            <v>0</v>
          </cell>
          <cell r="AM2306">
            <v>0</v>
          </cell>
          <cell r="AN2306">
            <v>0</v>
          </cell>
        </row>
        <row r="2307">
          <cell r="A2307" t="str">
            <v>81-7</v>
          </cell>
          <cell r="B2307">
            <v>519</v>
          </cell>
          <cell r="D2307" t="str">
            <v>통신케이블공</v>
          </cell>
          <cell r="E2307">
            <v>0</v>
          </cell>
          <cell r="F2307" t="str">
            <v>인</v>
          </cell>
          <cell r="H2307">
            <v>0.22</v>
          </cell>
          <cell r="I2307" t="str">
            <v>x</v>
          </cell>
          <cell r="J2307">
            <v>0.03</v>
          </cell>
          <cell r="V2307" t="str">
            <v>=</v>
          </cell>
          <cell r="W2307">
            <v>0.01</v>
          </cell>
          <cell r="Y2307" t="str">
            <v>기본</v>
          </cell>
          <cell r="Z2307" t="str">
            <v>x</v>
          </cell>
          <cell r="AA2307" t="str">
            <v>공구손료</v>
          </cell>
          <cell r="AM2307">
            <v>95424</v>
          </cell>
          <cell r="AN2307">
            <v>0</v>
          </cell>
        </row>
        <row r="2308">
          <cell r="AM2308">
            <v>0</v>
          </cell>
        </row>
        <row r="2309">
          <cell r="AM2309">
            <v>0</v>
          </cell>
          <cell r="AN2309">
            <v>0</v>
          </cell>
        </row>
        <row r="2310">
          <cell r="AM2310">
            <v>0</v>
          </cell>
          <cell r="AN2310">
            <v>0</v>
          </cell>
        </row>
        <row r="2311">
          <cell r="AM2311">
            <v>0</v>
          </cell>
          <cell r="AN2311">
            <v>0</v>
          </cell>
        </row>
        <row r="2312">
          <cell r="AM2312">
            <v>0</v>
          </cell>
          <cell r="AN2312">
            <v>0</v>
          </cell>
        </row>
        <row r="2313">
          <cell r="AM2313">
            <v>0</v>
          </cell>
          <cell r="AN2313">
            <v>0</v>
          </cell>
        </row>
        <row r="2314">
          <cell r="AM2314">
            <v>0</v>
          </cell>
        </row>
        <row r="2315">
          <cell r="AM2315">
            <v>0</v>
          </cell>
        </row>
        <row r="2316">
          <cell r="AM2316">
            <v>0</v>
          </cell>
        </row>
        <row r="2317">
          <cell r="AM2317">
            <v>0</v>
          </cell>
        </row>
        <row r="2318">
          <cell r="AM2318">
            <v>0</v>
          </cell>
          <cell r="AN2318">
            <v>0</v>
          </cell>
        </row>
        <row r="2319">
          <cell r="AM2319">
            <v>0</v>
          </cell>
          <cell r="AN2319">
            <v>0</v>
          </cell>
        </row>
        <row r="2320">
          <cell r="AM2320">
            <v>0</v>
          </cell>
        </row>
        <row r="2321">
          <cell r="AM2321">
            <v>0</v>
          </cell>
        </row>
        <row r="2322">
          <cell r="AM2322">
            <v>0</v>
          </cell>
          <cell r="AN2322">
            <v>0</v>
          </cell>
        </row>
        <row r="2323">
          <cell r="AM2323">
            <v>0</v>
          </cell>
          <cell r="AN2323">
            <v>0</v>
          </cell>
        </row>
        <row r="2324">
          <cell r="AM2324">
            <v>0</v>
          </cell>
          <cell r="AN2324">
            <v>0</v>
          </cell>
        </row>
        <row r="2325">
          <cell r="A2325">
            <v>82</v>
          </cell>
          <cell r="C2325">
            <v>82</v>
          </cell>
          <cell r="D2325" t="str">
            <v>제어케이블 신설</v>
          </cell>
          <cell r="E2325" t="str">
            <v>CVV-S 20C/1.25㎟</v>
          </cell>
          <cell r="F2325" t="str">
            <v>m</v>
          </cell>
          <cell r="AM2325">
            <v>0</v>
          </cell>
          <cell r="AN2325">
            <v>0</v>
          </cell>
        </row>
        <row r="2326">
          <cell r="A2326" t="str">
            <v>82-1</v>
          </cell>
          <cell r="B2326">
            <v>541</v>
          </cell>
          <cell r="D2326" t="str">
            <v>가. 재료비</v>
          </cell>
          <cell r="AM2326">
            <v>0</v>
          </cell>
          <cell r="AN2326">
            <v>0</v>
          </cell>
        </row>
        <row r="2327">
          <cell r="A2327" t="str">
            <v>82-2</v>
          </cell>
          <cell r="B2327">
            <v>357</v>
          </cell>
          <cell r="D2327" t="str">
            <v xml:space="preserve">제어케이블 </v>
          </cell>
          <cell r="E2327" t="str">
            <v>CVV-S 20C/1.25㎟</v>
          </cell>
          <cell r="F2327" t="str">
            <v>m</v>
          </cell>
          <cell r="H2327">
            <v>1</v>
          </cell>
          <cell r="I2327" t="str">
            <v>x</v>
          </cell>
          <cell r="J2327">
            <v>1</v>
          </cell>
          <cell r="K2327" t="str">
            <v>x</v>
          </cell>
          <cell r="L2327" t="str">
            <v>(</v>
          </cell>
          <cell r="M2327">
            <v>1</v>
          </cell>
          <cell r="N2327" t="str">
            <v>+</v>
          </cell>
          <cell r="O2327">
            <v>0.03</v>
          </cell>
          <cell r="P2327" t="str">
            <v>)</v>
          </cell>
          <cell r="V2327" t="str">
            <v>=</v>
          </cell>
          <cell r="W2327">
            <v>1.03</v>
          </cell>
          <cell r="Y2327" t="str">
            <v>기본</v>
          </cell>
          <cell r="Z2327" t="str">
            <v>x</v>
          </cell>
          <cell r="AA2327" t="str">
            <v>단위량</v>
          </cell>
          <cell r="AB2327" t="str">
            <v>x</v>
          </cell>
          <cell r="AC2327" t="str">
            <v>(</v>
          </cell>
          <cell r="AD2327">
            <v>1</v>
          </cell>
          <cell r="AE2327" t="str">
            <v>+</v>
          </cell>
          <cell r="AF2327" t="str">
            <v>할증</v>
          </cell>
          <cell r="AG2327" t="str">
            <v>)</v>
          </cell>
          <cell r="AM2327">
            <v>1415</v>
          </cell>
          <cell r="AN2327">
            <v>0</v>
          </cell>
        </row>
        <row r="2328">
          <cell r="A2328" t="str">
            <v>82-3</v>
          </cell>
          <cell r="B2328">
            <v>700</v>
          </cell>
          <cell r="D2328" t="str">
            <v>잡재료비</v>
          </cell>
          <cell r="E2328" t="str">
            <v>재료비의2%</v>
          </cell>
          <cell r="F2328" t="str">
            <v>식</v>
          </cell>
          <cell r="V2328" t="str">
            <v>=</v>
          </cell>
          <cell r="W2328">
            <v>1</v>
          </cell>
          <cell r="Y2328" t="str">
            <v>기본</v>
          </cell>
          <cell r="AM2328">
            <v>0</v>
          </cell>
        </row>
        <row r="2329">
          <cell r="A2329" t="str">
            <v>82-4</v>
          </cell>
          <cell r="B2329">
            <v>542</v>
          </cell>
          <cell r="D2329" t="str">
            <v>나. 노무비</v>
          </cell>
          <cell r="E2329">
            <v>0</v>
          </cell>
          <cell r="F2329">
            <v>0</v>
          </cell>
          <cell r="AL2329" t="str">
            <v>전7-10</v>
          </cell>
          <cell r="AM2329">
            <v>0</v>
          </cell>
          <cell r="AN2329">
            <v>0</v>
          </cell>
        </row>
        <row r="2330">
          <cell r="B2330">
            <v>514</v>
          </cell>
          <cell r="D2330" t="str">
            <v>저압케이블공</v>
          </cell>
          <cell r="E2330">
            <v>0</v>
          </cell>
          <cell r="F2330" t="str">
            <v>인</v>
          </cell>
          <cell r="H2330">
            <v>7.1999999999999995E-2</v>
          </cell>
          <cell r="I2330" t="str">
            <v>x</v>
          </cell>
          <cell r="J2330">
            <v>1</v>
          </cell>
          <cell r="V2330" t="str">
            <v>=</v>
          </cell>
          <cell r="W2330">
            <v>7.0000000000000007E-2</v>
          </cell>
          <cell r="Y2330" t="str">
            <v>기본</v>
          </cell>
          <cell r="Z2330" t="str">
            <v>x</v>
          </cell>
          <cell r="AA2330" t="str">
            <v>단위량</v>
          </cell>
          <cell r="AM2330">
            <v>73973</v>
          </cell>
          <cell r="AN2330">
            <v>0</v>
          </cell>
        </row>
        <row r="2331">
          <cell r="B2331">
            <v>544</v>
          </cell>
          <cell r="D2331" t="str">
            <v>소    계</v>
          </cell>
          <cell r="E2331">
            <v>0</v>
          </cell>
          <cell r="F2331">
            <v>0</v>
          </cell>
          <cell r="AM2331">
            <v>0</v>
          </cell>
          <cell r="AN2331">
            <v>0</v>
          </cell>
        </row>
        <row r="2332">
          <cell r="A2332" t="str">
            <v>82-5</v>
          </cell>
          <cell r="B2332">
            <v>514</v>
          </cell>
          <cell r="D2332" t="str">
            <v>저압케이블공</v>
          </cell>
          <cell r="E2332">
            <v>0</v>
          </cell>
          <cell r="F2332" t="str">
            <v>인</v>
          </cell>
          <cell r="V2332" t="str">
            <v>=</v>
          </cell>
          <cell r="W2332">
            <v>7.0000000000000007E-2</v>
          </cell>
          <cell r="AM2332">
            <v>73973</v>
          </cell>
          <cell r="AN2332">
            <v>0</v>
          </cell>
        </row>
        <row r="2333">
          <cell r="A2333" t="str">
            <v>82-6</v>
          </cell>
          <cell r="B2333">
            <v>543</v>
          </cell>
          <cell r="D2333" t="str">
            <v>다. 공구손료</v>
          </cell>
          <cell r="E2333" t="str">
            <v>노무비x3%</v>
          </cell>
          <cell r="F2333">
            <v>0</v>
          </cell>
          <cell r="AM2333">
            <v>0</v>
          </cell>
          <cell r="AN2333">
            <v>0</v>
          </cell>
        </row>
        <row r="2334">
          <cell r="A2334" t="str">
            <v>82-7</v>
          </cell>
          <cell r="B2334">
            <v>514</v>
          </cell>
          <cell r="D2334" t="str">
            <v>저압케이블공</v>
          </cell>
          <cell r="E2334">
            <v>0</v>
          </cell>
          <cell r="F2334" t="str">
            <v>인</v>
          </cell>
          <cell r="H2334">
            <v>7.0000000000000007E-2</v>
          </cell>
          <cell r="I2334" t="str">
            <v>x</v>
          </cell>
          <cell r="J2334">
            <v>0.03</v>
          </cell>
          <cell r="V2334" t="str">
            <v>=</v>
          </cell>
          <cell r="W2334" t="str">
            <v>0</v>
          </cell>
          <cell r="Y2334" t="str">
            <v>기본</v>
          </cell>
          <cell r="Z2334" t="str">
            <v>x</v>
          </cell>
          <cell r="AA2334" t="str">
            <v>공구손료</v>
          </cell>
          <cell r="AM2334">
            <v>73973</v>
          </cell>
          <cell r="AN2334">
            <v>0</v>
          </cell>
        </row>
        <row r="2335">
          <cell r="AM2335">
            <v>0</v>
          </cell>
        </row>
        <row r="2336">
          <cell r="AM2336">
            <v>0</v>
          </cell>
          <cell r="AN2336">
            <v>0</v>
          </cell>
        </row>
        <row r="2337">
          <cell r="AM2337">
            <v>0</v>
          </cell>
          <cell r="AN2337">
            <v>0</v>
          </cell>
        </row>
        <row r="2338">
          <cell r="AM2338">
            <v>0</v>
          </cell>
          <cell r="AN2338">
            <v>0</v>
          </cell>
        </row>
        <row r="2339">
          <cell r="AM2339">
            <v>0</v>
          </cell>
          <cell r="AN2339">
            <v>0</v>
          </cell>
        </row>
        <row r="2340">
          <cell r="AM2340">
            <v>0</v>
          </cell>
          <cell r="AN2340">
            <v>0</v>
          </cell>
        </row>
        <row r="2341">
          <cell r="AM2341">
            <v>0</v>
          </cell>
        </row>
        <row r="2342">
          <cell r="AM2342">
            <v>0</v>
          </cell>
        </row>
        <row r="2343">
          <cell r="AM2343">
            <v>0</v>
          </cell>
        </row>
        <row r="2344">
          <cell r="AM2344">
            <v>0</v>
          </cell>
        </row>
        <row r="2345">
          <cell r="AM2345">
            <v>0</v>
          </cell>
        </row>
        <row r="2346">
          <cell r="AM2346">
            <v>0</v>
          </cell>
          <cell r="AN2346">
            <v>0</v>
          </cell>
        </row>
        <row r="2347">
          <cell r="AM2347">
            <v>0</v>
          </cell>
        </row>
        <row r="2348">
          <cell r="AM2348">
            <v>0</v>
          </cell>
        </row>
        <row r="2349">
          <cell r="AM2349">
            <v>0</v>
          </cell>
          <cell r="AN2349">
            <v>0</v>
          </cell>
        </row>
        <row r="2350">
          <cell r="AM2350">
            <v>0</v>
          </cell>
          <cell r="AN2350">
            <v>0</v>
          </cell>
        </row>
        <row r="2351">
          <cell r="AM2351">
            <v>0</v>
          </cell>
          <cell r="AN2351">
            <v>0</v>
          </cell>
        </row>
        <row r="2352">
          <cell r="A2352">
            <v>83</v>
          </cell>
          <cell r="C2352">
            <v>83</v>
          </cell>
          <cell r="D2352" t="str">
            <v>제어케이블 신설</v>
          </cell>
          <cell r="E2352" t="str">
            <v>CVV-S 5C/0.65㎟</v>
          </cell>
          <cell r="F2352" t="str">
            <v>m</v>
          </cell>
          <cell r="AM2352">
            <v>0</v>
          </cell>
          <cell r="AN2352">
            <v>0</v>
          </cell>
        </row>
        <row r="2353">
          <cell r="A2353" t="str">
            <v>83-1</v>
          </cell>
          <cell r="B2353">
            <v>541</v>
          </cell>
          <cell r="D2353" t="str">
            <v>가. 재료비</v>
          </cell>
          <cell r="AM2353">
            <v>0</v>
          </cell>
          <cell r="AN2353">
            <v>0</v>
          </cell>
        </row>
        <row r="2354">
          <cell r="A2354" t="str">
            <v>83-2</v>
          </cell>
          <cell r="B2354">
            <v>358</v>
          </cell>
          <cell r="D2354" t="str">
            <v xml:space="preserve">제어케이블 </v>
          </cell>
          <cell r="E2354" t="str">
            <v>CVV-S 5C/0.65㎟</v>
          </cell>
          <cell r="F2354" t="str">
            <v>m</v>
          </cell>
          <cell r="H2354">
            <v>1</v>
          </cell>
          <cell r="I2354" t="str">
            <v>x</v>
          </cell>
          <cell r="J2354">
            <v>1</v>
          </cell>
          <cell r="K2354" t="str">
            <v>x</v>
          </cell>
          <cell r="L2354" t="str">
            <v>(</v>
          </cell>
          <cell r="M2354">
            <v>1</v>
          </cell>
          <cell r="N2354" t="str">
            <v>+</v>
          </cell>
          <cell r="O2354">
            <v>0.03</v>
          </cell>
          <cell r="P2354" t="str">
            <v>)</v>
          </cell>
          <cell r="V2354" t="str">
            <v>=</v>
          </cell>
          <cell r="W2354">
            <v>1.03</v>
          </cell>
          <cell r="Y2354" t="str">
            <v>기본</v>
          </cell>
          <cell r="Z2354" t="str">
            <v>x</v>
          </cell>
          <cell r="AA2354" t="str">
            <v>단위량</v>
          </cell>
          <cell r="AB2354" t="str">
            <v>x</v>
          </cell>
          <cell r="AC2354" t="str">
            <v>(</v>
          </cell>
          <cell r="AD2354">
            <v>1</v>
          </cell>
          <cell r="AE2354" t="str">
            <v>+</v>
          </cell>
          <cell r="AF2354" t="str">
            <v>할증</v>
          </cell>
          <cell r="AG2354" t="str">
            <v>)</v>
          </cell>
          <cell r="AM2354">
            <v>713</v>
          </cell>
          <cell r="AN2354">
            <v>0</v>
          </cell>
        </row>
        <row r="2355">
          <cell r="A2355" t="str">
            <v>83-3</v>
          </cell>
          <cell r="B2355">
            <v>700</v>
          </cell>
          <cell r="D2355" t="str">
            <v>잡재료비</v>
          </cell>
          <cell r="E2355" t="str">
            <v>재료비의2%</v>
          </cell>
          <cell r="F2355" t="str">
            <v>식</v>
          </cell>
          <cell r="V2355" t="str">
            <v>=</v>
          </cell>
          <cell r="W2355">
            <v>1</v>
          </cell>
          <cell r="Y2355" t="str">
            <v>기본</v>
          </cell>
          <cell r="AM2355">
            <v>0</v>
          </cell>
        </row>
        <row r="2356">
          <cell r="A2356" t="str">
            <v>83-4</v>
          </cell>
          <cell r="B2356">
            <v>542</v>
          </cell>
          <cell r="D2356" t="str">
            <v>나. 노무비</v>
          </cell>
          <cell r="E2356">
            <v>0</v>
          </cell>
          <cell r="F2356">
            <v>0</v>
          </cell>
          <cell r="AL2356" t="str">
            <v>전7-10</v>
          </cell>
          <cell r="AM2356">
            <v>0</v>
          </cell>
          <cell r="AN2356">
            <v>0</v>
          </cell>
        </row>
        <row r="2357">
          <cell r="B2357">
            <v>514</v>
          </cell>
          <cell r="D2357" t="str">
            <v>저압케이블공</v>
          </cell>
          <cell r="E2357">
            <v>0</v>
          </cell>
          <cell r="F2357" t="str">
            <v>인</v>
          </cell>
          <cell r="H2357">
            <v>3.2000000000000001E-2</v>
          </cell>
          <cell r="I2357" t="str">
            <v>x</v>
          </cell>
          <cell r="J2357">
            <v>1</v>
          </cell>
          <cell r="V2357" t="str">
            <v>=</v>
          </cell>
          <cell r="W2357">
            <v>0.03</v>
          </cell>
          <cell r="Y2357" t="str">
            <v>기본</v>
          </cell>
          <cell r="Z2357" t="str">
            <v>x</v>
          </cell>
          <cell r="AA2357" t="str">
            <v>단위량</v>
          </cell>
          <cell r="AM2357">
            <v>73973</v>
          </cell>
          <cell r="AN2357">
            <v>0</v>
          </cell>
        </row>
        <row r="2358">
          <cell r="B2358">
            <v>544</v>
          </cell>
          <cell r="D2358" t="str">
            <v>소    계</v>
          </cell>
          <cell r="E2358">
            <v>0</v>
          </cell>
          <cell r="F2358">
            <v>0</v>
          </cell>
          <cell r="AM2358">
            <v>0</v>
          </cell>
          <cell r="AN2358">
            <v>0</v>
          </cell>
        </row>
        <row r="2359">
          <cell r="A2359" t="str">
            <v>83-5</v>
          </cell>
          <cell r="B2359">
            <v>514</v>
          </cell>
          <cell r="D2359" t="str">
            <v>저압케이블공</v>
          </cell>
          <cell r="E2359">
            <v>0</v>
          </cell>
          <cell r="F2359" t="str">
            <v>인</v>
          </cell>
          <cell r="V2359" t="str">
            <v>=</v>
          </cell>
          <cell r="W2359">
            <v>0.03</v>
          </cell>
          <cell r="AM2359">
            <v>73973</v>
          </cell>
          <cell r="AN2359">
            <v>0</v>
          </cell>
        </row>
        <row r="2360">
          <cell r="A2360" t="str">
            <v>83-6</v>
          </cell>
          <cell r="B2360">
            <v>543</v>
          </cell>
          <cell r="D2360" t="str">
            <v>다. 공구손료</v>
          </cell>
          <cell r="E2360" t="str">
            <v>노무비x3%</v>
          </cell>
          <cell r="F2360">
            <v>0</v>
          </cell>
          <cell r="AM2360">
            <v>0</v>
          </cell>
          <cell r="AN2360">
            <v>0</v>
          </cell>
        </row>
        <row r="2361">
          <cell r="A2361" t="str">
            <v>83-7</v>
          </cell>
          <cell r="B2361">
            <v>514</v>
          </cell>
          <cell r="D2361" t="str">
            <v>저압케이블공</v>
          </cell>
          <cell r="E2361">
            <v>0</v>
          </cell>
          <cell r="F2361" t="str">
            <v>인</v>
          </cell>
          <cell r="H2361">
            <v>0.03</v>
          </cell>
          <cell r="I2361" t="str">
            <v>x</v>
          </cell>
          <cell r="J2361">
            <v>0.03</v>
          </cell>
          <cell r="V2361" t="str">
            <v>=</v>
          </cell>
          <cell r="W2361" t="str">
            <v>0</v>
          </cell>
          <cell r="Y2361" t="str">
            <v>기본</v>
          </cell>
          <cell r="Z2361" t="str">
            <v>x</v>
          </cell>
          <cell r="AA2361" t="str">
            <v>공구손료</v>
          </cell>
          <cell r="AM2361">
            <v>73973</v>
          </cell>
          <cell r="AN2361">
            <v>0</v>
          </cell>
        </row>
        <row r="2362">
          <cell r="AM2362">
            <v>0</v>
          </cell>
        </row>
        <row r="2363">
          <cell r="AM2363">
            <v>0</v>
          </cell>
          <cell r="AN2363">
            <v>0</v>
          </cell>
        </row>
        <row r="2364">
          <cell r="AM2364">
            <v>0</v>
          </cell>
          <cell r="AN2364">
            <v>0</v>
          </cell>
        </row>
        <row r="2365">
          <cell r="AM2365">
            <v>0</v>
          </cell>
          <cell r="AN2365">
            <v>0</v>
          </cell>
        </row>
        <row r="2366">
          <cell r="AM2366">
            <v>0</v>
          </cell>
          <cell r="AN2366">
            <v>0</v>
          </cell>
        </row>
        <row r="2367">
          <cell r="AM2367">
            <v>0</v>
          </cell>
          <cell r="AN2367">
            <v>0</v>
          </cell>
        </row>
        <row r="2368">
          <cell r="AM2368">
            <v>0</v>
          </cell>
        </row>
        <row r="2369">
          <cell r="AM2369">
            <v>0</v>
          </cell>
        </row>
        <row r="2370">
          <cell r="AM2370">
            <v>0</v>
          </cell>
        </row>
        <row r="2371">
          <cell r="AM2371">
            <v>0</v>
          </cell>
        </row>
        <row r="2372">
          <cell r="AM2372">
            <v>0</v>
          </cell>
          <cell r="AN2372">
            <v>0</v>
          </cell>
        </row>
        <row r="2373">
          <cell r="AM2373">
            <v>0</v>
          </cell>
          <cell r="AN2373">
            <v>0</v>
          </cell>
        </row>
        <row r="2374">
          <cell r="AM2374">
            <v>0</v>
          </cell>
        </row>
        <row r="2375">
          <cell r="AM2375">
            <v>0</v>
          </cell>
        </row>
        <row r="2376">
          <cell r="AM2376">
            <v>0</v>
          </cell>
          <cell r="AN2376">
            <v>0</v>
          </cell>
        </row>
        <row r="2377">
          <cell r="AM2377">
            <v>0</v>
          </cell>
          <cell r="AN2377">
            <v>0</v>
          </cell>
        </row>
        <row r="2378">
          <cell r="AM2378">
            <v>0</v>
          </cell>
          <cell r="AN2378">
            <v>0</v>
          </cell>
        </row>
        <row r="2379">
          <cell r="A2379">
            <v>84</v>
          </cell>
          <cell r="C2379">
            <v>84</v>
          </cell>
          <cell r="D2379" t="str">
            <v>제어케이블 신설</v>
          </cell>
          <cell r="E2379" t="str">
            <v>CVV-SB 2C/0.6㎟</v>
          </cell>
          <cell r="F2379" t="str">
            <v>m</v>
          </cell>
          <cell r="AM2379">
            <v>0</v>
          </cell>
          <cell r="AN2379">
            <v>0</v>
          </cell>
        </row>
        <row r="2380">
          <cell r="A2380" t="str">
            <v>84-1</v>
          </cell>
          <cell r="B2380">
            <v>541</v>
          </cell>
          <cell r="D2380" t="str">
            <v>가. 재료비</v>
          </cell>
          <cell r="AM2380">
            <v>0</v>
          </cell>
          <cell r="AN2380">
            <v>0</v>
          </cell>
        </row>
        <row r="2381">
          <cell r="A2381" t="str">
            <v>84-2</v>
          </cell>
          <cell r="B2381">
            <v>359</v>
          </cell>
          <cell r="D2381" t="str">
            <v xml:space="preserve">제어케이블 </v>
          </cell>
          <cell r="E2381" t="str">
            <v>CVV-SB 2C/0.6㎟</v>
          </cell>
          <cell r="F2381" t="str">
            <v>m</v>
          </cell>
          <cell r="H2381">
            <v>1</v>
          </cell>
          <cell r="I2381" t="str">
            <v>x</v>
          </cell>
          <cell r="J2381">
            <v>1</v>
          </cell>
          <cell r="K2381" t="str">
            <v>x</v>
          </cell>
          <cell r="L2381" t="str">
            <v>(</v>
          </cell>
          <cell r="M2381">
            <v>1</v>
          </cell>
          <cell r="N2381" t="str">
            <v>+</v>
          </cell>
          <cell r="O2381">
            <v>0.03</v>
          </cell>
          <cell r="P2381" t="str">
            <v>)</v>
          </cell>
          <cell r="V2381" t="str">
            <v>=</v>
          </cell>
          <cell r="W2381">
            <v>1.03</v>
          </cell>
          <cell r="Y2381" t="str">
            <v>기본</v>
          </cell>
          <cell r="Z2381" t="str">
            <v>x</v>
          </cell>
          <cell r="AA2381" t="str">
            <v>단위량</v>
          </cell>
          <cell r="AB2381" t="str">
            <v>x</v>
          </cell>
          <cell r="AC2381" t="str">
            <v>(</v>
          </cell>
          <cell r="AD2381">
            <v>1</v>
          </cell>
          <cell r="AE2381" t="str">
            <v>+</v>
          </cell>
          <cell r="AF2381" t="str">
            <v>할증</v>
          </cell>
          <cell r="AG2381" t="str">
            <v>)</v>
          </cell>
          <cell r="AM2381">
            <v>420</v>
          </cell>
          <cell r="AN2381">
            <v>0</v>
          </cell>
        </row>
        <row r="2382">
          <cell r="A2382" t="str">
            <v>84-3</v>
          </cell>
          <cell r="B2382">
            <v>700</v>
          </cell>
          <cell r="D2382" t="str">
            <v>잡재료비</v>
          </cell>
          <cell r="E2382" t="str">
            <v>재료비의2%</v>
          </cell>
          <cell r="F2382" t="str">
            <v>식</v>
          </cell>
          <cell r="V2382" t="str">
            <v>=</v>
          </cell>
          <cell r="W2382">
            <v>1</v>
          </cell>
          <cell r="Y2382" t="str">
            <v>기본</v>
          </cell>
          <cell r="AM2382">
            <v>0</v>
          </cell>
        </row>
        <row r="2383">
          <cell r="A2383" t="str">
            <v>84-4</v>
          </cell>
          <cell r="B2383">
            <v>542</v>
          </cell>
          <cell r="D2383" t="str">
            <v>나. 노무비</v>
          </cell>
          <cell r="E2383">
            <v>0</v>
          </cell>
          <cell r="F2383">
            <v>0</v>
          </cell>
          <cell r="AL2383" t="str">
            <v>전7-10</v>
          </cell>
          <cell r="AM2383">
            <v>0</v>
          </cell>
          <cell r="AN2383">
            <v>0</v>
          </cell>
        </row>
        <row r="2384">
          <cell r="B2384">
            <v>514</v>
          </cell>
          <cell r="D2384" t="str">
            <v>저압케이블공</v>
          </cell>
          <cell r="E2384">
            <v>0</v>
          </cell>
          <cell r="F2384" t="str">
            <v>인</v>
          </cell>
          <cell r="H2384">
            <v>1.4E-2</v>
          </cell>
          <cell r="I2384" t="str">
            <v>x</v>
          </cell>
          <cell r="J2384">
            <v>1</v>
          </cell>
          <cell r="V2384" t="str">
            <v>=</v>
          </cell>
          <cell r="W2384">
            <v>0.01</v>
          </cell>
          <cell r="Y2384" t="str">
            <v>기본</v>
          </cell>
          <cell r="Z2384" t="str">
            <v>x</v>
          </cell>
          <cell r="AA2384" t="str">
            <v>단위량</v>
          </cell>
          <cell r="AM2384">
            <v>73973</v>
          </cell>
          <cell r="AN2384">
            <v>0</v>
          </cell>
        </row>
        <row r="2385">
          <cell r="B2385">
            <v>544</v>
          </cell>
          <cell r="D2385" t="str">
            <v>소    계</v>
          </cell>
          <cell r="E2385">
            <v>0</v>
          </cell>
          <cell r="F2385">
            <v>0</v>
          </cell>
          <cell r="AM2385">
            <v>0</v>
          </cell>
          <cell r="AN2385">
            <v>0</v>
          </cell>
        </row>
        <row r="2386">
          <cell r="A2386" t="str">
            <v>84-5</v>
          </cell>
          <cell r="B2386">
            <v>514</v>
          </cell>
          <cell r="D2386" t="str">
            <v>저압케이블공</v>
          </cell>
          <cell r="E2386">
            <v>0</v>
          </cell>
          <cell r="F2386" t="str">
            <v>인</v>
          </cell>
          <cell r="V2386" t="str">
            <v>=</v>
          </cell>
          <cell r="W2386">
            <v>0.01</v>
          </cell>
          <cell r="AM2386">
            <v>73973</v>
          </cell>
          <cell r="AN2386">
            <v>0</v>
          </cell>
        </row>
        <row r="2387">
          <cell r="A2387" t="str">
            <v>84-6</v>
          </cell>
          <cell r="B2387">
            <v>543</v>
          </cell>
          <cell r="D2387" t="str">
            <v>다. 공구손료</v>
          </cell>
          <cell r="E2387" t="str">
            <v>노무비x3%</v>
          </cell>
          <cell r="F2387">
            <v>0</v>
          </cell>
          <cell r="AM2387">
            <v>0</v>
          </cell>
          <cell r="AN2387">
            <v>0</v>
          </cell>
        </row>
        <row r="2388">
          <cell r="A2388" t="str">
            <v>84-7</v>
          </cell>
          <cell r="B2388">
            <v>514</v>
          </cell>
          <cell r="D2388" t="str">
            <v>저압케이블공</v>
          </cell>
          <cell r="E2388">
            <v>0</v>
          </cell>
          <cell r="F2388" t="str">
            <v>인</v>
          </cell>
          <cell r="H2388">
            <v>0.01</v>
          </cell>
          <cell r="I2388" t="str">
            <v>x</v>
          </cell>
          <cell r="J2388">
            <v>0.03</v>
          </cell>
          <cell r="V2388" t="str">
            <v>=</v>
          </cell>
          <cell r="W2388" t="str">
            <v>0</v>
          </cell>
          <cell r="Y2388" t="str">
            <v>기본</v>
          </cell>
          <cell r="Z2388" t="str">
            <v>x</v>
          </cell>
          <cell r="AA2388" t="str">
            <v>공구손료</v>
          </cell>
          <cell r="AM2388">
            <v>73973</v>
          </cell>
          <cell r="AN2388">
            <v>0</v>
          </cell>
        </row>
        <row r="2389">
          <cell r="AM2389">
            <v>0</v>
          </cell>
        </row>
        <row r="2390">
          <cell r="AM2390">
            <v>0</v>
          </cell>
          <cell r="AN2390">
            <v>0</v>
          </cell>
        </row>
        <row r="2391">
          <cell r="AM2391">
            <v>0</v>
          </cell>
          <cell r="AN2391">
            <v>0</v>
          </cell>
        </row>
        <row r="2392">
          <cell r="AM2392">
            <v>0</v>
          </cell>
          <cell r="AN2392">
            <v>0</v>
          </cell>
        </row>
        <row r="2393">
          <cell r="AM2393">
            <v>0</v>
          </cell>
          <cell r="AN2393">
            <v>0</v>
          </cell>
        </row>
        <row r="2394">
          <cell r="AM2394">
            <v>0</v>
          </cell>
          <cell r="AN2394">
            <v>0</v>
          </cell>
        </row>
        <row r="2395">
          <cell r="AM2395">
            <v>0</v>
          </cell>
        </row>
        <row r="2396">
          <cell r="AM2396">
            <v>0</v>
          </cell>
        </row>
        <row r="2397">
          <cell r="AM2397">
            <v>0</v>
          </cell>
        </row>
        <row r="2398">
          <cell r="AM2398">
            <v>0</v>
          </cell>
        </row>
        <row r="2399">
          <cell r="AM2399">
            <v>0</v>
          </cell>
        </row>
        <row r="2400">
          <cell r="AM2400">
            <v>0</v>
          </cell>
          <cell r="AN2400">
            <v>0</v>
          </cell>
        </row>
        <row r="2401">
          <cell r="AM2401">
            <v>0</v>
          </cell>
        </row>
        <row r="2402">
          <cell r="AM2402">
            <v>0</v>
          </cell>
        </row>
        <row r="2403">
          <cell r="AM2403">
            <v>0</v>
          </cell>
          <cell r="AN2403">
            <v>0</v>
          </cell>
        </row>
        <row r="2404">
          <cell r="AM2404">
            <v>0</v>
          </cell>
          <cell r="AN2404">
            <v>0</v>
          </cell>
        </row>
        <row r="2405">
          <cell r="AM2405">
            <v>0</v>
          </cell>
          <cell r="AN2405">
            <v>0</v>
          </cell>
        </row>
        <row r="2406">
          <cell r="A2406">
            <v>85</v>
          </cell>
          <cell r="C2406">
            <v>85</v>
          </cell>
          <cell r="D2406" t="str">
            <v>제어케이블 신설</v>
          </cell>
          <cell r="E2406" t="str">
            <v>CVV-S 10C/0.65㎟</v>
          </cell>
          <cell r="F2406" t="str">
            <v>m</v>
          </cell>
          <cell r="AM2406">
            <v>0</v>
          </cell>
          <cell r="AN2406">
            <v>0</v>
          </cell>
        </row>
        <row r="2407">
          <cell r="A2407" t="str">
            <v>85-1</v>
          </cell>
          <cell r="B2407">
            <v>541</v>
          </cell>
          <cell r="D2407" t="str">
            <v>가. 재료비</v>
          </cell>
          <cell r="AM2407">
            <v>0</v>
          </cell>
          <cell r="AN2407">
            <v>0</v>
          </cell>
        </row>
        <row r="2408">
          <cell r="A2408" t="str">
            <v>85-2</v>
          </cell>
          <cell r="B2408">
            <v>360</v>
          </cell>
          <cell r="D2408" t="str">
            <v xml:space="preserve">제어케이블 </v>
          </cell>
          <cell r="E2408" t="str">
            <v>CVV-S 10C/0.65㎟</v>
          </cell>
          <cell r="F2408" t="str">
            <v>m</v>
          </cell>
          <cell r="H2408">
            <v>1</v>
          </cell>
          <cell r="I2408" t="str">
            <v>x</v>
          </cell>
          <cell r="J2408">
            <v>1</v>
          </cell>
          <cell r="K2408" t="str">
            <v>x</v>
          </cell>
          <cell r="L2408" t="str">
            <v>(</v>
          </cell>
          <cell r="M2408">
            <v>1</v>
          </cell>
          <cell r="N2408" t="str">
            <v>+</v>
          </cell>
          <cell r="O2408">
            <v>0.03</v>
          </cell>
          <cell r="P2408" t="str">
            <v>)</v>
          </cell>
          <cell r="V2408" t="str">
            <v>=</v>
          </cell>
          <cell r="W2408">
            <v>1.03</v>
          </cell>
          <cell r="Y2408" t="str">
            <v>기본</v>
          </cell>
          <cell r="Z2408" t="str">
            <v>x</v>
          </cell>
          <cell r="AA2408" t="str">
            <v>단위량</v>
          </cell>
          <cell r="AB2408" t="str">
            <v>x</v>
          </cell>
          <cell r="AC2408" t="str">
            <v>(</v>
          </cell>
          <cell r="AD2408">
            <v>1</v>
          </cell>
          <cell r="AE2408" t="str">
            <v>+</v>
          </cell>
          <cell r="AF2408" t="str">
            <v>할증</v>
          </cell>
          <cell r="AG2408" t="str">
            <v>)</v>
          </cell>
          <cell r="AM2408">
            <v>1127</v>
          </cell>
          <cell r="AN2408">
            <v>0</v>
          </cell>
        </row>
        <row r="2409">
          <cell r="A2409" t="str">
            <v>85-3</v>
          </cell>
          <cell r="B2409">
            <v>700</v>
          </cell>
          <cell r="D2409" t="str">
            <v>잡재료비</v>
          </cell>
          <cell r="E2409" t="str">
            <v>재료비의2%</v>
          </cell>
          <cell r="F2409" t="str">
            <v>식</v>
          </cell>
          <cell r="V2409" t="str">
            <v>=</v>
          </cell>
          <cell r="W2409">
            <v>1</v>
          </cell>
          <cell r="Y2409" t="str">
            <v>기본</v>
          </cell>
          <cell r="AM2409">
            <v>0</v>
          </cell>
        </row>
        <row r="2410">
          <cell r="A2410" t="str">
            <v>85-4</v>
          </cell>
          <cell r="B2410">
            <v>542</v>
          </cell>
          <cell r="D2410" t="str">
            <v>나. 노무비</v>
          </cell>
          <cell r="E2410">
            <v>0</v>
          </cell>
          <cell r="F2410">
            <v>0</v>
          </cell>
          <cell r="AL2410" t="str">
            <v>전7-10</v>
          </cell>
          <cell r="AM2410">
            <v>0</v>
          </cell>
          <cell r="AN2410">
            <v>0</v>
          </cell>
        </row>
        <row r="2411">
          <cell r="B2411">
            <v>514</v>
          </cell>
          <cell r="D2411" t="str">
            <v>저압케이블공</v>
          </cell>
          <cell r="E2411">
            <v>0</v>
          </cell>
          <cell r="F2411" t="str">
            <v>인</v>
          </cell>
          <cell r="H2411">
            <v>4.8000000000000001E-2</v>
          </cell>
          <cell r="I2411" t="str">
            <v>x</v>
          </cell>
          <cell r="J2411">
            <v>1</v>
          </cell>
          <cell r="V2411" t="str">
            <v>=</v>
          </cell>
          <cell r="W2411">
            <v>0.05</v>
          </cell>
          <cell r="Y2411" t="str">
            <v>기본</v>
          </cell>
          <cell r="Z2411" t="str">
            <v>x</v>
          </cell>
          <cell r="AA2411" t="str">
            <v>단위량</v>
          </cell>
          <cell r="AM2411">
            <v>73973</v>
          </cell>
          <cell r="AN2411">
            <v>0</v>
          </cell>
        </row>
        <row r="2412">
          <cell r="B2412">
            <v>544</v>
          </cell>
          <cell r="D2412" t="str">
            <v>소    계</v>
          </cell>
          <cell r="E2412">
            <v>0</v>
          </cell>
          <cell r="F2412">
            <v>0</v>
          </cell>
          <cell r="AM2412">
            <v>0</v>
          </cell>
          <cell r="AN2412">
            <v>0</v>
          </cell>
        </row>
        <row r="2413">
          <cell r="A2413" t="str">
            <v>85-5</v>
          </cell>
          <cell r="B2413">
            <v>514</v>
          </cell>
          <cell r="D2413" t="str">
            <v>저압케이블공</v>
          </cell>
          <cell r="E2413">
            <v>0</v>
          </cell>
          <cell r="F2413" t="str">
            <v>인</v>
          </cell>
          <cell r="V2413" t="str">
            <v>=</v>
          </cell>
          <cell r="W2413">
            <v>0.05</v>
          </cell>
          <cell r="AM2413">
            <v>73973</v>
          </cell>
          <cell r="AN2413">
            <v>0</v>
          </cell>
        </row>
        <row r="2414">
          <cell r="A2414" t="str">
            <v>85-6</v>
          </cell>
          <cell r="B2414">
            <v>543</v>
          </cell>
          <cell r="D2414" t="str">
            <v>다. 공구손료</v>
          </cell>
          <cell r="E2414" t="str">
            <v>노무비x3%</v>
          </cell>
          <cell r="F2414">
            <v>0</v>
          </cell>
          <cell r="AM2414">
            <v>0</v>
          </cell>
          <cell r="AN2414">
            <v>0</v>
          </cell>
        </row>
        <row r="2415">
          <cell r="A2415" t="str">
            <v>85-7</v>
          </cell>
          <cell r="B2415">
            <v>514</v>
          </cell>
          <cell r="D2415" t="str">
            <v>저압케이블공</v>
          </cell>
          <cell r="E2415">
            <v>0</v>
          </cell>
          <cell r="F2415" t="str">
            <v>인</v>
          </cell>
          <cell r="H2415">
            <v>4.8000000000000001E-2</v>
          </cell>
          <cell r="I2415" t="str">
            <v>x</v>
          </cell>
          <cell r="J2415">
            <v>0.03</v>
          </cell>
          <cell r="V2415" t="str">
            <v>=</v>
          </cell>
          <cell r="W2415" t="str">
            <v>0</v>
          </cell>
          <cell r="Y2415" t="str">
            <v>기본</v>
          </cell>
          <cell r="Z2415" t="str">
            <v>x</v>
          </cell>
          <cell r="AA2415" t="str">
            <v>공구손료</v>
          </cell>
          <cell r="AM2415">
            <v>73973</v>
          </cell>
          <cell r="AN2415">
            <v>0</v>
          </cell>
        </row>
        <row r="2416">
          <cell r="AM2416">
            <v>0</v>
          </cell>
        </row>
        <row r="2417">
          <cell r="AM2417">
            <v>0</v>
          </cell>
          <cell r="AN2417">
            <v>0</v>
          </cell>
        </row>
        <row r="2418">
          <cell r="AM2418">
            <v>0</v>
          </cell>
          <cell r="AN2418">
            <v>0</v>
          </cell>
        </row>
        <row r="2419">
          <cell r="AM2419">
            <v>0</v>
          </cell>
          <cell r="AN2419">
            <v>0</v>
          </cell>
        </row>
        <row r="2420">
          <cell r="AM2420">
            <v>0</v>
          </cell>
          <cell r="AN2420">
            <v>0</v>
          </cell>
        </row>
        <row r="2421">
          <cell r="AM2421">
            <v>0</v>
          </cell>
          <cell r="AN2421">
            <v>0</v>
          </cell>
        </row>
        <row r="2422">
          <cell r="AM2422">
            <v>0</v>
          </cell>
        </row>
        <row r="2423">
          <cell r="AM2423">
            <v>0</v>
          </cell>
        </row>
        <row r="2424">
          <cell r="AM2424">
            <v>0</v>
          </cell>
        </row>
        <row r="2425">
          <cell r="AM2425">
            <v>0</v>
          </cell>
        </row>
        <row r="2426">
          <cell r="AM2426">
            <v>0</v>
          </cell>
          <cell r="AN2426">
            <v>0</v>
          </cell>
        </row>
        <row r="2427">
          <cell r="AM2427">
            <v>0</v>
          </cell>
          <cell r="AN2427">
            <v>0</v>
          </cell>
        </row>
        <row r="2428">
          <cell r="AM2428">
            <v>0</v>
          </cell>
        </row>
        <row r="2429">
          <cell r="AM2429">
            <v>0</v>
          </cell>
        </row>
        <row r="2430">
          <cell r="AM2430">
            <v>0</v>
          </cell>
          <cell r="AN2430">
            <v>0</v>
          </cell>
        </row>
        <row r="2431">
          <cell r="AM2431">
            <v>0</v>
          </cell>
          <cell r="AN2431">
            <v>0</v>
          </cell>
        </row>
        <row r="2432">
          <cell r="AM2432">
            <v>0</v>
          </cell>
          <cell r="AN2432">
            <v>0</v>
          </cell>
        </row>
        <row r="2433">
          <cell r="A2433">
            <v>86</v>
          </cell>
          <cell r="C2433">
            <v>86</v>
          </cell>
          <cell r="D2433" t="str">
            <v>제어케이블 신설</v>
          </cell>
          <cell r="E2433" t="str">
            <v>CVV-SB 4C/2.0㎟</v>
          </cell>
          <cell r="F2433" t="str">
            <v>m</v>
          </cell>
          <cell r="AM2433">
            <v>0</v>
          </cell>
          <cell r="AN2433">
            <v>0</v>
          </cell>
        </row>
        <row r="2434">
          <cell r="A2434" t="str">
            <v>86-1</v>
          </cell>
          <cell r="B2434">
            <v>541</v>
          </cell>
          <cell r="D2434" t="str">
            <v>가. 재료비</v>
          </cell>
          <cell r="AM2434">
            <v>0</v>
          </cell>
          <cell r="AN2434">
            <v>0</v>
          </cell>
        </row>
        <row r="2435">
          <cell r="A2435" t="str">
            <v>86-2</v>
          </cell>
          <cell r="B2435">
            <v>361</v>
          </cell>
          <cell r="D2435" t="str">
            <v xml:space="preserve">제어케이블 </v>
          </cell>
          <cell r="E2435" t="str">
            <v>CVV-SB 4C/2.0㎟</v>
          </cell>
          <cell r="F2435" t="str">
            <v>m</v>
          </cell>
          <cell r="H2435">
            <v>1</v>
          </cell>
          <cell r="I2435" t="str">
            <v>x</v>
          </cell>
          <cell r="J2435">
            <v>1</v>
          </cell>
          <cell r="K2435" t="str">
            <v>x</v>
          </cell>
          <cell r="L2435" t="str">
            <v>(</v>
          </cell>
          <cell r="M2435">
            <v>1</v>
          </cell>
          <cell r="N2435" t="str">
            <v>+</v>
          </cell>
          <cell r="O2435">
            <v>0.03</v>
          </cell>
          <cell r="P2435" t="str">
            <v>)</v>
          </cell>
          <cell r="V2435" t="str">
            <v>=</v>
          </cell>
          <cell r="W2435">
            <v>1.03</v>
          </cell>
          <cell r="Y2435" t="str">
            <v>기본</v>
          </cell>
          <cell r="Z2435" t="str">
            <v>x</v>
          </cell>
          <cell r="AA2435" t="str">
            <v>단위량</v>
          </cell>
          <cell r="AB2435" t="str">
            <v>x</v>
          </cell>
          <cell r="AC2435" t="str">
            <v>(</v>
          </cell>
          <cell r="AD2435">
            <v>1</v>
          </cell>
          <cell r="AE2435" t="str">
            <v>+</v>
          </cell>
          <cell r="AF2435" t="str">
            <v>할증</v>
          </cell>
          <cell r="AG2435" t="str">
            <v>)</v>
          </cell>
          <cell r="AM2435">
            <v>979</v>
          </cell>
          <cell r="AN2435">
            <v>0</v>
          </cell>
        </row>
        <row r="2436">
          <cell r="A2436" t="str">
            <v>86-3</v>
          </cell>
          <cell r="B2436">
            <v>700</v>
          </cell>
          <cell r="D2436" t="str">
            <v>잡재료비</v>
          </cell>
          <cell r="E2436" t="str">
            <v>재료비의2%</v>
          </cell>
          <cell r="F2436" t="str">
            <v>식</v>
          </cell>
          <cell r="V2436" t="str">
            <v>=</v>
          </cell>
          <cell r="W2436">
            <v>1</v>
          </cell>
          <cell r="Y2436" t="str">
            <v>기본</v>
          </cell>
          <cell r="AM2436">
            <v>0</v>
          </cell>
          <cell r="AN2436">
            <v>0</v>
          </cell>
        </row>
        <row r="2437">
          <cell r="A2437" t="str">
            <v>86-4</v>
          </cell>
          <cell r="B2437">
            <v>542</v>
          </cell>
          <cell r="D2437" t="str">
            <v>나. 노무비</v>
          </cell>
          <cell r="E2437">
            <v>0</v>
          </cell>
          <cell r="F2437">
            <v>0</v>
          </cell>
          <cell r="AL2437" t="str">
            <v>전7-10</v>
          </cell>
          <cell r="AM2437">
            <v>0</v>
          </cell>
          <cell r="AN2437">
            <v>0</v>
          </cell>
        </row>
        <row r="2438">
          <cell r="B2438">
            <v>514</v>
          </cell>
          <cell r="D2438" t="str">
            <v>저압케이블공</v>
          </cell>
          <cell r="E2438">
            <v>0</v>
          </cell>
          <cell r="F2438" t="str">
            <v>인</v>
          </cell>
          <cell r="H2438">
            <v>2.5999999999999999E-2</v>
          </cell>
          <cell r="I2438" t="str">
            <v>x</v>
          </cell>
          <cell r="J2438">
            <v>1</v>
          </cell>
          <cell r="V2438" t="str">
            <v>=</v>
          </cell>
          <cell r="W2438">
            <v>0.03</v>
          </cell>
          <cell r="Y2438" t="str">
            <v>기본</v>
          </cell>
          <cell r="Z2438" t="str">
            <v>x</v>
          </cell>
          <cell r="AA2438" t="str">
            <v>단위량</v>
          </cell>
          <cell r="AM2438">
            <v>73973</v>
          </cell>
          <cell r="AN2438">
            <v>0</v>
          </cell>
        </row>
        <row r="2439">
          <cell r="B2439">
            <v>544</v>
          </cell>
          <cell r="D2439" t="str">
            <v>소    계</v>
          </cell>
          <cell r="E2439">
            <v>0</v>
          </cell>
          <cell r="F2439">
            <v>0</v>
          </cell>
          <cell r="AM2439">
            <v>0</v>
          </cell>
          <cell r="AN2439">
            <v>0</v>
          </cell>
        </row>
        <row r="2440">
          <cell r="A2440" t="str">
            <v>86-5</v>
          </cell>
          <cell r="B2440">
            <v>514</v>
          </cell>
          <cell r="D2440" t="str">
            <v>저압케이블공</v>
          </cell>
          <cell r="E2440">
            <v>0</v>
          </cell>
          <cell r="F2440" t="str">
            <v>인</v>
          </cell>
          <cell r="V2440" t="str">
            <v>=</v>
          </cell>
          <cell r="W2440">
            <v>0.03</v>
          </cell>
          <cell r="AM2440">
            <v>73973</v>
          </cell>
          <cell r="AN2440">
            <v>0</v>
          </cell>
        </row>
        <row r="2441">
          <cell r="A2441" t="str">
            <v>86-6</v>
          </cell>
          <cell r="B2441">
            <v>543</v>
          </cell>
          <cell r="D2441" t="str">
            <v>다. 공구손료</v>
          </cell>
          <cell r="E2441" t="str">
            <v>노무비x3%</v>
          </cell>
          <cell r="F2441">
            <v>0</v>
          </cell>
          <cell r="AM2441">
            <v>0</v>
          </cell>
          <cell r="AN2441">
            <v>0</v>
          </cell>
        </row>
        <row r="2442">
          <cell r="A2442" t="str">
            <v>86-7</v>
          </cell>
          <cell r="B2442">
            <v>514</v>
          </cell>
          <cell r="D2442" t="str">
            <v>저압케이블공</v>
          </cell>
          <cell r="E2442">
            <v>0</v>
          </cell>
          <cell r="F2442" t="str">
            <v>인</v>
          </cell>
          <cell r="H2442">
            <v>2.5999999999999999E-2</v>
          </cell>
          <cell r="I2442" t="str">
            <v>x</v>
          </cell>
          <cell r="J2442">
            <v>0.03</v>
          </cell>
          <cell r="V2442" t="str">
            <v>=</v>
          </cell>
          <cell r="W2442" t="str">
            <v>0</v>
          </cell>
          <cell r="Y2442" t="str">
            <v>기본</v>
          </cell>
          <cell r="Z2442" t="str">
            <v>x</v>
          </cell>
          <cell r="AA2442" t="str">
            <v>공구손료</v>
          </cell>
          <cell r="AM2442">
            <v>73973</v>
          </cell>
          <cell r="AN2442">
            <v>0</v>
          </cell>
        </row>
        <row r="2443">
          <cell r="AM2443">
            <v>0</v>
          </cell>
        </row>
        <row r="2444">
          <cell r="AM2444">
            <v>0</v>
          </cell>
          <cell r="AN2444">
            <v>0</v>
          </cell>
        </row>
        <row r="2445">
          <cell r="AM2445">
            <v>0</v>
          </cell>
          <cell r="AN2445">
            <v>0</v>
          </cell>
        </row>
        <row r="2446">
          <cell r="AM2446">
            <v>0</v>
          </cell>
          <cell r="AN2446">
            <v>0</v>
          </cell>
        </row>
        <row r="2447">
          <cell r="AM2447">
            <v>0</v>
          </cell>
          <cell r="AN2447">
            <v>0</v>
          </cell>
        </row>
        <row r="2448">
          <cell r="AM2448">
            <v>0</v>
          </cell>
          <cell r="AN2448">
            <v>0</v>
          </cell>
        </row>
        <row r="2449">
          <cell r="AM2449">
            <v>0</v>
          </cell>
        </row>
        <row r="2450">
          <cell r="AM2450">
            <v>0</v>
          </cell>
        </row>
        <row r="2451">
          <cell r="AM2451">
            <v>0</v>
          </cell>
        </row>
        <row r="2452">
          <cell r="AM2452">
            <v>0</v>
          </cell>
        </row>
        <row r="2453">
          <cell r="AM2453">
            <v>0</v>
          </cell>
          <cell r="AN2453">
            <v>0</v>
          </cell>
        </row>
        <row r="2454">
          <cell r="AM2454">
            <v>0</v>
          </cell>
          <cell r="AN2454">
            <v>0</v>
          </cell>
        </row>
        <row r="2455">
          <cell r="AM2455">
            <v>0</v>
          </cell>
        </row>
        <row r="2456">
          <cell r="AM2456">
            <v>0</v>
          </cell>
        </row>
        <row r="2457">
          <cell r="AM2457">
            <v>0</v>
          </cell>
          <cell r="AN2457">
            <v>0</v>
          </cell>
        </row>
        <row r="2458">
          <cell r="AM2458">
            <v>0</v>
          </cell>
          <cell r="AN2458">
            <v>0</v>
          </cell>
        </row>
        <row r="2459">
          <cell r="AM2459">
            <v>0</v>
          </cell>
          <cell r="AN2459">
            <v>0</v>
          </cell>
        </row>
        <row r="2460">
          <cell r="A2460">
            <v>87</v>
          </cell>
          <cell r="C2460">
            <v>87</v>
          </cell>
          <cell r="D2460" t="str">
            <v>제어케이블 신설</v>
          </cell>
          <cell r="E2460" t="str">
            <v>MIC-SH LINE</v>
          </cell>
          <cell r="F2460" t="str">
            <v>10m</v>
          </cell>
          <cell r="AM2460">
            <v>0</v>
          </cell>
          <cell r="AN2460">
            <v>0</v>
          </cell>
        </row>
        <row r="2461">
          <cell r="A2461" t="str">
            <v>87-1</v>
          </cell>
          <cell r="B2461">
            <v>541</v>
          </cell>
          <cell r="D2461" t="str">
            <v>가. 재료비</v>
          </cell>
          <cell r="AM2461">
            <v>0</v>
          </cell>
          <cell r="AN2461">
            <v>0</v>
          </cell>
        </row>
        <row r="2462">
          <cell r="A2462" t="str">
            <v>87-2</v>
          </cell>
          <cell r="B2462">
            <v>362</v>
          </cell>
          <cell r="D2462" t="str">
            <v xml:space="preserve">제어케이블 </v>
          </cell>
          <cell r="E2462" t="str">
            <v>MIC-SH LINE</v>
          </cell>
          <cell r="F2462" t="str">
            <v>m</v>
          </cell>
          <cell r="H2462">
            <v>1</v>
          </cell>
          <cell r="I2462" t="str">
            <v>x</v>
          </cell>
          <cell r="J2462">
            <v>10</v>
          </cell>
          <cell r="K2462" t="str">
            <v>x</v>
          </cell>
          <cell r="L2462" t="str">
            <v>(</v>
          </cell>
          <cell r="M2462">
            <v>1</v>
          </cell>
          <cell r="N2462" t="str">
            <v>+</v>
          </cell>
          <cell r="O2462">
            <v>0.03</v>
          </cell>
          <cell r="P2462" t="str">
            <v>)</v>
          </cell>
          <cell r="V2462" t="str">
            <v>=</v>
          </cell>
          <cell r="W2462">
            <v>10.3</v>
          </cell>
          <cell r="Y2462" t="str">
            <v>기본</v>
          </cell>
          <cell r="Z2462" t="str">
            <v>x</v>
          </cell>
          <cell r="AA2462" t="str">
            <v>단위량</v>
          </cell>
          <cell r="AB2462" t="str">
            <v>x</v>
          </cell>
          <cell r="AC2462" t="str">
            <v>(</v>
          </cell>
          <cell r="AD2462">
            <v>1</v>
          </cell>
          <cell r="AE2462" t="str">
            <v>+</v>
          </cell>
          <cell r="AF2462" t="str">
            <v>할증</v>
          </cell>
          <cell r="AG2462" t="str">
            <v>)</v>
          </cell>
          <cell r="AM2462">
            <v>900</v>
          </cell>
          <cell r="AN2462">
            <v>0</v>
          </cell>
        </row>
        <row r="2463">
          <cell r="A2463" t="str">
            <v>87-3</v>
          </cell>
          <cell r="B2463">
            <v>700</v>
          </cell>
          <cell r="D2463" t="str">
            <v>잡재료비</v>
          </cell>
          <cell r="E2463" t="str">
            <v>재료비의2%</v>
          </cell>
          <cell r="F2463" t="str">
            <v>식</v>
          </cell>
          <cell r="V2463" t="str">
            <v>=</v>
          </cell>
          <cell r="W2463">
            <v>1</v>
          </cell>
          <cell r="Y2463" t="str">
            <v>기본</v>
          </cell>
          <cell r="AM2463">
            <v>0</v>
          </cell>
        </row>
        <row r="2464">
          <cell r="A2464" t="str">
            <v>87-4</v>
          </cell>
          <cell r="B2464">
            <v>542</v>
          </cell>
          <cell r="D2464" t="str">
            <v>나. 노무비</v>
          </cell>
          <cell r="E2464">
            <v>0</v>
          </cell>
          <cell r="F2464">
            <v>0</v>
          </cell>
          <cell r="AL2464" t="str">
            <v>통 5-78</v>
          </cell>
          <cell r="AM2464">
            <v>0</v>
          </cell>
          <cell r="AN2464">
            <v>0</v>
          </cell>
        </row>
        <row r="2465">
          <cell r="B2465">
            <v>519</v>
          </cell>
          <cell r="D2465" t="str">
            <v>통신케이블공</v>
          </cell>
          <cell r="E2465">
            <v>0</v>
          </cell>
          <cell r="F2465" t="str">
            <v>인</v>
          </cell>
          <cell r="H2465">
            <v>0.45</v>
          </cell>
          <cell r="I2465" t="str">
            <v>x</v>
          </cell>
          <cell r="J2465">
            <v>1</v>
          </cell>
          <cell r="V2465" t="str">
            <v>=</v>
          </cell>
          <cell r="W2465">
            <v>0.45</v>
          </cell>
          <cell r="Y2465" t="str">
            <v>기본</v>
          </cell>
          <cell r="Z2465" t="str">
            <v>x</v>
          </cell>
          <cell r="AA2465" t="str">
            <v>단위량</v>
          </cell>
          <cell r="AM2465">
            <v>95424</v>
          </cell>
          <cell r="AN2465">
            <v>0</v>
          </cell>
        </row>
        <row r="2466">
          <cell r="B2466">
            <v>544</v>
          </cell>
          <cell r="D2466" t="str">
            <v>소    계</v>
          </cell>
          <cell r="E2466">
            <v>0</v>
          </cell>
          <cell r="F2466">
            <v>0</v>
          </cell>
          <cell r="AM2466">
            <v>0</v>
          </cell>
          <cell r="AN2466">
            <v>0</v>
          </cell>
        </row>
        <row r="2467">
          <cell r="A2467" t="str">
            <v>87-5</v>
          </cell>
          <cell r="B2467">
            <v>519</v>
          </cell>
          <cell r="D2467" t="str">
            <v>통신케이블공</v>
          </cell>
          <cell r="E2467">
            <v>0</v>
          </cell>
          <cell r="F2467" t="str">
            <v>인</v>
          </cell>
          <cell r="V2467" t="str">
            <v>=</v>
          </cell>
          <cell r="W2467">
            <v>0.45</v>
          </cell>
          <cell r="AM2467">
            <v>95424</v>
          </cell>
          <cell r="AN2467">
            <v>0</v>
          </cell>
        </row>
        <row r="2468">
          <cell r="A2468" t="str">
            <v>87-6</v>
          </cell>
          <cell r="B2468">
            <v>543</v>
          </cell>
          <cell r="D2468" t="str">
            <v>다. 공구손료</v>
          </cell>
          <cell r="E2468" t="str">
            <v>노무비x3%</v>
          </cell>
          <cell r="F2468">
            <v>0</v>
          </cell>
          <cell r="AM2468">
            <v>0</v>
          </cell>
          <cell r="AN2468">
            <v>0</v>
          </cell>
        </row>
        <row r="2469">
          <cell r="A2469" t="str">
            <v>87-7</v>
          </cell>
          <cell r="B2469">
            <v>519</v>
          </cell>
          <cell r="D2469" t="str">
            <v>통신케이블공</v>
          </cell>
          <cell r="E2469">
            <v>0</v>
          </cell>
          <cell r="F2469" t="str">
            <v>인</v>
          </cell>
          <cell r="H2469">
            <v>0.45</v>
          </cell>
          <cell r="I2469" t="str">
            <v>x</v>
          </cell>
          <cell r="J2469">
            <v>0.03</v>
          </cell>
          <cell r="V2469" t="str">
            <v>=</v>
          </cell>
          <cell r="W2469">
            <v>0.01</v>
          </cell>
          <cell r="Y2469" t="str">
            <v>기본</v>
          </cell>
          <cell r="Z2469" t="str">
            <v>x</v>
          </cell>
          <cell r="AA2469" t="str">
            <v>공구손료</v>
          </cell>
          <cell r="AM2469">
            <v>95424</v>
          </cell>
          <cell r="AN2469">
            <v>0</v>
          </cell>
        </row>
        <row r="2470">
          <cell r="AM2470">
            <v>0</v>
          </cell>
        </row>
        <row r="2471">
          <cell r="AM2471">
            <v>0</v>
          </cell>
          <cell r="AN2471">
            <v>0</v>
          </cell>
        </row>
        <row r="2472">
          <cell r="AM2472">
            <v>0</v>
          </cell>
          <cell r="AN2472">
            <v>0</v>
          </cell>
        </row>
        <row r="2473">
          <cell r="AM2473">
            <v>0</v>
          </cell>
          <cell r="AN2473">
            <v>0</v>
          </cell>
        </row>
        <row r="2474">
          <cell r="AM2474">
            <v>0</v>
          </cell>
          <cell r="AN2474">
            <v>0</v>
          </cell>
        </row>
        <row r="2475">
          <cell r="AM2475">
            <v>0</v>
          </cell>
          <cell r="AN2475">
            <v>0</v>
          </cell>
        </row>
        <row r="2476">
          <cell r="AM2476">
            <v>0</v>
          </cell>
        </row>
        <row r="2477">
          <cell r="AM2477">
            <v>0</v>
          </cell>
        </row>
        <row r="2478">
          <cell r="AM2478">
            <v>0</v>
          </cell>
        </row>
        <row r="2479">
          <cell r="AM2479">
            <v>0</v>
          </cell>
        </row>
        <row r="2480">
          <cell r="AM2480">
            <v>0</v>
          </cell>
          <cell r="AN2480">
            <v>0</v>
          </cell>
        </row>
        <row r="2481">
          <cell r="AM2481">
            <v>0</v>
          </cell>
          <cell r="AN2481">
            <v>0</v>
          </cell>
        </row>
        <row r="2482">
          <cell r="AM2482">
            <v>0</v>
          </cell>
        </row>
        <row r="2483">
          <cell r="AM2483">
            <v>0</v>
          </cell>
        </row>
        <row r="2484">
          <cell r="AM2484">
            <v>0</v>
          </cell>
          <cell r="AN2484">
            <v>0</v>
          </cell>
        </row>
        <row r="2485">
          <cell r="AM2485">
            <v>0</v>
          </cell>
          <cell r="AN2485">
            <v>0</v>
          </cell>
        </row>
        <row r="2486">
          <cell r="AM2486">
            <v>0</v>
          </cell>
          <cell r="AN2486">
            <v>0</v>
          </cell>
        </row>
        <row r="2487">
          <cell r="A2487">
            <v>88</v>
          </cell>
          <cell r="C2487">
            <v>88</v>
          </cell>
          <cell r="D2487" t="str">
            <v>동축케이블 신설</v>
          </cell>
          <cell r="E2487" t="str">
            <v>5C-2V</v>
          </cell>
          <cell r="F2487" t="str">
            <v>10m</v>
          </cell>
          <cell r="AM2487">
            <v>0</v>
          </cell>
          <cell r="AN2487">
            <v>0</v>
          </cell>
        </row>
        <row r="2488">
          <cell r="A2488" t="str">
            <v>88-1</v>
          </cell>
          <cell r="B2488">
            <v>541</v>
          </cell>
          <cell r="D2488" t="str">
            <v>가. 재료비</v>
          </cell>
          <cell r="AM2488">
            <v>0</v>
          </cell>
          <cell r="AN2488">
            <v>0</v>
          </cell>
        </row>
        <row r="2489">
          <cell r="A2489" t="str">
            <v>88-2</v>
          </cell>
          <cell r="B2489">
            <v>363</v>
          </cell>
          <cell r="D2489" t="str">
            <v xml:space="preserve">동축케이블 </v>
          </cell>
          <cell r="E2489" t="str">
            <v>5C-2V</v>
          </cell>
          <cell r="F2489" t="str">
            <v>m</v>
          </cell>
          <cell r="H2489">
            <v>1</v>
          </cell>
          <cell r="I2489" t="str">
            <v>x</v>
          </cell>
          <cell r="J2489">
            <v>10</v>
          </cell>
          <cell r="K2489" t="str">
            <v>x</v>
          </cell>
          <cell r="L2489" t="str">
            <v>(</v>
          </cell>
          <cell r="M2489">
            <v>1</v>
          </cell>
          <cell r="N2489" t="str">
            <v>+</v>
          </cell>
          <cell r="O2489">
            <v>0.03</v>
          </cell>
          <cell r="P2489" t="str">
            <v>)</v>
          </cell>
          <cell r="V2489" t="str">
            <v>=</v>
          </cell>
          <cell r="W2489">
            <v>10.3</v>
          </cell>
          <cell r="Y2489" t="str">
            <v>기본</v>
          </cell>
          <cell r="Z2489" t="str">
            <v>x</v>
          </cell>
          <cell r="AA2489" t="str">
            <v>단위량</v>
          </cell>
          <cell r="AB2489" t="str">
            <v>x</v>
          </cell>
          <cell r="AC2489" t="str">
            <v>(</v>
          </cell>
          <cell r="AD2489">
            <v>1</v>
          </cell>
          <cell r="AE2489" t="str">
            <v>+</v>
          </cell>
          <cell r="AF2489" t="str">
            <v>할증</v>
          </cell>
          <cell r="AG2489" t="str">
            <v>)</v>
          </cell>
          <cell r="AM2489">
            <v>290</v>
          </cell>
          <cell r="AN2489">
            <v>0</v>
          </cell>
        </row>
        <row r="2490">
          <cell r="A2490" t="str">
            <v>88-3</v>
          </cell>
          <cell r="B2490">
            <v>700</v>
          </cell>
          <cell r="D2490" t="str">
            <v>잡재료비</v>
          </cell>
          <cell r="E2490" t="str">
            <v>재료비의2%</v>
          </cell>
          <cell r="F2490" t="str">
            <v>식</v>
          </cell>
          <cell r="V2490" t="str">
            <v>=</v>
          </cell>
          <cell r="W2490">
            <v>1</v>
          </cell>
          <cell r="Y2490" t="str">
            <v>기본</v>
          </cell>
          <cell r="AM2490">
            <v>0</v>
          </cell>
        </row>
        <row r="2491">
          <cell r="A2491" t="str">
            <v>88-4</v>
          </cell>
          <cell r="B2491">
            <v>542</v>
          </cell>
          <cell r="D2491" t="str">
            <v>나. 노무비</v>
          </cell>
          <cell r="E2491">
            <v>0</v>
          </cell>
          <cell r="F2491">
            <v>0</v>
          </cell>
          <cell r="AL2491" t="str">
            <v>통 5-89(1)</v>
          </cell>
          <cell r="AM2491">
            <v>0</v>
          </cell>
          <cell r="AN2491">
            <v>0</v>
          </cell>
        </row>
        <row r="2492">
          <cell r="B2492">
            <v>519</v>
          </cell>
          <cell r="D2492" t="str">
            <v>통신케이블공</v>
          </cell>
          <cell r="E2492">
            <v>0</v>
          </cell>
          <cell r="F2492" t="str">
            <v>인</v>
          </cell>
          <cell r="H2492">
            <v>0.18</v>
          </cell>
          <cell r="I2492" t="str">
            <v>x</v>
          </cell>
          <cell r="J2492">
            <v>1</v>
          </cell>
          <cell r="V2492" t="str">
            <v>=</v>
          </cell>
          <cell r="W2492">
            <v>0.18</v>
          </cell>
          <cell r="Y2492" t="str">
            <v>기본</v>
          </cell>
          <cell r="Z2492" t="str">
            <v>x</v>
          </cell>
          <cell r="AA2492" t="str">
            <v>단위량</v>
          </cell>
          <cell r="AM2492">
            <v>95424</v>
          </cell>
          <cell r="AN2492">
            <v>0</v>
          </cell>
        </row>
        <row r="2493">
          <cell r="B2493">
            <v>544</v>
          </cell>
          <cell r="D2493" t="str">
            <v>소    계</v>
          </cell>
          <cell r="E2493">
            <v>0</v>
          </cell>
          <cell r="F2493">
            <v>0</v>
          </cell>
          <cell r="AM2493">
            <v>0</v>
          </cell>
          <cell r="AN2493">
            <v>0</v>
          </cell>
        </row>
        <row r="2494">
          <cell r="A2494" t="str">
            <v>88-5</v>
          </cell>
          <cell r="B2494">
            <v>519</v>
          </cell>
          <cell r="D2494" t="str">
            <v>통신케이블공</v>
          </cell>
          <cell r="E2494">
            <v>0</v>
          </cell>
          <cell r="F2494" t="str">
            <v>인</v>
          </cell>
          <cell r="V2494" t="str">
            <v>=</v>
          </cell>
          <cell r="W2494">
            <v>0.18</v>
          </cell>
          <cell r="AM2494">
            <v>95424</v>
          </cell>
          <cell r="AN2494">
            <v>0</v>
          </cell>
        </row>
        <row r="2495">
          <cell r="A2495" t="str">
            <v>88-6</v>
          </cell>
          <cell r="B2495">
            <v>543</v>
          </cell>
          <cell r="D2495" t="str">
            <v>다. 공구손료</v>
          </cell>
          <cell r="E2495" t="str">
            <v>노무비x3%</v>
          </cell>
          <cell r="F2495">
            <v>0</v>
          </cell>
          <cell r="AM2495">
            <v>0</v>
          </cell>
          <cell r="AN2495">
            <v>0</v>
          </cell>
        </row>
        <row r="2496">
          <cell r="A2496" t="str">
            <v>88-7</v>
          </cell>
          <cell r="B2496">
            <v>519</v>
          </cell>
          <cell r="D2496" t="str">
            <v>통신케이블공</v>
          </cell>
          <cell r="E2496">
            <v>0</v>
          </cell>
          <cell r="F2496" t="str">
            <v>인</v>
          </cell>
          <cell r="H2496">
            <v>0.18</v>
          </cell>
          <cell r="I2496" t="str">
            <v>x</v>
          </cell>
          <cell r="J2496">
            <v>0.03</v>
          </cell>
          <cell r="V2496" t="str">
            <v>=</v>
          </cell>
          <cell r="W2496">
            <v>0.01</v>
          </cell>
          <cell r="Y2496" t="str">
            <v>기본</v>
          </cell>
          <cell r="Z2496" t="str">
            <v>x</v>
          </cell>
          <cell r="AA2496" t="str">
            <v>공구손료</v>
          </cell>
          <cell r="AM2496">
            <v>95424</v>
          </cell>
          <cell r="AN2496">
            <v>0</v>
          </cell>
        </row>
        <row r="2497">
          <cell r="AM2497">
            <v>0</v>
          </cell>
        </row>
        <row r="2498">
          <cell r="AM2498">
            <v>0</v>
          </cell>
          <cell r="AN2498">
            <v>0</v>
          </cell>
        </row>
        <row r="2499">
          <cell r="AM2499">
            <v>0</v>
          </cell>
          <cell r="AN2499">
            <v>0</v>
          </cell>
        </row>
        <row r="2500">
          <cell r="AM2500">
            <v>0</v>
          </cell>
          <cell r="AN2500">
            <v>0</v>
          </cell>
        </row>
        <row r="2501">
          <cell r="AM2501">
            <v>0</v>
          </cell>
          <cell r="AN2501">
            <v>0</v>
          </cell>
        </row>
        <row r="2502">
          <cell r="AM2502">
            <v>0</v>
          </cell>
          <cell r="AN2502">
            <v>0</v>
          </cell>
        </row>
        <row r="2503">
          <cell r="AM2503">
            <v>0</v>
          </cell>
        </row>
        <row r="2504">
          <cell r="AM2504">
            <v>0</v>
          </cell>
        </row>
        <row r="2505">
          <cell r="AM2505">
            <v>0</v>
          </cell>
        </row>
        <row r="2506">
          <cell r="AM2506">
            <v>0</v>
          </cell>
        </row>
        <row r="2507">
          <cell r="AM2507">
            <v>0</v>
          </cell>
        </row>
        <row r="2508">
          <cell r="AM2508">
            <v>0</v>
          </cell>
          <cell r="AN2508">
            <v>0</v>
          </cell>
        </row>
        <row r="2509">
          <cell r="AM2509">
            <v>0</v>
          </cell>
        </row>
        <row r="2510">
          <cell r="AM2510">
            <v>0</v>
          </cell>
        </row>
        <row r="2511">
          <cell r="AM2511">
            <v>0</v>
          </cell>
          <cell r="AN2511">
            <v>0</v>
          </cell>
        </row>
        <row r="2512">
          <cell r="AM2512">
            <v>0</v>
          </cell>
          <cell r="AN2512">
            <v>0</v>
          </cell>
        </row>
        <row r="2513">
          <cell r="AM2513">
            <v>0</v>
          </cell>
          <cell r="AN2513">
            <v>0</v>
          </cell>
        </row>
        <row r="2514">
          <cell r="A2514">
            <v>89</v>
          </cell>
          <cell r="C2514">
            <v>89</v>
          </cell>
          <cell r="D2514" t="str">
            <v>전원케이블 포설</v>
          </cell>
          <cell r="E2514" t="str">
            <v>VCT 2C/5.5㎟</v>
          </cell>
          <cell r="F2514" t="str">
            <v>m</v>
          </cell>
          <cell r="AM2514">
            <v>0</v>
          </cell>
          <cell r="AN2514">
            <v>0</v>
          </cell>
        </row>
        <row r="2515">
          <cell r="A2515" t="str">
            <v>89-1</v>
          </cell>
          <cell r="B2515">
            <v>541</v>
          </cell>
          <cell r="D2515" t="str">
            <v>가. 재료비</v>
          </cell>
          <cell r="AM2515">
            <v>0</v>
          </cell>
          <cell r="AN2515">
            <v>0</v>
          </cell>
        </row>
        <row r="2516">
          <cell r="A2516" t="str">
            <v>89-2</v>
          </cell>
          <cell r="B2516">
            <v>364</v>
          </cell>
          <cell r="D2516" t="str">
            <v xml:space="preserve">전원케이블 </v>
          </cell>
          <cell r="E2516" t="str">
            <v>VCT 2C/5.5㎟</v>
          </cell>
          <cell r="F2516" t="str">
            <v>m</v>
          </cell>
          <cell r="H2516">
            <v>1</v>
          </cell>
          <cell r="I2516" t="str">
            <v>x</v>
          </cell>
          <cell r="J2516">
            <v>1</v>
          </cell>
          <cell r="K2516" t="str">
            <v>x</v>
          </cell>
          <cell r="L2516" t="str">
            <v>(</v>
          </cell>
          <cell r="M2516">
            <v>1</v>
          </cell>
          <cell r="N2516" t="str">
            <v>+</v>
          </cell>
          <cell r="O2516">
            <v>0.03</v>
          </cell>
          <cell r="P2516" t="str">
            <v>)</v>
          </cell>
          <cell r="V2516" t="str">
            <v>=</v>
          </cell>
          <cell r="W2516">
            <v>1.03</v>
          </cell>
          <cell r="Y2516" t="str">
            <v>기본</v>
          </cell>
          <cell r="Z2516" t="str">
            <v>x</v>
          </cell>
          <cell r="AA2516" t="str">
            <v>단위량</v>
          </cell>
          <cell r="AB2516" t="str">
            <v>x</v>
          </cell>
          <cell r="AC2516" t="str">
            <v>(</v>
          </cell>
          <cell r="AD2516">
            <v>1</v>
          </cell>
          <cell r="AE2516" t="str">
            <v>+</v>
          </cell>
          <cell r="AF2516" t="str">
            <v>할증</v>
          </cell>
          <cell r="AG2516" t="str">
            <v>)</v>
          </cell>
          <cell r="AM2516">
            <v>824</v>
          </cell>
          <cell r="AN2516">
            <v>0</v>
          </cell>
        </row>
        <row r="2517">
          <cell r="A2517" t="str">
            <v>89-3</v>
          </cell>
          <cell r="B2517">
            <v>700</v>
          </cell>
          <cell r="D2517" t="str">
            <v>잡재료비</v>
          </cell>
          <cell r="E2517" t="str">
            <v>재료비의2%</v>
          </cell>
          <cell r="F2517" t="str">
            <v>식</v>
          </cell>
          <cell r="V2517" t="str">
            <v>=</v>
          </cell>
          <cell r="W2517">
            <v>1</v>
          </cell>
          <cell r="Y2517" t="str">
            <v>기본</v>
          </cell>
          <cell r="AM2517">
            <v>0</v>
          </cell>
        </row>
        <row r="2518">
          <cell r="A2518" t="str">
            <v>89-4</v>
          </cell>
          <cell r="B2518">
            <v>542</v>
          </cell>
          <cell r="D2518" t="str">
            <v>나. 노무비</v>
          </cell>
          <cell r="E2518">
            <v>0</v>
          </cell>
          <cell r="F2518">
            <v>0</v>
          </cell>
          <cell r="AL2518" t="str">
            <v>전 7-8</v>
          </cell>
          <cell r="AM2518">
            <v>0</v>
          </cell>
          <cell r="AN2518">
            <v>0</v>
          </cell>
        </row>
        <row r="2519">
          <cell r="B2519">
            <v>512</v>
          </cell>
          <cell r="D2519" t="str">
            <v>내선전공</v>
          </cell>
          <cell r="E2519">
            <v>0</v>
          </cell>
          <cell r="F2519" t="str">
            <v>인</v>
          </cell>
          <cell r="H2519">
            <v>0.01</v>
          </cell>
          <cell r="I2519" t="str">
            <v>x</v>
          </cell>
          <cell r="J2519">
            <v>1</v>
          </cell>
          <cell r="V2519" t="str">
            <v>=</v>
          </cell>
          <cell r="W2519">
            <v>0.01</v>
          </cell>
          <cell r="Y2519" t="str">
            <v>기본</v>
          </cell>
          <cell r="Z2519" t="str">
            <v>x</v>
          </cell>
          <cell r="AA2519" t="str">
            <v>단위량</v>
          </cell>
          <cell r="AM2519">
            <v>56143</v>
          </cell>
          <cell r="AN2519">
            <v>0</v>
          </cell>
        </row>
        <row r="2520">
          <cell r="B2520">
            <v>544</v>
          </cell>
          <cell r="D2520" t="str">
            <v>소    계</v>
          </cell>
          <cell r="E2520">
            <v>0</v>
          </cell>
          <cell r="F2520">
            <v>0</v>
          </cell>
          <cell r="AM2520">
            <v>0</v>
          </cell>
          <cell r="AN2520">
            <v>0</v>
          </cell>
        </row>
        <row r="2521">
          <cell r="A2521" t="str">
            <v>89-5</v>
          </cell>
          <cell r="B2521">
            <v>512</v>
          </cell>
          <cell r="D2521" t="str">
            <v>내선전공</v>
          </cell>
          <cell r="E2521">
            <v>0</v>
          </cell>
          <cell r="F2521" t="str">
            <v>인</v>
          </cell>
          <cell r="V2521" t="str">
            <v>=</v>
          </cell>
          <cell r="W2521">
            <v>0.01</v>
          </cell>
          <cell r="AM2521">
            <v>56143</v>
          </cell>
          <cell r="AN2521">
            <v>0</v>
          </cell>
        </row>
        <row r="2522">
          <cell r="A2522" t="str">
            <v>89-6</v>
          </cell>
          <cell r="B2522">
            <v>543</v>
          </cell>
          <cell r="D2522" t="str">
            <v>다. 공구손료</v>
          </cell>
          <cell r="E2522" t="str">
            <v>노무비x3%</v>
          </cell>
          <cell r="F2522">
            <v>0</v>
          </cell>
          <cell r="AM2522">
            <v>0</v>
          </cell>
          <cell r="AN2522">
            <v>0</v>
          </cell>
        </row>
        <row r="2523">
          <cell r="A2523" t="str">
            <v>89-7</v>
          </cell>
          <cell r="B2523">
            <v>512</v>
          </cell>
          <cell r="D2523" t="str">
            <v>내선전공</v>
          </cell>
          <cell r="E2523">
            <v>0</v>
          </cell>
          <cell r="F2523" t="str">
            <v>인</v>
          </cell>
          <cell r="H2523">
            <v>0.01</v>
          </cell>
          <cell r="I2523" t="str">
            <v>x</v>
          </cell>
          <cell r="J2523">
            <v>0.03</v>
          </cell>
          <cell r="V2523" t="str">
            <v>=</v>
          </cell>
          <cell r="W2523" t="str">
            <v>0</v>
          </cell>
          <cell r="Y2523" t="str">
            <v>기본</v>
          </cell>
          <cell r="Z2523" t="str">
            <v>x</v>
          </cell>
          <cell r="AA2523" t="str">
            <v>공구손료</v>
          </cell>
          <cell r="AM2523">
            <v>56143</v>
          </cell>
          <cell r="AN2523">
            <v>0</v>
          </cell>
        </row>
        <row r="2524">
          <cell r="AM2524">
            <v>0</v>
          </cell>
        </row>
        <row r="2525">
          <cell r="AM2525">
            <v>0</v>
          </cell>
        </row>
        <row r="2526">
          <cell r="AM2526">
            <v>0</v>
          </cell>
        </row>
        <row r="2527">
          <cell r="AM2527">
            <v>0</v>
          </cell>
        </row>
        <row r="2528">
          <cell r="AM2528">
            <v>0</v>
          </cell>
          <cell r="AN2528">
            <v>0</v>
          </cell>
        </row>
        <row r="2529">
          <cell r="AM2529">
            <v>0</v>
          </cell>
          <cell r="AN2529">
            <v>0</v>
          </cell>
        </row>
        <row r="2530">
          <cell r="AM2530">
            <v>0</v>
          </cell>
          <cell r="AN2530">
            <v>0</v>
          </cell>
        </row>
        <row r="2531">
          <cell r="AM2531">
            <v>0</v>
          </cell>
          <cell r="AN2531">
            <v>0</v>
          </cell>
        </row>
        <row r="2532">
          <cell r="AM2532">
            <v>0</v>
          </cell>
        </row>
        <row r="2533">
          <cell r="AM2533">
            <v>0</v>
          </cell>
        </row>
        <row r="2534">
          <cell r="AM2534">
            <v>0</v>
          </cell>
        </row>
        <row r="2535">
          <cell r="AM2535">
            <v>0</v>
          </cell>
        </row>
        <row r="2536">
          <cell r="AM2536">
            <v>0</v>
          </cell>
        </row>
        <row r="2537">
          <cell r="AM2537">
            <v>0</v>
          </cell>
        </row>
        <row r="2538">
          <cell r="AM2538">
            <v>0</v>
          </cell>
          <cell r="AN2538">
            <v>0</v>
          </cell>
        </row>
        <row r="2539">
          <cell r="AM2539">
            <v>0</v>
          </cell>
          <cell r="AN2539">
            <v>0</v>
          </cell>
        </row>
        <row r="2540">
          <cell r="AM2540">
            <v>0</v>
          </cell>
          <cell r="AN2540">
            <v>0</v>
          </cell>
        </row>
        <row r="2541">
          <cell r="A2541">
            <v>90</v>
          </cell>
          <cell r="C2541">
            <v>90</v>
          </cell>
          <cell r="D2541" t="str">
            <v>접지선 포설</v>
          </cell>
          <cell r="E2541" t="str">
            <v>IV 5.5㎟</v>
          </cell>
          <cell r="F2541" t="str">
            <v>10m</v>
          </cell>
          <cell r="AM2541">
            <v>0</v>
          </cell>
          <cell r="AN2541">
            <v>0</v>
          </cell>
        </row>
        <row r="2542">
          <cell r="A2542" t="str">
            <v>90-1</v>
          </cell>
          <cell r="B2542">
            <v>541</v>
          </cell>
          <cell r="D2542" t="str">
            <v>가. 재료비</v>
          </cell>
          <cell r="AM2542">
            <v>0</v>
          </cell>
          <cell r="AN2542">
            <v>0</v>
          </cell>
        </row>
        <row r="2543">
          <cell r="A2543" t="str">
            <v>90-2</v>
          </cell>
          <cell r="B2543">
            <v>365</v>
          </cell>
          <cell r="D2543" t="str">
            <v xml:space="preserve">접지선 </v>
          </cell>
          <cell r="E2543" t="str">
            <v>IV 5.5㎟</v>
          </cell>
          <cell r="F2543" t="str">
            <v>m</v>
          </cell>
          <cell r="H2543">
            <v>1</v>
          </cell>
          <cell r="I2543" t="str">
            <v>x</v>
          </cell>
          <cell r="J2543">
            <v>10</v>
          </cell>
          <cell r="K2543" t="str">
            <v>x</v>
          </cell>
          <cell r="L2543" t="str">
            <v>(</v>
          </cell>
          <cell r="M2543">
            <v>1</v>
          </cell>
          <cell r="N2543" t="str">
            <v>+</v>
          </cell>
          <cell r="O2543">
            <v>0.03</v>
          </cell>
          <cell r="P2543" t="str">
            <v>)</v>
          </cell>
          <cell r="V2543" t="str">
            <v>=</v>
          </cell>
          <cell r="W2543">
            <v>10.3</v>
          </cell>
          <cell r="Y2543" t="str">
            <v>기본</v>
          </cell>
          <cell r="Z2543" t="str">
            <v>x</v>
          </cell>
          <cell r="AA2543" t="str">
            <v>단위량</v>
          </cell>
          <cell r="AB2543" t="str">
            <v>x</v>
          </cell>
          <cell r="AC2543" t="str">
            <v>(</v>
          </cell>
          <cell r="AD2543">
            <v>1</v>
          </cell>
          <cell r="AE2543" t="str">
            <v>+</v>
          </cell>
          <cell r="AF2543" t="str">
            <v>할증</v>
          </cell>
          <cell r="AG2543" t="str">
            <v>)</v>
          </cell>
          <cell r="AM2543">
            <v>179</v>
          </cell>
          <cell r="AN2543">
            <v>0</v>
          </cell>
        </row>
        <row r="2544">
          <cell r="A2544" t="str">
            <v>90-3</v>
          </cell>
          <cell r="B2544">
            <v>700</v>
          </cell>
          <cell r="D2544" t="str">
            <v>잡재료비</v>
          </cell>
          <cell r="E2544" t="str">
            <v>재료비의2%</v>
          </cell>
          <cell r="F2544" t="str">
            <v>식</v>
          </cell>
          <cell r="V2544" t="str">
            <v>=</v>
          </cell>
          <cell r="W2544">
            <v>1</v>
          </cell>
          <cell r="Y2544" t="str">
            <v>기본</v>
          </cell>
          <cell r="AM2544">
            <v>0</v>
          </cell>
        </row>
        <row r="2545">
          <cell r="A2545" t="str">
            <v>90-4</v>
          </cell>
          <cell r="B2545">
            <v>542</v>
          </cell>
          <cell r="D2545" t="str">
            <v>나. 노무비</v>
          </cell>
          <cell r="E2545">
            <v>0</v>
          </cell>
          <cell r="F2545">
            <v>0</v>
          </cell>
          <cell r="AL2545" t="str">
            <v>통 3-39</v>
          </cell>
          <cell r="AM2545">
            <v>0</v>
          </cell>
          <cell r="AN2545">
            <v>0</v>
          </cell>
        </row>
        <row r="2546">
          <cell r="B2546">
            <v>516</v>
          </cell>
          <cell r="D2546" t="str">
            <v>통신외선공</v>
          </cell>
          <cell r="E2546">
            <v>0</v>
          </cell>
          <cell r="F2546" t="str">
            <v>인</v>
          </cell>
          <cell r="H2546">
            <v>0.1</v>
          </cell>
          <cell r="I2546" t="str">
            <v>x</v>
          </cell>
          <cell r="J2546">
            <v>1</v>
          </cell>
          <cell r="V2546" t="str">
            <v>=</v>
          </cell>
          <cell r="W2546">
            <v>0.1</v>
          </cell>
          <cell r="Y2546" t="str">
            <v>기본</v>
          </cell>
          <cell r="Z2546" t="str">
            <v>x</v>
          </cell>
          <cell r="AA2546" t="str">
            <v>단위량</v>
          </cell>
          <cell r="AM2546">
            <v>90961</v>
          </cell>
          <cell r="AN2546">
            <v>0</v>
          </cell>
        </row>
        <row r="2547">
          <cell r="B2547">
            <v>544</v>
          </cell>
          <cell r="D2547" t="str">
            <v>소    계</v>
          </cell>
          <cell r="E2547">
            <v>0</v>
          </cell>
          <cell r="F2547">
            <v>0</v>
          </cell>
          <cell r="AM2547">
            <v>0</v>
          </cell>
          <cell r="AN2547">
            <v>0</v>
          </cell>
        </row>
        <row r="2548">
          <cell r="A2548" t="str">
            <v>90-5</v>
          </cell>
          <cell r="B2548">
            <v>516</v>
          </cell>
          <cell r="D2548" t="str">
            <v>통신외선공</v>
          </cell>
          <cell r="E2548">
            <v>0</v>
          </cell>
          <cell r="F2548" t="str">
            <v>인</v>
          </cell>
          <cell r="V2548" t="str">
            <v>=</v>
          </cell>
          <cell r="W2548">
            <v>0.1</v>
          </cell>
          <cell r="AM2548">
            <v>90961</v>
          </cell>
          <cell r="AN2548">
            <v>0</v>
          </cell>
        </row>
        <row r="2549">
          <cell r="A2549" t="str">
            <v>90-6</v>
          </cell>
          <cell r="B2549">
            <v>543</v>
          </cell>
          <cell r="D2549" t="str">
            <v>다. 공구손료</v>
          </cell>
          <cell r="E2549" t="str">
            <v>노무비x3%</v>
          </cell>
          <cell r="F2549">
            <v>0</v>
          </cell>
          <cell r="AM2549">
            <v>0</v>
          </cell>
          <cell r="AN2549">
            <v>0</v>
          </cell>
        </row>
        <row r="2550">
          <cell r="A2550" t="str">
            <v>90-7</v>
          </cell>
          <cell r="B2550">
            <v>516</v>
          </cell>
          <cell r="D2550" t="str">
            <v>통신외선공</v>
          </cell>
          <cell r="E2550">
            <v>0</v>
          </cell>
          <cell r="F2550" t="str">
            <v>인</v>
          </cell>
          <cell r="H2550">
            <v>0.1</v>
          </cell>
          <cell r="I2550" t="str">
            <v>x</v>
          </cell>
          <cell r="J2550">
            <v>0.03</v>
          </cell>
          <cell r="V2550" t="str">
            <v>=</v>
          </cell>
          <cell r="W2550" t="str">
            <v>0</v>
          </cell>
          <cell r="Y2550" t="str">
            <v>기본</v>
          </cell>
          <cell r="Z2550" t="str">
            <v>x</v>
          </cell>
          <cell r="AA2550" t="str">
            <v>공구손료</v>
          </cell>
          <cell r="AM2550">
            <v>90961</v>
          </cell>
          <cell r="AN2550">
            <v>0</v>
          </cell>
        </row>
        <row r="2551">
          <cell r="AM2551">
            <v>0</v>
          </cell>
          <cell r="AN2551">
            <v>0</v>
          </cell>
        </row>
        <row r="2552">
          <cell r="AM2552">
            <v>0</v>
          </cell>
          <cell r="AN2552">
            <v>0</v>
          </cell>
        </row>
        <row r="2553">
          <cell r="AM2553">
            <v>0</v>
          </cell>
          <cell r="AN2553">
            <v>0</v>
          </cell>
        </row>
        <row r="2554">
          <cell r="AM2554">
            <v>0</v>
          </cell>
          <cell r="AN2554">
            <v>0</v>
          </cell>
        </row>
        <row r="2555">
          <cell r="AM2555">
            <v>0</v>
          </cell>
        </row>
        <row r="2556">
          <cell r="AM2556">
            <v>0</v>
          </cell>
        </row>
        <row r="2557">
          <cell r="AM2557">
            <v>0</v>
          </cell>
        </row>
        <row r="2558">
          <cell r="AM2558">
            <v>0</v>
          </cell>
        </row>
        <row r="2559">
          <cell r="AM2559">
            <v>0</v>
          </cell>
        </row>
        <row r="2560">
          <cell r="AM2560">
            <v>0</v>
          </cell>
        </row>
        <row r="2561">
          <cell r="AM2561">
            <v>0</v>
          </cell>
        </row>
        <row r="2562">
          <cell r="AM2562">
            <v>0</v>
          </cell>
        </row>
        <row r="2563">
          <cell r="AM2563">
            <v>0</v>
          </cell>
        </row>
        <row r="2564">
          <cell r="AM2564">
            <v>0</v>
          </cell>
        </row>
        <row r="2565">
          <cell r="AM2565">
            <v>0</v>
          </cell>
          <cell r="AN2565">
            <v>0</v>
          </cell>
        </row>
        <row r="2566">
          <cell r="AM2566">
            <v>0</v>
          </cell>
          <cell r="AN2566">
            <v>0</v>
          </cell>
        </row>
        <row r="2567">
          <cell r="AM2567">
            <v>0</v>
          </cell>
          <cell r="AN2567">
            <v>0</v>
          </cell>
        </row>
        <row r="2568">
          <cell r="A2568">
            <v>91</v>
          </cell>
          <cell r="C2568">
            <v>91</v>
          </cell>
          <cell r="D2568" t="str">
            <v>사령전화 주장치신설</v>
          </cell>
          <cell r="F2568" t="str">
            <v>식</v>
          </cell>
          <cell r="AM2568">
            <v>0</v>
          </cell>
          <cell r="AN2568">
            <v>0</v>
          </cell>
        </row>
        <row r="2569">
          <cell r="A2569" t="str">
            <v>91-1</v>
          </cell>
          <cell r="B2569">
            <v>541</v>
          </cell>
          <cell r="D2569" t="str">
            <v>가. 재료비</v>
          </cell>
          <cell r="E2569">
            <v>0</v>
          </cell>
          <cell r="F2569">
            <v>0</v>
          </cell>
          <cell r="AM2569">
            <v>0</v>
          </cell>
          <cell r="AN2569">
            <v>0</v>
          </cell>
        </row>
        <row r="2570">
          <cell r="A2570" t="str">
            <v>91-2</v>
          </cell>
          <cell r="B2570">
            <v>259</v>
          </cell>
          <cell r="D2570" t="str">
            <v>사령전화주장치 신설</v>
          </cell>
          <cell r="E2570">
            <v>0</v>
          </cell>
          <cell r="F2570" t="str">
            <v>식</v>
          </cell>
          <cell r="V2570" t="str">
            <v>=</v>
          </cell>
          <cell r="W2570">
            <v>1</v>
          </cell>
          <cell r="AM2570">
            <v>395000000</v>
          </cell>
          <cell r="AN2570">
            <v>0</v>
          </cell>
        </row>
        <row r="2571">
          <cell r="A2571" t="str">
            <v>91-3</v>
          </cell>
          <cell r="B2571">
            <v>542</v>
          </cell>
          <cell r="D2571" t="str">
            <v>나. 노무비</v>
          </cell>
          <cell r="E2571">
            <v>0</v>
          </cell>
          <cell r="F2571">
            <v>0</v>
          </cell>
          <cell r="AM2571">
            <v>0</v>
          </cell>
          <cell r="AN2571">
            <v>0</v>
          </cell>
        </row>
        <row r="2572">
          <cell r="B2572">
            <v>518</v>
          </cell>
          <cell r="D2572" t="str">
            <v>통신내선공</v>
          </cell>
          <cell r="E2572">
            <v>0</v>
          </cell>
          <cell r="F2572" t="str">
            <v>인</v>
          </cell>
          <cell r="H2572">
            <v>11</v>
          </cell>
          <cell r="I2572" t="str">
            <v>x</v>
          </cell>
          <cell r="J2572">
            <v>1</v>
          </cell>
          <cell r="V2572" t="str">
            <v>=</v>
          </cell>
          <cell r="W2572">
            <v>11</v>
          </cell>
          <cell r="Y2572" t="str">
            <v>기본</v>
          </cell>
          <cell r="Z2572" t="str">
            <v>x</v>
          </cell>
          <cell r="AA2572" t="str">
            <v>단위량</v>
          </cell>
          <cell r="AL2572" t="str">
            <v>통 3-29</v>
          </cell>
          <cell r="AM2572">
            <v>63806</v>
          </cell>
          <cell r="AN2572">
            <v>0</v>
          </cell>
        </row>
        <row r="2573">
          <cell r="B2573">
            <v>544</v>
          </cell>
          <cell r="D2573" t="str">
            <v>소    계</v>
          </cell>
          <cell r="E2573">
            <v>0</v>
          </cell>
          <cell r="F2573">
            <v>0</v>
          </cell>
          <cell r="AM2573">
            <v>0</v>
          </cell>
          <cell r="AN2573">
            <v>0</v>
          </cell>
        </row>
        <row r="2574">
          <cell r="A2574" t="str">
            <v>91-4</v>
          </cell>
          <cell r="B2574">
            <v>518</v>
          </cell>
          <cell r="D2574" t="str">
            <v>통신내선공</v>
          </cell>
          <cell r="E2574">
            <v>0</v>
          </cell>
          <cell r="F2574" t="str">
            <v>인</v>
          </cell>
          <cell r="V2574" t="str">
            <v>=</v>
          </cell>
          <cell r="W2574">
            <v>11</v>
          </cell>
          <cell r="AM2574">
            <v>63806</v>
          </cell>
          <cell r="AN2574">
            <v>0</v>
          </cell>
        </row>
        <row r="2575">
          <cell r="A2575" t="str">
            <v>91-5</v>
          </cell>
          <cell r="B2575">
            <v>543</v>
          </cell>
          <cell r="D2575" t="str">
            <v>다. 공구손료</v>
          </cell>
          <cell r="E2575" t="str">
            <v>노무비x3%</v>
          </cell>
          <cell r="F2575">
            <v>0</v>
          </cell>
          <cell r="AM2575">
            <v>0</v>
          </cell>
          <cell r="AN2575">
            <v>0</v>
          </cell>
        </row>
        <row r="2576">
          <cell r="A2576" t="str">
            <v>91-6</v>
          </cell>
          <cell r="B2576">
            <v>518</v>
          </cell>
          <cell r="D2576" t="str">
            <v>통신내선공</v>
          </cell>
          <cell r="E2576">
            <v>0</v>
          </cell>
          <cell r="F2576" t="str">
            <v>인</v>
          </cell>
          <cell r="H2576">
            <v>11</v>
          </cell>
          <cell r="I2576" t="str">
            <v>x</v>
          </cell>
          <cell r="J2576">
            <v>0.03</v>
          </cell>
          <cell r="V2576" t="str">
            <v>=</v>
          </cell>
          <cell r="W2576">
            <v>0.33</v>
          </cell>
          <cell r="Y2576" t="str">
            <v>기본</v>
          </cell>
          <cell r="Z2576" t="str">
            <v>x</v>
          </cell>
          <cell r="AA2576" t="str">
            <v>공구손료</v>
          </cell>
          <cell r="AM2576">
            <v>63806</v>
          </cell>
          <cell r="AN2576">
            <v>0</v>
          </cell>
        </row>
        <row r="2577">
          <cell r="AM2577">
            <v>0</v>
          </cell>
          <cell r="AN2577">
            <v>0</v>
          </cell>
        </row>
        <row r="2578">
          <cell r="AM2578">
            <v>0</v>
          </cell>
          <cell r="AN2578">
            <v>0</v>
          </cell>
        </row>
        <row r="2579">
          <cell r="AM2579">
            <v>0</v>
          </cell>
          <cell r="AN2579">
            <v>0</v>
          </cell>
        </row>
        <row r="2580">
          <cell r="AM2580">
            <v>0</v>
          </cell>
          <cell r="AN2580">
            <v>0</v>
          </cell>
        </row>
        <row r="2581">
          <cell r="AM2581">
            <v>0</v>
          </cell>
          <cell r="AN2581">
            <v>0</v>
          </cell>
        </row>
        <row r="2582">
          <cell r="AM2582">
            <v>0</v>
          </cell>
          <cell r="AN2582">
            <v>0</v>
          </cell>
        </row>
        <row r="2583">
          <cell r="AM2583">
            <v>0</v>
          </cell>
          <cell r="AN2583">
            <v>0</v>
          </cell>
        </row>
        <row r="2584">
          <cell r="AM2584">
            <v>0</v>
          </cell>
          <cell r="AN2584">
            <v>0</v>
          </cell>
        </row>
        <row r="2585">
          <cell r="AM2585">
            <v>0</v>
          </cell>
          <cell r="AN2585">
            <v>0</v>
          </cell>
        </row>
        <row r="2586">
          <cell r="AM2586">
            <v>0</v>
          </cell>
          <cell r="AN2586">
            <v>0</v>
          </cell>
        </row>
        <row r="2587">
          <cell r="AM2587">
            <v>0</v>
          </cell>
          <cell r="AN2587">
            <v>0</v>
          </cell>
        </row>
        <row r="2588">
          <cell r="AM2588">
            <v>0</v>
          </cell>
        </row>
        <row r="2589">
          <cell r="AM2589">
            <v>0</v>
          </cell>
        </row>
        <row r="2590">
          <cell r="AM2590">
            <v>0</v>
          </cell>
        </row>
        <row r="2591">
          <cell r="AM2591">
            <v>0</v>
          </cell>
        </row>
        <row r="2592">
          <cell r="AM2592">
            <v>0</v>
          </cell>
        </row>
        <row r="2593">
          <cell r="AM2593">
            <v>0</v>
          </cell>
          <cell r="AN2593">
            <v>0</v>
          </cell>
        </row>
        <row r="2594">
          <cell r="AM2594">
            <v>0</v>
          </cell>
          <cell r="AN2594">
            <v>0</v>
          </cell>
        </row>
        <row r="2595">
          <cell r="A2595">
            <v>92</v>
          </cell>
          <cell r="C2595">
            <v>92</v>
          </cell>
          <cell r="D2595" t="str">
            <v>사령전화 조작반 신설</v>
          </cell>
          <cell r="F2595" t="str">
            <v>식</v>
          </cell>
          <cell r="AM2595">
            <v>0</v>
          </cell>
          <cell r="AN2595">
            <v>0</v>
          </cell>
        </row>
        <row r="2596">
          <cell r="A2596" t="str">
            <v>92-1</v>
          </cell>
          <cell r="B2596">
            <v>541</v>
          </cell>
          <cell r="D2596" t="str">
            <v>가. 재료비</v>
          </cell>
          <cell r="E2596">
            <v>0</v>
          </cell>
          <cell r="F2596">
            <v>0</v>
          </cell>
          <cell r="AM2596">
            <v>0</v>
          </cell>
          <cell r="AN2596">
            <v>0</v>
          </cell>
        </row>
        <row r="2597">
          <cell r="A2597" t="str">
            <v>92-2</v>
          </cell>
          <cell r="B2597">
            <v>149</v>
          </cell>
          <cell r="D2597" t="str">
            <v>사령전화 조작반</v>
          </cell>
          <cell r="E2597" t="str">
            <v>PLUG TYPE</v>
          </cell>
          <cell r="F2597" t="str">
            <v>식</v>
          </cell>
          <cell r="V2597" t="str">
            <v>=</v>
          </cell>
          <cell r="W2597">
            <v>1</v>
          </cell>
          <cell r="AM2597">
            <v>9900000</v>
          </cell>
          <cell r="AN2597">
            <v>0</v>
          </cell>
        </row>
        <row r="2598">
          <cell r="A2598" t="str">
            <v>92-3</v>
          </cell>
          <cell r="B2598">
            <v>542</v>
          </cell>
          <cell r="D2598" t="str">
            <v>나. 노무비</v>
          </cell>
          <cell r="E2598">
            <v>0</v>
          </cell>
          <cell r="F2598">
            <v>0</v>
          </cell>
          <cell r="AL2598" t="str">
            <v>통5-4</v>
          </cell>
          <cell r="AM2598">
            <v>0</v>
          </cell>
          <cell r="AN2598">
            <v>0</v>
          </cell>
        </row>
        <row r="2599">
          <cell r="B2599">
            <v>517</v>
          </cell>
          <cell r="D2599" t="str">
            <v>통신설비공</v>
          </cell>
          <cell r="E2599">
            <v>0</v>
          </cell>
          <cell r="F2599" t="str">
            <v>인</v>
          </cell>
          <cell r="H2599">
            <v>3.84</v>
          </cell>
          <cell r="I2599" t="str">
            <v>x</v>
          </cell>
          <cell r="J2599">
            <v>1</v>
          </cell>
          <cell r="V2599" t="str">
            <v>=</v>
          </cell>
          <cell r="W2599">
            <v>3.84</v>
          </cell>
          <cell r="Y2599" t="str">
            <v>기본</v>
          </cell>
          <cell r="Z2599" t="str">
            <v>x</v>
          </cell>
          <cell r="AA2599" t="str">
            <v>단위량</v>
          </cell>
          <cell r="AM2599">
            <v>77401</v>
          </cell>
          <cell r="AN2599">
            <v>0</v>
          </cell>
        </row>
        <row r="2600">
          <cell r="B2600">
            <v>544</v>
          </cell>
          <cell r="D2600" t="str">
            <v>소    계</v>
          </cell>
          <cell r="E2600">
            <v>0</v>
          </cell>
          <cell r="F2600">
            <v>0</v>
          </cell>
          <cell r="AM2600">
            <v>0</v>
          </cell>
          <cell r="AN2600">
            <v>0</v>
          </cell>
        </row>
        <row r="2601">
          <cell r="A2601" t="str">
            <v>92-4</v>
          </cell>
          <cell r="B2601">
            <v>517</v>
          </cell>
          <cell r="D2601" t="str">
            <v>통신설비공</v>
          </cell>
          <cell r="E2601">
            <v>0</v>
          </cell>
          <cell r="F2601" t="str">
            <v>인</v>
          </cell>
          <cell r="V2601" t="str">
            <v>=</v>
          </cell>
          <cell r="W2601">
            <v>3.84</v>
          </cell>
          <cell r="AM2601">
            <v>77401</v>
          </cell>
          <cell r="AN2601">
            <v>0</v>
          </cell>
        </row>
        <row r="2602">
          <cell r="A2602" t="str">
            <v>92-5</v>
          </cell>
          <cell r="B2602">
            <v>543</v>
          </cell>
          <cell r="D2602" t="str">
            <v>다. 공구손료</v>
          </cell>
          <cell r="E2602" t="str">
            <v>노무비x3%</v>
          </cell>
          <cell r="F2602">
            <v>0</v>
          </cell>
          <cell r="AM2602">
            <v>0</v>
          </cell>
          <cell r="AN2602">
            <v>0</v>
          </cell>
        </row>
        <row r="2603">
          <cell r="A2603" t="str">
            <v>92-6</v>
          </cell>
          <cell r="B2603">
            <v>517</v>
          </cell>
          <cell r="D2603" t="str">
            <v>통신설비공</v>
          </cell>
          <cell r="E2603">
            <v>0</v>
          </cell>
          <cell r="F2603" t="str">
            <v>인</v>
          </cell>
          <cell r="H2603">
            <v>3.84</v>
          </cell>
          <cell r="I2603" t="str">
            <v>x</v>
          </cell>
          <cell r="J2603">
            <v>0.03</v>
          </cell>
          <cell r="V2603" t="str">
            <v>=</v>
          </cell>
          <cell r="W2603">
            <v>0.12</v>
          </cell>
          <cell r="Y2603" t="str">
            <v>기본</v>
          </cell>
          <cell r="Z2603" t="str">
            <v>x</v>
          </cell>
          <cell r="AA2603" t="str">
            <v>공구손료</v>
          </cell>
          <cell r="AM2603">
            <v>77401</v>
          </cell>
          <cell r="AN2603">
            <v>0</v>
          </cell>
        </row>
        <row r="2605">
          <cell r="AM2605">
            <v>0</v>
          </cell>
          <cell r="AN2605">
            <v>0</v>
          </cell>
        </row>
        <row r="2616">
          <cell r="AM2616">
            <v>0</v>
          </cell>
          <cell r="AN2616">
            <v>0</v>
          </cell>
        </row>
        <row r="2617">
          <cell r="AM2617">
            <v>0</v>
          </cell>
          <cell r="AN2617">
            <v>0</v>
          </cell>
        </row>
        <row r="2618">
          <cell r="AM2618">
            <v>0</v>
          </cell>
          <cell r="AN2618">
            <v>0</v>
          </cell>
        </row>
        <row r="2619">
          <cell r="AM2619">
            <v>0</v>
          </cell>
          <cell r="AN2619">
            <v>0</v>
          </cell>
        </row>
        <row r="2620">
          <cell r="AM2620">
            <v>0</v>
          </cell>
          <cell r="AN2620">
            <v>0</v>
          </cell>
        </row>
        <row r="2621">
          <cell r="AM2621">
            <v>0</v>
          </cell>
          <cell r="AN2621">
            <v>0</v>
          </cell>
        </row>
        <row r="2622">
          <cell r="A2622">
            <v>93</v>
          </cell>
          <cell r="C2622">
            <v>93</v>
          </cell>
          <cell r="D2622" t="str">
            <v>사령전화 자장치신설</v>
          </cell>
          <cell r="E2622" t="str">
            <v>DTMF식</v>
          </cell>
          <cell r="F2622" t="str">
            <v>대</v>
          </cell>
          <cell r="AM2622">
            <v>0</v>
          </cell>
          <cell r="AN2622">
            <v>0</v>
          </cell>
        </row>
        <row r="2623">
          <cell r="A2623" t="str">
            <v>93-1</v>
          </cell>
          <cell r="B2623">
            <v>541</v>
          </cell>
          <cell r="D2623" t="str">
            <v>가. 재료비</v>
          </cell>
          <cell r="E2623">
            <v>0</v>
          </cell>
          <cell r="F2623">
            <v>0</v>
          </cell>
          <cell r="AM2623">
            <v>0</v>
          </cell>
          <cell r="AN2623">
            <v>0</v>
          </cell>
        </row>
        <row r="2624">
          <cell r="A2624" t="str">
            <v>93-2</v>
          </cell>
          <cell r="B2624">
            <v>148</v>
          </cell>
          <cell r="D2624" t="str">
            <v>사령전화기</v>
          </cell>
          <cell r="E2624" t="str">
            <v>DTMF식</v>
          </cell>
          <cell r="F2624" t="str">
            <v>대</v>
          </cell>
          <cell r="V2624" t="str">
            <v>=</v>
          </cell>
          <cell r="W2624">
            <v>1</v>
          </cell>
          <cell r="AM2624">
            <v>1485000</v>
          </cell>
          <cell r="AN2624" t="str">
            <v>전체단가견적2낮음</v>
          </cell>
        </row>
        <row r="2625">
          <cell r="A2625" t="str">
            <v>93-3</v>
          </cell>
          <cell r="B2625">
            <v>542</v>
          </cell>
          <cell r="D2625" t="str">
            <v>나. 노무비</v>
          </cell>
          <cell r="E2625">
            <v>0</v>
          </cell>
          <cell r="F2625">
            <v>0</v>
          </cell>
          <cell r="AM2625">
            <v>0</v>
          </cell>
          <cell r="AN2625">
            <v>0</v>
          </cell>
        </row>
        <row r="2626">
          <cell r="B2626">
            <v>518</v>
          </cell>
          <cell r="D2626" t="str">
            <v>통신내선공</v>
          </cell>
          <cell r="E2626">
            <v>0</v>
          </cell>
          <cell r="F2626" t="str">
            <v>인</v>
          </cell>
          <cell r="H2626">
            <v>1.5</v>
          </cell>
          <cell r="I2626" t="str">
            <v>x</v>
          </cell>
          <cell r="J2626">
            <v>1</v>
          </cell>
          <cell r="V2626" t="str">
            <v>=</v>
          </cell>
          <cell r="W2626">
            <v>1.5</v>
          </cell>
          <cell r="Y2626" t="str">
            <v>기본</v>
          </cell>
          <cell r="Z2626" t="str">
            <v>x</v>
          </cell>
          <cell r="AA2626" t="str">
            <v>단위량</v>
          </cell>
          <cell r="AL2626" t="str">
            <v>통 3-29</v>
          </cell>
          <cell r="AM2626">
            <v>63806</v>
          </cell>
          <cell r="AN2626">
            <v>0</v>
          </cell>
        </row>
        <row r="2627">
          <cell r="B2627">
            <v>544</v>
          </cell>
          <cell r="D2627" t="str">
            <v>소    계</v>
          </cell>
          <cell r="E2627">
            <v>0</v>
          </cell>
          <cell r="F2627">
            <v>0</v>
          </cell>
          <cell r="AM2627">
            <v>0</v>
          </cell>
          <cell r="AN2627">
            <v>0</v>
          </cell>
        </row>
        <row r="2628">
          <cell r="A2628" t="str">
            <v>93-4</v>
          </cell>
          <cell r="B2628">
            <v>518</v>
          </cell>
          <cell r="D2628" t="str">
            <v>통신내선공</v>
          </cell>
          <cell r="E2628">
            <v>0</v>
          </cell>
          <cell r="F2628" t="str">
            <v>인</v>
          </cell>
          <cell r="V2628" t="str">
            <v>=</v>
          </cell>
          <cell r="W2628">
            <v>1.5</v>
          </cell>
          <cell r="AM2628">
            <v>63806</v>
          </cell>
          <cell r="AN2628">
            <v>0</v>
          </cell>
        </row>
        <row r="2629">
          <cell r="A2629" t="str">
            <v>93-5</v>
          </cell>
          <cell r="B2629">
            <v>543</v>
          </cell>
          <cell r="D2629" t="str">
            <v>다. 공구손료</v>
          </cell>
          <cell r="E2629" t="str">
            <v>노무비x3%</v>
          </cell>
          <cell r="F2629">
            <v>0</v>
          </cell>
          <cell r="AM2629">
            <v>0</v>
          </cell>
          <cell r="AN2629">
            <v>0</v>
          </cell>
        </row>
        <row r="2630">
          <cell r="A2630" t="str">
            <v>93-6</v>
          </cell>
          <cell r="B2630">
            <v>518</v>
          </cell>
          <cell r="D2630" t="str">
            <v>통신내선공</v>
          </cell>
          <cell r="E2630">
            <v>0</v>
          </cell>
          <cell r="F2630" t="str">
            <v>인</v>
          </cell>
          <cell r="H2630">
            <v>1.5</v>
          </cell>
          <cell r="I2630" t="str">
            <v>x</v>
          </cell>
          <cell r="J2630">
            <v>0.03</v>
          </cell>
          <cell r="V2630" t="str">
            <v>=</v>
          </cell>
          <cell r="W2630">
            <v>0.05</v>
          </cell>
          <cell r="Y2630" t="str">
            <v>기본</v>
          </cell>
          <cell r="Z2630" t="str">
            <v>x</v>
          </cell>
          <cell r="AA2630" t="str">
            <v>공구손료</v>
          </cell>
          <cell r="AM2630">
            <v>63806</v>
          </cell>
          <cell r="AN2630">
            <v>0</v>
          </cell>
        </row>
        <row r="2631">
          <cell r="AM2631">
            <v>0</v>
          </cell>
          <cell r="AN2631">
            <v>0</v>
          </cell>
        </row>
        <row r="2632">
          <cell r="AM2632">
            <v>0</v>
          </cell>
          <cell r="AN2632">
            <v>0</v>
          </cell>
        </row>
        <row r="2633">
          <cell r="AM2633">
            <v>0</v>
          </cell>
          <cell r="AN2633">
            <v>0</v>
          </cell>
        </row>
        <row r="2634">
          <cell r="AM2634">
            <v>0</v>
          </cell>
        </row>
        <row r="2635">
          <cell r="AM2635">
            <v>0</v>
          </cell>
          <cell r="AN2635">
            <v>0</v>
          </cell>
        </row>
        <row r="2636">
          <cell r="AM2636">
            <v>0</v>
          </cell>
          <cell r="AN2636">
            <v>0</v>
          </cell>
        </row>
        <row r="2637">
          <cell r="AM2637">
            <v>0</v>
          </cell>
          <cell r="AN2637">
            <v>0</v>
          </cell>
        </row>
        <row r="2638">
          <cell r="AM2638">
            <v>0</v>
          </cell>
          <cell r="AN2638">
            <v>0</v>
          </cell>
        </row>
        <row r="2639">
          <cell r="AM2639">
            <v>0</v>
          </cell>
          <cell r="AN2639">
            <v>0</v>
          </cell>
        </row>
        <row r="2640">
          <cell r="AM2640">
            <v>0</v>
          </cell>
          <cell r="AN2640">
            <v>0</v>
          </cell>
        </row>
        <row r="2641">
          <cell r="AM2641">
            <v>0</v>
          </cell>
          <cell r="AN2641">
            <v>0</v>
          </cell>
        </row>
        <row r="2642">
          <cell r="AM2642">
            <v>0</v>
          </cell>
          <cell r="AN2642">
            <v>0</v>
          </cell>
        </row>
        <row r="2643">
          <cell r="AM2643">
            <v>0</v>
          </cell>
        </row>
        <row r="2644">
          <cell r="AM2644">
            <v>0</v>
          </cell>
        </row>
        <row r="2645">
          <cell r="AM2645">
            <v>0</v>
          </cell>
        </row>
        <row r="2646">
          <cell r="AM2646">
            <v>0</v>
          </cell>
        </row>
        <row r="2647">
          <cell r="AM2647">
            <v>0</v>
          </cell>
          <cell r="AN2647">
            <v>0</v>
          </cell>
        </row>
        <row r="2648">
          <cell r="AM2648">
            <v>0</v>
          </cell>
          <cell r="AN2648">
            <v>0</v>
          </cell>
        </row>
        <row r="2649">
          <cell r="A2649">
            <v>94</v>
          </cell>
          <cell r="C2649">
            <v>94</v>
          </cell>
          <cell r="D2649" t="str">
            <v>직통전화기신설</v>
          </cell>
          <cell r="E2649" t="str">
            <v>자석식</v>
          </cell>
          <cell r="F2649" t="str">
            <v>대</v>
          </cell>
          <cell r="AM2649">
            <v>0</v>
          </cell>
          <cell r="AN2649">
            <v>0</v>
          </cell>
        </row>
        <row r="2650">
          <cell r="A2650" t="str">
            <v>94-1</v>
          </cell>
          <cell r="B2650">
            <v>541</v>
          </cell>
          <cell r="D2650" t="str">
            <v>가. 재료비</v>
          </cell>
          <cell r="E2650">
            <v>0</v>
          </cell>
          <cell r="F2650">
            <v>0</v>
          </cell>
          <cell r="AM2650">
            <v>0</v>
          </cell>
          <cell r="AN2650">
            <v>0</v>
          </cell>
        </row>
        <row r="2651">
          <cell r="A2651" t="str">
            <v>94-2</v>
          </cell>
          <cell r="B2651">
            <v>154</v>
          </cell>
          <cell r="D2651" t="str">
            <v>직통전화기</v>
          </cell>
          <cell r="E2651" t="str">
            <v>자석식</v>
          </cell>
          <cell r="F2651" t="str">
            <v>대</v>
          </cell>
          <cell r="V2651" t="str">
            <v>=</v>
          </cell>
          <cell r="W2651">
            <v>1</v>
          </cell>
          <cell r="AM2651">
            <v>297000</v>
          </cell>
          <cell r="AN2651">
            <v>0</v>
          </cell>
        </row>
        <row r="2652">
          <cell r="A2652" t="str">
            <v>94-3</v>
          </cell>
          <cell r="B2652">
            <v>542</v>
          </cell>
          <cell r="D2652" t="str">
            <v>나. 노무비</v>
          </cell>
          <cell r="E2652">
            <v>0</v>
          </cell>
          <cell r="F2652">
            <v>0</v>
          </cell>
          <cell r="AM2652">
            <v>0</v>
          </cell>
          <cell r="AN2652">
            <v>0</v>
          </cell>
        </row>
        <row r="2653">
          <cell r="D2653" t="str">
            <v>1) 전화기신설</v>
          </cell>
          <cell r="AM2653">
            <v>0</v>
          </cell>
          <cell r="AN2653">
            <v>0</v>
          </cell>
        </row>
        <row r="2654">
          <cell r="B2654">
            <v>518</v>
          </cell>
          <cell r="D2654" t="str">
            <v>통신내선공</v>
          </cell>
          <cell r="E2654">
            <v>0</v>
          </cell>
          <cell r="F2654" t="str">
            <v>인</v>
          </cell>
          <cell r="H2654">
            <v>0.04</v>
          </cell>
          <cell r="I2654" t="str">
            <v>x</v>
          </cell>
          <cell r="J2654">
            <v>1</v>
          </cell>
          <cell r="V2654" t="str">
            <v>=</v>
          </cell>
          <cell r="W2654">
            <v>0.04</v>
          </cell>
          <cell r="Y2654" t="str">
            <v>기본</v>
          </cell>
          <cell r="Z2654" t="str">
            <v>x</v>
          </cell>
          <cell r="AA2654" t="str">
            <v>단위량</v>
          </cell>
          <cell r="AL2654" t="str">
            <v>통 3-29</v>
          </cell>
          <cell r="AM2654">
            <v>63806</v>
          </cell>
          <cell r="AN2654">
            <v>0</v>
          </cell>
        </row>
        <row r="2655">
          <cell r="D2655" t="str">
            <v>2) 몰딩신설</v>
          </cell>
          <cell r="AM2655">
            <v>0</v>
          </cell>
          <cell r="AN2655">
            <v>0</v>
          </cell>
        </row>
        <row r="2656">
          <cell r="B2656">
            <v>518</v>
          </cell>
          <cell r="D2656" t="str">
            <v>통신내선공</v>
          </cell>
          <cell r="E2656">
            <v>0</v>
          </cell>
          <cell r="F2656" t="str">
            <v>인</v>
          </cell>
          <cell r="H2656">
            <v>2.5000000000000001E-2</v>
          </cell>
          <cell r="I2656" t="str">
            <v>x</v>
          </cell>
          <cell r="J2656">
            <v>1</v>
          </cell>
          <cell r="V2656" t="str">
            <v>=</v>
          </cell>
          <cell r="W2656">
            <v>0.03</v>
          </cell>
          <cell r="Y2656" t="str">
            <v>기본</v>
          </cell>
          <cell r="Z2656" t="str">
            <v>x</v>
          </cell>
          <cell r="AA2656" t="str">
            <v>단위량</v>
          </cell>
          <cell r="AL2656" t="str">
            <v>통 3-61-바</v>
          </cell>
          <cell r="AM2656">
            <v>63806</v>
          </cell>
          <cell r="AN2656">
            <v>0</v>
          </cell>
        </row>
        <row r="2657">
          <cell r="B2657">
            <v>544</v>
          </cell>
          <cell r="D2657" t="str">
            <v>소    계</v>
          </cell>
          <cell r="E2657">
            <v>0</v>
          </cell>
          <cell r="F2657">
            <v>0</v>
          </cell>
          <cell r="AM2657">
            <v>0</v>
          </cell>
          <cell r="AN2657">
            <v>0</v>
          </cell>
        </row>
        <row r="2658">
          <cell r="A2658" t="str">
            <v>94-4</v>
          </cell>
          <cell r="B2658">
            <v>518</v>
          </cell>
          <cell r="D2658" t="str">
            <v>통신내선공</v>
          </cell>
          <cell r="E2658">
            <v>0</v>
          </cell>
          <cell r="F2658" t="str">
            <v>인</v>
          </cell>
          <cell r="V2658" t="str">
            <v>=</v>
          </cell>
          <cell r="W2658">
            <v>7.0000000000000007E-2</v>
          </cell>
          <cell r="AM2658">
            <v>63806</v>
          </cell>
          <cell r="AN2658">
            <v>0</v>
          </cell>
        </row>
        <row r="2659">
          <cell r="A2659" t="str">
            <v>94-5</v>
          </cell>
          <cell r="B2659">
            <v>543</v>
          </cell>
          <cell r="D2659" t="str">
            <v>다. 공구손료</v>
          </cell>
          <cell r="E2659" t="str">
            <v>노무비x3%</v>
          </cell>
          <cell r="F2659">
            <v>0</v>
          </cell>
          <cell r="AM2659">
            <v>0</v>
          </cell>
          <cell r="AN2659">
            <v>0</v>
          </cell>
        </row>
        <row r="2660">
          <cell r="A2660" t="str">
            <v>94-6</v>
          </cell>
          <cell r="B2660">
            <v>518</v>
          </cell>
          <cell r="D2660" t="str">
            <v>통신내선공</v>
          </cell>
          <cell r="E2660">
            <v>0</v>
          </cell>
          <cell r="F2660" t="str">
            <v>인</v>
          </cell>
          <cell r="H2660">
            <v>7.0000000000000007E-2</v>
          </cell>
          <cell r="I2660" t="str">
            <v>x</v>
          </cell>
          <cell r="J2660">
            <v>0.03</v>
          </cell>
          <cell r="V2660" t="str">
            <v>=</v>
          </cell>
          <cell r="W2660" t="str">
            <v>0</v>
          </cell>
          <cell r="Y2660" t="str">
            <v>기본</v>
          </cell>
          <cell r="Z2660" t="str">
            <v>x</v>
          </cell>
          <cell r="AA2660" t="str">
            <v>공구손료</v>
          </cell>
          <cell r="AM2660">
            <v>63806</v>
          </cell>
          <cell r="AN2660">
            <v>0</v>
          </cell>
        </row>
        <row r="2661">
          <cell r="AM2661">
            <v>0</v>
          </cell>
        </row>
        <row r="2662">
          <cell r="AM2662">
            <v>0</v>
          </cell>
        </row>
        <row r="2663">
          <cell r="AM2663">
            <v>0</v>
          </cell>
          <cell r="AN2663">
            <v>0</v>
          </cell>
        </row>
        <row r="2664">
          <cell r="AM2664">
            <v>0</v>
          </cell>
          <cell r="AN2664">
            <v>0</v>
          </cell>
        </row>
        <row r="2665">
          <cell r="AM2665">
            <v>0</v>
          </cell>
          <cell r="AN2665">
            <v>0</v>
          </cell>
        </row>
        <row r="2666">
          <cell r="AM2666">
            <v>0</v>
          </cell>
          <cell r="AN2666">
            <v>0</v>
          </cell>
        </row>
        <row r="2667">
          <cell r="AM2667">
            <v>0</v>
          </cell>
          <cell r="AN2667">
            <v>0</v>
          </cell>
        </row>
        <row r="2668">
          <cell r="AM2668">
            <v>0</v>
          </cell>
          <cell r="AN2668">
            <v>0</v>
          </cell>
        </row>
        <row r="2669">
          <cell r="AM2669">
            <v>0</v>
          </cell>
        </row>
        <row r="2670">
          <cell r="AM2670">
            <v>0</v>
          </cell>
        </row>
        <row r="2671">
          <cell r="AM2671">
            <v>0</v>
          </cell>
          <cell r="AN2671">
            <v>0</v>
          </cell>
        </row>
        <row r="2672">
          <cell r="AM2672">
            <v>0</v>
          </cell>
          <cell r="AN2672">
            <v>0</v>
          </cell>
        </row>
        <row r="2673">
          <cell r="AM2673">
            <v>0</v>
          </cell>
        </row>
        <row r="2674">
          <cell r="AM2674">
            <v>0</v>
          </cell>
        </row>
        <row r="2675">
          <cell r="AM2675">
            <v>0</v>
          </cell>
          <cell r="AN2675">
            <v>0</v>
          </cell>
        </row>
        <row r="2676">
          <cell r="A2676">
            <v>95</v>
          </cell>
          <cell r="C2676">
            <v>95</v>
          </cell>
          <cell r="D2676" t="str">
            <v>모사전송장치신설</v>
          </cell>
          <cell r="E2676" t="str">
            <v>동보장치</v>
          </cell>
          <cell r="F2676" t="str">
            <v>식</v>
          </cell>
          <cell r="AM2676">
            <v>0</v>
          </cell>
          <cell r="AN2676">
            <v>0</v>
          </cell>
        </row>
        <row r="2677">
          <cell r="A2677" t="str">
            <v>95-1</v>
          </cell>
          <cell r="B2677">
            <v>541</v>
          </cell>
          <cell r="D2677" t="str">
            <v>가. 재료비</v>
          </cell>
          <cell r="E2677">
            <v>0</v>
          </cell>
          <cell r="F2677">
            <v>0</v>
          </cell>
          <cell r="AM2677">
            <v>0</v>
          </cell>
          <cell r="AN2677">
            <v>0</v>
          </cell>
        </row>
        <row r="2678">
          <cell r="A2678" t="str">
            <v>95-2</v>
          </cell>
          <cell r="B2678">
            <v>153</v>
          </cell>
          <cell r="D2678" t="str">
            <v xml:space="preserve">모사전송동보장치 </v>
          </cell>
          <cell r="E2678" t="str">
            <v>64회선용</v>
          </cell>
          <cell r="F2678" t="str">
            <v>식</v>
          </cell>
          <cell r="V2678" t="str">
            <v>=</v>
          </cell>
          <cell r="W2678">
            <v>1</v>
          </cell>
          <cell r="AM2678">
            <v>55350000</v>
          </cell>
          <cell r="AN2678">
            <v>0</v>
          </cell>
        </row>
        <row r="2679">
          <cell r="A2679" t="str">
            <v>95-3</v>
          </cell>
          <cell r="B2679">
            <v>542</v>
          </cell>
          <cell r="D2679" t="str">
            <v>나. 노무비</v>
          </cell>
          <cell r="E2679">
            <v>0</v>
          </cell>
          <cell r="F2679">
            <v>0</v>
          </cell>
          <cell r="AM2679">
            <v>0</v>
          </cell>
          <cell r="AN2679">
            <v>0</v>
          </cell>
        </row>
        <row r="2680">
          <cell r="B2680">
            <v>517</v>
          </cell>
          <cell r="D2680" t="str">
            <v>통신설비공</v>
          </cell>
          <cell r="E2680">
            <v>0</v>
          </cell>
          <cell r="F2680" t="str">
            <v>인</v>
          </cell>
          <cell r="V2680" t="str">
            <v>=</v>
          </cell>
          <cell r="W2680">
            <v>2</v>
          </cell>
          <cell r="AL2680" t="str">
            <v>통 3-29</v>
          </cell>
          <cell r="AM2680">
            <v>77401</v>
          </cell>
          <cell r="AN2680">
            <v>0</v>
          </cell>
        </row>
        <row r="2681">
          <cell r="B2681">
            <v>518</v>
          </cell>
          <cell r="D2681" t="str">
            <v>통신내선공</v>
          </cell>
          <cell r="E2681">
            <v>0</v>
          </cell>
          <cell r="F2681" t="str">
            <v>인</v>
          </cell>
          <cell r="V2681" t="str">
            <v>=</v>
          </cell>
          <cell r="W2681">
            <v>2</v>
          </cell>
          <cell r="AM2681">
            <v>63806</v>
          </cell>
          <cell r="AN2681">
            <v>0</v>
          </cell>
        </row>
        <row r="2682">
          <cell r="B2682">
            <v>544</v>
          </cell>
          <cell r="D2682" t="str">
            <v>소    계</v>
          </cell>
          <cell r="E2682">
            <v>0</v>
          </cell>
          <cell r="F2682">
            <v>0</v>
          </cell>
          <cell r="AM2682">
            <v>0</v>
          </cell>
          <cell r="AN2682">
            <v>0</v>
          </cell>
        </row>
        <row r="2683">
          <cell r="A2683" t="str">
            <v>95-4</v>
          </cell>
          <cell r="B2683">
            <v>517</v>
          </cell>
          <cell r="D2683" t="str">
            <v>통신설비공</v>
          </cell>
          <cell r="E2683">
            <v>0</v>
          </cell>
          <cell r="F2683" t="str">
            <v>인</v>
          </cell>
          <cell r="V2683" t="str">
            <v>=</v>
          </cell>
          <cell r="W2683">
            <v>2</v>
          </cell>
          <cell r="AM2683">
            <v>77401</v>
          </cell>
          <cell r="AN2683">
            <v>0</v>
          </cell>
        </row>
        <row r="2684">
          <cell r="A2684" t="str">
            <v>95-5</v>
          </cell>
          <cell r="B2684">
            <v>518</v>
          </cell>
          <cell r="D2684" t="str">
            <v>통신내선공</v>
          </cell>
          <cell r="E2684">
            <v>0</v>
          </cell>
          <cell r="F2684" t="str">
            <v>인</v>
          </cell>
          <cell r="V2684" t="str">
            <v>=</v>
          </cell>
          <cell r="W2684">
            <v>2</v>
          </cell>
          <cell r="AM2684">
            <v>63806</v>
          </cell>
          <cell r="AN2684">
            <v>0</v>
          </cell>
        </row>
        <row r="2685">
          <cell r="A2685" t="str">
            <v>95-6</v>
          </cell>
          <cell r="B2685">
            <v>543</v>
          </cell>
          <cell r="D2685" t="str">
            <v>다. 공구손료</v>
          </cell>
          <cell r="E2685" t="str">
            <v>노무비x3%</v>
          </cell>
          <cell r="F2685">
            <v>0</v>
          </cell>
          <cell r="AM2685">
            <v>0</v>
          </cell>
          <cell r="AN2685">
            <v>0</v>
          </cell>
        </row>
        <row r="2686">
          <cell r="A2686" t="str">
            <v>95-7</v>
          </cell>
          <cell r="B2686">
            <v>517</v>
          </cell>
          <cell r="D2686" t="str">
            <v>통신설비공</v>
          </cell>
          <cell r="E2686">
            <v>0</v>
          </cell>
          <cell r="F2686" t="str">
            <v>인</v>
          </cell>
          <cell r="H2686">
            <v>2</v>
          </cell>
          <cell r="I2686" t="str">
            <v>x</v>
          </cell>
          <cell r="J2686">
            <v>0.03</v>
          </cell>
          <cell r="V2686" t="str">
            <v>=</v>
          </cell>
          <cell r="W2686">
            <v>0.06</v>
          </cell>
          <cell r="Y2686" t="str">
            <v>기본</v>
          </cell>
          <cell r="Z2686" t="str">
            <v>x</v>
          </cell>
          <cell r="AA2686" t="str">
            <v>공구손료</v>
          </cell>
          <cell r="AM2686">
            <v>77401</v>
          </cell>
          <cell r="AN2686">
            <v>0</v>
          </cell>
        </row>
        <row r="2687">
          <cell r="A2687" t="str">
            <v>95-8</v>
          </cell>
          <cell r="B2687">
            <v>518</v>
          </cell>
          <cell r="D2687" t="str">
            <v>통신내선공</v>
          </cell>
          <cell r="E2687">
            <v>0</v>
          </cell>
          <cell r="F2687" t="str">
            <v>인</v>
          </cell>
          <cell r="H2687">
            <v>2</v>
          </cell>
          <cell r="I2687" t="str">
            <v>x</v>
          </cell>
          <cell r="J2687">
            <v>0.03</v>
          </cell>
          <cell r="V2687" t="str">
            <v>=</v>
          </cell>
          <cell r="W2687">
            <v>0.06</v>
          </cell>
          <cell r="Y2687" t="str">
            <v>기본</v>
          </cell>
          <cell r="Z2687" t="str">
            <v>x</v>
          </cell>
          <cell r="AA2687" t="str">
            <v>공구손료</v>
          </cell>
          <cell r="AM2687">
            <v>63806</v>
          </cell>
          <cell r="AN2687">
            <v>0</v>
          </cell>
        </row>
        <row r="2688">
          <cell r="AM2688">
            <v>0</v>
          </cell>
          <cell r="AN2688">
            <v>0</v>
          </cell>
        </row>
        <row r="2689">
          <cell r="AM2689">
            <v>0</v>
          </cell>
          <cell r="AN2689">
            <v>0</v>
          </cell>
        </row>
        <row r="2690">
          <cell r="AM2690">
            <v>0</v>
          </cell>
          <cell r="AN2690">
            <v>0</v>
          </cell>
        </row>
        <row r="2691">
          <cell r="AM2691">
            <v>0</v>
          </cell>
          <cell r="AN2691">
            <v>0</v>
          </cell>
        </row>
        <row r="2692">
          <cell r="AM2692">
            <v>0</v>
          </cell>
          <cell r="AN2692">
            <v>0</v>
          </cell>
        </row>
        <row r="2693">
          <cell r="AM2693">
            <v>0</v>
          </cell>
          <cell r="AN2693">
            <v>0</v>
          </cell>
        </row>
        <row r="2694">
          <cell r="AM2694">
            <v>0</v>
          </cell>
          <cell r="AN2694">
            <v>0</v>
          </cell>
        </row>
        <row r="2695">
          <cell r="AM2695">
            <v>0</v>
          </cell>
        </row>
        <row r="2696">
          <cell r="AM2696">
            <v>0</v>
          </cell>
          <cell r="AN2696">
            <v>0</v>
          </cell>
        </row>
        <row r="2697">
          <cell r="AM2697">
            <v>0</v>
          </cell>
        </row>
        <row r="2698">
          <cell r="AM2698">
            <v>0</v>
          </cell>
        </row>
        <row r="2699">
          <cell r="AM2699">
            <v>0</v>
          </cell>
          <cell r="AN2699">
            <v>0</v>
          </cell>
        </row>
        <row r="2700">
          <cell r="AM2700">
            <v>0</v>
          </cell>
          <cell r="AN2700">
            <v>0</v>
          </cell>
        </row>
        <row r="2701">
          <cell r="AM2701">
            <v>0</v>
          </cell>
          <cell r="AN2701">
            <v>0</v>
          </cell>
        </row>
        <row r="2702">
          <cell r="AM2702">
            <v>0</v>
          </cell>
          <cell r="AN2702">
            <v>0</v>
          </cell>
        </row>
        <row r="2703">
          <cell r="A2703">
            <v>96</v>
          </cell>
          <cell r="C2703">
            <v>96</v>
          </cell>
          <cell r="D2703" t="str">
            <v>모사전송장치신설</v>
          </cell>
          <cell r="E2703" t="str">
            <v>GⅢ 급</v>
          </cell>
          <cell r="F2703" t="str">
            <v>대</v>
          </cell>
          <cell r="AM2703">
            <v>0</v>
          </cell>
          <cell r="AN2703">
            <v>0</v>
          </cell>
        </row>
        <row r="2704">
          <cell r="A2704" t="str">
            <v>96-1</v>
          </cell>
          <cell r="B2704">
            <v>541</v>
          </cell>
          <cell r="D2704" t="str">
            <v>가. 재료비</v>
          </cell>
          <cell r="E2704">
            <v>0</v>
          </cell>
          <cell r="F2704">
            <v>0</v>
          </cell>
          <cell r="AM2704">
            <v>0</v>
          </cell>
          <cell r="AN2704">
            <v>0</v>
          </cell>
        </row>
        <row r="2705">
          <cell r="A2705" t="str">
            <v>96-2</v>
          </cell>
          <cell r="B2705">
            <v>152</v>
          </cell>
          <cell r="D2705" t="str">
            <v>팩시밀리</v>
          </cell>
          <cell r="E2705" t="str">
            <v xml:space="preserve"> GⅢ</v>
          </cell>
          <cell r="F2705" t="str">
            <v>대</v>
          </cell>
          <cell r="V2705" t="str">
            <v>=</v>
          </cell>
          <cell r="W2705">
            <v>1</v>
          </cell>
          <cell r="AM2705">
            <v>867000</v>
          </cell>
          <cell r="AN2705">
            <v>0</v>
          </cell>
        </row>
        <row r="2706">
          <cell r="A2706" t="str">
            <v>96-3</v>
          </cell>
          <cell r="B2706">
            <v>542</v>
          </cell>
          <cell r="D2706" t="str">
            <v>나. 노무비</v>
          </cell>
          <cell r="E2706">
            <v>0</v>
          </cell>
          <cell r="F2706">
            <v>0</v>
          </cell>
          <cell r="AM2706">
            <v>0</v>
          </cell>
          <cell r="AN2706">
            <v>0</v>
          </cell>
        </row>
        <row r="2707">
          <cell r="B2707">
            <v>517</v>
          </cell>
          <cell r="D2707" t="str">
            <v>통신설비공</v>
          </cell>
          <cell r="E2707">
            <v>0</v>
          </cell>
          <cell r="F2707" t="str">
            <v>인</v>
          </cell>
          <cell r="V2707" t="str">
            <v>=</v>
          </cell>
          <cell r="W2707">
            <v>2</v>
          </cell>
          <cell r="AL2707" t="str">
            <v>통 3-29</v>
          </cell>
          <cell r="AM2707">
            <v>77401</v>
          </cell>
          <cell r="AN2707">
            <v>0</v>
          </cell>
        </row>
        <row r="2708">
          <cell r="B2708">
            <v>518</v>
          </cell>
          <cell r="D2708" t="str">
            <v>통신내선공</v>
          </cell>
          <cell r="E2708">
            <v>0</v>
          </cell>
          <cell r="F2708" t="str">
            <v>인</v>
          </cell>
          <cell r="V2708" t="str">
            <v>=</v>
          </cell>
          <cell r="W2708">
            <v>1</v>
          </cell>
          <cell r="AM2708">
            <v>63806</v>
          </cell>
          <cell r="AN2708">
            <v>0</v>
          </cell>
        </row>
        <row r="2709">
          <cell r="B2709">
            <v>544</v>
          </cell>
          <cell r="D2709" t="str">
            <v>소    계</v>
          </cell>
          <cell r="E2709">
            <v>0</v>
          </cell>
          <cell r="F2709">
            <v>0</v>
          </cell>
          <cell r="AM2709">
            <v>0</v>
          </cell>
          <cell r="AN2709">
            <v>0</v>
          </cell>
        </row>
        <row r="2710">
          <cell r="A2710" t="str">
            <v>96-4</v>
          </cell>
          <cell r="B2710">
            <v>517</v>
          </cell>
          <cell r="D2710" t="str">
            <v>통신설비공</v>
          </cell>
          <cell r="E2710">
            <v>0</v>
          </cell>
          <cell r="F2710" t="str">
            <v>인</v>
          </cell>
          <cell r="V2710" t="str">
            <v>=</v>
          </cell>
          <cell r="W2710">
            <v>2</v>
          </cell>
          <cell r="AM2710">
            <v>77401</v>
          </cell>
          <cell r="AN2710">
            <v>0</v>
          </cell>
        </row>
        <row r="2711">
          <cell r="A2711" t="str">
            <v>96-5</v>
          </cell>
          <cell r="B2711">
            <v>518</v>
          </cell>
          <cell r="D2711" t="str">
            <v>통신내선공</v>
          </cell>
          <cell r="E2711">
            <v>0</v>
          </cell>
          <cell r="F2711" t="str">
            <v>인</v>
          </cell>
          <cell r="V2711" t="str">
            <v>=</v>
          </cell>
          <cell r="W2711">
            <v>1</v>
          </cell>
          <cell r="AM2711">
            <v>63806</v>
          </cell>
          <cell r="AN2711">
            <v>0</v>
          </cell>
        </row>
        <row r="2712">
          <cell r="A2712" t="str">
            <v>96-6</v>
          </cell>
          <cell r="B2712">
            <v>543</v>
          </cell>
          <cell r="D2712" t="str">
            <v>다. 공구손료</v>
          </cell>
          <cell r="E2712" t="str">
            <v>노무비x3%</v>
          </cell>
          <cell r="F2712">
            <v>0</v>
          </cell>
          <cell r="AM2712">
            <v>0</v>
          </cell>
          <cell r="AN2712">
            <v>0</v>
          </cell>
        </row>
        <row r="2713">
          <cell r="A2713" t="str">
            <v>96-7</v>
          </cell>
          <cell r="B2713">
            <v>517</v>
          </cell>
          <cell r="D2713" t="str">
            <v>통신설비공</v>
          </cell>
          <cell r="E2713">
            <v>0</v>
          </cell>
          <cell r="F2713" t="str">
            <v>인</v>
          </cell>
          <cell r="H2713">
            <v>2</v>
          </cell>
          <cell r="I2713" t="str">
            <v>x</v>
          </cell>
          <cell r="J2713">
            <v>0.03</v>
          </cell>
          <cell r="V2713" t="str">
            <v>=</v>
          </cell>
          <cell r="W2713">
            <v>0.06</v>
          </cell>
          <cell r="Y2713" t="str">
            <v>기본</v>
          </cell>
          <cell r="Z2713" t="str">
            <v>x</v>
          </cell>
          <cell r="AA2713" t="str">
            <v>공구손료</v>
          </cell>
          <cell r="AM2713">
            <v>77401</v>
          </cell>
          <cell r="AN2713">
            <v>0</v>
          </cell>
        </row>
        <row r="2714">
          <cell r="A2714" t="str">
            <v>96-8</v>
          </cell>
          <cell r="B2714">
            <v>518</v>
          </cell>
          <cell r="D2714" t="str">
            <v>통신내선공</v>
          </cell>
          <cell r="E2714">
            <v>0</v>
          </cell>
          <cell r="F2714" t="str">
            <v>인</v>
          </cell>
          <cell r="H2714">
            <v>1</v>
          </cell>
          <cell r="I2714" t="str">
            <v>x</v>
          </cell>
          <cell r="J2714">
            <v>0.03</v>
          </cell>
          <cell r="V2714" t="str">
            <v>=</v>
          </cell>
          <cell r="W2714">
            <v>0.03</v>
          </cell>
          <cell r="Y2714" t="str">
            <v>기본</v>
          </cell>
          <cell r="Z2714" t="str">
            <v>x</v>
          </cell>
          <cell r="AA2714" t="str">
            <v>공구손료</v>
          </cell>
          <cell r="AM2714">
            <v>63806</v>
          </cell>
          <cell r="AN2714">
            <v>0</v>
          </cell>
        </row>
        <row r="2715">
          <cell r="AM2715">
            <v>0</v>
          </cell>
          <cell r="AN2715">
            <v>0</v>
          </cell>
        </row>
        <row r="2716">
          <cell r="AM2716">
            <v>0</v>
          </cell>
          <cell r="AN2716">
            <v>0</v>
          </cell>
        </row>
        <row r="2717">
          <cell r="AM2717">
            <v>0</v>
          </cell>
          <cell r="AN2717">
            <v>0</v>
          </cell>
        </row>
        <row r="2718">
          <cell r="AM2718">
            <v>0</v>
          </cell>
          <cell r="AN2718">
            <v>0</v>
          </cell>
        </row>
        <row r="2719">
          <cell r="AM2719">
            <v>0</v>
          </cell>
          <cell r="AN2719">
            <v>0</v>
          </cell>
        </row>
        <row r="2720">
          <cell r="AM2720">
            <v>0</v>
          </cell>
          <cell r="AN2720">
            <v>0</v>
          </cell>
        </row>
        <row r="2721">
          <cell r="AM2721">
            <v>0</v>
          </cell>
          <cell r="AN2721">
            <v>0</v>
          </cell>
        </row>
        <row r="2722">
          <cell r="AM2722">
            <v>0</v>
          </cell>
          <cell r="AN2722">
            <v>0</v>
          </cell>
        </row>
        <row r="2723">
          <cell r="AM2723">
            <v>0</v>
          </cell>
          <cell r="AN2723">
            <v>0</v>
          </cell>
        </row>
        <row r="2724">
          <cell r="AM2724">
            <v>0</v>
          </cell>
        </row>
        <row r="2725">
          <cell r="AM2725">
            <v>0</v>
          </cell>
        </row>
        <row r="2726">
          <cell r="AM2726">
            <v>0</v>
          </cell>
          <cell r="AN2726">
            <v>0</v>
          </cell>
        </row>
        <row r="2727">
          <cell r="AM2727">
            <v>0</v>
          </cell>
          <cell r="AN2727">
            <v>0</v>
          </cell>
        </row>
        <row r="2728">
          <cell r="AM2728">
            <v>0</v>
          </cell>
          <cell r="AN2728">
            <v>0</v>
          </cell>
        </row>
        <row r="2729">
          <cell r="AM2729">
            <v>0</v>
          </cell>
          <cell r="AN2729">
            <v>0</v>
          </cell>
        </row>
        <row r="2730">
          <cell r="A2730">
            <v>97</v>
          </cell>
          <cell r="C2730">
            <v>97</v>
          </cell>
          <cell r="D2730" t="str">
            <v>모시계 신설</v>
          </cell>
          <cell r="F2730" t="str">
            <v>식</v>
          </cell>
          <cell r="AM2730">
            <v>0</v>
          </cell>
          <cell r="AN2730">
            <v>0</v>
          </cell>
        </row>
        <row r="2731">
          <cell r="A2731" t="str">
            <v>97-1</v>
          </cell>
          <cell r="B2731">
            <v>541</v>
          </cell>
          <cell r="D2731" t="str">
            <v>가. 재료비</v>
          </cell>
          <cell r="E2731">
            <v>0</v>
          </cell>
          <cell r="F2731">
            <v>0</v>
          </cell>
          <cell r="AM2731">
            <v>0</v>
          </cell>
          <cell r="AN2731">
            <v>0</v>
          </cell>
        </row>
        <row r="2732">
          <cell r="A2732" t="str">
            <v>97-2</v>
          </cell>
          <cell r="B2732">
            <v>260</v>
          </cell>
          <cell r="D2732" t="str">
            <v>모시계</v>
          </cell>
          <cell r="E2732">
            <v>0</v>
          </cell>
          <cell r="F2732" t="str">
            <v>식</v>
          </cell>
          <cell r="V2732" t="str">
            <v>=</v>
          </cell>
          <cell r="W2732">
            <v>1</v>
          </cell>
          <cell r="AM2732">
            <v>26000000</v>
          </cell>
          <cell r="AN2732">
            <v>0</v>
          </cell>
        </row>
        <row r="2733">
          <cell r="A2733" t="str">
            <v>97-3</v>
          </cell>
          <cell r="B2733">
            <v>542</v>
          </cell>
          <cell r="D2733" t="str">
            <v>나. 노무비</v>
          </cell>
          <cell r="E2733">
            <v>0</v>
          </cell>
          <cell r="F2733">
            <v>0</v>
          </cell>
          <cell r="AL2733" t="str">
            <v>통3-29</v>
          </cell>
          <cell r="AM2733">
            <v>0</v>
          </cell>
          <cell r="AN2733">
            <v>0</v>
          </cell>
        </row>
        <row r="2734">
          <cell r="B2734">
            <v>518</v>
          </cell>
          <cell r="D2734" t="str">
            <v>통신내선공</v>
          </cell>
          <cell r="E2734">
            <v>0</v>
          </cell>
          <cell r="F2734" t="str">
            <v>인</v>
          </cell>
          <cell r="V2734" t="str">
            <v>=</v>
          </cell>
          <cell r="W2734">
            <v>4.0999999999999996</v>
          </cell>
          <cell r="Y2734" t="str">
            <v>기본</v>
          </cell>
          <cell r="AM2734">
            <v>63806</v>
          </cell>
          <cell r="AN2734">
            <v>0</v>
          </cell>
        </row>
        <row r="2735">
          <cell r="B2735">
            <v>544</v>
          </cell>
          <cell r="D2735" t="str">
            <v>소    계</v>
          </cell>
          <cell r="E2735">
            <v>0</v>
          </cell>
          <cell r="F2735">
            <v>0</v>
          </cell>
          <cell r="AM2735">
            <v>0</v>
          </cell>
          <cell r="AN2735">
            <v>0</v>
          </cell>
        </row>
        <row r="2736">
          <cell r="A2736" t="str">
            <v>97-4</v>
          </cell>
          <cell r="B2736">
            <v>518</v>
          </cell>
          <cell r="D2736" t="str">
            <v>통신내선공</v>
          </cell>
          <cell r="E2736">
            <v>0</v>
          </cell>
          <cell r="F2736" t="str">
            <v>인</v>
          </cell>
          <cell r="V2736" t="str">
            <v>=</v>
          </cell>
          <cell r="W2736">
            <v>4.0999999999999996</v>
          </cell>
          <cell r="AM2736">
            <v>63806</v>
          </cell>
          <cell r="AN2736">
            <v>0</v>
          </cell>
        </row>
        <row r="2737">
          <cell r="A2737" t="str">
            <v>97-5</v>
          </cell>
          <cell r="B2737">
            <v>543</v>
          </cell>
          <cell r="D2737" t="str">
            <v>다. 공구손료</v>
          </cell>
          <cell r="E2737" t="str">
            <v>노무비x3%</v>
          </cell>
          <cell r="F2737">
            <v>0</v>
          </cell>
          <cell r="AM2737">
            <v>0</v>
          </cell>
          <cell r="AN2737">
            <v>0</v>
          </cell>
        </row>
        <row r="2738">
          <cell r="A2738" t="str">
            <v>97-6</v>
          </cell>
          <cell r="B2738">
            <v>518</v>
          </cell>
          <cell r="D2738" t="str">
            <v>통신내선공</v>
          </cell>
          <cell r="E2738">
            <v>0</v>
          </cell>
          <cell r="F2738" t="str">
            <v>인</v>
          </cell>
          <cell r="H2738">
            <v>4.0999999999999996</v>
          </cell>
          <cell r="I2738" t="str">
            <v>x</v>
          </cell>
          <cell r="J2738">
            <v>0.03</v>
          </cell>
          <cell r="V2738" t="str">
            <v>=</v>
          </cell>
          <cell r="W2738">
            <v>0.12</v>
          </cell>
          <cell r="Y2738" t="str">
            <v>기본</v>
          </cell>
          <cell r="Z2738" t="str">
            <v>x</v>
          </cell>
          <cell r="AA2738" t="str">
            <v>공구손료</v>
          </cell>
          <cell r="AM2738">
            <v>63806</v>
          </cell>
          <cell r="AN2738">
            <v>0</v>
          </cell>
        </row>
        <row r="2739">
          <cell r="AM2739">
            <v>0</v>
          </cell>
          <cell r="AN2739">
            <v>0</v>
          </cell>
        </row>
        <row r="2740">
          <cell r="AM2740">
            <v>0</v>
          </cell>
          <cell r="AN2740">
            <v>0</v>
          </cell>
        </row>
        <row r="2741">
          <cell r="AM2741">
            <v>0</v>
          </cell>
          <cell r="AN2741">
            <v>0</v>
          </cell>
        </row>
        <row r="2742">
          <cell r="AM2742">
            <v>0</v>
          </cell>
          <cell r="AN2742">
            <v>0</v>
          </cell>
        </row>
        <row r="2743">
          <cell r="AM2743">
            <v>0</v>
          </cell>
          <cell r="AN2743">
            <v>0</v>
          </cell>
        </row>
        <row r="2744">
          <cell r="AM2744">
            <v>0</v>
          </cell>
          <cell r="AN2744">
            <v>0</v>
          </cell>
        </row>
        <row r="2745">
          <cell r="AM2745">
            <v>0</v>
          </cell>
          <cell r="AN2745">
            <v>0</v>
          </cell>
        </row>
        <row r="2746">
          <cell r="AM2746">
            <v>0</v>
          </cell>
          <cell r="AN2746">
            <v>0</v>
          </cell>
        </row>
        <row r="2747">
          <cell r="AM2747">
            <v>0</v>
          </cell>
          <cell r="AN2747">
            <v>0</v>
          </cell>
        </row>
        <row r="2748">
          <cell r="AM2748">
            <v>0</v>
          </cell>
        </row>
        <row r="2749">
          <cell r="AM2749">
            <v>0</v>
          </cell>
        </row>
        <row r="2750">
          <cell r="AM2750">
            <v>0</v>
          </cell>
        </row>
        <row r="2751">
          <cell r="AM2751">
            <v>0</v>
          </cell>
        </row>
        <row r="2752">
          <cell r="AM2752">
            <v>0</v>
          </cell>
        </row>
        <row r="2753">
          <cell r="AM2753">
            <v>0</v>
          </cell>
          <cell r="AN2753">
            <v>0</v>
          </cell>
        </row>
        <row r="2754">
          <cell r="AM2754">
            <v>0</v>
          </cell>
          <cell r="AN2754">
            <v>0</v>
          </cell>
        </row>
        <row r="2755">
          <cell r="AM2755">
            <v>0</v>
          </cell>
          <cell r="AN2755">
            <v>0</v>
          </cell>
        </row>
        <row r="2756">
          <cell r="AM2756">
            <v>0</v>
          </cell>
        </row>
        <row r="2757">
          <cell r="A2757">
            <v>98</v>
          </cell>
          <cell r="C2757">
            <v>98</v>
          </cell>
          <cell r="D2757" t="str">
            <v>부모시계 신설</v>
          </cell>
          <cell r="F2757" t="str">
            <v>식</v>
          </cell>
          <cell r="AM2757">
            <v>0</v>
          </cell>
          <cell r="AN2757">
            <v>0</v>
          </cell>
        </row>
        <row r="2758">
          <cell r="A2758" t="str">
            <v>98-1</v>
          </cell>
          <cell r="B2758">
            <v>541</v>
          </cell>
          <cell r="D2758" t="str">
            <v>가. 재료비</v>
          </cell>
          <cell r="E2758">
            <v>0</v>
          </cell>
          <cell r="F2758">
            <v>0</v>
          </cell>
          <cell r="AM2758">
            <v>0</v>
          </cell>
          <cell r="AN2758">
            <v>0</v>
          </cell>
        </row>
        <row r="2759">
          <cell r="A2759" t="str">
            <v>98-2</v>
          </cell>
          <cell r="B2759">
            <v>261</v>
          </cell>
          <cell r="D2759" t="str">
            <v>부모시계</v>
          </cell>
          <cell r="E2759">
            <v>0</v>
          </cell>
          <cell r="F2759" t="str">
            <v>식</v>
          </cell>
          <cell r="V2759" t="str">
            <v>=</v>
          </cell>
          <cell r="W2759">
            <v>1</v>
          </cell>
          <cell r="AM2759">
            <v>9000000</v>
          </cell>
          <cell r="AN2759">
            <v>0</v>
          </cell>
        </row>
        <row r="2760">
          <cell r="A2760" t="str">
            <v>98-3</v>
          </cell>
          <cell r="B2760">
            <v>542</v>
          </cell>
          <cell r="D2760" t="str">
            <v>나. 노무비</v>
          </cell>
          <cell r="E2760">
            <v>0</v>
          </cell>
          <cell r="F2760">
            <v>0</v>
          </cell>
          <cell r="AL2760" t="str">
            <v>통3-29</v>
          </cell>
          <cell r="AM2760">
            <v>0</v>
          </cell>
          <cell r="AN2760">
            <v>0</v>
          </cell>
        </row>
        <row r="2761">
          <cell r="B2761">
            <v>518</v>
          </cell>
          <cell r="D2761" t="str">
            <v>통신내선공</v>
          </cell>
          <cell r="E2761">
            <v>0</v>
          </cell>
          <cell r="F2761" t="str">
            <v>인</v>
          </cell>
          <cell r="V2761" t="str">
            <v>=</v>
          </cell>
          <cell r="W2761">
            <v>0.79</v>
          </cell>
          <cell r="Y2761" t="str">
            <v>기본</v>
          </cell>
          <cell r="AM2761">
            <v>63806</v>
          </cell>
          <cell r="AN2761">
            <v>0</v>
          </cell>
        </row>
        <row r="2762">
          <cell r="B2762">
            <v>544</v>
          </cell>
          <cell r="D2762" t="str">
            <v>소    계</v>
          </cell>
          <cell r="E2762">
            <v>0</v>
          </cell>
          <cell r="F2762">
            <v>0</v>
          </cell>
          <cell r="AM2762">
            <v>0</v>
          </cell>
          <cell r="AN2762">
            <v>0</v>
          </cell>
        </row>
        <row r="2763">
          <cell r="A2763" t="str">
            <v>98-4</v>
          </cell>
          <cell r="B2763">
            <v>518</v>
          </cell>
          <cell r="D2763" t="str">
            <v>통신내선공</v>
          </cell>
          <cell r="E2763">
            <v>0</v>
          </cell>
          <cell r="F2763" t="str">
            <v>인</v>
          </cell>
          <cell r="V2763" t="str">
            <v>=</v>
          </cell>
          <cell r="W2763">
            <v>0.79</v>
          </cell>
          <cell r="AM2763">
            <v>63806</v>
          </cell>
          <cell r="AN2763">
            <v>0</v>
          </cell>
        </row>
        <row r="2764">
          <cell r="A2764" t="str">
            <v>98-5</v>
          </cell>
          <cell r="B2764">
            <v>543</v>
          </cell>
          <cell r="D2764" t="str">
            <v>다. 공구손료</v>
          </cell>
          <cell r="E2764" t="str">
            <v>노무비x3%</v>
          </cell>
          <cell r="F2764">
            <v>0</v>
          </cell>
          <cell r="AM2764">
            <v>0</v>
          </cell>
          <cell r="AN2764">
            <v>0</v>
          </cell>
        </row>
        <row r="2765">
          <cell r="A2765" t="str">
            <v>98-6</v>
          </cell>
          <cell r="B2765">
            <v>518</v>
          </cell>
          <cell r="D2765" t="str">
            <v>통신내선공</v>
          </cell>
          <cell r="E2765">
            <v>0</v>
          </cell>
          <cell r="F2765" t="str">
            <v>인</v>
          </cell>
          <cell r="H2765">
            <v>0.79</v>
          </cell>
          <cell r="I2765" t="str">
            <v>x</v>
          </cell>
          <cell r="J2765">
            <v>0.03</v>
          </cell>
          <cell r="V2765" t="str">
            <v>=</v>
          </cell>
          <cell r="W2765">
            <v>0.02</v>
          </cell>
          <cell r="Y2765" t="str">
            <v>기본</v>
          </cell>
          <cell r="Z2765" t="str">
            <v>x</v>
          </cell>
          <cell r="AA2765" t="str">
            <v>공구손료</v>
          </cell>
          <cell r="AM2765">
            <v>63806</v>
          </cell>
          <cell r="AN2765">
            <v>0</v>
          </cell>
        </row>
        <row r="2766">
          <cell r="AM2766">
            <v>0</v>
          </cell>
          <cell r="AN2766">
            <v>0</v>
          </cell>
        </row>
        <row r="2767">
          <cell r="AM2767">
            <v>0</v>
          </cell>
          <cell r="AN2767">
            <v>0</v>
          </cell>
        </row>
        <row r="2768">
          <cell r="AM2768">
            <v>0</v>
          </cell>
          <cell r="AN2768">
            <v>0</v>
          </cell>
        </row>
        <row r="2769">
          <cell r="AM2769">
            <v>0</v>
          </cell>
          <cell r="AN2769">
            <v>0</v>
          </cell>
        </row>
        <row r="2770">
          <cell r="AM2770">
            <v>0</v>
          </cell>
          <cell r="AN2770">
            <v>0</v>
          </cell>
        </row>
        <row r="2771">
          <cell r="AM2771">
            <v>0</v>
          </cell>
          <cell r="AN2771">
            <v>0</v>
          </cell>
        </row>
        <row r="2772">
          <cell r="AM2772">
            <v>0</v>
          </cell>
          <cell r="AN2772">
            <v>0</v>
          </cell>
        </row>
        <row r="2773">
          <cell r="AM2773">
            <v>0</v>
          </cell>
          <cell r="AN2773">
            <v>0</v>
          </cell>
        </row>
        <row r="2774">
          <cell r="AM2774">
            <v>0</v>
          </cell>
          <cell r="AN2774">
            <v>0</v>
          </cell>
        </row>
        <row r="2775">
          <cell r="AM2775">
            <v>0</v>
          </cell>
        </row>
        <row r="2776">
          <cell r="AM2776">
            <v>0</v>
          </cell>
        </row>
        <row r="2777">
          <cell r="AM2777">
            <v>0</v>
          </cell>
        </row>
        <row r="2778">
          <cell r="AM2778">
            <v>0</v>
          </cell>
        </row>
        <row r="2779">
          <cell r="AM2779">
            <v>0</v>
          </cell>
        </row>
        <row r="2780">
          <cell r="AM2780">
            <v>0</v>
          </cell>
          <cell r="AN2780">
            <v>0</v>
          </cell>
        </row>
        <row r="2781">
          <cell r="AM2781">
            <v>0</v>
          </cell>
          <cell r="AN2781">
            <v>0</v>
          </cell>
        </row>
        <row r="2782">
          <cell r="AM2782">
            <v>0</v>
          </cell>
          <cell r="AN2782">
            <v>0</v>
          </cell>
        </row>
        <row r="2783">
          <cell r="AM2783">
            <v>0</v>
          </cell>
          <cell r="AN2783">
            <v>0</v>
          </cell>
        </row>
        <row r="2784">
          <cell r="A2784">
            <v>99</v>
          </cell>
          <cell r="C2784">
            <v>99</v>
          </cell>
          <cell r="D2784" t="str">
            <v>자시계 신설</v>
          </cell>
          <cell r="E2784" t="str">
            <v>대합실용</v>
          </cell>
          <cell r="F2784" t="str">
            <v>대</v>
          </cell>
          <cell r="AM2784">
            <v>0</v>
          </cell>
          <cell r="AN2784">
            <v>0</v>
          </cell>
        </row>
        <row r="2785">
          <cell r="A2785" t="str">
            <v>99-1</v>
          </cell>
          <cell r="B2785">
            <v>541</v>
          </cell>
          <cell r="D2785" t="str">
            <v>가. 재료비</v>
          </cell>
          <cell r="E2785">
            <v>0</v>
          </cell>
          <cell r="F2785">
            <v>0</v>
          </cell>
          <cell r="AM2785">
            <v>0</v>
          </cell>
          <cell r="AN2785">
            <v>0</v>
          </cell>
        </row>
        <row r="2786">
          <cell r="A2786" t="str">
            <v>99-2</v>
          </cell>
          <cell r="B2786">
            <v>262</v>
          </cell>
          <cell r="D2786" t="str">
            <v>자시계</v>
          </cell>
          <cell r="E2786" t="str">
            <v>천장형</v>
          </cell>
          <cell r="F2786" t="str">
            <v>대</v>
          </cell>
          <cell r="V2786" t="str">
            <v>=</v>
          </cell>
          <cell r="W2786">
            <v>1</v>
          </cell>
          <cell r="AM2786">
            <v>831000</v>
          </cell>
          <cell r="AN2786">
            <v>0</v>
          </cell>
        </row>
        <row r="2787">
          <cell r="A2787" t="str">
            <v>99-3</v>
          </cell>
          <cell r="B2787">
            <v>542</v>
          </cell>
          <cell r="D2787" t="str">
            <v>나. 노무비</v>
          </cell>
          <cell r="E2787">
            <v>0</v>
          </cell>
          <cell r="F2787">
            <v>0</v>
          </cell>
          <cell r="AL2787" t="str">
            <v>통3-29</v>
          </cell>
          <cell r="AM2787">
            <v>0</v>
          </cell>
          <cell r="AN2787">
            <v>0</v>
          </cell>
        </row>
        <row r="2788">
          <cell r="B2788">
            <v>518</v>
          </cell>
          <cell r="D2788" t="str">
            <v>통신내선공</v>
          </cell>
          <cell r="E2788">
            <v>0</v>
          </cell>
          <cell r="F2788" t="str">
            <v>인</v>
          </cell>
          <cell r="V2788" t="str">
            <v>=</v>
          </cell>
          <cell r="W2788">
            <v>1.2</v>
          </cell>
          <cell r="Y2788" t="str">
            <v>기본</v>
          </cell>
          <cell r="AM2788">
            <v>63806</v>
          </cell>
          <cell r="AN2788">
            <v>0</v>
          </cell>
        </row>
        <row r="2789">
          <cell r="B2789">
            <v>544</v>
          </cell>
          <cell r="D2789" t="str">
            <v>소    계</v>
          </cell>
          <cell r="E2789">
            <v>0</v>
          </cell>
          <cell r="F2789">
            <v>0</v>
          </cell>
          <cell r="AM2789">
            <v>0</v>
          </cell>
          <cell r="AN2789">
            <v>0</v>
          </cell>
        </row>
        <row r="2790">
          <cell r="A2790" t="str">
            <v>99-4</v>
          </cell>
          <cell r="B2790">
            <v>518</v>
          </cell>
          <cell r="D2790" t="str">
            <v>통신내선공</v>
          </cell>
          <cell r="E2790">
            <v>0</v>
          </cell>
          <cell r="F2790" t="str">
            <v>인</v>
          </cell>
          <cell r="V2790" t="str">
            <v>=</v>
          </cell>
          <cell r="W2790">
            <v>1.2</v>
          </cell>
          <cell r="AM2790">
            <v>63806</v>
          </cell>
          <cell r="AN2790">
            <v>0</v>
          </cell>
        </row>
        <row r="2791">
          <cell r="A2791" t="str">
            <v>99-5</v>
          </cell>
          <cell r="B2791">
            <v>543</v>
          </cell>
          <cell r="D2791" t="str">
            <v>다. 공구손료</v>
          </cell>
          <cell r="E2791" t="str">
            <v>노무비x3%</v>
          </cell>
          <cell r="F2791">
            <v>0</v>
          </cell>
          <cell r="AM2791">
            <v>0</v>
          </cell>
          <cell r="AN2791">
            <v>0</v>
          </cell>
        </row>
        <row r="2792">
          <cell r="A2792" t="str">
            <v>99-6</v>
          </cell>
          <cell r="B2792">
            <v>518</v>
          </cell>
          <cell r="D2792" t="str">
            <v>통신내선공</v>
          </cell>
          <cell r="E2792">
            <v>0</v>
          </cell>
          <cell r="F2792" t="str">
            <v>인</v>
          </cell>
          <cell r="H2792">
            <v>1.2</v>
          </cell>
          <cell r="I2792" t="str">
            <v>x</v>
          </cell>
          <cell r="J2792">
            <v>0.03</v>
          </cell>
          <cell r="V2792" t="str">
            <v>=</v>
          </cell>
          <cell r="W2792">
            <v>0.04</v>
          </cell>
          <cell r="Y2792" t="str">
            <v>기본</v>
          </cell>
          <cell r="Z2792" t="str">
            <v>x</v>
          </cell>
          <cell r="AA2792" t="str">
            <v>공구손료</v>
          </cell>
          <cell r="AM2792">
            <v>63806</v>
          </cell>
          <cell r="AN2792">
            <v>0</v>
          </cell>
        </row>
        <row r="2793">
          <cell r="AM2793">
            <v>0</v>
          </cell>
          <cell r="AN2793">
            <v>0</v>
          </cell>
        </row>
        <row r="2794">
          <cell r="AM2794">
            <v>0</v>
          </cell>
          <cell r="AN2794">
            <v>0</v>
          </cell>
        </row>
        <row r="2795">
          <cell r="AM2795">
            <v>0</v>
          </cell>
          <cell r="AN2795">
            <v>0</v>
          </cell>
        </row>
        <row r="2796">
          <cell r="AM2796">
            <v>0</v>
          </cell>
          <cell r="AN2796">
            <v>0</v>
          </cell>
        </row>
        <row r="2797">
          <cell r="AM2797">
            <v>0</v>
          </cell>
          <cell r="AN2797">
            <v>0</v>
          </cell>
        </row>
        <row r="2798">
          <cell r="AM2798">
            <v>0</v>
          </cell>
          <cell r="AN2798">
            <v>0</v>
          </cell>
        </row>
        <row r="2799">
          <cell r="AM2799">
            <v>0</v>
          </cell>
          <cell r="AN2799">
            <v>0</v>
          </cell>
        </row>
        <row r="2800">
          <cell r="AM2800">
            <v>0</v>
          </cell>
          <cell r="AN2800">
            <v>0</v>
          </cell>
        </row>
        <row r="2801">
          <cell r="AM2801">
            <v>0</v>
          </cell>
          <cell r="AN2801">
            <v>0</v>
          </cell>
        </row>
        <row r="2802">
          <cell r="AM2802">
            <v>0</v>
          </cell>
        </row>
        <row r="2803">
          <cell r="AM2803">
            <v>0</v>
          </cell>
        </row>
        <row r="2804">
          <cell r="AM2804">
            <v>0</v>
          </cell>
        </row>
        <row r="2805">
          <cell r="AM2805">
            <v>0</v>
          </cell>
        </row>
        <row r="2806">
          <cell r="AM2806">
            <v>0</v>
          </cell>
        </row>
        <row r="2807">
          <cell r="AM2807">
            <v>0</v>
          </cell>
          <cell r="AN2807">
            <v>0</v>
          </cell>
        </row>
        <row r="2808">
          <cell r="AM2808">
            <v>0</v>
          </cell>
          <cell r="AN2808">
            <v>0</v>
          </cell>
        </row>
        <row r="2809">
          <cell r="AM2809">
            <v>0</v>
          </cell>
          <cell r="AN2809">
            <v>0</v>
          </cell>
        </row>
        <row r="2810">
          <cell r="AM2810">
            <v>0</v>
          </cell>
          <cell r="AN2810">
            <v>0</v>
          </cell>
        </row>
        <row r="2811">
          <cell r="A2811">
            <v>100</v>
          </cell>
          <cell r="C2811">
            <v>100</v>
          </cell>
          <cell r="D2811" t="str">
            <v>자시계 신설</v>
          </cell>
          <cell r="E2811" t="str">
            <v>기능실용</v>
          </cell>
          <cell r="F2811" t="str">
            <v>대</v>
          </cell>
          <cell r="AM2811">
            <v>0</v>
          </cell>
          <cell r="AN2811">
            <v>0</v>
          </cell>
        </row>
        <row r="2812">
          <cell r="A2812" t="str">
            <v>100-1</v>
          </cell>
          <cell r="B2812">
            <v>541</v>
          </cell>
          <cell r="D2812" t="str">
            <v>가. 재료비</v>
          </cell>
          <cell r="E2812">
            <v>0</v>
          </cell>
          <cell r="F2812">
            <v>0</v>
          </cell>
          <cell r="AM2812">
            <v>0</v>
          </cell>
          <cell r="AN2812">
            <v>0</v>
          </cell>
        </row>
        <row r="2813">
          <cell r="A2813" t="str">
            <v>100-2</v>
          </cell>
          <cell r="B2813">
            <v>263</v>
          </cell>
          <cell r="D2813" t="str">
            <v>자시계</v>
          </cell>
          <cell r="E2813" t="str">
            <v>벽부형</v>
          </cell>
          <cell r="F2813" t="str">
            <v>대</v>
          </cell>
          <cell r="V2813" t="str">
            <v>=</v>
          </cell>
          <cell r="W2813">
            <v>1</v>
          </cell>
          <cell r="AM2813">
            <v>86400</v>
          </cell>
          <cell r="AN2813">
            <v>0</v>
          </cell>
        </row>
        <row r="2814">
          <cell r="A2814" t="str">
            <v>100-3</v>
          </cell>
          <cell r="B2814">
            <v>542</v>
          </cell>
          <cell r="D2814" t="str">
            <v>나. 노무비</v>
          </cell>
          <cell r="E2814">
            <v>0</v>
          </cell>
          <cell r="F2814">
            <v>0</v>
          </cell>
          <cell r="AL2814" t="str">
            <v>통3-29</v>
          </cell>
          <cell r="AM2814">
            <v>0</v>
          </cell>
          <cell r="AN2814">
            <v>0</v>
          </cell>
        </row>
        <row r="2815">
          <cell r="B2815">
            <v>518</v>
          </cell>
          <cell r="D2815" t="str">
            <v>통신내선공</v>
          </cell>
          <cell r="E2815">
            <v>0</v>
          </cell>
          <cell r="F2815" t="str">
            <v>인</v>
          </cell>
          <cell r="V2815" t="str">
            <v>=</v>
          </cell>
          <cell r="W2815">
            <v>0.63</v>
          </cell>
          <cell r="Y2815" t="str">
            <v>기본</v>
          </cell>
          <cell r="AM2815">
            <v>63806</v>
          </cell>
          <cell r="AN2815">
            <v>0</v>
          </cell>
        </row>
        <row r="2816">
          <cell r="B2816">
            <v>544</v>
          </cell>
          <cell r="D2816" t="str">
            <v>소    계</v>
          </cell>
          <cell r="E2816">
            <v>0</v>
          </cell>
          <cell r="F2816">
            <v>0</v>
          </cell>
          <cell r="AM2816">
            <v>0</v>
          </cell>
          <cell r="AN2816">
            <v>0</v>
          </cell>
        </row>
        <row r="2817">
          <cell r="A2817" t="str">
            <v>100-4</v>
          </cell>
          <cell r="B2817">
            <v>518</v>
          </cell>
          <cell r="D2817" t="str">
            <v>통신내선공</v>
          </cell>
          <cell r="E2817">
            <v>0</v>
          </cell>
          <cell r="F2817" t="str">
            <v>인</v>
          </cell>
          <cell r="V2817" t="str">
            <v>=</v>
          </cell>
          <cell r="W2817">
            <v>0.63</v>
          </cell>
          <cell r="AM2817">
            <v>63806</v>
          </cell>
          <cell r="AN2817">
            <v>0</v>
          </cell>
        </row>
        <row r="2818">
          <cell r="A2818" t="str">
            <v>100-5</v>
          </cell>
          <cell r="B2818">
            <v>543</v>
          </cell>
          <cell r="D2818" t="str">
            <v>다. 공구손료</v>
          </cell>
          <cell r="E2818" t="str">
            <v>노무비x3%</v>
          </cell>
          <cell r="F2818">
            <v>0</v>
          </cell>
          <cell r="AM2818">
            <v>0</v>
          </cell>
          <cell r="AN2818">
            <v>0</v>
          </cell>
        </row>
        <row r="2819">
          <cell r="A2819" t="str">
            <v>100-6</v>
          </cell>
          <cell r="B2819">
            <v>518</v>
          </cell>
          <cell r="D2819" t="str">
            <v>통신내선공</v>
          </cell>
          <cell r="E2819">
            <v>0</v>
          </cell>
          <cell r="F2819" t="str">
            <v>인</v>
          </cell>
          <cell r="H2819">
            <v>0.63</v>
          </cell>
          <cell r="I2819" t="str">
            <v>x</v>
          </cell>
          <cell r="J2819">
            <v>0.03</v>
          </cell>
          <cell r="V2819" t="str">
            <v>=</v>
          </cell>
          <cell r="W2819">
            <v>0.02</v>
          </cell>
          <cell r="Y2819" t="str">
            <v>기본</v>
          </cell>
          <cell r="Z2819" t="str">
            <v>x</v>
          </cell>
          <cell r="AA2819" t="str">
            <v>공구손료</v>
          </cell>
          <cell r="AM2819">
            <v>63806</v>
          </cell>
          <cell r="AN2819">
            <v>0</v>
          </cell>
        </row>
        <row r="2820">
          <cell r="AM2820">
            <v>0</v>
          </cell>
          <cell r="AN2820">
            <v>0</v>
          </cell>
        </row>
        <row r="2821">
          <cell r="AM2821">
            <v>0</v>
          </cell>
          <cell r="AN2821">
            <v>0</v>
          </cell>
        </row>
        <row r="2822">
          <cell r="AM2822">
            <v>0</v>
          </cell>
          <cell r="AN2822">
            <v>0</v>
          </cell>
        </row>
        <row r="2823">
          <cell r="AM2823">
            <v>0</v>
          </cell>
          <cell r="AN2823">
            <v>0</v>
          </cell>
        </row>
        <row r="2824">
          <cell r="AM2824">
            <v>0</v>
          </cell>
          <cell r="AN2824">
            <v>0</v>
          </cell>
        </row>
        <row r="2825">
          <cell r="AM2825">
            <v>0</v>
          </cell>
          <cell r="AN2825">
            <v>0</v>
          </cell>
        </row>
        <row r="2826">
          <cell r="AM2826">
            <v>0</v>
          </cell>
          <cell r="AN2826">
            <v>0</v>
          </cell>
        </row>
        <row r="2827">
          <cell r="AM2827">
            <v>0</v>
          </cell>
          <cell r="AN2827">
            <v>0</v>
          </cell>
        </row>
        <row r="2828">
          <cell r="AM2828">
            <v>0</v>
          </cell>
          <cell r="AN2828">
            <v>0</v>
          </cell>
        </row>
        <row r="2829">
          <cell r="AM2829">
            <v>0</v>
          </cell>
        </row>
        <row r="2830">
          <cell r="AM2830">
            <v>0</v>
          </cell>
        </row>
        <row r="2831">
          <cell r="AM2831">
            <v>0</v>
          </cell>
        </row>
        <row r="2832">
          <cell r="AM2832">
            <v>0</v>
          </cell>
        </row>
        <row r="2833">
          <cell r="AM2833">
            <v>0</v>
          </cell>
        </row>
        <row r="2834">
          <cell r="AM2834">
            <v>0</v>
          </cell>
          <cell r="AN2834">
            <v>0</v>
          </cell>
        </row>
        <row r="2835">
          <cell r="AM2835">
            <v>0</v>
          </cell>
          <cell r="AN2835">
            <v>0</v>
          </cell>
        </row>
        <row r="2836">
          <cell r="AM2836">
            <v>0</v>
          </cell>
          <cell r="AN2836">
            <v>0</v>
          </cell>
        </row>
        <row r="2837">
          <cell r="AM2837">
            <v>0</v>
          </cell>
          <cell r="AN2837">
            <v>0</v>
          </cell>
        </row>
        <row r="2838">
          <cell r="A2838">
            <v>101</v>
          </cell>
          <cell r="C2838">
            <v>101</v>
          </cell>
          <cell r="D2838" t="str">
            <v>UPS 신설</v>
          </cell>
          <cell r="E2838" t="str">
            <v>역사용</v>
          </cell>
          <cell r="F2838" t="str">
            <v>대</v>
          </cell>
          <cell r="AM2838">
            <v>0</v>
          </cell>
          <cell r="AN2838">
            <v>0</v>
          </cell>
        </row>
        <row r="2839">
          <cell r="A2839" t="str">
            <v>101-1</v>
          </cell>
          <cell r="B2839">
            <v>541</v>
          </cell>
          <cell r="D2839" t="str">
            <v>가. 재료비</v>
          </cell>
          <cell r="E2839">
            <v>0</v>
          </cell>
          <cell r="F2839">
            <v>0</v>
          </cell>
          <cell r="AM2839">
            <v>0</v>
          </cell>
          <cell r="AN2839">
            <v>0</v>
          </cell>
        </row>
        <row r="2840">
          <cell r="A2840" t="str">
            <v>101-2</v>
          </cell>
          <cell r="B2840">
            <v>264</v>
          </cell>
          <cell r="D2840" t="str">
            <v>UPS</v>
          </cell>
          <cell r="E2840" t="str">
            <v>10KVA,150AH</v>
          </cell>
          <cell r="F2840" t="str">
            <v>대</v>
          </cell>
          <cell r="V2840" t="str">
            <v>=</v>
          </cell>
          <cell r="W2840">
            <v>1</v>
          </cell>
          <cell r="AM2840">
            <v>90824300</v>
          </cell>
          <cell r="AN2840">
            <v>0</v>
          </cell>
        </row>
        <row r="2841">
          <cell r="A2841" t="str">
            <v>101-3</v>
          </cell>
          <cell r="B2841">
            <v>542</v>
          </cell>
          <cell r="D2841" t="str">
            <v>나. 노무비</v>
          </cell>
          <cell r="E2841">
            <v>0</v>
          </cell>
          <cell r="F2841">
            <v>0</v>
          </cell>
          <cell r="AL2841" t="str">
            <v>전3-83</v>
          </cell>
          <cell r="AM2841">
            <v>0</v>
          </cell>
          <cell r="AN2841">
            <v>0</v>
          </cell>
        </row>
        <row r="2842">
          <cell r="B2842">
            <v>511</v>
          </cell>
          <cell r="D2842" t="str">
            <v>플랜트전공</v>
          </cell>
          <cell r="E2842">
            <v>0</v>
          </cell>
          <cell r="F2842" t="str">
            <v>인</v>
          </cell>
          <cell r="V2842" t="str">
            <v>=</v>
          </cell>
          <cell r="W2842">
            <v>5</v>
          </cell>
          <cell r="Y2842" t="str">
            <v>기본</v>
          </cell>
          <cell r="AM2842">
            <v>59669</v>
          </cell>
          <cell r="AN2842">
            <v>0</v>
          </cell>
        </row>
        <row r="2843">
          <cell r="B2843">
            <v>523</v>
          </cell>
          <cell r="D2843" t="str">
            <v>보통인부</v>
          </cell>
          <cell r="E2843">
            <v>0</v>
          </cell>
          <cell r="F2843" t="str">
            <v>인</v>
          </cell>
          <cell r="V2843" t="str">
            <v>=</v>
          </cell>
          <cell r="W2843">
            <v>2</v>
          </cell>
          <cell r="Y2843" t="str">
            <v>기본</v>
          </cell>
          <cell r="AM2843">
            <v>40922</v>
          </cell>
          <cell r="AN2843">
            <v>0</v>
          </cell>
        </row>
        <row r="2844">
          <cell r="B2844">
            <v>544</v>
          </cell>
          <cell r="D2844" t="str">
            <v>소    계</v>
          </cell>
          <cell r="E2844">
            <v>0</v>
          </cell>
          <cell r="F2844">
            <v>0</v>
          </cell>
          <cell r="AM2844">
            <v>0</v>
          </cell>
          <cell r="AN2844">
            <v>0</v>
          </cell>
        </row>
        <row r="2845">
          <cell r="A2845" t="str">
            <v>101-4</v>
          </cell>
          <cell r="B2845">
            <v>511</v>
          </cell>
          <cell r="D2845" t="str">
            <v>플랜트전공</v>
          </cell>
          <cell r="E2845">
            <v>0</v>
          </cell>
          <cell r="F2845" t="str">
            <v>인</v>
          </cell>
          <cell r="V2845" t="str">
            <v>=</v>
          </cell>
          <cell r="W2845">
            <v>5</v>
          </cell>
          <cell r="AM2845">
            <v>59669</v>
          </cell>
          <cell r="AN2845">
            <v>0</v>
          </cell>
        </row>
        <row r="2846">
          <cell r="A2846" t="str">
            <v>101-5</v>
          </cell>
          <cell r="B2846">
            <v>523</v>
          </cell>
          <cell r="D2846" t="str">
            <v>보통인부</v>
          </cell>
          <cell r="E2846">
            <v>0</v>
          </cell>
          <cell r="F2846" t="str">
            <v>인</v>
          </cell>
          <cell r="V2846" t="str">
            <v>=</v>
          </cell>
          <cell r="W2846">
            <v>2</v>
          </cell>
          <cell r="AM2846">
            <v>40922</v>
          </cell>
          <cell r="AN2846">
            <v>0</v>
          </cell>
        </row>
        <row r="2847">
          <cell r="A2847" t="str">
            <v>101-6</v>
          </cell>
          <cell r="B2847">
            <v>543</v>
          </cell>
          <cell r="D2847" t="str">
            <v>다. 공구손료</v>
          </cell>
          <cell r="E2847" t="str">
            <v>노무비x3%</v>
          </cell>
          <cell r="F2847">
            <v>0</v>
          </cell>
          <cell r="AM2847">
            <v>0</v>
          </cell>
          <cell r="AN2847">
            <v>0</v>
          </cell>
        </row>
        <row r="2848">
          <cell r="A2848" t="str">
            <v>101-7</v>
          </cell>
          <cell r="B2848">
            <v>511</v>
          </cell>
          <cell r="D2848" t="str">
            <v>플랜트전공</v>
          </cell>
          <cell r="E2848">
            <v>0</v>
          </cell>
          <cell r="F2848" t="str">
            <v>인</v>
          </cell>
          <cell r="H2848">
            <v>5</v>
          </cell>
          <cell r="I2848" t="str">
            <v>x</v>
          </cell>
          <cell r="J2848">
            <v>0.03</v>
          </cell>
          <cell r="V2848" t="str">
            <v>=</v>
          </cell>
          <cell r="W2848">
            <v>0.15</v>
          </cell>
          <cell r="Y2848" t="str">
            <v>기본</v>
          </cell>
          <cell r="Z2848" t="str">
            <v>x</v>
          </cell>
          <cell r="AA2848" t="str">
            <v>공구손료</v>
          </cell>
          <cell r="AM2848">
            <v>59669</v>
          </cell>
          <cell r="AN2848">
            <v>0</v>
          </cell>
        </row>
        <row r="2849">
          <cell r="A2849" t="str">
            <v>101-8</v>
          </cell>
          <cell r="B2849">
            <v>523</v>
          </cell>
          <cell r="D2849" t="str">
            <v>보통인부</v>
          </cell>
          <cell r="E2849">
            <v>0</v>
          </cell>
          <cell r="F2849" t="str">
            <v>인</v>
          </cell>
          <cell r="H2849">
            <v>2</v>
          </cell>
          <cell r="I2849" t="str">
            <v>x</v>
          </cell>
          <cell r="J2849">
            <v>0.03</v>
          </cell>
          <cell r="V2849" t="str">
            <v>=</v>
          </cell>
          <cell r="W2849">
            <v>0.06</v>
          </cell>
          <cell r="Y2849" t="str">
            <v>기본</v>
          </cell>
          <cell r="Z2849" t="str">
            <v>x</v>
          </cell>
          <cell r="AA2849" t="str">
            <v>공구손료</v>
          </cell>
          <cell r="AM2849">
            <v>40922</v>
          </cell>
          <cell r="AN2849">
            <v>0</v>
          </cell>
        </row>
        <row r="2850">
          <cell r="AM2850">
            <v>0</v>
          </cell>
        </row>
        <row r="2851">
          <cell r="AM2851">
            <v>0</v>
          </cell>
        </row>
        <row r="2852">
          <cell r="AM2852">
            <v>0</v>
          </cell>
        </row>
        <row r="2853">
          <cell r="AM2853">
            <v>0</v>
          </cell>
        </row>
        <row r="2854">
          <cell r="AM2854">
            <v>0</v>
          </cell>
        </row>
        <row r="2855">
          <cell r="AM2855">
            <v>0</v>
          </cell>
        </row>
        <row r="2856">
          <cell r="AM2856">
            <v>0</v>
          </cell>
        </row>
        <row r="2857">
          <cell r="AM2857">
            <v>0</v>
          </cell>
        </row>
        <row r="2858">
          <cell r="AM2858">
            <v>0</v>
          </cell>
        </row>
        <row r="2859">
          <cell r="AM2859">
            <v>0</v>
          </cell>
        </row>
        <row r="2860">
          <cell r="AM2860">
            <v>0</v>
          </cell>
          <cell r="AN2860">
            <v>0</v>
          </cell>
        </row>
        <row r="2861">
          <cell r="AM2861">
            <v>0</v>
          </cell>
          <cell r="AN2861">
            <v>0</v>
          </cell>
        </row>
        <row r="2862">
          <cell r="AM2862">
            <v>0</v>
          </cell>
          <cell r="AN2862">
            <v>0</v>
          </cell>
        </row>
        <row r="2863">
          <cell r="AM2863">
            <v>0</v>
          </cell>
          <cell r="AN2863">
            <v>0</v>
          </cell>
        </row>
        <row r="2864">
          <cell r="AM2864">
            <v>0</v>
          </cell>
          <cell r="AN2864">
            <v>0</v>
          </cell>
        </row>
        <row r="2865">
          <cell r="A2865">
            <v>102</v>
          </cell>
          <cell r="C2865">
            <v>102</v>
          </cell>
          <cell r="D2865" t="str">
            <v>UPS 신설</v>
          </cell>
          <cell r="E2865" t="str">
            <v>종합사령실용</v>
          </cell>
          <cell r="F2865" t="str">
            <v>대</v>
          </cell>
          <cell r="AM2865">
            <v>0</v>
          </cell>
          <cell r="AN2865">
            <v>0</v>
          </cell>
        </row>
        <row r="2866">
          <cell r="A2866" t="str">
            <v>102-1</v>
          </cell>
          <cell r="B2866">
            <v>541</v>
          </cell>
          <cell r="D2866" t="str">
            <v>가. 재료비</v>
          </cell>
          <cell r="E2866">
            <v>0</v>
          </cell>
          <cell r="F2866">
            <v>0</v>
          </cell>
          <cell r="AM2866">
            <v>0</v>
          </cell>
          <cell r="AN2866">
            <v>0</v>
          </cell>
        </row>
        <row r="2867">
          <cell r="A2867" t="str">
            <v>102-2</v>
          </cell>
          <cell r="B2867">
            <v>265</v>
          </cell>
          <cell r="D2867" t="str">
            <v>UPS</v>
          </cell>
          <cell r="E2867" t="str">
            <v>15KVA,250AH</v>
          </cell>
          <cell r="F2867" t="str">
            <v>대</v>
          </cell>
          <cell r="V2867" t="str">
            <v>=</v>
          </cell>
          <cell r="W2867">
            <v>1</v>
          </cell>
          <cell r="AM2867">
            <v>134102000</v>
          </cell>
          <cell r="AN2867">
            <v>0</v>
          </cell>
        </row>
        <row r="2868">
          <cell r="A2868" t="str">
            <v>102-3</v>
          </cell>
          <cell r="B2868">
            <v>542</v>
          </cell>
          <cell r="D2868" t="str">
            <v>나. 노무비</v>
          </cell>
          <cell r="E2868">
            <v>0</v>
          </cell>
          <cell r="F2868">
            <v>0</v>
          </cell>
          <cell r="AL2868" t="str">
            <v>전3-83</v>
          </cell>
          <cell r="AM2868">
            <v>0</v>
          </cell>
          <cell r="AN2868">
            <v>0</v>
          </cell>
        </row>
        <row r="2869">
          <cell r="B2869">
            <v>511</v>
          </cell>
          <cell r="D2869" t="str">
            <v>플랜트전공</v>
          </cell>
          <cell r="E2869">
            <v>0</v>
          </cell>
          <cell r="F2869" t="str">
            <v>인</v>
          </cell>
          <cell r="V2869" t="str">
            <v>=</v>
          </cell>
          <cell r="W2869">
            <v>5</v>
          </cell>
          <cell r="Y2869" t="str">
            <v>기본</v>
          </cell>
          <cell r="AM2869">
            <v>59669</v>
          </cell>
          <cell r="AN2869">
            <v>0</v>
          </cell>
        </row>
        <row r="2870">
          <cell r="B2870">
            <v>523</v>
          </cell>
          <cell r="D2870" t="str">
            <v>보통인부</v>
          </cell>
          <cell r="E2870">
            <v>0</v>
          </cell>
          <cell r="F2870" t="str">
            <v>인</v>
          </cell>
          <cell r="V2870" t="str">
            <v>=</v>
          </cell>
          <cell r="W2870">
            <v>2</v>
          </cell>
          <cell r="Y2870" t="str">
            <v>기본</v>
          </cell>
          <cell r="AM2870">
            <v>40922</v>
          </cell>
          <cell r="AN2870">
            <v>0</v>
          </cell>
        </row>
        <row r="2871">
          <cell r="B2871">
            <v>544</v>
          </cell>
          <cell r="D2871" t="str">
            <v>소    계</v>
          </cell>
          <cell r="E2871">
            <v>0</v>
          </cell>
          <cell r="F2871">
            <v>0</v>
          </cell>
          <cell r="AM2871">
            <v>0</v>
          </cell>
          <cell r="AN2871">
            <v>0</v>
          </cell>
        </row>
        <row r="2872">
          <cell r="A2872" t="str">
            <v>102-4</v>
          </cell>
          <cell r="B2872">
            <v>511</v>
          </cell>
          <cell r="D2872" t="str">
            <v>플랜트전공</v>
          </cell>
          <cell r="E2872">
            <v>0</v>
          </cell>
          <cell r="F2872" t="str">
            <v>인</v>
          </cell>
          <cell r="V2872" t="str">
            <v>=</v>
          </cell>
          <cell r="W2872">
            <v>5</v>
          </cell>
          <cell r="AM2872">
            <v>59669</v>
          </cell>
          <cell r="AN2872">
            <v>0</v>
          </cell>
        </row>
        <row r="2873">
          <cell r="A2873" t="str">
            <v>102-5</v>
          </cell>
          <cell r="B2873">
            <v>523</v>
          </cell>
          <cell r="D2873" t="str">
            <v>보통인부</v>
          </cell>
          <cell r="E2873">
            <v>0</v>
          </cell>
          <cell r="F2873" t="str">
            <v>인</v>
          </cell>
          <cell r="V2873" t="str">
            <v>=</v>
          </cell>
          <cell r="W2873">
            <v>2</v>
          </cell>
          <cell r="AM2873">
            <v>40922</v>
          </cell>
          <cell r="AN2873">
            <v>0</v>
          </cell>
        </row>
        <row r="2874">
          <cell r="A2874" t="str">
            <v>102-6</v>
          </cell>
          <cell r="B2874">
            <v>543</v>
          </cell>
          <cell r="D2874" t="str">
            <v>다. 공구손료</v>
          </cell>
          <cell r="E2874" t="str">
            <v>노무비x3%</v>
          </cell>
          <cell r="F2874">
            <v>0</v>
          </cell>
          <cell r="AM2874">
            <v>0</v>
          </cell>
          <cell r="AN2874">
            <v>0</v>
          </cell>
        </row>
        <row r="2875">
          <cell r="A2875" t="str">
            <v>102-7</v>
          </cell>
          <cell r="B2875">
            <v>511</v>
          </cell>
          <cell r="D2875" t="str">
            <v>플랜트전공</v>
          </cell>
          <cell r="E2875">
            <v>0</v>
          </cell>
          <cell r="F2875" t="str">
            <v>인</v>
          </cell>
          <cell r="H2875">
            <v>5</v>
          </cell>
          <cell r="I2875" t="str">
            <v>x</v>
          </cell>
          <cell r="J2875">
            <v>0.03</v>
          </cell>
          <cell r="V2875" t="str">
            <v>=</v>
          </cell>
          <cell r="W2875">
            <v>0.15</v>
          </cell>
          <cell r="Y2875" t="str">
            <v>기본</v>
          </cell>
          <cell r="Z2875" t="str">
            <v>x</v>
          </cell>
          <cell r="AA2875" t="str">
            <v>공구손료</v>
          </cell>
          <cell r="AM2875">
            <v>59669</v>
          </cell>
          <cell r="AN2875">
            <v>0</v>
          </cell>
        </row>
        <row r="2876">
          <cell r="A2876" t="str">
            <v>102-8</v>
          </cell>
          <cell r="B2876">
            <v>523</v>
          </cell>
          <cell r="D2876" t="str">
            <v>보통인부</v>
          </cell>
          <cell r="E2876">
            <v>0</v>
          </cell>
          <cell r="F2876" t="str">
            <v>인</v>
          </cell>
          <cell r="H2876">
            <v>2</v>
          </cell>
          <cell r="I2876" t="str">
            <v>x</v>
          </cell>
          <cell r="J2876">
            <v>0.03</v>
          </cell>
          <cell r="V2876" t="str">
            <v>=</v>
          </cell>
          <cell r="W2876">
            <v>0.06</v>
          </cell>
          <cell r="Y2876" t="str">
            <v>기본</v>
          </cell>
          <cell r="Z2876" t="str">
            <v>x</v>
          </cell>
          <cell r="AA2876" t="str">
            <v>공구손료</v>
          </cell>
          <cell r="AM2876">
            <v>40922</v>
          </cell>
          <cell r="AN2876">
            <v>0</v>
          </cell>
        </row>
        <row r="2877">
          <cell r="AM2877">
            <v>0</v>
          </cell>
        </row>
        <row r="2878">
          <cell r="AM2878">
            <v>0</v>
          </cell>
        </row>
        <row r="2879">
          <cell r="AM2879">
            <v>0</v>
          </cell>
        </row>
        <row r="2880">
          <cell r="AM2880">
            <v>0</v>
          </cell>
        </row>
        <row r="2881">
          <cell r="AM2881">
            <v>0</v>
          </cell>
        </row>
        <row r="2882">
          <cell r="AM2882">
            <v>0</v>
          </cell>
        </row>
        <row r="2883">
          <cell r="AM2883">
            <v>0</v>
          </cell>
        </row>
        <row r="2884">
          <cell r="AM2884">
            <v>0</v>
          </cell>
        </row>
        <row r="2885">
          <cell r="AM2885">
            <v>0</v>
          </cell>
        </row>
        <row r="2886">
          <cell r="AM2886">
            <v>0</v>
          </cell>
        </row>
        <row r="2887">
          <cell r="AM2887">
            <v>0</v>
          </cell>
          <cell r="AN2887">
            <v>0</v>
          </cell>
        </row>
        <row r="2888">
          <cell r="AM2888">
            <v>0</v>
          </cell>
          <cell r="AN2888">
            <v>0</v>
          </cell>
        </row>
        <row r="2889">
          <cell r="AM2889">
            <v>0</v>
          </cell>
          <cell r="AN2889">
            <v>0</v>
          </cell>
        </row>
        <row r="2890">
          <cell r="AM2890">
            <v>0</v>
          </cell>
          <cell r="AN2890">
            <v>0</v>
          </cell>
        </row>
        <row r="2891">
          <cell r="AM2891">
            <v>0</v>
          </cell>
          <cell r="AN2891">
            <v>0</v>
          </cell>
        </row>
        <row r="2892">
          <cell r="A2892">
            <v>103</v>
          </cell>
          <cell r="C2892">
            <v>103</v>
          </cell>
          <cell r="D2892" t="str">
            <v>UPS 신설</v>
          </cell>
          <cell r="E2892" t="str">
            <v>차량기지용</v>
          </cell>
          <cell r="F2892" t="str">
            <v>대</v>
          </cell>
          <cell r="AM2892">
            <v>0</v>
          </cell>
          <cell r="AN2892">
            <v>0</v>
          </cell>
        </row>
        <row r="2893">
          <cell r="A2893" t="str">
            <v>103-1</v>
          </cell>
          <cell r="B2893">
            <v>541</v>
          </cell>
          <cell r="D2893" t="str">
            <v>가. 재료비</v>
          </cell>
          <cell r="E2893">
            <v>0</v>
          </cell>
          <cell r="F2893">
            <v>0</v>
          </cell>
          <cell r="AM2893">
            <v>0</v>
          </cell>
          <cell r="AN2893">
            <v>0</v>
          </cell>
        </row>
        <row r="2894">
          <cell r="A2894" t="str">
            <v>103-2</v>
          </cell>
          <cell r="B2894">
            <v>302</v>
          </cell>
          <cell r="D2894" t="str">
            <v>UPS</v>
          </cell>
          <cell r="E2894" t="str">
            <v>30KVA,500AH</v>
          </cell>
          <cell r="F2894" t="str">
            <v>대</v>
          </cell>
          <cell r="V2894" t="str">
            <v>=</v>
          </cell>
          <cell r="W2894">
            <v>1</v>
          </cell>
          <cell r="AM2894">
            <v>218202966</v>
          </cell>
          <cell r="AN2894">
            <v>0</v>
          </cell>
        </row>
        <row r="2895">
          <cell r="A2895" t="str">
            <v>103-3</v>
          </cell>
          <cell r="B2895">
            <v>542</v>
          </cell>
          <cell r="D2895" t="str">
            <v>나. 노무비</v>
          </cell>
          <cell r="E2895">
            <v>0</v>
          </cell>
          <cell r="F2895">
            <v>0</v>
          </cell>
          <cell r="AL2895" t="str">
            <v>전3-83</v>
          </cell>
          <cell r="AM2895">
            <v>0</v>
          </cell>
          <cell r="AN2895">
            <v>0</v>
          </cell>
        </row>
        <row r="2896">
          <cell r="B2896">
            <v>511</v>
          </cell>
          <cell r="D2896" t="str">
            <v>플랜트전공</v>
          </cell>
          <cell r="E2896">
            <v>0</v>
          </cell>
          <cell r="F2896" t="str">
            <v>인</v>
          </cell>
          <cell r="V2896" t="str">
            <v>=</v>
          </cell>
          <cell r="W2896">
            <v>5</v>
          </cell>
          <cell r="Y2896" t="str">
            <v>기본</v>
          </cell>
          <cell r="AM2896">
            <v>59669</v>
          </cell>
          <cell r="AN2896">
            <v>0</v>
          </cell>
        </row>
        <row r="2897">
          <cell r="B2897">
            <v>523</v>
          </cell>
          <cell r="D2897" t="str">
            <v>보통인부</v>
          </cell>
          <cell r="E2897">
            <v>0</v>
          </cell>
          <cell r="F2897" t="str">
            <v>인</v>
          </cell>
          <cell r="V2897" t="str">
            <v>=</v>
          </cell>
          <cell r="W2897">
            <v>2</v>
          </cell>
          <cell r="Y2897" t="str">
            <v>기본</v>
          </cell>
          <cell r="AM2897">
            <v>40922</v>
          </cell>
          <cell r="AN2897">
            <v>0</v>
          </cell>
        </row>
        <row r="2898">
          <cell r="B2898">
            <v>544</v>
          </cell>
          <cell r="D2898" t="str">
            <v>소    계</v>
          </cell>
          <cell r="E2898">
            <v>0</v>
          </cell>
          <cell r="F2898">
            <v>0</v>
          </cell>
          <cell r="AM2898">
            <v>0</v>
          </cell>
          <cell r="AN2898">
            <v>0</v>
          </cell>
        </row>
        <row r="2899">
          <cell r="A2899" t="str">
            <v>103-4</v>
          </cell>
          <cell r="B2899">
            <v>511</v>
          </cell>
          <cell r="D2899" t="str">
            <v>플랜트전공</v>
          </cell>
          <cell r="E2899">
            <v>0</v>
          </cell>
          <cell r="F2899" t="str">
            <v>인</v>
          </cell>
          <cell r="V2899" t="str">
            <v>=</v>
          </cell>
          <cell r="W2899">
            <v>5</v>
          </cell>
          <cell r="AM2899">
            <v>59669</v>
          </cell>
          <cell r="AN2899">
            <v>0</v>
          </cell>
        </row>
        <row r="2900">
          <cell r="A2900" t="str">
            <v>103-5</v>
          </cell>
          <cell r="B2900">
            <v>523</v>
          </cell>
          <cell r="D2900" t="str">
            <v>보통인부</v>
          </cell>
          <cell r="E2900">
            <v>0</v>
          </cell>
          <cell r="F2900" t="str">
            <v>인</v>
          </cell>
          <cell r="V2900" t="str">
            <v>=</v>
          </cell>
          <cell r="W2900">
            <v>2</v>
          </cell>
          <cell r="AM2900">
            <v>40922</v>
          </cell>
          <cell r="AN2900">
            <v>0</v>
          </cell>
        </row>
        <row r="2901">
          <cell r="A2901" t="str">
            <v>103-6</v>
          </cell>
          <cell r="B2901">
            <v>543</v>
          </cell>
          <cell r="D2901" t="str">
            <v>다. 공구손료</v>
          </cell>
          <cell r="E2901" t="str">
            <v>노무비x3%</v>
          </cell>
          <cell r="F2901">
            <v>0</v>
          </cell>
          <cell r="AM2901">
            <v>0</v>
          </cell>
          <cell r="AN2901">
            <v>0</v>
          </cell>
        </row>
        <row r="2902">
          <cell r="A2902" t="str">
            <v>103-7</v>
          </cell>
          <cell r="B2902">
            <v>511</v>
          </cell>
          <cell r="D2902" t="str">
            <v>플랜트전공</v>
          </cell>
          <cell r="E2902">
            <v>0</v>
          </cell>
          <cell r="F2902" t="str">
            <v>인</v>
          </cell>
          <cell r="H2902">
            <v>5</v>
          </cell>
          <cell r="I2902" t="str">
            <v>x</v>
          </cell>
          <cell r="J2902">
            <v>0.03</v>
          </cell>
          <cell r="V2902" t="str">
            <v>=</v>
          </cell>
          <cell r="W2902">
            <v>0.15</v>
          </cell>
          <cell r="Y2902" t="str">
            <v>기본</v>
          </cell>
          <cell r="Z2902" t="str">
            <v>x</v>
          </cell>
          <cell r="AA2902" t="str">
            <v>공구손료</v>
          </cell>
          <cell r="AM2902">
            <v>59669</v>
          </cell>
          <cell r="AN2902">
            <v>0</v>
          </cell>
        </row>
        <row r="2903">
          <cell r="A2903" t="str">
            <v>103-8</v>
          </cell>
          <cell r="B2903">
            <v>523</v>
          </cell>
          <cell r="D2903" t="str">
            <v>보통인부</v>
          </cell>
          <cell r="E2903">
            <v>0</v>
          </cell>
          <cell r="F2903" t="str">
            <v>인</v>
          </cell>
          <cell r="H2903">
            <v>2</v>
          </cell>
          <cell r="I2903" t="str">
            <v>x</v>
          </cell>
          <cell r="J2903">
            <v>0.03</v>
          </cell>
          <cell r="V2903" t="str">
            <v>=</v>
          </cell>
          <cell r="W2903">
            <v>0.06</v>
          </cell>
          <cell r="Y2903" t="str">
            <v>기본</v>
          </cell>
          <cell r="Z2903" t="str">
            <v>x</v>
          </cell>
          <cell r="AA2903" t="str">
            <v>공구손료</v>
          </cell>
          <cell r="AM2903">
            <v>40922</v>
          </cell>
          <cell r="AN2903">
            <v>0</v>
          </cell>
        </row>
        <row r="2904">
          <cell r="AM2904">
            <v>0</v>
          </cell>
        </row>
        <row r="2905">
          <cell r="AM2905">
            <v>0</v>
          </cell>
        </row>
        <row r="2906">
          <cell r="AM2906">
            <v>0</v>
          </cell>
        </row>
        <row r="2907">
          <cell r="AM2907">
            <v>0</v>
          </cell>
        </row>
        <row r="2908">
          <cell r="AM2908">
            <v>0</v>
          </cell>
        </row>
        <row r="2909">
          <cell r="AM2909">
            <v>0</v>
          </cell>
        </row>
        <row r="2910">
          <cell r="AM2910">
            <v>0</v>
          </cell>
        </row>
        <row r="2911">
          <cell r="AM2911">
            <v>0</v>
          </cell>
        </row>
        <row r="2912">
          <cell r="AM2912">
            <v>0</v>
          </cell>
        </row>
        <row r="2913">
          <cell r="AM2913">
            <v>0</v>
          </cell>
        </row>
        <row r="2914">
          <cell r="AM2914">
            <v>0</v>
          </cell>
          <cell r="AN2914">
            <v>0</v>
          </cell>
        </row>
        <row r="2915">
          <cell r="AM2915">
            <v>0</v>
          </cell>
          <cell r="AN2915">
            <v>0</v>
          </cell>
        </row>
        <row r="2916">
          <cell r="AM2916">
            <v>0</v>
          </cell>
          <cell r="AN2916">
            <v>0</v>
          </cell>
        </row>
        <row r="2917">
          <cell r="AM2917">
            <v>0</v>
          </cell>
          <cell r="AN2917">
            <v>0</v>
          </cell>
        </row>
        <row r="2918">
          <cell r="AM2918">
            <v>0</v>
          </cell>
          <cell r="AN2918">
            <v>0</v>
          </cell>
        </row>
        <row r="2919">
          <cell r="A2919">
            <v>104</v>
          </cell>
          <cell r="C2919">
            <v>104</v>
          </cell>
          <cell r="D2919" t="str">
            <v>TALK-BACK신설</v>
          </cell>
          <cell r="E2919" t="str">
            <v>모장치(10회로)</v>
          </cell>
          <cell r="F2919" t="str">
            <v>대</v>
          </cell>
          <cell r="AM2919">
            <v>0</v>
          </cell>
          <cell r="AN2919">
            <v>0</v>
          </cell>
        </row>
        <row r="2920">
          <cell r="A2920" t="str">
            <v>104-1</v>
          </cell>
          <cell r="B2920">
            <v>541</v>
          </cell>
          <cell r="D2920" t="str">
            <v>가. 재료비</v>
          </cell>
          <cell r="E2920">
            <v>0</v>
          </cell>
          <cell r="F2920">
            <v>0</v>
          </cell>
          <cell r="AM2920">
            <v>0</v>
          </cell>
          <cell r="AN2920">
            <v>0</v>
          </cell>
        </row>
        <row r="2921">
          <cell r="A2921" t="str">
            <v>104-2</v>
          </cell>
          <cell r="B2921">
            <v>95</v>
          </cell>
          <cell r="D2921" t="str">
            <v>TALK-BACK 모장치</v>
          </cell>
          <cell r="E2921" t="str">
            <v>TR30W, 10회로</v>
          </cell>
          <cell r="F2921" t="str">
            <v>대</v>
          </cell>
          <cell r="H2921">
            <v>1</v>
          </cell>
          <cell r="V2921" t="str">
            <v>=</v>
          </cell>
          <cell r="W2921">
            <v>1</v>
          </cell>
          <cell r="AM2921">
            <v>6742000</v>
          </cell>
          <cell r="AN2921">
            <v>0</v>
          </cell>
        </row>
        <row r="2922">
          <cell r="A2922" t="str">
            <v>104-3</v>
          </cell>
          <cell r="B2922">
            <v>542</v>
          </cell>
          <cell r="D2922" t="str">
            <v>나. 노무비</v>
          </cell>
          <cell r="E2922">
            <v>0</v>
          </cell>
          <cell r="F2922">
            <v>0</v>
          </cell>
          <cell r="AM2922">
            <v>0</v>
          </cell>
          <cell r="AN2922">
            <v>0</v>
          </cell>
        </row>
        <row r="2923">
          <cell r="B2923">
            <v>517</v>
          </cell>
          <cell r="D2923" t="str">
            <v>통신설비공</v>
          </cell>
          <cell r="E2923">
            <v>0</v>
          </cell>
          <cell r="F2923" t="str">
            <v>인</v>
          </cell>
          <cell r="H2923">
            <v>1</v>
          </cell>
          <cell r="V2923" t="str">
            <v>=</v>
          </cell>
          <cell r="W2923">
            <v>1</v>
          </cell>
          <cell r="AL2923" t="str">
            <v>통3-29</v>
          </cell>
          <cell r="AM2923">
            <v>77401</v>
          </cell>
          <cell r="AN2923">
            <v>0</v>
          </cell>
        </row>
        <row r="2924">
          <cell r="B2924">
            <v>518</v>
          </cell>
          <cell r="D2924" t="str">
            <v>통신내선공</v>
          </cell>
          <cell r="E2924">
            <v>0</v>
          </cell>
          <cell r="F2924" t="str">
            <v>인</v>
          </cell>
          <cell r="H2924">
            <v>1</v>
          </cell>
          <cell r="V2924" t="str">
            <v>=</v>
          </cell>
          <cell r="W2924">
            <v>1</v>
          </cell>
          <cell r="AM2924">
            <v>63806</v>
          </cell>
          <cell r="AN2924">
            <v>0</v>
          </cell>
        </row>
        <row r="2925">
          <cell r="B2925">
            <v>544</v>
          </cell>
          <cell r="D2925" t="str">
            <v>소    계</v>
          </cell>
          <cell r="E2925">
            <v>0</v>
          </cell>
          <cell r="F2925">
            <v>0</v>
          </cell>
          <cell r="AM2925">
            <v>0</v>
          </cell>
          <cell r="AN2925">
            <v>0</v>
          </cell>
        </row>
        <row r="2926">
          <cell r="A2926" t="str">
            <v>104-4</v>
          </cell>
          <cell r="B2926">
            <v>517</v>
          </cell>
          <cell r="D2926" t="str">
            <v>통신설비공</v>
          </cell>
          <cell r="E2926">
            <v>0</v>
          </cell>
          <cell r="F2926" t="str">
            <v>인</v>
          </cell>
          <cell r="V2926" t="str">
            <v>=</v>
          </cell>
          <cell r="W2926">
            <v>1</v>
          </cell>
          <cell r="AM2926">
            <v>77401</v>
          </cell>
          <cell r="AN2926">
            <v>0</v>
          </cell>
        </row>
        <row r="2927">
          <cell r="A2927" t="str">
            <v>104-5</v>
          </cell>
          <cell r="B2927">
            <v>518</v>
          </cell>
          <cell r="D2927" t="str">
            <v>통신내선공</v>
          </cell>
          <cell r="E2927">
            <v>0</v>
          </cell>
          <cell r="F2927" t="str">
            <v>인</v>
          </cell>
          <cell r="V2927" t="str">
            <v>=</v>
          </cell>
          <cell r="W2927">
            <v>1</v>
          </cell>
          <cell r="AM2927">
            <v>63806</v>
          </cell>
          <cell r="AN2927">
            <v>0</v>
          </cell>
        </row>
        <row r="2928">
          <cell r="A2928" t="str">
            <v>104-6</v>
          </cell>
          <cell r="B2928">
            <v>543</v>
          </cell>
          <cell r="D2928" t="str">
            <v>다. 공구손료</v>
          </cell>
          <cell r="E2928" t="str">
            <v>노무비x3%</v>
          </cell>
          <cell r="F2928">
            <v>0</v>
          </cell>
          <cell r="AM2928">
            <v>0</v>
          </cell>
          <cell r="AN2928">
            <v>0</v>
          </cell>
        </row>
        <row r="2929">
          <cell r="A2929" t="str">
            <v>104-7</v>
          </cell>
          <cell r="B2929">
            <v>517</v>
          </cell>
          <cell r="D2929" t="str">
            <v>통신설비공</v>
          </cell>
          <cell r="E2929">
            <v>0</v>
          </cell>
          <cell r="F2929" t="str">
            <v>인</v>
          </cell>
          <cell r="H2929">
            <v>1</v>
          </cell>
          <cell r="I2929" t="str">
            <v>x</v>
          </cell>
          <cell r="J2929">
            <v>0.03</v>
          </cell>
          <cell r="V2929" t="str">
            <v>=</v>
          </cell>
          <cell r="W2929">
            <v>0.03</v>
          </cell>
          <cell r="Y2929" t="str">
            <v>기본</v>
          </cell>
          <cell r="Z2929" t="str">
            <v>x</v>
          </cell>
          <cell r="AA2929" t="str">
            <v>공구손료</v>
          </cell>
          <cell r="AM2929">
            <v>77401</v>
          </cell>
          <cell r="AN2929">
            <v>0</v>
          </cell>
        </row>
        <row r="2930">
          <cell r="A2930" t="str">
            <v>104-8</v>
          </cell>
          <cell r="B2930">
            <v>518</v>
          </cell>
          <cell r="D2930" t="str">
            <v>통신내선공</v>
          </cell>
          <cell r="E2930">
            <v>0</v>
          </cell>
          <cell r="F2930" t="str">
            <v>인</v>
          </cell>
          <cell r="H2930">
            <v>1</v>
          </cell>
          <cell r="I2930" t="str">
            <v>x</v>
          </cell>
          <cell r="J2930">
            <v>0.03</v>
          </cell>
          <cell r="V2930" t="str">
            <v>=</v>
          </cell>
          <cell r="W2930">
            <v>0.03</v>
          </cell>
          <cell r="Y2930" t="str">
            <v>기본</v>
          </cell>
          <cell r="Z2930" t="str">
            <v>x</v>
          </cell>
          <cell r="AA2930" t="str">
            <v>공구손료</v>
          </cell>
          <cell r="AM2930">
            <v>63806</v>
          </cell>
          <cell r="AN2930">
            <v>0</v>
          </cell>
        </row>
        <row r="2931">
          <cell r="AM2931">
            <v>0</v>
          </cell>
          <cell r="AN2931">
            <v>0</v>
          </cell>
        </row>
        <row r="2932">
          <cell r="AM2932">
            <v>0</v>
          </cell>
          <cell r="AN2932">
            <v>0</v>
          </cell>
        </row>
        <row r="2933">
          <cell r="AM2933">
            <v>0</v>
          </cell>
          <cell r="AN2933">
            <v>0</v>
          </cell>
        </row>
        <row r="2934">
          <cell r="AM2934">
            <v>0</v>
          </cell>
        </row>
        <row r="2935">
          <cell r="AM2935">
            <v>0</v>
          </cell>
        </row>
        <row r="2936">
          <cell r="AM2936">
            <v>0</v>
          </cell>
          <cell r="AN2936">
            <v>0</v>
          </cell>
        </row>
        <row r="2937">
          <cell r="AM2937">
            <v>0</v>
          </cell>
          <cell r="AN2937">
            <v>0</v>
          </cell>
        </row>
        <row r="2938">
          <cell r="AM2938">
            <v>0</v>
          </cell>
          <cell r="AN2938">
            <v>0</v>
          </cell>
        </row>
        <row r="2939">
          <cell r="AM2939">
            <v>0</v>
          </cell>
          <cell r="AN2939">
            <v>0</v>
          </cell>
        </row>
        <row r="2940">
          <cell r="AM2940">
            <v>0</v>
          </cell>
          <cell r="AN2940">
            <v>0</v>
          </cell>
        </row>
        <row r="2941">
          <cell r="AM2941">
            <v>0</v>
          </cell>
          <cell r="AN2941">
            <v>0</v>
          </cell>
        </row>
        <row r="2942">
          <cell r="AM2942">
            <v>0</v>
          </cell>
          <cell r="AN2942">
            <v>0</v>
          </cell>
        </row>
        <row r="2943">
          <cell r="AM2943">
            <v>0</v>
          </cell>
          <cell r="AN2943">
            <v>0</v>
          </cell>
        </row>
        <row r="2944">
          <cell r="AM2944">
            <v>0</v>
          </cell>
          <cell r="AN2944">
            <v>0</v>
          </cell>
        </row>
        <row r="2945">
          <cell r="W2945">
            <v>0</v>
          </cell>
          <cell r="AM2945">
            <v>0</v>
          </cell>
          <cell r="AN2945">
            <v>0</v>
          </cell>
        </row>
        <row r="2946">
          <cell r="A2946">
            <v>105</v>
          </cell>
          <cell r="C2946">
            <v>105</v>
          </cell>
          <cell r="D2946" t="str">
            <v>TALK-BACK신설</v>
          </cell>
          <cell r="E2946" t="str">
            <v>모장치(30회로)</v>
          </cell>
          <cell r="F2946" t="str">
            <v>대</v>
          </cell>
          <cell r="AM2946">
            <v>0</v>
          </cell>
          <cell r="AN2946">
            <v>0</v>
          </cell>
        </row>
        <row r="2947">
          <cell r="A2947" t="str">
            <v>105-1</v>
          </cell>
          <cell r="B2947">
            <v>541</v>
          </cell>
          <cell r="D2947" t="str">
            <v>가. 재료비</v>
          </cell>
          <cell r="E2947">
            <v>0</v>
          </cell>
          <cell r="F2947">
            <v>0</v>
          </cell>
          <cell r="AM2947">
            <v>0</v>
          </cell>
          <cell r="AN2947">
            <v>0</v>
          </cell>
        </row>
        <row r="2948">
          <cell r="A2948" t="str">
            <v>105-2</v>
          </cell>
          <cell r="B2948">
            <v>96</v>
          </cell>
          <cell r="D2948" t="str">
            <v>TALK-BACK 모장치</v>
          </cell>
          <cell r="E2948" t="str">
            <v>TR30W, 30회로</v>
          </cell>
          <cell r="F2948" t="str">
            <v>대</v>
          </cell>
          <cell r="H2948">
            <v>1</v>
          </cell>
          <cell r="V2948" t="str">
            <v>=</v>
          </cell>
          <cell r="W2948">
            <v>1</v>
          </cell>
          <cell r="AM2948">
            <v>7392000</v>
          </cell>
          <cell r="AN2948">
            <v>0</v>
          </cell>
        </row>
        <row r="2949">
          <cell r="A2949" t="str">
            <v>105-3</v>
          </cell>
          <cell r="B2949">
            <v>542</v>
          </cell>
          <cell r="D2949" t="str">
            <v>나. 노무비</v>
          </cell>
          <cell r="E2949">
            <v>0</v>
          </cell>
          <cell r="F2949">
            <v>0</v>
          </cell>
          <cell r="AM2949">
            <v>0</v>
          </cell>
          <cell r="AN2949">
            <v>0</v>
          </cell>
        </row>
        <row r="2950">
          <cell r="B2950">
            <v>517</v>
          </cell>
          <cell r="D2950" t="str">
            <v>통신설비공</v>
          </cell>
          <cell r="E2950">
            <v>0</v>
          </cell>
          <cell r="F2950" t="str">
            <v>인</v>
          </cell>
          <cell r="H2950">
            <v>2</v>
          </cell>
          <cell r="I2950" t="str">
            <v>+</v>
          </cell>
          <cell r="J2950">
            <v>1</v>
          </cell>
          <cell r="K2950" t="str">
            <v>x</v>
          </cell>
          <cell r="L2950" t="str">
            <v>(</v>
          </cell>
          <cell r="M2950">
            <v>10</v>
          </cell>
          <cell r="N2950" t="str">
            <v>x</v>
          </cell>
          <cell r="O2950">
            <v>0.05</v>
          </cell>
          <cell r="P2950" t="str">
            <v>)</v>
          </cell>
          <cell r="V2950" t="str">
            <v>=</v>
          </cell>
          <cell r="W2950">
            <v>2.5</v>
          </cell>
          <cell r="Y2950" t="str">
            <v>기본</v>
          </cell>
          <cell r="Z2950" t="str">
            <v>+</v>
          </cell>
          <cell r="AA2950" t="str">
            <v>단위량</v>
          </cell>
          <cell r="AB2950" t="str">
            <v>x</v>
          </cell>
          <cell r="AC2950" t="str">
            <v>(</v>
          </cell>
          <cell r="AD2950" t="str">
            <v>증회선</v>
          </cell>
          <cell r="AE2950" t="str">
            <v>x</v>
          </cell>
          <cell r="AF2950" t="str">
            <v>5%가산</v>
          </cell>
          <cell r="AG2950" t="str">
            <v>)</v>
          </cell>
          <cell r="AL2950" t="str">
            <v>통3-29</v>
          </cell>
          <cell r="AM2950">
            <v>77401</v>
          </cell>
          <cell r="AN2950">
            <v>0</v>
          </cell>
        </row>
        <row r="2951">
          <cell r="B2951">
            <v>518</v>
          </cell>
          <cell r="D2951" t="str">
            <v>통신내선공</v>
          </cell>
          <cell r="E2951">
            <v>0</v>
          </cell>
          <cell r="F2951" t="str">
            <v>인</v>
          </cell>
          <cell r="H2951">
            <v>1</v>
          </cell>
          <cell r="I2951" t="str">
            <v>+</v>
          </cell>
          <cell r="J2951">
            <v>1</v>
          </cell>
          <cell r="K2951" t="str">
            <v>x</v>
          </cell>
          <cell r="L2951" t="str">
            <v>(</v>
          </cell>
          <cell r="M2951">
            <v>10</v>
          </cell>
          <cell r="N2951" t="str">
            <v>x</v>
          </cell>
          <cell r="O2951">
            <v>0.05</v>
          </cell>
          <cell r="P2951" t="str">
            <v>)</v>
          </cell>
          <cell r="V2951" t="str">
            <v>=</v>
          </cell>
          <cell r="W2951">
            <v>1.5</v>
          </cell>
          <cell r="Y2951" t="str">
            <v>기본</v>
          </cell>
          <cell r="Z2951" t="str">
            <v>+</v>
          </cell>
          <cell r="AA2951" t="str">
            <v>단위량</v>
          </cell>
          <cell r="AB2951" t="str">
            <v>x</v>
          </cell>
          <cell r="AC2951" t="str">
            <v>(</v>
          </cell>
          <cell r="AD2951" t="str">
            <v>증회선</v>
          </cell>
          <cell r="AE2951" t="str">
            <v>x</v>
          </cell>
          <cell r="AF2951" t="str">
            <v>5%가산</v>
          </cell>
          <cell r="AG2951" t="str">
            <v>)</v>
          </cell>
          <cell r="AM2951">
            <v>63806</v>
          </cell>
          <cell r="AN2951">
            <v>0</v>
          </cell>
        </row>
        <row r="2952">
          <cell r="B2952">
            <v>544</v>
          </cell>
          <cell r="D2952" t="str">
            <v>소    계</v>
          </cell>
          <cell r="E2952">
            <v>0</v>
          </cell>
          <cell r="F2952">
            <v>0</v>
          </cell>
          <cell r="AM2952">
            <v>0</v>
          </cell>
          <cell r="AN2952">
            <v>0</v>
          </cell>
        </row>
        <row r="2953">
          <cell r="A2953" t="str">
            <v>105-4</v>
          </cell>
          <cell r="B2953">
            <v>517</v>
          </cell>
          <cell r="D2953" t="str">
            <v>통신설비공</v>
          </cell>
          <cell r="E2953">
            <v>0</v>
          </cell>
          <cell r="F2953" t="str">
            <v>인</v>
          </cell>
          <cell r="V2953" t="str">
            <v>=</v>
          </cell>
          <cell r="W2953">
            <v>2.5</v>
          </cell>
          <cell r="AM2953">
            <v>77401</v>
          </cell>
          <cell r="AN2953">
            <v>0</v>
          </cell>
        </row>
        <row r="2954">
          <cell r="A2954" t="str">
            <v>105-5</v>
          </cell>
          <cell r="B2954">
            <v>518</v>
          </cell>
          <cell r="D2954" t="str">
            <v>통신내선공</v>
          </cell>
          <cell r="E2954">
            <v>0</v>
          </cell>
          <cell r="F2954" t="str">
            <v>인</v>
          </cell>
          <cell r="V2954" t="str">
            <v>=</v>
          </cell>
          <cell r="W2954">
            <v>1.5</v>
          </cell>
          <cell r="AM2954">
            <v>63806</v>
          </cell>
        </row>
        <row r="2955">
          <cell r="A2955" t="str">
            <v>105-6</v>
          </cell>
          <cell r="B2955">
            <v>543</v>
          </cell>
          <cell r="D2955" t="str">
            <v>다. 공구손료</v>
          </cell>
          <cell r="E2955" t="str">
            <v>노무비x3%</v>
          </cell>
          <cell r="F2955">
            <v>0</v>
          </cell>
          <cell r="AM2955">
            <v>0</v>
          </cell>
          <cell r="AN2955">
            <v>0</v>
          </cell>
        </row>
        <row r="2956">
          <cell r="A2956" t="str">
            <v>105-7</v>
          </cell>
          <cell r="B2956">
            <v>517</v>
          </cell>
          <cell r="D2956" t="str">
            <v>통신설비공</v>
          </cell>
          <cell r="E2956">
            <v>0</v>
          </cell>
          <cell r="F2956" t="str">
            <v>인</v>
          </cell>
          <cell r="H2956">
            <v>2.5</v>
          </cell>
          <cell r="I2956" t="str">
            <v>x</v>
          </cell>
          <cell r="J2956">
            <v>0.03</v>
          </cell>
          <cell r="V2956" t="str">
            <v>=</v>
          </cell>
          <cell r="W2956">
            <v>0.08</v>
          </cell>
          <cell r="Y2956" t="str">
            <v>기본</v>
          </cell>
          <cell r="Z2956" t="str">
            <v>x</v>
          </cell>
          <cell r="AA2956" t="str">
            <v>공구손료</v>
          </cell>
          <cell r="AM2956">
            <v>77401</v>
          </cell>
          <cell r="AN2956">
            <v>0</v>
          </cell>
        </row>
        <row r="2957">
          <cell r="A2957" t="str">
            <v>105-8</v>
          </cell>
          <cell r="B2957">
            <v>518</v>
          </cell>
          <cell r="D2957" t="str">
            <v>통신내선공</v>
          </cell>
          <cell r="E2957">
            <v>0</v>
          </cell>
          <cell r="F2957" t="str">
            <v>인</v>
          </cell>
          <cell r="H2957">
            <v>1.5</v>
          </cell>
          <cell r="I2957" t="str">
            <v>x</v>
          </cell>
          <cell r="J2957">
            <v>0.03</v>
          </cell>
          <cell r="V2957" t="str">
            <v>=</v>
          </cell>
          <cell r="W2957">
            <v>0.05</v>
          </cell>
          <cell r="Y2957" t="str">
            <v>기본</v>
          </cell>
          <cell r="Z2957" t="str">
            <v>x</v>
          </cell>
          <cell r="AA2957" t="str">
            <v>공구손료</v>
          </cell>
          <cell r="AM2957">
            <v>63806</v>
          </cell>
          <cell r="AN2957">
            <v>0</v>
          </cell>
        </row>
        <row r="2958">
          <cell r="AM2958">
            <v>0</v>
          </cell>
        </row>
        <row r="2959">
          <cell r="AM2959">
            <v>0</v>
          </cell>
        </row>
        <row r="2960">
          <cell r="AM2960">
            <v>0</v>
          </cell>
        </row>
        <row r="2961">
          <cell r="AM2961">
            <v>0</v>
          </cell>
        </row>
        <row r="2962">
          <cell r="AM2962">
            <v>0</v>
          </cell>
        </row>
        <row r="2963">
          <cell r="AM2963">
            <v>0</v>
          </cell>
        </row>
        <row r="2964">
          <cell r="AM2964">
            <v>0</v>
          </cell>
        </row>
        <row r="2965">
          <cell r="AM2965">
            <v>0</v>
          </cell>
        </row>
        <row r="2966">
          <cell r="AM2966">
            <v>0</v>
          </cell>
        </row>
        <row r="2967">
          <cell r="AM2967">
            <v>0</v>
          </cell>
          <cell r="AN2967">
            <v>0</v>
          </cell>
        </row>
        <row r="2968">
          <cell r="AM2968">
            <v>0</v>
          </cell>
        </row>
        <row r="2969">
          <cell r="AM2969">
            <v>0</v>
          </cell>
        </row>
        <row r="2970">
          <cell r="AM2970">
            <v>0</v>
          </cell>
          <cell r="AN2970">
            <v>0</v>
          </cell>
        </row>
        <row r="2971">
          <cell r="AM2971">
            <v>0</v>
          </cell>
          <cell r="AN2971">
            <v>0</v>
          </cell>
        </row>
        <row r="2972">
          <cell r="W2972">
            <v>0</v>
          </cell>
          <cell r="AM2972">
            <v>0</v>
          </cell>
          <cell r="AN2972">
            <v>0</v>
          </cell>
        </row>
        <row r="2973">
          <cell r="A2973">
            <v>106</v>
          </cell>
          <cell r="C2973">
            <v>106</v>
          </cell>
          <cell r="D2973" t="str">
            <v>TALK-BACK자장치신설</v>
          </cell>
          <cell r="E2973" t="str">
            <v>5W,기초대형</v>
          </cell>
          <cell r="F2973" t="str">
            <v>대</v>
          </cell>
          <cell r="AM2973">
            <v>0</v>
          </cell>
          <cell r="AN2973">
            <v>0</v>
          </cell>
        </row>
        <row r="2974">
          <cell r="A2974" t="str">
            <v>106-1</v>
          </cell>
          <cell r="B2974">
            <v>541</v>
          </cell>
          <cell r="D2974" t="str">
            <v>가. 재료비</v>
          </cell>
          <cell r="E2974">
            <v>0</v>
          </cell>
          <cell r="F2974">
            <v>0</v>
          </cell>
          <cell r="AM2974">
            <v>0</v>
          </cell>
          <cell r="AN2974">
            <v>0</v>
          </cell>
        </row>
        <row r="2975">
          <cell r="A2975" t="str">
            <v>106-2</v>
          </cell>
          <cell r="B2975">
            <v>5</v>
          </cell>
          <cell r="D2975" t="str">
            <v>보통합판</v>
          </cell>
          <cell r="E2975" t="str">
            <v>12x1220x2440</v>
          </cell>
          <cell r="F2975" t="str">
            <v>㎡</v>
          </cell>
          <cell r="H2975">
            <v>1.03</v>
          </cell>
          <cell r="I2975" t="str">
            <v>x</v>
          </cell>
          <cell r="J2975">
            <v>0.371</v>
          </cell>
          <cell r="K2975" t="str">
            <v>x</v>
          </cell>
          <cell r="M2975">
            <v>0.97</v>
          </cell>
          <cell r="V2975" t="str">
            <v>=</v>
          </cell>
          <cell r="W2975">
            <v>0.371</v>
          </cell>
          <cell r="Y2975" t="str">
            <v>기본</v>
          </cell>
          <cell r="Z2975" t="str">
            <v>x</v>
          </cell>
          <cell r="AA2975" t="str">
            <v>사용회수</v>
          </cell>
          <cell r="AB2975" t="str">
            <v>x</v>
          </cell>
          <cell r="AC2975" t="str">
            <v>거푸집량</v>
          </cell>
          <cell r="AL2975" t="str">
            <v>건 6-3-나</v>
          </cell>
          <cell r="AM2975">
            <v>5106</v>
          </cell>
          <cell r="AN2975">
            <v>0</v>
          </cell>
        </row>
        <row r="2976">
          <cell r="A2976" t="str">
            <v>106-3</v>
          </cell>
          <cell r="B2976">
            <v>6</v>
          </cell>
          <cell r="D2976" t="str">
            <v>각재</v>
          </cell>
          <cell r="E2976" t="str">
            <v>외송</v>
          </cell>
          <cell r="F2976" t="str">
            <v>㎥</v>
          </cell>
          <cell r="H2976">
            <v>3.7999999999999999E-2</v>
          </cell>
          <cell r="I2976" t="str">
            <v>x</v>
          </cell>
          <cell r="J2976">
            <v>0.371</v>
          </cell>
          <cell r="K2976" t="str">
            <v>x</v>
          </cell>
          <cell r="M2976">
            <v>0.97</v>
          </cell>
          <cell r="V2976" t="str">
            <v>=</v>
          </cell>
          <cell r="W2976">
            <v>1.4E-2</v>
          </cell>
          <cell r="Y2976" t="str">
            <v>기본</v>
          </cell>
          <cell r="Z2976" t="str">
            <v>x</v>
          </cell>
          <cell r="AA2976" t="str">
            <v>사용회수</v>
          </cell>
          <cell r="AB2976" t="str">
            <v>x</v>
          </cell>
          <cell r="AC2976" t="str">
            <v>거푸집량</v>
          </cell>
          <cell r="AM2976">
            <v>210000</v>
          </cell>
          <cell r="AN2976">
            <v>0</v>
          </cell>
        </row>
        <row r="2977">
          <cell r="A2977" t="str">
            <v>106-4</v>
          </cell>
          <cell r="B2977">
            <v>90</v>
          </cell>
          <cell r="D2977" t="str">
            <v>소철선</v>
          </cell>
          <cell r="E2977" t="str">
            <v>#8</v>
          </cell>
          <cell r="F2977" t="str">
            <v>㎏</v>
          </cell>
          <cell r="H2977">
            <v>0.28999999999999998</v>
          </cell>
          <cell r="I2977" t="str">
            <v>x</v>
          </cell>
          <cell r="J2977">
            <v>0.371</v>
          </cell>
          <cell r="K2977" t="str">
            <v>x</v>
          </cell>
          <cell r="M2977">
            <v>0.97</v>
          </cell>
          <cell r="V2977" t="str">
            <v>=</v>
          </cell>
          <cell r="W2977">
            <v>0.104</v>
          </cell>
          <cell r="Y2977" t="str">
            <v>기본</v>
          </cell>
          <cell r="Z2977" t="str">
            <v>x</v>
          </cell>
          <cell r="AA2977" t="str">
            <v>사용회수</v>
          </cell>
          <cell r="AB2977" t="str">
            <v>x</v>
          </cell>
          <cell r="AC2977" t="str">
            <v>거푸집량</v>
          </cell>
          <cell r="AM2977">
            <v>580</v>
          </cell>
          <cell r="AN2977">
            <v>0</v>
          </cell>
        </row>
        <row r="2978">
          <cell r="A2978" t="str">
            <v>106-5</v>
          </cell>
          <cell r="B2978">
            <v>9</v>
          </cell>
          <cell r="D2978" t="str">
            <v>박리제</v>
          </cell>
          <cell r="E2978" t="str">
            <v>유성</v>
          </cell>
          <cell r="F2978" t="str">
            <v>ℓ</v>
          </cell>
          <cell r="H2978">
            <v>0.19</v>
          </cell>
          <cell r="I2978" t="str">
            <v>x</v>
          </cell>
          <cell r="J2978">
            <v>0.371</v>
          </cell>
          <cell r="K2978" t="str">
            <v>x</v>
          </cell>
          <cell r="M2978">
            <v>0.97</v>
          </cell>
          <cell r="V2978" t="str">
            <v>=</v>
          </cell>
          <cell r="W2978">
            <v>6.8000000000000005E-2</v>
          </cell>
          <cell r="Y2978" t="str">
            <v>기본</v>
          </cell>
          <cell r="Z2978" t="str">
            <v>x</v>
          </cell>
          <cell r="AA2978" t="str">
            <v>사용회수</v>
          </cell>
          <cell r="AB2978" t="str">
            <v>x</v>
          </cell>
          <cell r="AC2978" t="str">
            <v>거푸집량</v>
          </cell>
          <cell r="AM2978">
            <v>900</v>
          </cell>
          <cell r="AN2978">
            <v>0</v>
          </cell>
        </row>
        <row r="2979">
          <cell r="A2979" t="str">
            <v>106-6</v>
          </cell>
          <cell r="B2979">
            <v>7</v>
          </cell>
          <cell r="D2979" t="str">
            <v>철못</v>
          </cell>
          <cell r="E2979" t="str">
            <v>50mm</v>
          </cell>
          <cell r="F2979" t="str">
            <v>㎏</v>
          </cell>
          <cell r="H2979">
            <v>0.2</v>
          </cell>
          <cell r="I2979" t="str">
            <v>x</v>
          </cell>
          <cell r="J2979">
            <v>0.371</v>
          </cell>
          <cell r="K2979" t="str">
            <v>x</v>
          </cell>
          <cell r="M2979">
            <v>0.97</v>
          </cell>
          <cell r="V2979" t="str">
            <v>=</v>
          </cell>
          <cell r="W2979">
            <v>7.1999999999999995E-2</v>
          </cell>
          <cell r="Y2979" t="str">
            <v>기본</v>
          </cell>
          <cell r="Z2979" t="str">
            <v>x</v>
          </cell>
          <cell r="AA2979" t="str">
            <v>사용회수</v>
          </cell>
          <cell r="AB2979" t="str">
            <v>x</v>
          </cell>
          <cell r="AC2979" t="str">
            <v>거푸집량</v>
          </cell>
          <cell r="AM2979">
            <v>568</v>
          </cell>
          <cell r="AN2979">
            <v>0</v>
          </cell>
        </row>
        <row r="2980">
          <cell r="A2980" t="str">
            <v>106-7</v>
          </cell>
          <cell r="B2980">
            <v>2</v>
          </cell>
          <cell r="D2980" t="str">
            <v>시멘트</v>
          </cell>
          <cell r="E2980" t="str">
            <v>40㎏</v>
          </cell>
          <cell r="F2980" t="str">
            <v>포</v>
          </cell>
          <cell r="H2980">
            <v>320</v>
          </cell>
          <cell r="I2980" t="str">
            <v>x</v>
          </cell>
          <cell r="J2980">
            <v>0.02</v>
          </cell>
          <cell r="K2980" t="str">
            <v>/</v>
          </cell>
          <cell r="M2980">
            <v>40</v>
          </cell>
          <cell r="V2980" t="str">
            <v>=</v>
          </cell>
          <cell r="W2980">
            <v>0.16</v>
          </cell>
          <cell r="Y2980" t="str">
            <v>기본</v>
          </cell>
          <cell r="Z2980" t="str">
            <v>x</v>
          </cell>
          <cell r="AA2980" t="str">
            <v>콘크리트량</v>
          </cell>
          <cell r="AB2980" t="str">
            <v>/</v>
          </cell>
          <cell r="AC2980" t="str">
            <v>포</v>
          </cell>
          <cell r="AM2980">
            <v>2497</v>
          </cell>
          <cell r="AN2980">
            <v>0</v>
          </cell>
        </row>
        <row r="2981">
          <cell r="A2981" t="str">
            <v>106-8</v>
          </cell>
          <cell r="B2981">
            <v>3</v>
          </cell>
          <cell r="D2981" t="str">
            <v>모래</v>
          </cell>
          <cell r="E2981" t="str">
            <v>세사(친모래)</v>
          </cell>
          <cell r="F2981" t="str">
            <v>㎥</v>
          </cell>
          <cell r="H2981">
            <v>0.45</v>
          </cell>
          <cell r="I2981" t="str">
            <v>x</v>
          </cell>
          <cell r="J2981">
            <v>0.02</v>
          </cell>
          <cell r="V2981" t="str">
            <v>=</v>
          </cell>
          <cell r="W2981">
            <v>0.01</v>
          </cell>
          <cell r="Y2981" t="str">
            <v>기본</v>
          </cell>
          <cell r="Z2981" t="str">
            <v>x</v>
          </cell>
          <cell r="AA2981" t="str">
            <v>콘크리트량</v>
          </cell>
          <cell r="AM2981">
            <v>13000</v>
          </cell>
          <cell r="AN2981">
            <v>0</v>
          </cell>
        </row>
        <row r="2982">
          <cell r="A2982" t="str">
            <v>106-9</v>
          </cell>
          <cell r="B2982">
            <v>82</v>
          </cell>
          <cell r="D2982" t="str">
            <v>자갈</v>
          </cell>
          <cell r="E2982" t="str">
            <v>25mm</v>
          </cell>
          <cell r="F2982" t="str">
            <v>㎥</v>
          </cell>
          <cell r="H2982">
            <v>0.9</v>
          </cell>
          <cell r="I2982" t="str">
            <v>x</v>
          </cell>
          <cell r="J2982">
            <v>0.02</v>
          </cell>
          <cell r="V2982" t="str">
            <v>=</v>
          </cell>
          <cell r="W2982">
            <v>0.02</v>
          </cell>
          <cell r="Y2982" t="str">
            <v>기본</v>
          </cell>
          <cell r="AA2982" t="str">
            <v>콘크리트량</v>
          </cell>
          <cell r="AM2982">
            <v>8500</v>
          </cell>
          <cell r="AN2982">
            <v>0</v>
          </cell>
        </row>
        <row r="2983">
          <cell r="A2983" t="str">
            <v>106-10</v>
          </cell>
          <cell r="B2983">
            <v>67</v>
          </cell>
          <cell r="D2983" t="str">
            <v>자갈(막돌)</v>
          </cell>
          <cell r="E2983" t="str">
            <v>#467(40mm)</v>
          </cell>
          <cell r="F2983" t="str">
            <v>㎥</v>
          </cell>
          <cell r="H2983">
            <v>0.03</v>
          </cell>
          <cell r="V2983" t="str">
            <v>=</v>
          </cell>
          <cell r="W2983">
            <v>0.03</v>
          </cell>
          <cell r="Y2983" t="str">
            <v>기본</v>
          </cell>
          <cell r="AM2983">
            <v>8500</v>
          </cell>
          <cell r="AN2983">
            <v>0</v>
          </cell>
        </row>
        <row r="2984">
          <cell r="A2984" t="str">
            <v>106-11</v>
          </cell>
          <cell r="B2984">
            <v>144</v>
          </cell>
          <cell r="D2984" t="str">
            <v>TALK-BACK 자장치</v>
          </cell>
          <cell r="E2984" t="str">
            <v>5W 기초대형</v>
          </cell>
          <cell r="F2984" t="str">
            <v>대</v>
          </cell>
          <cell r="H2984">
            <v>1</v>
          </cell>
          <cell r="V2984" t="str">
            <v>=</v>
          </cell>
          <cell r="W2984">
            <v>1</v>
          </cell>
          <cell r="Y2984" t="str">
            <v>기본</v>
          </cell>
          <cell r="AM2984">
            <v>272000</v>
          </cell>
          <cell r="AN2984">
            <v>0</v>
          </cell>
        </row>
        <row r="2985">
          <cell r="A2985" t="str">
            <v>106-12</v>
          </cell>
          <cell r="B2985">
            <v>542</v>
          </cell>
          <cell r="D2985" t="str">
            <v>나. 노무비</v>
          </cell>
          <cell r="E2985">
            <v>0</v>
          </cell>
          <cell r="F2985">
            <v>0</v>
          </cell>
          <cell r="AM2985">
            <v>0</v>
          </cell>
          <cell r="AN2985">
            <v>0</v>
          </cell>
        </row>
        <row r="2986">
          <cell r="D2986" t="str">
            <v>1) 콘크리트타설</v>
          </cell>
          <cell r="E2986" t="str">
            <v>(1:2:4)</v>
          </cell>
          <cell r="AM2986">
            <v>0</v>
          </cell>
          <cell r="AN2986">
            <v>0</v>
          </cell>
        </row>
        <row r="2987">
          <cell r="B2987">
            <v>506</v>
          </cell>
          <cell r="D2987" t="str">
            <v>콘크리트공</v>
          </cell>
          <cell r="F2987" t="str">
            <v>인</v>
          </cell>
          <cell r="H2987">
            <v>0.85</v>
          </cell>
          <cell r="I2987" t="str">
            <v>x</v>
          </cell>
          <cell r="J2987">
            <v>0.02</v>
          </cell>
          <cell r="V2987" t="str">
            <v>=</v>
          </cell>
          <cell r="W2987">
            <v>0.02</v>
          </cell>
          <cell r="Y2987" t="str">
            <v>기본</v>
          </cell>
          <cell r="Z2987" t="str">
            <v>x</v>
          </cell>
          <cell r="AA2987" t="str">
            <v>콘크리트량</v>
          </cell>
          <cell r="AL2987" t="str">
            <v>건 6-1-1-3</v>
          </cell>
          <cell r="AM2987">
            <v>68884</v>
          </cell>
          <cell r="AN2987">
            <v>0</v>
          </cell>
        </row>
        <row r="2988">
          <cell r="B2988">
            <v>523</v>
          </cell>
          <cell r="D2988" t="str">
            <v>보통인부</v>
          </cell>
          <cell r="E2988">
            <v>0</v>
          </cell>
          <cell r="F2988" t="str">
            <v>인</v>
          </cell>
          <cell r="H2988">
            <v>0.82</v>
          </cell>
          <cell r="I2988" t="str">
            <v>x</v>
          </cell>
          <cell r="J2988">
            <v>0.02</v>
          </cell>
          <cell r="V2988" t="str">
            <v>=</v>
          </cell>
          <cell r="W2988">
            <v>0.02</v>
          </cell>
          <cell r="Y2988" t="str">
            <v>기본</v>
          </cell>
          <cell r="Z2988" t="str">
            <v>x</v>
          </cell>
          <cell r="AA2988" t="str">
            <v>콘크리트량</v>
          </cell>
          <cell r="AM2988">
            <v>40922</v>
          </cell>
          <cell r="AN2988">
            <v>0</v>
          </cell>
        </row>
        <row r="2989">
          <cell r="D2989" t="str">
            <v>2) 합판거푸집</v>
          </cell>
          <cell r="E2989" t="str">
            <v>5회</v>
          </cell>
          <cell r="AM2989">
            <v>0</v>
          </cell>
          <cell r="AN2989">
            <v>0</v>
          </cell>
        </row>
        <row r="2990">
          <cell r="B2990">
            <v>501</v>
          </cell>
          <cell r="D2990" t="str">
            <v>형틀목공</v>
          </cell>
          <cell r="E2990">
            <v>0</v>
          </cell>
          <cell r="F2990" t="str">
            <v>인</v>
          </cell>
          <cell r="H2990">
            <v>0.3</v>
          </cell>
          <cell r="I2990" t="str">
            <v>x</v>
          </cell>
          <cell r="J2990">
            <v>0.97</v>
          </cell>
          <cell r="K2990" t="str">
            <v>x</v>
          </cell>
          <cell r="M2990">
            <v>0.34200000000000003</v>
          </cell>
          <cell r="V2990" t="str">
            <v>=</v>
          </cell>
          <cell r="W2990">
            <v>0.1</v>
          </cell>
          <cell r="Y2990" t="str">
            <v>기본</v>
          </cell>
          <cell r="Z2990" t="str">
            <v>x</v>
          </cell>
          <cell r="AA2990" t="str">
            <v>거푸집량</v>
          </cell>
          <cell r="AB2990" t="str">
            <v>x</v>
          </cell>
          <cell r="AD2990" t="str">
            <v>사용회수</v>
          </cell>
          <cell r="AL2990" t="str">
            <v>건 6-3-2</v>
          </cell>
          <cell r="AM2990">
            <v>71251</v>
          </cell>
          <cell r="AN2990">
            <v>0</v>
          </cell>
        </row>
        <row r="2991">
          <cell r="B2991">
            <v>523</v>
          </cell>
          <cell r="D2991" t="str">
            <v>보통인부</v>
          </cell>
          <cell r="E2991">
            <v>0</v>
          </cell>
          <cell r="F2991" t="str">
            <v>인</v>
          </cell>
          <cell r="H2991">
            <v>0.25</v>
          </cell>
          <cell r="I2991" t="str">
            <v>x</v>
          </cell>
          <cell r="J2991">
            <v>0.97</v>
          </cell>
          <cell r="K2991" t="str">
            <v>x</v>
          </cell>
          <cell r="M2991">
            <v>0.34200000000000003</v>
          </cell>
          <cell r="V2991" t="str">
            <v>=</v>
          </cell>
          <cell r="W2991">
            <v>0.08</v>
          </cell>
          <cell r="Y2991" t="str">
            <v>기본</v>
          </cell>
          <cell r="Z2991" t="str">
            <v>x</v>
          </cell>
          <cell r="AA2991" t="str">
            <v>거푸집량</v>
          </cell>
          <cell r="AB2991" t="str">
            <v>x</v>
          </cell>
          <cell r="AD2991" t="str">
            <v>사용회수</v>
          </cell>
          <cell r="AM2991">
            <v>40922</v>
          </cell>
          <cell r="AN2991">
            <v>0</v>
          </cell>
        </row>
        <row r="2992">
          <cell r="D2992" t="str">
            <v>3) 터파기, 되메우기, 다지기(0∼1m)</v>
          </cell>
          <cell r="AM2992">
            <v>0</v>
          </cell>
          <cell r="AN2992">
            <v>0</v>
          </cell>
        </row>
        <row r="2993">
          <cell r="B2993">
            <v>523</v>
          </cell>
          <cell r="D2993" t="str">
            <v>보통인부</v>
          </cell>
          <cell r="E2993" t="str">
            <v>터파기</v>
          </cell>
          <cell r="F2993" t="str">
            <v>인</v>
          </cell>
          <cell r="H2993">
            <v>0.32</v>
          </cell>
          <cell r="I2993" t="str">
            <v>x</v>
          </cell>
          <cell r="J2993">
            <v>0.37</v>
          </cell>
          <cell r="K2993" t="str">
            <v>x</v>
          </cell>
          <cell r="M2993">
            <v>1.5</v>
          </cell>
          <cell r="V2993" t="str">
            <v>=</v>
          </cell>
          <cell r="W2993">
            <v>0.18</v>
          </cell>
          <cell r="Y2993" t="str">
            <v>기본</v>
          </cell>
          <cell r="Z2993" t="str">
            <v>x</v>
          </cell>
          <cell r="AA2993" t="str">
            <v>토사량</v>
          </cell>
          <cell r="AB2993" t="str">
            <v>x</v>
          </cell>
          <cell r="AC2993" t="str">
            <v>독립기초(협소)</v>
          </cell>
          <cell r="AL2993" t="str">
            <v>건 3-1-나</v>
          </cell>
          <cell r="AM2993">
            <v>40922</v>
          </cell>
          <cell r="AN2993">
            <v>0</v>
          </cell>
        </row>
        <row r="2994">
          <cell r="B2994">
            <v>523</v>
          </cell>
          <cell r="D2994" t="str">
            <v>보통인부</v>
          </cell>
          <cell r="E2994" t="str">
            <v>되메우기</v>
          </cell>
          <cell r="F2994" t="str">
            <v>인</v>
          </cell>
          <cell r="H2994">
            <v>0.1</v>
          </cell>
          <cell r="I2994" t="str">
            <v>x</v>
          </cell>
          <cell r="J2994">
            <v>0.32</v>
          </cell>
          <cell r="V2994" t="str">
            <v>=</v>
          </cell>
          <cell r="W2994">
            <v>0.03</v>
          </cell>
          <cell r="Y2994" t="str">
            <v>기본</v>
          </cell>
          <cell r="Z2994" t="str">
            <v>x</v>
          </cell>
          <cell r="AA2994" t="str">
            <v>토사량</v>
          </cell>
          <cell r="AM2994">
            <v>40922</v>
          </cell>
          <cell r="AN2994">
            <v>0</v>
          </cell>
        </row>
        <row r="2995">
          <cell r="B2995">
            <v>523</v>
          </cell>
          <cell r="D2995" t="str">
            <v>보통인부</v>
          </cell>
          <cell r="E2995" t="str">
            <v>다지기</v>
          </cell>
          <cell r="F2995" t="str">
            <v>인</v>
          </cell>
          <cell r="H2995">
            <v>0.11</v>
          </cell>
          <cell r="I2995" t="str">
            <v>x</v>
          </cell>
          <cell r="J2995">
            <v>0.32</v>
          </cell>
          <cell r="V2995" t="str">
            <v>=</v>
          </cell>
          <cell r="W2995">
            <v>0.04</v>
          </cell>
          <cell r="Y2995" t="str">
            <v>기본</v>
          </cell>
          <cell r="Z2995" t="str">
            <v>x</v>
          </cell>
          <cell r="AA2995" t="str">
            <v>토사량</v>
          </cell>
          <cell r="AL2995" t="str">
            <v>건 3-2</v>
          </cell>
          <cell r="AM2995">
            <v>40922</v>
          </cell>
          <cell r="AN2995">
            <v>0</v>
          </cell>
        </row>
        <row r="2996">
          <cell r="B2996">
            <v>523</v>
          </cell>
          <cell r="D2996" t="str">
            <v>보통인부</v>
          </cell>
          <cell r="E2996" t="str">
            <v>잔토처리</v>
          </cell>
          <cell r="F2996" t="str">
            <v>인</v>
          </cell>
          <cell r="H2996">
            <v>0.2</v>
          </cell>
          <cell r="I2996" t="str">
            <v>x</v>
          </cell>
          <cell r="J2996">
            <v>0.05</v>
          </cell>
          <cell r="V2996" t="str">
            <v>=</v>
          </cell>
          <cell r="W2996">
            <v>0.01</v>
          </cell>
          <cell r="Y2996" t="str">
            <v>기본</v>
          </cell>
          <cell r="Z2996" t="str">
            <v>x</v>
          </cell>
          <cell r="AA2996" t="str">
            <v>토사량</v>
          </cell>
          <cell r="AM2996">
            <v>40922</v>
          </cell>
          <cell r="AN2996">
            <v>0</v>
          </cell>
        </row>
        <row r="2997">
          <cell r="D2997" t="str">
            <v>4)강관주신설</v>
          </cell>
          <cell r="AL2997" t="str">
            <v>통 3-10</v>
          </cell>
          <cell r="AM2997">
            <v>0</v>
          </cell>
          <cell r="AN2997">
            <v>0</v>
          </cell>
        </row>
        <row r="2998">
          <cell r="B2998">
            <v>516</v>
          </cell>
          <cell r="D2998" t="str">
            <v>통신외선공</v>
          </cell>
          <cell r="F2998" t="str">
            <v>인</v>
          </cell>
          <cell r="H2998">
            <v>0.65</v>
          </cell>
          <cell r="I2998" t="str">
            <v>x</v>
          </cell>
          <cell r="J2998">
            <v>1</v>
          </cell>
          <cell r="K2998" t="str">
            <v>x</v>
          </cell>
          <cell r="M2998">
            <v>0.5</v>
          </cell>
          <cell r="V2998" t="str">
            <v>=</v>
          </cell>
          <cell r="W2998">
            <v>0.33</v>
          </cell>
          <cell r="Y2998" t="str">
            <v>기본</v>
          </cell>
          <cell r="Z2998" t="str">
            <v>x</v>
          </cell>
          <cell r="AA2998" t="str">
            <v>단위량</v>
          </cell>
          <cell r="AB2998" t="str">
            <v>x</v>
          </cell>
          <cell r="AC2998" t="str">
            <v>콘크리트주의 50%</v>
          </cell>
          <cell r="AM2998">
            <v>90961</v>
          </cell>
          <cell r="AN2998">
            <v>0</v>
          </cell>
        </row>
        <row r="2999">
          <cell r="B2999">
            <v>523</v>
          </cell>
          <cell r="D2999" t="str">
            <v>보통인부</v>
          </cell>
          <cell r="F2999" t="str">
            <v>인</v>
          </cell>
          <cell r="H2999">
            <v>0.73</v>
          </cell>
          <cell r="I2999" t="str">
            <v>x</v>
          </cell>
          <cell r="J2999">
            <v>1</v>
          </cell>
          <cell r="K2999" t="str">
            <v>x</v>
          </cell>
          <cell r="M2999">
            <v>0.5</v>
          </cell>
          <cell r="V2999" t="str">
            <v>=</v>
          </cell>
          <cell r="W2999">
            <v>0.73</v>
          </cell>
          <cell r="Y2999" t="str">
            <v>기본</v>
          </cell>
          <cell r="Z2999" t="str">
            <v>x</v>
          </cell>
          <cell r="AA2999" t="str">
            <v>단위량</v>
          </cell>
          <cell r="AB2999" t="str">
            <v>x</v>
          </cell>
          <cell r="AC2999" t="str">
            <v>콘크리트주의 50%</v>
          </cell>
          <cell r="AM2999">
            <v>40922</v>
          </cell>
          <cell r="AN2999">
            <v>0</v>
          </cell>
        </row>
        <row r="3000">
          <cell r="D3000" t="str">
            <v>5) 막돌기초다짐</v>
          </cell>
          <cell r="AL3000" t="str">
            <v>건 5-1</v>
          </cell>
          <cell r="AM3000">
            <v>0</v>
          </cell>
          <cell r="AN3000">
            <v>0</v>
          </cell>
        </row>
        <row r="3001">
          <cell r="B3001">
            <v>523</v>
          </cell>
          <cell r="D3001" t="str">
            <v>보통인부</v>
          </cell>
          <cell r="E3001">
            <v>0</v>
          </cell>
          <cell r="F3001" t="str">
            <v>인</v>
          </cell>
          <cell r="H3001">
            <v>0.5</v>
          </cell>
          <cell r="I3001" t="str">
            <v>x</v>
          </cell>
          <cell r="J3001">
            <v>0.03</v>
          </cell>
          <cell r="V3001" t="str">
            <v>=</v>
          </cell>
          <cell r="W3001">
            <v>0.02</v>
          </cell>
          <cell r="Y3001" t="str">
            <v>기본</v>
          </cell>
          <cell r="Z3001" t="str">
            <v>x</v>
          </cell>
          <cell r="AA3001" t="str">
            <v>다짐량</v>
          </cell>
          <cell r="AM3001">
            <v>40922</v>
          </cell>
          <cell r="AN3001">
            <v>0</v>
          </cell>
        </row>
        <row r="3002">
          <cell r="D3002" t="str">
            <v>6) 스피커설치</v>
          </cell>
          <cell r="AM3002">
            <v>0</v>
          </cell>
          <cell r="AN3002">
            <v>0</v>
          </cell>
        </row>
        <row r="3003">
          <cell r="B3003">
            <v>516</v>
          </cell>
          <cell r="D3003" t="str">
            <v>통신외선공</v>
          </cell>
          <cell r="E3003">
            <v>0</v>
          </cell>
          <cell r="F3003" t="str">
            <v>인</v>
          </cell>
          <cell r="H3003">
            <v>0.16</v>
          </cell>
          <cell r="V3003" t="str">
            <v>=</v>
          </cell>
          <cell r="W3003">
            <v>0.16</v>
          </cell>
          <cell r="Y3003" t="str">
            <v>기본</v>
          </cell>
          <cell r="AL3003" t="str">
            <v>통 3-29</v>
          </cell>
          <cell r="AM3003">
            <v>90961</v>
          </cell>
          <cell r="AN3003">
            <v>0</v>
          </cell>
        </row>
        <row r="3004">
          <cell r="B3004">
            <v>544</v>
          </cell>
          <cell r="D3004" t="str">
            <v>소    계</v>
          </cell>
          <cell r="E3004">
            <v>0</v>
          </cell>
          <cell r="F3004">
            <v>0</v>
          </cell>
          <cell r="AM3004">
            <v>0</v>
          </cell>
          <cell r="AN3004">
            <v>0</v>
          </cell>
        </row>
        <row r="3005">
          <cell r="A3005" t="str">
            <v>106-13</v>
          </cell>
          <cell r="B3005">
            <v>506</v>
          </cell>
          <cell r="D3005" t="str">
            <v>콘크리트공</v>
          </cell>
          <cell r="E3005">
            <v>0</v>
          </cell>
          <cell r="F3005" t="str">
            <v>인</v>
          </cell>
          <cell r="V3005" t="str">
            <v>=</v>
          </cell>
          <cell r="W3005">
            <v>0.02</v>
          </cell>
          <cell r="AM3005">
            <v>68884</v>
          </cell>
          <cell r="AN3005">
            <v>0</v>
          </cell>
        </row>
        <row r="3006">
          <cell r="A3006" t="str">
            <v>106-14</v>
          </cell>
          <cell r="B3006">
            <v>501</v>
          </cell>
          <cell r="D3006" t="str">
            <v>형틀목공</v>
          </cell>
          <cell r="E3006">
            <v>0</v>
          </cell>
          <cell r="F3006" t="str">
            <v>인</v>
          </cell>
          <cell r="V3006" t="str">
            <v>=</v>
          </cell>
          <cell r="W3006">
            <v>0.1</v>
          </cell>
          <cell r="AM3006">
            <v>71251</v>
          </cell>
          <cell r="AN3006">
            <v>0</v>
          </cell>
        </row>
        <row r="3007">
          <cell r="A3007" t="str">
            <v>106-15</v>
          </cell>
          <cell r="B3007">
            <v>516</v>
          </cell>
          <cell r="D3007" t="str">
            <v>통신외선공</v>
          </cell>
          <cell r="E3007">
            <v>0</v>
          </cell>
          <cell r="F3007" t="str">
            <v>인</v>
          </cell>
          <cell r="V3007" t="str">
            <v>=</v>
          </cell>
          <cell r="W3007">
            <v>0.49</v>
          </cell>
          <cell r="AM3007">
            <v>90961</v>
          </cell>
          <cell r="AN3007">
            <v>0</v>
          </cell>
        </row>
        <row r="3008">
          <cell r="A3008" t="str">
            <v>106-16</v>
          </cell>
          <cell r="B3008">
            <v>523</v>
          </cell>
          <cell r="D3008" t="str">
            <v>보통인부</v>
          </cell>
          <cell r="E3008">
            <v>0</v>
          </cell>
          <cell r="F3008" t="str">
            <v>인</v>
          </cell>
          <cell r="V3008" t="str">
            <v>=</v>
          </cell>
          <cell r="W3008">
            <v>1.1100000000000001</v>
          </cell>
          <cell r="AM3008">
            <v>40922</v>
          </cell>
          <cell r="AN3008">
            <v>0</v>
          </cell>
        </row>
        <row r="3009">
          <cell r="A3009" t="str">
            <v>106-17</v>
          </cell>
          <cell r="B3009">
            <v>543</v>
          </cell>
          <cell r="D3009" t="str">
            <v>다. 공구손료</v>
          </cell>
          <cell r="E3009" t="str">
            <v>노무비x3%</v>
          </cell>
          <cell r="F3009">
            <v>0</v>
          </cell>
          <cell r="AM3009">
            <v>0</v>
          </cell>
          <cell r="AN3009">
            <v>0</v>
          </cell>
        </row>
        <row r="3010">
          <cell r="A3010" t="str">
            <v>106-18</v>
          </cell>
          <cell r="B3010">
            <v>506</v>
          </cell>
          <cell r="D3010" t="str">
            <v>콘크리트공</v>
          </cell>
          <cell r="E3010">
            <v>0</v>
          </cell>
          <cell r="F3010" t="str">
            <v>인</v>
          </cell>
          <cell r="H3010">
            <v>0.02</v>
          </cell>
          <cell r="I3010" t="str">
            <v>x</v>
          </cell>
          <cell r="J3010">
            <v>0.03</v>
          </cell>
          <cell r="V3010" t="str">
            <v>=</v>
          </cell>
          <cell r="W3010" t="str">
            <v>0</v>
          </cell>
          <cell r="Y3010" t="str">
            <v>기본</v>
          </cell>
          <cell r="Z3010" t="str">
            <v>x</v>
          </cell>
          <cell r="AA3010" t="str">
            <v>공구손료</v>
          </cell>
          <cell r="AM3010">
            <v>68884</v>
          </cell>
          <cell r="AN3010">
            <v>0</v>
          </cell>
        </row>
        <row r="3011">
          <cell r="A3011" t="str">
            <v>106-19</v>
          </cell>
          <cell r="B3011">
            <v>501</v>
          </cell>
          <cell r="D3011" t="str">
            <v>형틀목공</v>
          </cell>
          <cell r="E3011">
            <v>0</v>
          </cell>
          <cell r="F3011" t="str">
            <v>인</v>
          </cell>
          <cell r="H3011">
            <v>0.1</v>
          </cell>
          <cell r="I3011" t="str">
            <v>x</v>
          </cell>
          <cell r="J3011">
            <v>0.03</v>
          </cell>
          <cell r="V3011" t="str">
            <v>=</v>
          </cell>
          <cell r="W3011" t="str">
            <v>0</v>
          </cell>
          <cell r="Y3011" t="str">
            <v>기본</v>
          </cell>
          <cell r="Z3011" t="str">
            <v>x</v>
          </cell>
          <cell r="AA3011" t="str">
            <v>공구손료</v>
          </cell>
          <cell r="AM3011">
            <v>71251</v>
          </cell>
          <cell r="AN3011">
            <v>0</v>
          </cell>
        </row>
        <row r="3012">
          <cell r="A3012" t="str">
            <v>106-20</v>
          </cell>
          <cell r="B3012">
            <v>516</v>
          </cell>
          <cell r="D3012" t="str">
            <v>통신외선공</v>
          </cell>
          <cell r="E3012">
            <v>0</v>
          </cell>
          <cell r="F3012" t="str">
            <v>인</v>
          </cell>
          <cell r="H3012">
            <v>0.49</v>
          </cell>
          <cell r="I3012" t="str">
            <v>x</v>
          </cell>
          <cell r="J3012">
            <v>0.03</v>
          </cell>
          <cell r="V3012" t="str">
            <v>=</v>
          </cell>
          <cell r="W3012">
            <v>0.01</v>
          </cell>
          <cell r="Y3012" t="str">
            <v>기본</v>
          </cell>
          <cell r="Z3012" t="str">
            <v>x</v>
          </cell>
          <cell r="AA3012" t="str">
            <v>공구손료</v>
          </cell>
          <cell r="AM3012">
            <v>90961</v>
          </cell>
          <cell r="AN3012">
            <v>0</v>
          </cell>
        </row>
        <row r="3013">
          <cell r="A3013" t="str">
            <v>106-21</v>
          </cell>
          <cell r="B3013">
            <v>523</v>
          </cell>
          <cell r="D3013" t="str">
            <v>보통인부</v>
          </cell>
          <cell r="E3013">
            <v>0</v>
          </cell>
          <cell r="F3013" t="str">
            <v>인</v>
          </cell>
          <cell r="H3013">
            <v>1.1100000000000001</v>
          </cell>
          <cell r="I3013" t="str">
            <v>x</v>
          </cell>
          <cell r="J3013">
            <v>0.03</v>
          </cell>
          <cell r="V3013" t="str">
            <v>=</v>
          </cell>
          <cell r="W3013">
            <v>0.03</v>
          </cell>
          <cell r="Y3013" t="str">
            <v>기본</v>
          </cell>
          <cell r="Z3013" t="str">
            <v>x</v>
          </cell>
          <cell r="AA3013" t="str">
            <v>공구손료</v>
          </cell>
          <cell r="AM3013">
            <v>40922</v>
          </cell>
          <cell r="AN3013">
            <v>0</v>
          </cell>
        </row>
        <row r="3014">
          <cell r="AM3014">
            <v>0</v>
          </cell>
        </row>
        <row r="3015">
          <cell r="AM3015">
            <v>0</v>
          </cell>
        </row>
        <row r="3016">
          <cell r="AM3016">
            <v>0</v>
          </cell>
        </row>
        <row r="3017">
          <cell r="AM3017">
            <v>0</v>
          </cell>
        </row>
        <row r="3018">
          <cell r="AM3018">
            <v>0</v>
          </cell>
        </row>
        <row r="3019">
          <cell r="AM3019">
            <v>0</v>
          </cell>
        </row>
        <row r="3020">
          <cell r="AM3020">
            <v>0</v>
          </cell>
        </row>
        <row r="3021">
          <cell r="AM3021">
            <v>0</v>
          </cell>
        </row>
        <row r="3022">
          <cell r="AM3022">
            <v>0</v>
          </cell>
        </row>
        <row r="3023">
          <cell r="AM3023">
            <v>0</v>
          </cell>
        </row>
        <row r="3024">
          <cell r="AM3024">
            <v>0</v>
          </cell>
        </row>
        <row r="3025">
          <cell r="AM3025">
            <v>0</v>
          </cell>
        </row>
        <row r="3026">
          <cell r="AM3026">
            <v>0</v>
          </cell>
        </row>
        <row r="3027">
          <cell r="AM3027">
            <v>0</v>
          </cell>
        </row>
        <row r="3028">
          <cell r="AM3028">
            <v>0</v>
          </cell>
        </row>
        <row r="3029">
          <cell r="AM3029">
            <v>0</v>
          </cell>
        </row>
        <row r="3030">
          <cell r="AM3030">
            <v>0</v>
          </cell>
        </row>
        <row r="3031">
          <cell r="AM3031">
            <v>0</v>
          </cell>
        </row>
        <row r="3032">
          <cell r="AM3032">
            <v>0</v>
          </cell>
        </row>
        <row r="3033">
          <cell r="AM3033">
            <v>0</v>
          </cell>
        </row>
        <row r="3034">
          <cell r="AM3034">
            <v>0</v>
          </cell>
        </row>
        <row r="3035">
          <cell r="AM3035">
            <v>0</v>
          </cell>
        </row>
        <row r="3036">
          <cell r="AM3036">
            <v>0</v>
          </cell>
        </row>
        <row r="3037">
          <cell r="AM3037">
            <v>0</v>
          </cell>
        </row>
        <row r="3038">
          <cell r="AM3038">
            <v>0</v>
          </cell>
        </row>
        <row r="3039">
          <cell r="AM3039">
            <v>0</v>
          </cell>
        </row>
        <row r="3040">
          <cell r="AM3040">
            <v>0</v>
          </cell>
        </row>
        <row r="3041">
          <cell r="AM3041">
            <v>0</v>
          </cell>
        </row>
        <row r="3042">
          <cell r="AM3042">
            <v>0</v>
          </cell>
        </row>
        <row r="3043">
          <cell r="AM3043">
            <v>0</v>
          </cell>
        </row>
        <row r="3044">
          <cell r="AM3044">
            <v>0</v>
          </cell>
        </row>
        <row r="3045">
          <cell r="AM3045">
            <v>0</v>
          </cell>
        </row>
        <row r="3046">
          <cell r="AM3046">
            <v>0</v>
          </cell>
        </row>
        <row r="3047">
          <cell r="AM3047">
            <v>0</v>
          </cell>
        </row>
        <row r="3048">
          <cell r="AM3048">
            <v>0</v>
          </cell>
        </row>
        <row r="3049">
          <cell r="AM3049">
            <v>0</v>
          </cell>
        </row>
        <row r="3050">
          <cell r="AM3050">
            <v>0</v>
          </cell>
        </row>
        <row r="3051">
          <cell r="AM3051">
            <v>0</v>
          </cell>
        </row>
        <row r="3052">
          <cell r="AM3052">
            <v>0</v>
          </cell>
        </row>
        <row r="3053">
          <cell r="AM3053">
            <v>0</v>
          </cell>
        </row>
        <row r="3054">
          <cell r="A3054">
            <v>107</v>
          </cell>
          <cell r="C3054">
            <v>107</v>
          </cell>
          <cell r="D3054" t="str">
            <v>TALK-BACK자장치신설</v>
          </cell>
          <cell r="E3054" t="str">
            <v>5W,지하구간</v>
          </cell>
          <cell r="F3054" t="str">
            <v>대</v>
          </cell>
          <cell r="AM3054">
            <v>0</v>
          </cell>
          <cell r="AN3054">
            <v>0</v>
          </cell>
        </row>
        <row r="3055">
          <cell r="A3055" t="str">
            <v>107-1</v>
          </cell>
          <cell r="B3055">
            <v>541</v>
          </cell>
          <cell r="D3055" t="str">
            <v>가. 재료비</v>
          </cell>
          <cell r="E3055">
            <v>0</v>
          </cell>
          <cell r="F3055">
            <v>0</v>
          </cell>
          <cell r="AM3055">
            <v>0</v>
          </cell>
          <cell r="AN3055">
            <v>0</v>
          </cell>
        </row>
        <row r="3056">
          <cell r="A3056" t="str">
            <v>107-2</v>
          </cell>
          <cell r="B3056">
            <v>144</v>
          </cell>
          <cell r="D3056" t="str">
            <v>TALK-BACK 자장치</v>
          </cell>
          <cell r="E3056" t="str">
            <v>5W 기초대형</v>
          </cell>
          <cell r="F3056" t="str">
            <v>대</v>
          </cell>
          <cell r="H3056">
            <v>1</v>
          </cell>
          <cell r="V3056" t="str">
            <v>=</v>
          </cell>
          <cell r="W3056">
            <v>1</v>
          </cell>
          <cell r="Y3056" t="str">
            <v>기본</v>
          </cell>
          <cell r="AM3056">
            <v>272000</v>
          </cell>
          <cell r="AN3056">
            <v>0</v>
          </cell>
        </row>
        <row r="3057">
          <cell r="A3057" t="str">
            <v>107-3</v>
          </cell>
          <cell r="B3057">
            <v>99</v>
          </cell>
          <cell r="D3057" t="str">
            <v>앙카볼트</v>
          </cell>
          <cell r="E3057" t="str">
            <v>(3/8")M10xL150</v>
          </cell>
          <cell r="F3057" t="str">
            <v>개</v>
          </cell>
          <cell r="H3057">
            <v>4</v>
          </cell>
          <cell r="V3057" t="str">
            <v>=</v>
          </cell>
          <cell r="W3057">
            <v>4</v>
          </cell>
          <cell r="Y3057" t="str">
            <v>기본</v>
          </cell>
          <cell r="AM3057">
            <v>95</v>
          </cell>
          <cell r="AN3057">
            <v>0</v>
          </cell>
        </row>
        <row r="3058">
          <cell r="A3058" t="str">
            <v>107-4</v>
          </cell>
          <cell r="B3058">
            <v>542</v>
          </cell>
          <cell r="D3058" t="str">
            <v>나. 노무비</v>
          </cell>
          <cell r="E3058">
            <v>0</v>
          </cell>
          <cell r="F3058">
            <v>0</v>
          </cell>
          <cell r="AM3058">
            <v>0</v>
          </cell>
          <cell r="AN3058">
            <v>0</v>
          </cell>
        </row>
        <row r="3059">
          <cell r="D3059" t="str">
            <v>1)강관주신설</v>
          </cell>
          <cell r="AL3059" t="str">
            <v>통 3-10</v>
          </cell>
          <cell r="AM3059">
            <v>0</v>
          </cell>
          <cell r="AN3059">
            <v>0</v>
          </cell>
        </row>
        <row r="3060">
          <cell r="B3060">
            <v>516</v>
          </cell>
          <cell r="D3060" t="str">
            <v>통신외선공</v>
          </cell>
          <cell r="F3060" t="str">
            <v>인</v>
          </cell>
          <cell r="H3060">
            <v>0.65</v>
          </cell>
          <cell r="I3060" t="str">
            <v>x</v>
          </cell>
          <cell r="J3060">
            <v>1</v>
          </cell>
          <cell r="K3060" t="str">
            <v>x</v>
          </cell>
          <cell r="M3060">
            <v>0.5</v>
          </cell>
          <cell r="N3060" t="str">
            <v>x</v>
          </cell>
          <cell r="O3060">
            <v>1</v>
          </cell>
          <cell r="P3060" t="str">
            <v>+</v>
          </cell>
          <cell r="Q3060">
            <v>0.02</v>
          </cell>
          <cell r="R3060" t="str">
            <v>)</v>
          </cell>
          <cell r="V3060" t="str">
            <v>=</v>
          </cell>
          <cell r="W3060">
            <v>0.33</v>
          </cell>
          <cell r="Y3060" t="str">
            <v>기본</v>
          </cell>
          <cell r="Z3060" t="str">
            <v>x</v>
          </cell>
          <cell r="AA3060" t="str">
            <v>단위량</v>
          </cell>
          <cell r="AB3060" t="str">
            <v>x</v>
          </cell>
          <cell r="AC3060" t="str">
            <v>콘크리트주의 50%</v>
          </cell>
          <cell r="AG3060" t="str">
            <v>x</v>
          </cell>
          <cell r="AH3060">
            <v>1</v>
          </cell>
          <cell r="AI3060" t="str">
            <v>+</v>
          </cell>
          <cell r="AJ3060" t="str">
            <v>지하</v>
          </cell>
          <cell r="AK3060" t="str">
            <v>)</v>
          </cell>
          <cell r="AM3060">
            <v>90961</v>
          </cell>
          <cell r="AN3060">
            <v>0</v>
          </cell>
        </row>
        <row r="3061">
          <cell r="B3061">
            <v>523</v>
          </cell>
          <cell r="D3061" t="str">
            <v>보통인부</v>
          </cell>
          <cell r="F3061" t="str">
            <v>인</v>
          </cell>
          <cell r="H3061">
            <v>0.73</v>
          </cell>
          <cell r="I3061" t="str">
            <v>x</v>
          </cell>
          <cell r="J3061">
            <v>1</v>
          </cell>
          <cell r="K3061" t="str">
            <v>x</v>
          </cell>
          <cell r="M3061">
            <v>0.5</v>
          </cell>
          <cell r="N3061" t="str">
            <v>x</v>
          </cell>
          <cell r="O3061">
            <v>1</v>
          </cell>
          <cell r="P3061" t="str">
            <v>+</v>
          </cell>
          <cell r="Q3061">
            <v>0.02</v>
          </cell>
          <cell r="R3061" t="str">
            <v>)</v>
          </cell>
          <cell r="V3061" t="str">
            <v>=</v>
          </cell>
          <cell r="W3061">
            <v>0.37</v>
          </cell>
          <cell r="Y3061" t="str">
            <v>기본</v>
          </cell>
          <cell r="Z3061" t="str">
            <v>x</v>
          </cell>
          <cell r="AA3061" t="str">
            <v>단위량</v>
          </cell>
          <cell r="AB3061" t="str">
            <v>x</v>
          </cell>
          <cell r="AC3061" t="str">
            <v>콘크리트주의 50%</v>
          </cell>
          <cell r="AG3061" t="str">
            <v>x</v>
          </cell>
          <cell r="AH3061">
            <v>1</v>
          </cell>
          <cell r="AI3061" t="str">
            <v>+</v>
          </cell>
          <cell r="AJ3061" t="str">
            <v>지하</v>
          </cell>
          <cell r="AK3061" t="str">
            <v>)</v>
          </cell>
          <cell r="AM3061">
            <v>40922</v>
          </cell>
          <cell r="AN3061">
            <v>0</v>
          </cell>
        </row>
        <row r="3062">
          <cell r="D3062" t="str">
            <v>2) 스피커설치</v>
          </cell>
          <cell r="AM3062">
            <v>0</v>
          </cell>
          <cell r="AN3062">
            <v>0</v>
          </cell>
        </row>
        <row r="3063">
          <cell r="B3063">
            <v>517</v>
          </cell>
          <cell r="D3063" t="str">
            <v>통신설비공</v>
          </cell>
          <cell r="E3063">
            <v>0</v>
          </cell>
          <cell r="F3063" t="str">
            <v>인</v>
          </cell>
          <cell r="H3063">
            <v>0.33</v>
          </cell>
          <cell r="I3063" t="str">
            <v>x</v>
          </cell>
          <cell r="J3063">
            <v>1</v>
          </cell>
          <cell r="K3063" t="str">
            <v>x</v>
          </cell>
          <cell r="L3063" t="str">
            <v>(</v>
          </cell>
          <cell r="M3063">
            <v>1</v>
          </cell>
          <cell r="N3063" t="str">
            <v>+</v>
          </cell>
          <cell r="O3063">
            <v>0.02</v>
          </cell>
          <cell r="P3063" t="str">
            <v>)</v>
          </cell>
          <cell r="V3063" t="str">
            <v>=</v>
          </cell>
          <cell r="W3063">
            <v>0.34</v>
          </cell>
          <cell r="Y3063" t="str">
            <v>기본</v>
          </cell>
          <cell r="Z3063" t="str">
            <v>x</v>
          </cell>
          <cell r="AA3063" t="str">
            <v>단위량</v>
          </cell>
          <cell r="AB3063" t="str">
            <v>x</v>
          </cell>
          <cell r="AC3063" t="str">
            <v>(</v>
          </cell>
          <cell r="AD3063">
            <v>1</v>
          </cell>
          <cell r="AE3063" t="str">
            <v>+</v>
          </cell>
          <cell r="AF3063" t="str">
            <v>지하</v>
          </cell>
          <cell r="AG3063" t="str">
            <v>)</v>
          </cell>
          <cell r="AL3063" t="str">
            <v>통 5-78-다</v>
          </cell>
          <cell r="AM3063">
            <v>77401</v>
          </cell>
          <cell r="AN3063">
            <v>0</v>
          </cell>
        </row>
        <row r="3064">
          <cell r="D3064" t="str">
            <v>3)앙카볼트설치및구멍뚫기</v>
          </cell>
          <cell r="AM3064">
            <v>0</v>
          </cell>
        </row>
        <row r="3065">
          <cell r="B3065">
            <v>523</v>
          </cell>
          <cell r="D3065" t="str">
            <v>보통인부</v>
          </cell>
          <cell r="E3065">
            <v>0</v>
          </cell>
          <cell r="F3065" t="str">
            <v>인</v>
          </cell>
          <cell r="H3065">
            <v>0.36</v>
          </cell>
          <cell r="I3065" t="str">
            <v>/</v>
          </cell>
          <cell r="J3065">
            <v>10</v>
          </cell>
          <cell r="K3065" t="str">
            <v>x</v>
          </cell>
          <cell r="L3065" t="str">
            <v>(</v>
          </cell>
          <cell r="M3065">
            <v>1</v>
          </cell>
          <cell r="N3065" t="str">
            <v>+</v>
          </cell>
          <cell r="O3065">
            <v>0.02</v>
          </cell>
          <cell r="P3065" t="str">
            <v>)</v>
          </cell>
          <cell r="Q3065" t="str">
            <v>x</v>
          </cell>
          <cell r="S3065">
            <v>4</v>
          </cell>
          <cell r="V3065" t="str">
            <v>=</v>
          </cell>
          <cell r="W3065">
            <v>0.15</v>
          </cell>
          <cell r="Y3065" t="str">
            <v>기본</v>
          </cell>
          <cell r="Z3065" t="str">
            <v>/</v>
          </cell>
          <cell r="AA3065" t="str">
            <v>단위량</v>
          </cell>
          <cell r="AB3065" t="str">
            <v>x</v>
          </cell>
          <cell r="AC3065" t="str">
            <v>(</v>
          </cell>
          <cell r="AD3065">
            <v>1</v>
          </cell>
          <cell r="AE3065" t="str">
            <v>+</v>
          </cell>
          <cell r="AF3065" t="str">
            <v>지하</v>
          </cell>
          <cell r="AG3065" t="str">
            <v>)x</v>
          </cell>
          <cell r="AH3065" t="str">
            <v>수량</v>
          </cell>
          <cell r="AM3065">
            <v>40922</v>
          </cell>
        </row>
        <row r="3066">
          <cell r="B3066">
            <v>518</v>
          </cell>
          <cell r="D3066" t="str">
            <v>통신내선공</v>
          </cell>
          <cell r="E3066">
            <v>0</v>
          </cell>
          <cell r="F3066" t="str">
            <v>인</v>
          </cell>
          <cell r="H3066">
            <v>0.08</v>
          </cell>
          <cell r="I3066" t="str">
            <v>x</v>
          </cell>
          <cell r="J3066">
            <v>4</v>
          </cell>
          <cell r="K3066" t="str">
            <v>x</v>
          </cell>
          <cell r="L3066" t="str">
            <v>(</v>
          </cell>
          <cell r="M3066">
            <v>1</v>
          </cell>
          <cell r="N3066" t="str">
            <v>+</v>
          </cell>
          <cell r="O3066">
            <v>0.02</v>
          </cell>
          <cell r="P3066" t="str">
            <v>)</v>
          </cell>
          <cell r="V3066" t="str">
            <v>=</v>
          </cell>
          <cell r="W3066">
            <v>0.33</v>
          </cell>
          <cell r="Y3066" t="str">
            <v>기본</v>
          </cell>
          <cell r="Z3066" t="str">
            <v>x</v>
          </cell>
          <cell r="AA3066" t="str">
            <v>단위량</v>
          </cell>
          <cell r="AB3066" t="str">
            <v>x</v>
          </cell>
          <cell r="AC3066" t="str">
            <v>(</v>
          </cell>
          <cell r="AD3066">
            <v>1</v>
          </cell>
          <cell r="AE3066" t="str">
            <v>+</v>
          </cell>
          <cell r="AF3066" t="str">
            <v>지하</v>
          </cell>
          <cell r="AG3066" t="str">
            <v>)</v>
          </cell>
          <cell r="AM3066">
            <v>63806</v>
          </cell>
        </row>
        <row r="3067">
          <cell r="B3067">
            <v>544</v>
          </cell>
          <cell r="D3067" t="str">
            <v>소    계</v>
          </cell>
          <cell r="E3067">
            <v>0</v>
          </cell>
          <cell r="F3067">
            <v>0</v>
          </cell>
          <cell r="AM3067">
            <v>0</v>
          </cell>
          <cell r="AN3067">
            <v>0</v>
          </cell>
        </row>
        <row r="3068">
          <cell r="A3068" t="str">
            <v>107-5</v>
          </cell>
          <cell r="B3068">
            <v>516</v>
          </cell>
          <cell r="D3068" t="str">
            <v>통신외선공</v>
          </cell>
          <cell r="E3068">
            <v>0</v>
          </cell>
          <cell r="F3068" t="str">
            <v>인</v>
          </cell>
          <cell r="V3068" t="str">
            <v>=</v>
          </cell>
          <cell r="W3068">
            <v>0.33</v>
          </cell>
          <cell r="AM3068">
            <v>90961</v>
          </cell>
          <cell r="AN3068">
            <v>0</v>
          </cell>
        </row>
        <row r="3069">
          <cell r="A3069" t="str">
            <v>107-6</v>
          </cell>
          <cell r="B3069">
            <v>517</v>
          </cell>
          <cell r="D3069" t="str">
            <v>통신설비공</v>
          </cell>
          <cell r="E3069">
            <v>0</v>
          </cell>
          <cell r="F3069" t="str">
            <v>인</v>
          </cell>
          <cell r="V3069" t="str">
            <v>=</v>
          </cell>
          <cell r="W3069">
            <v>0.34</v>
          </cell>
          <cell r="AM3069">
            <v>77401</v>
          </cell>
          <cell r="AN3069">
            <v>0</v>
          </cell>
        </row>
        <row r="3070">
          <cell r="A3070" t="str">
            <v>107-7</v>
          </cell>
          <cell r="B3070">
            <v>518</v>
          </cell>
          <cell r="D3070" t="str">
            <v>통신내선공</v>
          </cell>
          <cell r="E3070">
            <v>0</v>
          </cell>
          <cell r="F3070" t="str">
            <v>인</v>
          </cell>
          <cell r="V3070" t="str">
            <v>=</v>
          </cell>
          <cell r="W3070">
            <v>0.33</v>
          </cell>
          <cell r="AM3070">
            <v>63806</v>
          </cell>
          <cell r="AN3070">
            <v>0</v>
          </cell>
        </row>
        <row r="3071">
          <cell r="A3071" t="str">
            <v>107-8</v>
          </cell>
          <cell r="B3071">
            <v>523</v>
          </cell>
          <cell r="D3071" t="str">
            <v>보통인부</v>
          </cell>
          <cell r="E3071">
            <v>0</v>
          </cell>
          <cell r="F3071" t="str">
            <v>인</v>
          </cell>
          <cell r="V3071" t="str">
            <v>=</v>
          </cell>
          <cell r="W3071">
            <v>0.52</v>
          </cell>
          <cell r="AM3071">
            <v>40922</v>
          </cell>
          <cell r="AN3071">
            <v>0</v>
          </cell>
        </row>
        <row r="3072">
          <cell r="A3072" t="str">
            <v>107-9</v>
          </cell>
          <cell r="B3072">
            <v>543</v>
          </cell>
          <cell r="D3072" t="str">
            <v>다. 공구손료</v>
          </cell>
          <cell r="E3072" t="str">
            <v>노무비x3%</v>
          </cell>
          <cell r="F3072">
            <v>0</v>
          </cell>
          <cell r="AM3072">
            <v>0</v>
          </cell>
          <cell r="AN3072">
            <v>0</v>
          </cell>
        </row>
        <row r="3073">
          <cell r="A3073" t="str">
            <v>107-10</v>
          </cell>
          <cell r="B3073">
            <v>516</v>
          </cell>
          <cell r="D3073" t="str">
            <v>통신외선공</v>
          </cell>
          <cell r="E3073">
            <v>0</v>
          </cell>
          <cell r="F3073" t="str">
            <v>인</v>
          </cell>
          <cell r="H3073">
            <v>0.33</v>
          </cell>
          <cell r="I3073" t="str">
            <v>x</v>
          </cell>
          <cell r="J3073">
            <v>0.03</v>
          </cell>
          <cell r="V3073" t="str">
            <v>=</v>
          </cell>
          <cell r="W3073">
            <v>0.01</v>
          </cell>
          <cell r="Y3073" t="str">
            <v>기본</v>
          </cell>
          <cell r="Z3073" t="str">
            <v>x</v>
          </cell>
          <cell r="AA3073" t="str">
            <v>공구손료</v>
          </cell>
          <cell r="AM3073">
            <v>90961</v>
          </cell>
          <cell r="AN3073">
            <v>0</v>
          </cell>
        </row>
        <row r="3074">
          <cell r="A3074" t="str">
            <v>107-11</v>
          </cell>
          <cell r="B3074">
            <v>517</v>
          </cell>
          <cell r="D3074" t="str">
            <v>통신설비공</v>
          </cell>
          <cell r="E3074">
            <v>0</v>
          </cell>
          <cell r="F3074" t="str">
            <v>인</v>
          </cell>
          <cell r="H3074">
            <v>0.33</v>
          </cell>
          <cell r="I3074" t="str">
            <v>x</v>
          </cell>
          <cell r="J3074">
            <v>0.03</v>
          </cell>
          <cell r="V3074" t="str">
            <v>=</v>
          </cell>
          <cell r="W3074">
            <v>0.01</v>
          </cell>
          <cell r="Y3074" t="str">
            <v>기본</v>
          </cell>
          <cell r="Z3074" t="str">
            <v>x</v>
          </cell>
          <cell r="AA3074" t="str">
            <v>공구손료</v>
          </cell>
          <cell r="AM3074">
            <v>77401</v>
          </cell>
          <cell r="AN3074">
            <v>0</v>
          </cell>
        </row>
        <row r="3075">
          <cell r="A3075" t="str">
            <v>107-12</v>
          </cell>
          <cell r="B3075">
            <v>518</v>
          </cell>
          <cell r="D3075" t="str">
            <v>통신내선공</v>
          </cell>
          <cell r="E3075">
            <v>0</v>
          </cell>
          <cell r="F3075" t="str">
            <v>인</v>
          </cell>
          <cell r="H3075">
            <v>0.32</v>
          </cell>
          <cell r="I3075" t="str">
            <v>x</v>
          </cell>
          <cell r="J3075">
            <v>0.03</v>
          </cell>
          <cell r="V3075" t="str">
            <v>=</v>
          </cell>
          <cell r="W3075">
            <v>0.01</v>
          </cell>
          <cell r="Y3075" t="str">
            <v>기본</v>
          </cell>
          <cell r="Z3075" t="str">
            <v>x</v>
          </cell>
          <cell r="AA3075" t="str">
            <v>공구손료</v>
          </cell>
          <cell r="AM3075">
            <v>63806</v>
          </cell>
          <cell r="AN3075">
            <v>0</v>
          </cell>
        </row>
        <row r="3076">
          <cell r="A3076" t="str">
            <v>107-13</v>
          </cell>
          <cell r="B3076">
            <v>523</v>
          </cell>
          <cell r="D3076" t="str">
            <v>보통인부</v>
          </cell>
          <cell r="E3076">
            <v>0</v>
          </cell>
          <cell r="F3076" t="str">
            <v>인</v>
          </cell>
          <cell r="H3076">
            <v>0.51</v>
          </cell>
          <cell r="I3076" t="str">
            <v>x</v>
          </cell>
          <cell r="J3076">
            <v>0.03</v>
          </cell>
          <cell r="V3076" t="str">
            <v>=</v>
          </cell>
          <cell r="W3076">
            <v>0.02</v>
          </cell>
          <cell r="Y3076" t="str">
            <v>기본</v>
          </cell>
          <cell r="Z3076" t="str">
            <v>x</v>
          </cell>
          <cell r="AA3076" t="str">
            <v>공구손료</v>
          </cell>
          <cell r="AM3076">
            <v>40922</v>
          </cell>
          <cell r="AN3076">
            <v>0</v>
          </cell>
        </row>
        <row r="3077">
          <cell r="AM3077">
            <v>0</v>
          </cell>
        </row>
        <row r="3078">
          <cell r="AM3078">
            <v>0</v>
          </cell>
        </row>
        <row r="3079">
          <cell r="AM3079">
            <v>0</v>
          </cell>
        </row>
        <row r="3080">
          <cell r="AM3080">
            <v>0</v>
          </cell>
        </row>
        <row r="3081">
          <cell r="A3081">
            <v>108</v>
          </cell>
          <cell r="C3081">
            <v>108</v>
          </cell>
          <cell r="D3081" t="str">
            <v>백관신설</v>
          </cell>
          <cell r="E3081" t="str">
            <v>50mm</v>
          </cell>
          <cell r="F3081" t="str">
            <v>10m</v>
          </cell>
          <cell r="AM3081">
            <v>0</v>
          </cell>
          <cell r="AN3081">
            <v>0</v>
          </cell>
        </row>
        <row r="3082">
          <cell r="A3082" t="str">
            <v>108-1</v>
          </cell>
          <cell r="B3082">
            <v>541</v>
          </cell>
          <cell r="D3082" t="str">
            <v>가. 재료비</v>
          </cell>
          <cell r="E3082">
            <v>0</v>
          </cell>
          <cell r="F3082">
            <v>0</v>
          </cell>
          <cell r="AM3082">
            <v>0</v>
          </cell>
          <cell r="AN3082">
            <v>0</v>
          </cell>
        </row>
        <row r="3083">
          <cell r="A3083" t="str">
            <v>108-2</v>
          </cell>
          <cell r="B3083">
            <v>20</v>
          </cell>
          <cell r="D3083" t="str">
            <v>백관</v>
          </cell>
          <cell r="E3083" t="str">
            <v>Φ50mm</v>
          </cell>
          <cell r="F3083" t="str">
            <v>m</v>
          </cell>
          <cell r="H3083">
            <v>1</v>
          </cell>
          <cell r="I3083" t="str">
            <v>x</v>
          </cell>
          <cell r="J3083">
            <v>10</v>
          </cell>
          <cell r="K3083" t="str">
            <v>x</v>
          </cell>
          <cell r="L3083" t="str">
            <v>(</v>
          </cell>
          <cell r="M3083">
            <v>1</v>
          </cell>
          <cell r="N3083" t="str">
            <v>+</v>
          </cell>
          <cell r="O3083">
            <v>0.03</v>
          </cell>
          <cell r="P3083" t="str">
            <v>)</v>
          </cell>
          <cell r="V3083" t="str">
            <v>=</v>
          </cell>
          <cell r="W3083">
            <v>10.3</v>
          </cell>
          <cell r="Y3083" t="str">
            <v>기본</v>
          </cell>
          <cell r="Z3083" t="str">
            <v>x</v>
          </cell>
          <cell r="AA3083" t="str">
            <v>단위량</v>
          </cell>
          <cell r="AB3083" t="str">
            <v>x</v>
          </cell>
          <cell r="AC3083" t="str">
            <v>(</v>
          </cell>
          <cell r="AD3083">
            <v>1</v>
          </cell>
          <cell r="AE3083" t="str">
            <v>+</v>
          </cell>
          <cell r="AF3083" t="str">
            <v>할증</v>
          </cell>
          <cell r="AG3083" t="str">
            <v>)</v>
          </cell>
          <cell r="AM3083">
            <v>3549</v>
          </cell>
          <cell r="AN3083">
            <v>0</v>
          </cell>
        </row>
        <row r="3084">
          <cell r="A3084" t="str">
            <v>108-3</v>
          </cell>
          <cell r="B3084">
            <v>700</v>
          </cell>
          <cell r="D3084" t="str">
            <v>잡재료비</v>
          </cell>
          <cell r="E3084" t="str">
            <v>재료비의2%</v>
          </cell>
          <cell r="F3084" t="str">
            <v>식</v>
          </cell>
          <cell r="V3084" t="str">
            <v>=</v>
          </cell>
          <cell r="W3084">
            <v>1</v>
          </cell>
          <cell r="Y3084" t="str">
            <v>기본</v>
          </cell>
          <cell r="AM3084">
            <v>0</v>
          </cell>
        </row>
        <row r="3085">
          <cell r="A3085" t="str">
            <v>108-4</v>
          </cell>
          <cell r="B3085">
            <v>542</v>
          </cell>
          <cell r="D3085" t="str">
            <v>나. 노무비</v>
          </cell>
          <cell r="E3085">
            <v>0</v>
          </cell>
          <cell r="F3085">
            <v>0</v>
          </cell>
          <cell r="AM3085">
            <v>0</v>
          </cell>
          <cell r="AN3085">
            <v>0</v>
          </cell>
        </row>
        <row r="3086">
          <cell r="B3086">
            <v>516</v>
          </cell>
          <cell r="D3086" t="str">
            <v>통신외선공</v>
          </cell>
          <cell r="E3086">
            <v>0</v>
          </cell>
          <cell r="F3086" t="str">
            <v>인</v>
          </cell>
          <cell r="H3086">
            <v>1.3</v>
          </cell>
          <cell r="I3086" t="str">
            <v>x</v>
          </cell>
          <cell r="J3086">
            <v>1</v>
          </cell>
          <cell r="V3086" t="str">
            <v>=</v>
          </cell>
          <cell r="W3086">
            <v>1.3</v>
          </cell>
          <cell r="Y3086" t="str">
            <v>기본</v>
          </cell>
          <cell r="Z3086" t="str">
            <v>x</v>
          </cell>
          <cell r="AA3086" t="str">
            <v>단위량</v>
          </cell>
          <cell r="AL3086" t="str">
            <v>통3-25-나(운빈)</v>
          </cell>
          <cell r="AM3086">
            <v>90961</v>
          </cell>
          <cell r="AN3086">
            <v>0</v>
          </cell>
        </row>
        <row r="3087">
          <cell r="B3087">
            <v>544</v>
          </cell>
          <cell r="D3087" t="str">
            <v>소    계</v>
          </cell>
          <cell r="E3087">
            <v>0</v>
          </cell>
          <cell r="F3087">
            <v>0</v>
          </cell>
          <cell r="AM3087">
            <v>0</v>
          </cell>
          <cell r="AN3087">
            <v>0</v>
          </cell>
        </row>
        <row r="3088">
          <cell r="A3088" t="str">
            <v>108-5</v>
          </cell>
          <cell r="B3088">
            <v>516</v>
          </cell>
          <cell r="D3088" t="str">
            <v>통신외선공</v>
          </cell>
          <cell r="E3088">
            <v>0</v>
          </cell>
          <cell r="F3088" t="str">
            <v>인</v>
          </cell>
          <cell r="V3088" t="str">
            <v>=</v>
          </cell>
          <cell r="W3088">
            <v>1.3</v>
          </cell>
          <cell r="AM3088">
            <v>90961</v>
          </cell>
          <cell r="AN3088">
            <v>0</v>
          </cell>
        </row>
        <row r="3089">
          <cell r="A3089" t="str">
            <v>108-6</v>
          </cell>
          <cell r="B3089">
            <v>543</v>
          </cell>
          <cell r="D3089" t="str">
            <v>다. 공구손료</v>
          </cell>
          <cell r="E3089" t="str">
            <v>노무비x3%</v>
          </cell>
          <cell r="F3089">
            <v>0</v>
          </cell>
          <cell r="AM3089">
            <v>0</v>
          </cell>
          <cell r="AN3089">
            <v>0</v>
          </cell>
        </row>
        <row r="3090">
          <cell r="A3090" t="str">
            <v>108-7</v>
          </cell>
          <cell r="B3090">
            <v>516</v>
          </cell>
          <cell r="D3090" t="str">
            <v>통신외선공</v>
          </cell>
          <cell r="E3090">
            <v>0</v>
          </cell>
          <cell r="F3090" t="str">
            <v>인</v>
          </cell>
          <cell r="H3090">
            <v>1.3</v>
          </cell>
          <cell r="I3090" t="str">
            <v>x</v>
          </cell>
          <cell r="J3090">
            <v>0.03</v>
          </cell>
          <cell r="V3090" t="str">
            <v>=</v>
          </cell>
          <cell r="W3090">
            <v>0.04</v>
          </cell>
          <cell r="Y3090" t="str">
            <v>기본</v>
          </cell>
          <cell r="Z3090" t="str">
            <v>x</v>
          </cell>
          <cell r="AA3090" t="str">
            <v>공구손료</v>
          </cell>
          <cell r="AM3090">
            <v>90961</v>
          </cell>
          <cell r="AN3090">
            <v>0</v>
          </cell>
        </row>
        <row r="3091">
          <cell r="AM3091">
            <v>0</v>
          </cell>
          <cell r="AN3091">
            <v>0</v>
          </cell>
        </row>
        <row r="3092">
          <cell r="AM3092">
            <v>0</v>
          </cell>
          <cell r="AN3092">
            <v>0</v>
          </cell>
        </row>
        <row r="3093">
          <cell r="AM3093">
            <v>0</v>
          </cell>
          <cell r="AN3093">
            <v>0</v>
          </cell>
        </row>
        <row r="3094">
          <cell r="AM3094">
            <v>0</v>
          </cell>
          <cell r="AN3094">
            <v>0</v>
          </cell>
        </row>
        <row r="3095">
          <cell r="AM3095">
            <v>0</v>
          </cell>
          <cell r="AN3095">
            <v>0</v>
          </cell>
        </row>
        <row r="3096">
          <cell r="AM3096">
            <v>0</v>
          </cell>
          <cell r="AN3096">
            <v>0</v>
          </cell>
        </row>
        <row r="3097">
          <cell r="AM3097">
            <v>0</v>
          </cell>
        </row>
        <row r="3098">
          <cell r="AM3098">
            <v>0</v>
          </cell>
        </row>
        <row r="3099">
          <cell r="AM3099">
            <v>0</v>
          </cell>
        </row>
        <row r="3100">
          <cell r="AM3100">
            <v>0</v>
          </cell>
          <cell r="AN3100">
            <v>0</v>
          </cell>
        </row>
        <row r="3101">
          <cell r="AM3101">
            <v>0</v>
          </cell>
          <cell r="AN3101">
            <v>0</v>
          </cell>
        </row>
        <row r="3102">
          <cell r="AM3102">
            <v>0</v>
          </cell>
          <cell r="AN3102">
            <v>0</v>
          </cell>
        </row>
        <row r="3103">
          <cell r="AM3103">
            <v>0</v>
          </cell>
          <cell r="AN3103">
            <v>0</v>
          </cell>
        </row>
        <row r="3104">
          <cell r="AM3104">
            <v>0</v>
          </cell>
          <cell r="AN3104">
            <v>0</v>
          </cell>
        </row>
        <row r="3105">
          <cell r="AM3105">
            <v>0</v>
          </cell>
          <cell r="AN3105">
            <v>0</v>
          </cell>
        </row>
        <row r="3106">
          <cell r="AM3106">
            <v>0</v>
          </cell>
          <cell r="AN3106">
            <v>0</v>
          </cell>
        </row>
        <row r="3107">
          <cell r="W3107">
            <v>0</v>
          </cell>
          <cell r="AM3107">
            <v>0</v>
          </cell>
          <cell r="AN3107">
            <v>0</v>
          </cell>
        </row>
        <row r="3108">
          <cell r="A3108">
            <v>109</v>
          </cell>
          <cell r="C3108">
            <v>109</v>
          </cell>
          <cell r="D3108" t="str">
            <v>백관신설</v>
          </cell>
          <cell r="E3108" t="str">
            <v>80mm</v>
          </cell>
          <cell r="F3108" t="str">
            <v>10m</v>
          </cell>
          <cell r="AM3108">
            <v>0</v>
          </cell>
          <cell r="AN3108">
            <v>0</v>
          </cell>
        </row>
        <row r="3109">
          <cell r="A3109" t="str">
            <v>109-1</v>
          </cell>
          <cell r="B3109">
            <v>541</v>
          </cell>
          <cell r="D3109" t="str">
            <v>가. 재료비</v>
          </cell>
          <cell r="E3109">
            <v>0</v>
          </cell>
          <cell r="F3109">
            <v>0</v>
          </cell>
          <cell r="AM3109">
            <v>0</v>
          </cell>
          <cell r="AN3109">
            <v>0</v>
          </cell>
        </row>
        <row r="3110">
          <cell r="A3110" t="str">
            <v>109-2</v>
          </cell>
          <cell r="B3110">
            <v>21</v>
          </cell>
          <cell r="D3110" t="str">
            <v>백관</v>
          </cell>
          <cell r="E3110" t="str">
            <v>Φ80mm</v>
          </cell>
          <cell r="F3110" t="str">
            <v>m</v>
          </cell>
          <cell r="H3110">
            <v>1</v>
          </cell>
          <cell r="I3110" t="str">
            <v>x</v>
          </cell>
          <cell r="J3110">
            <v>10</v>
          </cell>
          <cell r="K3110" t="str">
            <v>x</v>
          </cell>
          <cell r="L3110" t="str">
            <v>(</v>
          </cell>
          <cell r="M3110">
            <v>1</v>
          </cell>
          <cell r="N3110" t="str">
            <v>+</v>
          </cell>
          <cell r="O3110">
            <v>0.03</v>
          </cell>
          <cell r="P3110" t="str">
            <v>)</v>
          </cell>
          <cell r="V3110" t="str">
            <v>=</v>
          </cell>
          <cell r="W3110">
            <v>10.3</v>
          </cell>
          <cell r="Y3110" t="str">
            <v>기본</v>
          </cell>
          <cell r="Z3110" t="str">
            <v>x</v>
          </cell>
          <cell r="AA3110" t="str">
            <v>단위량</v>
          </cell>
          <cell r="AB3110" t="str">
            <v>x</v>
          </cell>
          <cell r="AC3110" t="str">
            <v>(</v>
          </cell>
          <cell r="AD3110">
            <v>1</v>
          </cell>
          <cell r="AE3110" t="str">
            <v>+</v>
          </cell>
          <cell r="AF3110" t="str">
            <v>할증</v>
          </cell>
          <cell r="AG3110" t="str">
            <v>)</v>
          </cell>
          <cell r="AM3110">
            <v>5722</v>
          </cell>
          <cell r="AN3110">
            <v>0</v>
          </cell>
        </row>
        <row r="3111">
          <cell r="A3111" t="str">
            <v>109-3</v>
          </cell>
          <cell r="B3111">
            <v>700</v>
          </cell>
          <cell r="D3111" t="str">
            <v>잡재료비</v>
          </cell>
          <cell r="E3111" t="str">
            <v>재료비의2%</v>
          </cell>
          <cell r="F3111" t="str">
            <v>식</v>
          </cell>
          <cell r="V3111" t="str">
            <v>=</v>
          </cell>
          <cell r="W3111">
            <v>1</v>
          </cell>
          <cell r="Y3111" t="str">
            <v>기본</v>
          </cell>
          <cell r="AM3111">
            <v>0</v>
          </cell>
        </row>
        <row r="3112">
          <cell r="A3112" t="str">
            <v>109-4</v>
          </cell>
          <cell r="B3112">
            <v>542</v>
          </cell>
          <cell r="D3112" t="str">
            <v>나. 노무비</v>
          </cell>
          <cell r="E3112">
            <v>0</v>
          </cell>
          <cell r="F3112">
            <v>0</v>
          </cell>
          <cell r="AM3112">
            <v>0</v>
          </cell>
          <cell r="AN3112">
            <v>0</v>
          </cell>
        </row>
        <row r="3113">
          <cell r="B3113">
            <v>516</v>
          </cell>
          <cell r="D3113" t="str">
            <v>통신외선공</v>
          </cell>
          <cell r="E3113">
            <v>0</v>
          </cell>
          <cell r="F3113" t="str">
            <v>인</v>
          </cell>
          <cell r="H3113">
            <v>1.52</v>
          </cell>
          <cell r="I3113" t="str">
            <v>x</v>
          </cell>
          <cell r="J3113">
            <v>1</v>
          </cell>
          <cell r="V3113" t="str">
            <v>=</v>
          </cell>
          <cell r="W3113">
            <v>1.52</v>
          </cell>
          <cell r="Y3113" t="str">
            <v>기본</v>
          </cell>
          <cell r="Z3113" t="str">
            <v>x</v>
          </cell>
          <cell r="AA3113" t="str">
            <v>단위량</v>
          </cell>
          <cell r="AL3113" t="str">
            <v>통3-25-나</v>
          </cell>
          <cell r="AM3113">
            <v>90961</v>
          </cell>
          <cell r="AN3113">
            <v>0</v>
          </cell>
        </row>
        <row r="3114">
          <cell r="B3114">
            <v>544</v>
          </cell>
          <cell r="D3114" t="str">
            <v>소    계</v>
          </cell>
          <cell r="E3114">
            <v>0</v>
          </cell>
          <cell r="F3114">
            <v>0</v>
          </cell>
          <cell r="AM3114">
            <v>0</v>
          </cell>
          <cell r="AN3114">
            <v>0</v>
          </cell>
        </row>
        <row r="3115">
          <cell r="A3115" t="str">
            <v>109-5</v>
          </cell>
          <cell r="B3115">
            <v>516</v>
          </cell>
          <cell r="D3115" t="str">
            <v>통신외선공</v>
          </cell>
          <cell r="E3115">
            <v>0</v>
          </cell>
          <cell r="F3115" t="str">
            <v>인</v>
          </cell>
          <cell r="V3115" t="str">
            <v>=</v>
          </cell>
          <cell r="W3115">
            <v>1.52</v>
          </cell>
          <cell r="AM3115">
            <v>90961</v>
          </cell>
          <cell r="AN3115">
            <v>0</v>
          </cell>
        </row>
        <row r="3116">
          <cell r="A3116" t="str">
            <v>109-6</v>
          </cell>
          <cell r="B3116">
            <v>543</v>
          </cell>
          <cell r="D3116" t="str">
            <v>다. 공구손료</v>
          </cell>
          <cell r="E3116" t="str">
            <v>노무비x3%</v>
          </cell>
          <cell r="F3116">
            <v>0</v>
          </cell>
          <cell r="AM3116">
            <v>0</v>
          </cell>
          <cell r="AN3116">
            <v>0</v>
          </cell>
        </row>
        <row r="3117">
          <cell r="A3117" t="str">
            <v>109-7</v>
          </cell>
          <cell r="B3117">
            <v>516</v>
          </cell>
          <cell r="D3117" t="str">
            <v>통신외선공</v>
          </cell>
          <cell r="E3117">
            <v>0</v>
          </cell>
          <cell r="F3117" t="str">
            <v>인</v>
          </cell>
          <cell r="H3117">
            <v>1.52</v>
          </cell>
          <cell r="I3117" t="str">
            <v>x</v>
          </cell>
          <cell r="J3117">
            <v>0.03</v>
          </cell>
          <cell r="V3117" t="str">
            <v>=</v>
          </cell>
          <cell r="W3117">
            <v>0.05</v>
          </cell>
          <cell r="Y3117" t="str">
            <v>기본</v>
          </cell>
          <cell r="Z3117" t="str">
            <v>x</v>
          </cell>
          <cell r="AA3117" t="str">
            <v>공구손료</v>
          </cell>
          <cell r="AM3117">
            <v>90961</v>
          </cell>
          <cell r="AN3117">
            <v>0</v>
          </cell>
        </row>
        <row r="3118">
          <cell r="AM3118">
            <v>0</v>
          </cell>
          <cell r="AN3118">
            <v>0</v>
          </cell>
        </row>
        <row r="3119">
          <cell r="AM3119">
            <v>0</v>
          </cell>
          <cell r="AN3119">
            <v>0</v>
          </cell>
        </row>
        <row r="3120">
          <cell r="AM3120">
            <v>0</v>
          </cell>
          <cell r="AN3120">
            <v>0</v>
          </cell>
        </row>
        <row r="3121">
          <cell r="AM3121">
            <v>0</v>
          </cell>
          <cell r="AN3121">
            <v>0</v>
          </cell>
        </row>
        <row r="3122">
          <cell r="AM3122">
            <v>0</v>
          </cell>
          <cell r="AN3122">
            <v>0</v>
          </cell>
        </row>
        <row r="3123">
          <cell r="AM3123">
            <v>0</v>
          </cell>
          <cell r="AN3123">
            <v>0</v>
          </cell>
        </row>
        <row r="3124">
          <cell r="AM3124">
            <v>0</v>
          </cell>
        </row>
        <row r="3125">
          <cell r="AM3125">
            <v>0</v>
          </cell>
        </row>
        <row r="3126">
          <cell r="AM3126">
            <v>0</v>
          </cell>
        </row>
        <row r="3127">
          <cell r="AM3127">
            <v>0</v>
          </cell>
          <cell r="AN3127">
            <v>0</v>
          </cell>
        </row>
        <row r="3128">
          <cell r="AM3128">
            <v>0</v>
          </cell>
          <cell r="AN3128">
            <v>0</v>
          </cell>
        </row>
        <row r="3129">
          <cell r="AM3129">
            <v>0</v>
          </cell>
          <cell r="AN3129">
            <v>0</v>
          </cell>
        </row>
        <row r="3130">
          <cell r="AM3130">
            <v>0</v>
          </cell>
          <cell r="AN3130">
            <v>0</v>
          </cell>
        </row>
        <row r="3131">
          <cell r="AM3131">
            <v>0</v>
          </cell>
          <cell r="AN3131">
            <v>0</v>
          </cell>
        </row>
        <row r="3132">
          <cell r="AM3132">
            <v>0</v>
          </cell>
          <cell r="AN3132">
            <v>0</v>
          </cell>
        </row>
        <row r="3133">
          <cell r="AM3133">
            <v>0</v>
          </cell>
          <cell r="AN3133">
            <v>0</v>
          </cell>
        </row>
        <row r="3134">
          <cell r="W3134">
            <v>0</v>
          </cell>
          <cell r="AM3134">
            <v>0</v>
          </cell>
          <cell r="AN3134">
            <v>0</v>
          </cell>
        </row>
        <row r="3135">
          <cell r="A3135">
            <v>110</v>
          </cell>
          <cell r="C3135">
            <v>110</v>
          </cell>
          <cell r="D3135" t="str">
            <v>제어케이블신설(지하)</v>
          </cell>
          <cell r="E3135" t="str">
            <v>CTC 2P/2㎟</v>
          </cell>
          <cell r="F3135" t="str">
            <v>m</v>
          </cell>
          <cell r="AM3135">
            <v>0</v>
          </cell>
          <cell r="AN3135">
            <v>0</v>
          </cell>
        </row>
        <row r="3136">
          <cell r="A3136" t="str">
            <v>110-1</v>
          </cell>
          <cell r="B3136">
            <v>541</v>
          </cell>
          <cell r="D3136" t="str">
            <v>가. 재료비</v>
          </cell>
          <cell r="E3136">
            <v>0</v>
          </cell>
          <cell r="F3136">
            <v>0</v>
          </cell>
          <cell r="AM3136">
            <v>0</v>
          </cell>
          <cell r="AN3136">
            <v>0</v>
          </cell>
        </row>
        <row r="3137">
          <cell r="A3137" t="str">
            <v>110-2</v>
          </cell>
          <cell r="B3137">
            <v>147</v>
          </cell>
          <cell r="D3137" t="str">
            <v>켑타이어케이블</v>
          </cell>
          <cell r="E3137" t="str">
            <v>CTC 2P/2㎟</v>
          </cell>
          <cell r="F3137" t="str">
            <v>m</v>
          </cell>
          <cell r="H3137">
            <v>1</v>
          </cell>
          <cell r="I3137" t="str">
            <v>x</v>
          </cell>
          <cell r="J3137">
            <v>1</v>
          </cell>
          <cell r="K3137" t="str">
            <v>x</v>
          </cell>
          <cell r="L3137" t="str">
            <v>(</v>
          </cell>
          <cell r="M3137">
            <v>1</v>
          </cell>
          <cell r="N3137" t="str">
            <v>+</v>
          </cell>
          <cell r="O3137">
            <v>0.03</v>
          </cell>
          <cell r="P3137" t="str">
            <v>)</v>
          </cell>
          <cell r="V3137" t="str">
            <v>=</v>
          </cell>
          <cell r="W3137">
            <v>1.03</v>
          </cell>
          <cell r="Y3137" t="str">
            <v>기본</v>
          </cell>
          <cell r="Z3137" t="str">
            <v>x</v>
          </cell>
          <cell r="AA3137" t="str">
            <v>단위량</v>
          </cell>
          <cell r="AB3137" t="str">
            <v>x</v>
          </cell>
          <cell r="AC3137" t="str">
            <v>(</v>
          </cell>
          <cell r="AD3137">
            <v>1</v>
          </cell>
          <cell r="AE3137" t="str">
            <v>+</v>
          </cell>
          <cell r="AF3137" t="str">
            <v>할증</v>
          </cell>
          <cell r="AG3137" t="str">
            <v>)</v>
          </cell>
          <cell r="AM3137">
            <v>742</v>
          </cell>
          <cell r="AN3137">
            <v>0</v>
          </cell>
        </row>
        <row r="3138">
          <cell r="A3138" t="str">
            <v>110-3</v>
          </cell>
          <cell r="B3138">
            <v>700</v>
          </cell>
          <cell r="D3138" t="str">
            <v>잡재료비</v>
          </cell>
          <cell r="E3138" t="str">
            <v>재료비의2%</v>
          </cell>
          <cell r="F3138" t="str">
            <v>식</v>
          </cell>
          <cell r="V3138" t="str">
            <v>=</v>
          </cell>
          <cell r="W3138">
            <v>1</v>
          </cell>
          <cell r="Y3138" t="str">
            <v>기본</v>
          </cell>
          <cell r="AM3138">
            <v>0</v>
          </cell>
        </row>
        <row r="3139">
          <cell r="A3139" t="str">
            <v>110-4</v>
          </cell>
          <cell r="B3139">
            <v>542</v>
          </cell>
          <cell r="D3139" t="str">
            <v>나. 노무비</v>
          </cell>
          <cell r="E3139">
            <v>0</v>
          </cell>
          <cell r="F3139">
            <v>0</v>
          </cell>
          <cell r="AM3139">
            <v>0</v>
          </cell>
          <cell r="AN3139">
            <v>0</v>
          </cell>
        </row>
        <row r="3140">
          <cell r="B3140">
            <v>519</v>
          </cell>
          <cell r="D3140" t="str">
            <v>통신케이블공</v>
          </cell>
          <cell r="E3140">
            <v>0</v>
          </cell>
          <cell r="F3140" t="str">
            <v>인</v>
          </cell>
          <cell r="H3140">
            <v>5.9</v>
          </cell>
          <cell r="I3140" t="str">
            <v>/</v>
          </cell>
          <cell r="J3140">
            <v>1000</v>
          </cell>
          <cell r="K3140" t="str">
            <v>x</v>
          </cell>
          <cell r="L3140" t="str">
            <v>(</v>
          </cell>
          <cell r="M3140">
            <v>1</v>
          </cell>
          <cell r="N3140" t="str">
            <v>+</v>
          </cell>
          <cell r="O3140">
            <v>0.02</v>
          </cell>
          <cell r="P3140" t="str">
            <v>)</v>
          </cell>
          <cell r="V3140" t="str">
            <v>=</v>
          </cell>
          <cell r="W3140">
            <v>0.01</v>
          </cell>
          <cell r="Y3140" t="str">
            <v>기본</v>
          </cell>
          <cell r="Z3140" t="str">
            <v>x</v>
          </cell>
          <cell r="AA3140" t="str">
            <v>단위량</v>
          </cell>
          <cell r="AB3140" t="str">
            <v>x</v>
          </cell>
          <cell r="AC3140" t="str">
            <v>(</v>
          </cell>
          <cell r="AD3140">
            <v>1</v>
          </cell>
          <cell r="AE3140" t="str">
            <v>+</v>
          </cell>
          <cell r="AF3140" t="str">
            <v>지하</v>
          </cell>
          <cell r="AG3140" t="str">
            <v>)</v>
          </cell>
          <cell r="AL3140" t="str">
            <v>통3-15(지하)</v>
          </cell>
          <cell r="AM3140">
            <v>95424</v>
          </cell>
          <cell r="AN3140">
            <v>0</v>
          </cell>
        </row>
        <row r="3141">
          <cell r="B3141">
            <v>523</v>
          </cell>
          <cell r="D3141" t="str">
            <v>보통인부</v>
          </cell>
          <cell r="E3141">
            <v>0</v>
          </cell>
          <cell r="F3141" t="str">
            <v>인</v>
          </cell>
          <cell r="H3141">
            <v>9.18</v>
          </cell>
          <cell r="I3141" t="str">
            <v>/</v>
          </cell>
          <cell r="J3141">
            <v>1000</v>
          </cell>
          <cell r="K3141" t="str">
            <v>x</v>
          </cell>
          <cell r="L3141" t="str">
            <v>(</v>
          </cell>
          <cell r="M3141">
            <v>1</v>
          </cell>
          <cell r="N3141" t="str">
            <v>+</v>
          </cell>
          <cell r="O3141">
            <v>0.02</v>
          </cell>
          <cell r="P3141" t="str">
            <v>)</v>
          </cell>
          <cell r="V3141" t="str">
            <v>=</v>
          </cell>
          <cell r="W3141">
            <v>0.01</v>
          </cell>
          <cell r="Y3141" t="str">
            <v>기본</v>
          </cell>
          <cell r="Z3141" t="str">
            <v>x</v>
          </cell>
          <cell r="AA3141" t="str">
            <v>단위량</v>
          </cell>
          <cell r="AB3141" t="str">
            <v>x</v>
          </cell>
          <cell r="AC3141" t="str">
            <v>(</v>
          </cell>
          <cell r="AD3141">
            <v>1</v>
          </cell>
          <cell r="AE3141" t="str">
            <v>+</v>
          </cell>
          <cell r="AF3141" t="str">
            <v>지하</v>
          </cell>
          <cell r="AG3141" t="str">
            <v>)</v>
          </cell>
          <cell r="AM3141">
            <v>40922</v>
          </cell>
          <cell r="AN3141">
            <v>0</v>
          </cell>
        </row>
        <row r="3142">
          <cell r="B3142">
            <v>544</v>
          </cell>
          <cell r="D3142" t="str">
            <v>소    계</v>
          </cell>
          <cell r="E3142">
            <v>0</v>
          </cell>
          <cell r="F3142">
            <v>0</v>
          </cell>
          <cell r="AM3142">
            <v>0</v>
          </cell>
          <cell r="AN3142">
            <v>0</v>
          </cell>
        </row>
        <row r="3143">
          <cell r="A3143" t="str">
            <v>110-5</v>
          </cell>
          <cell r="B3143">
            <v>519</v>
          </cell>
          <cell r="D3143" t="str">
            <v>통신케이블공</v>
          </cell>
          <cell r="E3143">
            <v>0</v>
          </cell>
          <cell r="F3143" t="str">
            <v>인</v>
          </cell>
          <cell r="V3143" t="str">
            <v>=</v>
          </cell>
          <cell r="W3143">
            <v>0.01</v>
          </cell>
          <cell r="AM3143">
            <v>95424</v>
          </cell>
          <cell r="AN3143">
            <v>0</v>
          </cell>
        </row>
        <row r="3144">
          <cell r="A3144" t="str">
            <v>110-6</v>
          </cell>
          <cell r="B3144">
            <v>523</v>
          </cell>
          <cell r="D3144" t="str">
            <v>보통인부</v>
          </cell>
          <cell r="E3144">
            <v>0</v>
          </cell>
          <cell r="F3144" t="str">
            <v>인</v>
          </cell>
          <cell r="V3144" t="str">
            <v>=</v>
          </cell>
          <cell r="W3144">
            <v>0.01</v>
          </cell>
          <cell r="AM3144">
            <v>40922</v>
          </cell>
          <cell r="AN3144">
            <v>0</v>
          </cell>
        </row>
        <row r="3145">
          <cell r="A3145" t="str">
            <v>110-7</v>
          </cell>
          <cell r="B3145">
            <v>543</v>
          </cell>
          <cell r="D3145" t="str">
            <v>다. 공구손료</v>
          </cell>
          <cell r="E3145" t="str">
            <v>노무비x3%</v>
          </cell>
          <cell r="F3145">
            <v>0</v>
          </cell>
          <cell r="AM3145">
            <v>0</v>
          </cell>
          <cell r="AN3145">
            <v>0</v>
          </cell>
        </row>
        <row r="3146">
          <cell r="A3146" t="str">
            <v>110-8</v>
          </cell>
          <cell r="B3146">
            <v>519</v>
          </cell>
          <cell r="D3146" t="str">
            <v>통신케이블공</v>
          </cell>
          <cell r="E3146">
            <v>0</v>
          </cell>
          <cell r="F3146" t="str">
            <v>인</v>
          </cell>
          <cell r="H3146">
            <v>0.01</v>
          </cell>
          <cell r="I3146" t="str">
            <v>x</v>
          </cell>
          <cell r="J3146">
            <v>0.03</v>
          </cell>
          <cell r="V3146" t="str">
            <v>=</v>
          </cell>
          <cell r="W3146" t="str">
            <v>0</v>
          </cell>
          <cell r="AM3146">
            <v>95424</v>
          </cell>
          <cell r="AN3146">
            <v>0</v>
          </cell>
        </row>
        <row r="3147">
          <cell r="A3147" t="str">
            <v>110-9</v>
          </cell>
          <cell r="B3147">
            <v>523</v>
          </cell>
          <cell r="D3147" t="str">
            <v>보통인부</v>
          </cell>
          <cell r="E3147">
            <v>0</v>
          </cell>
          <cell r="F3147" t="str">
            <v>인</v>
          </cell>
          <cell r="H3147">
            <v>0.01</v>
          </cell>
          <cell r="I3147" t="str">
            <v>x</v>
          </cell>
          <cell r="J3147">
            <v>0.03</v>
          </cell>
          <cell r="V3147" t="str">
            <v>=</v>
          </cell>
          <cell r="W3147" t="str">
            <v>0</v>
          </cell>
          <cell r="AM3147">
            <v>40922</v>
          </cell>
          <cell r="AN3147">
            <v>0</v>
          </cell>
        </row>
        <row r="3148">
          <cell r="AM3148">
            <v>0</v>
          </cell>
          <cell r="AN3148">
            <v>0</v>
          </cell>
        </row>
        <row r="3149">
          <cell r="AM3149">
            <v>0</v>
          </cell>
          <cell r="AN3149">
            <v>0</v>
          </cell>
        </row>
        <row r="3150">
          <cell r="AM3150">
            <v>0</v>
          </cell>
          <cell r="AN3150">
            <v>0</v>
          </cell>
        </row>
        <row r="3151">
          <cell r="AM3151">
            <v>0</v>
          </cell>
          <cell r="AN3151">
            <v>0</v>
          </cell>
        </row>
        <row r="3152">
          <cell r="AM3152">
            <v>0</v>
          </cell>
          <cell r="AN3152">
            <v>0</v>
          </cell>
        </row>
        <row r="3153">
          <cell r="AM3153">
            <v>0</v>
          </cell>
          <cell r="AN3153">
            <v>0</v>
          </cell>
        </row>
        <row r="3154">
          <cell r="AM3154">
            <v>0</v>
          </cell>
          <cell r="AN3154">
            <v>0</v>
          </cell>
        </row>
        <row r="3155">
          <cell r="AM3155">
            <v>0</v>
          </cell>
          <cell r="AN3155">
            <v>0</v>
          </cell>
        </row>
        <row r="3156">
          <cell r="AM3156">
            <v>0</v>
          </cell>
        </row>
        <row r="3157">
          <cell r="AM3157">
            <v>0</v>
          </cell>
        </row>
        <row r="3158">
          <cell r="AM3158">
            <v>0</v>
          </cell>
        </row>
        <row r="3159">
          <cell r="AM3159">
            <v>0</v>
          </cell>
        </row>
        <row r="3160">
          <cell r="AM3160">
            <v>0</v>
          </cell>
          <cell r="AN3160">
            <v>0</v>
          </cell>
        </row>
        <row r="3161">
          <cell r="AM3161">
            <v>0</v>
          </cell>
          <cell r="AN3161">
            <v>0</v>
          </cell>
        </row>
        <row r="3162">
          <cell r="A3162">
            <v>111</v>
          </cell>
          <cell r="C3162">
            <v>111</v>
          </cell>
          <cell r="D3162" t="str">
            <v>제어케이블신설</v>
          </cell>
          <cell r="E3162" t="str">
            <v>CTC 2P/2㎟</v>
          </cell>
          <cell r="F3162" t="str">
            <v>m</v>
          </cell>
          <cell r="AM3162">
            <v>0</v>
          </cell>
          <cell r="AN3162">
            <v>0</v>
          </cell>
        </row>
        <row r="3163">
          <cell r="A3163" t="str">
            <v>111-1</v>
          </cell>
          <cell r="B3163">
            <v>541</v>
          </cell>
          <cell r="D3163" t="str">
            <v>가. 재료비</v>
          </cell>
          <cell r="E3163">
            <v>0</v>
          </cell>
          <cell r="F3163">
            <v>0</v>
          </cell>
          <cell r="AM3163">
            <v>0</v>
          </cell>
          <cell r="AN3163">
            <v>0</v>
          </cell>
        </row>
        <row r="3164">
          <cell r="A3164" t="str">
            <v>111-2</v>
          </cell>
          <cell r="B3164">
            <v>147</v>
          </cell>
          <cell r="D3164" t="str">
            <v>켑타이어케이블</v>
          </cell>
          <cell r="E3164" t="str">
            <v>CTC 2P/2㎟</v>
          </cell>
          <cell r="F3164" t="str">
            <v>m</v>
          </cell>
          <cell r="H3164">
            <v>1</v>
          </cell>
          <cell r="I3164" t="str">
            <v>x</v>
          </cell>
          <cell r="J3164">
            <v>1</v>
          </cell>
          <cell r="K3164" t="str">
            <v>x</v>
          </cell>
          <cell r="L3164" t="str">
            <v>(</v>
          </cell>
          <cell r="M3164">
            <v>1</v>
          </cell>
          <cell r="N3164" t="str">
            <v>+</v>
          </cell>
          <cell r="O3164">
            <v>0.03</v>
          </cell>
          <cell r="P3164" t="str">
            <v>)</v>
          </cell>
          <cell r="V3164" t="str">
            <v>=</v>
          </cell>
          <cell r="W3164">
            <v>1.03</v>
          </cell>
          <cell r="Y3164" t="str">
            <v>기본</v>
          </cell>
          <cell r="Z3164" t="str">
            <v>x</v>
          </cell>
          <cell r="AA3164" t="str">
            <v>단위량</v>
          </cell>
          <cell r="AB3164" t="str">
            <v>x</v>
          </cell>
          <cell r="AC3164" t="str">
            <v>(</v>
          </cell>
          <cell r="AD3164">
            <v>1</v>
          </cell>
          <cell r="AE3164" t="str">
            <v>+</v>
          </cell>
          <cell r="AF3164" t="str">
            <v>할증</v>
          </cell>
          <cell r="AG3164" t="str">
            <v>)</v>
          </cell>
          <cell r="AM3164">
            <v>742</v>
          </cell>
          <cell r="AN3164">
            <v>0</v>
          </cell>
        </row>
        <row r="3165">
          <cell r="A3165" t="str">
            <v>111-3</v>
          </cell>
          <cell r="B3165">
            <v>700</v>
          </cell>
          <cell r="D3165" t="str">
            <v>잡재료비</v>
          </cell>
          <cell r="E3165" t="str">
            <v>재료비의2%</v>
          </cell>
          <cell r="F3165" t="str">
            <v>식</v>
          </cell>
          <cell r="V3165" t="str">
            <v>=</v>
          </cell>
          <cell r="W3165">
            <v>1</v>
          </cell>
          <cell r="Y3165" t="str">
            <v>기본</v>
          </cell>
          <cell r="AM3165">
            <v>0</v>
          </cell>
        </row>
        <row r="3166">
          <cell r="A3166" t="str">
            <v>111-4</v>
          </cell>
          <cell r="B3166">
            <v>542</v>
          </cell>
          <cell r="D3166" t="str">
            <v>나. 노무비</v>
          </cell>
          <cell r="E3166">
            <v>0</v>
          </cell>
          <cell r="F3166">
            <v>0</v>
          </cell>
          <cell r="AM3166">
            <v>0</v>
          </cell>
          <cell r="AN3166">
            <v>0</v>
          </cell>
        </row>
        <row r="3167">
          <cell r="B3167">
            <v>519</v>
          </cell>
          <cell r="D3167" t="str">
            <v>통신케이블공</v>
          </cell>
          <cell r="E3167">
            <v>0</v>
          </cell>
          <cell r="F3167" t="str">
            <v>인</v>
          </cell>
          <cell r="H3167">
            <v>5.9</v>
          </cell>
          <cell r="I3167" t="str">
            <v>/</v>
          </cell>
          <cell r="J3167">
            <v>1000</v>
          </cell>
          <cell r="V3167" t="str">
            <v>=</v>
          </cell>
          <cell r="W3167">
            <v>0.01</v>
          </cell>
          <cell r="Y3167" t="str">
            <v>기본</v>
          </cell>
          <cell r="Z3167" t="str">
            <v>/</v>
          </cell>
          <cell r="AA3167">
            <v>1000</v>
          </cell>
          <cell r="AL3167" t="str">
            <v>통3-15</v>
          </cell>
          <cell r="AM3167">
            <v>95424</v>
          </cell>
          <cell r="AN3167">
            <v>0</v>
          </cell>
        </row>
        <row r="3168">
          <cell r="B3168">
            <v>523</v>
          </cell>
          <cell r="D3168" t="str">
            <v>보통인부</v>
          </cell>
          <cell r="E3168">
            <v>0</v>
          </cell>
          <cell r="F3168" t="str">
            <v>인</v>
          </cell>
          <cell r="H3168">
            <v>9.18</v>
          </cell>
          <cell r="I3168" t="str">
            <v>/</v>
          </cell>
          <cell r="J3168">
            <v>1000</v>
          </cell>
          <cell r="V3168" t="str">
            <v>=</v>
          </cell>
          <cell r="W3168">
            <v>0.01</v>
          </cell>
          <cell r="Y3168" t="str">
            <v>기본</v>
          </cell>
          <cell r="Z3168" t="str">
            <v>/</v>
          </cell>
          <cell r="AA3168">
            <v>1000</v>
          </cell>
          <cell r="AM3168">
            <v>40922</v>
          </cell>
          <cell r="AN3168">
            <v>0</v>
          </cell>
        </row>
        <row r="3169">
          <cell r="B3169">
            <v>544</v>
          </cell>
          <cell r="D3169" t="str">
            <v>소    계</v>
          </cell>
          <cell r="E3169">
            <v>0</v>
          </cell>
          <cell r="F3169">
            <v>0</v>
          </cell>
          <cell r="AM3169">
            <v>0</v>
          </cell>
          <cell r="AN3169">
            <v>0</v>
          </cell>
        </row>
        <row r="3170">
          <cell r="A3170" t="str">
            <v>111-5</v>
          </cell>
          <cell r="B3170">
            <v>519</v>
          </cell>
          <cell r="D3170" t="str">
            <v>통신케이블공</v>
          </cell>
          <cell r="E3170">
            <v>0</v>
          </cell>
          <cell r="F3170" t="str">
            <v>인</v>
          </cell>
          <cell r="V3170" t="str">
            <v>=</v>
          </cell>
          <cell r="W3170">
            <v>0.01</v>
          </cell>
          <cell r="AM3170">
            <v>95424</v>
          </cell>
          <cell r="AN3170">
            <v>0</v>
          </cell>
        </row>
        <row r="3171">
          <cell r="A3171" t="str">
            <v>111-6</v>
          </cell>
          <cell r="B3171">
            <v>523</v>
          </cell>
          <cell r="D3171" t="str">
            <v>보통인부</v>
          </cell>
          <cell r="E3171">
            <v>0</v>
          </cell>
          <cell r="F3171" t="str">
            <v>인</v>
          </cell>
          <cell r="V3171" t="str">
            <v>=</v>
          </cell>
          <cell r="W3171">
            <v>0.01</v>
          </cell>
          <cell r="AM3171">
            <v>40922</v>
          </cell>
          <cell r="AN3171">
            <v>0</v>
          </cell>
        </row>
        <row r="3172">
          <cell r="A3172" t="str">
            <v>111-7</v>
          </cell>
          <cell r="B3172">
            <v>543</v>
          </cell>
          <cell r="D3172" t="str">
            <v>다. 공구손료</v>
          </cell>
          <cell r="E3172" t="str">
            <v>노무비x3%</v>
          </cell>
          <cell r="F3172">
            <v>0</v>
          </cell>
          <cell r="AM3172">
            <v>0</v>
          </cell>
          <cell r="AN3172">
            <v>0</v>
          </cell>
        </row>
        <row r="3173">
          <cell r="A3173" t="str">
            <v>111-8</v>
          </cell>
          <cell r="B3173">
            <v>519</v>
          </cell>
          <cell r="D3173" t="str">
            <v>통신케이블공</v>
          </cell>
          <cell r="E3173">
            <v>0</v>
          </cell>
          <cell r="F3173" t="str">
            <v>인</v>
          </cell>
          <cell r="H3173">
            <v>0.01</v>
          </cell>
          <cell r="I3173" t="str">
            <v>x</v>
          </cell>
          <cell r="J3173">
            <v>0.03</v>
          </cell>
          <cell r="V3173" t="str">
            <v>=</v>
          </cell>
          <cell r="W3173" t="str">
            <v>0</v>
          </cell>
          <cell r="AM3173">
            <v>95424</v>
          </cell>
          <cell r="AN3173">
            <v>0</v>
          </cell>
        </row>
        <row r="3174">
          <cell r="A3174" t="str">
            <v>111-9</v>
          </cell>
          <cell r="B3174">
            <v>523</v>
          </cell>
          <cell r="D3174" t="str">
            <v>보통인부</v>
          </cell>
          <cell r="E3174">
            <v>0</v>
          </cell>
          <cell r="F3174" t="str">
            <v>인</v>
          </cell>
          <cell r="H3174">
            <v>0.01</v>
          </cell>
          <cell r="I3174" t="str">
            <v>x</v>
          </cell>
          <cell r="J3174">
            <v>0.03</v>
          </cell>
          <cell r="V3174" t="str">
            <v>=</v>
          </cell>
          <cell r="W3174" t="str">
            <v>0</v>
          </cell>
          <cell r="AM3174">
            <v>40922</v>
          </cell>
          <cell r="AN3174">
            <v>0</v>
          </cell>
        </row>
        <row r="3175">
          <cell r="AM3175">
            <v>0</v>
          </cell>
          <cell r="AN3175">
            <v>0</v>
          </cell>
        </row>
        <row r="3176">
          <cell r="AM3176">
            <v>0</v>
          </cell>
          <cell r="AN3176">
            <v>0</v>
          </cell>
        </row>
        <row r="3177">
          <cell r="AM3177">
            <v>0</v>
          </cell>
          <cell r="AN3177">
            <v>0</v>
          </cell>
        </row>
        <row r="3178">
          <cell r="AM3178">
            <v>0</v>
          </cell>
          <cell r="AN3178">
            <v>0</v>
          </cell>
        </row>
        <row r="3179">
          <cell r="AM3179">
            <v>0</v>
          </cell>
          <cell r="AN3179">
            <v>0</v>
          </cell>
        </row>
        <row r="3180">
          <cell r="AM3180">
            <v>0</v>
          </cell>
          <cell r="AN3180">
            <v>0</v>
          </cell>
        </row>
        <row r="3181">
          <cell r="AM3181">
            <v>0</v>
          </cell>
          <cell r="AN3181">
            <v>0</v>
          </cell>
        </row>
        <row r="3182">
          <cell r="AM3182">
            <v>0</v>
          </cell>
          <cell r="AN3182">
            <v>0</v>
          </cell>
        </row>
        <row r="3183">
          <cell r="AM3183">
            <v>0</v>
          </cell>
          <cell r="AN3183">
            <v>0</v>
          </cell>
        </row>
        <row r="3184">
          <cell r="AM3184">
            <v>0</v>
          </cell>
        </row>
        <row r="3185">
          <cell r="AM3185">
            <v>0</v>
          </cell>
        </row>
        <row r="3186">
          <cell r="AM3186">
            <v>0</v>
          </cell>
        </row>
        <row r="3187">
          <cell r="AM3187">
            <v>0</v>
          </cell>
          <cell r="AN3187">
            <v>0</v>
          </cell>
        </row>
        <row r="3188">
          <cell r="AM3188">
            <v>0</v>
          </cell>
          <cell r="AN3188">
            <v>0</v>
          </cell>
        </row>
        <row r="3189">
          <cell r="A3189">
            <v>112</v>
          </cell>
          <cell r="C3189">
            <v>112</v>
          </cell>
          <cell r="D3189" t="str">
            <v>제어케이블신설</v>
          </cell>
          <cell r="E3189" t="str">
            <v>CVV-S 20C/1.25㎟</v>
          </cell>
          <cell r="F3189" t="str">
            <v>m</v>
          </cell>
          <cell r="AM3189">
            <v>0</v>
          </cell>
          <cell r="AN3189">
            <v>0</v>
          </cell>
        </row>
        <row r="3190">
          <cell r="A3190" t="str">
            <v>112-1</v>
          </cell>
          <cell r="B3190">
            <v>541</v>
          </cell>
          <cell r="D3190" t="str">
            <v>가. 재료비</v>
          </cell>
          <cell r="E3190">
            <v>0</v>
          </cell>
          <cell r="F3190">
            <v>0</v>
          </cell>
          <cell r="AM3190">
            <v>0</v>
          </cell>
          <cell r="AN3190">
            <v>0</v>
          </cell>
        </row>
        <row r="3191">
          <cell r="A3191" t="str">
            <v>112-2</v>
          </cell>
          <cell r="B3191">
            <v>357</v>
          </cell>
          <cell r="D3191" t="str">
            <v xml:space="preserve">제어케이블 </v>
          </cell>
          <cell r="E3191" t="str">
            <v>CVV-S 20C/1.25㎟</v>
          </cell>
          <cell r="F3191" t="str">
            <v>m</v>
          </cell>
          <cell r="H3191">
            <v>1</v>
          </cell>
          <cell r="I3191" t="str">
            <v>x</v>
          </cell>
          <cell r="J3191">
            <v>1</v>
          </cell>
          <cell r="K3191" t="str">
            <v>x</v>
          </cell>
          <cell r="L3191" t="str">
            <v>(</v>
          </cell>
          <cell r="M3191">
            <v>1</v>
          </cell>
          <cell r="N3191" t="str">
            <v>+</v>
          </cell>
          <cell r="O3191">
            <v>0.03</v>
          </cell>
          <cell r="P3191" t="str">
            <v>)</v>
          </cell>
          <cell r="V3191" t="str">
            <v>=</v>
          </cell>
          <cell r="W3191">
            <v>1.03</v>
          </cell>
          <cell r="Y3191" t="str">
            <v>기본</v>
          </cell>
          <cell r="Z3191" t="str">
            <v>x</v>
          </cell>
          <cell r="AA3191" t="str">
            <v>단위량</v>
          </cell>
          <cell r="AB3191" t="str">
            <v>x</v>
          </cell>
          <cell r="AC3191" t="str">
            <v>(</v>
          </cell>
          <cell r="AD3191">
            <v>1</v>
          </cell>
          <cell r="AE3191" t="str">
            <v>+</v>
          </cell>
          <cell r="AF3191" t="str">
            <v>할증</v>
          </cell>
          <cell r="AG3191" t="str">
            <v>)</v>
          </cell>
          <cell r="AM3191">
            <v>1415</v>
          </cell>
          <cell r="AN3191">
            <v>0</v>
          </cell>
        </row>
        <row r="3192">
          <cell r="A3192" t="str">
            <v>112-3</v>
          </cell>
          <cell r="B3192">
            <v>700</v>
          </cell>
          <cell r="D3192" t="str">
            <v>잡재료비</v>
          </cell>
          <cell r="E3192" t="str">
            <v>재료비의2%</v>
          </cell>
          <cell r="F3192" t="str">
            <v>식</v>
          </cell>
          <cell r="V3192" t="str">
            <v>=</v>
          </cell>
          <cell r="W3192">
            <v>1</v>
          </cell>
          <cell r="Y3192" t="str">
            <v>기본</v>
          </cell>
          <cell r="AM3192">
            <v>0</v>
          </cell>
        </row>
        <row r="3193">
          <cell r="A3193" t="str">
            <v>112-4</v>
          </cell>
          <cell r="B3193">
            <v>542</v>
          </cell>
          <cell r="D3193" t="str">
            <v>나. 노무비</v>
          </cell>
          <cell r="E3193">
            <v>0</v>
          </cell>
          <cell r="F3193">
            <v>0</v>
          </cell>
          <cell r="AL3193" t="str">
            <v>전7-10</v>
          </cell>
          <cell r="AM3193">
            <v>0</v>
          </cell>
          <cell r="AN3193">
            <v>0</v>
          </cell>
        </row>
        <row r="3194">
          <cell r="B3194">
            <v>514</v>
          </cell>
          <cell r="D3194" t="str">
            <v>저압케이블공</v>
          </cell>
          <cell r="E3194">
            <v>0</v>
          </cell>
          <cell r="F3194" t="str">
            <v>인</v>
          </cell>
          <cell r="H3194">
            <v>7.1999999999999995E-2</v>
          </cell>
          <cell r="I3194" t="str">
            <v>x</v>
          </cell>
          <cell r="J3194">
            <v>1</v>
          </cell>
          <cell r="V3194" t="str">
            <v>=</v>
          </cell>
          <cell r="W3194">
            <v>7.0000000000000007E-2</v>
          </cell>
          <cell r="Y3194" t="str">
            <v>기본</v>
          </cell>
          <cell r="Z3194" t="str">
            <v>x</v>
          </cell>
          <cell r="AA3194" t="str">
            <v>단위량</v>
          </cell>
          <cell r="AM3194">
            <v>73973</v>
          </cell>
          <cell r="AN3194">
            <v>0</v>
          </cell>
        </row>
        <row r="3195">
          <cell r="B3195">
            <v>544</v>
          </cell>
          <cell r="D3195" t="str">
            <v>소    계</v>
          </cell>
          <cell r="E3195">
            <v>0</v>
          </cell>
          <cell r="F3195">
            <v>0</v>
          </cell>
          <cell r="AM3195">
            <v>0</v>
          </cell>
          <cell r="AN3195">
            <v>0</v>
          </cell>
        </row>
        <row r="3196">
          <cell r="A3196" t="str">
            <v>112-5</v>
          </cell>
          <cell r="B3196">
            <v>514</v>
          </cell>
          <cell r="D3196" t="str">
            <v>저압케이블공</v>
          </cell>
          <cell r="E3196">
            <v>0</v>
          </cell>
          <cell r="F3196" t="str">
            <v>인</v>
          </cell>
          <cell r="V3196" t="str">
            <v>=</v>
          </cell>
          <cell r="W3196">
            <v>7.0000000000000007E-2</v>
          </cell>
          <cell r="AM3196">
            <v>73973</v>
          </cell>
          <cell r="AN3196">
            <v>0</v>
          </cell>
        </row>
        <row r="3197">
          <cell r="A3197" t="str">
            <v>112-6</v>
          </cell>
          <cell r="B3197">
            <v>543</v>
          </cell>
          <cell r="D3197" t="str">
            <v>다. 공구손료</v>
          </cell>
          <cell r="E3197" t="str">
            <v>노무비x3%</v>
          </cell>
          <cell r="F3197">
            <v>0</v>
          </cell>
          <cell r="AM3197">
            <v>0</v>
          </cell>
          <cell r="AN3197">
            <v>0</v>
          </cell>
        </row>
        <row r="3198">
          <cell r="A3198" t="str">
            <v>112-7</v>
          </cell>
          <cell r="B3198">
            <v>514</v>
          </cell>
          <cell r="D3198" t="str">
            <v>저압케이블공</v>
          </cell>
          <cell r="E3198">
            <v>0</v>
          </cell>
          <cell r="F3198" t="str">
            <v>인</v>
          </cell>
          <cell r="H3198">
            <v>7.0000000000000007E-2</v>
          </cell>
          <cell r="I3198" t="str">
            <v>x</v>
          </cell>
          <cell r="J3198">
            <v>0.03</v>
          </cell>
          <cell r="V3198" t="str">
            <v>=</v>
          </cell>
          <cell r="W3198" t="str">
            <v>0</v>
          </cell>
          <cell r="Y3198" t="str">
            <v>기본</v>
          </cell>
          <cell r="Z3198" t="str">
            <v>x</v>
          </cell>
          <cell r="AA3198" t="str">
            <v>공구손료</v>
          </cell>
          <cell r="AM3198">
            <v>73973</v>
          </cell>
          <cell r="AN3198">
            <v>0</v>
          </cell>
        </row>
        <row r="3199">
          <cell r="AM3199">
            <v>0</v>
          </cell>
        </row>
        <row r="3200">
          <cell r="AM3200">
            <v>0</v>
          </cell>
        </row>
        <row r="3201">
          <cell r="AM3201">
            <v>0</v>
          </cell>
        </row>
        <row r="3202">
          <cell r="AM3202">
            <v>0</v>
          </cell>
        </row>
        <row r="3203">
          <cell r="AM3203">
            <v>0</v>
          </cell>
        </row>
        <row r="3204">
          <cell r="AM3204">
            <v>0</v>
          </cell>
        </row>
        <row r="3205">
          <cell r="AM3205">
            <v>0</v>
          </cell>
          <cell r="AN3205">
            <v>0</v>
          </cell>
        </row>
        <row r="3206">
          <cell r="AM3206">
            <v>0</v>
          </cell>
          <cell r="AN3206">
            <v>0</v>
          </cell>
        </row>
        <row r="3207">
          <cell r="AM3207">
            <v>0</v>
          </cell>
          <cell r="AN3207">
            <v>0</v>
          </cell>
        </row>
        <row r="3208">
          <cell r="AM3208">
            <v>0</v>
          </cell>
          <cell r="AN3208">
            <v>0</v>
          </cell>
        </row>
        <row r="3209">
          <cell r="AM3209">
            <v>0</v>
          </cell>
          <cell r="AN3209">
            <v>0</v>
          </cell>
        </row>
        <row r="3210">
          <cell r="AM3210">
            <v>0</v>
          </cell>
          <cell r="AN3210">
            <v>0</v>
          </cell>
        </row>
        <row r="3211">
          <cell r="AM3211">
            <v>0</v>
          </cell>
          <cell r="AN3211">
            <v>0</v>
          </cell>
        </row>
        <row r="3212">
          <cell r="AM3212">
            <v>0</v>
          </cell>
          <cell r="AN3212">
            <v>0</v>
          </cell>
        </row>
        <row r="3213">
          <cell r="AM3213">
            <v>0</v>
          </cell>
        </row>
        <row r="3214">
          <cell r="AM3214">
            <v>0</v>
          </cell>
        </row>
        <row r="3215">
          <cell r="AM3215">
            <v>0</v>
          </cell>
          <cell r="AN3215">
            <v>0</v>
          </cell>
        </row>
        <row r="3216">
          <cell r="A3216">
            <v>113</v>
          </cell>
          <cell r="C3216">
            <v>113</v>
          </cell>
          <cell r="D3216" t="str">
            <v>후강전선관 신설</v>
          </cell>
          <cell r="E3216" t="str">
            <v>36C(천장)</v>
          </cell>
          <cell r="F3216" t="str">
            <v>10m</v>
          </cell>
          <cell r="AM3216">
            <v>0</v>
          </cell>
          <cell r="AN3216">
            <v>0</v>
          </cell>
        </row>
        <row r="3217">
          <cell r="A3217" t="str">
            <v>113-1</v>
          </cell>
          <cell r="B3217">
            <v>541</v>
          </cell>
          <cell r="D3217" t="str">
            <v>가. 재료비</v>
          </cell>
          <cell r="AM3217">
            <v>0</v>
          </cell>
          <cell r="AN3217">
            <v>0</v>
          </cell>
        </row>
        <row r="3218">
          <cell r="A3218" t="str">
            <v>113-2</v>
          </cell>
          <cell r="B3218">
            <v>447</v>
          </cell>
          <cell r="D3218" t="str">
            <v>후강전선관</v>
          </cell>
          <cell r="E3218" t="str">
            <v>36C</v>
          </cell>
          <cell r="F3218" t="str">
            <v>m</v>
          </cell>
          <cell r="H3218">
            <v>1</v>
          </cell>
          <cell r="I3218" t="str">
            <v>x</v>
          </cell>
          <cell r="J3218">
            <v>10</v>
          </cell>
          <cell r="K3218" t="str">
            <v>x</v>
          </cell>
          <cell r="L3218" t="str">
            <v>(</v>
          </cell>
          <cell r="M3218">
            <v>1</v>
          </cell>
          <cell r="N3218" t="str">
            <v>+</v>
          </cell>
          <cell r="O3218">
            <v>0.1</v>
          </cell>
          <cell r="P3218" t="str">
            <v>)</v>
          </cell>
          <cell r="V3218" t="str">
            <v>=</v>
          </cell>
          <cell r="W3218">
            <v>11</v>
          </cell>
          <cell r="Y3218" t="str">
            <v>기본</v>
          </cell>
          <cell r="Z3218" t="str">
            <v>x</v>
          </cell>
          <cell r="AA3218" t="str">
            <v>단위량</v>
          </cell>
          <cell r="AB3218" t="str">
            <v>x</v>
          </cell>
          <cell r="AC3218" t="str">
            <v>(</v>
          </cell>
          <cell r="AD3218">
            <v>1</v>
          </cell>
          <cell r="AE3218" t="str">
            <v>+</v>
          </cell>
          <cell r="AF3218" t="str">
            <v>할증</v>
          </cell>
          <cell r="AG3218" t="str">
            <v>)</v>
          </cell>
          <cell r="AM3218">
            <v>1555</v>
          </cell>
          <cell r="AN3218">
            <v>0</v>
          </cell>
        </row>
        <row r="3219">
          <cell r="A3219" t="str">
            <v>113-3</v>
          </cell>
          <cell r="B3219">
            <v>600</v>
          </cell>
          <cell r="D3219" t="str">
            <v>전선관 부속품비</v>
          </cell>
          <cell r="E3219" t="str">
            <v>전선관의 15%</v>
          </cell>
          <cell r="F3219" t="str">
            <v>식</v>
          </cell>
          <cell r="V3219" t="str">
            <v>=</v>
          </cell>
          <cell r="W3219">
            <v>1</v>
          </cell>
          <cell r="Y3219" t="str">
            <v>기본</v>
          </cell>
          <cell r="AM3219">
            <v>0</v>
          </cell>
          <cell r="AN3219">
            <v>0</v>
          </cell>
        </row>
        <row r="3220">
          <cell r="A3220" t="str">
            <v>113-4</v>
          </cell>
          <cell r="B3220">
            <v>700</v>
          </cell>
          <cell r="D3220" t="str">
            <v>잡재료비</v>
          </cell>
          <cell r="E3220" t="str">
            <v>재료비의2%</v>
          </cell>
          <cell r="F3220" t="str">
            <v>식</v>
          </cell>
          <cell r="V3220" t="str">
            <v>=</v>
          </cell>
          <cell r="W3220">
            <v>1</v>
          </cell>
          <cell r="Y3220" t="str">
            <v>기본</v>
          </cell>
          <cell r="AM3220">
            <v>0</v>
          </cell>
          <cell r="AN3220">
            <v>0</v>
          </cell>
        </row>
        <row r="3221">
          <cell r="A3221" t="str">
            <v>113-5</v>
          </cell>
          <cell r="B3221">
            <v>542</v>
          </cell>
          <cell r="D3221" t="str">
            <v>나. 노무비</v>
          </cell>
          <cell r="E3221">
            <v>0</v>
          </cell>
          <cell r="F3221">
            <v>0</v>
          </cell>
          <cell r="AL3221" t="str">
            <v>통 3-61-가</v>
          </cell>
          <cell r="AM3221">
            <v>0</v>
          </cell>
          <cell r="AN3221">
            <v>0</v>
          </cell>
        </row>
        <row r="3222">
          <cell r="B3222">
            <v>518</v>
          </cell>
          <cell r="D3222" t="str">
            <v>통신내선공</v>
          </cell>
          <cell r="E3222">
            <v>0</v>
          </cell>
          <cell r="F3222" t="str">
            <v>인</v>
          </cell>
          <cell r="H3222">
            <v>2</v>
          </cell>
          <cell r="I3222" t="str">
            <v>x</v>
          </cell>
          <cell r="J3222">
            <v>1.2</v>
          </cell>
          <cell r="V3222" t="str">
            <v>=</v>
          </cell>
          <cell r="W3222">
            <v>2.4</v>
          </cell>
          <cell r="Y3222" t="str">
            <v>기본</v>
          </cell>
          <cell r="Z3222" t="str">
            <v>x</v>
          </cell>
          <cell r="AA3222" t="str">
            <v>천장</v>
          </cell>
          <cell r="AM3222">
            <v>63806</v>
          </cell>
          <cell r="AN3222">
            <v>0</v>
          </cell>
        </row>
        <row r="3223">
          <cell r="B3223">
            <v>544</v>
          </cell>
          <cell r="D3223" t="str">
            <v>소    계</v>
          </cell>
          <cell r="E3223">
            <v>0</v>
          </cell>
          <cell r="F3223">
            <v>0</v>
          </cell>
          <cell r="AM3223">
            <v>0</v>
          </cell>
          <cell r="AN3223">
            <v>0</v>
          </cell>
        </row>
        <row r="3224">
          <cell r="A3224" t="str">
            <v>113-6</v>
          </cell>
          <cell r="B3224">
            <v>518</v>
          </cell>
          <cell r="D3224" t="str">
            <v>통신내선공</v>
          </cell>
          <cell r="E3224">
            <v>0</v>
          </cell>
          <cell r="F3224" t="str">
            <v>인</v>
          </cell>
          <cell r="V3224" t="str">
            <v>=</v>
          </cell>
          <cell r="W3224">
            <v>2.4</v>
          </cell>
          <cell r="AM3224">
            <v>63806</v>
          </cell>
          <cell r="AN3224">
            <v>0</v>
          </cell>
        </row>
        <row r="3225">
          <cell r="A3225" t="str">
            <v>113-7</v>
          </cell>
          <cell r="B3225">
            <v>543</v>
          </cell>
          <cell r="D3225" t="str">
            <v>다. 공구손료</v>
          </cell>
          <cell r="E3225" t="str">
            <v>노무비x3%</v>
          </cell>
          <cell r="F3225">
            <v>0</v>
          </cell>
          <cell r="AM3225">
            <v>0</v>
          </cell>
          <cell r="AN3225">
            <v>0</v>
          </cell>
        </row>
        <row r="3226">
          <cell r="A3226" t="str">
            <v>113-8</v>
          </cell>
          <cell r="B3226">
            <v>518</v>
          </cell>
          <cell r="D3226" t="str">
            <v>통신내선공</v>
          </cell>
          <cell r="E3226">
            <v>0</v>
          </cell>
          <cell r="F3226" t="str">
            <v>인</v>
          </cell>
          <cell r="H3226">
            <v>2.4</v>
          </cell>
          <cell r="I3226" t="str">
            <v>x</v>
          </cell>
          <cell r="J3226">
            <v>0.03</v>
          </cell>
          <cell r="V3226" t="str">
            <v>=</v>
          </cell>
          <cell r="W3226">
            <v>7.0000000000000007E-2</v>
          </cell>
          <cell r="Y3226" t="str">
            <v>기본</v>
          </cell>
          <cell r="Z3226" t="str">
            <v>x</v>
          </cell>
          <cell r="AA3226" t="str">
            <v>공구손료</v>
          </cell>
          <cell r="AM3226">
            <v>63806</v>
          </cell>
          <cell r="AN3226">
            <v>0</v>
          </cell>
        </row>
        <row r="3227">
          <cell r="AM3227">
            <v>0</v>
          </cell>
          <cell r="AN3227">
            <v>0</v>
          </cell>
        </row>
        <row r="3228">
          <cell r="AM3228">
            <v>0</v>
          </cell>
          <cell r="AN3228">
            <v>0</v>
          </cell>
        </row>
        <row r="3229">
          <cell r="AM3229">
            <v>0</v>
          </cell>
          <cell r="AN3229">
            <v>0</v>
          </cell>
        </row>
        <row r="3230">
          <cell r="AM3230">
            <v>0</v>
          </cell>
          <cell r="AN3230">
            <v>0</v>
          </cell>
        </row>
        <row r="3231">
          <cell r="AM3231">
            <v>0</v>
          </cell>
        </row>
        <row r="3232">
          <cell r="AM3232">
            <v>0</v>
          </cell>
        </row>
        <row r="3233">
          <cell r="AM3233">
            <v>0</v>
          </cell>
        </row>
        <row r="3234">
          <cell r="AM3234">
            <v>0</v>
          </cell>
        </row>
        <row r="3235">
          <cell r="AM3235">
            <v>0</v>
          </cell>
        </row>
        <row r="3236">
          <cell r="AM3236">
            <v>0</v>
          </cell>
        </row>
        <row r="3237">
          <cell r="AM3237">
            <v>0</v>
          </cell>
        </row>
        <row r="3238">
          <cell r="AM3238">
            <v>0</v>
          </cell>
        </row>
        <row r="3239">
          <cell r="AM3239">
            <v>0</v>
          </cell>
        </row>
        <row r="3240">
          <cell r="AM3240">
            <v>0</v>
          </cell>
          <cell r="AN3240">
            <v>0</v>
          </cell>
        </row>
        <row r="3241">
          <cell r="AM3241">
            <v>0</v>
          </cell>
          <cell r="AN3241">
            <v>0</v>
          </cell>
        </row>
        <row r="3242">
          <cell r="AM3242">
            <v>0</v>
          </cell>
          <cell r="AN3242">
            <v>0</v>
          </cell>
        </row>
        <row r="3243">
          <cell r="A3243">
            <v>114</v>
          </cell>
          <cell r="C3243">
            <v>114</v>
          </cell>
          <cell r="D3243" t="str">
            <v>후강전선관 신설</v>
          </cell>
          <cell r="E3243" t="str">
            <v>42C(천장)</v>
          </cell>
          <cell r="F3243" t="str">
            <v>10m</v>
          </cell>
          <cell r="AM3243">
            <v>0</v>
          </cell>
          <cell r="AN3243">
            <v>0</v>
          </cell>
        </row>
        <row r="3244">
          <cell r="A3244" t="str">
            <v>114-1</v>
          </cell>
          <cell r="B3244">
            <v>541</v>
          </cell>
          <cell r="D3244" t="str">
            <v>가. 재료비</v>
          </cell>
          <cell r="AM3244">
            <v>0</v>
          </cell>
          <cell r="AN3244">
            <v>0</v>
          </cell>
        </row>
        <row r="3245">
          <cell r="A3245" t="str">
            <v>114-2</v>
          </cell>
          <cell r="B3245">
            <v>366</v>
          </cell>
          <cell r="D3245" t="str">
            <v>후강전선관</v>
          </cell>
          <cell r="E3245" t="str">
            <v>42C</v>
          </cell>
          <cell r="F3245" t="str">
            <v>m</v>
          </cell>
          <cell r="H3245">
            <v>1</v>
          </cell>
          <cell r="I3245" t="str">
            <v>x</v>
          </cell>
          <cell r="J3245">
            <v>10</v>
          </cell>
          <cell r="K3245" t="str">
            <v>x</v>
          </cell>
          <cell r="L3245" t="str">
            <v>(</v>
          </cell>
          <cell r="M3245">
            <v>1</v>
          </cell>
          <cell r="N3245" t="str">
            <v>+</v>
          </cell>
          <cell r="O3245">
            <v>0.1</v>
          </cell>
          <cell r="P3245" t="str">
            <v>)</v>
          </cell>
          <cell r="V3245" t="str">
            <v>=</v>
          </cell>
          <cell r="W3245">
            <v>11</v>
          </cell>
          <cell r="Y3245" t="str">
            <v>기본</v>
          </cell>
          <cell r="Z3245" t="str">
            <v>x</v>
          </cell>
          <cell r="AA3245" t="str">
            <v>단위량</v>
          </cell>
          <cell r="AB3245" t="str">
            <v>x</v>
          </cell>
          <cell r="AC3245" t="str">
            <v>(</v>
          </cell>
          <cell r="AD3245">
            <v>1</v>
          </cell>
          <cell r="AE3245" t="str">
            <v>+</v>
          </cell>
          <cell r="AF3245" t="str">
            <v>할증</v>
          </cell>
          <cell r="AG3245" t="str">
            <v>)</v>
          </cell>
          <cell r="AM3245">
            <v>1803</v>
          </cell>
          <cell r="AN3245">
            <v>0</v>
          </cell>
        </row>
        <row r="3246">
          <cell r="A3246" t="str">
            <v>114-3</v>
          </cell>
          <cell r="B3246">
            <v>600</v>
          </cell>
          <cell r="D3246" t="str">
            <v>전선관 부속품비</v>
          </cell>
          <cell r="E3246" t="str">
            <v>전선관의 15%</v>
          </cell>
          <cell r="F3246" t="str">
            <v>식</v>
          </cell>
          <cell r="V3246" t="str">
            <v>=</v>
          </cell>
          <cell r="W3246">
            <v>1</v>
          </cell>
          <cell r="Y3246" t="str">
            <v>기본</v>
          </cell>
          <cell r="AM3246">
            <v>0</v>
          </cell>
          <cell r="AN3246">
            <v>0</v>
          </cell>
        </row>
        <row r="3247">
          <cell r="A3247" t="str">
            <v>114-4</v>
          </cell>
          <cell r="B3247">
            <v>700</v>
          </cell>
          <cell r="D3247" t="str">
            <v>잡재료비</v>
          </cell>
          <cell r="E3247" t="str">
            <v>재료비의2%</v>
          </cell>
          <cell r="F3247" t="str">
            <v>식</v>
          </cell>
          <cell r="V3247" t="str">
            <v>=</v>
          </cell>
          <cell r="W3247">
            <v>1</v>
          </cell>
          <cell r="Y3247" t="str">
            <v>기본</v>
          </cell>
          <cell r="AM3247">
            <v>0</v>
          </cell>
          <cell r="AN3247">
            <v>0</v>
          </cell>
        </row>
        <row r="3248">
          <cell r="A3248" t="str">
            <v>114-5</v>
          </cell>
          <cell r="B3248">
            <v>542</v>
          </cell>
          <cell r="D3248" t="str">
            <v>나. 노무비</v>
          </cell>
          <cell r="E3248">
            <v>0</v>
          </cell>
          <cell r="F3248">
            <v>0</v>
          </cell>
          <cell r="AL3248" t="str">
            <v>통 3-61-가</v>
          </cell>
          <cell r="AM3248">
            <v>0</v>
          </cell>
          <cell r="AN3248">
            <v>0</v>
          </cell>
        </row>
        <row r="3249">
          <cell r="B3249">
            <v>518</v>
          </cell>
          <cell r="D3249" t="str">
            <v>통신내선공</v>
          </cell>
          <cell r="E3249">
            <v>0</v>
          </cell>
          <cell r="F3249" t="str">
            <v>인</v>
          </cell>
          <cell r="H3249">
            <v>2.5</v>
          </cell>
          <cell r="I3249" t="str">
            <v>x</v>
          </cell>
          <cell r="J3249">
            <v>1.2</v>
          </cell>
          <cell r="V3249" t="str">
            <v>=</v>
          </cell>
          <cell r="W3249">
            <v>3</v>
          </cell>
          <cell r="Y3249" t="str">
            <v>기본</v>
          </cell>
          <cell r="Z3249" t="str">
            <v>x</v>
          </cell>
          <cell r="AA3249" t="str">
            <v>천장</v>
          </cell>
          <cell r="AM3249">
            <v>63806</v>
          </cell>
          <cell r="AN3249">
            <v>0</v>
          </cell>
        </row>
        <row r="3250">
          <cell r="B3250">
            <v>544</v>
          </cell>
          <cell r="D3250" t="str">
            <v>소    계</v>
          </cell>
          <cell r="E3250">
            <v>0</v>
          </cell>
          <cell r="F3250">
            <v>0</v>
          </cell>
          <cell r="AM3250">
            <v>0</v>
          </cell>
          <cell r="AN3250">
            <v>0</v>
          </cell>
        </row>
        <row r="3251">
          <cell r="A3251" t="str">
            <v>114-6</v>
          </cell>
          <cell r="B3251">
            <v>518</v>
          </cell>
          <cell r="D3251" t="str">
            <v>통신내선공</v>
          </cell>
          <cell r="E3251">
            <v>0</v>
          </cell>
          <cell r="F3251" t="str">
            <v>인</v>
          </cell>
          <cell r="V3251" t="str">
            <v>=</v>
          </cell>
          <cell r="W3251">
            <v>3</v>
          </cell>
          <cell r="AM3251">
            <v>63806</v>
          </cell>
          <cell r="AN3251">
            <v>0</v>
          </cell>
        </row>
        <row r="3252">
          <cell r="A3252" t="str">
            <v>114-7</v>
          </cell>
          <cell r="B3252">
            <v>543</v>
          </cell>
          <cell r="D3252" t="str">
            <v>다. 공구손료</v>
          </cell>
          <cell r="E3252" t="str">
            <v>노무비x3%</v>
          </cell>
          <cell r="F3252">
            <v>0</v>
          </cell>
          <cell r="AM3252">
            <v>0</v>
          </cell>
          <cell r="AN3252">
            <v>0</v>
          </cell>
        </row>
        <row r="3253">
          <cell r="A3253" t="str">
            <v>114-8</v>
          </cell>
          <cell r="B3253">
            <v>518</v>
          </cell>
          <cell r="D3253" t="str">
            <v>통신내선공</v>
          </cell>
          <cell r="E3253">
            <v>0</v>
          </cell>
          <cell r="F3253" t="str">
            <v>인</v>
          </cell>
          <cell r="H3253">
            <v>3</v>
          </cell>
          <cell r="I3253" t="str">
            <v>x</v>
          </cell>
          <cell r="J3253">
            <v>0.03</v>
          </cell>
          <cell r="V3253" t="str">
            <v>=</v>
          </cell>
          <cell r="W3253">
            <v>0.09</v>
          </cell>
          <cell r="Y3253" t="str">
            <v>기본</v>
          </cell>
          <cell r="Z3253" t="str">
            <v>x</v>
          </cell>
          <cell r="AA3253" t="str">
            <v>공구손료</v>
          </cell>
          <cell r="AM3253">
            <v>63806</v>
          </cell>
          <cell r="AN3253">
            <v>0</v>
          </cell>
        </row>
        <row r="3254">
          <cell r="AM3254">
            <v>0</v>
          </cell>
          <cell r="AN3254">
            <v>0</v>
          </cell>
        </row>
        <row r="3255">
          <cell r="AM3255">
            <v>0</v>
          </cell>
          <cell r="AN3255">
            <v>0</v>
          </cell>
        </row>
        <row r="3256">
          <cell r="AM3256">
            <v>0</v>
          </cell>
          <cell r="AN3256">
            <v>0</v>
          </cell>
        </row>
        <row r="3257">
          <cell r="AM3257">
            <v>0</v>
          </cell>
          <cell r="AN3257">
            <v>0</v>
          </cell>
        </row>
        <row r="3258">
          <cell r="AM3258">
            <v>0</v>
          </cell>
        </row>
        <row r="3259">
          <cell r="AM3259">
            <v>0</v>
          </cell>
        </row>
        <row r="3260">
          <cell r="AM3260">
            <v>0</v>
          </cell>
        </row>
        <row r="3261">
          <cell r="AM3261">
            <v>0</v>
          </cell>
        </row>
        <row r="3262">
          <cell r="AM3262">
            <v>0</v>
          </cell>
        </row>
        <row r="3263">
          <cell r="AM3263">
            <v>0</v>
          </cell>
        </row>
        <row r="3264">
          <cell r="AM3264">
            <v>0</v>
          </cell>
        </row>
        <row r="3265">
          <cell r="AM3265">
            <v>0</v>
          </cell>
        </row>
        <row r="3266">
          <cell r="AM3266">
            <v>0</v>
          </cell>
        </row>
        <row r="3267">
          <cell r="AM3267">
            <v>0</v>
          </cell>
          <cell r="AN3267">
            <v>0</v>
          </cell>
        </row>
        <row r="3268">
          <cell r="AM3268">
            <v>0</v>
          </cell>
          <cell r="AN3268">
            <v>0</v>
          </cell>
        </row>
        <row r="3269">
          <cell r="AM3269">
            <v>0</v>
          </cell>
          <cell r="AN3269">
            <v>0</v>
          </cell>
        </row>
        <row r="3270">
          <cell r="A3270">
            <v>115</v>
          </cell>
          <cell r="C3270">
            <v>115</v>
          </cell>
          <cell r="D3270" t="str">
            <v>원격조정기 신설</v>
          </cell>
          <cell r="F3270" t="str">
            <v>대</v>
          </cell>
          <cell r="AM3270">
            <v>0</v>
          </cell>
          <cell r="AN3270">
            <v>0</v>
          </cell>
        </row>
        <row r="3271">
          <cell r="A3271" t="str">
            <v>115-1</v>
          </cell>
          <cell r="B3271">
            <v>541</v>
          </cell>
          <cell r="D3271" t="str">
            <v>가. 재료비</v>
          </cell>
          <cell r="E3271">
            <v>0</v>
          </cell>
          <cell r="F3271">
            <v>0</v>
          </cell>
          <cell r="AM3271">
            <v>0</v>
          </cell>
          <cell r="AN3271">
            <v>0</v>
          </cell>
        </row>
        <row r="3272">
          <cell r="A3272" t="str">
            <v>115-2</v>
          </cell>
          <cell r="B3272">
            <v>305</v>
          </cell>
          <cell r="D3272" t="str">
            <v>원격조정기</v>
          </cell>
          <cell r="E3272">
            <v>0</v>
          </cell>
          <cell r="F3272" t="str">
            <v>대</v>
          </cell>
          <cell r="V3272" t="str">
            <v>=</v>
          </cell>
          <cell r="W3272">
            <v>1</v>
          </cell>
          <cell r="Y3272" t="str">
            <v>기본</v>
          </cell>
          <cell r="AM3272">
            <v>6525000</v>
          </cell>
          <cell r="AN3272">
            <v>0</v>
          </cell>
        </row>
        <row r="3273">
          <cell r="A3273" t="str">
            <v>115-3</v>
          </cell>
          <cell r="B3273">
            <v>542</v>
          </cell>
          <cell r="D3273" t="str">
            <v>나. 노무비</v>
          </cell>
          <cell r="E3273">
            <v>0</v>
          </cell>
          <cell r="F3273">
            <v>0</v>
          </cell>
          <cell r="AL3273" t="str">
            <v>통 5-4</v>
          </cell>
          <cell r="AM3273">
            <v>0</v>
          </cell>
          <cell r="AN3273">
            <v>0</v>
          </cell>
        </row>
        <row r="3274">
          <cell r="B3274">
            <v>517</v>
          </cell>
          <cell r="D3274" t="str">
            <v>통신설비공</v>
          </cell>
          <cell r="E3274">
            <v>0</v>
          </cell>
          <cell r="F3274" t="str">
            <v>인</v>
          </cell>
          <cell r="H3274">
            <v>3.84</v>
          </cell>
          <cell r="I3274" t="str">
            <v>x</v>
          </cell>
          <cell r="J3274">
            <v>1</v>
          </cell>
          <cell r="V3274" t="str">
            <v>=</v>
          </cell>
          <cell r="W3274">
            <v>3.84</v>
          </cell>
          <cell r="Y3274" t="str">
            <v>기본</v>
          </cell>
          <cell r="Z3274" t="str">
            <v>x</v>
          </cell>
          <cell r="AA3274" t="str">
            <v>단위량</v>
          </cell>
          <cell r="AM3274">
            <v>77401</v>
          </cell>
        </row>
        <row r="3275">
          <cell r="B3275">
            <v>544</v>
          </cell>
          <cell r="D3275" t="str">
            <v>소    계</v>
          </cell>
          <cell r="E3275">
            <v>0</v>
          </cell>
          <cell r="F3275">
            <v>0</v>
          </cell>
          <cell r="AM3275">
            <v>0</v>
          </cell>
        </row>
        <row r="3276">
          <cell r="A3276" t="str">
            <v>115-4</v>
          </cell>
          <cell r="B3276">
            <v>517</v>
          </cell>
          <cell r="D3276" t="str">
            <v>통신설비공</v>
          </cell>
          <cell r="E3276">
            <v>0</v>
          </cell>
          <cell r="F3276" t="str">
            <v>인</v>
          </cell>
          <cell r="V3276" t="str">
            <v>=</v>
          </cell>
          <cell r="W3276">
            <v>3.84</v>
          </cell>
          <cell r="AM3276">
            <v>77401</v>
          </cell>
        </row>
        <row r="3277">
          <cell r="A3277" t="str">
            <v>115-5</v>
          </cell>
          <cell r="B3277">
            <v>543</v>
          </cell>
          <cell r="D3277" t="str">
            <v>다. 공구손료</v>
          </cell>
          <cell r="E3277" t="str">
            <v>노무비x3%</v>
          </cell>
          <cell r="F3277">
            <v>0</v>
          </cell>
          <cell r="AM3277">
            <v>0</v>
          </cell>
        </row>
        <row r="3278">
          <cell r="A3278" t="str">
            <v>115-6</v>
          </cell>
          <cell r="B3278">
            <v>517</v>
          </cell>
          <cell r="D3278" t="str">
            <v>통신설비공</v>
          </cell>
          <cell r="E3278">
            <v>0</v>
          </cell>
          <cell r="F3278" t="str">
            <v>인</v>
          </cell>
          <cell r="H3278">
            <v>3.84</v>
          </cell>
          <cell r="I3278" t="str">
            <v>x</v>
          </cell>
          <cell r="J3278">
            <v>0.03</v>
          </cell>
          <cell r="V3278" t="str">
            <v>=</v>
          </cell>
          <cell r="W3278">
            <v>0.12</v>
          </cell>
          <cell r="Y3278" t="str">
            <v>기본</v>
          </cell>
          <cell r="Z3278" t="str">
            <v>x</v>
          </cell>
          <cell r="AA3278" t="str">
            <v>공구손료</v>
          </cell>
          <cell r="AM3278">
            <v>77401</v>
          </cell>
        </row>
        <row r="3279">
          <cell r="AM3279">
            <v>0</v>
          </cell>
        </row>
        <row r="3280">
          <cell r="AM3280">
            <v>0</v>
          </cell>
        </row>
        <row r="3281">
          <cell r="AM3281">
            <v>0</v>
          </cell>
        </row>
        <row r="3282">
          <cell r="AM3282">
            <v>0</v>
          </cell>
        </row>
        <row r="3283">
          <cell r="AM3283">
            <v>0</v>
          </cell>
        </row>
        <row r="3284">
          <cell r="AM3284">
            <v>0</v>
          </cell>
        </row>
        <row r="3285">
          <cell r="AM3285">
            <v>0</v>
          </cell>
          <cell r="AN3285">
            <v>0</v>
          </cell>
        </row>
        <row r="3286">
          <cell r="AM3286">
            <v>0</v>
          </cell>
          <cell r="AN3286">
            <v>0</v>
          </cell>
        </row>
        <row r="3287">
          <cell r="AM3287">
            <v>0</v>
          </cell>
        </row>
        <row r="3288">
          <cell r="AM3288">
            <v>0</v>
          </cell>
        </row>
        <row r="3289">
          <cell r="AM3289">
            <v>0</v>
          </cell>
        </row>
        <row r="3290">
          <cell r="AM3290">
            <v>0</v>
          </cell>
        </row>
        <row r="3291">
          <cell r="AM3291">
            <v>0</v>
          </cell>
        </row>
        <row r="3292">
          <cell r="AM3292">
            <v>0</v>
          </cell>
          <cell r="AN3292">
            <v>0</v>
          </cell>
        </row>
        <row r="3293">
          <cell r="AM3293">
            <v>0</v>
          </cell>
          <cell r="AN3293">
            <v>0</v>
          </cell>
        </row>
        <row r="3294">
          <cell r="AM3294">
            <v>0</v>
          </cell>
          <cell r="AN3294">
            <v>0</v>
          </cell>
        </row>
        <row r="3295">
          <cell r="AM3295">
            <v>0</v>
          </cell>
          <cell r="AN3295">
            <v>0</v>
          </cell>
        </row>
        <row r="3296">
          <cell r="AM3296">
            <v>0</v>
          </cell>
          <cell r="AN3296">
            <v>0</v>
          </cell>
        </row>
        <row r="3297">
          <cell r="A3297">
            <v>116</v>
          </cell>
          <cell r="C3297">
            <v>116</v>
          </cell>
          <cell r="D3297" t="str">
            <v>원격조정탁 신설</v>
          </cell>
          <cell r="F3297" t="str">
            <v>식</v>
          </cell>
          <cell r="AM3297">
            <v>0</v>
          </cell>
          <cell r="AN3297">
            <v>0</v>
          </cell>
        </row>
        <row r="3298">
          <cell r="A3298" t="str">
            <v>116-1</v>
          </cell>
          <cell r="B3298">
            <v>541</v>
          </cell>
          <cell r="D3298" t="str">
            <v>가. 재료비</v>
          </cell>
          <cell r="E3298">
            <v>0</v>
          </cell>
          <cell r="F3298">
            <v>0</v>
          </cell>
          <cell r="AM3298">
            <v>0</v>
          </cell>
          <cell r="AN3298">
            <v>0</v>
          </cell>
        </row>
        <row r="3299">
          <cell r="A3299" t="str">
            <v>116-2</v>
          </cell>
          <cell r="B3299">
            <v>306</v>
          </cell>
          <cell r="D3299" t="str">
            <v>원격조정탁</v>
          </cell>
          <cell r="E3299">
            <v>0</v>
          </cell>
          <cell r="F3299" t="str">
            <v>식</v>
          </cell>
          <cell r="V3299" t="str">
            <v>=</v>
          </cell>
          <cell r="W3299">
            <v>1</v>
          </cell>
          <cell r="AM3299">
            <v>2250000</v>
          </cell>
          <cell r="AN3299">
            <v>0</v>
          </cell>
        </row>
        <row r="3300">
          <cell r="A3300" t="str">
            <v>116-3</v>
          </cell>
          <cell r="B3300">
            <v>542</v>
          </cell>
          <cell r="D3300" t="str">
            <v>나. 노무비</v>
          </cell>
          <cell r="E3300">
            <v>0</v>
          </cell>
          <cell r="F3300">
            <v>0</v>
          </cell>
          <cell r="AL3300" t="str">
            <v>통 5-4</v>
          </cell>
          <cell r="AM3300">
            <v>0</v>
          </cell>
          <cell r="AN3300">
            <v>0</v>
          </cell>
        </row>
        <row r="3301">
          <cell r="B3301">
            <v>517</v>
          </cell>
          <cell r="D3301" t="str">
            <v>통신설비공</v>
          </cell>
          <cell r="E3301">
            <v>0</v>
          </cell>
          <cell r="F3301" t="str">
            <v>인</v>
          </cell>
          <cell r="H3301">
            <v>3.84</v>
          </cell>
          <cell r="I3301" t="str">
            <v>x</v>
          </cell>
          <cell r="J3301">
            <v>1</v>
          </cell>
          <cell r="V3301" t="str">
            <v>=</v>
          </cell>
          <cell r="W3301">
            <v>3.84</v>
          </cell>
          <cell r="Y3301" t="str">
            <v>기본</v>
          </cell>
          <cell r="Z3301" t="str">
            <v>x</v>
          </cell>
          <cell r="AA3301" t="str">
            <v>단위량</v>
          </cell>
          <cell r="AM3301">
            <v>77401</v>
          </cell>
        </row>
        <row r="3302">
          <cell r="B3302">
            <v>544</v>
          </cell>
          <cell r="D3302" t="str">
            <v>소    계</v>
          </cell>
          <cell r="E3302">
            <v>0</v>
          </cell>
          <cell r="F3302">
            <v>0</v>
          </cell>
          <cell r="AM3302">
            <v>0</v>
          </cell>
        </row>
        <row r="3303">
          <cell r="A3303" t="str">
            <v>116-4</v>
          </cell>
          <cell r="B3303">
            <v>517</v>
          </cell>
          <cell r="D3303" t="str">
            <v>통신설비공</v>
          </cell>
          <cell r="E3303">
            <v>0</v>
          </cell>
          <cell r="F3303" t="str">
            <v>인</v>
          </cell>
          <cell r="V3303" t="str">
            <v>=</v>
          </cell>
          <cell r="W3303">
            <v>3.84</v>
          </cell>
          <cell r="AM3303">
            <v>77401</v>
          </cell>
        </row>
        <row r="3304">
          <cell r="A3304" t="str">
            <v>116-5</v>
          </cell>
          <cell r="B3304">
            <v>543</v>
          </cell>
          <cell r="D3304" t="str">
            <v>다. 공구손료</v>
          </cell>
          <cell r="E3304" t="str">
            <v>노무비x3%</v>
          </cell>
          <cell r="F3304">
            <v>0</v>
          </cell>
          <cell r="AM3304">
            <v>0</v>
          </cell>
        </row>
        <row r="3305">
          <cell r="A3305" t="str">
            <v>116-6</v>
          </cell>
          <cell r="B3305">
            <v>517</v>
          </cell>
          <cell r="D3305" t="str">
            <v>통신설비공</v>
          </cell>
          <cell r="E3305">
            <v>0</v>
          </cell>
          <cell r="F3305" t="str">
            <v>인</v>
          </cell>
          <cell r="H3305">
            <v>3.84</v>
          </cell>
          <cell r="I3305" t="str">
            <v>x</v>
          </cell>
          <cell r="J3305">
            <v>0.03</v>
          </cell>
          <cell r="V3305" t="str">
            <v>=</v>
          </cell>
          <cell r="W3305">
            <v>0.12</v>
          </cell>
          <cell r="Y3305" t="str">
            <v>기본</v>
          </cell>
          <cell r="Z3305" t="str">
            <v>x</v>
          </cell>
          <cell r="AA3305" t="str">
            <v>공구손료</v>
          </cell>
          <cell r="AM3305">
            <v>77401</v>
          </cell>
        </row>
        <row r="3306">
          <cell r="AM3306">
            <v>0</v>
          </cell>
        </row>
        <row r="3307">
          <cell r="AM3307">
            <v>0</v>
          </cell>
        </row>
        <row r="3308">
          <cell r="AM3308">
            <v>0</v>
          </cell>
        </row>
        <row r="3309">
          <cell r="AM3309">
            <v>0</v>
          </cell>
        </row>
        <row r="3310">
          <cell r="AM3310">
            <v>0</v>
          </cell>
        </row>
        <row r="3311">
          <cell r="AM3311">
            <v>0</v>
          </cell>
        </row>
        <row r="3312">
          <cell r="AM3312">
            <v>0</v>
          </cell>
          <cell r="AN3312">
            <v>0</v>
          </cell>
        </row>
        <row r="3313">
          <cell r="AM3313">
            <v>0</v>
          </cell>
          <cell r="AN3313">
            <v>0</v>
          </cell>
        </row>
        <row r="3314">
          <cell r="AM3314">
            <v>0</v>
          </cell>
        </row>
        <row r="3315">
          <cell r="AM3315">
            <v>0</v>
          </cell>
        </row>
        <row r="3316">
          <cell r="AM3316">
            <v>0</v>
          </cell>
        </row>
        <row r="3317">
          <cell r="AM3317">
            <v>0</v>
          </cell>
        </row>
        <row r="3318">
          <cell r="AM3318">
            <v>0</v>
          </cell>
        </row>
        <row r="3319">
          <cell r="AM3319">
            <v>0</v>
          </cell>
          <cell r="AN3319">
            <v>0</v>
          </cell>
        </row>
        <row r="3320">
          <cell r="AM3320">
            <v>0</v>
          </cell>
          <cell r="AN3320">
            <v>0</v>
          </cell>
        </row>
        <row r="3321">
          <cell r="AM3321">
            <v>0</v>
          </cell>
          <cell r="AN3321">
            <v>0</v>
          </cell>
        </row>
        <row r="3322">
          <cell r="AM3322">
            <v>0</v>
          </cell>
          <cell r="AN3322">
            <v>0</v>
          </cell>
        </row>
        <row r="3323">
          <cell r="AM3323">
            <v>0</v>
          </cell>
          <cell r="AN3323">
            <v>0</v>
          </cell>
        </row>
        <row r="3324">
          <cell r="A3324">
            <v>117</v>
          </cell>
          <cell r="C3324">
            <v>117</v>
          </cell>
          <cell r="D3324" t="str">
            <v>사령원격방송장치신설</v>
          </cell>
          <cell r="F3324" t="str">
            <v>식</v>
          </cell>
          <cell r="AM3324">
            <v>0</v>
          </cell>
          <cell r="AN3324">
            <v>0</v>
          </cell>
        </row>
        <row r="3325">
          <cell r="A3325" t="str">
            <v>117-1</v>
          </cell>
          <cell r="B3325">
            <v>541</v>
          </cell>
          <cell r="D3325" t="str">
            <v>가. 재료비</v>
          </cell>
          <cell r="E3325">
            <v>0</v>
          </cell>
          <cell r="F3325">
            <v>0</v>
          </cell>
          <cell r="AM3325">
            <v>0</v>
          </cell>
          <cell r="AN3325">
            <v>0</v>
          </cell>
        </row>
        <row r="3326">
          <cell r="A3326" t="str">
            <v>117-2</v>
          </cell>
          <cell r="B3326">
            <v>150</v>
          </cell>
          <cell r="D3326" t="str">
            <v>사령원격방송장치</v>
          </cell>
          <cell r="E3326">
            <v>0</v>
          </cell>
          <cell r="F3326" t="str">
            <v>식</v>
          </cell>
          <cell r="V3326" t="str">
            <v>=</v>
          </cell>
          <cell r="W3326">
            <v>1</v>
          </cell>
          <cell r="AM3326">
            <v>47057000</v>
          </cell>
          <cell r="AN3326">
            <v>0</v>
          </cell>
        </row>
        <row r="3327">
          <cell r="A3327" t="str">
            <v>117-3</v>
          </cell>
          <cell r="B3327">
            <v>542</v>
          </cell>
          <cell r="D3327" t="str">
            <v>나. 노무비</v>
          </cell>
          <cell r="E3327">
            <v>0</v>
          </cell>
          <cell r="F3327">
            <v>0</v>
          </cell>
          <cell r="AM3327">
            <v>0</v>
          </cell>
          <cell r="AN3327">
            <v>0</v>
          </cell>
        </row>
        <row r="3328">
          <cell r="B3328">
            <v>555</v>
          </cell>
          <cell r="D3328" t="str">
            <v>통신관련산업기사</v>
          </cell>
          <cell r="E3328">
            <v>0</v>
          </cell>
          <cell r="F3328" t="str">
            <v>인</v>
          </cell>
          <cell r="V3328" t="str">
            <v>=</v>
          </cell>
          <cell r="W3328">
            <v>0.4</v>
          </cell>
          <cell r="Y3328" t="str">
            <v>기본</v>
          </cell>
          <cell r="AL3328" t="str">
            <v>통 5-78-나</v>
          </cell>
          <cell r="AM3328">
            <v>91949</v>
          </cell>
          <cell r="AN3328">
            <v>0</v>
          </cell>
        </row>
        <row r="3329">
          <cell r="B3329">
            <v>517</v>
          </cell>
          <cell r="D3329" t="str">
            <v>통신설비공</v>
          </cell>
          <cell r="E3329">
            <v>0</v>
          </cell>
          <cell r="F3329" t="str">
            <v>인</v>
          </cell>
          <cell r="V3329" t="str">
            <v>=</v>
          </cell>
          <cell r="W3329">
            <v>0.5</v>
          </cell>
          <cell r="Y3329" t="str">
            <v>기본</v>
          </cell>
          <cell r="AM3329">
            <v>77401</v>
          </cell>
          <cell r="AN3329">
            <v>0</v>
          </cell>
        </row>
        <row r="3330">
          <cell r="B3330">
            <v>523</v>
          </cell>
          <cell r="D3330" t="str">
            <v>보통인부</v>
          </cell>
          <cell r="E3330">
            <v>0</v>
          </cell>
          <cell r="F3330" t="str">
            <v>인</v>
          </cell>
          <cell r="V3330" t="str">
            <v>=</v>
          </cell>
          <cell r="W3330">
            <v>0.3</v>
          </cell>
          <cell r="Y3330" t="str">
            <v>기본</v>
          </cell>
          <cell r="AM3330">
            <v>40922</v>
          </cell>
          <cell r="AN3330">
            <v>0</v>
          </cell>
        </row>
        <row r="3331">
          <cell r="B3331">
            <v>544</v>
          </cell>
          <cell r="D3331" t="str">
            <v>소    계</v>
          </cell>
          <cell r="E3331">
            <v>0</v>
          </cell>
          <cell r="F3331">
            <v>0</v>
          </cell>
          <cell r="AM3331">
            <v>0</v>
          </cell>
          <cell r="AN3331">
            <v>0</v>
          </cell>
        </row>
        <row r="3332">
          <cell r="A3332" t="str">
            <v>117-4</v>
          </cell>
          <cell r="B3332">
            <v>555</v>
          </cell>
          <cell r="D3332" t="str">
            <v>통신관련산업기사</v>
          </cell>
          <cell r="E3332">
            <v>0</v>
          </cell>
          <cell r="F3332" t="str">
            <v>인</v>
          </cell>
          <cell r="V3332" t="str">
            <v>=</v>
          </cell>
          <cell r="W3332">
            <v>0.4</v>
          </cell>
          <cell r="AM3332">
            <v>91949</v>
          </cell>
          <cell r="AN3332">
            <v>0</v>
          </cell>
        </row>
        <row r="3333">
          <cell r="A3333" t="str">
            <v>117-5</v>
          </cell>
          <cell r="B3333">
            <v>517</v>
          </cell>
          <cell r="D3333" t="str">
            <v>통신설비공</v>
          </cell>
          <cell r="E3333">
            <v>0</v>
          </cell>
          <cell r="F3333" t="str">
            <v>인</v>
          </cell>
          <cell r="V3333" t="str">
            <v>=</v>
          </cell>
          <cell r="W3333">
            <v>0.5</v>
          </cell>
          <cell r="AM3333">
            <v>77401</v>
          </cell>
          <cell r="AN3333">
            <v>0</v>
          </cell>
        </row>
        <row r="3334">
          <cell r="A3334" t="str">
            <v>117-6</v>
          </cell>
          <cell r="B3334">
            <v>523</v>
          </cell>
          <cell r="D3334" t="str">
            <v>보통인부</v>
          </cell>
          <cell r="E3334">
            <v>0</v>
          </cell>
          <cell r="F3334" t="str">
            <v>인</v>
          </cell>
          <cell r="V3334" t="str">
            <v>=</v>
          </cell>
          <cell r="W3334">
            <v>0.3</v>
          </cell>
          <cell r="AM3334">
            <v>40922</v>
          </cell>
          <cell r="AN3334">
            <v>0</v>
          </cell>
        </row>
        <row r="3335">
          <cell r="A3335" t="str">
            <v>117-7</v>
          </cell>
          <cell r="B3335">
            <v>543</v>
          </cell>
          <cell r="D3335" t="str">
            <v>다. 공구손료</v>
          </cell>
          <cell r="E3335" t="str">
            <v>노무비x3%</v>
          </cell>
          <cell r="F3335">
            <v>0</v>
          </cell>
          <cell r="AM3335">
            <v>0</v>
          </cell>
          <cell r="AN3335">
            <v>0</v>
          </cell>
        </row>
        <row r="3336">
          <cell r="A3336" t="str">
            <v>117-8</v>
          </cell>
          <cell r="B3336">
            <v>555</v>
          </cell>
          <cell r="D3336" t="str">
            <v>통신관련산업기사</v>
          </cell>
          <cell r="E3336">
            <v>0</v>
          </cell>
          <cell r="F3336" t="str">
            <v>인</v>
          </cell>
          <cell r="H3336">
            <v>0.4</v>
          </cell>
          <cell r="I3336" t="str">
            <v>x</v>
          </cell>
          <cell r="J3336">
            <v>0.03</v>
          </cell>
          <cell r="V3336" t="str">
            <v>=</v>
          </cell>
          <cell r="W3336">
            <v>0.01</v>
          </cell>
          <cell r="Y3336" t="str">
            <v>기본</v>
          </cell>
          <cell r="Z3336" t="str">
            <v>x</v>
          </cell>
          <cell r="AA3336" t="str">
            <v>공구손료</v>
          </cell>
          <cell r="AM3336">
            <v>91949</v>
          </cell>
          <cell r="AN3336">
            <v>0</v>
          </cell>
        </row>
        <row r="3337">
          <cell r="A3337" t="str">
            <v>117-9</v>
          </cell>
          <cell r="B3337">
            <v>517</v>
          </cell>
          <cell r="D3337" t="str">
            <v>통신설비공</v>
          </cell>
          <cell r="E3337">
            <v>0</v>
          </cell>
          <cell r="F3337" t="str">
            <v>인</v>
          </cell>
          <cell r="H3337">
            <v>0.5</v>
          </cell>
          <cell r="I3337" t="str">
            <v>x</v>
          </cell>
          <cell r="J3337">
            <v>0.03</v>
          </cell>
          <cell r="V3337" t="str">
            <v>=</v>
          </cell>
          <cell r="W3337">
            <v>0.02</v>
          </cell>
          <cell r="Y3337" t="str">
            <v>기본</v>
          </cell>
          <cell r="Z3337" t="str">
            <v>x</v>
          </cell>
          <cell r="AA3337" t="str">
            <v>공구손료</v>
          </cell>
          <cell r="AM3337">
            <v>77401</v>
          </cell>
          <cell r="AN3337">
            <v>0</v>
          </cell>
        </row>
        <row r="3338">
          <cell r="A3338" t="str">
            <v>117-10</v>
          </cell>
          <cell r="B3338">
            <v>523</v>
          </cell>
          <cell r="D3338" t="str">
            <v>보통인부</v>
          </cell>
          <cell r="E3338">
            <v>0</v>
          </cell>
          <cell r="F3338" t="str">
            <v>인</v>
          </cell>
          <cell r="H3338">
            <v>0.3</v>
          </cell>
          <cell r="I3338" t="str">
            <v>x</v>
          </cell>
          <cell r="J3338">
            <v>0.03</v>
          </cell>
          <cell r="V3338" t="str">
            <v>=</v>
          </cell>
          <cell r="W3338">
            <v>0.01</v>
          </cell>
          <cell r="Y3338" t="str">
            <v>기본</v>
          </cell>
          <cell r="Z3338" t="str">
            <v>x</v>
          </cell>
          <cell r="AA3338" t="str">
            <v>공구손료</v>
          </cell>
          <cell r="AM3338">
            <v>40922</v>
          </cell>
          <cell r="AN3338">
            <v>0</v>
          </cell>
        </row>
        <row r="3339">
          <cell r="AM3339">
            <v>0</v>
          </cell>
          <cell r="AN3339">
            <v>0</v>
          </cell>
        </row>
        <row r="3340">
          <cell r="AM3340">
            <v>0</v>
          </cell>
          <cell r="AN3340">
            <v>0</v>
          </cell>
        </row>
        <row r="3341">
          <cell r="AM3341">
            <v>0</v>
          </cell>
        </row>
        <row r="3342">
          <cell r="AM3342">
            <v>0</v>
          </cell>
        </row>
        <row r="3343">
          <cell r="AM3343">
            <v>0</v>
          </cell>
        </row>
        <row r="3344">
          <cell r="AM3344">
            <v>0</v>
          </cell>
        </row>
        <row r="3345">
          <cell r="AM3345">
            <v>0</v>
          </cell>
        </row>
        <row r="3346">
          <cell r="AM3346">
            <v>0</v>
          </cell>
          <cell r="AN3346">
            <v>0</v>
          </cell>
        </row>
        <row r="3347">
          <cell r="AM3347">
            <v>0</v>
          </cell>
          <cell r="AN3347">
            <v>0</v>
          </cell>
        </row>
        <row r="3348">
          <cell r="AM3348">
            <v>0</v>
          </cell>
          <cell r="AN3348">
            <v>0</v>
          </cell>
        </row>
        <row r="3349">
          <cell r="AM3349">
            <v>0</v>
          </cell>
          <cell r="AN3349">
            <v>0</v>
          </cell>
        </row>
        <row r="3350">
          <cell r="AM3350">
            <v>0</v>
          </cell>
          <cell r="AN3350">
            <v>0</v>
          </cell>
        </row>
        <row r="3351">
          <cell r="A3351">
            <v>118</v>
          </cell>
          <cell r="C3351">
            <v>118</v>
          </cell>
          <cell r="D3351" t="str">
            <v>자동안내방송장치(차량기지) 신설</v>
          </cell>
          <cell r="E3351" t="str">
            <v>RACK(200W)</v>
          </cell>
          <cell r="F3351" t="str">
            <v>식</v>
          </cell>
          <cell r="AM3351">
            <v>0</v>
          </cell>
          <cell r="AN3351">
            <v>0</v>
          </cell>
        </row>
        <row r="3352">
          <cell r="A3352" t="str">
            <v>118-1</v>
          </cell>
          <cell r="B3352">
            <v>541</v>
          </cell>
          <cell r="D3352" t="str">
            <v>가. 재료비</v>
          </cell>
          <cell r="E3352">
            <v>0</v>
          </cell>
          <cell r="F3352">
            <v>0</v>
          </cell>
          <cell r="AM3352">
            <v>0</v>
          </cell>
          <cell r="AN3352">
            <v>0</v>
          </cell>
        </row>
        <row r="3353">
          <cell r="A3353" t="str">
            <v>118-2</v>
          </cell>
          <cell r="B3353">
            <v>307</v>
          </cell>
          <cell r="D3353" t="str">
            <v>자동방송장치(차량기지)</v>
          </cell>
          <cell r="E3353" t="str">
            <v>RACK(200W)</v>
          </cell>
          <cell r="F3353" t="str">
            <v>식</v>
          </cell>
          <cell r="V3353" t="str">
            <v>=</v>
          </cell>
          <cell r="W3353">
            <v>1</v>
          </cell>
          <cell r="AM3353">
            <v>14030000</v>
          </cell>
          <cell r="AN3353">
            <v>0</v>
          </cell>
        </row>
        <row r="3354">
          <cell r="A3354" t="str">
            <v>118-3</v>
          </cell>
          <cell r="B3354">
            <v>542</v>
          </cell>
          <cell r="D3354" t="str">
            <v>나. 노무비</v>
          </cell>
          <cell r="E3354">
            <v>0</v>
          </cell>
          <cell r="F3354">
            <v>0</v>
          </cell>
          <cell r="AM3354">
            <v>0</v>
          </cell>
          <cell r="AN3354">
            <v>0</v>
          </cell>
        </row>
        <row r="3355">
          <cell r="D3355" t="str">
            <v>1) 설치</v>
          </cell>
          <cell r="AM3355">
            <v>0</v>
          </cell>
        </row>
        <row r="3356">
          <cell r="B3356">
            <v>555</v>
          </cell>
          <cell r="D3356" t="str">
            <v>통신관련산업기사</v>
          </cell>
          <cell r="E3356">
            <v>0</v>
          </cell>
          <cell r="F3356" t="str">
            <v>인</v>
          </cell>
          <cell r="H3356">
            <v>0.2</v>
          </cell>
          <cell r="I3356" t="str">
            <v>x</v>
          </cell>
          <cell r="J3356">
            <v>1</v>
          </cell>
          <cell r="V3356" t="str">
            <v>=</v>
          </cell>
          <cell r="W3356">
            <v>0.2</v>
          </cell>
          <cell r="Y3356" t="str">
            <v>기본</v>
          </cell>
          <cell r="Z3356" t="str">
            <v>x</v>
          </cell>
          <cell r="AA3356" t="str">
            <v>단위량</v>
          </cell>
          <cell r="AL3356" t="str">
            <v>통5-78-나</v>
          </cell>
          <cell r="AM3356">
            <v>91949</v>
          </cell>
          <cell r="AN3356">
            <v>0</v>
          </cell>
        </row>
        <row r="3357">
          <cell r="B3357">
            <v>517</v>
          </cell>
          <cell r="D3357" t="str">
            <v>통신설비공</v>
          </cell>
          <cell r="E3357">
            <v>0</v>
          </cell>
          <cell r="F3357" t="str">
            <v>인</v>
          </cell>
          <cell r="H3357">
            <v>0.5</v>
          </cell>
          <cell r="I3357" t="str">
            <v>x</v>
          </cell>
          <cell r="J3357">
            <v>1</v>
          </cell>
          <cell r="V3357" t="str">
            <v>=</v>
          </cell>
          <cell r="W3357">
            <v>0.5</v>
          </cell>
          <cell r="Y3357" t="str">
            <v>기본</v>
          </cell>
          <cell r="Z3357" t="str">
            <v>x</v>
          </cell>
          <cell r="AA3357" t="str">
            <v>단위량</v>
          </cell>
          <cell r="AM3357">
            <v>77401</v>
          </cell>
          <cell r="AN3357">
            <v>0</v>
          </cell>
        </row>
        <row r="3358">
          <cell r="B3358">
            <v>523</v>
          </cell>
          <cell r="D3358" t="str">
            <v>보통인부</v>
          </cell>
          <cell r="E3358">
            <v>0</v>
          </cell>
          <cell r="F3358" t="str">
            <v>인</v>
          </cell>
          <cell r="H3358">
            <v>0.3</v>
          </cell>
          <cell r="I3358" t="str">
            <v>x</v>
          </cell>
          <cell r="J3358">
            <v>1</v>
          </cell>
          <cell r="V3358" t="str">
            <v>=</v>
          </cell>
          <cell r="W3358">
            <v>0.3</v>
          </cell>
          <cell r="Y3358" t="str">
            <v>기본</v>
          </cell>
          <cell r="Z3358" t="str">
            <v>x</v>
          </cell>
          <cell r="AA3358" t="str">
            <v>단위량</v>
          </cell>
          <cell r="AM3358">
            <v>40922</v>
          </cell>
          <cell r="AN3358">
            <v>0</v>
          </cell>
        </row>
        <row r="3359">
          <cell r="D3359" t="str">
            <v>2) 조정</v>
          </cell>
          <cell r="AM3359">
            <v>0</v>
          </cell>
        </row>
        <row r="3360">
          <cell r="B3360">
            <v>555</v>
          </cell>
          <cell r="D3360" t="str">
            <v>통신관련산업기사</v>
          </cell>
          <cell r="E3360">
            <v>0</v>
          </cell>
          <cell r="F3360" t="str">
            <v>인</v>
          </cell>
          <cell r="H3360">
            <v>0.3</v>
          </cell>
          <cell r="I3360" t="str">
            <v>x</v>
          </cell>
          <cell r="J3360">
            <v>1</v>
          </cell>
          <cell r="V3360" t="str">
            <v>=</v>
          </cell>
          <cell r="W3360">
            <v>0.3</v>
          </cell>
          <cell r="Y3360" t="str">
            <v>기본</v>
          </cell>
          <cell r="Z3360" t="str">
            <v>x</v>
          </cell>
          <cell r="AA3360" t="str">
            <v>단위량</v>
          </cell>
          <cell r="AL3360" t="str">
            <v>통5-78-나</v>
          </cell>
          <cell r="AM3360">
            <v>91949</v>
          </cell>
        </row>
        <row r="3361">
          <cell r="B3361">
            <v>517</v>
          </cell>
          <cell r="D3361" t="str">
            <v>통신설비공</v>
          </cell>
          <cell r="E3361">
            <v>0</v>
          </cell>
          <cell r="F3361" t="str">
            <v>인</v>
          </cell>
          <cell r="H3361">
            <v>0.5</v>
          </cell>
          <cell r="I3361" t="str">
            <v>x</v>
          </cell>
          <cell r="J3361">
            <v>1</v>
          </cell>
          <cell r="V3361" t="str">
            <v>=</v>
          </cell>
          <cell r="W3361">
            <v>0.5</v>
          </cell>
          <cell r="Y3361" t="str">
            <v>기본</v>
          </cell>
          <cell r="Z3361" t="str">
            <v>x</v>
          </cell>
          <cell r="AA3361" t="str">
            <v>단위량</v>
          </cell>
          <cell r="AM3361">
            <v>77401</v>
          </cell>
        </row>
        <row r="3362">
          <cell r="B3362">
            <v>523</v>
          </cell>
          <cell r="D3362" t="str">
            <v>보통인부</v>
          </cell>
          <cell r="E3362">
            <v>0</v>
          </cell>
          <cell r="F3362" t="str">
            <v>인</v>
          </cell>
          <cell r="H3362">
            <v>0.1</v>
          </cell>
          <cell r="I3362" t="str">
            <v>x</v>
          </cell>
          <cell r="J3362">
            <v>1</v>
          </cell>
          <cell r="V3362" t="str">
            <v>=</v>
          </cell>
          <cell r="W3362">
            <v>0.1</v>
          </cell>
          <cell r="Y3362" t="str">
            <v>기본</v>
          </cell>
          <cell r="Z3362" t="str">
            <v>x</v>
          </cell>
          <cell r="AA3362" t="str">
            <v>단위량</v>
          </cell>
          <cell r="AM3362">
            <v>40922</v>
          </cell>
        </row>
        <row r="3363">
          <cell r="B3363">
            <v>544</v>
          </cell>
          <cell r="D3363" t="str">
            <v>소    계</v>
          </cell>
          <cell r="E3363">
            <v>0</v>
          </cell>
          <cell r="F3363">
            <v>0</v>
          </cell>
          <cell r="AM3363">
            <v>0</v>
          </cell>
          <cell r="AN3363">
            <v>0</v>
          </cell>
        </row>
        <row r="3364">
          <cell r="A3364" t="str">
            <v>118-4</v>
          </cell>
          <cell r="B3364">
            <v>555</v>
          </cell>
          <cell r="D3364" t="str">
            <v>통신관련산업기사</v>
          </cell>
          <cell r="E3364">
            <v>0</v>
          </cell>
          <cell r="F3364" t="str">
            <v>인</v>
          </cell>
          <cell r="V3364" t="str">
            <v>=</v>
          </cell>
          <cell r="W3364">
            <v>0.5</v>
          </cell>
          <cell r="Y3364" t="str">
            <v>기본</v>
          </cell>
          <cell r="AM3364">
            <v>91949</v>
          </cell>
          <cell r="AN3364">
            <v>0</v>
          </cell>
        </row>
        <row r="3365">
          <cell r="A3365" t="str">
            <v>118-5</v>
          </cell>
          <cell r="B3365">
            <v>517</v>
          </cell>
          <cell r="D3365" t="str">
            <v>통신설비공</v>
          </cell>
          <cell r="E3365">
            <v>0</v>
          </cell>
          <cell r="F3365" t="str">
            <v>인</v>
          </cell>
          <cell r="V3365" t="str">
            <v>=</v>
          </cell>
          <cell r="W3365">
            <v>1</v>
          </cell>
          <cell r="Y3365" t="str">
            <v>기본</v>
          </cell>
          <cell r="AM3365">
            <v>77401</v>
          </cell>
          <cell r="AN3365">
            <v>0</v>
          </cell>
        </row>
        <row r="3366">
          <cell r="A3366" t="str">
            <v>118-6</v>
          </cell>
          <cell r="B3366">
            <v>523</v>
          </cell>
          <cell r="D3366" t="str">
            <v>보통인부</v>
          </cell>
          <cell r="E3366">
            <v>0</v>
          </cell>
          <cell r="F3366" t="str">
            <v>인</v>
          </cell>
          <cell r="V3366" t="str">
            <v>=</v>
          </cell>
          <cell r="W3366">
            <v>0.4</v>
          </cell>
          <cell r="Y3366" t="str">
            <v>기본</v>
          </cell>
          <cell r="AM3366">
            <v>40922</v>
          </cell>
          <cell r="AN3366">
            <v>0</v>
          </cell>
        </row>
        <row r="3367">
          <cell r="A3367" t="str">
            <v>118-7</v>
          </cell>
          <cell r="B3367">
            <v>543</v>
          </cell>
          <cell r="D3367" t="str">
            <v>다. 공구손료</v>
          </cell>
          <cell r="E3367" t="str">
            <v>노무비x3%</v>
          </cell>
          <cell r="F3367">
            <v>0</v>
          </cell>
          <cell r="AM3367">
            <v>0</v>
          </cell>
          <cell r="AN3367">
            <v>0</v>
          </cell>
        </row>
        <row r="3368">
          <cell r="A3368" t="str">
            <v>118-8</v>
          </cell>
          <cell r="B3368">
            <v>555</v>
          </cell>
          <cell r="D3368" t="str">
            <v>통신관련산업기사</v>
          </cell>
          <cell r="E3368">
            <v>0</v>
          </cell>
          <cell r="F3368" t="str">
            <v>인</v>
          </cell>
          <cell r="H3368">
            <v>0.5</v>
          </cell>
          <cell r="I3368" t="str">
            <v>x</v>
          </cell>
          <cell r="J3368">
            <v>0.03</v>
          </cell>
          <cell r="V3368" t="str">
            <v>=</v>
          </cell>
          <cell r="W3368">
            <v>0.02</v>
          </cell>
          <cell r="Y3368" t="str">
            <v>기본</v>
          </cell>
          <cell r="Z3368" t="str">
            <v>x</v>
          </cell>
          <cell r="AA3368" t="str">
            <v>공구손료</v>
          </cell>
          <cell r="AM3368">
            <v>91949</v>
          </cell>
          <cell r="AN3368">
            <v>0</v>
          </cell>
        </row>
        <row r="3369">
          <cell r="A3369" t="str">
            <v>118-9</v>
          </cell>
          <cell r="B3369">
            <v>517</v>
          </cell>
          <cell r="D3369" t="str">
            <v>통신설비공</v>
          </cell>
          <cell r="E3369">
            <v>0</v>
          </cell>
          <cell r="F3369" t="str">
            <v>인</v>
          </cell>
          <cell r="H3369">
            <v>1</v>
          </cell>
          <cell r="I3369" t="str">
            <v>x</v>
          </cell>
          <cell r="J3369">
            <v>0.03</v>
          </cell>
          <cell r="V3369" t="str">
            <v>=</v>
          </cell>
          <cell r="W3369">
            <v>0.03</v>
          </cell>
          <cell r="Y3369" t="str">
            <v>기본</v>
          </cell>
          <cell r="Z3369" t="str">
            <v>x</v>
          </cell>
          <cell r="AA3369" t="str">
            <v>공구손료</v>
          </cell>
          <cell r="AM3369">
            <v>77401</v>
          </cell>
          <cell r="AN3369">
            <v>0</v>
          </cell>
        </row>
        <row r="3370">
          <cell r="A3370" t="str">
            <v>118-10</v>
          </cell>
          <cell r="B3370">
            <v>523</v>
          </cell>
          <cell r="D3370" t="str">
            <v>보통인부</v>
          </cell>
          <cell r="E3370">
            <v>0</v>
          </cell>
          <cell r="F3370" t="str">
            <v>인</v>
          </cell>
          <cell r="H3370">
            <v>0.4</v>
          </cell>
          <cell r="I3370" t="str">
            <v>x</v>
          </cell>
          <cell r="J3370">
            <v>0.03</v>
          </cell>
          <cell r="V3370" t="str">
            <v>=</v>
          </cell>
          <cell r="W3370">
            <v>0.01</v>
          </cell>
          <cell r="Y3370" t="str">
            <v>기본</v>
          </cell>
          <cell r="Z3370" t="str">
            <v>x</v>
          </cell>
          <cell r="AA3370" t="str">
            <v>공구손료</v>
          </cell>
          <cell r="AM3370">
            <v>40922</v>
          </cell>
          <cell r="AN3370">
            <v>0</v>
          </cell>
        </row>
        <row r="3371">
          <cell r="AM3371">
            <v>0</v>
          </cell>
          <cell r="AN3371">
            <v>0</v>
          </cell>
        </row>
        <row r="3372">
          <cell r="AM3372">
            <v>0</v>
          </cell>
          <cell r="AN3372">
            <v>0</v>
          </cell>
        </row>
        <row r="3373">
          <cell r="AM3373">
            <v>0</v>
          </cell>
        </row>
        <row r="3374">
          <cell r="AM3374">
            <v>0</v>
          </cell>
        </row>
        <row r="3375">
          <cell r="AM3375">
            <v>0</v>
          </cell>
        </row>
        <row r="3376">
          <cell r="AM3376">
            <v>0</v>
          </cell>
        </row>
        <row r="3377">
          <cell r="AM3377">
            <v>0</v>
          </cell>
          <cell r="AN3377">
            <v>0</v>
          </cell>
        </row>
        <row r="3378">
          <cell r="A3378">
            <v>119</v>
          </cell>
          <cell r="C3378">
            <v>119</v>
          </cell>
          <cell r="D3378" t="str">
            <v>자동안내방송장치 신설</v>
          </cell>
          <cell r="E3378" t="str">
            <v>RACK(300W)</v>
          </cell>
          <cell r="F3378" t="str">
            <v>식</v>
          </cell>
          <cell r="AM3378">
            <v>0</v>
          </cell>
          <cell r="AN3378">
            <v>0</v>
          </cell>
        </row>
        <row r="3379">
          <cell r="A3379" t="str">
            <v>119-1</v>
          </cell>
          <cell r="B3379">
            <v>541</v>
          </cell>
          <cell r="D3379" t="str">
            <v>가. 재료비</v>
          </cell>
          <cell r="E3379">
            <v>0</v>
          </cell>
          <cell r="F3379">
            <v>0</v>
          </cell>
          <cell r="AM3379">
            <v>0</v>
          </cell>
          <cell r="AN3379">
            <v>0</v>
          </cell>
        </row>
        <row r="3380">
          <cell r="A3380" t="str">
            <v>119-2</v>
          </cell>
          <cell r="B3380">
            <v>308</v>
          </cell>
          <cell r="D3380" t="str">
            <v xml:space="preserve">자동방송장치 </v>
          </cell>
          <cell r="E3380" t="str">
            <v>RACK(300W)</v>
          </cell>
          <cell r="F3380" t="str">
            <v>식</v>
          </cell>
          <cell r="V3380" t="str">
            <v>=</v>
          </cell>
          <cell r="W3380">
            <v>1</v>
          </cell>
          <cell r="AM3380">
            <v>20844000</v>
          </cell>
          <cell r="AN3380">
            <v>0</v>
          </cell>
        </row>
        <row r="3381">
          <cell r="A3381" t="str">
            <v>119-3</v>
          </cell>
          <cell r="B3381">
            <v>542</v>
          </cell>
          <cell r="D3381" t="str">
            <v>나. 노무비</v>
          </cell>
          <cell r="E3381">
            <v>0</v>
          </cell>
          <cell r="F3381">
            <v>0</v>
          </cell>
          <cell r="AM3381">
            <v>0</v>
          </cell>
          <cell r="AN3381">
            <v>0</v>
          </cell>
        </row>
        <row r="3382">
          <cell r="D3382" t="str">
            <v>1) 설치</v>
          </cell>
          <cell r="AM3382">
            <v>0</v>
          </cell>
        </row>
        <row r="3383">
          <cell r="B3383">
            <v>555</v>
          </cell>
          <cell r="D3383" t="str">
            <v>통신관련산업기사</v>
          </cell>
          <cell r="E3383">
            <v>0</v>
          </cell>
          <cell r="F3383" t="str">
            <v>인</v>
          </cell>
          <cell r="H3383">
            <v>0.2</v>
          </cell>
          <cell r="I3383" t="str">
            <v>x</v>
          </cell>
          <cell r="J3383">
            <v>1</v>
          </cell>
          <cell r="V3383" t="str">
            <v>=</v>
          </cell>
          <cell r="W3383">
            <v>0.2</v>
          </cell>
          <cell r="Y3383" t="str">
            <v>기본</v>
          </cell>
          <cell r="Z3383" t="str">
            <v>x</v>
          </cell>
          <cell r="AA3383" t="str">
            <v>단위량</v>
          </cell>
          <cell r="AL3383" t="str">
            <v>통5-78-나</v>
          </cell>
          <cell r="AM3383">
            <v>91949</v>
          </cell>
          <cell r="AN3383">
            <v>0</v>
          </cell>
        </row>
        <row r="3384">
          <cell r="B3384">
            <v>517</v>
          </cell>
          <cell r="D3384" t="str">
            <v>통신설비공</v>
          </cell>
          <cell r="E3384">
            <v>0</v>
          </cell>
          <cell r="F3384" t="str">
            <v>인</v>
          </cell>
          <cell r="H3384">
            <v>0.5</v>
          </cell>
          <cell r="I3384" t="str">
            <v>x</v>
          </cell>
          <cell r="J3384">
            <v>1</v>
          </cell>
          <cell r="V3384" t="str">
            <v>=</v>
          </cell>
          <cell r="W3384">
            <v>0.5</v>
          </cell>
          <cell r="Y3384" t="str">
            <v>기본</v>
          </cell>
          <cell r="Z3384" t="str">
            <v>x</v>
          </cell>
          <cell r="AA3384" t="str">
            <v>단위량</v>
          </cell>
          <cell r="AM3384">
            <v>77401</v>
          </cell>
          <cell r="AN3384">
            <v>0</v>
          </cell>
        </row>
        <row r="3385">
          <cell r="B3385">
            <v>523</v>
          </cell>
          <cell r="D3385" t="str">
            <v>보통인부</v>
          </cell>
          <cell r="E3385">
            <v>0</v>
          </cell>
          <cell r="F3385" t="str">
            <v>인</v>
          </cell>
          <cell r="H3385">
            <v>0.3</v>
          </cell>
          <cell r="I3385" t="str">
            <v>x</v>
          </cell>
          <cell r="J3385">
            <v>1</v>
          </cell>
          <cell r="V3385" t="str">
            <v>=</v>
          </cell>
          <cell r="W3385">
            <v>0.3</v>
          </cell>
          <cell r="Y3385" t="str">
            <v>기본</v>
          </cell>
          <cell r="Z3385" t="str">
            <v>x</v>
          </cell>
          <cell r="AA3385" t="str">
            <v>단위량</v>
          </cell>
          <cell r="AM3385">
            <v>40922</v>
          </cell>
          <cell r="AN3385">
            <v>0</v>
          </cell>
        </row>
        <row r="3386">
          <cell r="D3386" t="str">
            <v>2) 조정</v>
          </cell>
          <cell r="AM3386">
            <v>0</v>
          </cell>
        </row>
        <row r="3387">
          <cell r="B3387">
            <v>555</v>
          </cell>
          <cell r="D3387" t="str">
            <v>통신관련산업기사</v>
          </cell>
          <cell r="E3387">
            <v>0</v>
          </cell>
          <cell r="F3387" t="str">
            <v>인</v>
          </cell>
          <cell r="H3387">
            <v>0.3</v>
          </cell>
          <cell r="I3387" t="str">
            <v>x</v>
          </cell>
          <cell r="J3387">
            <v>1</v>
          </cell>
          <cell r="V3387" t="str">
            <v>=</v>
          </cell>
          <cell r="W3387">
            <v>0.3</v>
          </cell>
          <cell r="Y3387" t="str">
            <v>기본</v>
          </cell>
          <cell r="Z3387" t="str">
            <v>x</v>
          </cell>
          <cell r="AA3387" t="str">
            <v>단위량</v>
          </cell>
          <cell r="AL3387" t="str">
            <v>통5-78-나</v>
          </cell>
          <cell r="AM3387">
            <v>91949</v>
          </cell>
        </row>
        <row r="3388">
          <cell r="B3388">
            <v>517</v>
          </cell>
          <cell r="D3388" t="str">
            <v>통신설비공</v>
          </cell>
          <cell r="E3388">
            <v>0</v>
          </cell>
          <cell r="F3388" t="str">
            <v>인</v>
          </cell>
          <cell r="H3388">
            <v>0.5</v>
          </cell>
          <cell r="I3388" t="str">
            <v>x</v>
          </cell>
          <cell r="J3388">
            <v>1</v>
          </cell>
          <cell r="V3388" t="str">
            <v>=</v>
          </cell>
          <cell r="W3388">
            <v>0.5</v>
          </cell>
          <cell r="Y3388" t="str">
            <v>기본</v>
          </cell>
          <cell r="Z3388" t="str">
            <v>x</v>
          </cell>
          <cell r="AA3388" t="str">
            <v>단위량</v>
          </cell>
          <cell r="AM3388">
            <v>77401</v>
          </cell>
        </row>
        <row r="3389">
          <cell r="B3389">
            <v>523</v>
          </cell>
          <cell r="D3389" t="str">
            <v>보통인부</v>
          </cell>
          <cell r="E3389">
            <v>0</v>
          </cell>
          <cell r="F3389" t="str">
            <v>인</v>
          </cell>
          <cell r="H3389">
            <v>0.1</v>
          </cell>
          <cell r="I3389" t="str">
            <v>x</v>
          </cell>
          <cell r="J3389">
            <v>1</v>
          </cell>
          <cell r="V3389" t="str">
            <v>=</v>
          </cell>
          <cell r="W3389">
            <v>0.1</v>
          </cell>
          <cell r="Y3389" t="str">
            <v>기본</v>
          </cell>
          <cell r="Z3389" t="str">
            <v>x</v>
          </cell>
          <cell r="AA3389" t="str">
            <v>단위량</v>
          </cell>
          <cell r="AM3389">
            <v>40922</v>
          </cell>
        </row>
        <row r="3390">
          <cell r="B3390">
            <v>544</v>
          </cell>
          <cell r="D3390" t="str">
            <v>소    계</v>
          </cell>
          <cell r="E3390">
            <v>0</v>
          </cell>
          <cell r="F3390">
            <v>0</v>
          </cell>
          <cell r="AM3390">
            <v>0</v>
          </cell>
          <cell r="AN3390">
            <v>0</v>
          </cell>
        </row>
        <row r="3391">
          <cell r="A3391" t="str">
            <v>119-4</v>
          </cell>
          <cell r="B3391">
            <v>555</v>
          </cell>
          <cell r="D3391" t="str">
            <v>통신관련산업기사</v>
          </cell>
          <cell r="E3391">
            <v>0</v>
          </cell>
          <cell r="F3391" t="str">
            <v>인</v>
          </cell>
          <cell r="V3391" t="str">
            <v>=</v>
          </cell>
          <cell r="W3391">
            <v>0.5</v>
          </cell>
          <cell r="Y3391" t="str">
            <v>기본</v>
          </cell>
          <cell r="AM3391">
            <v>91949</v>
          </cell>
          <cell r="AN3391">
            <v>0</v>
          </cell>
        </row>
        <row r="3392">
          <cell r="A3392" t="str">
            <v>119-5</v>
          </cell>
          <cell r="B3392">
            <v>517</v>
          </cell>
          <cell r="D3392" t="str">
            <v>통신설비공</v>
          </cell>
          <cell r="E3392">
            <v>0</v>
          </cell>
          <cell r="F3392" t="str">
            <v>인</v>
          </cell>
          <cell r="V3392" t="str">
            <v>=</v>
          </cell>
          <cell r="W3392">
            <v>1</v>
          </cell>
          <cell r="Y3392" t="str">
            <v>기본</v>
          </cell>
          <cell r="AM3392">
            <v>77401</v>
          </cell>
          <cell r="AN3392">
            <v>0</v>
          </cell>
        </row>
        <row r="3393">
          <cell r="A3393" t="str">
            <v>119-6</v>
          </cell>
          <cell r="B3393">
            <v>523</v>
          </cell>
          <cell r="D3393" t="str">
            <v>보통인부</v>
          </cell>
          <cell r="E3393">
            <v>0</v>
          </cell>
          <cell r="F3393" t="str">
            <v>인</v>
          </cell>
          <cell r="V3393" t="str">
            <v>=</v>
          </cell>
          <cell r="W3393">
            <v>0.4</v>
          </cell>
          <cell r="Y3393" t="str">
            <v>기본</v>
          </cell>
          <cell r="AM3393">
            <v>40922</v>
          </cell>
          <cell r="AN3393">
            <v>0</v>
          </cell>
        </row>
        <row r="3394">
          <cell r="A3394" t="str">
            <v>119-7</v>
          </cell>
          <cell r="B3394">
            <v>543</v>
          </cell>
          <cell r="D3394" t="str">
            <v>다. 공구손료</v>
          </cell>
          <cell r="E3394" t="str">
            <v>노무비x3%</v>
          </cell>
          <cell r="F3394">
            <v>0</v>
          </cell>
          <cell r="AM3394">
            <v>0</v>
          </cell>
          <cell r="AN3394">
            <v>0</v>
          </cell>
        </row>
        <row r="3395">
          <cell r="A3395" t="str">
            <v>119-8</v>
          </cell>
          <cell r="B3395">
            <v>555</v>
          </cell>
          <cell r="D3395" t="str">
            <v>통신관련산업기사</v>
          </cell>
          <cell r="E3395">
            <v>0</v>
          </cell>
          <cell r="F3395" t="str">
            <v>인</v>
          </cell>
          <cell r="H3395">
            <v>0.5</v>
          </cell>
          <cell r="I3395" t="str">
            <v>x</v>
          </cell>
          <cell r="J3395">
            <v>0.03</v>
          </cell>
          <cell r="V3395" t="str">
            <v>=</v>
          </cell>
          <cell r="W3395">
            <v>0.02</v>
          </cell>
          <cell r="Y3395" t="str">
            <v>기본</v>
          </cell>
          <cell r="Z3395" t="str">
            <v>x</v>
          </cell>
          <cell r="AA3395" t="str">
            <v>공구손료</v>
          </cell>
          <cell r="AM3395">
            <v>91949</v>
          </cell>
          <cell r="AN3395">
            <v>0</v>
          </cell>
        </row>
        <row r="3396">
          <cell r="A3396" t="str">
            <v>119-9</v>
          </cell>
          <cell r="B3396">
            <v>517</v>
          </cell>
          <cell r="D3396" t="str">
            <v>통신설비공</v>
          </cell>
          <cell r="E3396">
            <v>0</v>
          </cell>
          <cell r="F3396" t="str">
            <v>인</v>
          </cell>
          <cell r="H3396">
            <v>1</v>
          </cell>
          <cell r="I3396" t="str">
            <v>x</v>
          </cell>
          <cell r="J3396">
            <v>0.03</v>
          </cell>
          <cell r="V3396" t="str">
            <v>=</v>
          </cell>
          <cell r="W3396">
            <v>0.03</v>
          </cell>
          <cell r="Y3396" t="str">
            <v>기본</v>
          </cell>
          <cell r="Z3396" t="str">
            <v>x</v>
          </cell>
          <cell r="AA3396" t="str">
            <v>공구손료</v>
          </cell>
          <cell r="AM3396">
            <v>77401</v>
          </cell>
          <cell r="AN3396">
            <v>0</v>
          </cell>
        </row>
        <row r="3397">
          <cell r="A3397" t="str">
            <v>119-10</v>
          </cell>
          <cell r="B3397">
            <v>523</v>
          </cell>
          <cell r="D3397" t="str">
            <v>보통인부</v>
          </cell>
          <cell r="E3397">
            <v>0</v>
          </cell>
          <cell r="F3397" t="str">
            <v>인</v>
          </cell>
          <cell r="H3397">
            <v>0.4</v>
          </cell>
          <cell r="I3397" t="str">
            <v>x</v>
          </cell>
          <cell r="J3397">
            <v>0.03</v>
          </cell>
          <cell r="V3397" t="str">
            <v>=</v>
          </cell>
          <cell r="W3397">
            <v>0.01</v>
          </cell>
          <cell r="Y3397" t="str">
            <v>기본</v>
          </cell>
          <cell r="Z3397" t="str">
            <v>x</v>
          </cell>
          <cell r="AA3397" t="str">
            <v>공구손료</v>
          </cell>
          <cell r="AM3397">
            <v>40922</v>
          </cell>
          <cell r="AN3397">
            <v>0</v>
          </cell>
        </row>
        <row r="3398">
          <cell r="AM3398">
            <v>0</v>
          </cell>
          <cell r="AN3398">
            <v>0</v>
          </cell>
        </row>
        <row r="3399">
          <cell r="AM3399">
            <v>0</v>
          </cell>
          <cell r="AN3399">
            <v>0</v>
          </cell>
        </row>
        <row r="3400">
          <cell r="AM3400">
            <v>0</v>
          </cell>
        </row>
        <row r="3401">
          <cell r="AM3401">
            <v>0</v>
          </cell>
        </row>
        <row r="3402">
          <cell r="AM3402">
            <v>0</v>
          </cell>
        </row>
        <row r="3403">
          <cell r="AM3403">
            <v>0</v>
          </cell>
        </row>
        <row r="3404">
          <cell r="AM3404">
            <v>0</v>
          </cell>
          <cell r="AN3404">
            <v>0</v>
          </cell>
        </row>
        <row r="3405">
          <cell r="A3405">
            <v>120</v>
          </cell>
          <cell r="C3405">
            <v>120</v>
          </cell>
          <cell r="D3405" t="str">
            <v>자동안내방송장치 신설</v>
          </cell>
          <cell r="E3405" t="str">
            <v>RACK(350W)</v>
          </cell>
          <cell r="F3405" t="str">
            <v>식</v>
          </cell>
          <cell r="AM3405">
            <v>0</v>
          </cell>
          <cell r="AN3405">
            <v>0</v>
          </cell>
        </row>
        <row r="3406">
          <cell r="A3406" t="str">
            <v>120-1</v>
          </cell>
          <cell r="B3406">
            <v>541</v>
          </cell>
          <cell r="D3406" t="str">
            <v>가. 재료비</v>
          </cell>
          <cell r="E3406">
            <v>0</v>
          </cell>
          <cell r="F3406">
            <v>0</v>
          </cell>
          <cell r="AM3406">
            <v>0</v>
          </cell>
          <cell r="AN3406">
            <v>0</v>
          </cell>
        </row>
        <row r="3407">
          <cell r="A3407" t="str">
            <v>120-2</v>
          </cell>
          <cell r="B3407">
            <v>309</v>
          </cell>
          <cell r="D3407" t="str">
            <v xml:space="preserve">자동방송장치 </v>
          </cell>
          <cell r="E3407" t="str">
            <v>RACK(350W)</v>
          </cell>
          <cell r="F3407" t="str">
            <v>식</v>
          </cell>
          <cell r="V3407" t="str">
            <v>=</v>
          </cell>
          <cell r="W3407">
            <v>1</v>
          </cell>
          <cell r="AM3407">
            <v>21362000</v>
          </cell>
          <cell r="AN3407">
            <v>0</v>
          </cell>
        </row>
        <row r="3408">
          <cell r="A3408" t="str">
            <v>120-3</v>
          </cell>
          <cell r="B3408">
            <v>542</v>
          </cell>
          <cell r="D3408" t="str">
            <v>나. 노무비</v>
          </cell>
          <cell r="E3408">
            <v>0</v>
          </cell>
          <cell r="F3408">
            <v>0</v>
          </cell>
          <cell r="AM3408">
            <v>0</v>
          </cell>
          <cell r="AN3408">
            <v>0</v>
          </cell>
        </row>
        <row r="3409">
          <cell r="D3409" t="str">
            <v>1) 설치</v>
          </cell>
          <cell r="AM3409">
            <v>0</v>
          </cell>
        </row>
        <row r="3410">
          <cell r="B3410">
            <v>555</v>
          </cell>
          <cell r="D3410" t="str">
            <v>통신관련산업기사</v>
          </cell>
          <cell r="E3410">
            <v>0</v>
          </cell>
          <cell r="F3410" t="str">
            <v>인</v>
          </cell>
          <cell r="H3410">
            <v>0.2</v>
          </cell>
          <cell r="I3410" t="str">
            <v>x</v>
          </cell>
          <cell r="J3410">
            <v>1</v>
          </cell>
          <cell r="V3410" t="str">
            <v>=</v>
          </cell>
          <cell r="W3410">
            <v>0.2</v>
          </cell>
          <cell r="Y3410" t="str">
            <v>기본</v>
          </cell>
          <cell r="Z3410" t="str">
            <v>x</v>
          </cell>
          <cell r="AA3410" t="str">
            <v>단위량</v>
          </cell>
          <cell r="AL3410" t="str">
            <v>통5-78-나</v>
          </cell>
          <cell r="AM3410">
            <v>91949</v>
          </cell>
          <cell r="AN3410">
            <v>0</v>
          </cell>
        </row>
        <row r="3411">
          <cell r="B3411">
            <v>517</v>
          </cell>
          <cell r="D3411" t="str">
            <v>통신설비공</v>
          </cell>
          <cell r="E3411">
            <v>0</v>
          </cell>
          <cell r="F3411" t="str">
            <v>인</v>
          </cell>
          <cell r="H3411">
            <v>0.5</v>
          </cell>
          <cell r="I3411" t="str">
            <v>x</v>
          </cell>
          <cell r="J3411">
            <v>1</v>
          </cell>
          <cell r="V3411" t="str">
            <v>=</v>
          </cell>
          <cell r="W3411">
            <v>0.5</v>
          </cell>
          <cell r="Y3411" t="str">
            <v>기본</v>
          </cell>
          <cell r="Z3411" t="str">
            <v>x</v>
          </cell>
          <cell r="AA3411" t="str">
            <v>단위량</v>
          </cell>
          <cell r="AM3411">
            <v>77401</v>
          </cell>
          <cell r="AN3411">
            <v>0</v>
          </cell>
        </row>
        <row r="3412">
          <cell r="B3412">
            <v>523</v>
          </cell>
          <cell r="D3412" t="str">
            <v>보통인부</v>
          </cell>
          <cell r="E3412">
            <v>0</v>
          </cell>
          <cell r="F3412" t="str">
            <v>인</v>
          </cell>
          <cell r="H3412">
            <v>0.3</v>
          </cell>
          <cell r="I3412" t="str">
            <v>x</v>
          </cell>
          <cell r="J3412">
            <v>1</v>
          </cell>
          <cell r="V3412" t="str">
            <v>=</v>
          </cell>
          <cell r="W3412">
            <v>0.3</v>
          </cell>
          <cell r="Y3412" t="str">
            <v>기본</v>
          </cell>
          <cell r="Z3412" t="str">
            <v>x</v>
          </cell>
          <cell r="AA3412" t="str">
            <v>단위량</v>
          </cell>
          <cell r="AM3412">
            <v>40922</v>
          </cell>
          <cell r="AN3412">
            <v>0</v>
          </cell>
        </row>
        <row r="3413">
          <cell r="D3413" t="str">
            <v>2) 조정</v>
          </cell>
          <cell r="AM3413">
            <v>0</v>
          </cell>
        </row>
        <row r="3414">
          <cell r="B3414">
            <v>555</v>
          </cell>
          <cell r="D3414" t="str">
            <v>통신관련산업기사</v>
          </cell>
          <cell r="E3414">
            <v>0</v>
          </cell>
          <cell r="F3414" t="str">
            <v>인</v>
          </cell>
          <cell r="H3414">
            <v>0.3</v>
          </cell>
          <cell r="I3414" t="str">
            <v>x</v>
          </cell>
          <cell r="J3414">
            <v>1</v>
          </cell>
          <cell r="V3414" t="str">
            <v>=</v>
          </cell>
          <cell r="W3414">
            <v>0.3</v>
          </cell>
          <cell r="Y3414" t="str">
            <v>기본</v>
          </cell>
          <cell r="Z3414" t="str">
            <v>x</v>
          </cell>
          <cell r="AA3414" t="str">
            <v>단위량</v>
          </cell>
          <cell r="AL3414" t="str">
            <v>통5-78-나</v>
          </cell>
          <cell r="AM3414">
            <v>91949</v>
          </cell>
        </row>
        <row r="3415">
          <cell r="B3415">
            <v>517</v>
          </cell>
          <cell r="D3415" t="str">
            <v>통신설비공</v>
          </cell>
          <cell r="E3415">
            <v>0</v>
          </cell>
          <cell r="F3415" t="str">
            <v>인</v>
          </cell>
          <cell r="H3415">
            <v>0.5</v>
          </cell>
          <cell r="I3415" t="str">
            <v>x</v>
          </cell>
          <cell r="J3415">
            <v>1</v>
          </cell>
          <cell r="V3415" t="str">
            <v>=</v>
          </cell>
          <cell r="W3415">
            <v>0.5</v>
          </cell>
          <cell r="Y3415" t="str">
            <v>기본</v>
          </cell>
          <cell r="Z3415" t="str">
            <v>x</v>
          </cell>
          <cell r="AA3415" t="str">
            <v>단위량</v>
          </cell>
          <cell r="AM3415">
            <v>77401</v>
          </cell>
        </row>
        <row r="3416">
          <cell r="B3416">
            <v>523</v>
          </cell>
          <cell r="D3416" t="str">
            <v>보통인부</v>
          </cell>
          <cell r="E3416">
            <v>0</v>
          </cell>
          <cell r="F3416" t="str">
            <v>인</v>
          </cell>
          <cell r="H3416">
            <v>0.1</v>
          </cell>
          <cell r="I3416" t="str">
            <v>x</v>
          </cell>
          <cell r="J3416">
            <v>1</v>
          </cell>
          <cell r="V3416" t="str">
            <v>=</v>
          </cell>
          <cell r="W3416">
            <v>0.1</v>
          </cell>
          <cell r="Y3416" t="str">
            <v>기본</v>
          </cell>
          <cell r="Z3416" t="str">
            <v>x</v>
          </cell>
          <cell r="AA3416" t="str">
            <v>단위량</v>
          </cell>
          <cell r="AM3416">
            <v>40922</v>
          </cell>
        </row>
        <row r="3417">
          <cell r="B3417">
            <v>544</v>
          </cell>
          <cell r="D3417" t="str">
            <v>소    계</v>
          </cell>
          <cell r="E3417">
            <v>0</v>
          </cell>
          <cell r="F3417">
            <v>0</v>
          </cell>
          <cell r="AM3417">
            <v>0</v>
          </cell>
          <cell r="AN3417">
            <v>0</v>
          </cell>
        </row>
        <row r="3418">
          <cell r="A3418" t="str">
            <v>120-4</v>
          </cell>
          <cell r="B3418">
            <v>555</v>
          </cell>
          <cell r="D3418" t="str">
            <v>통신관련산업기사</v>
          </cell>
          <cell r="E3418">
            <v>0</v>
          </cell>
          <cell r="F3418" t="str">
            <v>인</v>
          </cell>
          <cell r="V3418" t="str">
            <v>=</v>
          </cell>
          <cell r="W3418">
            <v>0.5</v>
          </cell>
          <cell r="Y3418" t="str">
            <v>기본</v>
          </cell>
          <cell r="AM3418">
            <v>91949</v>
          </cell>
          <cell r="AN3418">
            <v>0</v>
          </cell>
        </row>
        <row r="3419">
          <cell r="A3419" t="str">
            <v>120-5</v>
          </cell>
          <cell r="B3419">
            <v>517</v>
          </cell>
          <cell r="D3419" t="str">
            <v>통신설비공</v>
          </cell>
          <cell r="E3419">
            <v>0</v>
          </cell>
          <cell r="F3419" t="str">
            <v>인</v>
          </cell>
          <cell r="V3419" t="str">
            <v>=</v>
          </cell>
          <cell r="W3419">
            <v>1</v>
          </cell>
          <cell r="Y3419" t="str">
            <v>기본</v>
          </cell>
          <cell r="AM3419">
            <v>77401</v>
          </cell>
          <cell r="AN3419">
            <v>0</v>
          </cell>
        </row>
        <row r="3420">
          <cell r="A3420" t="str">
            <v>120-6</v>
          </cell>
          <cell r="B3420">
            <v>523</v>
          </cell>
          <cell r="D3420" t="str">
            <v>보통인부</v>
          </cell>
          <cell r="E3420">
            <v>0</v>
          </cell>
          <cell r="F3420" t="str">
            <v>인</v>
          </cell>
          <cell r="V3420" t="str">
            <v>=</v>
          </cell>
          <cell r="W3420">
            <v>0.4</v>
          </cell>
          <cell r="Y3420" t="str">
            <v>기본</v>
          </cell>
          <cell r="AM3420">
            <v>40922</v>
          </cell>
          <cell r="AN3420">
            <v>0</v>
          </cell>
        </row>
        <row r="3421">
          <cell r="A3421" t="str">
            <v>120-7</v>
          </cell>
          <cell r="B3421">
            <v>543</v>
          </cell>
          <cell r="D3421" t="str">
            <v>다. 공구손료</v>
          </cell>
          <cell r="E3421" t="str">
            <v>노무비x3%</v>
          </cell>
          <cell r="F3421">
            <v>0</v>
          </cell>
          <cell r="AM3421">
            <v>0</v>
          </cell>
          <cell r="AN3421">
            <v>0</v>
          </cell>
        </row>
        <row r="3422">
          <cell r="A3422" t="str">
            <v>120-8</v>
          </cell>
          <cell r="B3422">
            <v>555</v>
          </cell>
          <cell r="D3422" t="str">
            <v>통신관련산업기사</v>
          </cell>
          <cell r="E3422">
            <v>0</v>
          </cell>
          <cell r="F3422" t="str">
            <v>인</v>
          </cell>
          <cell r="H3422">
            <v>0.5</v>
          </cell>
          <cell r="I3422" t="str">
            <v>x</v>
          </cell>
          <cell r="J3422">
            <v>0.03</v>
          </cell>
          <cell r="V3422" t="str">
            <v>=</v>
          </cell>
          <cell r="W3422">
            <v>0.02</v>
          </cell>
          <cell r="Y3422" t="str">
            <v>기본</v>
          </cell>
          <cell r="Z3422" t="str">
            <v>x</v>
          </cell>
          <cell r="AA3422" t="str">
            <v>공구손료</v>
          </cell>
          <cell r="AM3422">
            <v>91949</v>
          </cell>
          <cell r="AN3422">
            <v>0</v>
          </cell>
        </row>
        <row r="3423">
          <cell r="A3423" t="str">
            <v>120-9</v>
          </cell>
          <cell r="B3423">
            <v>517</v>
          </cell>
          <cell r="D3423" t="str">
            <v>통신설비공</v>
          </cell>
          <cell r="E3423">
            <v>0</v>
          </cell>
          <cell r="F3423" t="str">
            <v>인</v>
          </cell>
          <cell r="H3423">
            <v>1</v>
          </cell>
          <cell r="I3423" t="str">
            <v>x</v>
          </cell>
          <cell r="J3423">
            <v>0.03</v>
          </cell>
          <cell r="V3423" t="str">
            <v>=</v>
          </cell>
          <cell r="W3423">
            <v>0.03</v>
          </cell>
          <cell r="Y3423" t="str">
            <v>기본</v>
          </cell>
          <cell r="Z3423" t="str">
            <v>x</v>
          </cell>
          <cell r="AA3423" t="str">
            <v>공구손료</v>
          </cell>
          <cell r="AM3423">
            <v>77401</v>
          </cell>
          <cell r="AN3423">
            <v>0</v>
          </cell>
        </row>
        <row r="3424">
          <cell r="A3424" t="str">
            <v>120-10</v>
          </cell>
          <cell r="B3424">
            <v>523</v>
          </cell>
          <cell r="D3424" t="str">
            <v>보통인부</v>
          </cell>
          <cell r="E3424">
            <v>0</v>
          </cell>
          <cell r="F3424" t="str">
            <v>인</v>
          </cell>
          <cell r="H3424">
            <v>0.4</v>
          </cell>
          <cell r="I3424" t="str">
            <v>x</v>
          </cell>
          <cell r="J3424">
            <v>0.03</v>
          </cell>
          <cell r="V3424" t="str">
            <v>=</v>
          </cell>
          <cell r="W3424">
            <v>0.01</v>
          </cell>
          <cell r="Y3424" t="str">
            <v>기본</v>
          </cell>
          <cell r="Z3424" t="str">
            <v>x</v>
          </cell>
          <cell r="AA3424" t="str">
            <v>공구손료</v>
          </cell>
          <cell r="AM3424">
            <v>40922</v>
          </cell>
          <cell r="AN3424">
            <v>0</v>
          </cell>
        </row>
        <row r="3425">
          <cell r="AM3425">
            <v>0</v>
          </cell>
          <cell r="AN3425">
            <v>0</v>
          </cell>
        </row>
        <row r="3426">
          <cell r="AM3426">
            <v>0</v>
          </cell>
          <cell r="AN3426">
            <v>0</v>
          </cell>
        </row>
        <row r="3427">
          <cell r="AM3427">
            <v>0</v>
          </cell>
        </row>
        <row r="3428">
          <cell r="AM3428">
            <v>0</v>
          </cell>
        </row>
        <row r="3429">
          <cell r="AM3429">
            <v>0</v>
          </cell>
        </row>
        <row r="3430">
          <cell r="AM3430">
            <v>0</v>
          </cell>
        </row>
        <row r="3431">
          <cell r="AM3431">
            <v>0</v>
          </cell>
          <cell r="AN3431">
            <v>0</v>
          </cell>
        </row>
        <row r="3432">
          <cell r="A3432">
            <v>121</v>
          </cell>
          <cell r="C3432">
            <v>121</v>
          </cell>
          <cell r="D3432" t="str">
            <v>자동안내방송장치 신설</v>
          </cell>
          <cell r="E3432" t="str">
            <v>RACK(650W)</v>
          </cell>
          <cell r="F3432" t="str">
            <v>식</v>
          </cell>
          <cell r="AM3432">
            <v>0</v>
          </cell>
          <cell r="AN3432">
            <v>0</v>
          </cell>
        </row>
        <row r="3433">
          <cell r="A3433" t="str">
            <v>121-1</v>
          </cell>
          <cell r="B3433">
            <v>541</v>
          </cell>
          <cell r="D3433" t="str">
            <v>가. 재료비</v>
          </cell>
          <cell r="E3433">
            <v>0</v>
          </cell>
          <cell r="F3433">
            <v>0</v>
          </cell>
          <cell r="AM3433">
            <v>0</v>
          </cell>
          <cell r="AN3433">
            <v>0</v>
          </cell>
        </row>
        <row r="3434">
          <cell r="A3434" t="str">
            <v>121-2</v>
          </cell>
          <cell r="B3434">
            <v>310</v>
          </cell>
          <cell r="D3434" t="str">
            <v xml:space="preserve">자동방송장치 </v>
          </cell>
          <cell r="E3434" t="str">
            <v>RACK(650W)</v>
          </cell>
          <cell r="F3434" t="str">
            <v>식</v>
          </cell>
          <cell r="V3434" t="str">
            <v>=</v>
          </cell>
          <cell r="W3434">
            <v>1</v>
          </cell>
          <cell r="AM3434">
            <v>31194000</v>
          </cell>
          <cell r="AN3434">
            <v>0</v>
          </cell>
        </row>
        <row r="3435">
          <cell r="A3435" t="str">
            <v>121-3</v>
          </cell>
          <cell r="B3435">
            <v>542</v>
          </cell>
          <cell r="D3435" t="str">
            <v>나. 노무비</v>
          </cell>
          <cell r="E3435">
            <v>0</v>
          </cell>
          <cell r="F3435">
            <v>0</v>
          </cell>
          <cell r="AM3435">
            <v>0</v>
          </cell>
          <cell r="AN3435">
            <v>0</v>
          </cell>
        </row>
        <row r="3436">
          <cell r="D3436" t="str">
            <v>1) 설치</v>
          </cell>
          <cell r="AM3436">
            <v>0</v>
          </cell>
        </row>
        <row r="3437">
          <cell r="B3437">
            <v>555</v>
          </cell>
          <cell r="D3437" t="str">
            <v>통신관련산업기사</v>
          </cell>
          <cell r="E3437">
            <v>0</v>
          </cell>
          <cell r="F3437" t="str">
            <v>인</v>
          </cell>
          <cell r="H3437">
            <v>0.2</v>
          </cell>
          <cell r="I3437" t="str">
            <v>x</v>
          </cell>
          <cell r="J3437">
            <v>1</v>
          </cell>
          <cell r="V3437" t="str">
            <v>=</v>
          </cell>
          <cell r="W3437">
            <v>0.2</v>
          </cell>
          <cell r="Y3437" t="str">
            <v>기본</v>
          </cell>
          <cell r="Z3437" t="str">
            <v>x</v>
          </cell>
          <cell r="AA3437" t="str">
            <v>단위량</v>
          </cell>
          <cell r="AL3437" t="str">
            <v>통5-78-나</v>
          </cell>
          <cell r="AM3437">
            <v>91949</v>
          </cell>
          <cell r="AN3437">
            <v>0</v>
          </cell>
        </row>
        <row r="3438">
          <cell r="B3438">
            <v>517</v>
          </cell>
          <cell r="D3438" t="str">
            <v>통신설비공</v>
          </cell>
          <cell r="E3438">
            <v>0</v>
          </cell>
          <cell r="F3438" t="str">
            <v>인</v>
          </cell>
          <cell r="H3438">
            <v>0.5</v>
          </cell>
          <cell r="I3438" t="str">
            <v>x</v>
          </cell>
          <cell r="J3438">
            <v>1</v>
          </cell>
          <cell r="V3438" t="str">
            <v>=</v>
          </cell>
          <cell r="W3438">
            <v>0.5</v>
          </cell>
          <cell r="Y3438" t="str">
            <v>기본</v>
          </cell>
          <cell r="Z3438" t="str">
            <v>x</v>
          </cell>
          <cell r="AA3438" t="str">
            <v>단위량</v>
          </cell>
          <cell r="AM3438">
            <v>77401</v>
          </cell>
          <cell r="AN3438">
            <v>0</v>
          </cell>
        </row>
        <row r="3439">
          <cell r="B3439">
            <v>523</v>
          </cell>
          <cell r="D3439" t="str">
            <v>보통인부</v>
          </cell>
          <cell r="E3439">
            <v>0</v>
          </cell>
          <cell r="F3439" t="str">
            <v>인</v>
          </cell>
          <cell r="H3439">
            <v>0.3</v>
          </cell>
          <cell r="I3439" t="str">
            <v>x</v>
          </cell>
          <cell r="J3439">
            <v>1</v>
          </cell>
          <cell r="V3439" t="str">
            <v>=</v>
          </cell>
          <cell r="W3439">
            <v>0.3</v>
          </cell>
          <cell r="Y3439" t="str">
            <v>기본</v>
          </cell>
          <cell r="Z3439" t="str">
            <v>x</v>
          </cell>
          <cell r="AA3439" t="str">
            <v>단위량</v>
          </cell>
          <cell r="AM3439">
            <v>40922</v>
          </cell>
          <cell r="AN3439">
            <v>0</v>
          </cell>
        </row>
        <row r="3440">
          <cell r="D3440" t="str">
            <v>2) 조정</v>
          </cell>
          <cell r="AM3440">
            <v>0</v>
          </cell>
        </row>
        <row r="3441">
          <cell r="B3441">
            <v>555</v>
          </cell>
          <cell r="D3441" t="str">
            <v>통신관련산업기사</v>
          </cell>
          <cell r="E3441">
            <v>0</v>
          </cell>
          <cell r="F3441" t="str">
            <v>인</v>
          </cell>
          <cell r="H3441">
            <v>0.3</v>
          </cell>
          <cell r="I3441" t="str">
            <v>x</v>
          </cell>
          <cell r="J3441">
            <v>1</v>
          </cell>
          <cell r="V3441" t="str">
            <v>=</v>
          </cell>
          <cell r="W3441">
            <v>0.3</v>
          </cell>
          <cell r="Y3441" t="str">
            <v>기본</v>
          </cell>
          <cell r="Z3441" t="str">
            <v>x</v>
          </cell>
          <cell r="AA3441" t="str">
            <v>단위량</v>
          </cell>
          <cell r="AL3441" t="str">
            <v>통5-78-나</v>
          </cell>
          <cell r="AM3441">
            <v>91949</v>
          </cell>
        </row>
        <row r="3442">
          <cell r="B3442">
            <v>517</v>
          </cell>
          <cell r="D3442" t="str">
            <v>통신설비공</v>
          </cell>
          <cell r="E3442">
            <v>0</v>
          </cell>
          <cell r="F3442" t="str">
            <v>인</v>
          </cell>
          <cell r="H3442">
            <v>0.5</v>
          </cell>
          <cell r="I3442" t="str">
            <v>x</v>
          </cell>
          <cell r="J3442">
            <v>1</v>
          </cell>
          <cell r="V3442" t="str">
            <v>=</v>
          </cell>
          <cell r="W3442">
            <v>0.5</v>
          </cell>
          <cell r="Y3442" t="str">
            <v>기본</v>
          </cell>
          <cell r="Z3442" t="str">
            <v>x</v>
          </cell>
          <cell r="AA3442" t="str">
            <v>단위량</v>
          </cell>
          <cell r="AM3442">
            <v>77401</v>
          </cell>
        </row>
        <row r="3443">
          <cell r="B3443">
            <v>523</v>
          </cell>
          <cell r="D3443" t="str">
            <v>보통인부</v>
          </cell>
          <cell r="E3443">
            <v>0</v>
          </cell>
          <cell r="F3443" t="str">
            <v>인</v>
          </cell>
          <cell r="H3443">
            <v>0.1</v>
          </cell>
          <cell r="I3443" t="str">
            <v>x</v>
          </cell>
          <cell r="J3443">
            <v>1</v>
          </cell>
          <cell r="V3443" t="str">
            <v>=</v>
          </cell>
          <cell r="W3443">
            <v>0.1</v>
          </cell>
          <cell r="Y3443" t="str">
            <v>기본</v>
          </cell>
          <cell r="Z3443" t="str">
            <v>x</v>
          </cell>
          <cell r="AA3443" t="str">
            <v>단위량</v>
          </cell>
          <cell r="AM3443">
            <v>40922</v>
          </cell>
        </row>
        <row r="3444">
          <cell r="B3444">
            <v>544</v>
          </cell>
          <cell r="D3444" t="str">
            <v>소    계</v>
          </cell>
          <cell r="E3444">
            <v>0</v>
          </cell>
          <cell r="F3444">
            <v>0</v>
          </cell>
          <cell r="AM3444">
            <v>0</v>
          </cell>
          <cell r="AN3444">
            <v>0</v>
          </cell>
        </row>
        <row r="3445">
          <cell r="A3445" t="str">
            <v>121-4</v>
          </cell>
          <cell r="B3445">
            <v>555</v>
          </cell>
          <cell r="D3445" t="str">
            <v>통신관련산업기사</v>
          </cell>
          <cell r="E3445">
            <v>0</v>
          </cell>
          <cell r="F3445" t="str">
            <v>인</v>
          </cell>
          <cell r="V3445" t="str">
            <v>=</v>
          </cell>
          <cell r="W3445">
            <v>0.5</v>
          </cell>
          <cell r="Y3445" t="str">
            <v>기본</v>
          </cell>
          <cell r="AM3445">
            <v>91949</v>
          </cell>
          <cell r="AN3445">
            <v>0</v>
          </cell>
        </row>
        <row r="3446">
          <cell r="A3446" t="str">
            <v>121-5</v>
          </cell>
          <cell r="B3446">
            <v>517</v>
          </cell>
          <cell r="D3446" t="str">
            <v>통신설비공</v>
          </cell>
          <cell r="E3446">
            <v>0</v>
          </cell>
          <cell r="F3446" t="str">
            <v>인</v>
          </cell>
          <cell r="V3446" t="str">
            <v>=</v>
          </cell>
          <cell r="W3446">
            <v>1</v>
          </cell>
          <cell r="Y3446" t="str">
            <v>기본</v>
          </cell>
          <cell r="AM3446">
            <v>77401</v>
          </cell>
          <cell r="AN3446">
            <v>0</v>
          </cell>
        </row>
        <row r="3447">
          <cell r="A3447" t="str">
            <v>121-6</v>
          </cell>
          <cell r="B3447">
            <v>523</v>
          </cell>
          <cell r="D3447" t="str">
            <v>보통인부</v>
          </cell>
          <cell r="E3447">
            <v>0</v>
          </cell>
          <cell r="F3447" t="str">
            <v>인</v>
          </cell>
          <cell r="V3447" t="str">
            <v>=</v>
          </cell>
          <cell r="W3447">
            <v>0.4</v>
          </cell>
          <cell r="Y3447" t="str">
            <v>기본</v>
          </cell>
          <cell r="AM3447">
            <v>40922</v>
          </cell>
          <cell r="AN3447">
            <v>0</v>
          </cell>
        </row>
        <row r="3448">
          <cell r="A3448" t="str">
            <v>121-7</v>
          </cell>
          <cell r="B3448">
            <v>543</v>
          </cell>
          <cell r="D3448" t="str">
            <v>다. 공구손료</v>
          </cell>
          <cell r="E3448" t="str">
            <v>노무비x3%</v>
          </cell>
          <cell r="F3448">
            <v>0</v>
          </cell>
          <cell r="AM3448">
            <v>0</v>
          </cell>
          <cell r="AN3448">
            <v>0</v>
          </cell>
        </row>
        <row r="3449">
          <cell r="A3449" t="str">
            <v>121-8</v>
          </cell>
          <cell r="B3449">
            <v>555</v>
          </cell>
          <cell r="D3449" t="str">
            <v>통신관련산업기사</v>
          </cell>
          <cell r="E3449">
            <v>0</v>
          </cell>
          <cell r="F3449" t="str">
            <v>인</v>
          </cell>
          <cell r="H3449">
            <v>0.5</v>
          </cell>
          <cell r="I3449" t="str">
            <v>x</v>
          </cell>
          <cell r="J3449">
            <v>0.03</v>
          </cell>
          <cell r="V3449" t="str">
            <v>=</v>
          </cell>
          <cell r="W3449">
            <v>0.02</v>
          </cell>
          <cell r="Y3449" t="str">
            <v>기본</v>
          </cell>
          <cell r="Z3449" t="str">
            <v>x</v>
          </cell>
          <cell r="AA3449" t="str">
            <v>공구손료</v>
          </cell>
          <cell r="AM3449">
            <v>91949</v>
          </cell>
          <cell r="AN3449">
            <v>0</v>
          </cell>
        </row>
        <row r="3450">
          <cell r="A3450" t="str">
            <v>121-9</v>
          </cell>
          <cell r="B3450">
            <v>517</v>
          </cell>
          <cell r="D3450" t="str">
            <v>통신설비공</v>
          </cell>
          <cell r="E3450">
            <v>0</v>
          </cell>
          <cell r="F3450" t="str">
            <v>인</v>
          </cell>
          <cell r="H3450">
            <v>1</v>
          </cell>
          <cell r="I3450" t="str">
            <v>x</v>
          </cell>
          <cell r="J3450">
            <v>0.03</v>
          </cell>
          <cell r="V3450" t="str">
            <v>=</v>
          </cell>
          <cell r="W3450">
            <v>0.03</v>
          </cell>
          <cell r="Y3450" t="str">
            <v>기본</v>
          </cell>
          <cell r="Z3450" t="str">
            <v>x</v>
          </cell>
          <cell r="AA3450" t="str">
            <v>공구손료</v>
          </cell>
          <cell r="AM3450">
            <v>77401</v>
          </cell>
          <cell r="AN3450">
            <v>0</v>
          </cell>
        </row>
        <row r="3451">
          <cell r="A3451" t="str">
            <v>121-10</v>
          </cell>
          <cell r="B3451">
            <v>523</v>
          </cell>
          <cell r="D3451" t="str">
            <v>보통인부</v>
          </cell>
          <cell r="E3451">
            <v>0</v>
          </cell>
          <cell r="F3451" t="str">
            <v>인</v>
          </cell>
          <cell r="H3451">
            <v>0.4</v>
          </cell>
          <cell r="I3451" t="str">
            <v>x</v>
          </cell>
          <cell r="J3451">
            <v>0.03</v>
          </cell>
          <cell r="V3451" t="str">
            <v>=</v>
          </cell>
          <cell r="W3451">
            <v>0.01</v>
          </cell>
          <cell r="Y3451" t="str">
            <v>기본</v>
          </cell>
          <cell r="Z3451" t="str">
            <v>x</v>
          </cell>
          <cell r="AA3451" t="str">
            <v>공구손료</v>
          </cell>
          <cell r="AM3451">
            <v>40922</v>
          </cell>
          <cell r="AN3451">
            <v>0</v>
          </cell>
        </row>
        <row r="3452">
          <cell r="AM3452">
            <v>0</v>
          </cell>
          <cell r="AN3452">
            <v>0</v>
          </cell>
        </row>
        <row r="3453">
          <cell r="AM3453">
            <v>0</v>
          </cell>
          <cell r="AN3453">
            <v>0</v>
          </cell>
        </row>
        <row r="3454">
          <cell r="AM3454">
            <v>0</v>
          </cell>
        </row>
        <row r="3455">
          <cell r="AM3455">
            <v>0</v>
          </cell>
        </row>
        <row r="3456">
          <cell r="AM3456">
            <v>0</v>
          </cell>
        </row>
        <row r="3457">
          <cell r="AM3457">
            <v>0</v>
          </cell>
        </row>
        <row r="3458">
          <cell r="AM3458">
            <v>0</v>
          </cell>
          <cell r="AN3458">
            <v>0</v>
          </cell>
        </row>
        <row r="3459">
          <cell r="A3459">
            <v>122</v>
          </cell>
          <cell r="C3459">
            <v>122</v>
          </cell>
          <cell r="D3459" t="str">
            <v>자동안내방송장치 신설</v>
          </cell>
          <cell r="E3459" t="str">
            <v>RACK(700W)</v>
          </cell>
          <cell r="F3459" t="str">
            <v>식</v>
          </cell>
          <cell r="AM3459">
            <v>0</v>
          </cell>
          <cell r="AN3459">
            <v>0</v>
          </cell>
        </row>
        <row r="3460">
          <cell r="A3460" t="str">
            <v>122-1</v>
          </cell>
          <cell r="B3460">
            <v>541</v>
          </cell>
          <cell r="D3460" t="str">
            <v>가. 재료비</v>
          </cell>
          <cell r="E3460">
            <v>0</v>
          </cell>
          <cell r="F3460">
            <v>0</v>
          </cell>
          <cell r="AM3460">
            <v>0</v>
          </cell>
          <cell r="AN3460">
            <v>0</v>
          </cell>
        </row>
        <row r="3461">
          <cell r="A3461" t="str">
            <v>122-2</v>
          </cell>
          <cell r="B3461">
            <v>311</v>
          </cell>
          <cell r="D3461" t="str">
            <v xml:space="preserve">자동방송장치 </v>
          </cell>
          <cell r="E3461" t="str">
            <v>RACK(700W)</v>
          </cell>
          <cell r="F3461" t="str">
            <v>식</v>
          </cell>
          <cell r="V3461" t="str">
            <v>=</v>
          </cell>
          <cell r="W3461">
            <v>1</v>
          </cell>
          <cell r="AM3461">
            <v>31712000</v>
          </cell>
          <cell r="AN3461">
            <v>0</v>
          </cell>
        </row>
        <row r="3462">
          <cell r="A3462" t="str">
            <v>122-3</v>
          </cell>
          <cell r="B3462">
            <v>542</v>
          </cell>
          <cell r="D3462" t="str">
            <v>나. 노무비</v>
          </cell>
          <cell r="E3462">
            <v>0</v>
          </cell>
          <cell r="F3462">
            <v>0</v>
          </cell>
          <cell r="AM3462">
            <v>0</v>
          </cell>
          <cell r="AN3462">
            <v>0</v>
          </cell>
        </row>
        <row r="3463">
          <cell r="D3463" t="str">
            <v>1) 설치</v>
          </cell>
          <cell r="AM3463">
            <v>0</v>
          </cell>
        </row>
        <row r="3464">
          <cell r="B3464">
            <v>555</v>
          </cell>
          <cell r="D3464" t="str">
            <v>통신관련산업기사</v>
          </cell>
          <cell r="E3464">
            <v>0</v>
          </cell>
          <cell r="F3464" t="str">
            <v>인</v>
          </cell>
          <cell r="H3464">
            <v>0.2</v>
          </cell>
          <cell r="I3464" t="str">
            <v>x</v>
          </cell>
          <cell r="J3464">
            <v>1</v>
          </cell>
          <cell r="V3464" t="str">
            <v>=</v>
          </cell>
          <cell r="W3464">
            <v>0.2</v>
          </cell>
          <cell r="Y3464" t="str">
            <v>기본</v>
          </cell>
          <cell r="Z3464" t="str">
            <v>x</v>
          </cell>
          <cell r="AA3464" t="str">
            <v>단위량</v>
          </cell>
          <cell r="AL3464" t="str">
            <v>통5-78-나</v>
          </cell>
          <cell r="AM3464">
            <v>91949</v>
          </cell>
          <cell r="AN3464">
            <v>0</v>
          </cell>
        </row>
        <row r="3465">
          <cell r="B3465">
            <v>517</v>
          </cell>
          <cell r="D3465" t="str">
            <v>통신설비공</v>
          </cell>
          <cell r="E3465">
            <v>0</v>
          </cell>
          <cell r="F3465" t="str">
            <v>인</v>
          </cell>
          <cell r="H3465">
            <v>0.5</v>
          </cell>
          <cell r="I3465" t="str">
            <v>x</v>
          </cell>
          <cell r="J3465">
            <v>1</v>
          </cell>
          <cell r="V3465" t="str">
            <v>=</v>
          </cell>
          <cell r="W3465">
            <v>0.5</v>
          </cell>
          <cell r="Y3465" t="str">
            <v>기본</v>
          </cell>
          <cell r="Z3465" t="str">
            <v>x</v>
          </cell>
          <cell r="AA3465" t="str">
            <v>단위량</v>
          </cell>
          <cell r="AM3465">
            <v>77401</v>
          </cell>
          <cell r="AN3465">
            <v>0</v>
          </cell>
        </row>
        <row r="3466">
          <cell r="B3466">
            <v>523</v>
          </cell>
          <cell r="D3466" t="str">
            <v>보통인부</v>
          </cell>
          <cell r="E3466">
            <v>0</v>
          </cell>
          <cell r="F3466" t="str">
            <v>인</v>
          </cell>
          <cell r="H3466">
            <v>0.3</v>
          </cell>
          <cell r="I3466" t="str">
            <v>x</v>
          </cell>
          <cell r="J3466">
            <v>1</v>
          </cell>
          <cell r="V3466" t="str">
            <v>=</v>
          </cell>
          <cell r="W3466">
            <v>0.3</v>
          </cell>
          <cell r="Y3466" t="str">
            <v>기본</v>
          </cell>
          <cell r="Z3466" t="str">
            <v>x</v>
          </cell>
          <cell r="AA3466" t="str">
            <v>단위량</v>
          </cell>
          <cell r="AM3466">
            <v>40922</v>
          </cell>
          <cell r="AN3466">
            <v>0</v>
          </cell>
        </row>
        <row r="3467">
          <cell r="D3467" t="str">
            <v>2) 조정</v>
          </cell>
          <cell r="AM3467">
            <v>0</v>
          </cell>
        </row>
        <row r="3468">
          <cell r="B3468">
            <v>555</v>
          </cell>
          <cell r="D3468" t="str">
            <v>통신관련산업기사</v>
          </cell>
          <cell r="E3468">
            <v>0</v>
          </cell>
          <cell r="F3468" t="str">
            <v>인</v>
          </cell>
          <cell r="H3468">
            <v>0.3</v>
          </cell>
          <cell r="I3468" t="str">
            <v>x</v>
          </cell>
          <cell r="J3468">
            <v>1</v>
          </cell>
          <cell r="V3468" t="str">
            <v>=</v>
          </cell>
          <cell r="W3468">
            <v>0.3</v>
          </cell>
          <cell r="Y3468" t="str">
            <v>기본</v>
          </cell>
          <cell r="Z3468" t="str">
            <v>x</v>
          </cell>
          <cell r="AA3468" t="str">
            <v>단위량</v>
          </cell>
          <cell r="AL3468" t="str">
            <v>통5-78-나</v>
          </cell>
          <cell r="AM3468">
            <v>91949</v>
          </cell>
        </row>
        <row r="3469">
          <cell r="B3469">
            <v>517</v>
          </cell>
          <cell r="D3469" t="str">
            <v>통신설비공</v>
          </cell>
          <cell r="E3469">
            <v>0</v>
          </cell>
          <cell r="F3469" t="str">
            <v>인</v>
          </cell>
          <cell r="H3469">
            <v>0.5</v>
          </cell>
          <cell r="I3469" t="str">
            <v>x</v>
          </cell>
          <cell r="J3469">
            <v>1</v>
          </cell>
          <cell r="V3469" t="str">
            <v>=</v>
          </cell>
          <cell r="W3469">
            <v>0.5</v>
          </cell>
          <cell r="Y3469" t="str">
            <v>기본</v>
          </cell>
          <cell r="Z3469" t="str">
            <v>x</v>
          </cell>
          <cell r="AA3469" t="str">
            <v>단위량</v>
          </cell>
          <cell r="AM3469">
            <v>77401</v>
          </cell>
        </row>
        <row r="3470">
          <cell r="B3470">
            <v>523</v>
          </cell>
          <cell r="D3470" t="str">
            <v>보통인부</v>
          </cell>
          <cell r="E3470">
            <v>0</v>
          </cell>
          <cell r="F3470" t="str">
            <v>인</v>
          </cell>
          <cell r="H3470">
            <v>0.1</v>
          </cell>
          <cell r="I3470" t="str">
            <v>x</v>
          </cell>
          <cell r="J3470">
            <v>1</v>
          </cell>
          <cell r="V3470" t="str">
            <v>=</v>
          </cell>
          <cell r="W3470">
            <v>0.1</v>
          </cell>
          <cell r="Y3470" t="str">
            <v>기본</v>
          </cell>
          <cell r="Z3470" t="str">
            <v>x</v>
          </cell>
          <cell r="AA3470" t="str">
            <v>단위량</v>
          </cell>
          <cell r="AM3470">
            <v>40922</v>
          </cell>
        </row>
        <row r="3471">
          <cell r="B3471">
            <v>544</v>
          </cell>
          <cell r="D3471" t="str">
            <v>소    계</v>
          </cell>
          <cell r="E3471">
            <v>0</v>
          </cell>
          <cell r="F3471">
            <v>0</v>
          </cell>
          <cell r="AM3471">
            <v>0</v>
          </cell>
          <cell r="AN3471">
            <v>0</v>
          </cell>
        </row>
        <row r="3472">
          <cell r="A3472" t="str">
            <v>122-4</v>
          </cell>
          <cell r="B3472">
            <v>555</v>
          </cell>
          <cell r="D3472" t="str">
            <v>통신관련산업기사</v>
          </cell>
          <cell r="E3472">
            <v>0</v>
          </cell>
          <cell r="F3472" t="str">
            <v>인</v>
          </cell>
          <cell r="V3472" t="str">
            <v>=</v>
          </cell>
          <cell r="W3472">
            <v>0.5</v>
          </cell>
          <cell r="Y3472" t="str">
            <v>기본</v>
          </cell>
          <cell r="AM3472">
            <v>91949</v>
          </cell>
          <cell r="AN3472">
            <v>0</v>
          </cell>
        </row>
        <row r="3473">
          <cell r="A3473" t="str">
            <v>122-5</v>
          </cell>
          <cell r="B3473">
            <v>517</v>
          </cell>
          <cell r="D3473" t="str">
            <v>통신설비공</v>
          </cell>
          <cell r="E3473">
            <v>0</v>
          </cell>
          <cell r="F3473" t="str">
            <v>인</v>
          </cell>
          <cell r="V3473" t="str">
            <v>=</v>
          </cell>
          <cell r="W3473">
            <v>1</v>
          </cell>
          <cell r="Y3473" t="str">
            <v>기본</v>
          </cell>
          <cell r="AM3473">
            <v>77401</v>
          </cell>
          <cell r="AN3473">
            <v>0</v>
          </cell>
        </row>
        <row r="3474">
          <cell r="A3474" t="str">
            <v>122-6</v>
          </cell>
          <cell r="B3474">
            <v>523</v>
          </cell>
          <cell r="D3474" t="str">
            <v>보통인부</v>
          </cell>
          <cell r="E3474">
            <v>0</v>
          </cell>
          <cell r="F3474" t="str">
            <v>인</v>
          </cell>
          <cell r="V3474" t="str">
            <v>=</v>
          </cell>
          <cell r="W3474">
            <v>0.4</v>
          </cell>
          <cell r="Y3474" t="str">
            <v>기본</v>
          </cell>
          <cell r="AM3474">
            <v>40922</v>
          </cell>
          <cell r="AN3474">
            <v>0</v>
          </cell>
        </row>
        <row r="3475">
          <cell r="A3475" t="str">
            <v>122-7</v>
          </cell>
          <cell r="B3475">
            <v>543</v>
          </cell>
          <cell r="D3475" t="str">
            <v>다. 공구손료</v>
          </cell>
          <cell r="E3475" t="str">
            <v>노무비x3%</v>
          </cell>
          <cell r="F3475">
            <v>0</v>
          </cell>
          <cell r="AM3475">
            <v>0</v>
          </cell>
          <cell r="AN3475">
            <v>0</v>
          </cell>
        </row>
        <row r="3476">
          <cell r="A3476" t="str">
            <v>122-8</v>
          </cell>
          <cell r="B3476">
            <v>555</v>
          </cell>
          <cell r="D3476" t="str">
            <v>통신관련산업기사</v>
          </cell>
          <cell r="E3476">
            <v>0</v>
          </cell>
          <cell r="F3476" t="str">
            <v>인</v>
          </cell>
          <cell r="H3476">
            <v>0.5</v>
          </cell>
          <cell r="I3476" t="str">
            <v>x</v>
          </cell>
          <cell r="J3476">
            <v>0.03</v>
          </cell>
          <cell r="V3476" t="str">
            <v>=</v>
          </cell>
          <cell r="W3476">
            <v>0.02</v>
          </cell>
          <cell r="Y3476" t="str">
            <v>기본</v>
          </cell>
          <cell r="Z3476" t="str">
            <v>x</v>
          </cell>
          <cell r="AA3476" t="str">
            <v>공구손료</v>
          </cell>
          <cell r="AM3476">
            <v>91949</v>
          </cell>
          <cell r="AN3476">
            <v>0</v>
          </cell>
        </row>
        <row r="3477">
          <cell r="A3477" t="str">
            <v>122-9</v>
          </cell>
          <cell r="B3477">
            <v>517</v>
          </cell>
          <cell r="D3477" t="str">
            <v>통신설비공</v>
          </cell>
          <cell r="E3477">
            <v>0</v>
          </cell>
          <cell r="F3477" t="str">
            <v>인</v>
          </cell>
          <cell r="H3477">
            <v>1</v>
          </cell>
          <cell r="I3477" t="str">
            <v>x</v>
          </cell>
          <cell r="J3477">
            <v>0.03</v>
          </cell>
          <cell r="V3477" t="str">
            <v>=</v>
          </cell>
          <cell r="W3477">
            <v>0.03</v>
          </cell>
          <cell r="Y3477" t="str">
            <v>기본</v>
          </cell>
          <cell r="Z3477" t="str">
            <v>x</v>
          </cell>
          <cell r="AA3477" t="str">
            <v>공구손료</v>
          </cell>
          <cell r="AM3477">
            <v>77401</v>
          </cell>
          <cell r="AN3477">
            <v>0</v>
          </cell>
        </row>
        <row r="3478">
          <cell r="A3478" t="str">
            <v>122-10</v>
          </cell>
          <cell r="B3478">
            <v>523</v>
          </cell>
          <cell r="D3478" t="str">
            <v>보통인부</v>
          </cell>
          <cell r="E3478">
            <v>0</v>
          </cell>
          <cell r="F3478" t="str">
            <v>인</v>
          </cell>
          <cell r="H3478">
            <v>0.4</v>
          </cell>
          <cell r="I3478" t="str">
            <v>x</v>
          </cell>
          <cell r="J3478">
            <v>0.03</v>
          </cell>
          <cell r="V3478" t="str">
            <v>=</v>
          </cell>
          <cell r="W3478">
            <v>0.01</v>
          </cell>
          <cell r="Y3478" t="str">
            <v>기본</v>
          </cell>
          <cell r="Z3478" t="str">
            <v>x</v>
          </cell>
          <cell r="AA3478" t="str">
            <v>공구손료</v>
          </cell>
          <cell r="AM3478">
            <v>40922</v>
          </cell>
          <cell r="AN3478">
            <v>0</v>
          </cell>
        </row>
        <row r="3479">
          <cell r="AM3479">
            <v>0</v>
          </cell>
          <cell r="AN3479">
            <v>0</v>
          </cell>
        </row>
        <row r="3480">
          <cell r="AM3480">
            <v>0</v>
          </cell>
          <cell r="AN3480">
            <v>0</v>
          </cell>
        </row>
        <row r="3481">
          <cell r="AM3481">
            <v>0</v>
          </cell>
        </row>
        <row r="3482">
          <cell r="AM3482">
            <v>0</v>
          </cell>
        </row>
        <row r="3483">
          <cell r="AM3483">
            <v>0</v>
          </cell>
        </row>
        <row r="3484">
          <cell r="AM3484">
            <v>0</v>
          </cell>
        </row>
        <row r="3485">
          <cell r="AM3485">
            <v>0</v>
          </cell>
          <cell r="AN3485">
            <v>0</v>
          </cell>
        </row>
        <row r="3486">
          <cell r="A3486">
            <v>123</v>
          </cell>
          <cell r="C3486">
            <v>123</v>
          </cell>
          <cell r="D3486" t="str">
            <v>자동안내방송장치 신설</v>
          </cell>
          <cell r="E3486" t="str">
            <v>RACK(850W)</v>
          </cell>
          <cell r="F3486" t="str">
            <v>식</v>
          </cell>
          <cell r="AM3486">
            <v>0</v>
          </cell>
          <cell r="AN3486">
            <v>0</v>
          </cell>
        </row>
        <row r="3487">
          <cell r="A3487" t="str">
            <v>123-1</v>
          </cell>
          <cell r="B3487">
            <v>541</v>
          </cell>
          <cell r="D3487" t="str">
            <v>가. 재료비</v>
          </cell>
          <cell r="E3487">
            <v>0</v>
          </cell>
          <cell r="F3487">
            <v>0</v>
          </cell>
          <cell r="AM3487">
            <v>0</v>
          </cell>
          <cell r="AN3487">
            <v>0</v>
          </cell>
        </row>
        <row r="3488">
          <cell r="A3488" t="str">
            <v>123-2</v>
          </cell>
          <cell r="B3488">
            <v>312</v>
          </cell>
          <cell r="D3488" t="str">
            <v xml:space="preserve">자동방송장치 </v>
          </cell>
          <cell r="E3488" t="str">
            <v>RACK(850W)</v>
          </cell>
          <cell r="F3488" t="str">
            <v>식</v>
          </cell>
          <cell r="V3488" t="str">
            <v>=</v>
          </cell>
          <cell r="W3488">
            <v>1</v>
          </cell>
          <cell r="AM3488">
            <v>33264000</v>
          </cell>
          <cell r="AN3488">
            <v>0</v>
          </cell>
        </row>
        <row r="3489">
          <cell r="A3489" t="str">
            <v>123-3</v>
          </cell>
          <cell r="B3489">
            <v>542</v>
          </cell>
          <cell r="D3489" t="str">
            <v>나. 노무비</v>
          </cell>
          <cell r="E3489">
            <v>0</v>
          </cell>
          <cell r="F3489">
            <v>0</v>
          </cell>
          <cell r="AM3489">
            <v>0</v>
          </cell>
          <cell r="AN3489">
            <v>0</v>
          </cell>
        </row>
        <row r="3490">
          <cell r="D3490" t="str">
            <v>1) 설치</v>
          </cell>
          <cell r="AM3490">
            <v>0</v>
          </cell>
        </row>
        <row r="3491">
          <cell r="B3491">
            <v>555</v>
          </cell>
          <cell r="D3491" t="str">
            <v>통신관련산업기사</v>
          </cell>
          <cell r="E3491">
            <v>0</v>
          </cell>
          <cell r="F3491" t="str">
            <v>인</v>
          </cell>
          <cell r="H3491">
            <v>0.2</v>
          </cell>
          <cell r="I3491" t="str">
            <v>x</v>
          </cell>
          <cell r="J3491">
            <v>1</v>
          </cell>
          <cell r="V3491" t="str">
            <v>=</v>
          </cell>
          <cell r="W3491">
            <v>0.2</v>
          </cell>
          <cell r="Y3491" t="str">
            <v>기본</v>
          </cell>
          <cell r="Z3491" t="str">
            <v>x</v>
          </cell>
          <cell r="AA3491" t="str">
            <v>단위량</v>
          </cell>
          <cell r="AL3491" t="str">
            <v>통5-78-나</v>
          </cell>
          <cell r="AM3491">
            <v>91949</v>
          </cell>
          <cell r="AN3491">
            <v>0</v>
          </cell>
        </row>
        <row r="3492">
          <cell r="B3492">
            <v>517</v>
          </cell>
          <cell r="D3492" t="str">
            <v>통신설비공</v>
          </cell>
          <cell r="E3492">
            <v>0</v>
          </cell>
          <cell r="F3492" t="str">
            <v>인</v>
          </cell>
          <cell r="H3492">
            <v>0.5</v>
          </cell>
          <cell r="I3492" t="str">
            <v>x</v>
          </cell>
          <cell r="J3492">
            <v>1</v>
          </cell>
          <cell r="V3492" t="str">
            <v>=</v>
          </cell>
          <cell r="W3492">
            <v>0.5</v>
          </cell>
          <cell r="Y3492" t="str">
            <v>기본</v>
          </cell>
          <cell r="Z3492" t="str">
            <v>x</v>
          </cell>
          <cell r="AA3492" t="str">
            <v>단위량</v>
          </cell>
          <cell r="AM3492">
            <v>77401</v>
          </cell>
          <cell r="AN3492">
            <v>0</v>
          </cell>
        </row>
        <row r="3493">
          <cell r="B3493">
            <v>523</v>
          </cell>
          <cell r="D3493" t="str">
            <v>보통인부</v>
          </cell>
          <cell r="E3493">
            <v>0</v>
          </cell>
          <cell r="F3493" t="str">
            <v>인</v>
          </cell>
          <cell r="H3493">
            <v>0.3</v>
          </cell>
          <cell r="I3493" t="str">
            <v>x</v>
          </cell>
          <cell r="J3493">
            <v>1</v>
          </cell>
          <cell r="V3493" t="str">
            <v>=</v>
          </cell>
          <cell r="W3493">
            <v>0.3</v>
          </cell>
          <cell r="Y3493" t="str">
            <v>기본</v>
          </cell>
          <cell r="Z3493" t="str">
            <v>x</v>
          </cell>
          <cell r="AA3493" t="str">
            <v>단위량</v>
          </cell>
          <cell r="AM3493">
            <v>40922</v>
          </cell>
          <cell r="AN3493">
            <v>0</v>
          </cell>
        </row>
        <row r="3494">
          <cell r="D3494" t="str">
            <v>2) 조정</v>
          </cell>
          <cell r="AM3494">
            <v>0</v>
          </cell>
        </row>
        <row r="3495">
          <cell r="B3495">
            <v>555</v>
          </cell>
          <cell r="D3495" t="str">
            <v>통신관련산업기사</v>
          </cell>
          <cell r="E3495">
            <v>0</v>
          </cell>
          <cell r="F3495" t="str">
            <v>인</v>
          </cell>
          <cell r="H3495">
            <v>0.3</v>
          </cell>
          <cell r="I3495" t="str">
            <v>x</v>
          </cell>
          <cell r="J3495">
            <v>1</v>
          </cell>
          <cell r="V3495" t="str">
            <v>=</v>
          </cell>
          <cell r="W3495">
            <v>0.3</v>
          </cell>
          <cell r="Y3495" t="str">
            <v>기본</v>
          </cell>
          <cell r="Z3495" t="str">
            <v>x</v>
          </cell>
          <cell r="AA3495" t="str">
            <v>단위량</v>
          </cell>
          <cell r="AL3495" t="str">
            <v>통5-78-나</v>
          </cell>
          <cell r="AM3495">
            <v>91949</v>
          </cell>
        </row>
        <row r="3496">
          <cell r="B3496">
            <v>517</v>
          </cell>
          <cell r="D3496" t="str">
            <v>통신설비공</v>
          </cell>
          <cell r="E3496">
            <v>0</v>
          </cell>
          <cell r="F3496" t="str">
            <v>인</v>
          </cell>
          <cell r="H3496">
            <v>0.5</v>
          </cell>
          <cell r="I3496" t="str">
            <v>x</v>
          </cell>
          <cell r="J3496">
            <v>1</v>
          </cell>
          <cell r="V3496" t="str">
            <v>=</v>
          </cell>
          <cell r="W3496">
            <v>0.5</v>
          </cell>
          <cell r="Y3496" t="str">
            <v>기본</v>
          </cell>
          <cell r="Z3496" t="str">
            <v>x</v>
          </cell>
          <cell r="AA3496" t="str">
            <v>단위량</v>
          </cell>
          <cell r="AM3496">
            <v>77401</v>
          </cell>
        </row>
        <row r="3497">
          <cell r="B3497">
            <v>523</v>
          </cell>
          <cell r="D3497" t="str">
            <v>보통인부</v>
          </cell>
          <cell r="E3497">
            <v>0</v>
          </cell>
          <cell r="F3497" t="str">
            <v>인</v>
          </cell>
          <cell r="H3497">
            <v>0.1</v>
          </cell>
          <cell r="I3497" t="str">
            <v>x</v>
          </cell>
          <cell r="J3497">
            <v>1</v>
          </cell>
          <cell r="V3497" t="str">
            <v>=</v>
          </cell>
          <cell r="W3497">
            <v>0.1</v>
          </cell>
          <cell r="Y3497" t="str">
            <v>기본</v>
          </cell>
          <cell r="Z3497" t="str">
            <v>x</v>
          </cell>
          <cell r="AA3497" t="str">
            <v>단위량</v>
          </cell>
          <cell r="AM3497">
            <v>40922</v>
          </cell>
        </row>
        <row r="3498">
          <cell r="B3498">
            <v>544</v>
          </cell>
          <cell r="D3498" t="str">
            <v>소    계</v>
          </cell>
          <cell r="E3498">
            <v>0</v>
          </cell>
          <cell r="F3498">
            <v>0</v>
          </cell>
          <cell r="AM3498">
            <v>0</v>
          </cell>
          <cell r="AN3498">
            <v>0</v>
          </cell>
        </row>
        <row r="3499">
          <cell r="A3499" t="str">
            <v>123-4</v>
          </cell>
          <cell r="B3499">
            <v>555</v>
          </cell>
          <cell r="D3499" t="str">
            <v>통신관련산업기사</v>
          </cell>
          <cell r="E3499">
            <v>0</v>
          </cell>
          <cell r="F3499" t="str">
            <v>인</v>
          </cell>
          <cell r="V3499" t="str">
            <v>=</v>
          </cell>
          <cell r="W3499">
            <v>0.5</v>
          </cell>
          <cell r="Y3499" t="str">
            <v>기본</v>
          </cell>
          <cell r="AM3499">
            <v>91949</v>
          </cell>
          <cell r="AN3499">
            <v>0</v>
          </cell>
        </row>
        <row r="3500">
          <cell r="A3500" t="str">
            <v>123-5</v>
          </cell>
          <cell r="B3500">
            <v>517</v>
          </cell>
          <cell r="D3500" t="str">
            <v>통신설비공</v>
          </cell>
          <cell r="E3500">
            <v>0</v>
          </cell>
          <cell r="F3500" t="str">
            <v>인</v>
          </cell>
          <cell r="V3500" t="str">
            <v>=</v>
          </cell>
          <cell r="W3500">
            <v>1</v>
          </cell>
          <cell r="Y3500" t="str">
            <v>기본</v>
          </cell>
          <cell r="AM3500">
            <v>77401</v>
          </cell>
          <cell r="AN3500">
            <v>0</v>
          </cell>
        </row>
        <row r="3501">
          <cell r="A3501" t="str">
            <v>123-6</v>
          </cell>
          <cell r="B3501">
            <v>523</v>
          </cell>
          <cell r="D3501" t="str">
            <v>보통인부</v>
          </cell>
          <cell r="E3501">
            <v>0</v>
          </cell>
          <cell r="F3501" t="str">
            <v>인</v>
          </cell>
          <cell r="V3501" t="str">
            <v>=</v>
          </cell>
          <cell r="W3501">
            <v>0.4</v>
          </cell>
          <cell r="Y3501" t="str">
            <v>기본</v>
          </cell>
          <cell r="AM3501">
            <v>40922</v>
          </cell>
          <cell r="AN3501">
            <v>0</v>
          </cell>
        </row>
        <row r="3502">
          <cell r="A3502" t="str">
            <v>123-7</v>
          </cell>
          <cell r="B3502">
            <v>543</v>
          </cell>
          <cell r="D3502" t="str">
            <v>다. 공구손료</v>
          </cell>
          <cell r="E3502" t="str">
            <v>노무비x3%</v>
          </cell>
          <cell r="F3502">
            <v>0</v>
          </cell>
          <cell r="AM3502">
            <v>0</v>
          </cell>
          <cell r="AN3502">
            <v>0</v>
          </cell>
        </row>
        <row r="3503">
          <cell r="A3503" t="str">
            <v>123-8</v>
          </cell>
          <cell r="B3503">
            <v>555</v>
          </cell>
          <cell r="D3503" t="str">
            <v>통신관련산업기사</v>
          </cell>
          <cell r="E3503">
            <v>0</v>
          </cell>
          <cell r="F3503" t="str">
            <v>인</v>
          </cell>
          <cell r="H3503">
            <v>0.5</v>
          </cell>
          <cell r="I3503" t="str">
            <v>x</v>
          </cell>
          <cell r="J3503">
            <v>0.03</v>
          </cell>
          <cell r="V3503" t="str">
            <v>=</v>
          </cell>
          <cell r="W3503">
            <v>0.02</v>
          </cell>
          <cell r="Y3503" t="str">
            <v>기본</v>
          </cell>
          <cell r="Z3503" t="str">
            <v>x</v>
          </cell>
          <cell r="AA3503" t="str">
            <v>공구손료</v>
          </cell>
          <cell r="AM3503">
            <v>91949</v>
          </cell>
          <cell r="AN3503">
            <v>0</v>
          </cell>
        </row>
        <row r="3504">
          <cell r="A3504" t="str">
            <v>123-9</v>
          </cell>
          <cell r="B3504">
            <v>517</v>
          </cell>
          <cell r="D3504" t="str">
            <v>통신설비공</v>
          </cell>
          <cell r="E3504">
            <v>0</v>
          </cell>
          <cell r="F3504" t="str">
            <v>인</v>
          </cell>
          <cell r="H3504">
            <v>1</v>
          </cell>
          <cell r="I3504" t="str">
            <v>x</v>
          </cell>
          <cell r="J3504">
            <v>0.03</v>
          </cell>
          <cell r="V3504" t="str">
            <v>=</v>
          </cell>
          <cell r="W3504">
            <v>0.03</v>
          </cell>
          <cell r="Y3504" t="str">
            <v>기본</v>
          </cell>
          <cell r="Z3504" t="str">
            <v>x</v>
          </cell>
          <cell r="AA3504" t="str">
            <v>공구손료</v>
          </cell>
          <cell r="AM3504">
            <v>77401</v>
          </cell>
          <cell r="AN3504">
            <v>0</v>
          </cell>
        </row>
        <row r="3505">
          <cell r="A3505" t="str">
            <v>123-10</v>
          </cell>
          <cell r="B3505">
            <v>523</v>
          </cell>
          <cell r="D3505" t="str">
            <v>보통인부</v>
          </cell>
          <cell r="E3505">
            <v>0</v>
          </cell>
          <cell r="F3505" t="str">
            <v>인</v>
          </cell>
          <cell r="H3505">
            <v>0.4</v>
          </cell>
          <cell r="I3505" t="str">
            <v>x</v>
          </cell>
          <cell r="J3505">
            <v>0.03</v>
          </cell>
          <cell r="V3505" t="str">
            <v>=</v>
          </cell>
          <cell r="W3505">
            <v>0.01</v>
          </cell>
          <cell r="Y3505" t="str">
            <v>기본</v>
          </cell>
          <cell r="Z3505" t="str">
            <v>x</v>
          </cell>
          <cell r="AA3505" t="str">
            <v>공구손료</v>
          </cell>
          <cell r="AM3505">
            <v>40922</v>
          </cell>
          <cell r="AN3505">
            <v>0</v>
          </cell>
        </row>
        <row r="3506">
          <cell r="AM3506">
            <v>0</v>
          </cell>
          <cell r="AN3506">
            <v>0</v>
          </cell>
        </row>
        <row r="3507">
          <cell r="AM3507">
            <v>0</v>
          </cell>
          <cell r="AN3507">
            <v>0</v>
          </cell>
        </row>
        <row r="3508">
          <cell r="AM3508">
            <v>0</v>
          </cell>
        </row>
        <row r="3509">
          <cell r="AM3509">
            <v>0</v>
          </cell>
        </row>
        <row r="3510">
          <cell r="AM3510">
            <v>0</v>
          </cell>
        </row>
        <row r="3511">
          <cell r="AM3511">
            <v>0</v>
          </cell>
        </row>
        <row r="3512">
          <cell r="AM3512">
            <v>0</v>
          </cell>
          <cell r="AN3512">
            <v>0</v>
          </cell>
        </row>
        <row r="3513">
          <cell r="A3513">
            <v>124</v>
          </cell>
          <cell r="C3513">
            <v>124</v>
          </cell>
          <cell r="D3513" t="str">
            <v>자동안내방송장치 신설</v>
          </cell>
          <cell r="E3513" t="str">
            <v>RACK(900W)</v>
          </cell>
          <cell r="F3513" t="str">
            <v>식</v>
          </cell>
          <cell r="AM3513">
            <v>0</v>
          </cell>
          <cell r="AN3513">
            <v>0</v>
          </cell>
        </row>
        <row r="3514">
          <cell r="A3514" t="str">
            <v>124-1</v>
          </cell>
          <cell r="B3514">
            <v>541</v>
          </cell>
          <cell r="D3514" t="str">
            <v>가. 재료비</v>
          </cell>
          <cell r="E3514">
            <v>0</v>
          </cell>
          <cell r="F3514">
            <v>0</v>
          </cell>
          <cell r="AM3514">
            <v>0</v>
          </cell>
          <cell r="AN3514">
            <v>0</v>
          </cell>
        </row>
        <row r="3515">
          <cell r="A3515" t="str">
            <v>124-2</v>
          </cell>
          <cell r="B3515">
            <v>313</v>
          </cell>
          <cell r="D3515" t="str">
            <v xml:space="preserve">자동방송장치 </v>
          </cell>
          <cell r="E3515" t="str">
            <v>RACK(900W)</v>
          </cell>
          <cell r="F3515" t="str">
            <v>식</v>
          </cell>
          <cell r="V3515" t="str">
            <v>=</v>
          </cell>
          <cell r="W3515">
            <v>1</v>
          </cell>
          <cell r="AM3515">
            <v>37535000</v>
          </cell>
          <cell r="AN3515">
            <v>0</v>
          </cell>
        </row>
        <row r="3516">
          <cell r="A3516" t="str">
            <v>124-3</v>
          </cell>
          <cell r="B3516">
            <v>542</v>
          </cell>
          <cell r="D3516" t="str">
            <v>나. 노무비</v>
          </cell>
          <cell r="E3516">
            <v>0</v>
          </cell>
          <cell r="F3516">
            <v>0</v>
          </cell>
          <cell r="AM3516">
            <v>0</v>
          </cell>
          <cell r="AN3516">
            <v>0</v>
          </cell>
        </row>
        <row r="3517">
          <cell r="D3517" t="str">
            <v>1) 설치</v>
          </cell>
          <cell r="AM3517">
            <v>0</v>
          </cell>
        </row>
        <row r="3518">
          <cell r="B3518">
            <v>555</v>
          </cell>
          <cell r="D3518" t="str">
            <v>통신관련산업기사</v>
          </cell>
          <cell r="E3518">
            <v>0</v>
          </cell>
          <cell r="F3518" t="str">
            <v>인</v>
          </cell>
          <cell r="H3518">
            <v>0.2</v>
          </cell>
          <cell r="I3518" t="str">
            <v>x</v>
          </cell>
          <cell r="J3518">
            <v>1</v>
          </cell>
          <cell r="V3518" t="str">
            <v>=</v>
          </cell>
          <cell r="W3518">
            <v>0.2</v>
          </cell>
          <cell r="Y3518" t="str">
            <v>기본</v>
          </cell>
          <cell r="Z3518" t="str">
            <v>x</v>
          </cell>
          <cell r="AA3518" t="str">
            <v>단위량</v>
          </cell>
          <cell r="AL3518" t="str">
            <v>통5-78-나</v>
          </cell>
          <cell r="AM3518">
            <v>91949</v>
          </cell>
          <cell r="AN3518">
            <v>0</v>
          </cell>
        </row>
        <row r="3519">
          <cell r="B3519">
            <v>517</v>
          </cell>
          <cell r="D3519" t="str">
            <v>통신설비공</v>
          </cell>
          <cell r="E3519">
            <v>0</v>
          </cell>
          <cell r="F3519" t="str">
            <v>인</v>
          </cell>
          <cell r="H3519">
            <v>0.5</v>
          </cell>
          <cell r="I3519" t="str">
            <v>x</v>
          </cell>
          <cell r="J3519">
            <v>1</v>
          </cell>
          <cell r="V3519" t="str">
            <v>=</v>
          </cell>
          <cell r="W3519">
            <v>0.5</v>
          </cell>
          <cell r="Y3519" t="str">
            <v>기본</v>
          </cell>
          <cell r="Z3519" t="str">
            <v>x</v>
          </cell>
          <cell r="AA3519" t="str">
            <v>단위량</v>
          </cell>
          <cell r="AM3519">
            <v>77401</v>
          </cell>
          <cell r="AN3519">
            <v>0</v>
          </cell>
        </row>
        <row r="3520">
          <cell r="B3520">
            <v>523</v>
          </cell>
          <cell r="D3520" t="str">
            <v>보통인부</v>
          </cell>
          <cell r="E3520">
            <v>0</v>
          </cell>
          <cell r="F3520" t="str">
            <v>인</v>
          </cell>
          <cell r="H3520">
            <v>0.3</v>
          </cell>
          <cell r="I3520" t="str">
            <v>x</v>
          </cell>
          <cell r="J3520">
            <v>1</v>
          </cell>
          <cell r="V3520" t="str">
            <v>=</v>
          </cell>
          <cell r="W3520">
            <v>0.3</v>
          </cell>
          <cell r="Y3520" t="str">
            <v>기본</v>
          </cell>
          <cell r="Z3520" t="str">
            <v>x</v>
          </cell>
          <cell r="AA3520" t="str">
            <v>단위량</v>
          </cell>
          <cell r="AM3520">
            <v>40922</v>
          </cell>
          <cell r="AN3520">
            <v>0</v>
          </cell>
        </row>
        <row r="3521">
          <cell r="D3521" t="str">
            <v>2) 조정</v>
          </cell>
          <cell r="AM3521">
            <v>0</v>
          </cell>
        </row>
        <row r="3522">
          <cell r="B3522">
            <v>555</v>
          </cell>
          <cell r="D3522" t="str">
            <v>통신관련산업기사</v>
          </cell>
          <cell r="E3522">
            <v>0</v>
          </cell>
          <cell r="F3522" t="str">
            <v>인</v>
          </cell>
          <cell r="H3522">
            <v>0.3</v>
          </cell>
          <cell r="I3522" t="str">
            <v>x</v>
          </cell>
          <cell r="J3522">
            <v>1</v>
          </cell>
          <cell r="V3522" t="str">
            <v>=</v>
          </cell>
          <cell r="W3522">
            <v>0.3</v>
          </cell>
          <cell r="Y3522" t="str">
            <v>기본</v>
          </cell>
          <cell r="Z3522" t="str">
            <v>x</v>
          </cell>
          <cell r="AA3522" t="str">
            <v>단위량</v>
          </cell>
          <cell r="AL3522" t="str">
            <v>통5-78-나</v>
          </cell>
          <cell r="AM3522">
            <v>91949</v>
          </cell>
        </row>
        <row r="3523">
          <cell r="B3523">
            <v>517</v>
          </cell>
          <cell r="D3523" t="str">
            <v>통신설비공</v>
          </cell>
          <cell r="E3523">
            <v>0</v>
          </cell>
          <cell r="F3523" t="str">
            <v>인</v>
          </cell>
          <cell r="H3523">
            <v>0.5</v>
          </cell>
          <cell r="I3523" t="str">
            <v>x</v>
          </cell>
          <cell r="J3523">
            <v>1</v>
          </cell>
          <cell r="V3523" t="str">
            <v>=</v>
          </cell>
          <cell r="W3523">
            <v>0.5</v>
          </cell>
          <cell r="Y3523" t="str">
            <v>기본</v>
          </cell>
          <cell r="Z3523" t="str">
            <v>x</v>
          </cell>
          <cell r="AA3523" t="str">
            <v>단위량</v>
          </cell>
          <cell r="AM3523">
            <v>77401</v>
          </cell>
        </row>
        <row r="3524">
          <cell r="B3524">
            <v>523</v>
          </cell>
          <cell r="D3524" t="str">
            <v>보통인부</v>
          </cell>
          <cell r="E3524">
            <v>0</v>
          </cell>
          <cell r="F3524" t="str">
            <v>인</v>
          </cell>
          <cell r="H3524">
            <v>0.1</v>
          </cell>
          <cell r="I3524" t="str">
            <v>x</v>
          </cell>
          <cell r="J3524">
            <v>1</v>
          </cell>
          <cell r="V3524" t="str">
            <v>=</v>
          </cell>
          <cell r="W3524">
            <v>0.1</v>
          </cell>
          <cell r="Y3524" t="str">
            <v>기본</v>
          </cell>
          <cell r="Z3524" t="str">
            <v>x</v>
          </cell>
          <cell r="AA3524" t="str">
            <v>단위량</v>
          </cell>
          <cell r="AM3524">
            <v>40922</v>
          </cell>
        </row>
        <row r="3525">
          <cell r="B3525">
            <v>544</v>
          </cell>
          <cell r="D3525" t="str">
            <v>소    계</v>
          </cell>
          <cell r="E3525">
            <v>0</v>
          </cell>
          <cell r="F3525">
            <v>0</v>
          </cell>
          <cell r="AM3525">
            <v>0</v>
          </cell>
          <cell r="AN3525">
            <v>0</v>
          </cell>
        </row>
        <row r="3526">
          <cell r="A3526" t="str">
            <v>124-4</v>
          </cell>
          <cell r="B3526">
            <v>555</v>
          </cell>
          <cell r="D3526" t="str">
            <v>통신관련산업기사</v>
          </cell>
          <cell r="E3526">
            <v>0</v>
          </cell>
          <cell r="F3526" t="str">
            <v>인</v>
          </cell>
          <cell r="V3526" t="str">
            <v>=</v>
          </cell>
          <cell r="W3526">
            <v>0.5</v>
          </cell>
          <cell r="Y3526" t="str">
            <v>기본</v>
          </cell>
          <cell r="AM3526">
            <v>91949</v>
          </cell>
          <cell r="AN3526">
            <v>0</v>
          </cell>
        </row>
        <row r="3527">
          <cell r="A3527" t="str">
            <v>124-5</v>
          </cell>
          <cell r="B3527">
            <v>517</v>
          </cell>
          <cell r="D3527" t="str">
            <v>통신설비공</v>
          </cell>
          <cell r="E3527">
            <v>0</v>
          </cell>
          <cell r="F3527" t="str">
            <v>인</v>
          </cell>
          <cell r="V3527" t="str">
            <v>=</v>
          </cell>
          <cell r="W3527">
            <v>1</v>
          </cell>
          <cell r="Y3527" t="str">
            <v>기본</v>
          </cell>
          <cell r="AM3527">
            <v>77401</v>
          </cell>
          <cell r="AN3527">
            <v>0</v>
          </cell>
        </row>
        <row r="3528">
          <cell r="A3528" t="str">
            <v>124-6</v>
          </cell>
          <cell r="B3528">
            <v>523</v>
          </cell>
          <cell r="D3528" t="str">
            <v>보통인부</v>
          </cell>
          <cell r="E3528">
            <v>0</v>
          </cell>
          <cell r="F3528" t="str">
            <v>인</v>
          </cell>
          <cell r="V3528" t="str">
            <v>=</v>
          </cell>
          <cell r="W3528">
            <v>0.4</v>
          </cell>
          <cell r="Y3528" t="str">
            <v>기본</v>
          </cell>
          <cell r="AM3528">
            <v>40922</v>
          </cell>
          <cell r="AN3528">
            <v>0</v>
          </cell>
        </row>
        <row r="3529">
          <cell r="A3529" t="str">
            <v>124-7</v>
          </cell>
          <cell r="B3529">
            <v>543</v>
          </cell>
          <cell r="D3529" t="str">
            <v>다. 공구손료</v>
          </cell>
          <cell r="E3529" t="str">
            <v>노무비x3%</v>
          </cell>
          <cell r="F3529">
            <v>0</v>
          </cell>
          <cell r="AM3529">
            <v>0</v>
          </cell>
          <cell r="AN3529">
            <v>0</v>
          </cell>
        </row>
        <row r="3530">
          <cell r="A3530" t="str">
            <v>124-8</v>
          </cell>
          <cell r="B3530">
            <v>555</v>
          </cell>
          <cell r="D3530" t="str">
            <v>통신관련산업기사</v>
          </cell>
          <cell r="E3530">
            <v>0</v>
          </cell>
          <cell r="F3530" t="str">
            <v>인</v>
          </cell>
          <cell r="H3530">
            <v>0.5</v>
          </cell>
          <cell r="I3530" t="str">
            <v>x</v>
          </cell>
          <cell r="J3530">
            <v>0.03</v>
          </cell>
          <cell r="V3530" t="str">
            <v>=</v>
          </cell>
          <cell r="W3530">
            <v>0.02</v>
          </cell>
          <cell r="Y3530" t="str">
            <v>기본</v>
          </cell>
          <cell r="Z3530" t="str">
            <v>x</v>
          </cell>
          <cell r="AA3530" t="str">
            <v>공구손료</v>
          </cell>
          <cell r="AM3530">
            <v>91949</v>
          </cell>
          <cell r="AN3530">
            <v>0</v>
          </cell>
        </row>
        <row r="3531">
          <cell r="A3531" t="str">
            <v>124-9</v>
          </cell>
          <cell r="B3531">
            <v>517</v>
          </cell>
          <cell r="D3531" t="str">
            <v>통신설비공</v>
          </cell>
          <cell r="E3531">
            <v>0</v>
          </cell>
          <cell r="F3531" t="str">
            <v>인</v>
          </cell>
          <cell r="H3531">
            <v>1</v>
          </cell>
          <cell r="I3531" t="str">
            <v>x</v>
          </cell>
          <cell r="J3531">
            <v>0.03</v>
          </cell>
          <cell r="V3531" t="str">
            <v>=</v>
          </cell>
          <cell r="W3531">
            <v>0.03</v>
          </cell>
          <cell r="Y3531" t="str">
            <v>기본</v>
          </cell>
          <cell r="Z3531" t="str">
            <v>x</v>
          </cell>
          <cell r="AA3531" t="str">
            <v>공구손료</v>
          </cell>
          <cell r="AM3531">
            <v>77401</v>
          </cell>
          <cell r="AN3531">
            <v>0</v>
          </cell>
        </row>
        <row r="3532">
          <cell r="A3532" t="str">
            <v>124-10</v>
          </cell>
          <cell r="B3532">
            <v>523</v>
          </cell>
          <cell r="D3532" t="str">
            <v>보통인부</v>
          </cell>
          <cell r="E3532">
            <v>0</v>
          </cell>
          <cell r="F3532" t="str">
            <v>인</v>
          </cell>
          <cell r="H3532">
            <v>0.4</v>
          </cell>
          <cell r="I3532" t="str">
            <v>x</v>
          </cell>
          <cell r="J3532">
            <v>0.03</v>
          </cell>
          <cell r="V3532" t="str">
            <v>=</v>
          </cell>
          <cell r="W3532">
            <v>0.01</v>
          </cell>
          <cell r="Y3532" t="str">
            <v>기본</v>
          </cell>
          <cell r="Z3532" t="str">
            <v>x</v>
          </cell>
          <cell r="AA3532" t="str">
            <v>공구손료</v>
          </cell>
          <cell r="AM3532">
            <v>40922</v>
          </cell>
          <cell r="AN3532">
            <v>0</v>
          </cell>
        </row>
        <row r="3533">
          <cell r="AM3533">
            <v>0</v>
          </cell>
          <cell r="AN3533">
            <v>0</v>
          </cell>
        </row>
        <row r="3534">
          <cell r="AM3534">
            <v>0</v>
          </cell>
          <cell r="AN3534">
            <v>0</v>
          </cell>
        </row>
        <row r="3535">
          <cell r="AM3535">
            <v>0</v>
          </cell>
        </row>
        <row r="3536">
          <cell r="AM3536">
            <v>0</v>
          </cell>
        </row>
        <row r="3537">
          <cell r="AM3537">
            <v>0</v>
          </cell>
        </row>
        <row r="3538">
          <cell r="AM3538">
            <v>0</v>
          </cell>
        </row>
        <row r="3539">
          <cell r="AM3539">
            <v>0</v>
          </cell>
          <cell r="AN3539">
            <v>0</v>
          </cell>
        </row>
        <row r="3540">
          <cell r="A3540">
            <v>125</v>
          </cell>
          <cell r="C3540">
            <v>125</v>
          </cell>
          <cell r="D3540" t="str">
            <v>매표소용 증폭기 신설</v>
          </cell>
          <cell r="E3540" t="str">
            <v>20W</v>
          </cell>
          <cell r="F3540" t="str">
            <v>대</v>
          </cell>
          <cell r="AM3540">
            <v>0</v>
          </cell>
          <cell r="AN3540">
            <v>0</v>
          </cell>
        </row>
        <row r="3541">
          <cell r="A3541" t="str">
            <v>125-1</v>
          </cell>
          <cell r="B3541">
            <v>541</v>
          </cell>
          <cell r="D3541" t="str">
            <v>가. 재료비</v>
          </cell>
          <cell r="E3541">
            <v>0</v>
          </cell>
          <cell r="F3541">
            <v>0</v>
          </cell>
          <cell r="AM3541">
            <v>0</v>
          </cell>
          <cell r="AN3541">
            <v>0</v>
          </cell>
        </row>
        <row r="3542">
          <cell r="A3542" t="str">
            <v>125-2</v>
          </cell>
          <cell r="B3542">
            <v>314</v>
          </cell>
          <cell r="D3542" t="str">
            <v xml:space="preserve">매표소용 증폭기 </v>
          </cell>
          <cell r="E3542" t="str">
            <v>20W</v>
          </cell>
          <cell r="F3542" t="str">
            <v>대</v>
          </cell>
          <cell r="V3542" t="str">
            <v>=</v>
          </cell>
          <cell r="W3542">
            <v>1</v>
          </cell>
          <cell r="AM3542">
            <v>700000</v>
          </cell>
          <cell r="AN3542">
            <v>0</v>
          </cell>
        </row>
        <row r="3543">
          <cell r="A3543" t="str">
            <v>125-3</v>
          </cell>
          <cell r="B3543">
            <v>542</v>
          </cell>
          <cell r="D3543" t="str">
            <v>나. 노무비</v>
          </cell>
          <cell r="E3543">
            <v>0</v>
          </cell>
          <cell r="F3543">
            <v>0</v>
          </cell>
          <cell r="AM3543">
            <v>0</v>
          </cell>
          <cell r="AN3543">
            <v>0</v>
          </cell>
        </row>
        <row r="3544">
          <cell r="D3544" t="str">
            <v>1) 설치</v>
          </cell>
          <cell r="AM3544">
            <v>0</v>
          </cell>
        </row>
        <row r="3545">
          <cell r="B3545">
            <v>555</v>
          </cell>
          <cell r="D3545" t="str">
            <v>통신관련산업기사</v>
          </cell>
          <cell r="E3545">
            <v>0</v>
          </cell>
          <cell r="F3545" t="str">
            <v>인</v>
          </cell>
          <cell r="H3545">
            <v>0.2</v>
          </cell>
          <cell r="I3545" t="str">
            <v>x</v>
          </cell>
          <cell r="J3545">
            <v>1</v>
          </cell>
          <cell r="V3545" t="str">
            <v>=</v>
          </cell>
          <cell r="W3545">
            <v>0.2</v>
          </cell>
          <cell r="Y3545" t="str">
            <v>기본</v>
          </cell>
          <cell r="Z3545" t="str">
            <v>x</v>
          </cell>
          <cell r="AA3545" t="str">
            <v>단위량</v>
          </cell>
          <cell r="AL3545" t="str">
            <v>통5-78-나</v>
          </cell>
          <cell r="AM3545">
            <v>91949</v>
          </cell>
          <cell r="AN3545">
            <v>0</v>
          </cell>
        </row>
        <row r="3546">
          <cell r="B3546">
            <v>517</v>
          </cell>
          <cell r="D3546" t="str">
            <v>통신설비공</v>
          </cell>
          <cell r="E3546">
            <v>0</v>
          </cell>
          <cell r="F3546" t="str">
            <v>인</v>
          </cell>
          <cell r="H3546">
            <v>0.5</v>
          </cell>
          <cell r="I3546" t="str">
            <v>x</v>
          </cell>
          <cell r="J3546">
            <v>1</v>
          </cell>
          <cell r="V3546" t="str">
            <v>=</v>
          </cell>
          <cell r="W3546">
            <v>0.5</v>
          </cell>
          <cell r="Y3546" t="str">
            <v>기본</v>
          </cell>
          <cell r="Z3546" t="str">
            <v>x</v>
          </cell>
          <cell r="AA3546" t="str">
            <v>단위량</v>
          </cell>
          <cell r="AM3546">
            <v>77401</v>
          </cell>
          <cell r="AN3546">
            <v>0</v>
          </cell>
        </row>
        <row r="3547">
          <cell r="B3547">
            <v>523</v>
          </cell>
          <cell r="D3547" t="str">
            <v>보통인부</v>
          </cell>
          <cell r="E3547">
            <v>0</v>
          </cell>
          <cell r="F3547" t="str">
            <v>인</v>
          </cell>
          <cell r="H3547">
            <v>0.3</v>
          </cell>
          <cell r="I3547" t="str">
            <v>x</v>
          </cell>
          <cell r="J3547">
            <v>1</v>
          </cell>
          <cell r="V3547" t="str">
            <v>=</v>
          </cell>
          <cell r="W3547">
            <v>0.3</v>
          </cell>
          <cell r="Y3547" t="str">
            <v>기본</v>
          </cell>
          <cell r="Z3547" t="str">
            <v>x</v>
          </cell>
          <cell r="AA3547" t="str">
            <v>단위량</v>
          </cell>
          <cell r="AM3547">
            <v>40922</v>
          </cell>
          <cell r="AN3547">
            <v>0</v>
          </cell>
        </row>
        <row r="3548">
          <cell r="D3548" t="str">
            <v>2) 조정</v>
          </cell>
          <cell r="AM3548">
            <v>0</v>
          </cell>
        </row>
        <row r="3549">
          <cell r="B3549">
            <v>555</v>
          </cell>
          <cell r="D3549" t="str">
            <v>통신관련산업기사</v>
          </cell>
          <cell r="E3549">
            <v>0</v>
          </cell>
          <cell r="F3549" t="str">
            <v>인</v>
          </cell>
          <cell r="H3549">
            <v>0.3</v>
          </cell>
          <cell r="I3549" t="str">
            <v>x</v>
          </cell>
          <cell r="J3549">
            <v>1</v>
          </cell>
          <cell r="V3549" t="str">
            <v>=</v>
          </cell>
          <cell r="W3549">
            <v>0.3</v>
          </cell>
          <cell r="Y3549" t="str">
            <v>기본</v>
          </cell>
          <cell r="Z3549" t="str">
            <v>x</v>
          </cell>
          <cell r="AA3549" t="str">
            <v>단위량</v>
          </cell>
          <cell r="AL3549" t="str">
            <v>통5-78-나</v>
          </cell>
          <cell r="AM3549">
            <v>91949</v>
          </cell>
        </row>
        <row r="3550">
          <cell r="B3550">
            <v>517</v>
          </cell>
          <cell r="D3550" t="str">
            <v>통신설비공</v>
          </cell>
          <cell r="E3550">
            <v>0</v>
          </cell>
          <cell r="F3550" t="str">
            <v>인</v>
          </cell>
          <cell r="H3550">
            <v>0.5</v>
          </cell>
          <cell r="I3550" t="str">
            <v>x</v>
          </cell>
          <cell r="J3550">
            <v>1</v>
          </cell>
          <cell r="V3550" t="str">
            <v>=</v>
          </cell>
          <cell r="W3550">
            <v>0.5</v>
          </cell>
          <cell r="Y3550" t="str">
            <v>기본</v>
          </cell>
          <cell r="Z3550" t="str">
            <v>x</v>
          </cell>
          <cell r="AA3550" t="str">
            <v>단위량</v>
          </cell>
          <cell r="AM3550">
            <v>77401</v>
          </cell>
        </row>
        <row r="3551">
          <cell r="B3551">
            <v>523</v>
          </cell>
          <cell r="D3551" t="str">
            <v>보통인부</v>
          </cell>
          <cell r="E3551">
            <v>0</v>
          </cell>
          <cell r="F3551" t="str">
            <v>인</v>
          </cell>
          <cell r="H3551">
            <v>0.1</v>
          </cell>
          <cell r="I3551" t="str">
            <v>x</v>
          </cell>
          <cell r="J3551">
            <v>1</v>
          </cell>
          <cell r="V3551" t="str">
            <v>=</v>
          </cell>
          <cell r="W3551">
            <v>0.1</v>
          </cell>
          <cell r="Y3551" t="str">
            <v>기본</v>
          </cell>
          <cell r="Z3551" t="str">
            <v>x</v>
          </cell>
          <cell r="AA3551" t="str">
            <v>단위량</v>
          </cell>
          <cell r="AM3551">
            <v>40922</v>
          </cell>
        </row>
        <row r="3552">
          <cell r="B3552">
            <v>544</v>
          </cell>
          <cell r="D3552" t="str">
            <v>소    계</v>
          </cell>
          <cell r="E3552">
            <v>0</v>
          </cell>
          <cell r="F3552">
            <v>0</v>
          </cell>
          <cell r="AM3552">
            <v>0</v>
          </cell>
          <cell r="AN3552">
            <v>0</v>
          </cell>
        </row>
        <row r="3553">
          <cell r="A3553" t="str">
            <v>125-4</v>
          </cell>
          <cell r="B3553">
            <v>555</v>
          </cell>
          <cell r="D3553" t="str">
            <v>통신관련산업기사</v>
          </cell>
          <cell r="E3553">
            <v>0</v>
          </cell>
          <cell r="F3553" t="str">
            <v>인</v>
          </cell>
          <cell r="V3553" t="str">
            <v>=</v>
          </cell>
          <cell r="W3553">
            <v>0.5</v>
          </cell>
          <cell r="Y3553" t="str">
            <v>기본</v>
          </cell>
          <cell r="AM3553">
            <v>91949</v>
          </cell>
          <cell r="AN3553">
            <v>0</v>
          </cell>
        </row>
        <row r="3554">
          <cell r="A3554" t="str">
            <v>125-5</v>
          </cell>
          <cell r="B3554">
            <v>517</v>
          </cell>
          <cell r="D3554" t="str">
            <v>통신설비공</v>
          </cell>
          <cell r="E3554">
            <v>0</v>
          </cell>
          <cell r="F3554" t="str">
            <v>인</v>
          </cell>
          <cell r="V3554" t="str">
            <v>=</v>
          </cell>
          <cell r="W3554">
            <v>1</v>
          </cell>
          <cell r="Y3554" t="str">
            <v>기본</v>
          </cell>
          <cell r="AM3554">
            <v>77401</v>
          </cell>
          <cell r="AN3554">
            <v>0</v>
          </cell>
        </row>
        <row r="3555">
          <cell r="A3555" t="str">
            <v>125-6</v>
          </cell>
          <cell r="B3555">
            <v>523</v>
          </cell>
          <cell r="D3555" t="str">
            <v>보통인부</v>
          </cell>
          <cell r="E3555">
            <v>0</v>
          </cell>
          <cell r="F3555" t="str">
            <v>인</v>
          </cell>
          <cell r="V3555" t="str">
            <v>=</v>
          </cell>
          <cell r="W3555">
            <v>0.4</v>
          </cell>
          <cell r="Y3555" t="str">
            <v>기본</v>
          </cell>
          <cell r="AM3555">
            <v>40922</v>
          </cell>
          <cell r="AN3555">
            <v>0</v>
          </cell>
        </row>
        <row r="3556">
          <cell r="A3556" t="str">
            <v>125-7</v>
          </cell>
          <cell r="B3556">
            <v>543</v>
          </cell>
          <cell r="D3556" t="str">
            <v>다. 공구손료</v>
          </cell>
          <cell r="E3556" t="str">
            <v>노무비x3%</v>
          </cell>
          <cell r="F3556">
            <v>0</v>
          </cell>
          <cell r="AM3556">
            <v>0</v>
          </cell>
          <cell r="AN3556">
            <v>0</v>
          </cell>
        </row>
        <row r="3557">
          <cell r="A3557" t="str">
            <v>125-8</v>
          </cell>
          <cell r="B3557">
            <v>555</v>
          </cell>
          <cell r="D3557" t="str">
            <v>통신관련산업기사</v>
          </cell>
          <cell r="E3557">
            <v>0</v>
          </cell>
          <cell r="F3557" t="str">
            <v>인</v>
          </cell>
          <cell r="H3557">
            <v>0.5</v>
          </cell>
          <cell r="I3557" t="str">
            <v>x</v>
          </cell>
          <cell r="J3557">
            <v>0.03</v>
          </cell>
          <cell r="V3557" t="str">
            <v>=</v>
          </cell>
          <cell r="W3557">
            <v>0.02</v>
          </cell>
          <cell r="Y3557" t="str">
            <v>기본</v>
          </cell>
          <cell r="Z3557" t="str">
            <v>x</v>
          </cell>
          <cell r="AA3557" t="str">
            <v>공구손료</v>
          </cell>
          <cell r="AM3557">
            <v>91949</v>
          </cell>
          <cell r="AN3557">
            <v>0</v>
          </cell>
        </row>
        <row r="3558">
          <cell r="A3558" t="str">
            <v>125-9</v>
          </cell>
          <cell r="B3558">
            <v>517</v>
          </cell>
          <cell r="D3558" t="str">
            <v>통신설비공</v>
          </cell>
          <cell r="E3558">
            <v>0</v>
          </cell>
          <cell r="F3558" t="str">
            <v>인</v>
          </cell>
          <cell r="H3558">
            <v>1</v>
          </cell>
          <cell r="I3558" t="str">
            <v>x</v>
          </cell>
          <cell r="J3558">
            <v>0.03</v>
          </cell>
          <cell r="V3558" t="str">
            <v>=</v>
          </cell>
          <cell r="W3558">
            <v>0.03</v>
          </cell>
          <cell r="Y3558" t="str">
            <v>기본</v>
          </cell>
          <cell r="Z3558" t="str">
            <v>x</v>
          </cell>
          <cell r="AA3558" t="str">
            <v>공구손료</v>
          </cell>
          <cell r="AM3558">
            <v>77401</v>
          </cell>
          <cell r="AN3558">
            <v>0</v>
          </cell>
        </row>
        <row r="3559">
          <cell r="A3559" t="str">
            <v>125-10</v>
          </cell>
          <cell r="B3559">
            <v>523</v>
          </cell>
          <cell r="D3559" t="str">
            <v>보통인부</v>
          </cell>
          <cell r="E3559">
            <v>0</v>
          </cell>
          <cell r="F3559" t="str">
            <v>인</v>
          </cell>
          <cell r="H3559">
            <v>0.4</v>
          </cell>
          <cell r="I3559" t="str">
            <v>x</v>
          </cell>
          <cell r="J3559">
            <v>0.03</v>
          </cell>
          <cell r="V3559" t="str">
            <v>=</v>
          </cell>
          <cell r="W3559">
            <v>0.01</v>
          </cell>
          <cell r="Y3559" t="str">
            <v>기본</v>
          </cell>
          <cell r="Z3559" t="str">
            <v>x</v>
          </cell>
          <cell r="AA3559" t="str">
            <v>공구손료</v>
          </cell>
          <cell r="AM3559">
            <v>40922</v>
          </cell>
          <cell r="AN3559">
            <v>0</v>
          </cell>
        </row>
        <row r="3560">
          <cell r="AM3560">
            <v>0</v>
          </cell>
          <cell r="AN3560">
            <v>0</v>
          </cell>
        </row>
        <row r="3561">
          <cell r="AM3561">
            <v>0</v>
          </cell>
          <cell r="AN3561">
            <v>0</v>
          </cell>
        </row>
        <row r="3562">
          <cell r="AM3562">
            <v>0</v>
          </cell>
        </row>
        <row r="3563">
          <cell r="AM3563">
            <v>0</v>
          </cell>
        </row>
        <row r="3564">
          <cell r="AM3564">
            <v>0</v>
          </cell>
        </row>
        <row r="3565">
          <cell r="AM3565">
            <v>0</v>
          </cell>
        </row>
        <row r="3566">
          <cell r="AM3566">
            <v>0</v>
          </cell>
          <cell r="AN3566">
            <v>0</v>
          </cell>
        </row>
        <row r="3567">
          <cell r="A3567">
            <v>126</v>
          </cell>
          <cell r="C3567">
            <v>126</v>
          </cell>
          <cell r="D3567" t="str">
            <v>화상감시 주제어 장치 신설</v>
          </cell>
          <cell r="E3567" t="str">
            <v>종합사령실</v>
          </cell>
          <cell r="F3567" t="str">
            <v>식</v>
          </cell>
          <cell r="AM3567">
            <v>0</v>
          </cell>
          <cell r="AN3567">
            <v>0</v>
          </cell>
        </row>
        <row r="3568">
          <cell r="A3568" t="str">
            <v>126-1</v>
          </cell>
          <cell r="B3568">
            <v>541</v>
          </cell>
          <cell r="D3568" t="str">
            <v>가. 재료비</v>
          </cell>
          <cell r="E3568">
            <v>0</v>
          </cell>
          <cell r="F3568">
            <v>0</v>
          </cell>
          <cell r="AM3568">
            <v>0</v>
          </cell>
          <cell r="AN3568">
            <v>0</v>
          </cell>
        </row>
        <row r="3569">
          <cell r="A3569" t="str">
            <v>126-2</v>
          </cell>
          <cell r="B3569">
            <v>315</v>
          </cell>
          <cell r="D3569" t="str">
            <v xml:space="preserve">화상감시 주제어 장치 </v>
          </cell>
          <cell r="E3569" t="str">
            <v>종합사령실</v>
          </cell>
          <cell r="F3569" t="str">
            <v>식</v>
          </cell>
          <cell r="V3569" t="str">
            <v>=</v>
          </cell>
          <cell r="W3569">
            <v>1</v>
          </cell>
          <cell r="AM3569">
            <v>100000000</v>
          </cell>
          <cell r="AN3569">
            <v>0</v>
          </cell>
        </row>
        <row r="3570">
          <cell r="A3570" t="str">
            <v>126-3</v>
          </cell>
          <cell r="B3570">
            <v>542</v>
          </cell>
          <cell r="D3570" t="str">
            <v>나. 노무비</v>
          </cell>
          <cell r="E3570">
            <v>0</v>
          </cell>
          <cell r="F3570">
            <v>0</v>
          </cell>
          <cell r="AL3570" t="str">
            <v>통5-78-나,다</v>
          </cell>
          <cell r="AM3570">
            <v>0</v>
          </cell>
          <cell r="AN3570">
            <v>0</v>
          </cell>
        </row>
        <row r="3571">
          <cell r="D3571" t="str">
            <v>1) 설치</v>
          </cell>
          <cell r="AM3571">
            <v>0</v>
          </cell>
        </row>
        <row r="3572">
          <cell r="B3572">
            <v>517</v>
          </cell>
          <cell r="D3572" t="str">
            <v>통신설비공</v>
          </cell>
          <cell r="E3572">
            <v>0</v>
          </cell>
          <cell r="F3572" t="str">
            <v>인</v>
          </cell>
          <cell r="H3572" t="str">
            <v>0.7 + 0.3 + 0.17 + 0.16 + 0.2 + 0.2 + 1.5 + 1.5</v>
          </cell>
          <cell r="V3572" t="str">
            <v>=</v>
          </cell>
          <cell r="W3572">
            <v>4.7300000000000004</v>
          </cell>
          <cell r="AM3572">
            <v>77401</v>
          </cell>
          <cell r="AN3572">
            <v>0</v>
          </cell>
        </row>
        <row r="3573">
          <cell r="B3573">
            <v>555</v>
          </cell>
          <cell r="D3573" t="str">
            <v>통신관련산업기사</v>
          </cell>
          <cell r="E3573">
            <v>0</v>
          </cell>
          <cell r="F3573" t="str">
            <v>인</v>
          </cell>
          <cell r="H3573" t="str">
            <v>0.3 + 1</v>
          </cell>
          <cell r="V3573" t="str">
            <v>=</v>
          </cell>
          <cell r="W3573">
            <v>1.3</v>
          </cell>
          <cell r="AM3573">
            <v>91949</v>
          </cell>
          <cell r="AN3573">
            <v>0</v>
          </cell>
        </row>
        <row r="3574">
          <cell r="B3574">
            <v>523</v>
          </cell>
          <cell r="D3574" t="str">
            <v>보통인부</v>
          </cell>
          <cell r="E3574">
            <v>0</v>
          </cell>
          <cell r="F3574" t="str">
            <v>인</v>
          </cell>
          <cell r="H3574" t="str">
            <v>0.5 + 0.6</v>
          </cell>
          <cell r="V3574" t="str">
            <v>=</v>
          </cell>
          <cell r="W3574">
            <v>1.1000000000000001</v>
          </cell>
          <cell r="AM3574">
            <v>40922</v>
          </cell>
          <cell r="AN3574">
            <v>0</v>
          </cell>
        </row>
        <row r="3575">
          <cell r="D3575" t="str">
            <v>2) 조정</v>
          </cell>
          <cell r="AM3575">
            <v>0</v>
          </cell>
        </row>
        <row r="3576">
          <cell r="B3576">
            <v>556</v>
          </cell>
          <cell r="D3576" t="str">
            <v>통신관련기사</v>
          </cell>
          <cell r="E3576">
            <v>0</v>
          </cell>
          <cell r="F3576" t="str">
            <v>인</v>
          </cell>
          <cell r="H3576" t="str">
            <v xml:space="preserve">0.7 + 0.3 + 0.17 + 0.16 + 0.2 + 0.2 </v>
          </cell>
          <cell r="V3576" t="str">
            <v>=</v>
          </cell>
          <cell r="W3576">
            <v>1.73</v>
          </cell>
          <cell r="AM3576">
            <v>92355</v>
          </cell>
          <cell r="AN3576">
            <v>0</v>
          </cell>
        </row>
        <row r="3577">
          <cell r="B3577">
            <v>544</v>
          </cell>
          <cell r="D3577" t="str">
            <v>소    계</v>
          </cell>
          <cell r="E3577">
            <v>0</v>
          </cell>
          <cell r="F3577">
            <v>0</v>
          </cell>
          <cell r="AM3577">
            <v>0</v>
          </cell>
          <cell r="AN3577">
            <v>0</v>
          </cell>
        </row>
        <row r="3578">
          <cell r="A3578" t="str">
            <v>126-4</v>
          </cell>
          <cell r="B3578">
            <v>517</v>
          </cell>
          <cell r="D3578" t="str">
            <v>통신설비공</v>
          </cell>
          <cell r="E3578">
            <v>0</v>
          </cell>
          <cell r="F3578" t="str">
            <v>인</v>
          </cell>
          <cell r="V3578" t="str">
            <v>=</v>
          </cell>
          <cell r="W3578">
            <v>4.7300000000000004</v>
          </cell>
          <cell r="AM3578">
            <v>77401</v>
          </cell>
          <cell r="AN3578">
            <v>0</v>
          </cell>
        </row>
        <row r="3579">
          <cell r="A3579" t="str">
            <v>126-5</v>
          </cell>
          <cell r="B3579">
            <v>555</v>
          </cell>
          <cell r="D3579" t="str">
            <v>통신관련산업기사</v>
          </cell>
          <cell r="E3579">
            <v>0</v>
          </cell>
          <cell r="F3579" t="str">
            <v>인</v>
          </cell>
          <cell r="V3579" t="str">
            <v>=</v>
          </cell>
          <cell r="W3579">
            <v>1.3</v>
          </cell>
          <cell r="AM3579">
            <v>91949</v>
          </cell>
          <cell r="AN3579">
            <v>0</v>
          </cell>
        </row>
        <row r="3580">
          <cell r="A3580" t="str">
            <v>126-6</v>
          </cell>
          <cell r="B3580">
            <v>523</v>
          </cell>
          <cell r="D3580" t="str">
            <v>보통인부</v>
          </cell>
          <cell r="E3580">
            <v>0</v>
          </cell>
          <cell r="F3580" t="str">
            <v>인</v>
          </cell>
          <cell r="V3580" t="str">
            <v>=</v>
          </cell>
          <cell r="W3580">
            <v>1.1000000000000001</v>
          </cell>
          <cell r="AM3580">
            <v>40922</v>
          </cell>
          <cell r="AN3580">
            <v>0</v>
          </cell>
        </row>
        <row r="3581">
          <cell r="A3581" t="str">
            <v>126-7</v>
          </cell>
          <cell r="B3581">
            <v>556</v>
          </cell>
          <cell r="D3581" t="str">
            <v>통신관련기사</v>
          </cell>
          <cell r="E3581">
            <v>0</v>
          </cell>
          <cell r="F3581" t="str">
            <v>인</v>
          </cell>
          <cell r="V3581" t="str">
            <v>=</v>
          </cell>
          <cell r="W3581">
            <v>1.73</v>
          </cell>
          <cell r="AM3581">
            <v>92355</v>
          </cell>
          <cell r="AN3581">
            <v>0</v>
          </cell>
        </row>
        <row r="3582">
          <cell r="A3582" t="str">
            <v>126-8</v>
          </cell>
          <cell r="B3582">
            <v>543</v>
          </cell>
          <cell r="D3582" t="str">
            <v>다. 공구손료</v>
          </cell>
          <cell r="E3582" t="str">
            <v>노무비x3%</v>
          </cell>
          <cell r="F3582">
            <v>0</v>
          </cell>
          <cell r="AM3582">
            <v>0</v>
          </cell>
          <cell r="AN3582">
            <v>0</v>
          </cell>
        </row>
        <row r="3583">
          <cell r="A3583" t="str">
            <v>126-9</v>
          </cell>
          <cell r="B3583">
            <v>517</v>
          </cell>
          <cell r="D3583" t="str">
            <v>통신설비공</v>
          </cell>
          <cell r="E3583">
            <v>0</v>
          </cell>
          <cell r="F3583" t="str">
            <v>인</v>
          </cell>
          <cell r="H3583">
            <v>4.7300000000000004</v>
          </cell>
          <cell r="I3583" t="str">
            <v>x</v>
          </cell>
          <cell r="J3583">
            <v>0.03</v>
          </cell>
          <cell r="V3583" t="str">
            <v>=</v>
          </cell>
          <cell r="W3583">
            <v>0.14000000000000001</v>
          </cell>
          <cell r="Y3583" t="str">
            <v>기본</v>
          </cell>
          <cell r="Z3583" t="str">
            <v>x</v>
          </cell>
          <cell r="AA3583" t="str">
            <v>공구손료</v>
          </cell>
          <cell r="AM3583">
            <v>77401</v>
          </cell>
          <cell r="AN3583">
            <v>0</v>
          </cell>
        </row>
        <row r="3584">
          <cell r="A3584" t="str">
            <v>126-10</v>
          </cell>
          <cell r="B3584">
            <v>555</v>
          </cell>
          <cell r="D3584" t="str">
            <v>통신관련산업기사</v>
          </cell>
          <cell r="E3584">
            <v>0</v>
          </cell>
          <cell r="F3584" t="str">
            <v>인</v>
          </cell>
          <cell r="H3584">
            <v>1.3</v>
          </cell>
          <cell r="I3584" t="str">
            <v>x</v>
          </cell>
          <cell r="J3584">
            <v>0.03</v>
          </cell>
          <cell r="V3584" t="str">
            <v>=</v>
          </cell>
          <cell r="W3584">
            <v>0.04</v>
          </cell>
          <cell r="Y3584" t="str">
            <v>기본</v>
          </cell>
          <cell r="Z3584" t="str">
            <v>x</v>
          </cell>
          <cell r="AA3584" t="str">
            <v>공구손료</v>
          </cell>
          <cell r="AM3584">
            <v>91949</v>
          </cell>
          <cell r="AN3584">
            <v>0</v>
          </cell>
        </row>
        <row r="3585">
          <cell r="A3585" t="str">
            <v>126-11</v>
          </cell>
          <cell r="B3585">
            <v>523</v>
          </cell>
          <cell r="D3585" t="str">
            <v>보통인부</v>
          </cell>
          <cell r="E3585">
            <v>0</v>
          </cell>
          <cell r="F3585" t="str">
            <v>인</v>
          </cell>
          <cell r="H3585">
            <v>1.1000000000000001</v>
          </cell>
          <cell r="I3585" t="str">
            <v>x</v>
          </cell>
          <cell r="J3585">
            <v>0.03</v>
          </cell>
          <cell r="V3585" t="str">
            <v>=</v>
          </cell>
          <cell r="W3585">
            <v>0.03</v>
          </cell>
          <cell r="Y3585" t="str">
            <v>기본</v>
          </cell>
          <cell r="Z3585" t="str">
            <v>x</v>
          </cell>
          <cell r="AA3585" t="str">
            <v>공구손료</v>
          </cell>
          <cell r="AM3585">
            <v>40922</v>
          </cell>
          <cell r="AN3585">
            <v>0</v>
          </cell>
        </row>
        <row r="3586">
          <cell r="A3586" t="str">
            <v>126-12</v>
          </cell>
          <cell r="B3586">
            <v>556</v>
          </cell>
          <cell r="D3586" t="str">
            <v>통신관련기사</v>
          </cell>
          <cell r="E3586">
            <v>0</v>
          </cell>
          <cell r="F3586" t="str">
            <v>인</v>
          </cell>
          <cell r="H3586">
            <v>1.73</v>
          </cell>
          <cell r="I3586" t="str">
            <v>x</v>
          </cell>
          <cell r="J3586">
            <v>0.03</v>
          </cell>
          <cell r="V3586" t="str">
            <v>=</v>
          </cell>
          <cell r="W3586">
            <v>0.05</v>
          </cell>
          <cell r="Y3586" t="str">
            <v>기본</v>
          </cell>
          <cell r="Z3586" t="str">
            <v>x</v>
          </cell>
          <cell r="AA3586" t="str">
            <v>공구손료</v>
          </cell>
          <cell r="AM3586">
            <v>92355</v>
          </cell>
          <cell r="AN3586">
            <v>0</v>
          </cell>
        </row>
        <row r="3587">
          <cell r="AM3587">
            <v>0</v>
          </cell>
        </row>
        <row r="3588">
          <cell r="AM3588">
            <v>0</v>
          </cell>
        </row>
        <row r="3589">
          <cell r="AM3589">
            <v>0</v>
          </cell>
        </row>
        <row r="3590">
          <cell r="AM3590">
            <v>0</v>
          </cell>
        </row>
        <row r="3591">
          <cell r="AM3591">
            <v>0</v>
          </cell>
        </row>
        <row r="3592">
          <cell r="AM3592">
            <v>0</v>
          </cell>
        </row>
        <row r="3593">
          <cell r="AM3593">
            <v>0</v>
          </cell>
          <cell r="AN3593">
            <v>0</v>
          </cell>
        </row>
        <row r="3594">
          <cell r="A3594">
            <v>127</v>
          </cell>
          <cell r="C3594">
            <v>127</v>
          </cell>
          <cell r="D3594" t="str">
            <v>일반 역화상 제어 장치 신설</v>
          </cell>
          <cell r="E3594" t="str">
            <v>종합사령실</v>
          </cell>
          <cell r="F3594" t="str">
            <v>식</v>
          </cell>
          <cell r="AM3594">
            <v>0</v>
          </cell>
          <cell r="AN3594">
            <v>0</v>
          </cell>
        </row>
        <row r="3595">
          <cell r="A3595" t="str">
            <v>127-1</v>
          </cell>
          <cell r="B3595">
            <v>541</v>
          </cell>
          <cell r="D3595" t="str">
            <v>가. 재료비</v>
          </cell>
          <cell r="E3595">
            <v>0</v>
          </cell>
          <cell r="F3595">
            <v>0</v>
          </cell>
          <cell r="AM3595">
            <v>0</v>
          </cell>
          <cell r="AN3595">
            <v>0</v>
          </cell>
        </row>
        <row r="3596">
          <cell r="A3596" t="str">
            <v>127-2</v>
          </cell>
          <cell r="B3596">
            <v>316</v>
          </cell>
          <cell r="D3596" t="str">
            <v xml:space="preserve">일반 역화상 제어 장치 </v>
          </cell>
          <cell r="E3596">
            <v>0</v>
          </cell>
          <cell r="F3596" t="str">
            <v>식</v>
          </cell>
          <cell r="V3596" t="str">
            <v>=</v>
          </cell>
          <cell r="W3596">
            <v>1</v>
          </cell>
          <cell r="AM3596">
            <v>81000000</v>
          </cell>
          <cell r="AN3596">
            <v>0</v>
          </cell>
        </row>
        <row r="3597">
          <cell r="A3597" t="str">
            <v>127-3</v>
          </cell>
          <cell r="B3597">
            <v>542</v>
          </cell>
          <cell r="D3597" t="str">
            <v>나. 노무비</v>
          </cell>
          <cell r="E3597">
            <v>0</v>
          </cell>
          <cell r="F3597">
            <v>0</v>
          </cell>
          <cell r="AL3597" t="str">
            <v>통5-78-나,다</v>
          </cell>
          <cell r="AM3597">
            <v>0</v>
          </cell>
          <cell r="AN3597">
            <v>0</v>
          </cell>
        </row>
        <row r="3598">
          <cell r="D3598" t="str">
            <v>1) 설치</v>
          </cell>
          <cell r="AM3598">
            <v>0</v>
          </cell>
        </row>
        <row r="3599">
          <cell r="B3599">
            <v>517</v>
          </cell>
          <cell r="D3599" t="str">
            <v>통신설비공</v>
          </cell>
          <cell r="E3599">
            <v>0</v>
          </cell>
          <cell r="F3599" t="str">
            <v>인</v>
          </cell>
          <cell r="H3599" t="str">
            <v xml:space="preserve">0.7 + 0.3 + 0.17 + 0.16 + 0.2 + 0.2 </v>
          </cell>
          <cell r="V3599" t="str">
            <v>=</v>
          </cell>
          <cell r="W3599">
            <v>1.73</v>
          </cell>
          <cell r="AM3599">
            <v>77401</v>
          </cell>
          <cell r="AN3599">
            <v>0</v>
          </cell>
        </row>
        <row r="3600">
          <cell r="B3600">
            <v>555</v>
          </cell>
          <cell r="D3600" t="str">
            <v>통신관련산업기사</v>
          </cell>
          <cell r="E3600">
            <v>0</v>
          </cell>
          <cell r="F3600" t="str">
            <v>인</v>
          </cell>
          <cell r="H3600">
            <v>0.3</v>
          </cell>
          <cell r="V3600" t="str">
            <v>=</v>
          </cell>
          <cell r="W3600">
            <v>0.3</v>
          </cell>
          <cell r="AM3600">
            <v>91949</v>
          </cell>
          <cell r="AN3600">
            <v>0</v>
          </cell>
        </row>
        <row r="3601">
          <cell r="D3601" t="str">
            <v>2) 조정</v>
          </cell>
          <cell r="AM3601">
            <v>0</v>
          </cell>
        </row>
        <row r="3602">
          <cell r="B3602">
            <v>556</v>
          </cell>
          <cell r="D3602" t="str">
            <v>통신관련기사</v>
          </cell>
          <cell r="E3602">
            <v>0</v>
          </cell>
          <cell r="F3602" t="str">
            <v>인</v>
          </cell>
          <cell r="H3602" t="str">
            <v xml:space="preserve">0.7 + 0.3 + 0.17 + 0.16 + 0.2 + 0.2 </v>
          </cell>
          <cell r="V3602" t="str">
            <v>=</v>
          </cell>
          <cell r="W3602">
            <v>1.73</v>
          </cell>
          <cell r="AM3602">
            <v>92355</v>
          </cell>
          <cell r="AN3602">
            <v>0</v>
          </cell>
        </row>
        <row r="3603">
          <cell r="B3603">
            <v>544</v>
          </cell>
          <cell r="D3603" t="str">
            <v>소    계</v>
          </cell>
          <cell r="E3603">
            <v>0</v>
          </cell>
          <cell r="F3603">
            <v>0</v>
          </cell>
          <cell r="AM3603">
            <v>0</v>
          </cell>
          <cell r="AN3603">
            <v>0</v>
          </cell>
        </row>
        <row r="3604">
          <cell r="A3604" t="str">
            <v>127-4</v>
          </cell>
          <cell r="B3604">
            <v>517</v>
          </cell>
          <cell r="D3604" t="str">
            <v>통신설비공</v>
          </cell>
          <cell r="E3604">
            <v>0</v>
          </cell>
          <cell r="F3604" t="str">
            <v>인</v>
          </cell>
          <cell r="V3604" t="str">
            <v>=</v>
          </cell>
          <cell r="W3604">
            <v>1.73</v>
          </cell>
          <cell r="AM3604">
            <v>77401</v>
          </cell>
          <cell r="AN3604">
            <v>0</v>
          </cell>
        </row>
        <row r="3605">
          <cell r="A3605" t="str">
            <v>127-5</v>
          </cell>
          <cell r="B3605">
            <v>555</v>
          </cell>
          <cell r="D3605" t="str">
            <v>통신관련산업기사</v>
          </cell>
          <cell r="E3605">
            <v>0</v>
          </cell>
          <cell r="F3605" t="str">
            <v>인</v>
          </cell>
          <cell r="V3605" t="str">
            <v>=</v>
          </cell>
          <cell r="W3605">
            <v>0.3</v>
          </cell>
          <cell r="AM3605">
            <v>91949</v>
          </cell>
          <cell r="AN3605">
            <v>0</v>
          </cell>
        </row>
        <row r="3606">
          <cell r="A3606" t="str">
            <v>127-6</v>
          </cell>
          <cell r="B3606">
            <v>556</v>
          </cell>
          <cell r="D3606" t="str">
            <v>통신관련기사</v>
          </cell>
          <cell r="E3606">
            <v>0</v>
          </cell>
          <cell r="F3606" t="str">
            <v>인</v>
          </cell>
          <cell r="V3606" t="str">
            <v>=</v>
          </cell>
          <cell r="W3606">
            <v>1.73</v>
          </cell>
          <cell r="AM3606">
            <v>92355</v>
          </cell>
          <cell r="AN3606">
            <v>0</v>
          </cell>
        </row>
        <row r="3607">
          <cell r="A3607" t="str">
            <v>127-7</v>
          </cell>
          <cell r="B3607">
            <v>543</v>
          </cell>
          <cell r="D3607" t="str">
            <v>다. 공구손료</v>
          </cell>
          <cell r="E3607" t="str">
            <v>노무비x3%</v>
          </cell>
          <cell r="F3607">
            <v>0</v>
          </cell>
          <cell r="AM3607">
            <v>0</v>
          </cell>
          <cell r="AN3607">
            <v>0</v>
          </cell>
        </row>
        <row r="3608">
          <cell r="A3608" t="str">
            <v>127-8</v>
          </cell>
          <cell r="B3608">
            <v>517</v>
          </cell>
          <cell r="D3608" t="str">
            <v>통신설비공</v>
          </cell>
          <cell r="E3608">
            <v>0</v>
          </cell>
          <cell r="F3608" t="str">
            <v>인</v>
          </cell>
          <cell r="H3608">
            <v>1.73</v>
          </cell>
          <cell r="I3608" t="str">
            <v>x</v>
          </cell>
          <cell r="J3608">
            <v>0.03</v>
          </cell>
          <cell r="V3608" t="str">
            <v>=</v>
          </cell>
          <cell r="W3608">
            <v>0.05</v>
          </cell>
          <cell r="Y3608" t="str">
            <v>기본</v>
          </cell>
          <cell r="Z3608" t="str">
            <v>x</v>
          </cell>
          <cell r="AA3608" t="str">
            <v>공구손료</v>
          </cell>
          <cell r="AM3608">
            <v>77401</v>
          </cell>
          <cell r="AN3608">
            <v>0</v>
          </cell>
        </row>
        <row r="3609">
          <cell r="A3609" t="str">
            <v>127-9</v>
          </cell>
          <cell r="B3609">
            <v>555</v>
          </cell>
          <cell r="D3609" t="str">
            <v>통신관련산업기사</v>
          </cell>
          <cell r="E3609">
            <v>0</v>
          </cell>
          <cell r="F3609" t="str">
            <v>인</v>
          </cell>
          <cell r="H3609">
            <v>0.3</v>
          </cell>
          <cell r="I3609" t="str">
            <v>x</v>
          </cell>
          <cell r="J3609">
            <v>0.03</v>
          </cell>
          <cell r="V3609" t="str">
            <v>=</v>
          </cell>
          <cell r="W3609">
            <v>0.01</v>
          </cell>
          <cell r="Y3609" t="str">
            <v>기본</v>
          </cell>
          <cell r="Z3609" t="str">
            <v>x</v>
          </cell>
          <cell r="AA3609" t="str">
            <v>공구손료</v>
          </cell>
          <cell r="AM3609">
            <v>91949</v>
          </cell>
          <cell r="AN3609">
            <v>0</v>
          </cell>
        </row>
        <row r="3610">
          <cell r="A3610" t="str">
            <v>127-10</v>
          </cell>
          <cell r="B3610">
            <v>556</v>
          </cell>
          <cell r="D3610" t="str">
            <v>통신관련기사</v>
          </cell>
          <cell r="E3610">
            <v>0</v>
          </cell>
          <cell r="F3610" t="str">
            <v>인</v>
          </cell>
          <cell r="H3610">
            <v>1.73</v>
          </cell>
          <cell r="I3610" t="str">
            <v>x</v>
          </cell>
          <cell r="J3610">
            <v>0.03</v>
          </cell>
          <cell r="V3610" t="str">
            <v>=</v>
          </cell>
          <cell r="W3610">
            <v>0.05</v>
          </cell>
          <cell r="Y3610" t="str">
            <v>기본</v>
          </cell>
          <cell r="Z3610" t="str">
            <v>x</v>
          </cell>
          <cell r="AA3610" t="str">
            <v>공구손료</v>
          </cell>
          <cell r="AM3610">
            <v>92355</v>
          </cell>
          <cell r="AN3610">
            <v>0</v>
          </cell>
        </row>
        <row r="3611">
          <cell r="AM3611">
            <v>0</v>
          </cell>
        </row>
        <row r="3612">
          <cell r="AM3612">
            <v>0</v>
          </cell>
        </row>
        <row r="3613">
          <cell r="AM3613">
            <v>0</v>
          </cell>
        </row>
        <row r="3614">
          <cell r="AM3614">
            <v>0</v>
          </cell>
        </row>
        <row r="3615">
          <cell r="AM3615">
            <v>0</v>
          </cell>
        </row>
        <row r="3616">
          <cell r="AM3616">
            <v>0</v>
          </cell>
        </row>
        <row r="3617">
          <cell r="AM3617">
            <v>0</v>
          </cell>
        </row>
        <row r="3618">
          <cell r="AM3618">
            <v>0</v>
          </cell>
        </row>
        <row r="3619">
          <cell r="AM3619">
            <v>0</v>
          </cell>
        </row>
        <row r="3620">
          <cell r="AM3620">
            <v>0</v>
          </cell>
          <cell r="AN3620">
            <v>0</v>
          </cell>
        </row>
        <row r="3621">
          <cell r="A3621">
            <v>128</v>
          </cell>
          <cell r="C3621">
            <v>128</v>
          </cell>
          <cell r="D3621" t="str">
            <v>대열차공간 화상전송 설비</v>
          </cell>
          <cell r="E3621" t="str">
            <v>송신장치(역사)</v>
          </cell>
          <cell r="F3621" t="str">
            <v>식</v>
          </cell>
          <cell r="AM3621">
            <v>0</v>
          </cell>
          <cell r="AN3621">
            <v>0</v>
          </cell>
        </row>
        <row r="3622">
          <cell r="A3622" t="str">
            <v>128-1</v>
          </cell>
          <cell r="B3622">
            <v>541</v>
          </cell>
          <cell r="D3622" t="str">
            <v>가. 재료비</v>
          </cell>
          <cell r="E3622">
            <v>0</v>
          </cell>
          <cell r="F3622">
            <v>0</v>
          </cell>
          <cell r="AM3622">
            <v>0</v>
          </cell>
          <cell r="AN3622">
            <v>0</v>
          </cell>
        </row>
        <row r="3623">
          <cell r="A3623" t="str">
            <v>128-2</v>
          </cell>
          <cell r="B3623">
            <v>317</v>
          </cell>
          <cell r="D3623" t="str">
            <v>대열차공간 화상전송 설비</v>
          </cell>
          <cell r="E3623" t="str">
            <v>송신장치(역사)</v>
          </cell>
          <cell r="F3623" t="str">
            <v>식</v>
          </cell>
          <cell r="V3623" t="str">
            <v>=</v>
          </cell>
          <cell r="W3623">
            <v>1</v>
          </cell>
          <cell r="AM3623">
            <v>81000000</v>
          </cell>
          <cell r="AN3623">
            <v>0</v>
          </cell>
        </row>
        <row r="3624">
          <cell r="A3624" t="str">
            <v>128-3</v>
          </cell>
          <cell r="B3624">
            <v>542</v>
          </cell>
          <cell r="D3624" t="str">
            <v>나. 노무비</v>
          </cell>
          <cell r="E3624">
            <v>0</v>
          </cell>
          <cell r="F3624">
            <v>0</v>
          </cell>
          <cell r="AL3624" t="str">
            <v>통 5-78-나</v>
          </cell>
          <cell r="AM3624">
            <v>0</v>
          </cell>
          <cell r="AN3624">
            <v>0</v>
          </cell>
        </row>
        <row r="3625">
          <cell r="D3625" t="str">
            <v>1) 설치</v>
          </cell>
          <cell r="AM3625">
            <v>0</v>
          </cell>
        </row>
        <row r="3626">
          <cell r="B3626">
            <v>527</v>
          </cell>
          <cell r="D3626" t="str">
            <v>H/W설치사</v>
          </cell>
          <cell r="E3626">
            <v>0</v>
          </cell>
          <cell r="F3626" t="str">
            <v>인</v>
          </cell>
          <cell r="H3626">
            <v>1.4</v>
          </cell>
          <cell r="I3626" t="str">
            <v>+</v>
          </cell>
          <cell r="J3626">
            <v>0.4</v>
          </cell>
          <cell r="V3626" t="str">
            <v>=</v>
          </cell>
          <cell r="W3626">
            <v>1.7999999999999998</v>
          </cell>
          <cell r="AM3626">
            <v>82720</v>
          </cell>
          <cell r="AN3626">
            <v>0</v>
          </cell>
        </row>
        <row r="3627">
          <cell r="B3627">
            <v>555</v>
          </cell>
          <cell r="D3627" t="str">
            <v>통신관련산업기사</v>
          </cell>
          <cell r="E3627">
            <v>0</v>
          </cell>
          <cell r="F3627" t="str">
            <v>인</v>
          </cell>
          <cell r="H3627">
            <v>0.2</v>
          </cell>
          <cell r="I3627" t="str">
            <v>+</v>
          </cell>
          <cell r="J3627">
            <v>0.05</v>
          </cell>
          <cell r="V3627" t="str">
            <v>=</v>
          </cell>
          <cell r="W3627">
            <v>0.25</v>
          </cell>
          <cell r="AM3627">
            <v>91949</v>
          </cell>
        </row>
        <row r="3628">
          <cell r="D3628" t="str">
            <v>2) 조정</v>
          </cell>
          <cell r="AM3628">
            <v>0</v>
          </cell>
        </row>
        <row r="3629">
          <cell r="B3629">
            <v>555</v>
          </cell>
          <cell r="D3629" t="str">
            <v>통신관련산업기사</v>
          </cell>
          <cell r="E3629">
            <v>0</v>
          </cell>
          <cell r="F3629" t="str">
            <v>인</v>
          </cell>
          <cell r="H3629">
            <v>0.7</v>
          </cell>
          <cell r="I3629" t="str">
            <v>+</v>
          </cell>
          <cell r="J3629">
            <v>0.08</v>
          </cell>
          <cell r="K3629" t="str">
            <v>+</v>
          </cell>
          <cell r="M3629">
            <v>0.4</v>
          </cell>
          <cell r="V3629" t="str">
            <v>=</v>
          </cell>
          <cell r="W3629">
            <v>1.18</v>
          </cell>
          <cell r="AM3629">
            <v>91949</v>
          </cell>
        </row>
        <row r="3630">
          <cell r="B3630">
            <v>556</v>
          </cell>
          <cell r="D3630" t="str">
            <v>통신관련기사</v>
          </cell>
          <cell r="E3630">
            <v>0</v>
          </cell>
          <cell r="F3630" t="str">
            <v>인</v>
          </cell>
          <cell r="H3630">
            <v>0.4</v>
          </cell>
          <cell r="V3630" t="str">
            <v>=</v>
          </cell>
          <cell r="W3630">
            <v>0.4</v>
          </cell>
          <cell r="AM3630">
            <v>92355</v>
          </cell>
        </row>
        <row r="3631">
          <cell r="B3631">
            <v>544</v>
          </cell>
          <cell r="D3631" t="str">
            <v>소    계</v>
          </cell>
          <cell r="E3631">
            <v>0</v>
          </cell>
          <cell r="F3631">
            <v>0</v>
          </cell>
          <cell r="AM3631">
            <v>0</v>
          </cell>
          <cell r="AN3631">
            <v>0</v>
          </cell>
        </row>
        <row r="3632">
          <cell r="A3632" t="str">
            <v>128-4</v>
          </cell>
          <cell r="B3632">
            <v>527</v>
          </cell>
          <cell r="D3632" t="str">
            <v>H/W설치사</v>
          </cell>
          <cell r="E3632">
            <v>0</v>
          </cell>
          <cell r="F3632" t="str">
            <v>인</v>
          </cell>
          <cell r="V3632" t="str">
            <v>=</v>
          </cell>
          <cell r="W3632">
            <v>1.7999999999999998</v>
          </cell>
          <cell r="AM3632">
            <v>82720</v>
          </cell>
          <cell r="AN3632">
            <v>0</v>
          </cell>
        </row>
        <row r="3633">
          <cell r="A3633" t="str">
            <v>128-5</v>
          </cell>
          <cell r="B3633">
            <v>555</v>
          </cell>
          <cell r="D3633" t="str">
            <v>통신관련산업기사</v>
          </cell>
          <cell r="E3633">
            <v>0</v>
          </cell>
          <cell r="F3633" t="str">
            <v>인</v>
          </cell>
          <cell r="V3633" t="str">
            <v>=</v>
          </cell>
          <cell r="W3633">
            <v>1.43</v>
          </cell>
          <cell r="AM3633">
            <v>91949</v>
          </cell>
          <cell r="AN3633">
            <v>0</v>
          </cell>
        </row>
        <row r="3634">
          <cell r="A3634" t="str">
            <v>128-6</v>
          </cell>
          <cell r="B3634">
            <v>556</v>
          </cell>
          <cell r="D3634" t="str">
            <v>통신관련기사</v>
          </cell>
          <cell r="E3634">
            <v>0</v>
          </cell>
          <cell r="F3634" t="str">
            <v>인</v>
          </cell>
          <cell r="V3634" t="str">
            <v>=</v>
          </cell>
          <cell r="W3634">
            <v>0.4</v>
          </cell>
          <cell r="AM3634">
            <v>92355</v>
          </cell>
          <cell r="AN3634">
            <v>0</v>
          </cell>
        </row>
        <row r="3635">
          <cell r="A3635" t="str">
            <v>128-7</v>
          </cell>
          <cell r="B3635">
            <v>543</v>
          </cell>
          <cell r="D3635" t="str">
            <v>다. 공구손료</v>
          </cell>
          <cell r="E3635" t="str">
            <v>노무비x3%</v>
          </cell>
          <cell r="F3635">
            <v>0</v>
          </cell>
          <cell r="AM3635">
            <v>0</v>
          </cell>
          <cell r="AN3635">
            <v>0</v>
          </cell>
        </row>
        <row r="3636">
          <cell r="A3636" t="str">
            <v>128-8</v>
          </cell>
          <cell r="B3636">
            <v>527</v>
          </cell>
          <cell r="D3636" t="str">
            <v>H/W설치사</v>
          </cell>
          <cell r="E3636">
            <v>0</v>
          </cell>
          <cell r="F3636" t="str">
            <v>인</v>
          </cell>
          <cell r="H3636">
            <v>1.7999999999999998</v>
          </cell>
          <cell r="I3636" t="str">
            <v>x</v>
          </cell>
          <cell r="J3636">
            <v>0.03</v>
          </cell>
          <cell r="V3636" t="str">
            <v>=</v>
          </cell>
          <cell r="W3636">
            <v>0.05</v>
          </cell>
          <cell r="Y3636" t="str">
            <v>기본</v>
          </cell>
          <cell r="Z3636" t="str">
            <v>x</v>
          </cell>
          <cell r="AA3636" t="str">
            <v>공구손료</v>
          </cell>
          <cell r="AM3636">
            <v>82720</v>
          </cell>
          <cell r="AN3636">
            <v>0</v>
          </cell>
        </row>
        <row r="3637">
          <cell r="A3637" t="str">
            <v>128-9</v>
          </cell>
          <cell r="B3637">
            <v>555</v>
          </cell>
          <cell r="D3637" t="str">
            <v>통신관련산업기사</v>
          </cell>
          <cell r="E3637">
            <v>0</v>
          </cell>
          <cell r="F3637" t="str">
            <v>인</v>
          </cell>
          <cell r="H3637">
            <v>1.43</v>
          </cell>
          <cell r="I3637" t="str">
            <v>x</v>
          </cell>
          <cell r="J3637">
            <v>0.03</v>
          </cell>
          <cell r="V3637" t="str">
            <v>=</v>
          </cell>
          <cell r="W3637">
            <v>0.04</v>
          </cell>
          <cell r="Y3637" t="str">
            <v>기본</v>
          </cell>
          <cell r="Z3637" t="str">
            <v>x</v>
          </cell>
          <cell r="AA3637" t="str">
            <v>공구손료</v>
          </cell>
          <cell r="AM3637">
            <v>91949</v>
          </cell>
          <cell r="AN3637">
            <v>0</v>
          </cell>
        </row>
        <row r="3638">
          <cell r="A3638" t="str">
            <v>128-10</v>
          </cell>
          <cell r="B3638">
            <v>556</v>
          </cell>
          <cell r="D3638" t="str">
            <v>통신관련기사</v>
          </cell>
          <cell r="E3638">
            <v>0</v>
          </cell>
          <cell r="F3638" t="str">
            <v>인</v>
          </cell>
          <cell r="H3638">
            <v>0.4</v>
          </cell>
          <cell r="I3638" t="str">
            <v>x</v>
          </cell>
          <cell r="J3638">
            <v>0.03</v>
          </cell>
          <cell r="V3638" t="str">
            <v>=</v>
          </cell>
          <cell r="W3638">
            <v>0.01</v>
          </cell>
          <cell r="Y3638" t="str">
            <v>기본</v>
          </cell>
          <cell r="Z3638" t="str">
            <v>x</v>
          </cell>
          <cell r="AA3638" t="str">
            <v>공구손료</v>
          </cell>
          <cell r="AM3638">
            <v>92355</v>
          </cell>
          <cell r="AN3638">
            <v>0</v>
          </cell>
        </row>
        <row r="3639">
          <cell r="AM3639">
            <v>0</v>
          </cell>
        </row>
        <row r="3640">
          <cell r="AM3640">
            <v>0</v>
          </cell>
        </row>
        <row r="3641">
          <cell r="AM3641">
            <v>0</v>
          </cell>
        </row>
        <row r="3642">
          <cell r="AM3642">
            <v>0</v>
          </cell>
        </row>
        <row r="3643">
          <cell r="AM3643">
            <v>0</v>
          </cell>
        </row>
        <row r="3644">
          <cell r="AM3644">
            <v>0</v>
          </cell>
        </row>
        <row r="3645">
          <cell r="AM3645">
            <v>0</v>
          </cell>
        </row>
        <row r="3646">
          <cell r="AM3646">
            <v>0</v>
          </cell>
        </row>
        <row r="3647">
          <cell r="AM3647">
            <v>0</v>
          </cell>
          <cell r="AN3647">
            <v>0</v>
          </cell>
        </row>
        <row r="3648">
          <cell r="A3648">
            <v>129</v>
          </cell>
          <cell r="C3648">
            <v>129</v>
          </cell>
          <cell r="D3648" t="str">
            <v>대열차공간 화상전송 설비</v>
          </cell>
          <cell r="E3648" t="str">
            <v>수신장치(차량)</v>
          </cell>
          <cell r="F3648" t="str">
            <v>식</v>
          </cell>
          <cell r="AM3648">
            <v>0</v>
          </cell>
          <cell r="AN3648">
            <v>0</v>
          </cell>
        </row>
        <row r="3649">
          <cell r="A3649" t="str">
            <v>129-1</v>
          </cell>
          <cell r="B3649">
            <v>541</v>
          </cell>
          <cell r="D3649" t="str">
            <v>가. 재료비</v>
          </cell>
          <cell r="E3649">
            <v>0</v>
          </cell>
          <cell r="F3649">
            <v>0</v>
          </cell>
          <cell r="AM3649">
            <v>0</v>
          </cell>
          <cell r="AN3649">
            <v>0</v>
          </cell>
        </row>
        <row r="3650">
          <cell r="A3650" t="str">
            <v>129-2</v>
          </cell>
          <cell r="B3650">
            <v>318</v>
          </cell>
          <cell r="D3650" t="str">
            <v>대열차공간 화상전송 설비</v>
          </cell>
          <cell r="E3650" t="str">
            <v>수신장치(차량)</v>
          </cell>
          <cell r="F3650" t="str">
            <v>식</v>
          </cell>
          <cell r="V3650" t="str">
            <v>=</v>
          </cell>
          <cell r="W3650">
            <v>1</v>
          </cell>
          <cell r="AM3650">
            <v>4950000</v>
          </cell>
          <cell r="AN3650">
            <v>0</v>
          </cell>
        </row>
        <row r="3651">
          <cell r="AM3651">
            <v>0</v>
          </cell>
        </row>
        <row r="3652">
          <cell r="AM3652">
            <v>0</v>
          </cell>
        </row>
        <row r="3653">
          <cell r="AM3653">
            <v>0</v>
          </cell>
        </row>
        <row r="3654">
          <cell r="AM3654">
            <v>0</v>
          </cell>
        </row>
        <row r="3655">
          <cell r="AM3655">
            <v>0</v>
          </cell>
        </row>
        <row r="3656">
          <cell r="AM3656">
            <v>0</v>
          </cell>
        </row>
        <row r="3657">
          <cell r="AM3657">
            <v>0</v>
          </cell>
        </row>
        <row r="3658">
          <cell r="AM3658">
            <v>0</v>
          </cell>
        </row>
        <row r="3659">
          <cell r="AM3659">
            <v>0</v>
          </cell>
        </row>
        <row r="3660">
          <cell r="AM3660">
            <v>0</v>
          </cell>
        </row>
        <row r="3661">
          <cell r="AM3661">
            <v>0</v>
          </cell>
        </row>
        <row r="3662">
          <cell r="AM3662">
            <v>0</v>
          </cell>
        </row>
        <row r="3663">
          <cell r="AM3663">
            <v>0</v>
          </cell>
        </row>
        <row r="3664">
          <cell r="AM3664">
            <v>0</v>
          </cell>
        </row>
        <row r="3665">
          <cell r="AM3665">
            <v>0</v>
          </cell>
        </row>
        <row r="3666">
          <cell r="AM3666">
            <v>0</v>
          </cell>
        </row>
        <row r="3667">
          <cell r="AM3667">
            <v>0</v>
          </cell>
        </row>
        <row r="3668">
          <cell r="AM3668">
            <v>0</v>
          </cell>
        </row>
        <row r="3669">
          <cell r="AM3669">
            <v>0</v>
          </cell>
        </row>
        <row r="3670">
          <cell r="AM3670">
            <v>0</v>
          </cell>
        </row>
        <row r="3671">
          <cell r="AM3671">
            <v>0</v>
          </cell>
        </row>
        <row r="3672">
          <cell r="AM3672">
            <v>0</v>
          </cell>
        </row>
        <row r="3673">
          <cell r="AM3673">
            <v>0</v>
          </cell>
        </row>
        <row r="3674">
          <cell r="AM3674">
            <v>0</v>
          </cell>
          <cell r="AN3674">
            <v>0</v>
          </cell>
        </row>
        <row r="3675">
          <cell r="A3675">
            <v>130</v>
          </cell>
          <cell r="C3675">
            <v>130</v>
          </cell>
          <cell r="D3675" t="str">
            <v>화상 송신장치 신설</v>
          </cell>
          <cell r="E3675" t="str">
            <v>각 역사(4CH)</v>
          </cell>
          <cell r="F3675" t="str">
            <v>대</v>
          </cell>
          <cell r="AM3675">
            <v>0</v>
          </cell>
          <cell r="AN3675">
            <v>0</v>
          </cell>
        </row>
        <row r="3676">
          <cell r="A3676" t="str">
            <v>130-1</v>
          </cell>
          <cell r="B3676">
            <v>541</v>
          </cell>
          <cell r="D3676" t="str">
            <v>가. 재료비</v>
          </cell>
          <cell r="E3676">
            <v>0</v>
          </cell>
          <cell r="F3676">
            <v>0</v>
          </cell>
          <cell r="AM3676">
            <v>0</v>
          </cell>
          <cell r="AN3676">
            <v>0</v>
          </cell>
        </row>
        <row r="3677">
          <cell r="A3677" t="str">
            <v>130-2</v>
          </cell>
          <cell r="B3677">
            <v>319</v>
          </cell>
          <cell r="D3677" t="str">
            <v xml:space="preserve">화상 송신장치 </v>
          </cell>
          <cell r="E3677" t="str">
            <v>각 역사(4CH)</v>
          </cell>
          <cell r="F3677" t="str">
            <v>대</v>
          </cell>
          <cell r="V3677" t="str">
            <v>=</v>
          </cell>
          <cell r="W3677">
            <v>1</v>
          </cell>
          <cell r="AM3677">
            <v>11700000</v>
          </cell>
          <cell r="AN3677">
            <v>0</v>
          </cell>
        </row>
        <row r="3678">
          <cell r="A3678" t="str">
            <v>130-3</v>
          </cell>
          <cell r="B3678">
            <v>542</v>
          </cell>
          <cell r="D3678" t="str">
            <v>나. 노무비</v>
          </cell>
          <cell r="E3678">
            <v>0</v>
          </cell>
          <cell r="F3678">
            <v>0</v>
          </cell>
          <cell r="AL3678" t="str">
            <v>통5-78-나</v>
          </cell>
          <cell r="AM3678">
            <v>0</v>
          </cell>
          <cell r="AN3678">
            <v>0</v>
          </cell>
        </row>
        <row r="3679">
          <cell r="D3679" t="str">
            <v>1) 설치</v>
          </cell>
          <cell r="AM3679">
            <v>0</v>
          </cell>
        </row>
        <row r="3680">
          <cell r="B3680">
            <v>527</v>
          </cell>
          <cell r="D3680" t="str">
            <v>H/W설치사</v>
          </cell>
          <cell r="E3680">
            <v>0</v>
          </cell>
          <cell r="F3680" t="str">
            <v>인</v>
          </cell>
          <cell r="H3680">
            <v>1.4</v>
          </cell>
          <cell r="I3680" t="str">
            <v>+</v>
          </cell>
          <cell r="J3680">
            <v>0.4</v>
          </cell>
          <cell r="V3680" t="str">
            <v>=</v>
          </cell>
          <cell r="W3680">
            <v>1.7999999999999998</v>
          </cell>
          <cell r="AM3680">
            <v>82720</v>
          </cell>
          <cell r="AN3680">
            <v>0</v>
          </cell>
        </row>
        <row r="3681">
          <cell r="B3681">
            <v>555</v>
          </cell>
          <cell r="D3681" t="str">
            <v>통신관련산업기사</v>
          </cell>
          <cell r="E3681">
            <v>0</v>
          </cell>
          <cell r="F3681" t="str">
            <v>인</v>
          </cell>
          <cell r="H3681">
            <v>0.2</v>
          </cell>
          <cell r="I3681" t="str">
            <v>+</v>
          </cell>
          <cell r="J3681">
            <v>0.05</v>
          </cell>
          <cell r="V3681" t="str">
            <v>=</v>
          </cell>
          <cell r="W3681">
            <v>0.25</v>
          </cell>
          <cell r="AM3681">
            <v>91949</v>
          </cell>
        </row>
        <row r="3682">
          <cell r="D3682" t="str">
            <v>2) 조정</v>
          </cell>
          <cell r="AM3682">
            <v>0</v>
          </cell>
        </row>
        <row r="3683">
          <cell r="B3683">
            <v>555</v>
          </cell>
          <cell r="D3683" t="str">
            <v>통신관련산업기사</v>
          </cell>
          <cell r="E3683">
            <v>0</v>
          </cell>
          <cell r="F3683" t="str">
            <v>인</v>
          </cell>
          <cell r="H3683">
            <v>0.7</v>
          </cell>
          <cell r="I3683" t="str">
            <v>+</v>
          </cell>
          <cell r="J3683">
            <v>0.08</v>
          </cell>
          <cell r="K3683" t="str">
            <v>+</v>
          </cell>
          <cell r="M3683">
            <v>0.4</v>
          </cell>
          <cell r="V3683" t="str">
            <v>=</v>
          </cell>
          <cell r="W3683">
            <v>1.18</v>
          </cell>
          <cell r="AM3683">
            <v>91949</v>
          </cell>
        </row>
        <row r="3684">
          <cell r="B3684">
            <v>556</v>
          </cell>
          <cell r="D3684" t="str">
            <v>통신관련기사</v>
          </cell>
          <cell r="E3684">
            <v>0</v>
          </cell>
          <cell r="F3684" t="str">
            <v>인</v>
          </cell>
          <cell r="H3684">
            <v>0.4</v>
          </cell>
          <cell r="V3684" t="str">
            <v>=</v>
          </cell>
          <cell r="W3684">
            <v>0.4</v>
          </cell>
          <cell r="AM3684">
            <v>92355</v>
          </cell>
        </row>
        <row r="3685">
          <cell r="B3685">
            <v>544</v>
          </cell>
          <cell r="D3685" t="str">
            <v>소    계</v>
          </cell>
          <cell r="E3685">
            <v>0</v>
          </cell>
          <cell r="F3685">
            <v>0</v>
          </cell>
          <cell r="AM3685">
            <v>0</v>
          </cell>
          <cell r="AN3685">
            <v>0</v>
          </cell>
        </row>
        <row r="3686">
          <cell r="A3686" t="str">
            <v>130-4</v>
          </cell>
          <cell r="B3686">
            <v>527</v>
          </cell>
          <cell r="D3686" t="str">
            <v>H/W설치사</v>
          </cell>
          <cell r="E3686">
            <v>0</v>
          </cell>
          <cell r="F3686" t="str">
            <v>인</v>
          </cell>
          <cell r="V3686" t="str">
            <v>=</v>
          </cell>
          <cell r="W3686">
            <v>1.7999999999999998</v>
          </cell>
          <cell r="AM3686">
            <v>82720</v>
          </cell>
          <cell r="AN3686">
            <v>0</v>
          </cell>
        </row>
        <row r="3687">
          <cell r="A3687" t="str">
            <v>130-5</v>
          </cell>
          <cell r="B3687">
            <v>555</v>
          </cell>
          <cell r="D3687" t="str">
            <v>통신관련산업기사</v>
          </cell>
          <cell r="E3687">
            <v>0</v>
          </cell>
          <cell r="F3687" t="str">
            <v>인</v>
          </cell>
          <cell r="V3687" t="str">
            <v>=</v>
          </cell>
          <cell r="W3687">
            <v>1.43</v>
          </cell>
          <cell r="AM3687">
            <v>91949</v>
          </cell>
          <cell r="AN3687">
            <v>0</v>
          </cell>
        </row>
        <row r="3688">
          <cell r="A3688" t="str">
            <v>130-6</v>
          </cell>
          <cell r="B3688">
            <v>556</v>
          </cell>
          <cell r="D3688" t="str">
            <v>통신관련기사</v>
          </cell>
          <cell r="E3688">
            <v>0</v>
          </cell>
          <cell r="F3688" t="str">
            <v>인</v>
          </cell>
          <cell r="V3688" t="str">
            <v>=</v>
          </cell>
          <cell r="W3688">
            <v>0.4</v>
          </cell>
          <cell r="AM3688">
            <v>92355</v>
          </cell>
          <cell r="AN3688">
            <v>0</v>
          </cell>
        </row>
        <row r="3689">
          <cell r="A3689" t="str">
            <v>130-7</v>
          </cell>
          <cell r="B3689">
            <v>543</v>
          </cell>
          <cell r="D3689" t="str">
            <v>다. 공구손료</v>
          </cell>
          <cell r="E3689" t="str">
            <v>노무비x3%</v>
          </cell>
          <cell r="F3689">
            <v>0</v>
          </cell>
          <cell r="AM3689">
            <v>0</v>
          </cell>
          <cell r="AN3689">
            <v>0</v>
          </cell>
        </row>
        <row r="3690">
          <cell r="A3690" t="str">
            <v>130-8</v>
          </cell>
          <cell r="B3690">
            <v>527</v>
          </cell>
          <cell r="D3690" t="str">
            <v>H/W설치사</v>
          </cell>
          <cell r="E3690">
            <v>0</v>
          </cell>
          <cell r="F3690" t="str">
            <v>인</v>
          </cell>
          <cell r="H3690">
            <v>1.7999999999999998</v>
          </cell>
          <cell r="I3690" t="str">
            <v>x</v>
          </cell>
          <cell r="J3690">
            <v>0.03</v>
          </cell>
          <cell r="V3690" t="str">
            <v>=</v>
          </cell>
          <cell r="W3690">
            <v>0.05</v>
          </cell>
          <cell r="Y3690" t="str">
            <v>기본</v>
          </cell>
          <cell r="Z3690" t="str">
            <v>x</v>
          </cell>
          <cell r="AA3690" t="str">
            <v>공구손료</v>
          </cell>
          <cell r="AM3690">
            <v>82720</v>
          </cell>
          <cell r="AN3690">
            <v>0</v>
          </cell>
        </row>
        <row r="3691">
          <cell r="A3691" t="str">
            <v>130-9</v>
          </cell>
          <cell r="B3691">
            <v>555</v>
          </cell>
          <cell r="D3691" t="str">
            <v>통신관련산업기사</v>
          </cell>
          <cell r="E3691">
            <v>0</v>
          </cell>
          <cell r="F3691" t="str">
            <v>인</v>
          </cell>
          <cell r="H3691">
            <v>1.43</v>
          </cell>
          <cell r="I3691" t="str">
            <v>x</v>
          </cell>
          <cell r="J3691">
            <v>0.03</v>
          </cell>
          <cell r="V3691" t="str">
            <v>=</v>
          </cell>
          <cell r="W3691">
            <v>0.04</v>
          </cell>
          <cell r="Y3691" t="str">
            <v>기본</v>
          </cell>
          <cell r="Z3691" t="str">
            <v>x</v>
          </cell>
          <cell r="AA3691" t="str">
            <v>공구손료</v>
          </cell>
          <cell r="AM3691">
            <v>91949</v>
          </cell>
          <cell r="AN3691">
            <v>0</v>
          </cell>
        </row>
        <row r="3692">
          <cell r="A3692" t="str">
            <v>130-10</v>
          </cell>
          <cell r="B3692">
            <v>556</v>
          </cell>
          <cell r="D3692" t="str">
            <v>통신관련기사</v>
          </cell>
          <cell r="E3692">
            <v>0</v>
          </cell>
          <cell r="F3692" t="str">
            <v>인</v>
          </cell>
          <cell r="H3692">
            <v>0.4</v>
          </cell>
          <cell r="I3692" t="str">
            <v>x</v>
          </cell>
          <cell r="J3692">
            <v>0.03</v>
          </cell>
          <cell r="V3692" t="str">
            <v>=</v>
          </cell>
          <cell r="W3692">
            <v>0.01</v>
          </cell>
          <cell r="Y3692" t="str">
            <v>기본</v>
          </cell>
          <cell r="Z3692" t="str">
            <v>x</v>
          </cell>
          <cell r="AA3692" t="str">
            <v>공구손료</v>
          </cell>
          <cell r="AM3692">
            <v>92355</v>
          </cell>
          <cell r="AN3692">
            <v>0</v>
          </cell>
        </row>
        <row r="3693">
          <cell r="AM3693">
            <v>0</v>
          </cell>
        </row>
        <row r="3694">
          <cell r="AM3694">
            <v>0</v>
          </cell>
        </row>
        <row r="3695">
          <cell r="AM3695">
            <v>0</v>
          </cell>
        </row>
        <row r="3696">
          <cell r="AM3696">
            <v>0</v>
          </cell>
        </row>
        <row r="3697">
          <cell r="AM3697">
            <v>0</v>
          </cell>
        </row>
        <row r="3698">
          <cell r="AM3698">
            <v>0</v>
          </cell>
        </row>
        <row r="3699">
          <cell r="AM3699">
            <v>0</v>
          </cell>
        </row>
        <row r="3700">
          <cell r="AM3700">
            <v>0</v>
          </cell>
        </row>
        <row r="3701">
          <cell r="AM3701">
            <v>0</v>
          </cell>
          <cell r="AN3701">
            <v>0</v>
          </cell>
        </row>
        <row r="3702">
          <cell r="A3702">
            <v>131</v>
          </cell>
          <cell r="C3702">
            <v>131</v>
          </cell>
          <cell r="D3702" t="str">
            <v>화상 수신장치 신설</v>
          </cell>
          <cell r="E3702" t="str">
            <v>종합사령실(4CH)</v>
          </cell>
          <cell r="F3702" t="str">
            <v>대</v>
          </cell>
          <cell r="AM3702">
            <v>0</v>
          </cell>
          <cell r="AN3702">
            <v>0</v>
          </cell>
        </row>
        <row r="3703">
          <cell r="A3703" t="str">
            <v>131-1</v>
          </cell>
          <cell r="B3703">
            <v>541</v>
          </cell>
          <cell r="D3703" t="str">
            <v>가. 재료비</v>
          </cell>
          <cell r="E3703">
            <v>0</v>
          </cell>
          <cell r="F3703">
            <v>0</v>
          </cell>
          <cell r="AM3703">
            <v>0</v>
          </cell>
          <cell r="AN3703">
            <v>0</v>
          </cell>
        </row>
        <row r="3704">
          <cell r="A3704" t="str">
            <v>131-2</v>
          </cell>
          <cell r="B3704">
            <v>320</v>
          </cell>
          <cell r="D3704" t="str">
            <v xml:space="preserve">화상 수신장치 </v>
          </cell>
          <cell r="E3704" t="str">
            <v>종합사령실(4CH)</v>
          </cell>
          <cell r="F3704" t="str">
            <v>대</v>
          </cell>
          <cell r="V3704" t="str">
            <v>=</v>
          </cell>
          <cell r="W3704">
            <v>1</v>
          </cell>
          <cell r="AM3704">
            <v>11700000</v>
          </cell>
          <cell r="AN3704">
            <v>0</v>
          </cell>
        </row>
        <row r="3705">
          <cell r="A3705" t="str">
            <v>131-3</v>
          </cell>
          <cell r="B3705">
            <v>542</v>
          </cell>
          <cell r="D3705" t="str">
            <v>나. 노무비</v>
          </cell>
          <cell r="E3705">
            <v>0</v>
          </cell>
          <cell r="F3705">
            <v>0</v>
          </cell>
          <cell r="AL3705" t="str">
            <v>통 5-78-나</v>
          </cell>
          <cell r="AM3705">
            <v>0</v>
          </cell>
          <cell r="AN3705">
            <v>0</v>
          </cell>
        </row>
        <row r="3706">
          <cell r="D3706" t="str">
            <v>1) 설치</v>
          </cell>
          <cell r="AM3706">
            <v>0</v>
          </cell>
        </row>
        <row r="3707">
          <cell r="B3707">
            <v>527</v>
          </cell>
          <cell r="D3707" t="str">
            <v>H/W설치사</v>
          </cell>
          <cell r="E3707">
            <v>0</v>
          </cell>
          <cell r="F3707" t="str">
            <v>인</v>
          </cell>
          <cell r="H3707">
            <v>1.4</v>
          </cell>
          <cell r="I3707" t="str">
            <v>+</v>
          </cell>
          <cell r="J3707">
            <v>0.4</v>
          </cell>
          <cell r="V3707" t="str">
            <v>=</v>
          </cell>
          <cell r="W3707">
            <v>1.7999999999999998</v>
          </cell>
          <cell r="AM3707">
            <v>82720</v>
          </cell>
          <cell r="AN3707">
            <v>0</v>
          </cell>
        </row>
        <row r="3708">
          <cell r="B3708">
            <v>555</v>
          </cell>
          <cell r="D3708" t="str">
            <v>통신관련산업기사</v>
          </cell>
          <cell r="E3708">
            <v>0</v>
          </cell>
          <cell r="F3708" t="str">
            <v>인</v>
          </cell>
          <cell r="H3708">
            <v>0.2</v>
          </cell>
          <cell r="I3708" t="str">
            <v>+</v>
          </cell>
          <cell r="J3708">
            <v>0.05</v>
          </cell>
          <cell r="V3708" t="str">
            <v>=</v>
          </cell>
          <cell r="W3708">
            <v>0.25</v>
          </cell>
          <cell r="AM3708">
            <v>91949</v>
          </cell>
        </row>
        <row r="3709">
          <cell r="D3709" t="str">
            <v>2) 조정</v>
          </cell>
          <cell r="AM3709">
            <v>0</v>
          </cell>
        </row>
        <row r="3710">
          <cell r="B3710">
            <v>555</v>
          </cell>
          <cell r="D3710" t="str">
            <v>통신관련산업기사</v>
          </cell>
          <cell r="E3710">
            <v>0</v>
          </cell>
          <cell r="F3710" t="str">
            <v>인</v>
          </cell>
          <cell r="H3710">
            <v>0.7</v>
          </cell>
          <cell r="I3710" t="str">
            <v>+</v>
          </cell>
          <cell r="J3710">
            <v>0.08</v>
          </cell>
          <cell r="K3710" t="str">
            <v>+</v>
          </cell>
          <cell r="M3710">
            <v>0.4</v>
          </cell>
          <cell r="V3710" t="str">
            <v>=</v>
          </cell>
          <cell r="W3710">
            <v>1.18</v>
          </cell>
          <cell r="AM3710">
            <v>91949</v>
          </cell>
        </row>
        <row r="3711">
          <cell r="B3711">
            <v>556</v>
          </cell>
          <cell r="D3711" t="str">
            <v>통신관련기사</v>
          </cell>
          <cell r="E3711">
            <v>0</v>
          </cell>
          <cell r="F3711" t="str">
            <v>인</v>
          </cell>
          <cell r="H3711">
            <v>0.4</v>
          </cell>
          <cell r="V3711" t="str">
            <v>=</v>
          </cell>
          <cell r="W3711">
            <v>0.4</v>
          </cell>
          <cell r="AM3711">
            <v>92355</v>
          </cell>
        </row>
        <row r="3712">
          <cell r="B3712">
            <v>544</v>
          </cell>
          <cell r="D3712" t="str">
            <v>소    계</v>
          </cell>
          <cell r="E3712">
            <v>0</v>
          </cell>
          <cell r="F3712">
            <v>0</v>
          </cell>
          <cell r="AM3712">
            <v>0</v>
          </cell>
          <cell r="AN3712">
            <v>0</v>
          </cell>
        </row>
        <row r="3713">
          <cell r="A3713" t="str">
            <v>131-4</v>
          </cell>
          <cell r="B3713">
            <v>527</v>
          </cell>
          <cell r="D3713" t="str">
            <v>H/W설치사</v>
          </cell>
          <cell r="E3713">
            <v>0</v>
          </cell>
          <cell r="F3713" t="str">
            <v>인</v>
          </cell>
          <cell r="V3713" t="str">
            <v>=</v>
          </cell>
          <cell r="W3713">
            <v>1.7999999999999998</v>
          </cell>
          <cell r="AM3713">
            <v>82720</v>
          </cell>
          <cell r="AN3713">
            <v>0</v>
          </cell>
        </row>
        <row r="3714">
          <cell r="A3714" t="str">
            <v>131-5</v>
          </cell>
          <cell r="B3714">
            <v>555</v>
          </cell>
          <cell r="D3714" t="str">
            <v>통신관련산업기사</v>
          </cell>
          <cell r="E3714">
            <v>0</v>
          </cell>
          <cell r="F3714" t="str">
            <v>인</v>
          </cell>
          <cell r="V3714" t="str">
            <v>=</v>
          </cell>
          <cell r="W3714">
            <v>1.43</v>
          </cell>
          <cell r="AM3714">
            <v>91949</v>
          </cell>
          <cell r="AN3714">
            <v>0</v>
          </cell>
        </row>
        <row r="3715">
          <cell r="A3715" t="str">
            <v>131-6</v>
          </cell>
          <cell r="B3715">
            <v>556</v>
          </cell>
          <cell r="D3715" t="str">
            <v>통신관련기사</v>
          </cell>
          <cell r="E3715">
            <v>0</v>
          </cell>
          <cell r="F3715" t="str">
            <v>인</v>
          </cell>
          <cell r="V3715" t="str">
            <v>=</v>
          </cell>
          <cell r="W3715">
            <v>0.4</v>
          </cell>
          <cell r="AM3715">
            <v>92355</v>
          </cell>
          <cell r="AN3715">
            <v>0</v>
          </cell>
        </row>
        <row r="3716">
          <cell r="A3716" t="str">
            <v>131-7</v>
          </cell>
          <cell r="B3716">
            <v>543</v>
          </cell>
          <cell r="D3716" t="str">
            <v>다. 공구손료</v>
          </cell>
          <cell r="E3716" t="str">
            <v>노무비x3%</v>
          </cell>
          <cell r="F3716">
            <v>0</v>
          </cell>
          <cell r="AM3716">
            <v>0</v>
          </cell>
          <cell r="AN3716">
            <v>0</v>
          </cell>
        </row>
        <row r="3717">
          <cell r="A3717" t="str">
            <v>131-8</v>
          </cell>
          <cell r="B3717">
            <v>527</v>
          </cell>
          <cell r="D3717" t="str">
            <v>H/W설치사</v>
          </cell>
          <cell r="E3717">
            <v>0</v>
          </cell>
          <cell r="F3717" t="str">
            <v>인</v>
          </cell>
          <cell r="H3717">
            <v>1.7999999999999998</v>
          </cell>
          <cell r="I3717" t="str">
            <v>x</v>
          </cell>
          <cell r="J3717">
            <v>0.03</v>
          </cell>
          <cell r="V3717" t="str">
            <v>=</v>
          </cell>
          <cell r="W3717">
            <v>0.05</v>
          </cell>
          <cell r="Y3717" t="str">
            <v>기본</v>
          </cell>
          <cell r="Z3717" t="str">
            <v>x</v>
          </cell>
          <cell r="AA3717" t="str">
            <v>공구손료</v>
          </cell>
          <cell r="AM3717">
            <v>82720</v>
          </cell>
          <cell r="AN3717">
            <v>0</v>
          </cell>
        </row>
        <row r="3718">
          <cell r="A3718" t="str">
            <v>131-9</v>
          </cell>
          <cell r="B3718">
            <v>555</v>
          </cell>
          <cell r="D3718" t="str">
            <v>통신관련산업기사</v>
          </cell>
          <cell r="E3718">
            <v>0</v>
          </cell>
          <cell r="F3718" t="str">
            <v>인</v>
          </cell>
          <cell r="H3718">
            <v>1.43</v>
          </cell>
          <cell r="I3718" t="str">
            <v>x</v>
          </cell>
          <cell r="J3718">
            <v>0.03</v>
          </cell>
          <cell r="V3718" t="str">
            <v>=</v>
          </cell>
          <cell r="W3718">
            <v>0.04</v>
          </cell>
          <cell r="Y3718" t="str">
            <v>기본</v>
          </cell>
          <cell r="Z3718" t="str">
            <v>x</v>
          </cell>
          <cell r="AA3718" t="str">
            <v>공구손료</v>
          </cell>
          <cell r="AM3718">
            <v>91949</v>
          </cell>
          <cell r="AN3718">
            <v>0</v>
          </cell>
        </row>
        <row r="3719">
          <cell r="A3719" t="str">
            <v>131-10</v>
          </cell>
          <cell r="B3719">
            <v>556</v>
          </cell>
          <cell r="D3719" t="str">
            <v>통신관련기사</v>
          </cell>
          <cell r="E3719">
            <v>0</v>
          </cell>
          <cell r="F3719" t="str">
            <v>인</v>
          </cell>
          <cell r="H3719">
            <v>0.4</v>
          </cell>
          <cell r="I3719" t="str">
            <v>x</v>
          </cell>
          <cell r="J3719">
            <v>0.03</v>
          </cell>
          <cell r="V3719" t="str">
            <v>=</v>
          </cell>
          <cell r="W3719">
            <v>0.01</v>
          </cell>
          <cell r="Y3719" t="str">
            <v>기본</v>
          </cell>
          <cell r="Z3719" t="str">
            <v>x</v>
          </cell>
          <cell r="AA3719" t="str">
            <v>공구손료</v>
          </cell>
          <cell r="AM3719">
            <v>92355</v>
          </cell>
          <cell r="AN3719">
            <v>0</v>
          </cell>
        </row>
        <row r="3720">
          <cell r="AM3720">
            <v>0</v>
          </cell>
        </row>
        <row r="3721">
          <cell r="AM3721">
            <v>0</v>
          </cell>
        </row>
        <row r="3722">
          <cell r="AM3722">
            <v>0</v>
          </cell>
        </row>
        <row r="3723">
          <cell r="AM3723">
            <v>0</v>
          </cell>
        </row>
        <row r="3724">
          <cell r="AM3724">
            <v>0</v>
          </cell>
        </row>
        <row r="3725">
          <cell r="AM3725">
            <v>0</v>
          </cell>
        </row>
        <row r="3726">
          <cell r="AM3726">
            <v>0</v>
          </cell>
        </row>
        <row r="3727">
          <cell r="AM3727">
            <v>0</v>
          </cell>
        </row>
        <row r="3728">
          <cell r="AM3728">
            <v>0</v>
          </cell>
          <cell r="AN3728">
            <v>0</v>
          </cell>
        </row>
        <row r="3729">
          <cell r="A3729">
            <v>132</v>
          </cell>
          <cell r="C3729">
            <v>132</v>
          </cell>
          <cell r="D3729" t="str">
            <v>카메라 신설</v>
          </cell>
          <cell r="E3729" t="str">
            <v>승강장용</v>
          </cell>
          <cell r="F3729" t="str">
            <v>대</v>
          </cell>
          <cell r="AM3729">
            <v>0</v>
          </cell>
          <cell r="AN3729">
            <v>0</v>
          </cell>
        </row>
        <row r="3730">
          <cell r="A3730" t="str">
            <v>132-1</v>
          </cell>
          <cell r="B3730">
            <v>541</v>
          </cell>
          <cell r="D3730" t="str">
            <v>가. 재료비</v>
          </cell>
          <cell r="E3730">
            <v>0</v>
          </cell>
          <cell r="F3730">
            <v>0</v>
          </cell>
          <cell r="AM3730">
            <v>0</v>
          </cell>
          <cell r="AN3730">
            <v>0</v>
          </cell>
        </row>
        <row r="3731">
          <cell r="A3731" t="str">
            <v>132-2</v>
          </cell>
          <cell r="B3731">
            <v>321</v>
          </cell>
          <cell r="D3731" t="str">
            <v>카메라</v>
          </cell>
          <cell r="E3731" t="str">
            <v>CCD C/L 2LUX</v>
          </cell>
          <cell r="F3731" t="str">
            <v>대</v>
          </cell>
          <cell r="V3731" t="str">
            <v>=</v>
          </cell>
          <cell r="W3731">
            <v>1</v>
          </cell>
          <cell r="Y3731" t="str">
            <v>기본</v>
          </cell>
          <cell r="AM3731">
            <v>160000</v>
          </cell>
          <cell r="AN3731">
            <v>0</v>
          </cell>
        </row>
        <row r="3732">
          <cell r="A3732" t="str">
            <v>132-3</v>
          </cell>
          <cell r="B3732">
            <v>323</v>
          </cell>
          <cell r="D3732" t="str">
            <v>AUTO IRIS LENS</v>
          </cell>
          <cell r="E3732" t="str">
            <v>25 mm</v>
          </cell>
          <cell r="F3732" t="str">
            <v>개</v>
          </cell>
          <cell r="V3732" t="str">
            <v>=</v>
          </cell>
          <cell r="W3732">
            <v>1</v>
          </cell>
          <cell r="Y3732" t="str">
            <v>기본</v>
          </cell>
          <cell r="AM3732">
            <v>220000</v>
          </cell>
          <cell r="AN3732">
            <v>0</v>
          </cell>
        </row>
        <row r="3733">
          <cell r="A3733" t="str">
            <v>132-4</v>
          </cell>
          <cell r="B3733">
            <v>324</v>
          </cell>
          <cell r="D3733" t="str">
            <v>카메라 하우징</v>
          </cell>
          <cell r="E3733" t="str">
            <v>옥내형</v>
          </cell>
          <cell r="F3733" t="str">
            <v>EA</v>
          </cell>
          <cell r="V3733" t="str">
            <v>=</v>
          </cell>
          <cell r="W3733">
            <v>1</v>
          </cell>
          <cell r="Y3733" t="str">
            <v>기본</v>
          </cell>
          <cell r="AM3733">
            <v>55000</v>
          </cell>
          <cell r="AN3733">
            <v>0</v>
          </cell>
        </row>
        <row r="3734">
          <cell r="A3734" t="str">
            <v>132-5</v>
          </cell>
          <cell r="B3734">
            <v>325</v>
          </cell>
          <cell r="D3734" t="str">
            <v>카메라 BRACKET</v>
          </cell>
          <cell r="E3734" t="str">
            <v>WALL TYPE</v>
          </cell>
          <cell r="F3734" t="str">
            <v>개</v>
          </cell>
          <cell r="V3734" t="str">
            <v>=</v>
          </cell>
          <cell r="W3734">
            <v>1</v>
          </cell>
          <cell r="Y3734" t="str">
            <v>기본</v>
          </cell>
          <cell r="AM3734">
            <v>92400</v>
          </cell>
          <cell r="AN3734">
            <v>0</v>
          </cell>
        </row>
        <row r="3735">
          <cell r="A3735" t="str">
            <v>132-6</v>
          </cell>
          <cell r="B3735">
            <v>542</v>
          </cell>
          <cell r="D3735" t="str">
            <v>나. 노무비</v>
          </cell>
          <cell r="E3735">
            <v>0</v>
          </cell>
          <cell r="F3735">
            <v>0</v>
          </cell>
          <cell r="AL3735" t="str">
            <v>통5-97</v>
          </cell>
          <cell r="AM3735">
            <v>0</v>
          </cell>
          <cell r="AN3735">
            <v>0</v>
          </cell>
        </row>
        <row r="3736">
          <cell r="D3736" t="str">
            <v>1)카메라 신설</v>
          </cell>
          <cell r="AM3736">
            <v>0</v>
          </cell>
        </row>
        <row r="3737">
          <cell r="B3737">
            <v>555</v>
          </cell>
          <cell r="D3737" t="str">
            <v>통신관련산업기사</v>
          </cell>
          <cell r="E3737">
            <v>0</v>
          </cell>
          <cell r="F3737" t="str">
            <v>인</v>
          </cell>
          <cell r="H3737">
            <v>0.5</v>
          </cell>
          <cell r="I3737" t="str">
            <v>x</v>
          </cell>
          <cell r="J3737">
            <v>1</v>
          </cell>
          <cell r="V3737" t="str">
            <v>=</v>
          </cell>
          <cell r="W3737">
            <v>0.5</v>
          </cell>
          <cell r="Y3737" t="str">
            <v>기본</v>
          </cell>
          <cell r="Z3737" t="str">
            <v>x</v>
          </cell>
          <cell r="AA3737" t="str">
            <v>단위량</v>
          </cell>
          <cell r="AM3737">
            <v>91949</v>
          </cell>
        </row>
        <row r="3738">
          <cell r="B3738">
            <v>517</v>
          </cell>
          <cell r="D3738" t="str">
            <v>통신설비공</v>
          </cell>
          <cell r="E3738">
            <v>0</v>
          </cell>
          <cell r="F3738" t="str">
            <v>인</v>
          </cell>
          <cell r="H3738">
            <v>0.3</v>
          </cell>
          <cell r="I3738" t="str">
            <v>x</v>
          </cell>
          <cell r="J3738">
            <v>1</v>
          </cell>
          <cell r="V3738" t="str">
            <v>=</v>
          </cell>
          <cell r="W3738">
            <v>0.3</v>
          </cell>
          <cell r="Y3738" t="str">
            <v>기본</v>
          </cell>
          <cell r="Z3738" t="str">
            <v>x</v>
          </cell>
          <cell r="AA3738" t="str">
            <v>단위량</v>
          </cell>
          <cell r="AM3738">
            <v>77401</v>
          </cell>
        </row>
        <row r="3739">
          <cell r="D3739" t="str">
            <v>2) 하우징 신설</v>
          </cell>
          <cell r="AM3739">
            <v>0</v>
          </cell>
        </row>
        <row r="3740">
          <cell r="B3740">
            <v>517</v>
          </cell>
          <cell r="D3740" t="str">
            <v>통신설비공</v>
          </cell>
          <cell r="E3740">
            <v>0</v>
          </cell>
          <cell r="F3740" t="str">
            <v>인</v>
          </cell>
          <cell r="H3740">
            <v>0.72</v>
          </cell>
          <cell r="I3740" t="str">
            <v>x</v>
          </cell>
          <cell r="J3740">
            <v>1</v>
          </cell>
          <cell r="V3740" t="str">
            <v>=</v>
          </cell>
          <cell r="W3740">
            <v>0.72</v>
          </cell>
          <cell r="Y3740" t="str">
            <v>기본</v>
          </cell>
          <cell r="Z3740" t="str">
            <v>x</v>
          </cell>
          <cell r="AA3740" t="str">
            <v>단위량</v>
          </cell>
          <cell r="AM3740">
            <v>77401</v>
          </cell>
        </row>
        <row r="3741">
          <cell r="B3741">
            <v>523</v>
          </cell>
          <cell r="D3741" t="str">
            <v>보통인부</v>
          </cell>
          <cell r="E3741">
            <v>0</v>
          </cell>
          <cell r="F3741" t="str">
            <v>인</v>
          </cell>
          <cell r="H3741">
            <v>0.72</v>
          </cell>
          <cell r="I3741" t="str">
            <v>x</v>
          </cell>
          <cell r="J3741">
            <v>1</v>
          </cell>
          <cell r="V3741" t="str">
            <v>=</v>
          </cell>
          <cell r="W3741">
            <v>0.72</v>
          </cell>
          <cell r="Y3741" t="str">
            <v>기본</v>
          </cell>
          <cell r="Z3741" t="str">
            <v>x</v>
          </cell>
          <cell r="AA3741" t="str">
            <v>단위량</v>
          </cell>
          <cell r="AM3741">
            <v>40922</v>
          </cell>
        </row>
        <row r="3742">
          <cell r="D3742" t="str">
            <v>3) 선로시험</v>
          </cell>
          <cell r="AM3742">
            <v>0</v>
          </cell>
        </row>
        <row r="3743">
          <cell r="B3743">
            <v>555</v>
          </cell>
          <cell r="D3743" t="str">
            <v>통신관련산업기사</v>
          </cell>
          <cell r="E3743">
            <v>0</v>
          </cell>
          <cell r="F3743" t="str">
            <v>인</v>
          </cell>
          <cell r="H3743">
            <v>0.2</v>
          </cell>
          <cell r="I3743" t="str">
            <v>x</v>
          </cell>
          <cell r="J3743">
            <v>1</v>
          </cell>
          <cell r="V3743" t="str">
            <v>=</v>
          </cell>
          <cell r="W3743">
            <v>0.2</v>
          </cell>
          <cell r="Y3743" t="str">
            <v>기본</v>
          </cell>
          <cell r="Z3743" t="str">
            <v>x</v>
          </cell>
          <cell r="AA3743" t="str">
            <v>단위량</v>
          </cell>
          <cell r="AM3743">
            <v>91949</v>
          </cell>
        </row>
        <row r="3744">
          <cell r="B3744">
            <v>523</v>
          </cell>
          <cell r="D3744" t="str">
            <v>보통인부</v>
          </cell>
          <cell r="E3744">
            <v>0</v>
          </cell>
          <cell r="F3744" t="str">
            <v>인</v>
          </cell>
          <cell r="H3744">
            <v>0.2</v>
          </cell>
          <cell r="I3744" t="str">
            <v>x</v>
          </cell>
          <cell r="J3744">
            <v>1</v>
          </cell>
          <cell r="V3744" t="str">
            <v>=</v>
          </cell>
          <cell r="W3744">
            <v>0.2</v>
          </cell>
          <cell r="Y3744" t="str">
            <v>기본</v>
          </cell>
          <cell r="Z3744" t="str">
            <v>x</v>
          </cell>
          <cell r="AA3744" t="str">
            <v>단위량</v>
          </cell>
          <cell r="AM3744">
            <v>40922</v>
          </cell>
        </row>
        <row r="3745">
          <cell r="B3745">
            <v>544</v>
          </cell>
          <cell r="D3745" t="str">
            <v>소    계</v>
          </cell>
          <cell r="E3745">
            <v>0</v>
          </cell>
          <cell r="F3745">
            <v>0</v>
          </cell>
          <cell r="AM3745">
            <v>0</v>
          </cell>
        </row>
        <row r="3746">
          <cell r="A3746" t="str">
            <v>132-7</v>
          </cell>
          <cell r="B3746">
            <v>517</v>
          </cell>
          <cell r="D3746" t="str">
            <v>통신설비공</v>
          </cell>
          <cell r="E3746">
            <v>0</v>
          </cell>
          <cell r="F3746" t="str">
            <v>인</v>
          </cell>
          <cell r="V3746" t="str">
            <v>=</v>
          </cell>
          <cell r="W3746">
            <v>1.02</v>
          </cell>
          <cell r="AM3746">
            <v>77401</v>
          </cell>
        </row>
        <row r="3747">
          <cell r="A3747" t="str">
            <v>132-8</v>
          </cell>
          <cell r="B3747">
            <v>555</v>
          </cell>
          <cell r="D3747" t="str">
            <v>통신관련산업기사</v>
          </cell>
          <cell r="E3747">
            <v>0</v>
          </cell>
          <cell r="F3747" t="str">
            <v>인</v>
          </cell>
          <cell r="V3747" t="str">
            <v>=</v>
          </cell>
          <cell r="W3747">
            <v>0.7</v>
          </cell>
          <cell r="AM3747">
            <v>91949</v>
          </cell>
        </row>
        <row r="3748">
          <cell r="A3748" t="str">
            <v>132-9</v>
          </cell>
          <cell r="B3748">
            <v>523</v>
          </cell>
          <cell r="D3748" t="str">
            <v>보통인부</v>
          </cell>
          <cell r="E3748">
            <v>0</v>
          </cell>
          <cell r="F3748" t="str">
            <v>인</v>
          </cell>
          <cell r="V3748" t="str">
            <v>=</v>
          </cell>
          <cell r="W3748">
            <v>0.91999999999999993</v>
          </cell>
          <cell r="AM3748">
            <v>40922</v>
          </cell>
        </row>
        <row r="3749">
          <cell r="A3749" t="str">
            <v>132-10</v>
          </cell>
          <cell r="B3749">
            <v>543</v>
          </cell>
          <cell r="D3749" t="str">
            <v>다. 공구손료</v>
          </cell>
          <cell r="E3749" t="str">
            <v>노무비x3%</v>
          </cell>
          <cell r="F3749">
            <v>0</v>
          </cell>
          <cell r="AM3749">
            <v>0</v>
          </cell>
          <cell r="AN3749">
            <v>0</v>
          </cell>
        </row>
        <row r="3750">
          <cell r="A3750" t="str">
            <v>132-11</v>
          </cell>
          <cell r="B3750">
            <v>555</v>
          </cell>
          <cell r="D3750" t="str">
            <v>통신관련산업기사</v>
          </cell>
          <cell r="E3750">
            <v>0</v>
          </cell>
          <cell r="F3750" t="str">
            <v>인</v>
          </cell>
          <cell r="H3750">
            <v>1.02</v>
          </cell>
          <cell r="I3750" t="str">
            <v>x</v>
          </cell>
          <cell r="J3750">
            <v>0.03</v>
          </cell>
          <cell r="V3750" t="str">
            <v>=</v>
          </cell>
          <cell r="W3750">
            <v>0.03</v>
          </cell>
          <cell r="Y3750" t="str">
            <v>기본</v>
          </cell>
          <cell r="Z3750" t="str">
            <v>x</v>
          </cell>
          <cell r="AA3750" t="str">
            <v>공구손료</v>
          </cell>
          <cell r="AM3750">
            <v>91949</v>
          </cell>
          <cell r="AN3750">
            <v>0</v>
          </cell>
        </row>
        <row r="3751">
          <cell r="A3751" t="str">
            <v>132-12</v>
          </cell>
          <cell r="B3751">
            <v>517</v>
          </cell>
          <cell r="D3751" t="str">
            <v>통신설비공</v>
          </cell>
          <cell r="E3751">
            <v>0</v>
          </cell>
          <cell r="F3751" t="str">
            <v>인</v>
          </cell>
          <cell r="H3751">
            <v>0.7</v>
          </cell>
          <cell r="I3751" t="str">
            <v>x</v>
          </cell>
          <cell r="J3751">
            <v>0.03</v>
          </cell>
          <cell r="V3751" t="str">
            <v>=</v>
          </cell>
          <cell r="W3751">
            <v>0.02</v>
          </cell>
          <cell r="Y3751" t="str">
            <v>기본</v>
          </cell>
          <cell r="Z3751" t="str">
            <v>x</v>
          </cell>
          <cell r="AA3751" t="str">
            <v>공구손료</v>
          </cell>
          <cell r="AM3751">
            <v>77401</v>
          </cell>
          <cell r="AN3751">
            <v>0</v>
          </cell>
        </row>
        <row r="3752">
          <cell r="A3752" t="str">
            <v>132-13</v>
          </cell>
          <cell r="B3752">
            <v>523</v>
          </cell>
          <cell r="D3752" t="str">
            <v>보통인부</v>
          </cell>
          <cell r="E3752">
            <v>0</v>
          </cell>
          <cell r="F3752" t="str">
            <v>인</v>
          </cell>
          <cell r="H3752">
            <v>0.91999999999999993</v>
          </cell>
          <cell r="I3752" t="str">
            <v>x</v>
          </cell>
          <cell r="J3752">
            <v>0.03</v>
          </cell>
          <cell r="V3752" t="str">
            <v>=</v>
          </cell>
          <cell r="W3752">
            <v>0.03</v>
          </cell>
          <cell r="Y3752" t="str">
            <v>기본</v>
          </cell>
          <cell r="Z3752" t="str">
            <v>x</v>
          </cell>
          <cell r="AA3752" t="str">
            <v>공구손료</v>
          </cell>
          <cell r="AM3752">
            <v>40922</v>
          </cell>
          <cell r="AN3752">
            <v>0</v>
          </cell>
        </row>
        <row r="3753">
          <cell r="AM3753">
            <v>0</v>
          </cell>
        </row>
        <row r="3754">
          <cell r="AM3754">
            <v>0</v>
          </cell>
        </row>
        <row r="3755">
          <cell r="AM3755">
            <v>0</v>
          </cell>
          <cell r="AN3755">
            <v>0</v>
          </cell>
        </row>
        <row r="3756">
          <cell r="A3756">
            <v>133</v>
          </cell>
          <cell r="C3756">
            <v>133</v>
          </cell>
          <cell r="D3756" t="str">
            <v>카메라 신설</v>
          </cell>
          <cell r="E3756" t="str">
            <v>대합실용</v>
          </cell>
          <cell r="F3756" t="str">
            <v>대</v>
          </cell>
          <cell r="AM3756">
            <v>0</v>
          </cell>
          <cell r="AN3756">
            <v>0</v>
          </cell>
        </row>
        <row r="3757">
          <cell r="A3757" t="str">
            <v>133-1</v>
          </cell>
          <cell r="B3757">
            <v>541</v>
          </cell>
          <cell r="D3757" t="str">
            <v>가. 재료비</v>
          </cell>
          <cell r="E3757">
            <v>0</v>
          </cell>
          <cell r="F3757">
            <v>0</v>
          </cell>
          <cell r="AM3757">
            <v>0</v>
          </cell>
          <cell r="AN3757">
            <v>0</v>
          </cell>
        </row>
        <row r="3758">
          <cell r="A3758" t="str">
            <v>133-2</v>
          </cell>
          <cell r="B3758">
            <v>321</v>
          </cell>
          <cell r="D3758" t="str">
            <v>카메라</v>
          </cell>
          <cell r="E3758" t="str">
            <v>CCD C/L 2LUX</v>
          </cell>
          <cell r="F3758" t="str">
            <v>대</v>
          </cell>
          <cell r="V3758" t="str">
            <v>=</v>
          </cell>
          <cell r="W3758">
            <v>1</v>
          </cell>
          <cell r="Y3758" t="str">
            <v>기본</v>
          </cell>
          <cell r="AM3758">
            <v>160000</v>
          </cell>
          <cell r="AN3758">
            <v>0</v>
          </cell>
        </row>
        <row r="3759">
          <cell r="A3759" t="str">
            <v>133-3</v>
          </cell>
          <cell r="B3759">
            <v>322</v>
          </cell>
          <cell r="D3759" t="str">
            <v>AUTO IRIS LENS</v>
          </cell>
          <cell r="E3759" t="str">
            <v>8 mm</v>
          </cell>
          <cell r="F3759" t="str">
            <v>개</v>
          </cell>
          <cell r="V3759" t="str">
            <v>=</v>
          </cell>
          <cell r="W3759">
            <v>1</v>
          </cell>
          <cell r="Y3759" t="str">
            <v>기본</v>
          </cell>
          <cell r="AM3759">
            <v>55000</v>
          </cell>
          <cell r="AN3759">
            <v>0</v>
          </cell>
        </row>
        <row r="3760">
          <cell r="A3760" t="str">
            <v>133-4</v>
          </cell>
          <cell r="B3760">
            <v>324</v>
          </cell>
          <cell r="D3760" t="str">
            <v>카메라 하우징</v>
          </cell>
          <cell r="E3760" t="str">
            <v>옥내형</v>
          </cell>
          <cell r="F3760" t="str">
            <v>EA</v>
          </cell>
          <cell r="V3760" t="str">
            <v>=</v>
          </cell>
          <cell r="W3760">
            <v>1</v>
          </cell>
          <cell r="Y3760" t="str">
            <v>기본</v>
          </cell>
          <cell r="AM3760">
            <v>55000</v>
          </cell>
          <cell r="AN3760">
            <v>0</v>
          </cell>
        </row>
        <row r="3761">
          <cell r="A3761" t="str">
            <v>133-5</v>
          </cell>
          <cell r="B3761">
            <v>325</v>
          </cell>
          <cell r="D3761" t="str">
            <v>카메라 BRACKET</v>
          </cell>
          <cell r="E3761" t="str">
            <v>WALL TYPE</v>
          </cell>
          <cell r="F3761" t="str">
            <v>개</v>
          </cell>
          <cell r="V3761" t="str">
            <v>=</v>
          </cell>
          <cell r="W3761">
            <v>1</v>
          </cell>
          <cell r="Y3761" t="str">
            <v>기본</v>
          </cell>
          <cell r="AM3761">
            <v>92400</v>
          </cell>
          <cell r="AN3761">
            <v>0</v>
          </cell>
        </row>
        <row r="3762">
          <cell r="A3762" t="str">
            <v>133-6</v>
          </cell>
          <cell r="B3762">
            <v>234</v>
          </cell>
          <cell r="D3762" t="str">
            <v>앙카볼트</v>
          </cell>
          <cell r="E3762" t="str">
            <v>M12xL120</v>
          </cell>
          <cell r="F3762" t="str">
            <v>개</v>
          </cell>
          <cell r="V3762" t="str">
            <v>=</v>
          </cell>
          <cell r="W3762">
            <v>4</v>
          </cell>
          <cell r="Y3762" t="str">
            <v>기본</v>
          </cell>
          <cell r="AM3762">
            <v>151</v>
          </cell>
          <cell r="AN3762">
            <v>0</v>
          </cell>
        </row>
        <row r="3763">
          <cell r="A3763" t="str">
            <v>133-7</v>
          </cell>
          <cell r="B3763">
            <v>542</v>
          </cell>
          <cell r="D3763" t="str">
            <v>나. 노무비</v>
          </cell>
          <cell r="E3763">
            <v>0</v>
          </cell>
          <cell r="F3763">
            <v>0</v>
          </cell>
          <cell r="AL3763" t="str">
            <v>통5-97</v>
          </cell>
          <cell r="AM3763">
            <v>0</v>
          </cell>
          <cell r="AN3763">
            <v>0</v>
          </cell>
        </row>
        <row r="3764">
          <cell r="D3764" t="str">
            <v>1)카메라 신설</v>
          </cell>
          <cell r="AM3764">
            <v>0</v>
          </cell>
        </row>
        <row r="3765">
          <cell r="B3765">
            <v>555</v>
          </cell>
          <cell r="D3765" t="str">
            <v>통신관련산업기사</v>
          </cell>
          <cell r="E3765">
            <v>0</v>
          </cell>
          <cell r="F3765" t="str">
            <v>인</v>
          </cell>
          <cell r="H3765">
            <v>0.5</v>
          </cell>
          <cell r="I3765" t="str">
            <v>x</v>
          </cell>
          <cell r="J3765">
            <v>1</v>
          </cell>
          <cell r="V3765" t="str">
            <v>=</v>
          </cell>
          <cell r="W3765">
            <v>0.5</v>
          </cell>
          <cell r="Y3765" t="str">
            <v>기본</v>
          </cell>
          <cell r="Z3765" t="str">
            <v>x</v>
          </cell>
          <cell r="AA3765" t="str">
            <v>단위량</v>
          </cell>
          <cell r="AM3765">
            <v>91949</v>
          </cell>
        </row>
        <row r="3766">
          <cell r="B3766">
            <v>517</v>
          </cell>
          <cell r="D3766" t="str">
            <v>통신설비공</v>
          </cell>
          <cell r="E3766">
            <v>0</v>
          </cell>
          <cell r="F3766" t="str">
            <v>인</v>
          </cell>
          <cell r="H3766">
            <v>0.3</v>
          </cell>
          <cell r="I3766" t="str">
            <v>x</v>
          </cell>
          <cell r="J3766">
            <v>1</v>
          </cell>
          <cell r="V3766" t="str">
            <v>=</v>
          </cell>
          <cell r="W3766">
            <v>0.3</v>
          </cell>
          <cell r="Y3766" t="str">
            <v>기본</v>
          </cell>
          <cell r="Z3766" t="str">
            <v>x</v>
          </cell>
          <cell r="AA3766" t="str">
            <v>단위량</v>
          </cell>
          <cell r="AM3766">
            <v>77401</v>
          </cell>
        </row>
        <row r="3767">
          <cell r="D3767" t="str">
            <v>2) 하우징 신설</v>
          </cell>
          <cell r="AM3767">
            <v>0</v>
          </cell>
        </row>
        <row r="3768">
          <cell r="B3768">
            <v>517</v>
          </cell>
          <cell r="D3768" t="str">
            <v>통신설비공</v>
          </cell>
          <cell r="E3768">
            <v>0</v>
          </cell>
          <cell r="F3768" t="str">
            <v>인</v>
          </cell>
          <cell r="H3768">
            <v>0.72</v>
          </cell>
          <cell r="I3768" t="str">
            <v>x</v>
          </cell>
          <cell r="J3768">
            <v>1</v>
          </cell>
          <cell r="V3768" t="str">
            <v>=</v>
          </cell>
          <cell r="W3768">
            <v>0.72</v>
          </cell>
          <cell r="Y3768" t="str">
            <v>기본</v>
          </cell>
          <cell r="Z3768" t="str">
            <v>x</v>
          </cell>
          <cell r="AA3768" t="str">
            <v>단위량</v>
          </cell>
          <cell r="AM3768">
            <v>77401</v>
          </cell>
        </row>
        <row r="3769">
          <cell r="B3769">
            <v>523</v>
          </cell>
          <cell r="D3769" t="str">
            <v>보통인부</v>
          </cell>
          <cell r="E3769">
            <v>0</v>
          </cell>
          <cell r="F3769" t="str">
            <v>인</v>
          </cell>
          <cell r="H3769">
            <v>0.72</v>
          </cell>
          <cell r="I3769" t="str">
            <v>x</v>
          </cell>
          <cell r="J3769">
            <v>1</v>
          </cell>
          <cell r="V3769" t="str">
            <v>=</v>
          </cell>
          <cell r="W3769">
            <v>0.72</v>
          </cell>
          <cell r="Y3769" t="str">
            <v>기본</v>
          </cell>
          <cell r="Z3769" t="str">
            <v>x</v>
          </cell>
          <cell r="AA3769" t="str">
            <v>단위량</v>
          </cell>
          <cell r="AM3769">
            <v>40922</v>
          </cell>
        </row>
        <row r="3770">
          <cell r="D3770" t="str">
            <v>3) 선로시험</v>
          </cell>
          <cell r="AM3770">
            <v>0</v>
          </cell>
        </row>
        <row r="3771">
          <cell r="B3771">
            <v>555</v>
          </cell>
          <cell r="D3771" t="str">
            <v>통신관련산업기사</v>
          </cell>
          <cell r="E3771">
            <v>0</v>
          </cell>
          <cell r="F3771" t="str">
            <v>인</v>
          </cell>
          <cell r="H3771">
            <v>0.2</v>
          </cell>
          <cell r="I3771" t="str">
            <v>x</v>
          </cell>
          <cell r="J3771">
            <v>1</v>
          </cell>
          <cell r="V3771" t="str">
            <v>=</v>
          </cell>
          <cell r="W3771">
            <v>0.2</v>
          </cell>
          <cell r="Y3771" t="str">
            <v>기본</v>
          </cell>
          <cell r="Z3771" t="str">
            <v>x</v>
          </cell>
          <cell r="AA3771" t="str">
            <v>단위량</v>
          </cell>
          <cell r="AM3771">
            <v>91949</v>
          </cell>
        </row>
        <row r="3772">
          <cell r="B3772">
            <v>523</v>
          </cell>
          <cell r="D3772" t="str">
            <v>보통인부</v>
          </cell>
          <cell r="E3772">
            <v>0</v>
          </cell>
          <cell r="F3772" t="str">
            <v>인</v>
          </cell>
          <cell r="H3772">
            <v>0.2</v>
          </cell>
          <cell r="I3772" t="str">
            <v>x</v>
          </cell>
          <cell r="J3772">
            <v>1</v>
          </cell>
          <cell r="V3772" t="str">
            <v>=</v>
          </cell>
          <cell r="W3772">
            <v>0.2</v>
          </cell>
          <cell r="Y3772" t="str">
            <v>기본</v>
          </cell>
          <cell r="Z3772" t="str">
            <v>x</v>
          </cell>
          <cell r="AA3772" t="str">
            <v>단위량</v>
          </cell>
          <cell r="AM3772">
            <v>40922</v>
          </cell>
        </row>
        <row r="3773">
          <cell r="D3773" t="str">
            <v>4) 앙카볼트 설치</v>
          </cell>
          <cell r="AM3773">
            <v>0</v>
          </cell>
        </row>
        <row r="3774">
          <cell r="B3774">
            <v>518</v>
          </cell>
          <cell r="D3774" t="str">
            <v>통신내선공</v>
          </cell>
          <cell r="E3774">
            <v>0</v>
          </cell>
          <cell r="F3774" t="str">
            <v>인</v>
          </cell>
          <cell r="H3774">
            <v>0.08</v>
          </cell>
          <cell r="I3774" t="str">
            <v>x</v>
          </cell>
          <cell r="J3774">
            <v>4</v>
          </cell>
          <cell r="V3774" t="str">
            <v>=</v>
          </cell>
          <cell r="W3774">
            <v>0.32</v>
          </cell>
          <cell r="Y3774" t="str">
            <v>기본</v>
          </cell>
          <cell r="Z3774" t="str">
            <v>x</v>
          </cell>
          <cell r="AA3774" t="str">
            <v>단위량</v>
          </cell>
          <cell r="AM3774">
            <v>63806</v>
          </cell>
        </row>
        <row r="3775">
          <cell r="B3775">
            <v>523</v>
          </cell>
          <cell r="D3775" t="str">
            <v>보통인부</v>
          </cell>
          <cell r="E3775">
            <v>0</v>
          </cell>
          <cell r="F3775" t="str">
            <v>인</v>
          </cell>
          <cell r="H3775">
            <v>3.5999999999999997E-2</v>
          </cell>
          <cell r="I3775" t="str">
            <v>x</v>
          </cell>
          <cell r="J3775">
            <v>4</v>
          </cell>
          <cell r="V3775" t="str">
            <v>=</v>
          </cell>
          <cell r="W3775">
            <v>0.14000000000000001</v>
          </cell>
          <cell r="Y3775" t="str">
            <v>기본</v>
          </cell>
          <cell r="Z3775" t="str">
            <v>x</v>
          </cell>
          <cell r="AA3775" t="str">
            <v>단위량</v>
          </cell>
          <cell r="AM3775">
            <v>40922</v>
          </cell>
        </row>
        <row r="3776">
          <cell r="B3776">
            <v>544</v>
          </cell>
          <cell r="D3776" t="str">
            <v>소    계</v>
          </cell>
          <cell r="E3776">
            <v>0</v>
          </cell>
          <cell r="F3776">
            <v>0</v>
          </cell>
          <cell r="AM3776">
            <v>0</v>
          </cell>
        </row>
        <row r="3777">
          <cell r="A3777" t="str">
            <v>133-8</v>
          </cell>
          <cell r="B3777">
            <v>517</v>
          </cell>
          <cell r="D3777" t="str">
            <v>통신설비공</v>
          </cell>
          <cell r="E3777">
            <v>0</v>
          </cell>
          <cell r="F3777" t="str">
            <v>인</v>
          </cell>
          <cell r="V3777" t="str">
            <v>=</v>
          </cell>
          <cell r="W3777">
            <v>1.02</v>
          </cell>
          <cell r="AM3777">
            <v>77401</v>
          </cell>
        </row>
        <row r="3778">
          <cell r="A3778" t="str">
            <v>133-9</v>
          </cell>
          <cell r="B3778">
            <v>555</v>
          </cell>
          <cell r="D3778" t="str">
            <v>통신관련산업기사</v>
          </cell>
          <cell r="E3778">
            <v>0</v>
          </cell>
          <cell r="F3778" t="str">
            <v>인</v>
          </cell>
          <cell r="V3778" t="str">
            <v>=</v>
          </cell>
          <cell r="W3778">
            <v>0.7</v>
          </cell>
          <cell r="AM3778">
            <v>91949</v>
          </cell>
        </row>
        <row r="3779">
          <cell r="A3779" t="str">
            <v>133-10</v>
          </cell>
          <cell r="B3779">
            <v>518</v>
          </cell>
          <cell r="D3779" t="str">
            <v>통신내선공</v>
          </cell>
          <cell r="E3779">
            <v>0</v>
          </cell>
          <cell r="F3779" t="str">
            <v>인</v>
          </cell>
          <cell r="V3779" t="str">
            <v>=</v>
          </cell>
          <cell r="W3779">
            <v>0.32</v>
          </cell>
          <cell r="AM3779">
            <v>63806</v>
          </cell>
        </row>
        <row r="3780">
          <cell r="A3780" t="str">
            <v>133-11</v>
          </cell>
          <cell r="B3780">
            <v>523</v>
          </cell>
          <cell r="D3780" t="str">
            <v>보통인부</v>
          </cell>
          <cell r="E3780">
            <v>0</v>
          </cell>
          <cell r="F3780" t="str">
            <v>인</v>
          </cell>
          <cell r="V3780" t="str">
            <v>=</v>
          </cell>
          <cell r="W3780">
            <v>1.06</v>
          </cell>
          <cell r="AM3780">
            <v>40922</v>
          </cell>
        </row>
        <row r="3781">
          <cell r="A3781" t="str">
            <v>133-12</v>
          </cell>
          <cell r="B3781">
            <v>543</v>
          </cell>
          <cell r="D3781" t="str">
            <v>다. 공구손료</v>
          </cell>
          <cell r="E3781" t="str">
            <v>노무비x3%</v>
          </cell>
          <cell r="F3781">
            <v>0</v>
          </cell>
          <cell r="AM3781">
            <v>0</v>
          </cell>
          <cell r="AN3781">
            <v>0</v>
          </cell>
        </row>
        <row r="3782">
          <cell r="A3782" t="str">
            <v>133-13</v>
          </cell>
          <cell r="B3782">
            <v>517</v>
          </cell>
          <cell r="D3782" t="str">
            <v>통신설비공</v>
          </cell>
          <cell r="E3782">
            <v>0</v>
          </cell>
          <cell r="F3782" t="str">
            <v>인</v>
          </cell>
          <cell r="H3782">
            <v>1.02</v>
          </cell>
          <cell r="I3782" t="str">
            <v>x</v>
          </cell>
          <cell r="J3782">
            <v>0.03</v>
          </cell>
          <cell r="V3782" t="str">
            <v>=</v>
          </cell>
          <cell r="W3782">
            <v>0.03</v>
          </cell>
          <cell r="Y3782" t="str">
            <v>기본</v>
          </cell>
          <cell r="Z3782" t="str">
            <v>x</v>
          </cell>
          <cell r="AA3782" t="str">
            <v>공구손료</v>
          </cell>
          <cell r="AM3782">
            <v>77401</v>
          </cell>
          <cell r="AN3782">
            <v>0</v>
          </cell>
        </row>
        <row r="3783">
          <cell r="A3783" t="str">
            <v>133-14</v>
          </cell>
          <cell r="B3783">
            <v>555</v>
          </cell>
          <cell r="D3783" t="str">
            <v>통신관련산업기사</v>
          </cell>
          <cell r="E3783">
            <v>0</v>
          </cell>
          <cell r="F3783" t="str">
            <v>인</v>
          </cell>
          <cell r="H3783">
            <v>0.7</v>
          </cell>
          <cell r="I3783" t="str">
            <v>x</v>
          </cell>
          <cell r="J3783">
            <v>0.03</v>
          </cell>
          <cell r="V3783" t="str">
            <v>=</v>
          </cell>
          <cell r="W3783">
            <v>0.02</v>
          </cell>
          <cell r="Y3783" t="str">
            <v>기본</v>
          </cell>
          <cell r="Z3783" t="str">
            <v>x</v>
          </cell>
          <cell r="AA3783" t="str">
            <v>공구손료</v>
          </cell>
          <cell r="AM3783">
            <v>91949</v>
          </cell>
          <cell r="AN3783">
            <v>0</v>
          </cell>
        </row>
        <row r="3784">
          <cell r="A3784" t="str">
            <v>133-15</v>
          </cell>
          <cell r="B3784">
            <v>518</v>
          </cell>
          <cell r="D3784" t="str">
            <v>통신내선공</v>
          </cell>
          <cell r="E3784">
            <v>0</v>
          </cell>
          <cell r="F3784" t="str">
            <v>인</v>
          </cell>
          <cell r="H3784">
            <v>0.32</v>
          </cell>
          <cell r="I3784" t="str">
            <v>x</v>
          </cell>
          <cell r="J3784">
            <v>0.03</v>
          </cell>
          <cell r="V3784" t="str">
            <v>=</v>
          </cell>
          <cell r="W3784">
            <v>0.01</v>
          </cell>
          <cell r="Y3784" t="str">
            <v>기본</v>
          </cell>
          <cell r="Z3784" t="str">
            <v>x</v>
          </cell>
          <cell r="AA3784" t="str">
            <v>공구손료</v>
          </cell>
          <cell r="AM3784">
            <v>63806</v>
          </cell>
          <cell r="AN3784">
            <v>0</v>
          </cell>
        </row>
        <row r="3785">
          <cell r="A3785" t="str">
            <v>133-16</v>
          </cell>
          <cell r="B3785">
            <v>523</v>
          </cell>
          <cell r="D3785" t="str">
            <v>보통인부</v>
          </cell>
          <cell r="E3785">
            <v>0</v>
          </cell>
          <cell r="F3785" t="str">
            <v>인</v>
          </cell>
          <cell r="H3785">
            <v>1.06</v>
          </cell>
          <cell r="I3785" t="str">
            <v>x</v>
          </cell>
          <cell r="J3785">
            <v>0.03</v>
          </cell>
          <cell r="V3785" t="str">
            <v>=</v>
          </cell>
          <cell r="W3785">
            <v>0.03</v>
          </cell>
          <cell r="Y3785" t="str">
            <v>기본</v>
          </cell>
          <cell r="Z3785" t="str">
            <v>x</v>
          </cell>
          <cell r="AA3785" t="str">
            <v>공구손료</v>
          </cell>
          <cell r="AM3785">
            <v>40922</v>
          </cell>
          <cell r="AN3785">
            <v>0</v>
          </cell>
        </row>
        <row r="3786">
          <cell r="AM3786">
            <v>0</v>
          </cell>
        </row>
        <row r="3787">
          <cell r="AM3787">
            <v>0</v>
          </cell>
        </row>
        <row r="3788">
          <cell r="AM3788">
            <v>0</v>
          </cell>
        </row>
        <row r="3789">
          <cell r="AM3789">
            <v>0</v>
          </cell>
        </row>
        <row r="3790">
          <cell r="AM3790">
            <v>0</v>
          </cell>
        </row>
        <row r="3791">
          <cell r="AM3791">
            <v>0</v>
          </cell>
        </row>
        <row r="3792">
          <cell r="AM3792">
            <v>0</v>
          </cell>
        </row>
        <row r="3793">
          <cell r="AM3793">
            <v>0</v>
          </cell>
        </row>
        <row r="3794">
          <cell r="AM3794">
            <v>0</v>
          </cell>
        </row>
        <row r="3795">
          <cell r="AM3795">
            <v>0</v>
          </cell>
        </row>
        <row r="3796">
          <cell r="AM3796">
            <v>0</v>
          </cell>
        </row>
        <row r="3797">
          <cell r="AM3797">
            <v>0</v>
          </cell>
        </row>
        <row r="3798">
          <cell r="AM3798">
            <v>0</v>
          </cell>
        </row>
        <row r="3799">
          <cell r="AM3799">
            <v>0</v>
          </cell>
        </row>
        <row r="3800">
          <cell r="AM3800">
            <v>0</v>
          </cell>
        </row>
        <row r="3801">
          <cell r="AM3801">
            <v>0</v>
          </cell>
        </row>
        <row r="3802">
          <cell r="AM3802">
            <v>0</v>
          </cell>
        </row>
        <row r="3803">
          <cell r="AM3803">
            <v>0</v>
          </cell>
        </row>
        <row r="3804">
          <cell r="AM3804">
            <v>0</v>
          </cell>
        </row>
        <row r="3805">
          <cell r="AM3805">
            <v>0</v>
          </cell>
        </row>
        <row r="3806">
          <cell r="AM3806">
            <v>0</v>
          </cell>
        </row>
        <row r="3807">
          <cell r="AM3807">
            <v>0</v>
          </cell>
        </row>
        <row r="3808">
          <cell r="AM3808">
            <v>0</v>
          </cell>
        </row>
        <row r="3809">
          <cell r="AM3809">
            <v>0</v>
          </cell>
          <cell r="AN3809">
            <v>0</v>
          </cell>
        </row>
        <row r="3810">
          <cell r="A3810">
            <v>134</v>
          </cell>
          <cell r="C3810">
            <v>134</v>
          </cell>
          <cell r="D3810" t="str">
            <v>FIDS MAIN SERVER</v>
          </cell>
          <cell r="E3810" t="str">
            <v>PENTIUM</v>
          </cell>
          <cell r="F3810" t="str">
            <v>대</v>
          </cell>
          <cell r="AM3810">
            <v>0</v>
          </cell>
          <cell r="AN3810">
            <v>0</v>
          </cell>
        </row>
        <row r="3811">
          <cell r="A3811" t="str">
            <v>134-1</v>
          </cell>
          <cell r="B3811">
            <v>541</v>
          </cell>
          <cell r="D3811" t="str">
            <v>가. 재료비</v>
          </cell>
          <cell r="E3811">
            <v>0</v>
          </cell>
          <cell r="F3811">
            <v>0</v>
          </cell>
          <cell r="AM3811">
            <v>0</v>
          </cell>
          <cell r="AN3811">
            <v>0</v>
          </cell>
        </row>
        <row r="3812">
          <cell r="A3812" t="str">
            <v>134-2</v>
          </cell>
          <cell r="B3812">
            <v>326</v>
          </cell>
          <cell r="D3812" t="str">
            <v>FIDS MAIN SERVER</v>
          </cell>
          <cell r="E3812" t="str">
            <v>PENTIUM</v>
          </cell>
          <cell r="F3812" t="str">
            <v>대</v>
          </cell>
          <cell r="V3812" t="str">
            <v>=</v>
          </cell>
          <cell r="W3812">
            <v>1</v>
          </cell>
          <cell r="AM3812">
            <v>6400000</v>
          </cell>
          <cell r="AN3812">
            <v>0</v>
          </cell>
        </row>
        <row r="3813">
          <cell r="A3813" t="str">
            <v>134-3</v>
          </cell>
          <cell r="B3813">
            <v>542</v>
          </cell>
          <cell r="D3813" t="str">
            <v>나. 노무비</v>
          </cell>
          <cell r="E3813">
            <v>0</v>
          </cell>
          <cell r="F3813">
            <v>0</v>
          </cell>
          <cell r="AL3813" t="str">
            <v>통8-5-라</v>
          </cell>
          <cell r="AM3813">
            <v>0</v>
          </cell>
          <cell r="AN3813">
            <v>0</v>
          </cell>
        </row>
        <row r="3814">
          <cell r="B3814">
            <v>517</v>
          </cell>
          <cell r="D3814" t="str">
            <v>통신설비공</v>
          </cell>
          <cell r="E3814">
            <v>0</v>
          </cell>
          <cell r="F3814" t="str">
            <v>인</v>
          </cell>
          <cell r="V3814" t="str">
            <v>=</v>
          </cell>
          <cell r="W3814">
            <v>0.2</v>
          </cell>
          <cell r="Y3814" t="str">
            <v>기본</v>
          </cell>
          <cell r="AM3814">
            <v>77401</v>
          </cell>
          <cell r="AN3814">
            <v>0</v>
          </cell>
        </row>
        <row r="3815">
          <cell r="B3815">
            <v>523</v>
          </cell>
          <cell r="D3815" t="str">
            <v>보통인부</v>
          </cell>
          <cell r="E3815">
            <v>0</v>
          </cell>
          <cell r="F3815" t="str">
            <v>인</v>
          </cell>
          <cell r="V3815" t="str">
            <v>=</v>
          </cell>
          <cell r="W3815">
            <v>0.16</v>
          </cell>
          <cell r="Y3815" t="str">
            <v>기본</v>
          </cell>
          <cell r="AM3815">
            <v>40922</v>
          </cell>
          <cell r="AN3815">
            <v>0</v>
          </cell>
        </row>
        <row r="3816">
          <cell r="B3816">
            <v>544</v>
          </cell>
          <cell r="D3816" t="str">
            <v>소    계</v>
          </cell>
          <cell r="E3816">
            <v>0</v>
          </cell>
          <cell r="F3816">
            <v>0</v>
          </cell>
          <cell r="AM3816">
            <v>0</v>
          </cell>
          <cell r="AN3816">
            <v>0</v>
          </cell>
        </row>
        <row r="3817">
          <cell r="A3817" t="str">
            <v>134-4</v>
          </cell>
          <cell r="B3817">
            <v>517</v>
          </cell>
          <cell r="D3817" t="str">
            <v>통신설비공</v>
          </cell>
          <cell r="E3817">
            <v>0</v>
          </cell>
          <cell r="F3817" t="str">
            <v>인</v>
          </cell>
          <cell r="V3817" t="str">
            <v>=</v>
          </cell>
          <cell r="W3817">
            <v>0.2</v>
          </cell>
          <cell r="AM3817">
            <v>77401</v>
          </cell>
          <cell r="AN3817">
            <v>0</v>
          </cell>
        </row>
        <row r="3818">
          <cell r="A3818" t="str">
            <v>134-5</v>
          </cell>
          <cell r="B3818">
            <v>523</v>
          </cell>
          <cell r="D3818" t="str">
            <v>보통인부</v>
          </cell>
          <cell r="E3818">
            <v>0</v>
          </cell>
          <cell r="F3818" t="str">
            <v>인</v>
          </cell>
          <cell r="V3818" t="str">
            <v>=</v>
          </cell>
          <cell r="W3818">
            <v>0.16</v>
          </cell>
          <cell r="AM3818">
            <v>40922</v>
          </cell>
          <cell r="AN3818">
            <v>0</v>
          </cell>
        </row>
        <row r="3819">
          <cell r="A3819" t="str">
            <v>134-6</v>
          </cell>
          <cell r="B3819">
            <v>543</v>
          </cell>
          <cell r="D3819" t="str">
            <v>다. 공구손료</v>
          </cell>
          <cell r="E3819" t="str">
            <v>노무비x3%</v>
          </cell>
          <cell r="F3819">
            <v>0</v>
          </cell>
          <cell r="AM3819">
            <v>0</v>
          </cell>
          <cell r="AN3819">
            <v>0</v>
          </cell>
        </row>
        <row r="3820">
          <cell r="A3820" t="str">
            <v>134-7</v>
          </cell>
          <cell r="B3820">
            <v>517</v>
          </cell>
          <cell r="D3820" t="str">
            <v>통신설비공</v>
          </cell>
          <cell r="E3820">
            <v>0</v>
          </cell>
          <cell r="F3820" t="str">
            <v>인</v>
          </cell>
          <cell r="H3820">
            <v>0.2</v>
          </cell>
          <cell r="I3820" t="str">
            <v>x</v>
          </cell>
          <cell r="J3820">
            <v>0.03</v>
          </cell>
          <cell r="V3820" t="str">
            <v>=</v>
          </cell>
          <cell r="W3820">
            <v>0.01</v>
          </cell>
          <cell r="Y3820" t="str">
            <v>기본</v>
          </cell>
          <cell r="Z3820" t="str">
            <v>x</v>
          </cell>
          <cell r="AA3820" t="str">
            <v>공구손료</v>
          </cell>
          <cell r="AM3820">
            <v>77401</v>
          </cell>
          <cell r="AN3820">
            <v>0</v>
          </cell>
        </row>
        <row r="3821">
          <cell r="A3821" t="str">
            <v>134-8</v>
          </cell>
          <cell r="B3821">
            <v>523</v>
          </cell>
          <cell r="D3821" t="str">
            <v>보통인부</v>
          </cell>
          <cell r="E3821">
            <v>0</v>
          </cell>
          <cell r="F3821" t="str">
            <v>인</v>
          </cell>
          <cell r="H3821">
            <v>0.16</v>
          </cell>
          <cell r="I3821" t="str">
            <v>x</v>
          </cell>
          <cell r="J3821">
            <v>0.03</v>
          </cell>
          <cell r="V3821" t="str">
            <v>=</v>
          </cell>
          <cell r="W3821" t="str">
            <v>0</v>
          </cell>
          <cell r="Y3821" t="str">
            <v>기본</v>
          </cell>
          <cell r="Z3821" t="str">
            <v>x</v>
          </cell>
          <cell r="AA3821" t="str">
            <v>공구손료</v>
          </cell>
          <cell r="AM3821">
            <v>40922</v>
          </cell>
          <cell r="AN3821">
            <v>0</v>
          </cell>
        </row>
        <row r="3822">
          <cell r="AM3822">
            <v>0</v>
          </cell>
          <cell r="AN3822">
            <v>0</v>
          </cell>
        </row>
        <row r="3823">
          <cell r="AM3823">
            <v>0</v>
          </cell>
          <cell r="AN3823">
            <v>0</v>
          </cell>
        </row>
        <row r="3824">
          <cell r="AM3824">
            <v>0</v>
          </cell>
        </row>
        <row r="3825">
          <cell r="AM3825">
            <v>0</v>
          </cell>
        </row>
        <row r="3826">
          <cell r="AM3826">
            <v>0</v>
          </cell>
        </row>
        <row r="3827">
          <cell r="AM3827">
            <v>0</v>
          </cell>
        </row>
        <row r="3828">
          <cell r="AM3828">
            <v>0</v>
          </cell>
        </row>
        <row r="3829">
          <cell r="AM3829">
            <v>0</v>
          </cell>
        </row>
        <row r="3830">
          <cell r="AM3830">
            <v>0</v>
          </cell>
        </row>
        <row r="3831">
          <cell r="AM3831">
            <v>0</v>
          </cell>
        </row>
        <row r="3832">
          <cell r="AM3832">
            <v>0</v>
          </cell>
          <cell r="AN3832">
            <v>0</v>
          </cell>
        </row>
        <row r="3833">
          <cell r="AM3833">
            <v>0</v>
          </cell>
          <cell r="AN3833">
            <v>0</v>
          </cell>
        </row>
        <row r="3834">
          <cell r="AM3834">
            <v>0</v>
          </cell>
          <cell r="AN3834">
            <v>0</v>
          </cell>
        </row>
        <row r="3835">
          <cell r="AM3835">
            <v>0</v>
          </cell>
          <cell r="AN3835">
            <v>0</v>
          </cell>
        </row>
        <row r="3836">
          <cell r="AM3836">
            <v>0</v>
          </cell>
          <cell r="AN3836">
            <v>0</v>
          </cell>
        </row>
        <row r="3837">
          <cell r="A3837">
            <v>135</v>
          </cell>
          <cell r="C3837">
            <v>135</v>
          </cell>
          <cell r="D3837" t="str">
            <v>전송장치 신설</v>
          </cell>
          <cell r="E3837" t="str">
            <v>DSU</v>
          </cell>
          <cell r="F3837" t="str">
            <v>대</v>
          </cell>
          <cell r="AM3837">
            <v>0</v>
          </cell>
          <cell r="AN3837">
            <v>0</v>
          </cell>
        </row>
        <row r="3838">
          <cell r="A3838" t="str">
            <v>135-1</v>
          </cell>
          <cell r="B3838">
            <v>541</v>
          </cell>
          <cell r="D3838" t="str">
            <v>가. 재료비</v>
          </cell>
          <cell r="E3838">
            <v>0</v>
          </cell>
          <cell r="F3838">
            <v>0</v>
          </cell>
          <cell r="AM3838">
            <v>0</v>
          </cell>
          <cell r="AN3838">
            <v>0</v>
          </cell>
        </row>
        <row r="3839">
          <cell r="A3839" t="str">
            <v>135-2</v>
          </cell>
          <cell r="B3839">
            <v>327</v>
          </cell>
          <cell r="D3839" t="str">
            <v>전송장치</v>
          </cell>
          <cell r="E3839" t="str">
            <v>DSU</v>
          </cell>
          <cell r="F3839" t="str">
            <v>대</v>
          </cell>
          <cell r="V3839" t="str">
            <v>=</v>
          </cell>
          <cell r="W3839">
            <v>1</v>
          </cell>
          <cell r="AM3839">
            <v>705500</v>
          </cell>
          <cell r="AN3839">
            <v>0</v>
          </cell>
        </row>
        <row r="3840">
          <cell r="A3840" t="str">
            <v>135-3</v>
          </cell>
          <cell r="B3840">
            <v>542</v>
          </cell>
          <cell r="D3840" t="str">
            <v>나. 노무비</v>
          </cell>
          <cell r="E3840">
            <v>0</v>
          </cell>
          <cell r="F3840">
            <v>0</v>
          </cell>
          <cell r="AL3840" t="str">
            <v>통8-5-라</v>
          </cell>
          <cell r="AM3840">
            <v>0</v>
          </cell>
          <cell r="AN3840">
            <v>0</v>
          </cell>
        </row>
        <row r="3841">
          <cell r="B3841">
            <v>529</v>
          </cell>
          <cell r="D3841" t="str">
            <v>S/W시험사</v>
          </cell>
          <cell r="E3841">
            <v>0</v>
          </cell>
          <cell r="F3841" t="str">
            <v>인</v>
          </cell>
          <cell r="V3841" t="str">
            <v>=</v>
          </cell>
          <cell r="W3841">
            <v>0.38</v>
          </cell>
          <cell r="Y3841" t="str">
            <v>기본</v>
          </cell>
          <cell r="AM3841">
            <v>98026</v>
          </cell>
          <cell r="AN3841">
            <v>0</v>
          </cell>
        </row>
        <row r="3842">
          <cell r="B3842">
            <v>527</v>
          </cell>
          <cell r="D3842" t="str">
            <v>H/W설치사</v>
          </cell>
          <cell r="E3842">
            <v>0</v>
          </cell>
          <cell r="F3842" t="str">
            <v>인</v>
          </cell>
          <cell r="V3842" t="str">
            <v>=</v>
          </cell>
          <cell r="W3842">
            <v>0.23</v>
          </cell>
          <cell r="Y3842" t="str">
            <v>기본</v>
          </cell>
          <cell r="AM3842">
            <v>82720</v>
          </cell>
          <cell r="AN3842">
            <v>0</v>
          </cell>
        </row>
        <row r="3843">
          <cell r="B3843">
            <v>544</v>
          </cell>
          <cell r="D3843" t="str">
            <v>소    계</v>
          </cell>
          <cell r="E3843">
            <v>0</v>
          </cell>
          <cell r="F3843">
            <v>0</v>
          </cell>
          <cell r="AM3843">
            <v>0</v>
          </cell>
          <cell r="AN3843">
            <v>0</v>
          </cell>
        </row>
        <row r="3844">
          <cell r="A3844" t="str">
            <v>135-4</v>
          </cell>
          <cell r="B3844">
            <v>529</v>
          </cell>
          <cell r="D3844" t="str">
            <v>S/W시험사</v>
          </cell>
          <cell r="E3844">
            <v>0</v>
          </cell>
          <cell r="F3844" t="str">
            <v>인</v>
          </cell>
          <cell r="V3844" t="str">
            <v>=</v>
          </cell>
          <cell r="W3844">
            <v>0.38</v>
          </cell>
          <cell r="AM3844">
            <v>98026</v>
          </cell>
          <cell r="AN3844">
            <v>0</v>
          </cell>
        </row>
        <row r="3845">
          <cell r="A3845" t="str">
            <v>135-5</v>
          </cell>
          <cell r="B3845">
            <v>527</v>
          </cell>
          <cell r="D3845" t="str">
            <v>H/W설치사</v>
          </cell>
          <cell r="E3845">
            <v>0</v>
          </cell>
          <cell r="F3845" t="str">
            <v>인</v>
          </cell>
          <cell r="V3845" t="str">
            <v>=</v>
          </cell>
          <cell r="W3845">
            <v>0.23</v>
          </cell>
          <cell r="AM3845">
            <v>82720</v>
          </cell>
          <cell r="AN3845">
            <v>0</v>
          </cell>
        </row>
        <row r="3846">
          <cell r="A3846" t="str">
            <v>135-6</v>
          </cell>
          <cell r="B3846">
            <v>543</v>
          </cell>
          <cell r="D3846" t="str">
            <v>다. 공구손료</v>
          </cell>
          <cell r="E3846" t="str">
            <v>노무비x3%</v>
          </cell>
          <cell r="F3846">
            <v>0</v>
          </cell>
          <cell r="AM3846">
            <v>0</v>
          </cell>
          <cell r="AN3846">
            <v>0</v>
          </cell>
        </row>
        <row r="3847">
          <cell r="A3847" t="str">
            <v>135-7</v>
          </cell>
          <cell r="B3847">
            <v>529</v>
          </cell>
          <cell r="D3847" t="str">
            <v>S/W시험사</v>
          </cell>
          <cell r="E3847">
            <v>0</v>
          </cell>
          <cell r="F3847" t="str">
            <v>인</v>
          </cell>
          <cell r="H3847">
            <v>0.38</v>
          </cell>
          <cell r="I3847" t="str">
            <v>x</v>
          </cell>
          <cell r="J3847">
            <v>0.03</v>
          </cell>
          <cell r="V3847" t="str">
            <v>=</v>
          </cell>
          <cell r="W3847">
            <v>0.01</v>
          </cell>
          <cell r="Y3847" t="str">
            <v>기본</v>
          </cell>
          <cell r="Z3847" t="str">
            <v>x</v>
          </cell>
          <cell r="AA3847" t="str">
            <v>공구손료</v>
          </cell>
          <cell r="AM3847">
            <v>98026</v>
          </cell>
          <cell r="AN3847">
            <v>0</v>
          </cell>
        </row>
        <row r="3848">
          <cell r="A3848" t="str">
            <v>135-8</v>
          </cell>
          <cell r="B3848">
            <v>527</v>
          </cell>
          <cell r="D3848" t="str">
            <v>H/W설치사</v>
          </cell>
          <cell r="E3848">
            <v>0</v>
          </cell>
          <cell r="F3848" t="str">
            <v>인</v>
          </cell>
          <cell r="H3848">
            <v>0.23</v>
          </cell>
          <cell r="I3848" t="str">
            <v>x</v>
          </cell>
          <cell r="J3848">
            <v>0.03</v>
          </cell>
          <cell r="V3848" t="str">
            <v>=</v>
          </cell>
          <cell r="W3848">
            <v>0.01</v>
          </cell>
          <cell r="Y3848" t="str">
            <v>기본</v>
          </cell>
          <cell r="Z3848" t="str">
            <v>x</v>
          </cell>
          <cell r="AA3848" t="str">
            <v>공구손료</v>
          </cell>
          <cell r="AM3848">
            <v>82720</v>
          </cell>
          <cell r="AN3848">
            <v>0</v>
          </cell>
        </row>
        <row r="3849">
          <cell r="AM3849">
            <v>0</v>
          </cell>
          <cell r="AN3849">
            <v>0</v>
          </cell>
        </row>
        <row r="3850">
          <cell r="AM3850">
            <v>0</v>
          </cell>
          <cell r="AN3850">
            <v>0</v>
          </cell>
        </row>
        <row r="3851">
          <cell r="AM3851">
            <v>0</v>
          </cell>
        </row>
        <row r="3852">
          <cell r="AM3852">
            <v>0</v>
          </cell>
        </row>
        <row r="3853">
          <cell r="AM3853">
            <v>0</v>
          </cell>
        </row>
        <row r="3854">
          <cell r="AM3854">
            <v>0</v>
          </cell>
        </row>
        <row r="3855">
          <cell r="AM3855">
            <v>0</v>
          </cell>
        </row>
        <row r="3856">
          <cell r="AM3856">
            <v>0</v>
          </cell>
        </row>
        <row r="3857">
          <cell r="AM3857">
            <v>0</v>
          </cell>
        </row>
        <row r="3858">
          <cell r="AM3858">
            <v>0</v>
          </cell>
        </row>
        <row r="3859">
          <cell r="AM3859">
            <v>0</v>
          </cell>
          <cell r="AN3859">
            <v>0</v>
          </cell>
        </row>
        <row r="3860">
          <cell r="AM3860">
            <v>0</v>
          </cell>
          <cell r="AN3860">
            <v>0</v>
          </cell>
        </row>
        <row r="3861">
          <cell r="AM3861">
            <v>0</v>
          </cell>
          <cell r="AN3861">
            <v>0</v>
          </cell>
        </row>
        <row r="3862">
          <cell r="AM3862">
            <v>0</v>
          </cell>
          <cell r="AN3862">
            <v>0</v>
          </cell>
        </row>
        <row r="3863">
          <cell r="AM3863">
            <v>0</v>
          </cell>
          <cell r="AN3863">
            <v>0</v>
          </cell>
        </row>
        <row r="3864">
          <cell r="A3864">
            <v>136</v>
          </cell>
          <cell r="C3864">
            <v>136</v>
          </cell>
          <cell r="D3864" t="str">
            <v>분배기 신설</v>
          </cell>
          <cell r="E3864" t="str">
            <v>RGB SELECTOR &amp; DISTRIBUTOR</v>
          </cell>
          <cell r="F3864" t="str">
            <v>대</v>
          </cell>
          <cell r="AM3864">
            <v>0</v>
          </cell>
          <cell r="AN3864">
            <v>0</v>
          </cell>
        </row>
        <row r="3865">
          <cell r="A3865" t="str">
            <v>136-1</v>
          </cell>
          <cell r="B3865">
            <v>541</v>
          </cell>
          <cell r="D3865" t="str">
            <v>가. 재료비</v>
          </cell>
          <cell r="E3865">
            <v>0</v>
          </cell>
          <cell r="F3865">
            <v>0</v>
          </cell>
          <cell r="AM3865">
            <v>0</v>
          </cell>
          <cell r="AN3865">
            <v>0</v>
          </cell>
        </row>
        <row r="3866">
          <cell r="A3866" t="str">
            <v>136-2</v>
          </cell>
          <cell r="B3866">
            <v>328</v>
          </cell>
          <cell r="D3866" t="str">
            <v>분배기</v>
          </cell>
          <cell r="E3866" t="str">
            <v>RGB SELECTOR &amp; DISTRIBUTOR</v>
          </cell>
          <cell r="F3866" t="str">
            <v>대</v>
          </cell>
          <cell r="V3866" t="str">
            <v>=</v>
          </cell>
          <cell r="W3866">
            <v>1</v>
          </cell>
          <cell r="AM3866">
            <v>2650000</v>
          </cell>
          <cell r="AN3866">
            <v>0</v>
          </cell>
        </row>
        <row r="3867">
          <cell r="A3867" t="str">
            <v>136-3</v>
          </cell>
          <cell r="B3867">
            <v>542</v>
          </cell>
          <cell r="D3867" t="str">
            <v>나. 노무비</v>
          </cell>
          <cell r="E3867">
            <v>0</v>
          </cell>
          <cell r="F3867">
            <v>0</v>
          </cell>
          <cell r="AL3867" t="str">
            <v>통 5-89(3)</v>
          </cell>
          <cell r="AM3867">
            <v>0</v>
          </cell>
          <cell r="AN3867">
            <v>0</v>
          </cell>
        </row>
        <row r="3868">
          <cell r="B3868">
            <v>517</v>
          </cell>
          <cell r="D3868" t="str">
            <v>통신설비공</v>
          </cell>
          <cell r="E3868">
            <v>0</v>
          </cell>
          <cell r="F3868" t="str">
            <v>인</v>
          </cell>
          <cell r="V3868" t="str">
            <v>=</v>
          </cell>
          <cell r="W3868">
            <v>0.16</v>
          </cell>
          <cell r="Y3868" t="str">
            <v>기본</v>
          </cell>
          <cell r="AM3868">
            <v>77401</v>
          </cell>
          <cell r="AN3868">
            <v>0</v>
          </cell>
        </row>
        <row r="3869">
          <cell r="B3869">
            <v>520</v>
          </cell>
          <cell r="D3869" t="str">
            <v>무선안테나공</v>
          </cell>
          <cell r="E3869">
            <v>0</v>
          </cell>
          <cell r="F3869" t="str">
            <v>인</v>
          </cell>
          <cell r="V3869" t="str">
            <v>=</v>
          </cell>
          <cell r="W3869">
            <v>0.06</v>
          </cell>
          <cell r="Y3869" t="str">
            <v>기본</v>
          </cell>
          <cell r="AM3869">
            <v>95000</v>
          </cell>
          <cell r="AN3869">
            <v>0</v>
          </cell>
        </row>
        <row r="3870">
          <cell r="B3870">
            <v>544</v>
          </cell>
          <cell r="D3870" t="str">
            <v>소    계</v>
          </cell>
          <cell r="E3870">
            <v>0</v>
          </cell>
          <cell r="F3870">
            <v>0</v>
          </cell>
          <cell r="AM3870">
            <v>0</v>
          </cell>
          <cell r="AN3870">
            <v>0</v>
          </cell>
        </row>
        <row r="3871">
          <cell r="A3871" t="str">
            <v>136-4</v>
          </cell>
          <cell r="B3871">
            <v>517</v>
          </cell>
          <cell r="D3871" t="str">
            <v>통신설비공</v>
          </cell>
          <cell r="E3871">
            <v>0</v>
          </cell>
          <cell r="F3871" t="str">
            <v>인</v>
          </cell>
          <cell r="V3871" t="str">
            <v>=</v>
          </cell>
          <cell r="W3871">
            <v>0.16</v>
          </cell>
          <cell r="AM3871">
            <v>77401</v>
          </cell>
          <cell r="AN3871">
            <v>0</v>
          </cell>
        </row>
        <row r="3872">
          <cell r="A3872" t="str">
            <v>136-5</v>
          </cell>
          <cell r="B3872">
            <v>520</v>
          </cell>
          <cell r="D3872" t="str">
            <v>무선안테나공</v>
          </cell>
          <cell r="E3872">
            <v>0</v>
          </cell>
          <cell r="F3872" t="str">
            <v>인</v>
          </cell>
          <cell r="V3872" t="str">
            <v>=</v>
          </cell>
          <cell r="W3872">
            <v>0.06</v>
          </cell>
          <cell r="AM3872">
            <v>95000</v>
          </cell>
          <cell r="AN3872">
            <v>0</v>
          </cell>
        </row>
        <row r="3873">
          <cell r="A3873" t="str">
            <v>136-6</v>
          </cell>
          <cell r="B3873">
            <v>543</v>
          </cell>
          <cell r="D3873" t="str">
            <v>다. 공구손료</v>
          </cell>
          <cell r="E3873" t="str">
            <v>노무비x3%</v>
          </cell>
          <cell r="F3873">
            <v>0</v>
          </cell>
          <cell r="AM3873">
            <v>0</v>
          </cell>
          <cell r="AN3873">
            <v>0</v>
          </cell>
        </row>
        <row r="3874">
          <cell r="A3874" t="str">
            <v>136-7</v>
          </cell>
          <cell r="B3874">
            <v>517</v>
          </cell>
          <cell r="D3874" t="str">
            <v>통신설비공</v>
          </cell>
          <cell r="E3874">
            <v>0</v>
          </cell>
          <cell r="F3874" t="str">
            <v>인</v>
          </cell>
          <cell r="H3874">
            <v>0.16</v>
          </cell>
          <cell r="I3874" t="str">
            <v>x</v>
          </cell>
          <cell r="J3874">
            <v>0.03</v>
          </cell>
          <cell r="V3874" t="str">
            <v>=</v>
          </cell>
          <cell r="W3874" t="str">
            <v>0</v>
          </cell>
          <cell r="Y3874" t="str">
            <v>기본</v>
          </cell>
          <cell r="Z3874" t="str">
            <v>x</v>
          </cell>
          <cell r="AA3874" t="str">
            <v>공구손료</v>
          </cell>
          <cell r="AM3874">
            <v>77401</v>
          </cell>
          <cell r="AN3874">
            <v>0</v>
          </cell>
        </row>
        <row r="3875">
          <cell r="A3875" t="str">
            <v>136-8</v>
          </cell>
          <cell r="B3875">
            <v>520</v>
          </cell>
          <cell r="D3875" t="str">
            <v>무선안테나공</v>
          </cell>
          <cell r="E3875">
            <v>0</v>
          </cell>
          <cell r="F3875" t="str">
            <v>인</v>
          </cell>
          <cell r="H3875">
            <v>0.06</v>
          </cell>
          <cell r="I3875" t="str">
            <v>x</v>
          </cell>
          <cell r="J3875">
            <v>0.03</v>
          </cell>
          <cell r="V3875" t="str">
            <v>=</v>
          </cell>
          <cell r="W3875" t="str">
            <v>0</v>
          </cell>
          <cell r="Y3875" t="str">
            <v>기본</v>
          </cell>
          <cell r="Z3875" t="str">
            <v>x</v>
          </cell>
          <cell r="AA3875" t="str">
            <v>공구손료</v>
          </cell>
          <cell r="AM3875">
            <v>95000</v>
          </cell>
          <cell r="AN3875">
            <v>0</v>
          </cell>
        </row>
        <row r="3876">
          <cell r="AM3876">
            <v>0</v>
          </cell>
          <cell r="AN3876">
            <v>0</v>
          </cell>
        </row>
        <row r="3877">
          <cell r="AM3877">
            <v>0</v>
          </cell>
          <cell r="AN3877">
            <v>0</v>
          </cell>
        </row>
        <row r="3878">
          <cell r="AM3878">
            <v>0</v>
          </cell>
        </row>
        <row r="3879">
          <cell r="AM3879">
            <v>0</v>
          </cell>
        </row>
        <row r="3880">
          <cell r="AM3880">
            <v>0</v>
          </cell>
        </row>
        <row r="3881">
          <cell r="AM3881">
            <v>0</v>
          </cell>
        </row>
        <row r="3882">
          <cell r="AM3882">
            <v>0</v>
          </cell>
        </row>
        <row r="3883">
          <cell r="AM3883">
            <v>0</v>
          </cell>
        </row>
        <row r="3884">
          <cell r="AM3884">
            <v>0</v>
          </cell>
        </row>
        <row r="3885">
          <cell r="AM3885">
            <v>0</v>
          </cell>
        </row>
        <row r="3886">
          <cell r="AM3886">
            <v>0</v>
          </cell>
          <cell r="AN3886">
            <v>0</v>
          </cell>
        </row>
        <row r="3887">
          <cell r="AM3887">
            <v>0</v>
          </cell>
          <cell r="AN3887">
            <v>0</v>
          </cell>
        </row>
        <row r="3888">
          <cell r="AM3888">
            <v>0</v>
          </cell>
          <cell r="AN3888">
            <v>0</v>
          </cell>
        </row>
        <row r="3889">
          <cell r="AM3889">
            <v>0</v>
          </cell>
          <cell r="AN3889">
            <v>0</v>
          </cell>
        </row>
        <row r="3890">
          <cell r="AM3890">
            <v>0</v>
          </cell>
          <cell r="AN3890">
            <v>0</v>
          </cell>
        </row>
        <row r="3891">
          <cell r="A3891">
            <v>137</v>
          </cell>
          <cell r="C3891">
            <v>137</v>
          </cell>
          <cell r="D3891" t="str">
            <v>증폭기 신설</v>
          </cell>
          <cell r="E3891" t="str">
            <v>RGB AMPLIFIER</v>
          </cell>
          <cell r="F3891" t="str">
            <v>대</v>
          </cell>
          <cell r="AM3891">
            <v>0</v>
          </cell>
          <cell r="AN3891">
            <v>0</v>
          </cell>
        </row>
        <row r="3892">
          <cell r="A3892" t="str">
            <v>137-1</v>
          </cell>
          <cell r="B3892">
            <v>541</v>
          </cell>
          <cell r="D3892" t="str">
            <v>가. 재료비</v>
          </cell>
          <cell r="E3892">
            <v>0</v>
          </cell>
          <cell r="F3892">
            <v>0</v>
          </cell>
          <cell r="AM3892">
            <v>0</v>
          </cell>
          <cell r="AN3892">
            <v>0</v>
          </cell>
        </row>
        <row r="3893">
          <cell r="A3893" t="str">
            <v>137-2</v>
          </cell>
          <cell r="B3893">
            <v>329</v>
          </cell>
          <cell r="D3893" t="str">
            <v>증폭기</v>
          </cell>
          <cell r="E3893" t="str">
            <v>RGB AMPLIFIER</v>
          </cell>
          <cell r="F3893" t="str">
            <v>대</v>
          </cell>
          <cell r="V3893" t="str">
            <v>=</v>
          </cell>
          <cell r="W3893">
            <v>1</v>
          </cell>
          <cell r="AM3893">
            <v>1000000</v>
          </cell>
          <cell r="AN3893">
            <v>0</v>
          </cell>
        </row>
        <row r="3894">
          <cell r="A3894" t="str">
            <v>137-3</v>
          </cell>
          <cell r="B3894">
            <v>542</v>
          </cell>
          <cell r="D3894" t="str">
            <v>나. 노무비</v>
          </cell>
          <cell r="E3894">
            <v>0</v>
          </cell>
          <cell r="F3894">
            <v>0</v>
          </cell>
          <cell r="AM3894">
            <v>0</v>
          </cell>
          <cell r="AN3894">
            <v>0</v>
          </cell>
        </row>
        <row r="3895">
          <cell r="D3895" t="str">
            <v>1) 증폭기 설치</v>
          </cell>
          <cell r="AL3895" t="str">
            <v>통 5-89(5)</v>
          </cell>
          <cell r="AM3895">
            <v>0</v>
          </cell>
        </row>
        <row r="3896">
          <cell r="B3896">
            <v>517</v>
          </cell>
          <cell r="D3896" t="str">
            <v>통신설비공</v>
          </cell>
          <cell r="E3896">
            <v>0</v>
          </cell>
          <cell r="F3896" t="str">
            <v>인</v>
          </cell>
          <cell r="V3896" t="str">
            <v>=</v>
          </cell>
          <cell r="W3896">
            <v>0.26</v>
          </cell>
          <cell r="Y3896" t="str">
            <v>기본</v>
          </cell>
          <cell r="AM3896">
            <v>77401</v>
          </cell>
          <cell r="AN3896">
            <v>0</v>
          </cell>
        </row>
        <row r="3897">
          <cell r="B3897">
            <v>523</v>
          </cell>
          <cell r="D3897" t="str">
            <v>보통인부</v>
          </cell>
          <cell r="E3897">
            <v>0</v>
          </cell>
          <cell r="F3897" t="str">
            <v>인</v>
          </cell>
          <cell r="V3897" t="str">
            <v>=</v>
          </cell>
          <cell r="W3897">
            <v>0.25</v>
          </cell>
          <cell r="Y3897" t="str">
            <v>기본</v>
          </cell>
          <cell r="AM3897">
            <v>40922</v>
          </cell>
          <cell r="AN3897">
            <v>0</v>
          </cell>
        </row>
        <row r="3898">
          <cell r="D3898" t="str">
            <v>2) 조정및시험</v>
          </cell>
          <cell r="AM3898">
            <v>0</v>
          </cell>
        </row>
        <row r="3899">
          <cell r="B3899">
            <v>555</v>
          </cell>
          <cell r="D3899" t="str">
            <v>통신관련산업기사</v>
          </cell>
          <cell r="E3899">
            <v>0</v>
          </cell>
          <cell r="F3899" t="str">
            <v>인</v>
          </cell>
          <cell r="V3899" t="str">
            <v>=</v>
          </cell>
          <cell r="W3899">
            <v>0.31</v>
          </cell>
          <cell r="Y3899" t="str">
            <v>기본</v>
          </cell>
          <cell r="AM3899">
            <v>91949</v>
          </cell>
          <cell r="AN3899">
            <v>0</v>
          </cell>
        </row>
        <row r="3900">
          <cell r="B3900">
            <v>517</v>
          </cell>
          <cell r="D3900" t="str">
            <v>통신설비공</v>
          </cell>
          <cell r="E3900">
            <v>0</v>
          </cell>
          <cell r="F3900" t="str">
            <v>인</v>
          </cell>
          <cell r="V3900" t="str">
            <v>=</v>
          </cell>
          <cell r="W3900">
            <v>0.31</v>
          </cell>
          <cell r="Y3900" t="str">
            <v>기본</v>
          </cell>
          <cell r="AM3900">
            <v>77401</v>
          </cell>
          <cell r="AN3900">
            <v>0</v>
          </cell>
        </row>
        <row r="3901">
          <cell r="B3901">
            <v>544</v>
          </cell>
          <cell r="D3901" t="str">
            <v>소    계</v>
          </cell>
          <cell r="E3901">
            <v>0</v>
          </cell>
          <cell r="F3901">
            <v>0</v>
          </cell>
          <cell r="AM3901">
            <v>0</v>
          </cell>
          <cell r="AN3901">
            <v>0</v>
          </cell>
        </row>
        <row r="3902">
          <cell r="A3902" t="str">
            <v>137-4</v>
          </cell>
          <cell r="B3902">
            <v>517</v>
          </cell>
          <cell r="D3902" t="str">
            <v>통신설비공</v>
          </cell>
          <cell r="E3902">
            <v>0</v>
          </cell>
          <cell r="F3902" t="str">
            <v>인</v>
          </cell>
          <cell r="V3902" t="str">
            <v>=</v>
          </cell>
          <cell r="W3902">
            <v>0.57000000000000006</v>
          </cell>
          <cell r="AM3902">
            <v>77401</v>
          </cell>
          <cell r="AN3902">
            <v>0</v>
          </cell>
        </row>
        <row r="3903">
          <cell r="A3903" t="str">
            <v>137-5</v>
          </cell>
          <cell r="B3903">
            <v>555</v>
          </cell>
          <cell r="D3903" t="str">
            <v>통신관련산업기사</v>
          </cell>
          <cell r="E3903">
            <v>0</v>
          </cell>
          <cell r="F3903" t="str">
            <v>인</v>
          </cell>
          <cell r="V3903" t="str">
            <v>=</v>
          </cell>
          <cell r="W3903">
            <v>0.31</v>
          </cell>
          <cell r="AM3903">
            <v>91949</v>
          </cell>
          <cell r="AN3903">
            <v>0</v>
          </cell>
        </row>
        <row r="3904">
          <cell r="A3904" t="str">
            <v>137-6</v>
          </cell>
          <cell r="B3904">
            <v>523</v>
          </cell>
          <cell r="D3904" t="str">
            <v>보통인부</v>
          </cell>
          <cell r="E3904">
            <v>0</v>
          </cell>
          <cell r="F3904" t="str">
            <v>인</v>
          </cell>
          <cell r="V3904" t="str">
            <v>=</v>
          </cell>
          <cell r="W3904">
            <v>0.25</v>
          </cell>
          <cell r="AM3904">
            <v>40922</v>
          </cell>
          <cell r="AN3904">
            <v>0</v>
          </cell>
        </row>
        <row r="3905">
          <cell r="A3905" t="str">
            <v>137-7</v>
          </cell>
          <cell r="B3905">
            <v>543</v>
          </cell>
          <cell r="D3905" t="str">
            <v>다. 공구손료</v>
          </cell>
          <cell r="E3905" t="str">
            <v>노무비x3%</v>
          </cell>
          <cell r="F3905">
            <v>0</v>
          </cell>
          <cell r="AM3905">
            <v>0</v>
          </cell>
          <cell r="AN3905">
            <v>0</v>
          </cell>
        </row>
        <row r="3906">
          <cell r="A3906" t="str">
            <v>137-8</v>
          </cell>
          <cell r="B3906">
            <v>517</v>
          </cell>
          <cell r="D3906" t="str">
            <v>통신설비공</v>
          </cell>
          <cell r="E3906">
            <v>0</v>
          </cell>
          <cell r="F3906" t="str">
            <v>인</v>
          </cell>
          <cell r="H3906">
            <v>0.57000000000000006</v>
          </cell>
          <cell r="I3906" t="str">
            <v>x</v>
          </cell>
          <cell r="J3906">
            <v>0.03</v>
          </cell>
          <cell r="V3906" t="str">
            <v>=</v>
          </cell>
          <cell r="W3906">
            <v>0.02</v>
          </cell>
          <cell r="Y3906" t="str">
            <v>기본</v>
          </cell>
          <cell r="Z3906" t="str">
            <v>x</v>
          </cell>
          <cell r="AA3906" t="str">
            <v>공구손료</v>
          </cell>
          <cell r="AM3906">
            <v>77401</v>
          </cell>
          <cell r="AN3906">
            <v>0</v>
          </cell>
        </row>
        <row r="3907">
          <cell r="A3907" t="str">
            <v>137-9</v>
          </cell>
          <cell r="B3907">
            <v>520</v>
          </cell>
          <cell r="D3907" t="str">
            <v>무선안테나공</v>
          </cell>
          <cell r="E3907">
            <v>0</v>
          </cell>
          <cell r="F3907" t="str">
            <v>인</v>
          </cell>
          <cell r="H3907">
            <v>0.31</v>
          </cell>
          <cell r="I3907" t="str">
            <v>x</v>
          </cell>
          <cell r="J3907">
            <v>0.03</v>
          </cell>
          <cell r="V3907" t="str">
            <v>=</v>
          </cell>
          <cell r="W3907">
            <v>0.01</v>
          </cell>
          <cell r="Y3907" t="str">
            <v>기본</v>
          </cell>
          <cell r="Z3907" t="str">
            <v>x</v>
          </cell>
          <cell r="AA3907" t="str">
            <v>공구손료</v>
          </cell>
          <cell r="AM3907">
            <v>95000</v>
          </cell>
          <cell r="AN3907">
            <v>0</v>
          </cell>
        </row>
        <row r="3908">
          <cell r="A3908" t="str">
            <v>137-10</v>
          </cell>
          <cell r="B3908">
            <v>523</v>
          </cell>
          <cell r="D3908" t="str">
            <v>보통인부</v>
          </cell>
          <cell r="E3908">
            <v>0</v>
          </cell>
          <cell r="F3908" t="str">
            <v>인</v>
          </cell>
          <cell r="H3908">
            <v>0.25</v>
          </cell>
          <cell r="I3908" t="str">
            <v>x</v>
          </cell>
          <cell r="J3908">
            <v>0.03</v>
          </cell>
          <cell r="V3908" t="str">
            <v>=</v>
          </cell>
          <cell r="W3908">
            <v>0.01</v>
          </cell>
          <cell r="Y3908" t="str">
            <v>기본</v>
          </cell>
          <cell r="Z3908" t="str">
            <v>x</v>
          </cell>
          <cell r="AA3908" t="str">
            <v>공구손료</v>
          </cell>
          <cell r="AM3908">
            <v>40922</v>
          </cell>
          <cell r="AN3908">
            <v>0</v>
          </cell>
        </row>
        <row r="3909">
          <cell r="AM3909">
            <v>0</v>
          </cell>
          <cell r="AN3909">
            <v>0</v>
          </cell>
        </row>
        <row r="3910">
          <cell r="AM3910">
            <v>0</v>
          </cell>
        </row>
        <row r="3911">
          <cell r="AM3911">
            <v>0</v>
          </cell>
        </row>
        <row r="3912">
          <cell r="AM3912">
            <v>0</v>
          </cell>
        </row>
        <row r="3913">
          <cell r="AM3913">
            <v>0</v>
          </cell>
        </row>
        <row r="3914">
          <cell r="AM3914">
            <v>0</v>
          </cell>
        </row>
        <row r="3915">
          <cell r="AM3915">
            <v>0</v>
          </cell>
        </row>
        <row r="3916">
          <cell r="AM3916">
            <v>0</v>
          </cell>
        </row>
        <row r="3917">
          <cell r="AM3917">
            <v>0</v>
          </cell>
          <cell r="AN3917">
            <v>0</v>
          </cell>
        </row>
        <row r="3918">
          <cell r="A3918">
            <v>138</v>
          </cell>
          <cell r="C3918">
            <v>138</v>
          </cell>
          <cell r="D3918" t="str">
            <v>LCD 모니터 신설</v>
          </cell>
          <cell r="E3918" t="str">
            <v>40"(Stand Frame 포함)</v>
          </cell>
          <cell r="F3918" t="str">
            <v>대</v>
          </cell>
          <cell r="AM3918">
            <v>0</v>
          </cell>
          <cell r="AN3918">
            <v>0</v>
          </cell>
        </row>
        <row r="3919">
          <cell r="A3919" t="str">
            <v>138-1</v>
          </cell>
          <cell r="B3919">
            <v>541</v>
          </cell>
          <cell r="D3919" t="str">
            <v>가. 재료비</v>
          </cell>
          <cell r="E3919">
            <v>0</v>
          </cell>
          <cell r="F3919">
            <v>0</v>
          </cell>
          <cell r="AM3919">
            <v>0</v>
          </cell>
          <cell r="AN3919">
            <v>0</v>
          </cell>
        </row>
        <row r="3920">
          <cell r="A3920" t="str">
            <v>138-2</v>
          </cell>
          <cell r="B3920">
            <v>330</v>
          </cell>
          <cell r="D3920" t="str">
            <v>LCD 모니터</v>
          </cell>
          <cell r="E3920" t="str">
            <v>40"(Stand Frame 포함)</v>
          </cell>
          <cell r="F3920" t="str">
            <v>대</v>
          </cell>
          <cell r="V3920" t="str">
            <v>=</v>
          </cell>
          <cell r="W3920">
            <v>1</v>
          </cell>
          <cell r="AM3920">
            <v>10638000</v>
          </cell>
          <cell r="AN3920">
            <v>0</v>
          </cell>
        </row>
        <row r="3921">
          <cell r="A3921" t="str">
            <v>138-3</v>
          </cell>
          <cell r="B3921">
            <v>234</v>
          </cell>
          <cell r="D3921" t="str">
            <v>앙카볼트</v>
          </cell>
          <cell r="E3921" t="str">
            <v>M12xL120</v>
          </cell>
          <cell r="F3921" t="str">
            <v>개</v>
          </cell>
          <cell r="V3921" t="str">
            <v>=</v>
          </cell>
          <cell r="W3921">
            <v>4</v>
          </cell>
          <cell r="AM3921">
            <v>151</v>
          </cell>
          <cell r="AN3921">
            <v>0</v>
          </cell>
        </row>
        <row r="3922">
          <cell r="A3922" t="str">
            <v>138-4</v>
          </cell>
          <cell r="B3922">
            <v>542</v>
          </cell>
          <cell r="D3922" t="str">
            <v>나. 노무비</v>
          </cell>
          <cell r="E3922">
            <v>0</v>
          </cell>
          <cell r="F3922">
            <v>0</v>
          </cell>
          <cell r="AM3922">
            <v>0</v>
          </cell>
          <cell r="AN3922">
            <v>0</v>
          </cell>
        </row>
        <row r="3923">
          <cell r="D3923" t="str">
            <v>1) 모니터 설치</v>
          </cell>
          <cell r="AL3923" t="str">
            <v>통 5-97</v>
          </cell>
          <cell r="AM3923">
            <v>0</v>
          </cell>
        </row>
        <row r="3924">
          <cell r="B3924">
            <v>555</v>
          </cell>
          <cell r="D3924" t="str">
            <v>통신관련산업기사</v>
          </cell>
          <cell r="E3924">
            <v>0</v>
          </cell>
          <cell r="F3924" t="str">
            <v>인</v>
          </cell>
          <cell r="V3924" t="str">
            <v>=</v>
          </cell>
          <cell r="W3924">
            <v>0.1</v>
          </cell>
          <cell r="Y3924" t="str">
            <v>기본</v>
          </cell>
          <cell r="AM3924">
            <v>91949</v>
          </cell>
          <cell r="AN3924">
            <v>0</v>
          </cell>
        </row>
        <row r="3925">
          <cell r="B3925">
            <v>517</v>
          </cell>
          <cell r="D3925" t="str">
            <v>통신설비공</v>
          </cell>
          <cell r="E3925">
            <v>0</v>
          </cell>
          <cell r="F3925" t="str">
            <v>인</v>
          </cell>
          <cell r="V3925" t="str">
            <v>=</v>
          </cell>
          <cell r="W3925">
            <v>0.2</v>
          </cell>
          <cell r="Y3925" t="str">
            <v>기본</v>
          </cell>
          <cell r="AM3925">
            <v>77401</v>
          </cell>
          <cell r="AN3925">
            <v>0</v>
          </cell>
        </row>
        <row r="3926">
          <cell r="D3926" t="str">
            <v>2) 선로시험</v>
          </cell>
          <cell r="AM3926">
            <v>0</v>
          </cell>
        </row>
        <row r="3927">
          <cell r="B3927">
            <v>555</v>
          </cell>
          <cell r="D3927" t="str">
            <v>통신관련산업기사</v>
          </cell>
          <cell r="E3927">
            <v>0</v>
          </cell>
          <cell r="F3927" t="str">
            <v>인</v>
          </cell>
          <cell r="V3927" t="str">
            <v>=</v>
          </cell>
          <cell r="W3927">
            <v>0.2</v>
          </cell>
          <cell r="Y3927" t="str">
            <v>기본</v>
          </cell>
          <cell r="AM3927">
            <v>91949</v>
          </cell>
          <cell r="AN3927">
            <v>0</v>
          </cell>
        </row>
        <row r="3928">
          <cell r="B3928">
            <v>523</v>
          </cell>
          <cell r="D3928" t="str">
            <v>보통인부</v>
          </cell>
          <cell r="E3928">
            <v>0</v>
          </cell>
          <cell r="F3928" t="str">
            <v>인</v>
          </cell>
          <cell r="V3928" t="str">
            <v>=</v>
          </cell>
          <cell r="W3928">
            <v>0.2</v>
          </cell>
          <cell r="Y3928" t="str">
            <v>기본</v>
          </cell>
          <cell r="AM3928">
            <v>40922</v>
          </cell>
          <cell r="AN3928">
            <v>0</v>
          </cell>
        </row>
        <row r="3929">
          <cell r="D3929" t="str">
            <v>3) 앙카볼트 설치</v>
          </cell>
          <cell r="AM3929">
            <v>0</v>
          </cell>
        </row>
        <row r="3930">
          <cell r="B3930">
            <v>518</v>
          </cell>
          <cell r="D3930" t="str">
            <v>통신내선공</v>
          </cell>
          <cell r="E3930">
            <v>0</v>
          </cell>
          <cell r="F3930" t="str">
            <v>인</v>
          </cell>
          <cell r="H3930">
            <v>3.5999999999999997E-2</v>
          </cell>
          <cell r="I3930" t="str">
            <v>x</v>
          </cell>
          <cell r="J3930">
            <v>4</v>
          </cell>
          <cell r="V3930" t="str">
            <v>=</v>
          </cell>
          <cell r="W3930">
            <v>0.14000000000000001</v>
          </cell>
          <cell r="Y3930" t="str">
            <v>기본</v>
          </cell>
          <cell r="Z3930" t="str">
            <v>x</v>
          </cell>
          <cell r="AA3930" t="str">
            <v>단위량</v>
          </cell>
          <cell r="AM3930">
            <v>63806</v>
          </cell>
          <cell r="AN3930">
            <v>0</v>
          </cell>
        </row>
        <row r="3931">
          <cell r="B3931">
            <v>523</v>
          </cell>
          <cell r="D3931" t="str">
            <v>보통인부</v>
          </cell>
          <cell r="E3931">
            <v>0</v>
          </cell>
          <cell r="F3931" t="str">
            <v>인</v>
          </cell>
          <cell r="H3931">
            <v>0.08</v>
          </cell>
          <cell r="I3931" t="str">
            <v>x</v>
          </cell>
          <cell r="J3931">
            <v>4</v>
          </cell>
          <cell r="V3931" t="str">
            <v>=</v>
          </cell>
          <cell r="W3931">
            <v>0.32</v>
          </cell>
          <cell r="Y3931" t="str">
            <v>기본</v>
          </cell>
          <cell r="Z3931" t="str">
            <v>x</v>
          </cell>
          <cell r="AA3931" t="str">
            <v>단위량</v>
          </cell>
          <cell r="AM3931">
            <v>40922</v>
          </cell>
          <cell r="AN3931">
            <v>0</v>
          </cell>
        </row>
        <row r="3932">
          <cell r="B3932">
            <v>544</v>
          </cell>
          <cell r="D3932" t="str">
            <v>소    계</v>
          </cell>
          <cell r="E3932">
            <v>0</v>
          </cell>
          <cell r="F3932">
            <v>0</v>
          </cell>
          <cell r="AM3932">
            <v>0</v>
          </cell>
          <cell r="AN3932">
            <v>0</v>
          </cell>
        </row>
        <row r="3933">
          <cell r="A3933" t="str">
            <v>138-5</v>
          </cell>
          <cell r="B3933">
            <v>555</v>
          </cell>
          <cell r="D3933" t="str">
            <v>통신관련산업기사</v>
          </cell>
          <cell r="E3933">
            <v>0</v>
          </cell>
          <cell r="F3933" t="str">
            <v>인</v>
          </cell>
          <cell r="V3933" t="str">
            <v>=</v>
          </cell>
          <cell r="W3933">
            <v>0.30000000000000004</v>
          </cell>
          <cell r="AM3933">
            <v>91949</v>
          </cell>
          <cell r="AN3933">
            <v>0</v>
          </cell>
        </row>
        <row r="3934">
          <cell r="A3934" t="str">
            <v>138-6</v>
          </cell>
          <cell r="B3934">
            <v>517</v>
          </cell>
          <cell r="D3934" t="str">
            <v>통신설비공</v>
          </cell>
          <cell r="E3934">
            <v>0</v>
          </cell>
          <cell r="F3934" t="str">
            <v>인</v>
          </cell>
          <cell r="V3934" t="str">
            <v>=</v>
          </cell>
          <cell r="W3934">
            <v>0.2</v>
          </cell>
          <cell r="AM3934">
            <v>77401</v>
          </cell>
          <cell r="AN3934">
            <v>0</v>
          </cell>
        </row>
        <row r="3935">
          <cell r="A3935" t="str">
            <v>138-7</v>
          </cell>
          <cell r="B3935">
            <v>518</v>
          </cell>
          <cell r="D3935" t="str">
            <v>통신내선공</v>
          </cell>
          <cell r="E3935">
            <v>0</v>
          </cell>
          <cell r="F3935" t="str">
            <v>인</v>
          </cell>
          <cell r="V3935" t="str">
            <v>=</v>
          </cell>
          <cell r="W3935">
            <v>0.14000000000000001</v>
          </cell>
          <cell r="AM3935">
            <v>63806</v>
          </cell>
          <cell r="AN3935">
            <v>0</v>
          </cell>
        </row>
        <row r="3936">
          <cell r="A3936" t="str">
            <v>138-8</v>
          </cell>
          <cell r="B3936">
            <v>523</v>
          </cell>
          <cell r="D3936" t="str">
            <v>보통인부</v>
          </cell>
          <cell r="E3936">
            <v>0</v>
          </cell>
          <cell r="F3936" t="str">
            <v>인</v>
          </cell>
          <cell r="V3936" t="str">
            <v>=</v>
          </cell>
          <cell r="W3936">
            <v>0.52</v>
          </cell>
          <cell r="AM3936">
            <v>40922</v>
          </cell>
          <cell r="AN3936">
            <v>0</v>
          </cell>
        </row>
        <row r="3937">
          <cell r="A3937" t="str">
            <v>138-9</v>
          </cell>
          <cell r="B3937">
            <v>543</v>
          </cell>
          <cell r="D3937" t="str">
            <v>다. 공구손료</v>
          </cell>
          <cell r="E3937" t="str">
            <v>노무비x3%</v>
          </cell>
          <cell r="F3937">
            <v>0</v>
          </cell>
          <cell r="AM3937">
            <v>0</v>
          </cell>
          <cell r="AN3937">
            <v>0</v>
          </cell>
        </row>
        <row r="3938">
          <cell r="A3938" t="str">
            <v>138-10</v>
          </cell>
          <cell r="B3938">
            <v>555</v>
          </cell>
          <cell r="D3938" t="str">
            <v>통신관련산업기사</v>
          </cell>
          <cell r="E3938">
            <v>0</v>
          </cell>
          <cell r="F3938" t="str">
            <v>인</v>
          </cell>
          <cell r="H3938">
            <v>0.30000000000000004</v>
          </cell>
          <cell r="I3938" t="str">
            <v>x</v>
          </cell>
          <cell r="J3938">
            <v>0.03</v>
          </cell>
          <cell r="V3938" t="str">
            <v>=</v>
          </cell>
          <cell r="W3938">
            <v>0.01</v>
          </cell>
          <cell r="Y3938" t="str">
            <v>기본</v>
          </cell>
          <cell r="Z3938" t="str">
            <v>x</v>
          </cell>
          <cell r="AA3938" t="str">
            <v>공구손료</v>
          </cell>
          <cell r="AM3938">
            <v>91949</v>
          </cell>
          <cell r="AN3938">
            <v>0</v>
          </cell>
        </row>
        <row r="3939">
          <cell r="A3939" t="str">
            <v>138-11</v>
          </cell>
          <cell r="B3939">
            <v>517</v>
          </cell>
          <cell r="D3939" t="str">
            <v>통신설비공</v>
          </cell>
          <cell r="E3939">
            <v>0</v>
          </cell>
          <cell r="F3939" t="str">
            <v>인</v>
          </cell>
          <cell r="H3939">
            <v>0.2</v>
          </cell>
          <cell r="I3939" t="str">
            <v>x</v>
          </cell>
          <cell r="J3939">
            <v>0.03</v>
          </cell>
          <cell r="V3939" t="str">
            <v>=</v>
          </cell>
          <cell r="W3939">
            <v>0.01</v>
          </cell>
          <cell r="Y3939" t="str">
            <v>기본</v>
          </cell>
          <cell r="Z3939" t="str">
            <v>x</v>
          </cell>
          <cell r="AA3939" t="str">
            <v>공구손료</v>
          </cell>
          <cell r="AM3939">
            <v>77401</v>
          </cell>
          <cell r="AN3939">
            <v>0</v>
          </cell>
        </row>
        <row r="3940">
          <cell r="A3940" t="str">
            <v>138-12</v>
          </cell>
          <cell r="B3940">
            <v>518</v>
          </cell>
          <cell r="D3940" t="str">
            <v>통신내선공</v>
          </cell>
          <cell r="E3940">
            <v>0</v>
          </cell>
          <cell r="F3940" t="str">
            <v>인</v>
          </cell>
          <cell r="H3940">
            <v>0.14000000000000001</v>
          </cell>
          <cell r="I3940" t="str">
            <v>x</v>
          </cell>
          <cell r="J3940">
            <v>0.03</v>
          </cell>
          <cell r="V3940" t="str">
            <v>=</v>
          </cell>
          <cell r="W3940" t="str">
            <v>0</v>
          </cell>
          <cell r="Y3940" t="str">
            <v>기본</v>
          </cell>
          <cell r="Z3940" t="str">
            <v>x</v>
          </cell>
          <cell r="AA3940" t="str">
            <v>공구손료</v>
          </cell>
          <cell r="AM3940">
            <v>63806</v>
          </cell>
          <cell r="AN3940">
            <v>0</v>
          </cell>
        </row>
        <row r="3941">
          <cell r="A3941" t="str">
            <v>138-13</v>
          </cell>
          <cell r="B3941">
            <v>523</v>
          </cell>
          <cell r="D3941" t="str">
            <v>보통인부</v>
          </cell>
          <cell r="E3941">
            <v>0</v>
          </cell>
          <cell r="F3941" t="str">
            <v>인</v>
          </cell>
          <cell r="H3941">
            <v>0.52</v>
          </cell>
          <cell r="I3941" t="str">
            <v>x</v>
          </cell>
          <cell r="J3941">
            <v>0.03</v>
          </cell>
          <cell r="V3941" t="str">
            <v>=</v>
          </cell>
          <cell r="W3941">
            <v>0.02</v>
          </cell>
          <cell r="Y3941" t="str">
            <v>기본</v>
          </cell>
          <cell r="Z3941" t="str">
            <v>x</v>
          </cell>
          <cell r="AA3941" t="str">
            <v>공구손료</v>
          </cell>
          <cell r="AM3941">
            <v>40922</v>
          </cell>
          <cell r="AN3941">
            <v>0</v>
          </cell>
        </row>
        <row r="3942">
          <cell r="AM3942">
            <v>0</v>
          </cell>
        </row>
        <row r="3943">
          <cell r="AM3943">
            <v>0</v>
          </cell>
        </row>
        <row r="3944">
          <cell r="AM3944">
            <v>0</v>
          </cell>
          <cell r="AN3944">
            <v>0</v>
          </cell>
        </row>
        <row r="3945">
          <cell r="A3945">
            <v>139</v>
          </cell>
          <cell r="C3945">
            <v>139</v>
          </cell>
          <cell r="D3945" t="str">
            <v>S/W 신설</v>
          </cell>
          <cell r="E3945" t="str">
            <v>WEB BASE</v>
          </cell>
          <cell r="F3945" t="str">
            <v>대</v>
          </cell>
          <cell r="AM3945">
            <v>0</v>
          </cell>
          <cell r="AN3945">
            <v>0</v>
          </cell>
        </row>
        <row r="3946">
          <cell r="A3946" t="str">
            <v>139-1</v>
          </cell>
          <cell r="B3946">
            <v>541</v>
          </cell>
          <cell r="D3946" t="str">
            <v>가. 재료비</v>
          </cell>
          <cell r="E3946">
            <v>0</v>
          </cell>
          <cell r="F3946">
            <v>0</v>
          </cell>
          <cell r="AM3946">
            <v>0</v>
          </cell>
          <cell r="AN3946">
            <v>0</v>
          </cell>
        </row>
        <row r="3947">
          <cell r="A3947" t="str">
            <v>139-2</v>
          </cell>
          <cell r="B3947">
            <v>331</v>
          </cell>
          <cell r="D3947" t="str">
            <v>S/W</v>
          </cell>
          <cell r="E3947" t="str">
            <v>WEB BASE</v>
          </cell>
          <cell r="F3947" t="str">
            <v>대</v>
          </cell>
          <cell r="V3947" t="str">
            <v>=</v>
          </cell>
          <cell r="W3947">
            <v>1</v>
          </cell>
          <cell r="AM3947">
            <v>72754000</v>
          </cell>
          <cell r="AN3947">
            <v>0</v>
          </cell>
        </row>
        <row r="3948">
          <cell r="A3948" t="str">
            <v>139-3</v>
          </cell>
          <cell r="B3948">
            <v>542</v>
          </cell>
          <cell r="D3948" t="str">
            <v>나. 노무비</v>
          </cell>
          <cell r="E3948">
            <v>0</v>
          </cell>
          <cell r="F3948">
            <v>0</v>
          </cell>
          <cell r="AL3948" t="str">
            <v>통8-5-라</v>
          </cell>
          <cell r="AM3948">
            <v>0</v>
          </cell>
          <cell r="AN3948">
            <v>0</v>
          </cell>
        </row>
        <row r="3949">
          <cell r="B3949">
            <v>555</v>
          </cell>
          <cell r="D3949" t="str">
            <v>통신관련산업기사</v>
          </cell>
          <cell r="E3949">
            <v>0</v>
          </cell>
          <cell r="F3949" t="str">
            <v>인</v>
          </cell>
          <cell r="V3949" t="str">
            <v>=</v>
          </cell>
          <cell r="W3949">
            <v>0.1</v>
          </cell>
          <cell r="Y3949" t="str">
            <v>기본</v>
          </cell>
          <cell r="AM3949">
            <v>91949</v>
          </cell>
          <cell r="AN3949">
            <v>0</v>
          </cell>
        </row>
        <row r="3950">
          <cell r="B3950">
            <v>529</v>
          </cell>
          <cell r="D3950" t="str">
            <v>S/W시험사</v>
          </cell>
          <cell r="E3950">
            <v>0</v>
          </cell>
          <cell r="F3950" t="str">
            <v>인</v>
          </cell>
          <cell r="V3950" t="str">
            <v>=</v>
          </cell>
          <cell r="W3950">
            <v>0.28000000000000003</v>
          </cell>
          <cell r="Y3950" t="str">
            <v>기본</v>
          </cell>
          <cell r="AM3950">
            <v>98026</v>
          </cell>
          <cell r="AN3950">
            <v>0</v>
          </cell>
        </row>
        <row r="3951">
          <cell r="B3951">
            <v>544</v>
          </cell>
          <cell r="D3951" t="str">
            <v>소    계</v>
          </cell>
          <cell r="E3951">
            <v>0</v>
          </cell>
          <cell r="F3951">
            <v>0</v>
          </cell>
          <cell r="AM3951">
            <v>0</v>
          </cell>
          <cell r="AN3951">
            <v>0</v>
          </cell>
        </row>
        <row r="3952">
          <cell r="A3952" t="str">
            <v>139-4</v>
          </cell>
          <cell r="B3952">
            <v>555</v>
          </cell>
          <cell r="D3952" t="str">
            <v>통신관련산업기사</v>
          </cell>
          <cell r="E3952">
            <v>0</v>
          </cell>
          <cell r="F3952" t="str">
            <v>인</v>
          </cell>
          <cell r="V3952" t="str">
            <v>=</v>
          </cell>
          <cell r="W3952">
            <v>0.1</v>
          </cell>
          <cell r="AM3952">
            <v>91949</v>
          </cell>
          <cell r="AN3952">
            <v>0</v>
          </cell>
        </row>
        <row r="3953">
          <cell r="A3953" t="str">
            <v>139-5</v>
          </cell>
          <cell r="B3953">
            <v>529</v>
          </cell>
          <cell r="D3953" t="str">
            <v>S/W시험사</v>
          </cell>
          <cell r="E3953">
            <v>0</v>
          </cell>
          <cell r="F3953" t="str">
            <v>인</v>
          </cell>
          <cell r="V3953" t="str">
            <v>=</v>
          </cell>
          <cell r="W3953">
            <v>0.28000000000000003</v>
          </cell>
          <cell r="AM3953">
            <v>98026</v>
          </cell>
          <cell r="AN3953">
            <v>0</v>
          </cell>
        </row>
        <row r="3954">
          <cell r="A3954" t="str">
            <v>139-6</v>
          </cell>
          <cell r="B3954">
            <v>543</v>
          </cell>
          <cell r="D3954" t="str">
            <v>다. 공구손료</v>
          </cell>
          <cell r="E3954" t="str">
            <v>노무비x3%</v>
          </cell>
          <cell r="F3954">
            <v>0</v>
          </cell>
          <cell r="AM3954">
            <v>0</v>
          </cell>
          <cell r="AN3954">
            <v>0</v>
          </cell>
        </row>
        <row r="3955">
          <cell r="A3955" t="str">
            <v>139-7</v>
          </cell>
          <cell r="B3955">
            <v>555</v>
          </cell>
          <cell r="D3955" t="str">
            <v>통신관련산업기사</v>
          </cell>
          <cell r="E3955">
            <v>0</v>
          </cell>
          <cell r="F3955" t="str">
            <v>인</v>
          </cell>
          <cell r="H3955">
            <v>0.1</v>
          </cell>
          <cell r="I3955" t="str">
            <v>x</v>
          </cell>
          <cell r="J3955">
            <v>0.03</v>
          </cell>
          <cell r="V3955" t="str">
            <v>=</v>
          </cell>
          <cell r="W3955" t="str">
            <v>0</v>
          </cell>
          <cell r="Y3955" t="str">
            <v>기본</v>
          </cell>
          <cell r="Z3955" t="str">
            <v>x</v>
          </cell>
          <cell r="AA3955" t="str">
            <v>공구손료</v>
          </cell>
          <cell r="AM3955">
            <v>91949</v>
          </cell>
          <cell r="AN3955">
            <v>0</v>
          </cell>
        </row>
        <row r="3956">
          <cell r="A3956" t="str">
            <v>139-8</v>
          </cell>
          <cell r="B3956">
            <v>529</v>
          </cell>
          <cell r="D3956" t="str">
            <v>S/W시험사</v>
          </cell>
          <cell r="E3956">
            <v>0</v>
          </cell>
          <cell r="F3956" t="str">
            <v>인</v>
          </cell>
          <cell r="H3956">
            <v>0.28000000000000003</v>
          </cell>
          <cell r="I3956" t="str">
            <v>x</v>
          </cell>
          <cell r="J3956">
            <v>0.03</v>
          </cell>
          <cell r="V3956" t="str">
            <v>=</v>
          </cell>
          <cell r="W3956">
            <v>0.01</v>
          </cell>
          <cell r="Y3956" t="str">
            <v>기본</v>
          </cell>
          <cell r="Z3956" t="str">
            <v>x</v>
          </cell>
          <cell r="AA3956" t="str">
            <v>공구손료</v>
          </cell>
          <cell r="AM3956">
            <v>98026</v>
          </cell>
          <cell r="AN3956">
            <v>0</v>
          </cell>
        </row>
        <row r="3957">
          <cell r="AM3957">
            <v>0</v>
          </cell>
          <cell r="AN3957">
            <v>0</v>
          </cell>
        </row>
        <row r="3958">
          <cell r="AM3958">
            <v>0</v>
          </cell>
          <cell r="AN3958">
            <v>0</v>
          </cell>
        </row>
        <row r="3959">
          <cell r="AM3959">
            <v>0</v>
          </cell>
        </row>
        <row r="3960">
          <cell r="AM3960">
            <v>0</v>
          </cell>
        </row>
        <row r="3961">
          <cell r="AM3961">
            <v>0</v>
          </cell>
        </row>
        <row r="3962">
          <cell r="AM3962">
            <v>0</v>
          </cell>
        </row>
        <row r="3963">
          <cell r="AM3963">
            <v>0</v>
          </cell>
        </row>
        <row r="3964">
          <cell r="AM3964">
            <v>0</v>
          </cell>
        </row>
        <row r="3965">
          <cell r="AM3965">
            <v>0</v>
          </cell>
        </row>
        <row r="3966">
          <cell r="AM3966">
            <v>0</v>
          </cell>
        </row>
        <row r="3967">
          <cell r="AM3967">
            <v>0</v>
          </cell>
          <cell r="AN3967">
            <v>0</v>
          </cell>
        </row>
        <row r="3968">
          <cell r="AM3968">
            <v>0</v>
          </cell>
          <cell r="AN3968">
            <v>0</v>
          </cell>
        </row>
        <row r="3969">
          <cell r="AM3969">
            <v>0</v>
          </cell>
          <cell r="AN3969">
            <v>0</v>
          </cell>
        </row>
        <row r="3970">
          <cell r="AM3970">
            <v>0</v>
          </cell>
          <cell r="AN3970">
            <v>0</v>
          </cell>
        </row>
        <row r="3971">
          <cell r="AM3971">
            <v>0</v>
          </cell>
          <cell r="AN3971">
            <v>0</v>
          </cell>
        </row>
        <row r="3972">
          <cell r="A3972">
            <v>140</v>
          </cell>
          <cell r="C3972">
            <v>140</v>
          </cell>
          <cell r="D3972" t="str">
            <v>주제어(망교환)장치(시스템 관리장치 포함)</v>
          </cell>
          <cell r="F3972" t="str">
            <v>식</v>
          </cell>
          <cell r="AM3972">
            <v>0</v>
          </cell>
          <cell r="AN3972">
            <v>0</v>
          </cell>
        </row>
        <row r="3973">
          <cell r="A3973" t="str">
            <v>140-1</v>
          </cell>
          <cell r="B3973">
            <v>541</v>
          </cell>
          <cell r="D3973" t="str">
            <v>가. 재료비</v>
          </cell>
          <cell r="E3973">
            <v>0</v>
          </cell>
          <cell r="F3973">
            <v>0</v>
          </cell>
          <cell r="AM3973">
            <v>0</v>
          </cell>
          <cell r="AN3973">
            <v>0</v>
          </cell>
        </row>
        <row r="3974">
          <cell r="A3974" t="str">
            <v>140-2</v>
          </cell>
          <cell r="B3974">
            <v>335</v>
          </cell>
          <cell r="D3974" t="str">
            <v>주제어(망교환)장치(시스템관리장치포함)</v>
          </cell>
          <cell r="E3974">
            <v>0</v>
          </cell>
          <cell r="F3974" t="str">
            <v>식</v>
          </cell>
          <cell r="V3974" t="str">
            <v>=</v>
          </cell>
          <cell r="W3974">
            <v>1</v>
          </cell>
          <cell r="AM3974">
            <v>3347496000</v>
          </cell>
          <cell r="AN3974" t="str">
            <v>부산3호선 설계가의 97.88% 적용</v>
          </cell>
        </row>
        <row r="3975">
          <cell r="A3975" t="str">
            <v>140-3</v>
          </cell>
          <cell r="B3975" t="str">
            <v>335-1</v>
          </cell>
          <cell r="D3975" t="str">
            <v>단말기 및 기지국 품질 검사장치</v>
          </cell>
          <cell r="E3975">
            <v>0</v>
          </cell>
          <cell r="F3975" t="str">
            <v>식</v>
          </cell>
          <cell r="V3975" t="str">
            <v>=</v>
          </cell>
          <cell r="W3975">
            <v>1</v>
          </cell>
          <cell r="AM3975">
            <v>92794000</v>
          </cell>
          <cell r="AN3975">
            <v>0</v>
          </cell>
        </row>
        <row r="3976">
          <cell r="A3976" t="str">
            <v>140-4</v>
          </cell>
          <cell r="B3976" t="str">
            <v>335-2</v>
          </cell>
          <cell r="D3976" t="str">
            <v>표준공급품</v>
          </cell>
          <cell r="E3976">
            <v>0</v>
          </cell>
          <cell r="F3976" t="str">
            <v>식</v>
          </cell>
          <cell r="V3976" t="str">
            <v>=</v>
          </cell>
          <cell r="W3976">
            <v>1</v>
          </cell>
          <cell r="AM3976">
            <v>726700</v>
          </cell>
          <cell r="AN3976">
            <v>0</v>
          </cell>
        </row>
        <row r="3977">
          <cell r="A3977" t="str">
            <v>140-5</v>
          </cell>
          <cell r="B3977">
            <v>542</v>
          </cell>
          <cell r="D3977" t="str">
            <v>나. 노무비</v>
          </cell>
          <cell r="E3977">
            <v>0</v>
          </cell>
          <cell r="F3977">
            <v>0</v>
          </cell>
          <cell r="AL3977" t="str">
            <v>통 5-59</v>
          </cell>
          <cell r="AM3977">
            <v>0</v>
          </cell>
          <cell r="AN3977">
            <v>0</v>
          </cell>
        </row>
        <row r="3978">
          <cell r="D3978" t="str">
            <v>1) 마킹 및 레벨링</v>
          </cell>
          <cell r="AM3978">
            <v>0</v>
          </cell>
        </row>
        <row r="3979">
          <cell r="B3979">
            <v>517</v>
          </cell>
          <cell r="D3979" t="str">
            <v>통신설비공</v>
          </cell>
          <cell r="E3979">
            <v>0</v>
          </cell>
          <cell r="F3979" t="str">
            <v>인</v>
          </cell>
          <cell r="H3979">
            <v>0.05</v>
          </cell>
          <cell r="I3979" t="str">
            <v>x</v>
          </cell>
          <cell r="J3979">
            <v>3</v>
          </cell>
          <cell r="V3979" t="str">
            <v>=</v>
          </cell>
          <cell r="W3979">
            <v>0.15</v>
          </cell>
          <cell r="Y3979" t="str">
            <v>기본</v>
          </cell>
          <cell r="Z3979" t="str">
            <v>x</v>
          </cell>
          <cell r="AA3979" t="str">
            <v>단위량</v>
          </cell>
          <cell r="AM3979">
            <v>77401</v>
          </cell>
          <cell r="AN3979">
            <v>0</v>
          </cell>
        </row>
        <row r="3980">
          <cell r="B3980">
            <v>523</v>
          </cell>
          <cell r="D3980" t="str">
            <v>보통인부</v>
          </cell>
          <cell r="E3980">
            <v>0</v>
          </cell>
          <cell r="F3980" t="str">
            <v>인</v>
          </cell>
          <cell r="H3980">
            <v>0.05</v>
          </cell>
          <cell r="I3980" t="str">
            <v>x</v>
          </cell>
          <cell r="J3980">
            <v>3</v>
          </cell>
          <cell r="V3980" t="str">
            <v>=</v>
          </cell>
          <cell r="W3980">
            <v>0.15</v>
          </cell>
          <cell r="Y3980" t="str">
            <v>기본</v>
          </cell>
          <cell r="Z3980" t="str">
            <v>x</v>
          </cell>
          <cell r="AA3980" t="str">
            <v>단위량</v>
          </cell>
          <cell r="AM3980">
            <v>40922</v>
          </cell>
          <cell r="AN3980">
            <v>0</v>
          </cell>
        </row>
        <row r="3981">
          <cell r="D3981" t="str">
            <v>2) 포장해체 및 반입</v>
          </cell>
          <cell r="AM3981">
            <v>0</v>
          </cell>
          <cell r="AN3981">
            <v>0</v>
          </cell>
        </row>
        <row r="3982">
          <cell r="B3982">
            <v>517</v>
          </cell>
          <cell r="D3982" t="str">
            <v>통신설비공</v>
          </cell>
          <cell r="E3982">
            <v>0</v>
          </cell>
          <cell r="F3982" t="str">
            <v>인</v>
          </cell>
          <cell r="H3982">
            <v>0.5</v>
          </cell>
          <cell r="I3982" t="str">
            <v>x</v>
          </cell>
          <cell r="J3982">
            <v>3</v>
          </cell>
          <cell r="V3982" t="str">
            <v>=</v>
          </cell>
          <cell r="W3982">
            <v>1.5</v>
          </cell>
          <cell r="Y3982" t="str">
            <v>기본</v>
          </cell>
          <cell r="Z3982" t="str">
            <v>x</v>
          </cell>
          <cell r="AA3982" t="str">
            <v>단위량</v>
          </cell>
          <cell r="AM3982">
            <v>77401</v>
          </cell>
          <cell r="AN3982">
            <v>0</v>
          </cell>
        </row>
        <row r="3983">
          <cell r="B3983">
            <v>523</v>
          </cell>
          <cell r="D3983" t="str">
            <v>보통인부</v>
          </cell>
          <cell r="E3983">
            <v>0</v>
          </cell>
          <cell r="F3983" t="str">
            <v>인</v>
          </cell>
          <cell r="H3983">
            <v>0.5</v>
          </cell>
          <cell r="I3983" t="str">
            <v>x</v>
          </cell>
          <cell r="J3983">
            <v>3</v>
          </cell>
          <cell r="V3983" t="str">
            <v>=</v>
          </cell>
          <cell r="W3983">
            <v>1.5</v>
          </cell>
          <cell r="Y3983" t="str">
            <v>기본</v>
          </cell>
          <cell r="Z3983" t="str">
            <v>x</v>
          </cell>
          <cell r="AA3983" t="str">
            <v>단위량</v>
          </cell>
          <cell r="AM3983">
            <v>40922</v>
          </cell>
          <cell r="AN3983">
            <v>0</v>
          </cell>
        </row>
        <row r="3984">
          <cell r="D3984" t="str">
            <v>3) 장치거치</v>
          </cell>
          <cell r="AM3984">
            <v>0</v>
          </cell>
          <cell r="AN3984">
            <v>0</v>
          </cell>
        </row>
        <row r="3985">
          <cell r="B3985">
            <v>517</v>
          </cell>
          <cell r="D3985" t="str">
            <v>통신설비공</v>
          </cell>
          <cell r="E3985">
            <v>0</v>
          </cell>
          <cell r="F3985" t="str">
            <v>인</v>
          </cell>
          <cell r="H3985">
            <v>0.5</v>
          </cell>
          <cell r="I3985" t="str">
            <v>x</v>
          </cell>
          <cell r="J3985">
            <v>3</v>
          </cell>
          <cell r="V3985" t="str">
            <v>=</v>
          </cell>
          <cell r="W3985">
            <v>1.5</v>
          </cell>
          <cell r="Y3985" t="str">
            <v>기본</v>
          </cell>
          <cell r="Z3985" t="str">
            <v>x</v>
          </cell>
          <cell r="AA3985" t="str">
            <v>단위량</v>
          </cell>
          <cell r="AM3985">
            <v>77401</v>
          </cell>
          <cell r="AN3985">
            <v>0</v>
          </cell>
        </row>
        <row r="3986">
          <cell r="B3986">
            <v>523</v>
          </cell>
          <cell r="D3986" t="str">
            <v>보통인부</v>
          </cell>
          <cell r="E3986">
            <v>0</v>
          </cell>
          <cell r="F3986" t="str">
            <v>인</v>
          </cell>
          <cell r="H3986">
            <v>0.5</v>
          </cell>
          <cell r="I3986" t="str">
            <v>x</v>
          </cell>
          <cell r="J3986">
            <v>3</v>
          </cell>
          <cell r="V3986" t="str">
            <v>=</v>
          </cell>
          <cell r="W3986">
            <v>1.5</v>
          </cell>
          <cell r="Y3986" t="str">
            <v>기본</v>
          </cell>
          <cell r="Z3986" t="str">
            <v>x</v>
          </cell>
          <cell r="AA3986" t="str">
            <v>단위량</v>
          </cell>
          <cell r="AM3986">
            <v>40922</v>
          </cell>
          <cell r="AN3986">
            <v>0</v>
          </cell>
        </row>
        <row r="3987">
          <cell r="D3987" t="str">
            <v>4) 대국시험</v>
          </cell>
          <cell r="AL3987" t="str">
            <v>통5-2</v>
          </cell>
          <cell r="AM3987">
            <v>0</v>
          </cell>
          <cell r="AN3987">
            <v>0</v>
          </cell>
        </row>
        <row r="3988">
          <cell r="B3988">
            <v>555</v>
          </cell>
          <cell r="D3988" t="str">
            <v>통신관련산업기사</v>
          </cell>
          <cell r="E3988">
            <v>0</v>
          </cell>
          <cell r="F3988" t="str">
            <v>인</v>
          </cell>
          <cell r="H3988">
            <v>2.8</v>
          </cell>
          <cell r="I3988" t="str">
            <v>x</v>
          </cell>
          <cell r="J3988">
            <v>3</v>
          </cell>
          <cell r="V3988" t="str">
            <v>=</v>
          </cell>
          <cell r="W3988">
            <v>8.4</v>
          </cell>
          <cell r="Y3988" t="str">
            <v>기본</v>
          </cell>
          <cell r="Z3988" t="str">
            <v>x</v>
          </cell>
          <cell r="AA3988" t="str">
            <v>단위량</v>
          </cell>
          <cell r="AM3988">
            <v>91949</v>
          </cell>
          <cell r="AN3988">
            <v>0</v>
          </cell>
        </row>
        <row r="3989">
          <cell r="B3989">
            <v>544</v>
          </cell>
          <cell r="D3989" t="str">
            <v>소    계</v>
          </cell>
          <cell r="E3989">
            <v>0</v>
          </cell>
          <cell r="F3989">
            <v>0</v>
          </cell>
          <cell r="AM3989">
            <v>0</v>
          </cell>
          <cell r="AN3989">
            <v>0</v>
          </cell>
        </row>
        <row r="3990">
          <cell r="A3990" t="str">
            <v>140-6</v>
          </cell>
          <cell r="B3990">
            <v>517</v>
          </cell>
          <cell r="D3990" t="str">
            <v>통신설비공</v>
          </cell>
          <cell r="E3990">
            <v>0</v>
          </cell>
          <cell r="F3990" t="str">
            <v>인</v>
          </cell>
          <cell r="V3990" t="str">
            <v>=</v>
          </cell>
          <cell r="W3990">
            <v>3.15</v>
          </cell>
          <cell r="AM3990">
            <v>77401</v>
          </cell>
          <cell r="AN3990">
            <v>0</v>
          </cell>
        </row>
        <row r="3991">
          <cell r="A3991" t="str">
            <v>140-7</v>
          </cell>
          <cell r="B3991">
            <v>523</v>
          </cell>
          <cell r="D3991" t="str">
            <v>보통인부</v>
          </cell>
          <cell r="E3991">
            <v>0</v>
          </cell>
          <cell r="F3991" t="str">
            <v>인</v>
          </cell>
          <cell r="V3991" t="str">
            <v>=</v>
          </cell>
          <cell r="W3991">
            <v>3.15</v>
          </cell>
          <cell r="AM3991">
            <v>40922</v>
          </cell>
          <cell r="AN3991">
            <v>0</v>
          </cell>
        </row>
        <row r="3992">
          <cell r="A3992" t="str">
            <v>140-8</v>
          </cell>
          <cell r="B3992">
            <v>555</v>
          </cell>
          <cell r="D3992" t="str">
            <v>통신관련산업기사</v>
          </cell>
          <cell r="E3992">
            <v>0</v>
          </cell>
          <cell r="F3992" t="str">
            <v>인</v>
          </cell>
          <cell r="V3992" t="str">
            <v>=</v>
          </cell>
          <cell r="W3992">
            <v>8.4</v>
          </cell>
          <cell r="AM3992">
            <v>91949</v>
          </cell>
          <cell r="AN3992">
            <v>0</v>
          </cell>
        </row>
        <row r="3993">
          <cell r="A3993" t="str">
            <v>140-9</v>
          </cell>
          <cell r="B3993">
            <v>543</v>
          </cell>
          <cell r="D3993" t="str">
            <v>다. 공구손료</v>
          </cell>
          <cell r="E3993" t="str">
            <v>노무비x3%</v>
          </cell>
          <cell r="F3993">
            <v>0</v>
          </cell>
          <cell r="AM3993">
            <v>0</v>
          </cell>
          <cell r="AN3993">
            <v>0</v>
          </cell>
        </row>
        <row r="3994">
          <cell r="A3994" t="str">
            <v>140-10</v>
          </cell>
          <cell r="B3994">
            <v>517</v>
          </cell>
          <cell r="D3994" t="str">
            <v>통신설비공</v>
          </cell>
          <cell r="E3994">
            <v>0</v>
          </cell>
          <cell r="F3994" t="str">
            <v>인</v>
          </cell>
          <cell r="H3994">
            <v>3.15</v>
          </cell>
          <cell r="I3994" t="str">
            <v>x</v>
          </cell>
          <cell r="J3994">
            <v>0.03</v>
          </cell>
          <cell r="V3994" t="str">
            <v>=</v>
          </cell>
          <cell r="W3994">
            <v>0.09</v>
          </cell>
          <cell r="Y3994" t="str">
            <v>기본</v>
          </cell>
          <cell r="Z3994" t="str">
            <v>x</v>
          </cell>
          <cell r="AA3994" t="str">
            <v>공구손료</v>
          </cell>
          <cell r="AM3994">
            <v>77401</v>
          </cell>
          <cell r="AN3994">
            <v>0</v>
          </cell>
        </row>
        <row r="3995">
          <cell r="A3995" t="str">
            <v>140-11</v>
          </cell>
          <cell r="B3995">
            <v>523</v>
          </cell>
          <cell r="D3995" t="str">
            <v>보통인부</v>
          </cell>
          <cell r="E3995">
            <v>0</v>
          </cell>
          <cell r="F3995" t="str">
            <v>인</v>
          </cell>
          <cell r="H3995">
            <v>3.15</v>
          </cell>
          <cell r="I3995" t="str">
            <v>x</v>
          </cell>
          <cell r="J3995">
            <v>0.03</v>
          </cell>
          <cell r="V3995" t="str">
            <v>=</v>
          </cell>
          <cell r="W3995">
            <v>0.09</v>
          </cell>
          <cell r="Y3995" t="str">
            <v>기본</v>
          </cell>
          <cell r="Z3995" t="str">
            <v>x</v>
          </cell>
          <cell r="AA3995" t="str">
            <v>공구손료</v>
          </cell>
          <cell r="AM3995">
            <v>40922</v>
          </cell>
          <cell r="AN3995">
            <v>0</v>
          </cell>
        </row>
        <row r="3996">
          <cell r="A3996" t="str">
            <v>140-12</v>
          </cell>
          <cell r="B3996">
            <v>555</v>
          </cell>
          <cell r="D3996" t="str">
            <v>통신관련산업기사</v>
          </cell>
          <cell r="E3996">
            <v>0</v>
          </cell>
          <cell r="F3996" t="str">
            <v>인</v>
          </cell>
          <cell r="H3996">
            <v>8.4</v>
          </cell>
          <cell r="I3996" t="str">
            <v>x</v>
          </cell>
          <cell r="J3996">
            <v>0.03</v>
          </cell>
          <cell r="V3996" t="str">
            <v>=</v>
          </cell>
          <cell r="W3996">
            <v>0.25</v>
          </cell>
          <cell r="Y3996" t="str">
            <v>기본</v>
          </cell>
          <cell r="Z3996" t="str">
            <v>x</v>
          </cell>
          <cell r="AA3996" t="str">
            <v>공구손료</v>
          </cell>
          <cell r="AM3996">
            <v>91949</v>
          </cell>
          <cell r="AN3996">
            <v>0</v>
          </cell>
        </row>
        <row r="3997">
          <cell r="AM3997">
            <v>0</v>
          </cell>
        </row>
        <row r="3998">
          <cell r="AM3998">
            <v>0</v>
          </cell>
          <cell r="AN3998">
            <v>0</v>
          </cell>
        </row>
        <row r="3999">
          <cell r="A3999">
            <v>141</v>
          </cell>
          <cell r="C3999">
            <v>141</v>
          </cell>
          <cell r="D3999" t="str">
            <v>기지국 장치 신설</v>
          </cell>
          <cell r="F3999" t="str">
            <v>식</v>
          </cell>
          <cell r="AM3999">
            <v>0</v>
          </cell>
          <cell r="AN3999">
            <v>0</v>
          </cell>
        </row>
        <row r="4000">
          <cell r="A4000" t="str">
            <v>141-1</v>
          </cell>
          <cell r="B4000">
            <v>541</v>
          </cell>
          <cell r="D4000" t="str">
            <v>가. 재료비</v>
          </cell>
          <cell r="E4000">
            <v>0</v>
          </cell>
          <cell r="F4000">
            <v>0</v>
          </cell>
          <cell r="AM4000">
            <v>0</v>
          </cell>
          <cell r="AN4000">
            <v>0</v>
          </cell>
        </row>
        <row r="4001">
          <cell r="A4001" t="str">
            <v>141-2</v>
          </cell>
          <cell r="B4001">
            <v>336</v>
          </cell>
          <cell r="D4001" t="str">
            <v xml:space="preserve">기지국 장치 </v>
          </cell>
          <cell r="E4001">
            <v>0</v>
          </cell>
          <cell r="F4001" t="str">
            <v>식</v>
          </cell>
          <cell r="V4001" t="str">
            <v>=</v>
          </cell>
          <cell r="W4001">
            <v>1</v>
          </cell>
          <cell r="AM4001">
            <v>175860990</v>
          </cell>
          <cell r="AN4001" t="str">
            <v>부산3호선 설계가의 97.88% 적용</v>
          </cell>
        </row>
        <row r="4002">
          <cell r="A4002" t="str">
            <v>141-3</v>
          </cell>
          <cell r="B4002">
            <v>542</v>
          </cell>
          <cell r="D4002" t="str">
            <v>나. 노무비</v>
          </cell>
          <cell r="E4002">
            <v>0</v>
          </cell>
          <cell r="F4002">
            <v>0</v>
          </cell>
          <cell r="AM4002">
            <v>0</v>
          </cell>
          <cell r="AN4002">
            <v>0</v>
          </cell>
        </row>
        <row r="4003">
          <cell r="D4003" t="str">
            <v>1) 조립및설치</v>
          </cell>
          <cell r="AM4003">
            <v>0</v>
          </cell>
          <cell r="AN4003">
            <v>0</v>
          </cell>
        </row>
        <row r="4004">
          <cell r="B4004">
            <v>517</v>
          </cell>
          <cell r="D4004" t="str">
            <v>통신설비공</v>
          </cell>
          <cell r="E4004">
            <v>0</v>
          </cell>
          <cell r="F4004" t="str">
            <v>인</v>
          </cell>
          <cell r="H4004">
            <v>0.5</v>
          </cell>
          <cell r="I4004" t="str">
            <v>x</v>
          </cell>
          <cell r="J4004">
            <v>1</v>
          </cell>
          <cell r="V4004" t="str">
            <v>=</v>
          </cell>
          <cell r="W4004">
            <v>0.5</v>
          </cell>
          <cell r="Y4004" t="str">
            <v>기본</v>
          </cell>
          <cell r="Z4004" t="str">
            <v>x</v>
          </cell>
          <cell r="AA4004" t="str">
            <v>단위량</v>
          </cell>
          <cell r="AL4004" t="str">
            <v>통5-2</v>
          </cell>
          <cell r="AM4004">
            <v>77401</v>
          </cell>
          <cell r="AN4004">
            <v>0</v>
          </cell>
        </row>
        <row r="4005">
          <cell r="B4005">
            <v>523</v>
          </cell>
          <cell r="D4005" t="str">
            <v>보통인부</v>
          </cell>
          <cell r="E4005">
            <v>0</v>
          </cell>
          <cell r="F4005" t="str">
            <v>인</v>
          </cell>
          <cell r="H4005">
            <v>1</v>
          </cell>
          <cell r="I4005" t="str">
            <v>x</v>
          </cell>
          <cell r="J4005">
            <v>1</v>
          </cell>
          <cell r="V4005" t="str">
            <v>=</v>
          </cell>
          <cell r="W4005">
            <v>1</v>
          </cell>
          <cell r="Y4005" t="str">
            <v>기본</v>
          </cell>
          <cell r="Z4005" t="str">
            <v>x</v>
          </cell>
          <cell r="AA4005" t="str">
            <v>단위량</v>
          </cell>
          <cell r="AM4005">
            <v>40922</v>
          </cell>
          <cell r="AN4005">
            <v>0</v>
          </cell>
        </row>
        <row r="4006">
          <cell r="D4006" t="str">
            <v>2) 국부점검및조정시험</v>
          </cell>
          <cell r="AM4006">
            <v>0</v>
          </cell>
          <cell r="AN4006">
            <v>0</v>
          </cell>
        </row>
        <row r="4007">
          <cell r="B4007">
            <v>555</v>
          </cell>
          <cell r="D4007" t="str">
            <v>통신관련산업기사</v>
          </cell>
          <cell r="E4007">
            <v>0</v>
          </cell>
          <cell r="F4007" t="str">
            <v>인</v>
          </cell>
          <cell r="H4007">
            <v>4</v>
          </cell>
          <cell r="I4007" t="str">
            <v>x</v>
          </cell>
          <cell r="J4007">
            <v>1</v>
          </cell>
          <cell r="K4007" t="str">
            <v>+</v>
          </cell>
          <cell r="L4007" t="str">
            <v>(</v>
          </cell>
          <cell r="M4007">
            <v>0.2</v>
          </cell>
          <cell r="N4007" t="str">
            <v>x</v>
          </cell>
          <cell r="O4007">
            <v>2</v>
          </cell>
          <cell r="P4007" t="str">
            <v>)</v>
          </cell>
          <cell r="V4007" t="str">
            <v>=</v>
          </cell>
          <cell r="W4007">
            <v>4.4000000000000004</v>
          </cell>
          <cell r="Y4007" t="str">
            <v>기본</v>
          </cell>
          <cell r="Z4007" t="str">
            <v>x</v>
          </cell>
          <cell r="AA4007" t="str">
            <v>단위량</v>
          </cell>
          <cell r="AB4007" t="str">
            <v>+</v>
          </cell>
          <cell r="AC4007" t="str">
            <v>(</v>
          </cell>
          <cell r="AD4007" t="str">
            <v>할증</v>
          </cell>
          <cell r="AE4007" t="str">
            <v>x</v>
          </cell>
          <cell r="AF4007" t="str">
            <v>채널수량</v>
          </cell>
          <cell r="AG4007" t="str">
            <v>)</v>
          </cell>
          <cell r="AM4007">
            <v>91949</v>
          </cell>
          <cell r="AN4007">
            <v>0</v>
          </cell>
        </row>
        <row r="4008">
          <cell r="D4008" t="str">
            <v>3) 대국시험</v>
          </cell>
          <cell r="AM4008">
            <v>0</v>
          </cell>
          <cell r="AN4008">
            <v>0</v>
          </cell>
        </row>
        <row r="4009">
          <cell r="B4009">
            <v>555</v>
          </cell>
          <cell r="D4009" t="str">
            <v>통신관련산업기사</v>
          </cell>
          <cell r="E4009">
            <v>0</v>
          </cell>
          <cell r="F4009" t="str">
            <v>인</v>
          </cell>
          <cell r="H4009">
            <v>2</v>
          </cell>
          <cell r="I4009" t="str">
            <v>x</v>
          </cell>
          <cell r="J4009">
            <v>1</v>
          </cell>
          <cell r="K4009" t="str">
            <v>+</v>
          </cell>
          <cell r="L4009" t="str">
            <v>(</v>
          </cell>
          <cell r="M4009">
            <v>0.2</v>
          </cell>
          <cell r="N4009" t="str">
            <v>x</v>
          </cell>
          <cell r="O4009">
            <v>2</v>
          </cell>
          <cell r="P4009" t="str">
            <v>)</v>
          </cell>
          <cell r="V4009" t="str">
            <v>=</v>
          </cell>
          <cell r="W4009">
            <v>2.4</v>
          </cell>
          <cell r="Y4009" t="str">
            <v>기본</v>
          </cell>
          <cell r="Z4009" t="str">
            <v>x</v>
          </cell>
          <cell r="AA4009" t="str">
            <v>단위량</v>
          </cell>
          <cell r="AB4009" t="str">
            <v>+</v>
          </cell>
          <cell r="AC4009" t="str">
            <v>(</v>
          </cell>
          <cell r="AD4009" t="str">
            <v>할증</v>
          </cell>
          <cell r="AE4009" t="str">
            <v>x</v>
          </cell>
          <cell r="AF4009" t="str">
            <v>채널수량</v>
          </cell>
          <cell r="AG4009" t="str">
            <v>)</v>
          </cell>
          <cell r="AM4009">
            <v>91949</v>
          </cell>
          <cell r="AN4009">
            <v>0</v>
          </cell>
        </row>
        <row r="4010">
          <cell r="D4010" t="str">
            <v>4) 기기설치</v>
          </cell>
          <cell r="AL4010" t="str">
            <v>통5-86</v>
          </cell>
          <cell r="AM4010">
            <v>0</v>
          </cell>
          <cell r="AN4010">
            <v>0</v>
          </cell>
        </row>
        <row r="4011">
          <cell r="B4011">
            <v>517</v>
          </cell>
          <cell r="D4011" t="str">
            <v>통신설비공</v>
          </cell>
          <cell r="E4011">
            <v>0</v>
          </cell>
          <cell r="F4011" t="str">
            <v>인</v>
          </cell>
          <cell r="H4011">
            <v>1</v>
          </cell>
          <cell r="I4011" t="str">
            <v>x</v>
          </cell>
          <cell r="J4011">
            <v>1</v>
          </cell>
          <cell r="V4011" t="str">
            <v>=</v>
          </cell>
          <cell r="W4011">
            <v>1</v>
          </cell>
          <cell r="Y4011" t="str">
            <v>기본</v>
          </cell>
          <cell r="Z4011" t="str">
            <v>x</v>
          </cell>
          <cell r="AA4011" t="str">
            <v>단위량</v>
          </cell>
          <cell r="AM4011">
            <v>77401</v>
          </cell>
          <cell r="AN4011">
            <v>0</v>
          </cell>
        </row>
        <row r="4012">
          <cell r="B4012">
            <v>523</v>
          </cell>
          <cell r="D4012" t="str">
            <v>보통인부</v>
          </cell>
          <cell r="E4012">
            <v>0</v>
          </cell>
          <cell r="F4012" t="str">
            <v>인</v>
          </cell>
          <cell r="H4012">
            <v>1</v>
          </cell>
          <cell r="I4012" t="str">
            <v>x</v>
          </cell>
          <cell r="J4012">
            <v>1</v>
          </cell>
          <cell r="V4012" t="str">
            <v>=</v>
          </cell>
          <cell r="W4012">
            <v>1</v>
          </cell>
          <cell r="Y4012" t="str">
            <v>기본</v>
          </cell>
          <cell r="Z4012" t="str">
            <v>x</v>
          </cell>
          <cell r="AA4012" t="str">
            <v>단위량</v>
          </cell>
          <cell r="AM4012">
            <v>40922</v>
          </cell>
          <cell r="AN4012">
            <v>0</v>
          </cell>
        </row>
        <row r="4013">
          <cell r="B4013">
            <v>555</v>
          </cell>
          <cell r="D4013" t="str">
            <v>통신관련산업기사</v>
          </cell>
          <cell r="E4013">
            <v>0</v>
          </cell>
          <cell r="F4013" t="str">
            <v>인</v>
          </cell>
          <cell r="H4013">
            <v>1</v>
          </cell>
          <cell r="I4013" t="str">
            <v>x</v>
          </cell>
          <cell r="J4013">
            <v>1</v>
          </cell>
          <cell r="V4013" t="str">
            <v>=</v>
          </cell>
          <cell r="W4013">
            <v>1</v>
          </cell>
          <cell r="Y4013" t="str">
            <v>기본</v>
          </cell>
          <cell r="Z4013" t="str">
            <v>x</v>
          </cell>
          <cell r="AA4013" t="str">
            <v>단위량</v>
          </cell>
          <cell r="AM4013">
            <v>91949</v>
          </cell>
          <cell r="AN4013">
            <v>0</v>
          </cell>
        </row>
        <row r="4014">
          <cell r="D4014" t="str">
            <v>5) 기기조정 및 시험</v>
          </cell>
          <cell r="AM4014">
            <v>0</v>
          </cell>
          <cell r="AN4014">
            <v>0</v>
          </cell>
        </row>
        <row r="4015">
          <cell r="B4015">
            <v>517</v>
          </cell>
          <cell r="D4015" t="str">
            <v>통신설비공</v>
          </cell>
          <cell r="E4015">
            <v>0</v>
          </cell>
          <cell r="F4015" t="str">
            <v>인</v>
          </cell>
          <cell r="H4015">
            <v>1</v>
          </cell>
          <cell r="I4015" t="str">
            <v>x</v>
          </cell>
          <cell r="J4015">
            <v>1</v>
          </cell>
          <cell r="V4015" t="str">
            <v>=</v>
          </cell>
          <cell r="W4015">
            <v>1</v>
          </cell>
          <cell r="Y4015" t="str">
            <v>기본</v>
          </cell>
          <cell r="Z4015" t="str">
            <v>x</v>
          </cell>
          <cell r="AA4015" t="str">
            <v>단위량</v>
          </cell>
          <cell r="AM4015">
            <v>77401</v>
          </cell>
          <cell r="AN4015">
            <v>0</v>
          </cell>
        </row>
        <row r="4016">
          <cell r="B4016">
            <v>523</v>
          </cell>
          <cell r="D4016" t="str">
            <v>보통인부</v>
          </cell>
          <cell r="E4016">
            <v>0</v>
          </cell>
          <cell r="F4016" t="str">
            <v>인</v>
          </cell>
          <cell r="H4016">
            <v>1</v>
          </cell>
          <cell r="I4016" t="str">
            <v>x</v>
          </cell>
          <cell r="J4016">
            <v>1</v>
          </cell>
          <cell r="V4016" t="str">
            <v>=</v>
          </cell>
          <cell r="W4016">
            <v>1</v>
          </cell>
          <cell r="Y4016" t="str">
            <v>기본</v>
          </cell>
          <cell r="Z4016" t="str">
            <v>x</v>
          </cell>
          <cell r="AA4016" t="str">
            <v>단위량</v>
          </cell>
          <cell r="AM4016">
            <v>40922</v>
          </cell>
          <cell r="AN4016">
            <v>0</v>
          </cell>
        </row>
        <row r="4017">
          <cell r="B4017">
            <v>555</v>
          </cell>
          <cell r="D4017" t="str">
            <v>통신관련산업기사</v>
          </cell>
          <cell r="E4017">
            <v>0</v>
          </cell>
          <cell r="F4017" t="str">
            <v>인</v>
          </cell>
          <cell r="H4017">
            <v>1</v>
          </cell>
          <cell r="I4017" t="str">
            <v>x</v>
          </cell>
          <cell r="J4017">
            <v>1</v>
          </cell>
          <cell r="V4017" t="str">
            <v>=</v>
          </cell>
          <cell r="W4017">
            <v>1</v>
          </cell>
          <cell r="Y4017" t="str">
            <v>기본</v>
          </cell>
          <cell r="Z4017" t="str">
            <v>x</v>
          </cell>
          <cell r="AA4017" t="str">
            <v>단위량</v>
          </cell>
          <cell r="AM4017">
            <v>91949</v>
          </cell>
          <cell r="AN4017">
            <v>0</v>
          </cell>
        </row>
        <row r="4018">
          <cell r="B4018">
            <v>544</v>
          </cell>
          <cell r="D4018" t="str">
            <v>소    계</v>
          </cell>
          <cell r="E4018">
            <v>0</v>
          </cell>
          <cell r="F4018">
            <v>0</v>
          </cell>
          <cell r="AM4018">
            <v>0</v>
          </cell>
          <cell r="AN4018">
            <v>0</v>
          </cell>
        </row>
        <row r="4019">
          <cell r="A4019" t="str">
            <v>141-4</v>
          </cell>
          <cell r="B4019">
            <v>517</v>
          </cell>
          <cell r="D4019" t="str">
            <v>통신설비공</v>
          </cell>
          <cell r="E4019">
            <v>0</v>
          </cell>
          <cell r="F4019" t="str">
            <v>인</v>
          </cell>
          <cell r="V4019" t="str">
            <v>=</v>
          </cell>
          <cell r="W4019">
            <v>2.5</v>
          </cell>
          <cell r="AM4019">
            <v>77401</v>
          </cell>
          <cell r="AN4019">
            <v>0</v>
          </cell>
        </row>
        <row r="4020">
          <cell r="A4020" t="str">
            <v>141-5</v>
          </cell>
          <cell r="B4020">
            <v>555</v>
          </cell>
          <cell r="D4020" t="str">
            <v>통신관련산업기사</v>
          </cell>
          <cell r="E4020">
            <v>0</v>
          </cell>
          <cell r="F4020" t="str">
            <v>인</v>
          </cell>
          <cell r="V4020" t="str">
            <v>=</v>
          </cell>
          <cell r="W4020">
            <v>8.8000000000000007</v>
          </cell>
          <cell r="AM4020">
            <v>91949</v>
          </cell>
          <cell r="AN4020">
            <v>0</v>
          </cell>
        </row>
        <row r="4021">
          <cell r="A4021" t="str">
            <v>141-6</v>
          </cell>
          <cell r="B4021">
            <v>523</v>
          </cell>
          <cell r="D4021" t="str">
            <v>보통인부</v>
          </cell>
          <cell r="E4021">
            <v>0</v>
          </cell>
          <cell r="F4021" t="str">
            <v>인</v>
          </cell>
          <cell r="V4021" t="str">
            <v>=</v>
          </cell>
          <cell r="W4021">
            <v>3</v>
          </cell>
          <cell r="AM4021">
            <v>40922</v>
          </cell>
          <cell r="AN4021">
            <v>0</v>
          </cell>
        </row>
        <row r="4022">
          <cell r="A4022" t="str">
            <v>141-7</v>
          </cell>
          <cell r="B4022">
            <v>543</v>
          </cell>
          <cell r="D4022" t="str">
            <v>다. 공구손료</v>
          </cell>
          <cell r="E4022" t="str">
            <v>노무비x3%</v>
          </cell>
          <cell r="F4022">
            <v>0</v>
          </cell>
          <cell r="AM4022">
            <v>0</v>
          </cell>
        </row>
        <row r="4023">
          <cell r="A4023" t="str">
            <v>141-8</v>
          </cell>
          <cell r="B4023">
            <v>517</v>
          </cell>
          <cell r="D4023" t="str">
            <v>통신설비공</v>
          </cell>
          <cell r="E4023">
            <v>0</v>
          </cell>
          <cell r="F4023" t="str">
            <v>인</v>
          </cell>
          <cell r="H4023">
            <v>2.5</v>
          </cell>
          <cell r="I4023" t="str">
            <v>x</v>
          </cell>
          <cell r="J4023">
            <v>0.03</v>
          </cell>
          <cell r="V4023" t="str">
            <v>=</v>
          </cell>
          <cell r="W4023">
            <v>0.08</v>
          </cell>
          <cell r="Y4023" t="str">
            <v>기본</v>
          </cell>
          <cell r="Z4023" t="str">
            <v>x</v>
          </cell>
          <cell r="AA4023" t="str">
            <v>공구손료</v>
          </cell>
          <cell r="AM4023">
            <v>77401</v>
          </cell>
          <cell r="AN4023">
            <v>0</v>
          </cell>
        </row>
        <row r="4024">
          <cell r="A4024" t="str">
            <v>141-9</v>
          </cell>
          <cell r="B4024">
            <v>555</v>
          </cell>
          <cell r="D4024" t="str">
            <v>통신관련산업기사</v>
          </cell>
          <cell r="E4024">
            <v>0</v>
          </cell>
          <cell r="F4024" t="str">
            <v>인</v>
          </cell>
          <cell r="H4024">
            <v>8.8000000000000007</v>
          </cell>
          <cell r="I4024" t="str">
            <v>x</v>
          </cell>
          <cell r="J4024">
            <v>0.03</v>
          </cell>
          <cell r="V4024" t="str">
            <v>=</v>
          </cell>
          <cell r="W4024">
            <v>0.26</v>
          </cell>
          <cell r="Y4024" t="str">
            <v>기본</v>
          </cell>
          <cell r="Z4024" t="str">
            <v>x</v>
          </cell>
          <cell r="AA4024" t="str">
            <v>공구손료</v>
          </cell>
          <cell r="AM4024">
            <v>91949</v>
          </cell>
          <cell r="AN4024">
            <v>0</v>
          </cell>
        </row>
        <row r="4025">
          <cell r="A4025" t="str">
            <v>141-10</v>
          </cell>
          <cell r="B4025">
            <v>523</v>
          </cell>
          <cell r="D4025" t="str">
            <v>보통인부</v>
          </cell>
          <cell r="E4025">
            <v>0</v>
          </cell>
          <cell r="F4025" t="str">
            <v>인</v>
          </cell>
          <cell r="H4025">
            <v>3</v>
          </cell>
          <cell r="I4025" t="str">
            <v>x</v>
          </cell>
          <cell r="J4025">
            <v>0.03</v>
          </cell>
          <cell r="V4025" t="str">
            <v>=</v>
          </cell>
          <cell r="W4025">
            <v>0.09</v>
          </cell>
          <cell r="Y4025" t="str">
            <v>기본</v>
          </cell>
          <cell r="Z4025" t="str">
            <v>x</v>
          </cell>
          <cell r="AA4025" t="str">
            <v>공구손료</v>
          </cell>
          <cell r="AM4025">
            <v>40922</v>
          </cell>
          <cell r="AN4025">
            <v>0</v>
          </cell>
        </row>
        <row r="4026">
          <cell r="A4026">
            <v>142</v>
          </cell>
          <cell r="C4026">
            <v>142</v>
          </cell>
          <cell r="D4026" t="str">
            <v>기지국 장치 신설</v>
          </cell>
          <cell r="E4026" t="str">
            <v>차량기지</v>
          </cell>
          <cell r="F4026" t="str">
            <v>식</v>
          </cell>
          <cell r="AM4026">
            <v>0</v>
          </cell>
          <cell r="AN4026">
            <v>0</v>
          </cell>
        </row>
        <row r="4027">
          <cell r="A4027" t="str">
            <v>142-1</v>
          </cell>
          <cell r="B4027">
            <v>541</v>
          </cell>
          <cell r="D4027" t="str">
            <v>가. 재료비</v>
          </cell>
          <cell r="E4027">
            <v>0</v>
          </cell>
          <cell r="F4027">
            <v>0</v>
          </cell>
          <cell r="AM4027">
            <v>0</v>
          </cell>
          <cell r="AN4027">
            <v>0</v>
          </cell>
        </row>
        <row r="4028">
          <cell r="A4028" t="str">
            <v>142-2</v>
          </cell>
          <cell r="B4028">
            <v>337</v>
          </cell>
          <cell r="D4028" t="str">
            <v xml:space="preserve">기지국 장치 </v>
          </cell>
          <cell r="E4028" t="str">
            <v>차량 기지</v>
          </cell>
          <cell r="F4028" t="str">
            <v>식</v>
          </cell>
          <cell r="V4028" t="str">
            <v>=</v>
          </cell>
          <cell r="W4028">
            <v>1</v>
          </cell>
          <cell r="AM4028">
            <v>100800000</v>
          </cell>
          <cell r="AN4028">
            <v>0</v>
          </cell>
        </row>
        <row r="4029">
          <cell r="A4029" t="str">
            <v>142-3</v>
          </cell>
          <cell r="B4029">
            <v>542</v>
          </cell>
          <cell r="D4029" t="str">
            <v>나. 노무비</v>
          </cell>
          <cell r="E4029">
            <v>0</v>
          </cell>
          <cell r="F4029">
            <v>0</v>
          </cell>
          <cell r="AM4029">
            <v>0</v>
          </cell>
          <cell r="AN4029">
            <v>0</v>
          </cell>
        </row>
        <row r="4030">
          <cell r="D4030" t="str">
            <v>1) 조립및설치</v>
          </cell>
          <cell r="AM4030">
            <v>0</v>
          </cell>
          <cell r="AN4030">
            <v>0</v>
          </cell>
        </row>
        <row r="4031">
          <cell r="B4031">
            <v>517</v>
          </cell>
          <cell r="D4031" t="str">
            <v>통신설비공</v>
          </cell>
          <cell r="E4031">
            <v>0</v>
          </cell>
          <cell r="F4031" t="str">
            <v>인</v>
          </cell>
          <cell r="H4031">
            <v>0.5</v>
          </cell>
          <cell r="I4031" t="str">
            <v>x</v>
          </cell>
          <cell r="J4031">
            <v>1</v>
          </cell>
          <cell r="V4031" t="str">
            <v>=</v>
          </cell>
          <cell r="W4031">
            <v>0.5</v>
          </cell>
          <cell r="Y4031" t="str">
            <v>기본</v>
          </cell>
          <cell r="Z4031" t="str">
            <v>x</v>
          </cell>
          <cell r="AA4031" t="str">
            <v>단위량</v>
          </cell>
          <cell r="AL4031" t="str">
            <v>통5-2</v>
          </cell>
          <cell r="AM4031">
            <v>77401</v>
          </cell>
          <cell r="AN4031">
            <v>0</v>
          </cell>
        </row>
        <row r="4032">
          <cell r="B4032">
            <v>523</v>
          </cell>
          <cell r="D4032" t="str">
            <v>보통인부</v>
          </cell>
          <cell r="E4032">
            <v>0</v>
          </cell>
          <cell r="F4032" t="str">
            <v>인</v>
          </cell>
          <cell r="H4032">
            <v>1</v>
          </cell>
          <cell r="I4032" t="str">
            <v>x</v>
          </cell>
          <cell r="J4032">
            <v>1</v>
          </cell>
          <cell r="V4032" t="str">
            <v>=</v>
          </cell>
          <cell r="W4032">
            <v>1</v>
          </cell>
          <cell r="Y4032" t="str">
            <v>기본</v>
          </cell>
          <cell r="Z4032" t="str">
            <v>x</v>
          </cell>
          <cell r="AA4032" t="str">
            <v>단위량</v>
          </cell>
          <cell r="AM4032">
            <v>40922</v>
          </cell>
          <cell r="AN4032">
            <v>0</v>
          </cell>
        </row>
        <row r="4033">
          <cell r="D4033" t="str">
            <v>2) 국부점검및조정시험</v>
          </cell>
          <cell r="AM4033">
            <v>0</v>
          </cell>
          <cell r="AN4033">
            <v>0</v>
          </cell>
        </row>
        <row r="4034">
          <cell r="B4034">
            <v>555</v>
          </cell>
          <cell r="D4034" t="str">
            <v>통신관련산업기사</v>
          </cell>
          <cell r="E4034">
            <v>0</v>
          </cell>
          <cell r="F4034" t="str">
            <v>인</v>
          </cell>
          <cell r="H4034">
            <v>4</v>
          </cell>
          <cell r="I4034" t="str">
            <v>x</v>
          </cell>
          <cell r="J4034">
            <v>1</v>
          </cell>
          <cell r="K4034" t="str">
            <v>+</v>
          </cell>
          <cell r="L4034" t="str">
            <v>(</v>
          </cell>
          <cell r="M4034">
            <v>0.2</v>
          </cell>
          <cell r="N4034" t="str">
            <v>x</v>
          </cell>
          <cell r="O4034">
            <v>2</v>
          </cell>
          <cell r="P4034" t="str">
            <v>)</v>
          </cell>
          <cell r="V4034" t="str">
            <v>=</v>
          </cell>
          <cell r="W4034">
            <v>4.4000000000000004</v>
          </cell>
          <cell r="Y4034" t="str">
            <v>기본</v>
          </cell>
          <cell r="Z4034" t="str">
            <v>x</v>
          </cell>
          <cell r="AA4034" t="str">
            <v>단위량</v>
          </cell>
          <cell r="AB4034" t="str">
            <v>+</v>
          </cell>
          <cell r="AC4034" t="str">
            <v>(</v>
          </cell>
          <cell r="AD4034" t="str">
            <v>할증</v>
          </cell>
          <cell r="AE4034" t="str">
            <v>x</v>
          </cell>
          <cell r="AF4034" t="str">
            <v>채널수량</v>
          </cell>
          <cell r="AG4034" t="str">
            <v>)</v>
          </cell>
          <cell r="AM4034">
            <v>91949</v>
          </cell>
          <cell r="AN4034">
            <v>0</v>
          </cell>
        </row>
        <row r="4035">
          <cell r="D4035" t="str">
            <v>3) 대국시험</v>
          </cell>
          <cell r="AM4035">
            <v>0</v>
          </cell>
          <cell r="AN4035">
            <v>0</v>
          </cell>
        </row>
        <row r="4036">
          <cell r="B4036">
            <v>555</v>
          </cell>
          <cell r="D4036" t="str">
            <v>통신관련산업기사</v>
          </cell>
          <cell r="E4036">
            <v>0</v>
          </cell>
          <cell r="F4036" t="str">
            <v>인</v>
          </cell>
          <cell r="H4036">
            <v>2</v>
          </cell>
          <cell r="I4036" t="str">
            <v>x</v>
          </cell>
          <cell r="J4036">
            <v>1</v>
          </cell>
          <cell r="K4036" t="str">
            <v>+</v>
          </cell>
          <cell r="L4036" t="str">
            <v>(</v>
          </cell>
          <cell r="M4036">
            <v>0.2</v>
          </cell>
          <cell r="N4036" t="str">
            <v>x</v>
          </cell>
          <cell r="O4036">
            <v>2</v>
          </cell>
          <cell r="P4036" t="str">
            <v>)</v>
          </cell>
          <cell r="V4036" t="str">
            <v>=</v>
          </cell>
          <cell r="W4036">
            <v>2.4</v>
          </cell>
          <cell r="Y4036" t="str">
            <v>기본</v>
          </cell>
          <cell r="Z4036" t="str">
            <v>x</v>
          </cell>
          <cell r="AA4036" t="str">
            <v>단위량</v>
          </cell>
          <cell r="AB4036" t="str">
            <v>+</v>
          </cell>
          <cell r="AC4036" t="str">
            <v>(</v>
          </cell>
          <cell r="AD4036" t="str">
            <v>할증</v>
          </cell>
          <cell r="AE4036" t="str">
            <v>x</v>
          </cell>
          <cell r="AF4036" t="str">
            <v>채널수량</v>
          </cell>
          <cell r="AG4036" t="str">
            <v>)</v>
          </cell>
          <cell r="AM4036">
            <v>91949</v>
          </cell>
          <cell r="AN4036">
            <v>0</v>
          </cell>
        </row>
        <row r="4037">
          <cell r="D4037" t="str">
            <v>4) 기기설치</v>
          </cell>
          <cell r="AL4037" t="str">
            <v>통5-86</v>
          </cell>
          <cell r="AM4037">
            <v>0</v>
          </cell>
          <cell r="AN4037">
            <v>0</v>
          </cell>
        </row>
        <row r="4038">
          <cell r="B4038">
            <v>517</v>
          </cell>
          <cell r="D4038" t="str">
            <v>통신설비공</v>
          </cell>
          <cell r="E4038">
            <v>0</v>
          </cell>
          <cell r="F4038" t="str">
            <v>인</v>
          </cell>
          <cell r="H4038">
            <v>1</v>
          </cell>
          <cell r="I4038" t="str">
            <v>x</v>
          </cell>
          <cell r="J4038">
            <v>1</v>
          </cell>
          <cell r="V4038" t="str">
            <v>=</v>
          </cell>
          <cell r="W4038">
            <v>1</v>
          </cell>
          <cell r="Y4038" t="str">
            <v>기본</v>
          </cell>
          <cell r="Z4038" t="str">
            <v>x</v>
          </cell>
          <cell r="AA4038" t="str">
            <v>단위량</v>
          </cell>
          <cell r="AM4038">
            <v>77401</v>
          </cell>
          <cell r="AN4038">
            <v>0</v>
          </cell>
        </row>
        <row r="4039">
          <cell r="B4039">
            <v>523</v>
          </cell>
          <cell r="D4039" t="str">
            <v>보통인부</v>
          </cell>
          <cell r="E4039">
            <v>0</v>
          </cell>
          <cell r="F4039" t="str">
            <v>인</v>
          </cell>
          <cell r="H4039">
            <v>1</v>
          </cell>
          <cell r="I4039" t="str">
            <v>x</v>
          </cell>
          <cell r="J4039">
            <v>1</v>
          </cell>
          <cell r="V4039" t="str">
            <v>=</v>
          </cell>
          <cell r="W4039">
            <v>1</v>
          </cell>
          <cell r="Y4039" t="str">
            <v>기본</v>
          </cell>
          <cell r="Z4039" t="str">
            <v>x</v>
          </cell>
          <cell r="AA4039" t="str">
            <v>단위량</v>
          </cell>
          <cell r="AM4039">
            <v>40922</v>
          </cell>
          <cell r="AN4039">
            <v>0</v>
          </cell>
        </row>
        <row r="4040">
          <cell r="B4040">
            <v>555</v>
          </cell>
          <cell r="D4040" t="str">
            <v>통신관련산업기사</v>
          </cell>
          <cell r="E4040">
            <v>0</v>
          </cell>
          <cell r="F4040" t="str">
            <v>인</v>
          </cell>
          <cell r="H4040">
            <v>1</v>
          </cell>
          <cell r="I4040" t="str">
            <v>x</v>
          </cell>
          <cell r="J4040">
            <v>1</v>
          </cell>
          <cell r="V4040" t="str">
            <v>=</v>
          </cell>
          <cell r="W4040">
            <v>1</v>
          </cell>
          <cell r="Y4040" t="str">
            <v>기본</v>
          </cell>
          <cell r="Z4040" t="str">
            <v>x</v>
          </cell>
          <cell r="AA4040" t="str">
            <v>단위량</v>
          </cell>
          <cell r="AM4040">
            <v>91949</v>
          </cell>
          <cell r="AN4040">
            <v>0</v>
          </cell>
        </row>
        <row r="4041">
          <cell r="D4041" t="str">
            <v>6) 기기조정 및 시험</v>
          </cell>
          <cell r="AM4041">
            <v>0</v>
          </cell>
          <cell r="AN4041">
            <v>0</v>
          </cell>
        </row>
        <row r="4042">
          <cell r="B4042">
            <v>517</v>
          </cell>
          <cell r="D4042" t="str">
            <v>통신설비공</v>
          </cell>
          <cell r="E4042">
            <v>0</v>
          </cell>
          <cell r="F4042" t="str">
            <v>인</v>
          </cell>
          <cell r="H4042">
            <v>1</v>
          </cell>
          <cell r="I4042" t="str">
            <v>x</v>
          </cell>
          <cell r="J4042">
            <v>1</v>
          </cell>
          <cell r="V4042" t="str">
            <v>=</v>
          </cell>
          <cell r="W4042">
            <v>1</v>
          </cell>
          <cell r="Y4042" t="str">
            <v>기본</v>
          </cell>
          <cell r="Z4042" t="str">
            <v>x</v>
          </cell>
          <cell r="AA4042" t="str">
            <v>단위량</v>
          </cell>
          <cell r="AM4042">
            <v>77401</v>
          </cell>
          <cell r="AN4042">
            <v>0</v>
          </cell>
        </row>
        <row r="4043">
          <cell r="B4043">
            <v>523</v>
          </cell>
          <cell r="D4043" t="str">
            <v>보통인부</v>
          </cell>
          <cell r="E4043">
            <v>0</v>
          </cell>
          <cell r="F4043" t="str">
            <v>인</v>
          </cell>
          <cell r="H4043">
            <v>1</v>
          </cell>
          <cell r="I4043" t="str">
            <v>x</v>
          </cell>
          <cell r="J4043">
            <v>1</v>
          </cell>
          <cell r="V4043" t="str">
            <v>=</v>
          </cell>
          <cell r="W4043">
            <v>1</v>
          </cell>
          <cell r="Y4043" t="str">
            <v>기본</v>
          </cell>
          <cell r="Z4043" t="str">
            <v>x</v>
          </cell>
          <cell r="AA4043" t="str">
            <v>단위량</v>
          </cell>
          <cell r="AM4043">
            <v>40922</v>
          </cell>
          <cell r="AN4043">
            <v>0</v>
          </cell>
        </row>
        <row r="4044">
          <cell r="B4044">
            <v>555</v>
          </cell>
          <cell r="D4044" t="str">
            <v>통신관련산업기사</v>
          </cell>
          <cell r="E4044">
            <v>0</v>
          </cell>
          <cell r="F4044" t="str">
            <v>인</v>
          </cell>
          <cell r="H4044">
            <v>1</v>
          </cell>
          <cell r="I4044" t="str">
            <v>x</v>
          </cell>
          <cell r="J4044">
            <v>1</v>
          </cell>
          <cell r="V4044" t="str">
            <v>=</v>
          </cell>
          <cell r="W4044">
            <v>1</v>
          </cell>
          <cell r="Y4044" t="str">
            <v>기본</v>
          </cell>
          <cell r="Z4044" t="str">
            <v>x</v>
          </cell>
          <cell r="AA4044" t="str">
            <v>단위량</v>
          </cell>
          <cell r="AM4044">
            <v>91949</v>
          </cell>
          <cell r="AN4044">
            <v>0</v>
          </cell>
        </row>
        <row r="4045">
          <cell r="B4045">
            <v>544</v>
          </cell>
          <cell r="D4045" t="str">
            <v>소    계</v>
          </cell>
          <cell r="E4045">
            <v>0</v>
          </cell>
          <cell r="F4045">
            <v>0</v>
          </cell>
          <cell r="AM4045">
            <v>0</v>
          </cell>
          <cell r="AN4045">
            <v>0</v>
          </cell>
        </row>
        <row r="4046">
          <cell r="A4046" t="str">
            <v>142-4</v>
          </cell>
          <cell r="B4046">
            <v>517</v>
          </cell>
          <cell r="D4046" t="str">
            <v>통신설비공</v>
          </cell>
          <cell r="E4046">
            <v>0</v>
          </cell>
          <cell r="F4046" t="str">
            <v>인</v>
          </cell>
          <cell r="V4046" t="str">
            <v>=</v>
          </cell>
          <cell r="W4046">
            <v>2.5</v>
          </cell>
          <cell r="AM4046">
            <v>77401</v>
          </cell>
          <cell r="AN4046">
            <v>0</v>
          </cell>
        </row>
        <row r="4047">
          <cell r="A4047" t="str">
            <v>142-5</v>
          </cell>
          <cell r="B4047">
            <v>555</v>
          </cell>
          <cell r="D4047" t="str">
            <v>통신관련산업기사</v>
          </cell>
          <cell r="E4047">
            <v>0</v>
          </cell>
          <cell r="F4047" t="str">
            <v>인</v>
          </cell>
          <cell r="V4047" t="str">
            <v>=</v>
          </cell>
          <cell r="W4047">
            <v>8.8000000000000007</v>
          </cell>
          <cell r="AM4047">
            <v>91949</v>
          </cell>
          <cell r="AN4047">
            <v>0</v>
          </cell>
        </row>
        <row r="4048">
          <cell r="A4048" t="str">
            <v>142-6</v>
          </cell>
          <cell r="B4048">
            <v>523</v>
          </cell>
          <cell r="D4048" t="str">
            <v>보통인부</v>
          </cell>
          <cell r="E4048">
            <v>0</v>
          </cell>
          <cell r="F4048" t="str">
            <v>인</v>
          </cell>
          <cell r="V4048" t="str">
            <v>=</v>
          </cell>
          <cell r="W4048">
            <v>3</v>
          </cell>
          <cell r="AM4048">
            <v>40922</v>
          </cell>
          <cell r="AN4048">
            <v>0</v>
          </cell>
        </row>
        <row r="4049">
          <cell r="A4049" t="str">
            <v>142-7</v>
          </cell>
          <cell r="B4049">
            <v>543</v>
          </cell>
          <cell r="D4049" t="str">
            <v>다. 공구손료</v>
          </cell>
          <cell r="E4049" t="str">
            <v>노무비x3%</v>
          </cell>
          <cell r="F4049">
            <v>0</v>
          </cell>
          <cell r="AM4049">
            <v>0</v>
          </cell>
        </row>
        <row r="4050">
          <cell r="A4050" t="str">
            <v>142-8</v>
          </cell>
          <cell r="B4050">
            <v>517</v>
          </cell>
          <cell r="D4050" t="str">
            <v>통신설비공</v>
          </cell>
          <cell r="E4050">
            <v>0</v>
          </cell>
          <cell r="F4050" t="str">
            <v>인</v>
          </cell>
          <cell r="H4050">
            <v>2.5</v>
          </cell>
          <cell r="I4050" t="str">
            <v>x</v>
          </cell>
          <cell r="J4050">
            <v>0.03</v>
          </cell>
          <cell r="V4050" t="str">
            <v>=</v>
          </cell>
          <cell r="W4050">
            <v>0.08</v>
          </cell>
          <cell r="Y4050" t="str">
            <v>기본</v>
          </cell>
          <cell r="Z4050" t="str">
            <v>x</v>
          </cell>
          <cell r="AA4050" t="str">
            <v>공구손료</v>
          </cell>
          <cell r="AM4050">
            <v>77401</v>
          </cell>
          <cell r="AN4050">
            <v>0</v>
          </cell>
        </row>
        <row r="4051">
          <cell r="A4051" t="str">
            <v>142-9</v>
          </cell>
          <cell r="B4051">
            <v>555</v>
          </cell>
          <cell r="D4051" t="str">
            <v>통신관련산업기사</v>
          </cell>
          <cell r="E4051">
            <v>0</v>
          </cell>
          <cell r="F4051" t="str">
            <v>인</v>
          </cell>
          <cell r="H4051">
            <v>8.8000000000000007</v>
          </cell>
          <cell r="I4051" t="str">
            <v>x</v>
          </cell>
          <cell r="J4051">
            <v>0.03</v>
          </cell>
          <cell r="V4051" t="str">
            <v>=</v>
          </cell>
          <cell r="W4051">
            <v>0.26</v>
          </cell>
          <cell r="Y4051" t="str">
            <v>기본</v>
          </cell>
          <cell r="Z4051" t="str">
            <v>x</v>
          </cell>
          <cell r="AA4051" t="str">
            <v>공구손료</v>
          </cell>
          <cell r="AM4051">
            <v>91949</v>
          </cell>
          <cell r="AN4051">
            <v>0</v>
          </cell>
        </row>
        <row r="4052">
          <cell r="A4052" t="str">
            <v>142-10</v>
          </cell>
          <cell r="B4052">
            <v>523</v>
          </cell>
          <cell r="D4052" t="str">
            <v>보통인부</v>
          </cell>
          <cell r="E4052">
            <v>0</v>
          </cell>
          <cell r="F4052" t="str">
            <v>인</v>
          </cell>
          <cell r="H4052">
            <v>3</v>
          </cell>
          <cell r="I4052" t="str">
            <v>x</v>
          </cell>
          <cell r="J4052">
            <v>0.03</v>
          </cell>
          <cell r="V4052" t="str">
            <v>=</v>
          </cell>
          <cell r="W4052">
            <v>0.09</v>
          </cell>
          <cell r="Y4052" t="str">
            <v>기본</v>
          </cell>
          <cell r="Z4052" t="str">
            <v>x</v>
          </cell>
          <cell r="AA4052" t="str">
            <v>공구손료</v>
          </cell>
          <cell r="AM4052">
            <v>40922</v>
          </cell>
          <cell r="AN4052">
            <v>0</v>
          </cell>
        </row>
        <row r="4053">
          <cell r="A4053">
            <v>143</v>
          </cell>
          <cell r="C4053">
            <v>143</v>
          </cell>
          <cell r="D4053" t="str">
            <v>녹음장치 신설</v>
          </cell>
          <cell r="E4053" t="str">
            <v>40CH</v>
          </cell>
          <cell r="F4053" t="str">
            <v>식</v>
          </cell>
          <cell r="AM4053">
            <v>0</v>
          </cell>
          <cell r="AN4053">
            <v>0</v>
          </cell>
        </row>
        <row r="4054">
          <cell r="A4054" t="str">
            <v>143-1</v>
          </cell>
          <cell r="B4054">
            <v>541</v>
          </cell>
          <cell r="D4054" t="str">
            <v>가. 재료비</v>
          </cell>
          <cell r="E4054">
            <v>0</v>
          </cell>
          <cell r="F4054">
            <v>0</v>
          </cell>
          <cell r="AM4054">
            <v>0</v>
          </cell>
          <cell r="AN4054">
            <v>0</v>
          </cell>
        </row>
        <row r="4055">
          <cell r="A4055" t="str">
            <v>143-2</v>
          </cell>
          <cell r="B4055">
            <v>338</v>
          </cell>
          <cell r="D4055" t="str">
            <v>녹음장치</v>
          </cell>
          <cell r="E4055" t="str">
            <v>4CH</v>
          </cell>
          <cell r="F4055" t="str">
            <v>대</v>
          </cell>
          <cell r="V4055" t="str">
            <v>=</v>
          </cell>
          <cell r="W4055">
            <v>1</v>
          </cell>
          <cell r="AM4055">
            <v>435761760</v>
          </cell>
          <cell r="AN4055" t="str">
            <v>상동</v>
          </cell>
        </row>
        <row r="4056">
          <cell r="A4056" t="str">
            <v>143-3</v>
          </cell>
          <cell r="B4056">
            <v>542</v>
          </cell>
          <cell r="D4056" t="str">
            <v>나. 노무비</v>
          </cell>
          <cell r="E4056">
            <v>0</v>
          </cell>
          <cell r="F4056">
            <v>0</v>
          </cell>
          <cell r="AL4056" t="str">
            <v>통 5-85-2</v>
          </cell>
          <cell r="AM4056">
            <v>0</v>
          </cell>
          <cell r="AN4056">
            <v>0</v>
          </cell>
        </row>
        <row r="4057">
          <cell r="B4057">
            <v>517</v>
          </cell>
          <cell r="D4057" t="str">
            <v>통신설비공</v>
          </cell>
          <cell r="F4057" t="str">
            <v>인</v>
          </cell>
          <cell r="H4057">
            <v>5.8</v>
          </cell>
          <cell r="I4057" t="str">
            <v>x</v>
          </cell>
          <cell r="J4057">
            <v>1</v>
          </cell>
          <cell r="V4057" t="str">
            <v>=</v>
          </cell>
          <cell r="W4057">
            <v>6.8</v>
          </cell>
          <cell r="Y4057" t="str">
            <v>기본</v>
          </cell>
          <cell r="Z4057" t="str">
            <v>x</v>
          </cell>
          <cell r="AA4057" t="str">
            <v>단위량</v>
          </cell>
          <cell r="AM4057">
            <v>77401</v>
          </cell>
          <cell r="AN4057">
            <v>0</v>
          </cell>
        </row>
        <row r="4058">
          <cell r="B4058">
            <v>523</v>
          </cell>
          <cell r="D4058" t="str">
            <v>보통인부</v>
          </cell>
          <cell r="F4058" t="str">
            <v>인</v>
          </cell>
          <cell r="H4058">
            <v>1.9</v>
          </cell>
          <cell r="I4058" t="str">
            <v>x</v>
          </cell>
          <cell r="J4058">
            <v>1</v>
          </cell>
          <cell r="V4058" t="str">
            <v>=</v>
          </cell>
          <cell r="W4058">
            <v>1.9</v>
          </cell>
          <cell r="Y4058" t="str">
            <v>기본</v>
          </cell>
          <cell r="Z4058" t="str">
            <v>x</v>
          </cell>
          <cell r="AA4058" t="str">
            <v>단위량</v>
          </cell>
          <cell r="AM4058">
            <v>40922</v>
          </cell>
          <cell r="AN4058">
            <v>0</v>
          </cell>
        </row>
        <row r="4059">
          <cell r="B4059">
            <v>544</v>
          </cell>
          <cell r="D4059" t="str">
            <v>소    계</v>
          </cell>
          <cell r="E4059">
            <v>0</v>
          </cell>
          <cell r="F4059">
            <v>0</v>
          </cell>
          <cell r="AM4059">
            <v>0</v>
          </cell>
          <cell r="AN4059">
            <v>0</v>
          </cell>
        </row>
        <row r="4060">
          <cell r="A4060" t="str">
            <v>143-4</v>
          </cell>
          <cell r="B4060">
            <v>517</v>
          </cell>
          <cell r="D4060" t="str">
            <v>통신설비공</v>
          </cell>
          <cell r="E4060">
            <v>0</v>
          </cell>
          <cell r="F4060" t="str">
            <v>인</v>
          </cell>
          <cell r="V4060" t="str">
            <v>=</v>
          </cell>
          <cell r="W4060">
            <v>6.8</v>
          </cell>
          <cell r="AM4060">
            <v>77401</v>
          </cell>
          <cell r="AN4060">
            <v>0</v>
          </cell>
        </row>
        <row r="4061">
          <cell r="A4061" t="str">
            <v>143-5</v>
          </cell>
          <cell r="B4061">
            <v>523</v>
          </cell>
          <cell r="D4061" t="str">
            <v>보통인부</v>
          </cell>
          <cell r="E4061">
            <v>0</v>
          </cell>
          <cell r="F4061" t="str">
            <v>인</v>
          </cell>
          <cell r="V4061" t="str">
            <v>=</v>
          </cell>
          <cell r="W4061">
            <v>1.9</v>
          </cell>
          <cell r="AM4061">
            <v>40922</v>
          </cell>
          <cell r="AN4061">
            <v>0</v>
          </cell>
        </row>
        <row r="4062">
          <cell r="A4062" t="str">
            <v>143-6</v>
          </cell>
          <cell r="B4062">
            <v>543</v>
          </cell>
          <cell r="D4062" t="str">
            <v>다. 공구손료</v>
          </cell>
          <cell r="E4062" t="str">
            <v>노무비x3%</v>
          </cell>
          <cell r="F4062">
            <v>0</v>
          </cell>
          <cell r="AM4062">
            <v>0</v>
          </cell>
          <cell r="AN4062">
            <v>0</v>
          </cell>
        </row>
        <row r="4063">
          <cell r="A4063" t="str">
            <v>143-7</v>
          </cell>
          <cell r="B4063">
            <v>517</v>
          </cell>
          <cell r="D4063" t="str">
            <v>통신설비공</v>
          </cell>
          <cell r="E4063">
            <v>0</v>
          </cell>
          <cell r="F4063" t="str">
            <v>인</v>
          </cell>
          <cell r="H4063">
            <v>6.8</v>
          </cell>
          <cell r="I4063" t="str">
            <v>x</v>
          </cell>
          <cell r="J4063">
            <v>0.03</v>
          </cell>
          <cell r="V4063" t="str">
            <v>=</v>
          </cell>
          <cell r="W4063">
            <v>0.2</v>
          </cell>
          <cell r="Y4063" t="str">
            <v>기본</v>
          </cell>
          <cell r="Z4063" t="str">
            <v>x</v>
          </cell>
          <cell r="AA4063" t="str">
            <v>공구손료</v>
          </cell>
          <cell r="AM4063">
            <v>77401</v>
          </cell>
          <cell r="AN4063">
            <v>0</v>
          </cell>
        </row>
        <row r="4064">
          <cell r="A4064" t="str">
            <v>143-8</v>
          </cell>
          <cell r="B4064">
            <v>523</v>
          </cell>
          <cell r="D4064" t="str">
            <v>보통인부</v>
          </cell>
          <cell r="E4064">
            <v>0</v>
          </cell>
          <cell r="F4064" t="str">
            <v>인</v>
          </cell>
          <cell r="H4064">
            <v>1.9</v>
          </cell>
          <cell r="I4064" t="str">
            <v>x</v>
          </cell>
          <cell r="J4064">
            <v>0.03</v>
          </cell>
          <cell r="V4064" t="str">
            <v>=</v>
          </cell>
          <cell r="W4064">
            <v>0.05</v>
          </cell>
          <cell r="Y4064" t="str">
            <v>기본</v>
          </cell>
          <cell r="Z4064" t="str">
            <v>x</v>
          </cell>
          <cell r="AA4064" t="str">
            <v>공구손료</v>
          </cell>
          <cell r="AM4064">
            <v>40922</v>
          </cell>
          <cell r="AN4064">
            <v>0</v>
          </cell>
        </row>
        <row r="4065">
          <cell r="AM4065">
            <v>0</v>
          </cell>
        </row>
        <row r="4066">
          <cell r="AM4066">
            <v>0</v>
          </cell>
        </row>
        <row r="4067">
          <cell r="AM4067">
            <v>0</v>
          </cell>
        </row>
        <row r="4068">
          <cell r="AM4068">
            <v>0</v>
          </cell>
        </row>
        <row r="4069">
          <cell r="AM4069">
            <v>0</v>
          </cell>
        </row>
        <row r="4070">
          <cell r="AM4070">
            <v>0</v>
          </cell>
          <cell r="AN4070">
            <v>0</v>
          </cell>
        </row>
        <row r="4071">
          <cell r="AM4071">
            <v>0</v>
          </cell>
          <cell r="AN4071">
            <v>0</v>
          </cell>
        </row>
        <row r="4072">
          <cell r="AM4072">
            <v>0</v>
          </cell>
        </row>
        <row r="4073">
          <cell r="AM4073">
            <v>0</v>
          </cell>
        </row>
        <row r="4074">
          <cell r="AM4074">
            <v>0</v>
          </cell>
        </row>
        <row r="4075">
          <cell r="AM4075">
            <v>0</v>
          </cell>
        </row>
        <row r="4076">
          <cell r="AM4076">
            <v>0</v>
          </cell>
        </row>
        <row r="4077">
          <cell r="AM4077">
            <v>0</v>
          </cell>
        </row>
        <row r="4078">
          <cell r="AM4078">
            <v>0</v>
          </cell>
        </row>
        <row r="4079">
          <cell r="AM4079">
            <v>0</v>
          </cell>
          <cell r="AN4079">
            <v>0</v>
          </cell>
        </row>
        <row r="4080">
          <cell r="A4080">
            <v>144</v>
          </cell>
          <cell r="C4080">
            <v>144</v>
          </cell>
          <cell r="D4080" t="str">
            <v>지령장치 신설</v>
          </cell>
          <cell r="F4080" t="str">
            <v>식</v>
          </cell>
          <cell r="AM4080">
            <v>0</v>
          </cell>
          <cell r="AN4080">
            <v>0</v>
          </cell>
        </row>
        <row r="4081">
          <cell r="A4081" t="str">
            <v>144-1</v>
          </cell>
          <cell r="B4081">
            <v>541</v>
          </cell>
          <cell r="D4081" t="str">
            <v>가. 재료비</v>
          </cell>
          <cell r="E4081">
            <v>0</v>
          </cell>
          <cell r="F4081">
            <v>0</v>
          </cell>
          <cell r="AM4081">
            <v>0</v>
          </cell>
          <cell r="AN4081">
            <v>0</v>
          </cell>
        </row>
        <row r="4082">
          <cell r="A4082" t="str">
            <v>144-2</v>
          </cell>
          <cell r="B4082">
            <v>339</v>
          </cell>
          <cell r="D4082" t="str">
            <v>지령장치</v>
          </cell>
          <cell r="E4082">
            <v>0</v>
          </cell>
          <cell r="F4082" t="str">
            <v>대</v>
          </cell>
          <cell r="V4082" t="str">
            <v>=</v>
          </cell>
          <cell r="W4082">
            <v>1</v>
          </cell>
          <cell r="AM4082">
            <v>11745600</v>
          </cell>
          <cell r="AN4082" t="str">
            <v>상동</v>
          </cell>
        </row>
        <row r="4083">
          <cell r="A4083" t="str">
            <v>144-3</v>
          </cell>
          <cell r="B4083">
            <v>542</v>
          </cell>
          <cell r="D4083" t="str">
            <v>나. 노무비</v>
          </cell>
          <cell r="E4083">
            <v>0</v>
          </cell>
          <cell r="F4083">
            <v>0</v>
          </cell>
          <cell r="AL4083" t="str">
            <v>통 5-4</v>
          </cell>
          <cell r="AM4083">
            <v>0</v>
          </cell>
          <cell r="AN4083">
            <v>0</v>
          </cell>
        </row>
        <row r="4084">
          <cell r="D4084" t="str">
            <v>1) Bay 건립</v>
          </cell>
        </row>
        <row r="4085">
          <cell r="B4085">
            <v>517</v>
          </cell>
          <cell r="D4085" t="str">
            <v>통신설비공</v>
          </cell>
          <cell r="E4085">
            <v>0</v>
          </cell>
          <cell r="F4085" t="str">
            <v>인</v>
          </cell>
          <cell r="H4085">
            <v>0.5</v>
          </cell>
          <cell r="I4085" t="str">
            <v>x</v>
          </cell>
          <cell r="J4085">
            <v>1</v>
          </cell>
          <cell r="V4085" t="str">
            <v>=</v>
          </cell>
          <cell r="W4085">
            <v>0.5</v>
          </cell>
          <cell r="Y4085" t="str">
            <v>기본</v>
          </cell>
          <cell r="Z4085" t="str">
            <v>x</v>
          </cell>
          <cell r="AA4085" t="str">
            <v>단위량</v>
          </cell>
          <cell r="AM4085">
            <v>77401</v>
          </cell>
          <cell r="AN4085">
            <v>0</v>
          </cell>
        </row>
        <row r="4086">
          <cell r="B4086">
            <v>523</v>
          </cell>
          <cell r="D4086" t="str">
            <v>보통인부</v>
          </cell>
          <cell r="E4086">
            <v>0</v>
          </cell>
          <cell r="F4086" t="str">
            <v>인</v>
          </cell>
          <cell r="H4086">
            <v>1</v>
          </cell>
          <cell r="I4086" t="str">
            <v>x</v>
          </cell>
          <cell r="J4086">
            <v>1</v>
          </cell>
          <cell r="V4086" t="str">
            <v>=</v>
          </cell>
          <cell r="W4086">
            <v>1</v>
          </cell>
          <cell r="Y4086" t="str">
            <v>기본</v>
          </cell>
          <cell r="Z4086" t="str">
            <v>x</v>
          </cell>
          <cell r="AA4086" t="str">
            <v>단위량</v>
          </cell>
          <cell r="AM4086">
            <v>40922</v>
          </cell>
          <cell r="AN4086">
            <v>0</v>
          </cell>
        </row>
        <row r="4087">
          <cell r="D4087" t="str">
            <v>2) 내부결선 및 기타결선</v>
          </cell>
        </row>
        <row r="4088">
          <cell r="B4088">
            <v>517</v>
          </cell>
          <cell r="D4088" t="str">
            <v>통신설비공</v>
          </cell>
          <cell r="E4088">
            <v>0</v>
          </cell>
          <cell r="F4088" t="str">
            <v>인</v>
          </cell>
          <cell r="H4088">
            <v>3.1</v>
          </cell>
          <cell r="I4088" t="str">
            <v>x</v>
          </cell>
          <cell r="J4088">
            <v>1</v>
          </cell>
          <cell r="V4088" t="str">
            <v>=</v>
          </cell>
          <cell r="W4088">
            <v>3.1</v>
          </cell>
          <cell r="Y4088" t="str">
            <v>기본</v>
          </cell>
          <cell r="Z4088" t="str">
            <v>x</v>
          </cell>
          <cell r="AA4088" t="str">
            <v>단위량</v>
          </cell>
          <cell r="AM4088">
            <v>77401</v>
          </cell>
          <cell r="AN4088">
            <v>0</v>
          </cell>
        </row>
        <row r="4089">
          <cell r="B4089">
            <v>523</v>
          </cell>
          <cell r="D4089" t="str">
            <v>보통인부</v>
          </cell>
          <cell r="E4089">
            <v>0</v>
          </cell>
          <cell r="F4089" t="str">
            <v>인</v>
          </cell>
          <cell r="H4089">
            <v>0.5</v>
          </cell>
          <cell r="I4089" t="str">
            <v>x</v>
          </cell>
          <cell r="J4089">
            <v>1</v>
          </cell>
          <cell r="V4089" t="str">
            <v>=</v>
          </cell>
          <cell r="W4089">
            <v>0.5</v>
          </cell>
          <cell r="Y4089" t="str">
            <v>기본</v>
          </cell>
          <cell r="Z4089" t="str">
            <v>x</v>
          </cell>
          <cell r="AA4089" t="str">
            <v>단위량</v>
          </cell>
          <cell r="AM4089">
            <v>40922</v>
          </cell>
          <cell r="AN4089">
            <v>0</v>
          </cell>
        </row>
        <row r="4090">
          <cell r="B4090">
            <v>544</v>
          </cell>
          <cell r="D4090" t="str">
            <v>소    계</v>
          </cell>
          <cell r="E4090">
            <v>0</v>
          </cell>
          <cell r="F4090">
            <v>0</v>
          </cell>
          <cell r="AM4090">
            <v>0</v>
          </cell>
          <cell r="AN4090">
            <v>0</v>
          </cell>
        </row>
        <row r="4091">
          <cell r="A4091" t="str">
            <v>144-5</v>
          </cell>
          <cell r="B4091">
            <v>517</v>
          </cell>
          <cell r="D4091" t="str">
            <v>통신설비공</v>
          </cell>
          <cell r="E4091">
            <v>0</v>
          </cell>
          <cell r="F4091" t="str">
            <v>인</v>
          </cell>
          <cell r="V4091" t="str">
            <v>=</v>
          </cell>
          <cell r="W4091">
            <v>3.6</v>
          </cell>
          <cell r="AM4091">
            <v>77401</v>
          </cell>
          <cell r="AN4091">
            <v>0</v>
          </cell>
        </row>
        <row r="4092">
          <cell r="A4092" t="str">
            <v>144-6</v>
          </cell>
          <cell r="B4092">
            <v>523</v>
          </cell>
          <cell r="D4092" t="str">
            <v>보통인부</v>
          </cell>
          <cell r="E4092">
            <v>0</v>
          </cell>
          <cell r="F4092" t="str">
            <v>인</v>
          </cell>
          <cell r="V4092" t="str">
            <v>=</v>
          </cell>
          <cell r="W4092">
            <v>1.5</v>
          </cell>
          <cell r="AM4092">
            <v>40922</v>
          </cell>
          <cell r="AN4092">
            <v>0</v>
          </cell>
        </row>
        <row r="4093">
          <cell r="A4093" t="str">
            <v>144-7</v>
          </cell>
          <cell r="B4093">
            <v>543</v>
          </cell>
          <cell r="D4093" t="str">
            <v>다. 공구손료</v>
          </cell>
          <cell r="E4093" t="str">
            <v>노무비x3%</v>
          </cell>
          <cell r="F4093">
            <v>0</v>
          </cell>
          <cell r="AM4093">
            <v>0</v>
          </cell>
          <cell r="AN4093">
            <v>0</v>
          </cell>
        </row>
        <row r="4094">
          <cell r="A4094" t="str">
            <v>144-9</v>
          </cell>
          <cell r="B4094">
            <v>517</v>
          </cell>
          <cell r="D4094" t="str">
            <v>통신설비공</v>
          </cell>
          <cell r="E4094">
            <v>0</v>
          </cell>
          <cell r="F4094" t="str">
            <v>인</v>
          </cell>
          <cell r="H4094">
            <v>3.6</v>
          </cell>
          <cell r="I4094" t="str">
            <v>x</v>
          </cell>
          <cell r="J4094">
            <v>0.03</v>
          </cell>
          <cell r="V4094" t="str">
            <v>=</v>
          </cell>
          <cell r="W4094">
            <v>0.11</v>
          </cell>
          <cell r="Y4094" t="str">
            <v>기본</v>
          </cell>
          <cell r="Z4094" t="str">
            <v>x</v>
          </cell>
          <cell r="AA4094" t="str">
            <v>공구손료</v>
          </cell>
          <cell r="AM4094">
            <v>77401</v>
          </cell>
          <cell r="AN4094">
            <v>0</v>
          </cell>
        </row>
        <row r="4095">
          <cell r="A4095" t="str">
            <v>144-10</v>
          </cell>
          <cell r="B4095">
            <v>523</v>
          </cell>
          <cell r="D4095" t="str">
            <v>보통인부</v>
          </cell>
          <cell r="E4095">
            <v>0</v>
          </cell>
          <cell r="F4095" t="str">
            <v>인</v>
          </cell>
          <cell r="H4095">
            <v>1.5</v>
          </cell>
          <cell r="I4095" t="str">
            <v>x</v>
          </cell>
          <cell r="J4095">
            <v>0.03</v>
          </cell>
          <cell r="V4095" t="str">
            <v>=</v>
          </cell>
          <cell r="W4095">
            <v>0.05</v>
          </cell>
          <cell r="Y4095" t="str">
            <v>기본</v>
          </cell>
          <cell r="Z4095" t="str">
            <v>x</v>
          </cell>
          <cell r="AA4095" t="str">
            <v>공구손료</v>
          </cell>
          <cell r="AM4095">
            <v>40922</v>
          </cell>
          <cell r="AN4095">
            <v>0</v>
          </cell>
        </row>
        <row r="4096">
          <cell r="AM4096">
            <v>0</v>
          </cell>
        </row>
        <row r="4097">
          <cell r="AM4097">
            <v>0</v>
          </cell>
        </row>
        <row r="4098">
          <cell r="AM4098">
            <v>0</v>
          </cell>
        </row>
        <row r="4099">
          <cell r="AM4099">
            <v>0</v>
          </cell>
        </row>
        <row r="4100">
          <cell r="AM4100">
            <v>0</v>
          </cell>
        </row>
        <row r="4101">
          <cell r="AM4101">
            <v>0</v>
          </cell>
        </row>
        <row r="4102">
          <cell r="AM4102">
            <v>0</v>
          </cell>
        </row>
        <row r="4103">
          <cell r="AM4103">
            <v>0</v>
          </cell>
          <cell r="AN4103">
            <v>0</v>
          </cell>
        </row>
        <row r="4104">
          <cell r="AM4104">
            <v>0</v>
          </cell>
          <cell r="AN4104">
            <v>0</v>
          </cell>
        </row>
        <row r="4105">
          <cell r="AM4105">
            <v>0</v>
          </cell>
          <cell r="AN4105">
            <v>0</v>
          </cell>
        </row>
        <row r="4106">
          <cell r="AM4106">
            <v>0</v>
          </cell>
          <cell r="AN4106">
            <v>0</v>
          </cell>
        </row>
        <row r="4107">
          <cell r="A4107">
            <v>145</v>
          </cell>
          <cell r="C4107">
            <v>145</v>
          </cell>
          <cell r="D4107" t="str">
            <v>광중계기장치 신설</v>
          </cell>
          <cell r="E4107" t="str">
            <v>MASTER</v>
          </cell>
          <cell r="F4107" t="str">
            <v>식</v>
          </cell>
          <cell r="AM4107">
            <v>0</v>
          </cell>
          <cell r="AN4107">
            <v>0</v>
          </cell>
        </row>
        <row r="4108">
          <cell r="A4108" t="str">
            <v>145-1</v>
          </cell>
          <cell r="B4108">
            <v>541</v>
          </cell>
          <cell r="D4108" t="str">
            <v>가. 재료비</v>
          </cell>
          <cell r="E4108">
            <v>0</v>
          </cell>
          <cell r="F4108">
            <v>0</v>
          </cell>
          <cell r="AM4108">
            <v>0</v>
          </cell>
          <cell r="AN4108">
            <v>0</v>
          </cell>
        </row>
        <row r="4109">
          <cell r="A4109" t="str">
            <v>145-2</v>
          </cell>
          <cell r="B4109">
            <v>425</v>
          </cell>
          <cell r="D4109" t="str">
            <v>광중계기장치</v>
          </cell>
          <cell r="E4109" t="str">
            <v>MASTER</v>
          </cell>
          <cell r="F4109" t="str">
            <v>대</v>
          </cell>
          <cell r="V4109" t="str">
            <v>=</v>
          </cell>
          <cell r="W4109">
            <v>1</v>
          </cell>
          <cell r="AM4109">
            <v>25490000</v>
          </cell>
          <cell r="AN4109">
            <v>0</v>
          </cell>
        </row>
        <row r="4110">
          <cell r="A4110" t="str">
            <v>145-3</v>
          </cell>
          <cell r="B4110">
            <v>542</v>
          </cell>
          <cell r="D4110" t="str">
            <v>나. 노무비</v>
          </cell>
          <cell r="E4110">
            <v>0</v>
          </cell>
          <cell r="F4110">
            <v>0</v>
          </cell>
          <cell r="AL4110" t="str">
            <v>통 5-2</v>
          </cell>
          <cell r="AM4110">
            <v>0</v>
          </cell>
          <cell r="AN4110">
            <v>0</v>
          </cell>
        </row>
        <row r="4111">
          <cell r="D4111" t="str">
            <v>1) 조립설치 및 배선</v>
          </cell>
        </row>
        <row r="4112">
          <cell r="B4112">
            <v>517</v>
          </cell>
          <cell r="D4112" t="str">
            <v>통신설비공</v>
          </cell>
          <cell r="E4112">
            <v>0</v>
          </cell>
          <cell r="F4112" t="str">
            <v>인</v>
          </cell>
          <cell r="H4112">
            <v>3.5</v>
          </cell>
          <cell r="I4112" t="str">
            <v>x</v>
          </cell>
          <cell r="J4112">
            <v>1</v>
          </cell>
          <cell r="V4112" t="str">
            <v>=</v>
          </cell>
          <cell r="W4112">
            <v>3.5</v>
          </cell>
          <cell r="Y4112" t="str">
            <v>기본</v>
          </cell>
          <cell r="Z4112" t="str">
            <v>x</v>
          </cell>
          <cell r="AA4112" t="str">
            <v>단위량</v>
          </cell>
          <cell r="AM4112">
            <v>77401</v>
          </cell>
          <cell r="AN4112">
            <v>0</v>
          </cell>
        </row>
        <row r="4113">
          <cell r="B4113">
            <v>523</v>
          </cell>
          <cell r="D4113" t="str">
            <v>보통인부</v>
          </cell>
          <cell r="E4113">
            <v>0</v>
          </cell>
          <cell r="F4113" t="str">
            <v>인</v>
          </cell>
          <cell r="H4113">
            <v>3</v>
          </cell>
          <cell r="I4113" t="str">
            <v>x</v>
          </cell>
          <cell r="J4113">
            <v>1</v>
          </cell>
          <cell r="V4113" t="str">
            <v>=</v>
          </cell>
          <cell r="W4113">
            <v>3</v>
          </cell>
          <cell r="Y4113" t="str">
            <v>기본</v>
          </cell>
          <cell r="Z4113" t="str">
            <v>x</v>
          </cell>
          <cell r="AA4113" t="str">
            <v>단위량</v>
          </cell>
          <cell r="AM4113">
            <v>40922</v>
          </cell>
          <cell r="AN4113">
            <v>0</v>
          </cell>
        </row>
        <row r="4114">
          <cell r="D4114" t="str">
            <v>2) 대국 시험</v>
          </cell>
        </row>
        <row r="4115">
          <cell r="B4115">
            <v>555</v>
          </cell>
          <cell r="D4115" t="str">
            <v>통신관련산업기사</v>
          </cell>
          <cell r="E4115">
            <v>0</v>
          </cell>
          <cell r="F4115" t="str">
            <v>인</v>
          </cell>
          <cell r="H4115">
            <v>2.4</v>
          </cell>
          <cell r="I4115" t="str">
            <v>x</v>
          </cell>
          <cell r="J4115">
            <v>1</v>
          </cell>
          <cell r="V4115" t="str">
            <v>=</v>
          </cell>
          <cell r="W4115">
            <v>2.4</v>
          </cell>
          <cell r="Y4115" t="str">
            <v>기본</v>
          </cell>
          <cell r="Z4115" t="str">
            <v>x</v>
          </cell>
          <cell r="AA4115" t="str">
            <v>단위량</v>
          </cell>
          <cell r="AM4115">
            <v>91949</v>
          </cell>
          <cell r="AN4115">
            <v>0</v>
          </cell>
        </row>
        <row r="4116">
          <cell r="B4116">
            <v>544</v>
          </cell>
          <cell r="D4116" t="str">
            <v>소    계</v>
          </cell>
          <cell r="E4116">
            <v>0</v>
          </cell>
          <cell r="F4116">
            <v>0</v>
          </cell>
          <cell r="AM4116">
            <v>0</v>
          </cell>
          <cell r="AN4116">
            <v>0</v>
          </cell>
        </row>
        <row r="4117">
          <cell r="A4117" t="str">
            <v>145-4</v>
          </cell>
          <cell r="B4117">
            <v>555</v>
          </cell>
          <cell r="D4117" t="str">
            <v>통신관련산업기사</v>
          </cell>
          <cell r="E4117">
            <v>0</v>
          </cell>
          <cell r="F4117" t="str">
            <v>인</v>
          </cell>
          <cell r="V4117" t="str">
            <v>=</v>
          </cell>
          <cell r="W4117">
            <v>2.4</v>
          </cell>
          <cell r="AM4117">
            <v>91949</v>
          </cell>
          <cell r="AN4117">
            <v>0</v>
          </cell>
        </row>
        <row r="4118">
          <cell r="A4118" t="str">
            <v>145-5</v>
          </cell>
          <cell r="B4118">
            <v>517</v>
          </cell>
          <cell r="D4118" t="str">
            <v>통신설비공</v>
          </cell>
          <cell r="E4118">
            <v>0</v>
          </cell>
          <cell r="F4118" t="str">
            <v>인</v>
          </cell>
          <cell r="V4118" t="str">
            <v>=</v>
          </cell>
          <cell r="W4118">
            <v>3.5</v>
          </cell>
          <cell r="AM4118">
            <v>77401</v>
          </cell>
          <cell r="AN4118">
            <v>0</v>
          </cell>
        </row>
        <row r="4119">
          <cell r="A4119" t="str">
            <v>145-6</v>
          </cell>
          <cell r="B4119">
            <v>523</v>
          </cell>
          <cell r="D4119" t="str">
            <v>보통인부</v>
          </cell>
          <cell r="E4119">
            <v>0</v>
          </cell>
          <cell r="F4119" t="str">
            <v>인</v>
          </cell>
          <cell r="V4119" t="str">
            <v>=</v>
          </cell>
          <cell r="W4119">
            <v>3</v>
          </cell>
          <cell r="AM4119">
            <v>40922</v>
          </cell>
          <cell r="AN4119">
            <v>0</v>
          </cell>
        </row>
        <row r="4120">
          <cell r="A4120" t="str">
            <v>145-7</v>
          </cell>
          <cell r="B4120">
            <v>543</v>
          </cell>
          <cell r="D4120" t="str">
            <v>다. 공구손료</v>
          </cell>
          <cell r="E4120" t="str">
            <v>노무비x3%</v>
          </cell>
          <cell r="F4120">
            <v>0</v>
          </cell>
          <cell r="AM4120">
            <v>0</v>
          </cell>
          <cell r="AN4120">
            <v>0</v>
          </cell>
        </row>
        <row r="4121">
          <cell r="A4121" t="str">
            <v>145-8</v>
          </cell>
          <cell r="B4121">
            <v>555</v>
          </cell>
          <cell r="D4121" t="str">
            <v>통신관련산업기사</v>
          </cell>
          <cell r="E4121">
            <v>0</v>
          </cell>
          <cell r="F4121" t="str">
            <v>인</v>
          </cell>
          <cell r="H4121">
            <v>2.4</v>
          </cell>
          <cell r="I4121" t="str">
            <v>x</v>
          </cell>
          <cell r="J4121">
            <v>0.03</v>
          </cell>
          <cell r="V4121" t="str">
            <v>=</v>
          </cell>
          <cell r="W4121">
            <v>7.0000000000000007E-2</v>
          </cell>
          <cell r="Y4121" t="str">
            <v>기본</v>
          </cell>
          <cell r="Z4121" t="str">
            <v>x</v>
          </cell>
          <cell r="AA4121" t="str">
            <v>공구손료</v>
          </cell>
          <cell r="AM4121">
            <v>91949</v>
          </cell>
          <cell r="AN4121">
            <v>0</v>
          </cell>
        </row>
        <row r="4122">
          <cell r="A4122" t="str">
            <v>145-9</v>
          </cell>
          <cell r="B4122">
            <v>517</v>
          </cell>
          <cell r="D4122" t="str">
            <v>통신설비공</v>
          </cell>
          <cell r="E4122">
            <v>0</v>
          </cell>
          <cell r="F4122" t="str">
            <v>인</v>
          </cell>
          <cell r="H4122">
            <v>3.5</v>
          </cell>
          <cell r="I4122" t="str">
            <v>x</v>
          </cell>
          <cell r="J4122">
            <v>0.03</v>
          </cell>
          <cell r="V4122" t="str">
            <v>=</v>
          </cell>
          <cell r="W4122">
            <v>0.11</v>
          </cell>
          <cell r="Y4122" t="str">
            <v>기본</v>
          </cell>
          <cell r="Z4122" t="str">
            <v>x</v>
          </cell>
          <cell r="AA4122" t="str">
            <v>공구손료</v>
          </cell>
          <cell r="AM4122">
            <v>77401</v>
          </cell>
          <cell r="AN4122">
            <v>0</v>
          </cell>
        </row>
        <row r="4123">
          <cell r="A4123" t="str">
            <v>145-10</v>
          </cell>
          <cell r="B4123">
            <v>523</v>
          </cell>
          <cell r="D4123" t="str">
            <v>보통인부</v>
          </cell>
          <cell r="E4123">
            <v>0</v>
          </cell>
          <cell r="F4123" t="str">
            <v>인</v>
          </cell>
          <cell r="H4123">
            <v>3</v>
          </cell>
          <cell r="I4123" t="str">
            <v>x</v>
          </cell>
          <cell r="J4123">
            <v>0.03</v>
          </cell>
          <cell r="V4123" t="str">
            <v>=</v>
          </cell>
          <cell r="W4123">
            <v>0.09</v>
          </cell>
          <cell r="Y4123" t="str">
            <v>기본</v>
          </cell>
          <cell r="Z4123" t="str">
            <v>x</v>
          </cell>
          <cell r="AA4123" t="str">
            <v>공구손료</v>
          </cell>
          <cell r="AM4123">
            <v>40922</v>
          </cell>
          <cell r="AN4123">
            <v>0</v>
          </cell>
        </row>
        <row r="4124">
          <cell r="AM4124">
            <v>0</v>
          </cell>
          <cell r="AN4124">
            <v>0</v>
          </cell>
        </row>
        <row r="4125">
          <cell r="AM4125">
            <v>0</v>
          </cell>
        </row>
        <row r="4126">
          <cell r="AM4126">
            <v>0</v>
          </cell>
        </row>
        <row r="4127">
          <cell r="AM4127">
            <v>0</v>
          </cell>
        </row>
        <row r="4128">
          <cell r="AM4128">
            <v>0</v>
          </cell>
        </row>
        <row r="4129">
          <cell r="AM4129">
            <v>0</v>
          </cell>
        </row>
        <row r="4130">
          <cell r="AM4130">
            <v>0</v>
          </cell>
        </row>
        <row r="4131">
          <cell r="AM4131">
            <v>0</v>
          </cell>
        </row>
        <row r="4132">
          <cell r="AM4132">
            <v>0</v>
          </cell>
        </row>
        <row r="4133">
          <cell r="AM4133">
            <v>0</v>
          </cell>
        </row>
        <row r="4134">
          <cell r="A4134">
            <v>146</v>
          </cell>
          <cell r="C4134">
            <v>146</v>
          </cell>
          <cell r="D4134" t="str">
            <v>광중계기장치 신설</v>
          </cell>
          <cell r="E4134" t="str">
            <v>SLAVE</v>
          </cell>
          <cell r="F4134" t="str">
            <v>식</v>
          </cell>
          <cell r="AM4134">
            <v>0</v>
          </cell>
          <cell r="AN4134">
            <v>0</v>
          </cell>
        </row>
        <row r="4135">
          <cell r="A4135" t="str">
            <v>146-1</v>
          </cell>
          <cell r="B4135">
            <v>541</v>
          </cell>
          <cell r="D4135" t="str">
            <v>가. 재료비</v>
          </cell>
          <cell r="E4135">
            <v>0</v>
          </cell>
          <cell r="F4135">
            <v>0</v>
          </cell>
          <cell r="AM4135">
            <v>0</v>
          </cell>
          <cell r="AN4135">
            <v>0</v>
          </cell>
        </row>
        <row r="4136">
          <cell r="A4136" t="str">
            <v>146-2</v>
          </cell>
          <cell r="B4136">
            <v>426</v>
          </cell>
          <cell r="D4136" t="str">
            <v>광중계기장치</v>
          </cell>
          <cell r="E4136" t="str">
            <v>SLAVE</v>
          </cell>
          <cell r="F4136" t="str">
            <v>대</v>
          </cell>
          <cell r="V4136" t="str">
            <v>=</v>
          </cell>
          <cell r="W4136">
            <v>1</v>
          </cell>
          <cell r="AM4136">
            <v>40938000</v>
          </cell>
          <cell r="AN4136">
            <v>0</v>
          </cell>
        </row>
        <row r="4137">
          <cell r="A4137" t="str">
            <v>146-3</v>
          </cell>
          <cell r="B4137">
            <v>542</v>
          </cell>
          <cell r="D4137" t="str">
            <v>나. 노무비</v>
          </cell>
          <cell r="E4137">
            <v>0</v>
          </cell>
          <cell r="F4137">
            <v>0</v>
          </cell>
          <cell r="AL4137" t="str">
            <v>통 5-2</v>
          </cell>
          <cell r="AM4137">
            <v>0</v>
          </cell>
          <cell r="AN4137">
            <v>0</v>
          </cell>
        </row>
        <row r="4138">
          <cell r="D4138" t="str">
            <v>1) 조립설치 및 배선</v>
          </cell>
        </row>
        <row r="4139">
          <cell r="B4139">
            <v>517</v>
          </cell>
          <cell r="D4139" t="str">
            <v>통신설비공</v>
          </cell>
          <cell r="F4139" t="str">
            <v>인</v>
          </cell>
          <cell r="H4139">
            <v>3.5</v>
          </cell>
          <cell r="I4139" t="str">
            <v>x</v>
          </cell>
          <cell r="J4139">
            <v>1</v>
          </cell>
          <cell r="V4139" t="str">
            <v>=</v>
          </cell>
          <cell r="W4139">
            <v>3.5</v>
          </cell>
          <cell r="Y4139" t="str">
            <v>기본</v>
          </cell>
          <cell r="Z4139" t="str">
            <v>x</v>
          </cell>
          <cell r="AA4139" t="str">
            <v>단위량</v>
          </cell>
          <cell r="AM4139">
            <v>77401</v>
          </cell>
          <cell r="AN4139">
            <v>0</v>
          </cell>
        </row>
        <row r="4140">
          <cell r="B4140">
            <v>523</v>
          </cell>
          <cell r="D4140" t="str">
            <v>보통인부</v>
          </cell>
          <cell r="F4140" t="str">
            <v>인</v>
          </cell>
          <cell r="H4140">
            <v>3</v>
          </cell>
          <cell r="I4140" t="str">
            <v>x</v>
          </cell>
          <cell r="J4140">
            <v>1</v>
          </cell>
          <cell r="V4140" t="str">
            <v>=</v>
          </cell>
          <cell r="W4140">
            <v>3</v>
          </cell>
          <cell r="Y4140" t="str">
            <v>기본</v>
          </cell>
          <cell r="Z4140" t="str">
            <v>x</v>
          </cell>
          <cell r="AA4140" t="str">
            <v>단위량</v>
          </cell>
          <cell r="AM4140">
            <v>40922</v>
          </cell>
          <cell r="AN4140">
            <v>0</v>
          </cell>
        </row>
        <row r="4141">
          <cell r="D4141" t="str">
            <v>2) 대국시험</v>
          </cell>
        </row>
        <row r="4142">
          <cell r="B4142">
            <v>555</v>
          </cell>
          <cell r="D4142" t="str">
            <v>통신관련산업기사</v>
          </cell>
          <cell r="F4142" t="str">
            <v>인</v>
          </cell>
          <cell r="H4142">
            <v>2.4</v>
          </cell>
          <cell r="I4142" t="str">
            <v>x</v>
          </cell>
          <cell r="J4142">
            <v>1</v>
          </cell>
          <cell r="V4142" t="str">
            <v>=</v>
          </cell>
          <cell r="W4142">
            <v>2.4</v>
          </cell>
          <cell r="Y4142" t="str">
            <v>기본</v>
          </cell>
          <cell r="Z4142" t="str">
            <v>x</v>
          </cell>
          <cell r="AA4142" t="str">
            <v>단위량</v>
          </cell>
          <cell r="AM4142">
            <v>91949</v>
          </cell>
          <cell r="AN4142">
            <v>0</v>
          </cell>
        </row>
        <row r="4144">
          <cell r="B4144">
            <v>544</v>
          </cell>
          <cell r="D4144" t="str">
            <v>소    계</v>
          </cell>
          <cell r="E4144">
            <v>0</v>
          </cell>
          <cell r="F4144">
            <v>0</v>
          </cell>
          <cell r="AM4144">
            <v>0</v>
          </cell>
          <cell r="AN4144">
            <v>0</v>
          </cell>
        </row>
        <row r="4145">
          <cell r="A4145" t="str">
            <v>146-4</v>
          </cell>
          <cell r="B4145">
            <v>555</v>
          </cell>
          <cell r="D4145" t="str">
            <v>통신관련산업기사</v>
          </cell>
          <cell r="E4145">
            <v>0</v>
          </cell>
          <cell r="F4145" t="str">
            <v>인</v>
          </cell>
          <cell r="V4145" t="str">
            <v>=</v>
          </cell>
          <cell r="W4145">
            <v>2.4</v>
          </cell>
          <cell r="AM4145">
            <v>91949</v>
          </cell>
          <cell r="AN4145">
            <v>0</v>
          </cell>
        </row>
        <row r="4146">
          <cell r="A4146" t="str">
            <v>146-5</v>
          </cell>
          <cell r="B4146">
            <v>517</v>
          </cell>
          <cell r="D4146" t="str">
            <v>통신설비공</v>
          </cell>
          <cell r="E4146">
            <v>0</v>
          </cell>
          <cell r="F4146" t="str">
            <v>인</v>
          </cell>
          <cell r="V4146" t="str">
            <v>=</v>
          </cell>
          <cell r="W4146">
            <v>3.5</v>
          </cell>
          <cell r="AM4146">
            <v>77401</v>
          </cell>
          <cell r="AN4146">
            <v>0</v>
          </cell>
        </row>
        <row r="4147">
          <cell r="A4147" t="str">
            <v>146-6</v>
          </cell>
          <cell r="B4147">
            <v>523</v>
          </cell>
          <cell r="D4147" t="str">
            <v>보통인부</v>
          </cell>
          <cell r="E4147">
            <v>0</v>
          </cell>
          <cell r="F4147" t="str">
            <v>인</v>
          </cell>
          <cell r="V4147" t="str">
            <v>=</v>
          </cell>
          <cell r="W4147">
            <v>3</v>
          </cell>
          <cell r="AM4147">
            <v>40922</v>
          </cell>
          <cell r="AN4147">
            <v>0</v>
          </cell>
        </row>
        <row r="4148">
          <cell r="A4148" t="str">
            <v>146-7</v>
          </cell>
          <cell r="B4148">
            <v>543</v>
          </cell>
          <cell r="D4148" t="str">
            <v>다. 공구손료</v>
          </cell>
          <cell r="E4148" t="str">
            <v>노무비x3%</v>
          </cell>
          <cell r="F4148">
            <v>0</v>
          </cell>
          <cell r="AM4148">
            <v>0</v>
          </cell>
          <cell r="AN4148">
            <v>0</v>
          </cell>
        </row>
        <row r="4149">
          <cell r="A4149" t="str">
            <v>146-8</v>
          </cell>
          <cell r="B4149">
            <v>555</v>
          </cell>
          <cell r="D4149" t="str">
            <v>통신관련산업기사</v>
          </cell>
          <cell r="E4149">
            <v>0</v>
          </cell>
          <cell r="F4149" t="str">
            <v>인</v>
          </cell>
          <cell r="H4149">
            <v>2.4</v>
          </cell>
          <cell r="I4149" t="str">
            <v>x</v>
          </cell>
          <cell r="J4149">
            <v>0.03</v>
          </cell>
          <cell r="V4149" t="str">
            <v>=</v>
          </cell>
          <cell r="W4149">
            <v>7.0000000000000007E-2</v>
          </cell>
          <cell r="Y4149" t="str">
            <v>기본</v>
          </cell>
          <cell r="Z4149" t="str">
            <v>x</v>
          </cell>
          <cell r="AA4149" t="str">
            <v>공구손료</v>
          </cell>
          <cell r="AM4149">
            <v>91949</v>
          </cell>
          <cell r="AN4149">
            <v>0</v>
          </cell>
        </row>
        <row r="4150">
          <cell r="A4150" t="str">
            <v>146-9</v>
          </cell>
          <cell r="B4150">
            <v>517</v>
          </cell>
          <cell r="D4150" t="str">
            <v>통신설비공</v>
          </cell>
          <cell r="E4150">
            <v>0</v>
          </cell>
          <cell r="F4150" t="str">
            <v>인</v>
          </cell>
          <cell r="H4150">
            <v>3.5</v>
          </cell>
          <cell r="I4150" t="str">
            <v>x</v>
          </cell>
          <cell r="J4150">
            <v>0.03</v>
          </cell>
          <cell r="V4150" t="str">
            <v>=</v>
          </cell>
          <cell r="W4150">
            <v>0.1</v>
          </cell>
          <cell r="Y4150" t="str">
            <v>기본</v>
          </cell>
          <cell r="Z4150" t="str">
            <v>x</v>
          </cell>
          <cell r="AA4150" t="str">
            <v>공구손료</v>
          </cell>
          <cell r="AM4150">
            <v>77401</v>
          </cell>
          <cell r="AN4150">
            <v>0</v>
          </cell>
        </row>
        <row r="4151">
          <cell r="A4151" t="str">
            <v>146-10</v>
          </cell>
          <cell r="B4151">
            <v>523</v>
          </cell>
          <cell r="D4151" t="str">
            <v>보통인부</v>
          </cell>
          <cell r="E4151">
            <v>0</v>
          </cell>
          <cell r="F4151" t="str">
            <v>인</v>
          </cell>
          <cell r="H4151">
            <v>3</v>
          </cell>
          <cell r="I4151" t="str">
            <v>x</v>
          </cell>
          <cell r="J4151">
            <v>0.03</v>
          </cell>
          <cell r="V4151" t="str">
            <v>=</v>
          </cell>
          <cell r="W4151">
            <v>0.09</v>
          </cell>
          <cell r="Y4151" t="str">
            <v>기본</v>
          </cell>
          <cell r="Z4151" t="str">
            <v>x</v>
          </cell>
          <cell r="AA4151" t="str">
            <v>공구손료</v>
          </cell>
          <cell r="AM4151">
            <v>40922</v>
          </cell>
          <cell r="AN4151">
            <v>0</v>
          </cell>
        </row>
        <row r="4152">
          <cell r="AM4152">
            <v>0</v>
          </cell>
        </row>
        <row r="4153">
          <cell r="AM4153">
            <v>0</v>
          </cell>
        </row>
        <row r="4154">
          <cell r="AM4154">
            <v>0</v>
          </cell>
        </row>
        <row r="4155">
          <cell r="AM4155">
            <v>0</v>
          </cell>
        </row>
        <row r="4156">
          <cell r="AM4156">
            <v>0</v>
          </cell>
        </row>
        <row r="4157">
          <cell r="AM4157">
            <v>0</v>
          </cell>
          <cell r="AN4157">
            <v>0</v>
          </cell>
        </row>
        <row r="4158">
          <cell r="AM4158">
            <v>0</v>
          </cell>
          <cell r="AN4158">
            <v>0</v>
          </cell>
        </row>
        <row r="4159">
          <cell r="AM4159">
            <v>0</v>
          </cell>
        </row>
        <row r="4160">
          <cell r="AM4160">
            <v>0</v>
          </cell>
          <cell r="AN4160">
            <v>0</v>
          </cell>
        </row>
        <row r="4161">
          <cell r="A4161">
            <v>147</v>
          </cell>
          <cell r="C4161">
            <v>147</v>
          </cell>
          <cell r="D4161" t="str">
            <v>차량이동국장치 신설</v>
          </cell>
          <cell r="E4161">
            <v>0</v>
          </cell>
          <cell r="F4161" t="str">
            <v>식</v>
          </cell>
          <cell r="AM4161">
            <v>0</v>
          </cell>
          <cell r="AN4161">
            <v>0</v>
          </cell>
        </row>
        <row r="4162">
          <cell r="A4162" t="str">
            <v>147-1</v>
          </cell>
          <cell r="B4162">
            <v>541</v>
          </cell>
          <cell r="D4162" t="str">
            <v>가. 재료비</v>
          </cell>
          <cell r="E4162">
            <v>0</v>
          </cell>
          <cell r="F4162">
            <v>0</v>
          </cell>
          <cell r="AM4162">
            <v>0</v>
          </cell>
          <cell r="AN4162">
            <v>0</v>
          </cell>
        </row>
        <row r="4163">
          <cell r="A4163" t="str">
            <v>147-2</v>
          </cell>
          <cell r="B4163">
            <v>340</v>
          </cell>
          <cell r="D4163" t="str">
            <v xml:space="preserve">차량이동국장치 </v>
          </cell>
          <cell r="E4163">
            <v>0</v>
          </cell>
          <cell r="F4163" t="str">
            <v>대</v>
          </cell>
          <cell r="V4163" t="str">
            <v>=</v>
          </cell>
          <cell r="W4163">
            <v>1</v>
          </cell>
          <cell r="AM4163">
            <v>17552000</v>
          </cell>
          <cell r="AN4163">
            <v>0</v>
          </cell>
        </row>
        <row r="4164">
          <cell r="AM4164">
            <v>0</v>
          </cell>
        </row>
        <row r="4165">
          <cell r="AM4165">
            <v>0</v>
          </cell>
        </row>
        <row r="4166">
          <cell r="AM4166">
            <v>0</v>
          </cell>
        </row>
        <row r="4167">
          <cell r="AM4167">
            <v>0</v>
          </cell>
        </row>
        <row r="4168">
          <cell r="AM4168">
            <v>0</v>
          </cell>
        </row>
        <row r="4169">
          <cell r="AM4169">
            <v>0</v>
          </cell>
        </row>
        <row r="4170">
          <cell r="AM4170">
            <v>0</v>
          </cell>
        </row>
        <row r="4171">
          <cell r="AM4171">
            <v>0</v>
          </cell>
        </row>
        <row r="4172">
          <cell r="AM4172">
            <v>0</v>
          </cell>
        </row>
        <row r="4173">
          <cell r="AM4173">
            <v>0</v>
          </cell>
        </row>
        <row r="4174">
          <cell r="AM4174">
            <v>0</v>
          </cell>
        </row>
        <row r="4175">
          <cell r="AM4175">
            <v>0</v>
          </cell>
        </row>
        <row r="4176">
          <cell r="AM4176">
            <v>0</v>
          </cell>
        </row>
        <row r="4177">
          <cell r="AM4177">
            <v>0</v>
          </cell>
        </row>
        <row r="4178">
          <cell r="AM4178">
            <v>0</v>
          </cell>
        </row>
        <row r="4179">
          <cell r="AM4179">
            <v>0</v>
          </cell>
        </row>
        <row r="4180">
          <cell r="AM4180">
            <v>0</v>
          </cell>
        </row>
        <row r="4181">
          <cell r="AM4181">
            <v>0</v>
          </cell>
        </row>
        <row r="4182">
          <cell r="AM4182">
            <v>0</v>
          </cell>
        </row>
        <row r="4183">
          <cell r="AM4183">
            <v>0</v>
          </cell>
        </row>
        <row r="4184">
          <cell r="AM4184">
            <v>0</v>
          </cell>
        </row>
        <row r="4185">
          <cell r="AM4185">
            <v>0</v>
          </cell>
        </row>
        <row r="4186">
          <cell r="AM4186">
            <v>0</v>
          </cell>
        </row>
        <row r="4187">
          <cell r="AM4187">
            <v>0</v>
          </cell>
          <cell r="AN4187">
            <v>0</v>
          </cell>
        </row>
        <row r="4188">
          <cell r="A4188">
            <v>148</v>
          </cell>
          <cell r="C4188">
            <v>148</v>
          </cell>
          <cell r="D4188" t="str">
            <v>고정형 무전기 신설</v>
          </cell>
          <cell r="E4188">
            <v>0</v>
          </cell>
          <cell r="F4188" t="str">
            <v>대</v>
          </cell>
          <cell r="AM4188">
            <v>0</v>
          </cell>
          <cell r="AN4188">
            <v>0</v>
          </cell>
        </row>
        <row r="4189">
          <cell r="A4189" t="str">
            <v>148-1</v>
          </cell>
          <cell r="B4189">
            <v>541</v>
          </cell>
          <cell r="D4189" t="str">
            <v>가. 재료비</v>
          </cell>
          <cell r="E4189">
            <v>0</v>
          </cell>
          <cell r="F4189">
            <v>0</v>
          </cell>
          <cell r="AM4189">
            <v>0</v>
          </cell>
          <cell r="AN4189">
            <v>0</v>
          </cell>
        </row>
        <row r="4190">
          <cell r="A4190" t="str">
            <v>148-2</v>
          </cell>
          <cell r="B4190">
            <v>341</v>
          </cell>
          <cell r="D4190" t="str">
            <v>고정형 무전기</v>
          </cell>
          <cell r="E4190">
            <v>0</v>
          </cell>
          <cell r="F4190" t="str">
            <v>대</v>
          </cell>
          <cell r="V4190" t="str">
            <v>=</v>
          </cell>
          <cell r="W4190">
            <v>1</v>
          </cell>
          <cell r="AM4190">
            <v>3022530</v>
          </cell>
          <cell r="AN4190" t="str">
            <v>부산3호선 설계가의 97.88% 적용</v>
          </cell>
        </row>
        <row r="4192">
          <cell r="A4192" t="str">
            <v>148-3</v>
          </cell>
          <cell r="B4192">
            <v>542</v>
          </cell>
          <cell r="D4192" t="str">
            <v>나. 노무비</v>
          </cell>
          <cell r="E4192">
            <v>0</v>
          </cell>
          <cell r="F4192">
            <v>0</v>
          </cell>
          <cell r="AM4192">
            <v>0</v>
          </cell>
          <cell r="AN4192">
            <v>0</v>
          </cell>
        </row>
        <row r="4193">
          <cell r="D4193" t="str">
            <v>1) 콘센트 설치</v>
          </cell>
          <cell r="AL4193" t="str">
            <v>전7-13</v>
          </cell>
          <cell r="AM4193">
            <v>0</v>
          </cell>
        </row>
        <row r="4194">
          <cell r="B4194">
            <v>512</v>
          </cell>
          <cell r="D4194" t="str">
            <v>내선전공</v>
          </cell>
          <cell r="E4194">
            <v>0</v>
          </cell>
          <cell r="F4194" t="str">
            <v>인</v>
          </cell>
          <cell r="H4194">
            <v>0.08</v>
          </cell>
          <cell r="I4194" t="str">
            <v>x</v>
          </cell>
          <cell r="J4194">
            <v>1</v>
          </cell>
          <cell r="V4194" t="str">
            <v>=</v>
          </cell>
          <cell r="W4194">
            <v>0.08</v>
          </cell>
          <cell r="Y4194" t="str">
            <v>기본</v>
          </cell>
          <cell r="Z4194" t="str">
            <v>x</v>
          </cell>
          <cell r="AA4194" t="str">
            <v>단위량</v>
          </cell>
          <cell r="AM4194">
            <v>56143</v>
          </cell>
          <cell r="AN4194">
            <v>0</v>
          </cell>
        </row>
        <row r="4195">
          <cell r="D4195" t="str">
            <v>2) 안테나 설치</v>
          </cell>
          <cell r="AL4195" t="str">
            <v>통5-26</v>
          </cell>
          <cell r="AM4195">
            <v>0</v>
          </cell>
        </row>
        <row r="4196">
          <cell r="B4196">
            <v>556</v>
          </cell>
          <cell r="D4196" t="str">
            <v>통신관련기사</v>
          </cell>
          <cell r="E4196">
            <v>0</v>
          </cell>
          <cell r="F4196" t="str">
            <v>인</v>
          </cell>
          <cell r="H4196">
            <v>2</v>
          </cell>
          <cell r="I4196" t="str">
            <v>x</v>
          </cell>
          <cell r="J4196">
            <v>1</v>
          </cell>
          <cell r="V4196" t="str">
            <v>=</v>
          </cell>
          <cell r="W4196">
            <v>2</v>
          </cell>
          <cell r="Y4196" t="str">
            <v>기본</v>
          </cell>
          <cell r="Z4196" t="str">
            <v>x</v>
          </cell>
          <cell r="AA4196" t="str">
            <v>단위량</v>
          </cell>
          <cell r="AM4196">
            <v>92355</v>
          </cell>
          <cell r="AN4196">
            <v>0</v>
          </cell>
        </row>
        <row r="4197">
          <cell r="B4197">
            <v>520</v>
          </cell>
          <cell r="D4197" t="str">
            <v>무선안테나공</v>
          </cell>
          <cell r="E4197">
            <v>0</v>
          </cell>
          <cell r="F4197" t="str">
            <v>인</v>
          </cell>
          <cell r="H4197">
            <v>1</v>
          </cell>
          <cell r="I4197" t="str">
            <v>x</v>
          </cell>
          <cell r="J4197">
            <v>1</v>
          </cell>
          <cell r="V4197" t="str">
            <v>=</v>
          </cell>
          <cell r="W4197">
            <v>1</v>
          </cell>
          <cell r="Y4197" t="str">
            <v>기본</v>
          </cell>
          <cell r="Z4197" t="str">
            <v>x</v>
          </cell>
          <cell r="AA4197" t="str">
            <v>단위량</v>
          </cell>
          <cell r="AM4197">
            <v>95000</v>
          </cell>
          <cell r="AN4197">
            <v>0</v>
          </cell>
        </row>
        <row r="4199">
          <cell r="B4199">
            <v>544</v>
          </cell>
          <cell r="D4199" t="str">
            <v>소    계</v>
          </cell>
          <cell r="E4199">
            <v>0</v>
          </cell>
          <cell r="F4199">
            <v>0</v>
          </cell>
          <cell r="AM4199">
            <v>0</v>
          </cell>
          <cell r="AN4199">
            <v>0</v>
          </cell>
        </row>
        <row r="4200">
          <cell r="A4200" t="str">
            <v>148-4</v>
          </cell>
          <cell r="B4200">
            <v>512</v>
          </cell>
          <cell r="D4200" t="str">
            <v>내선전공</v>
          </cell>
          <cell r="E4200">
            <v>0</v>
          </cell>
          <cell r="F4200" t="str">
            <v>인</v>
          </cell>
          <cell r="V4200" t="str">
            <v>=</v>
          </cell>
          <cell r="W4200">
            <v>0.08</v>
          </cell>
          <cell r="AM4200">
            <v>56143</v>
          </cell>
          <cell r="AN4200">
            <v>0</v>
          </cell>
        </row>
        <row r="4201">
          <cell r="A4201" t="str">
            <v>148-5</v>
          </cell>
          <cell r="B4201">
            <v>520</v>
          </cell>
          <cell r="D4201" t="str">
            <v>무선안테나공</v>
          </cell>
          <cell r="E4201">
            <v>0</v>
          </cell>
          <cell r="F4201" t="str">
            <v>인</v>
          </cell>
          <cell r="V4201" t="str">
            <v>=</v>
          </cell>
          <cell r="W4201">
            <v>1</v>
          </cell>
          <cell r="AM4201">
            <v>95000</v>
          </cell>
          <cell r="AN4201">
            <v>0</v>
          </cell>
        </row>
        <row r="4202">
          <cell r="A4202" t="str">
            <v>148-6</v>
          </cell>
          <cell r="B4202">
            <v>556</v>
          </cell>
          <cell r="D4202" t="str">
            <v>통신관련기사</v>
          </cell>
          <cell r="E4202">
            <v>0</v>
          </cell>
          <cell r="F4202" t="str">
            <v>인</v>
          </cell>
          <cell r="V4202" t="str">
            <v>=</v>
          </cell>
          <cell r="W4202">
            <v>2</v>
          </cell>
          <cell r="AM4202">
            <v>92355</v>
          </cell>
          <cell r="AN4202">
            <v>0</v>
          </cell>
        </row>
        <row r="4204">
          <cell r="A4204" t="str">
            <v>148-7</v>
          </cell>
          <cell r="B4204">
            <v>543</v>
          </cell>
          <cell r="D4204" t="str">
            <v>다. 공구손료</v>
          </cell>
          <cell r="E4204" t="str">
            <v>노무비x3%</v>
          </cell>
          <cell r="F4204">
            <v>0</v>
          </cell>
          <cell r="AM4204">
            <v>0</v>
          </cell>
          <cell r="AN4204">
            <v>0</v>
          </cell>
        </row>
        <row r="4205">
          <cell r="A4205" t="str">
            <v>148-8</v>
          </cell>
          <cell r="B4205">
            <v>512</v>
          </cell>
          <cell r="D4205" t="str">
            <v>내선전공</v>
          </cell>
          <cell r="E4205">
            <v>0</v>
          </cell>
          <cell r="F4205" t="str">
            <v>인</v>
          </cell>
          <cell r="H4205">
            <v>0.08</v>
          </cell>
          <cell r="I4205" t="str">
            <v>x</v>
          </cell>
          <cell r="J4205">
            <v>0.03</v>
          </cell>
          <cell r="V4205" t="str">
            <v>=</v>
          </cell>
          <cell r="W4205" t="str">
            <v>0</v>
          </cell>
          <cell r="Y4205" t="str">
            <v>기본</v>
          </cell>
          <cell r="Z4205" t="str">
            <v>x</v>
          </cell>
          <cell r="AA4205" t="str">
            <v>공구손료</v>
          </cell>
          <cell r="AM4205">
            <v>56143</v>
          </cell>
          <cell r="AN4205">
            <v>0</v>
          </cell>
        </row>
        <row r="4206">
          <cell r="A4206" t="str">
            <v>148-9</v>
          </cell>
          <cell r="B4206">
            <v>520</v>
          </cell>
          <cell r="D4206" t="str">
            <v>무선안테나공</v>
          </cell>
          <cell r="E4206">
            <v>0</v>
          </cell>
          <cell r="F4206" t="str">
            <v>인</v>
          </cell>
          <cell r="H4206">
            <v>1</v>
          </cell>
          <cell r="I4206" t="str">
            <v>x</v>
          </cell>
          <cell r="J4206">
            <v>0.03</v>
          </cell>
          <cell r="V4206" t="str">
            <v>=</v>
          </cell>
          <cell r="W4206">
            <v>0.03</v>
          </cell>
          <cell r="Y4206" t="str">
            <v>기본</v>
          </cell>
          <cell r="Z4206" t="str">
            <v>x</v>
          </cell>
          <cell r="AA4206" t="str">
            <v>공구손료</v>
          </cell>
          <cell r="AM4206">
            <v>95000</v>
          </cell>
          <cell r="AN4206">
            <v>0</v>
          </cell>
        </row>
        <row r="4207">
          <cell r="A4207" t="str">
            <v>148-10</v>
          </cell>
          <cell r="B4207">
            <v>556</v>
          </cell>
          <cell r="D4207" t="str">
            <v>통신관련기사</v>
          </cell>
          <cell r="E4207">
            <v>0</v>
          </cell>
          <cell r="F4207" t="str">
            <v>인</v>
          </cell>
          <cell r="H4207">
            <v>2</v>
          </cell>
          <cell r="I4207" t="str">
            <v>x</v>
          </cell>
          <cell r="J4207">
            <v>0.03</v>
          </cell>
          <cell r="V4207" t="str">
            <v>=</v>
          </cell>
          <cell r="W4207">
            <v>0.06</v>
          </cell>
          <cell r="Y4207" t="str">
            <v>기본</v>
          </cell>
          <cell r="Z4207" t="str">
            <v>x</v>
          </cell>
          <cell r="AA4207" t="str">
            <v>공구손료</v>
          </cell>
          <cell r="AM4207">
            <v>92355</v>
          </cell>
          <cell r="AN4207">
            <v>0</v>
          </cell>
        </row>
        <row r="4213">
          <cell r="AM4213">
            <v>0</v>
          </cell>
        </row>
        <row r="4214">
          <cell r="AM4214">
            <v>0</v>
          </cell>
          <cell r="AN4214">
            <v>0</v>
          </cell>
        </row>
        <row r="4215">
          <cell r="A4215">
            <v>149</v>
          </cell>
          <cell r="C4215">
            <v>149</v>
          </cell>
          <cell r="D4215" t="str">
            <v>차량이동국 시험장비 신설</v>
          </cell>
          <cell r="E4215">
            <v>0</v>
          </cell>
          <cell r="F4215" t="str">
            <v>대</v>
          </cell>
          <cell r="AM4215">
            <v>0</v>
          </cell>
          <cell r="AN4215">
            <v>0</v>
          </cell>
        </row>
        <row r="4216">
          <cell r="A4216" t="str">
            <v>149-1</v>
          </cell>
          <cell r="B4216">
            <v>541</v>
          </cell>
          <cell r="D4216" t="str">
            <v>가. 재료비</v>
          </cell>
          <cell r="E4216">
            <v>0</v>
          </cell>
          <cell r="F4216">
            <v>0</v>
          </cell>
          <cell r="AM4216">
            <v>0</v>
          </cell>
          <cell r="AN4216">
            <v>0</v>
          </cell>
        </row>
        <row r="4217">
          <cell r="A4217" t="str">
            <v>149-2</v>
          </cell>
          <cell r="B4217">
            <v>342</v>
          </cell>
          <cell r="D4217" t="str">
            <v xml:space="preserve">차량이동국 시험장비 </v>
          </cell>
          <cell r="E4217">
            <v>0</v>
          </cell>
          <cell r="F4217" t="str">
            <v>대</v>
          </cell>
          <cell r="V4217" t="str">
            <v>=</v>
          </cell>
          <cell r="W4217">
            <v>1</v>
          </cell>
          <cell r="AM4217">
            <v>250000000</v>
          </cell>
          <cell r="AN4217">
            <v>0</v>
          </cell>
        </row>
        <row r="4218">
          <cell r="A4218" t="str">
            <v>149-3</v>
          </cell>
          <cell r="B4218">
            <v>542</v>
          </cell>
          <cell r="D4218" t="str">
            <v>나. 노무비</v>
          </cell>
          <cell r="E4218">
            <v>0</v>
          </cell>
          <cell r="F4218">
            <v>0</v>
          </cell>
          <cell r="AL4218" t="str">
            <v>통 5-4</v>
          </cell>
          <cell r="AM4218">
            <v>0</v>
          </cell>
          <cell r="AN4218">
            <v>0</v>
          </cell>
        </row>
        <row r="4219">
          <cell r="B4219">
            <v>517</v>
          </cell>
          <cell r="D4219" t="str">
            <v>통신설비공</v>
          </cell>
          <cell r="E4219">
            <v>0</v>
          </cell>
          <cell r="F4219" t="str">
            <v>인</v>
          </cell>
          <cell r="H4219">
            <v>0.5</v>
          </cell>
          <cell r="I4219" t="str">
            <v>+</v>
          </cell>
          <cell r="J4219">
            <v>3.84</v>
          </cell>
          <cell r="K4219" t="str">
            <v>+</v>
          </cell>
          <cell r="M4219">
            <v>3.1</v>
          </cell>
          <cell r="V4219" t="str">
            <v>=</v>
          </cell>
          <cell r="W4219">
            <v>7.4399999999999995</v>
          </cell>
          <cell r="Y4219" t="str">
            <v>기본</v>
          </cell>
          <cell r="AM4219">
            <v>77401</v>
          </cell>
          <cell r="AN4219">
            <v>0</v>
          </cell>
        </row>
        <row r="4220">
          <cell r="B4220">
            <v>523</v>
          </cell>
          <cell r="D4220" t="str">
            <v>보통인부</v>
          </cell>
          <cell r="E4220">
            <v>0</v>
          </cell>
          <cell r="F4220" t="str">
            <v>인</v>
          </cell>
          <cell r="H4220">
            <v>0.5</v>
          </cell>
          <cell r="I4220" t="str">
            <v>+</v>
          </cell>
          <cell r="J4220">
            <v>1</v>
          </cell>
          <cell r="V4220" t="str">
            <v>=</v>
          </cell>
          <cell r="W4220">
            <v>1.5</v>
          </cell>
          <cell r="Y4220" t="str">
            <v>기본</v>
          </cell>
          <cell r="AM4220">
            <v>40922</v>
          </cell>
          <cell r="AN4220">
            <v>0</v>
          </cell>
        </row>
        <row r="4221">
          <cell r="B4221">
            <v>555</v>
          </cell>
          <cell r="D4221" t="str">
            <v>통신관련산업기사</v>
          </cell>
          <cell r="E4221">
            <v>0</v>
          </cell>
          <cell r="F4221" t="str">
            <v>인</v>
          </cell>
          <cell r="H4221">
            <v>4</v>
          </cell>
          <cell r="V4221" t="str">
            <v>=</v>
          </cell>
          <cell r="W4221">
            <v>4</v>
          </cell>
          <cell r="Y4221" t="str">
            <v>기본</v>
          </cell>
          <cell r="AM4221">
            <v>91949</v>
          </cell>
          <cell r="AN4221">
            <v>0</v>
          </cell>
        </row>
        <row r="4222">
          <cell r="B4222">
            <v>544</v>
          </cell>
          <cell r="D4222" t="str">
            <v>소    계</v>
          </cell>
          <cell r="E4222">
            <v>0</v>
          </cell>
          <cell r="F4222">
            <v>0</v>
          </cell>
          <cell r="AM4222">
            <v>0</v>
          </cell>
          <cell r="AN4222">
            <v>0</v>
          </cell>
        </row>
        <row r="4223">
          <cell r="A4223" t="str">
            <v>149-4</v>
          </cell>
          <cell r="B4223">
            <v>517</v>
          </cell>
          <cell r="D4223" t="str">
            <v>통신설비공</v>
          </cell>
          <cell r="E4223">
            <v>0</v>
          </cell>
          <cell r="F4223" t="str">
            <v>인</v>
          </cell>
          <cell r="V4223" t="str">
            <v>=</v>
          </cell>
          <cell r="W4223">
            <v>7.4399999999999995</v>
          </cell>
          <cell r="AM4223">
            <v>77401</v>
          </cell>
          <cell r="AN4223">
            <v>0</v>
          </cell>
        </row>
        <row r="4224">
          <cell r="A4224" t="str">
            <v>149-4</v>
          </cell>
          <cell r="B4224">
            <v>523</v>
          </cell>
          <cell r="D4224" t="str">
            <v>보통인부</v>
          </cell>
          <cell r="E4224">
            <v>0</v>
          </cell>
          <cell r="F4224" t="str">
            <v>인</v>
          </cell>
          <cell r="V4224" t="str">
            <v>=</v>
          </cell>
          <cell r="W4224">
            <v>1.5</v>
          </cell>
          <cell r="AM4224">
            <v>40922</v>
          </cell>
          <cell r="AN4224">
            <v>0</v>
          </cell>
        </row>
        <row r="4225">
          <cell r="A4225" t="str">
            <v>149-4</v>
          </cell>
          <cell r="B4225">
            <v>555</v>
          </cell>
          <cell r="D4225" t="str">
            <v>통신관련산업기사</v>
          </cell>
          <cell r="E4225">
            <v>0</v>
          </cell>
          <cell r="F4225" t="str">
            <v>인</v>
          </cell>
          <cell r="V4225" t="str">
            <v>=</v>
          </cell>
          <cell r="W4225">
            <v>4</v>
          </cell>
          <cell r="AM4225">
            <v>91949</v>
          </cell>
          <cell r="AN4225">
            <v>0</v>
          </cell>
        </row>
        <row r="4226">
          <cell r="A4226" t="str">
            <v>149-5</v>
          </cell>
          <cell r="B4226">
            <v>543</v>
          </cell>
          <cell r="D4226" t="str">
            <v>다. 공구손료</v>
          </cell>
          <cell r="E4226" t="str">
            <v>노무비x3%</v>
          </cell>
          <cell r="F4226">
            <v>0</v>
          </cell>
          <cell r="AM4226">
            <v>0</v>
          </cell>
          <cell r="AN4226">
            <v>0</v>
          </cell>
        </row>
        <row r="4227">
          <cell r="A4227" t="str">
            <v>149-6</v>
          </cell>
          <cell r="B4227">
            <v>517</v>
          </cell>
          <cell r="D4227" t="str">
            <v>통신설비공</v>
          </cell>
          <cell r="E4227">
            <v>0</v>
          </cell>
          <cell r="F4227" t="str">
            <v>인</v>
          </cell>
          <cell r="H4227">
            <v>7.4399999999999995</v>
          </cell>
          <cell r="I4227" t="str">
            <v>x</v>
          </cell>
          <cell r="J4227">
            <v>0.03</v>
          </cell>
          <cell r="V4227" t="str">
            <v>=</v>
          </cell>
          <cell r="W4227">
            <v>0.22</v>
          </cell>
          <cell r="Y4227" t="str">
            <v>기본</v>
          </cell>
          <cell r="Z4227" t="str">
            <v>x</v>
          </cell>
          <cell r="AA4227" t="str">
            <v>공구손료</v>
          </cell>
          <cell r="AM4227">
            <v>77401</v>
          </cell>
          <cell r="AN4227">
            <v>0</v>
          </cell>
        </row>
        <row r="4228">
          <cell r="A4228" t="str">
            <v>149-6</v>
          </cell>
          <cell r="B4228">
            <v>523</v>
          </cell>
          <cell r="D4228" t="str">
            <v>보통인부</v>
          </cell>
          <cell r="E4228">
            <v>0</v>
          </cell>
          <cell r="F4228" t="str">
            <v>인</v>
          </cell>
          <cell r="H4228">
            <v>1.5</v>
          </cell>
          <cell r="I4228" t="str">
            <v>x</v>
          </cell>
          <cell r="J4228">
            <v>0.03</v>
          </cell>
          <cell r="V4228" t="str">
            <v>=</v>
          </cell>
          <cell r="W4228">
            <v>0.05</v>
          </cell>
          <cell r="Y4228" t="str">
            <v>기본</v>
          </cell>
          <cell r="Z4228" t="str">
            <v>x</v>
          </cell>
          <cell r="AA4228" t="str">
            <v>공구손료</v>
          </cell>
          <cell r="AM4228">
            <v>40922</v>
          </cell>
          <cell r="AN4228">
            <v>0</v>
          </cell>
        </row>
        <row r="4229">
          <cell r="A4229" t="str">
            <v>149-6</v>
          </cell>
          <cell r="B4229">
            <v>555</v>
          </cell>
          <cell r="D4229" t="str">
            <v>통신관련산업기사</v>
          </cell>
          <cell r="E4229">
            <v>0</v>
          </cell>
          <cell r="F4229" t="str">
            <v>인</v>
          </cell>
          <cell r="H4229">
            <v>4</v>
          </cell>
          <cell r="I4229" t="str">
            <v>x</v>
          </cell>
          <cell r="J4229">
            <v>0.03</v>
          </cell>
          <cell r="V4229" t="str">
            <v>=</v>
          </cell>
          <cell r="W4229">
            <v>0.12</v>
          </cell>
          <cell r="Y4229" t="str">
            <v>기본</v>
          </cell>
          <cell r="Z4229" t="str">
            <v>x</v>
          </cell>
          <cell r="AA4229" t="str">
            <v>공구손료</v>
          </cell>
          <cell r="AM4229">
            <v>91949</v>
          </cell>
          <cell r="AN4229">
            <v>0</v>
          </cell>
        </row>
        <row r="4230">
          <cell r="AM4230">
            <v>0</v>
          </cell>
        </row>
        <row r="4231">
          <cell r="AM4231">
            <v>0</v>
          </cell>
        </row>
        <row r="4232">
          <cell r="AM4232">
            <v>0</v>
          </cell>
        </row>
        <row r="4233">
          <cell r="AM4233">
            <v>0</v>
          </cell>
        </row>
        <row r="4234">
          <cell r="AM4234">
            <v>0</v>
          </cell>
        </row>
        <row r="4235">
          <cell r="AM4235">
            <v>0</v>
          </cell>
        </row>
        <row r="4236">
          <cell r="AM4236">
            <v>0</v>
          </cell>
        </row>
        <row r="4237">
          <cell r="AM4237">
            <v>0</v>
          </cell>
        </row>
        <row r="4238">
          <cell r="AM4238">
            <v>0</v>
          </cell>
        </row>
        <row r="4239">
          <cell r="AM4239">
            <v>0</v>
          </cell>
        </row>
        <row r="4240">
          <cell r="AM4240">
            <v>0</v>
          </cell>
        </row>
        <row r="4241">
          <cell r="AM4241">
            <v>0</v>
          </cell>
          <cell r="AN4241">
            <v>0</v>
          </cell>
        </row>
        <row r="4242">
          <cell r="A4242">
            <v>150</v>
          </cell>
          <cell r="C4242">
            <v>150</v>
          </cell>
          <cell r="D4242" t="str">
            <v>중계기 신설</v>
          </cell>
          <cell r="E4242" t="str">
            <v>19" RACK</v>
          </cell>
          <cell r="F4242" t="str">
            <v>대</v>
          </cell>
          <cell r="AM4242">
            <v>0</v>
          </cell>
          <cell r="AN4242">
            <v>0</v>
          </cell>
        </row>
        <row r="4243">
          <cell r="A4243" t="str">
            <v>150-1</v>
          </cell>
          <cell r="B4243">
            <v>541</v>
          </cell>
          <cell r="D4243" t="str">
            <v>가. 재료비</v>
          </cell>
          <cell r="E4243">
            <v>0</v>
          </cell>
          <cell r="F4243">
            <v>0</v>
          </cell>
          <cell r="AM4243">
            <v>0</v>
          </cell>
          <cell r="AN4243">
            <v>0</v>
          </cell>
        </row>
        <row r="4244">
          <cell r="A4244" t="str">
            <v>150-2</v>
          </cell>
          <cell r="B4244">
            <v>345</v>
          </cell>
          <cell r="D4244" t="str">
            <v>중계기</v>
          </cell>
          <cell r="E4244" t="str">
            <v>19" RACK</v>
          </cell>
          <cell r="F4244" t="str">
            <v>대</v>
          </cell>
          <cell r="V4244" t="str">
            <v>=</v>
          </cell>
          <cell r="W4244">
            <v>1</v>
          </cell>
          <cell r="AM4244">
            <v>90000000</v>
          </cell>
          <cell r="AN4244">
            <v>0</v>
          </cell>
        </row>
        <row r="4245">
          <cell r="A4245" t="str">
            <v>150-3</v>
          </cell>
          <cell r="B4245">
            <v>542</v>
          </cell>
          <cell r="D4245" t="str">
            <v>나. 노무비</v>
          </cell>
          <cell r="E4245">
            <v>0</v>
          </cell>
          <cell r="F4245">
            <v>0</v>
          </cell>
          <cell r="AL4245" t="str">
            <v>통 5-5</v>
          </cell>
          <cell r="AM4245">
            <v>0</v>
          </cell>
          <cell r="AN4245">
            <v>0</v>
          </cell>
        </row>
        <row r="4246">
          <cell r="B4246">
            <v>517</v>
          </cell>
          <cell r="D4246" t="str">
            <v>통신설비공</v>
          </cell>
          <cell r="E4246">
            <v>0</v>
          </cell>
          <cell r="F4246" t="str">
            <v>인</v>
          </cell>
          <cell r="H4246">
            <v>0.3</v>
          </cell>
          <cell r="I4246" t="str">
            <v>+</v>
          </cell>
          <cell r="J4246">
            <v>3.74</v>
          </cell>
          <cell r="K4246" t="str">
            <v>+</v>
          </cell>
          <cell r="M4246">
            <v>3.3</v>
          </cell>
          <cell r="V4246" t="str">
            <v>=</v>
          </cell>
          <cell r="W4246">
            <v>7.34</v>
          </cell>
          <cell r="Y4246" t="str">
            <v>기본</v>
          </cell>
          <cell r="AM4246">
            <v>77401</v>
          </cell>
          <cell r="AN4246">
            <v>0</v>
          </cell>
        </row>
        <row r="4247">
          <cell r="B4247">
            <v>523</v>
          </cell>
          <cell r="D4247" t="str">
            <v>보통인부</v>
          </cell>
          <cell r="E4247">
            <v>0</v>
          </cell>
          <cell r="F4247" t="str">
            <v>인</v>
          </cell>
          <cell r="H4247">
            <v>0.5</v>
          </cell>
          <cell r="I4247" t="str">
            <v>+</v>
          </cell>
          <cell r="J4247">
            <v>1</v>
          </cell>
          <cell r="V4247" t="str">
            <v>=</v>
          </cell>
          <cell r="W4247">
            <v>1.5</v>
          </cell>
          <cell r="Y4247" t="str">
            <v>기본</v>
          </cell>
          <cell r="AM4247">
            <v>40922</v>
          </cell>
          <cell r="AN4247">
            <v>0</v>
          </cell>
        </row>
        <row r="4248">
          <cell r="B4248">
            <v>555</v>
          </cell>
          <cell r="D4248" t="str">
            <v>통신관련산업기사</v>
          </cell>
          <cell r="E4248">
            <v>0</v>
          </cell>
          <cell r="F4248" t="str">
            <v>인</v>
          </cell>
          <cell r="H4248">
            <v>4</v>
          </cell>
          <cell r="V4248" t="str">
            <v>=</v>
          </cell>
          <cell r="W4248">
            <v>4</v>
          </cell>
          <cell r="Y4248" t="str">
            <v>기본</v>
          </cell>
          <cell r="AM4248">
            <v>91949</v>
          </cell>
          <cell r="AN4248">
            <v>0</v>
          </cell>
        </row>
        <row r="4249">
          <cell r="B4249">
            <v>544</v>
          </cell>
          <cell r="D4249" t="str">
            <v>소    계</v>
          </cell>
          <cell r="E4249">
            <v>0</v>
          </cell>
          <cell r="F4249">
            <v>0</v>
          </cell>
          <cell r="AM4249">
            <v>0</v>
          </cell>
          <cell r="AN4249">
            <v>0</v>
          </cell>
        </row>
        <row r="4250">
          <cell r="A4250" t="str">
            <v>150-4</v>
          </cell>
          <cell r="B4250">
            <v>517</v>
          </cell>
          <cell r="D4250" t="str">
            <v>통신설비공</v>
          </cell>
          <cell r="E4250">
            <v>0</v>
          </cell>
          <cell r="F4250" t="str">
            <v>인</v>
          </cell>
          <cell r="V4250" t="str">
            <v>=</v>
          </cell>
          <cell r="W4250">
            <v>7.34</v>
          </cell>
          <cell r="AM4250">
            <v>77401</v>
          </cell>
          <cell r="AN4250">
            <v>0</v>
          </cell>
        </row>
        <row r="4251">
          <cell r="A4251" t="str">
            <v>150-4</v>
          </cell>
          <cell r="B4251">
            <v>523</v>
          </cell>
          <cell r="D4251" t="str">
            <v>보통인부</v>
          </cell>
          <cell r="E4251">
            <v>0</v>
          </cell>
          <cell r="F4251" t="str">
            <v>인</v>
          </cell>
          <cell r="V4251" t="str">
            <v>=</v>
          </cell>
          <cell r="W4251">
            <v>1.5</v>
          </cell>
          <cell r="AM4251">
            <v>40922</v>
          </cell>
          <cell r="AN4251">
            <v>0</v>
          </cell>
        </row>
        <row r="4252">
          <cell r="A4252" t="str">
            <v>150-4</v>
          </cell>
          <cell r="B4252">
            <v>555</v>
          </cell>
          <cell r="D4252" t="str">
            <v>통신관련산업기사</v>
          </cell>
          <cell r="E4252">
            <v>0</v>
          </cell>
          <cell r="F4252" t="str">
            <v>인</v>
          </cell>
          <cell r="V4252" t="str">
            <v>=</v>
          </cell>
          <cell r="W4252">
            <v>4</v>
          </cell>
          <cell r="AM4252">
            <v>91949</v>
          </cell>
          <cell r="AN4252">
            <v>0</v>
          </cell>
        </row>
        <row r="4253">
          <cell r="A4253" t="str">
            <v>150-5</v>
          </cell>
          <cell r="B4253">
            <v>543</v>
          </cell>
          <cell r="D4253" t="str">
            <v>다. 공구손료</v>
          </cell>
          <cell r="E4253" t="str">
            <v>노무비x3%</v>
          </cell>
          <cell r="F4253">
            <v>0</v>
          </cell>
          <cell r="AM4253">
            <v>0</v>
          </cell>
          <cell r="AN4253">
            <v>0</v>
          </cell>
        </row>
        <row r="4254">
          <cell r="A4254" t="str">
            <v>150-6</v>
          </cell>
          <cell r="B4254">
            <v>517</v>
          </cell>
          <cell r="D4254" t="str">
            <v>통신설비공</v>
          </cell>
          <cell r="E4254">
            <v>0</v>
          </cell>
          <cell r="F4254" t="str">
            <v>인</v>
          </cell>
          <cell r="H4254">
            <v>7.34</v>
          </cell>
          <cell r="I4254" t="str">
            <v>x</v>
          </cell>
          <cell r="J4254">
            <v>0.03</v>
          </cell>
          <cell r="V4254" t="str">
            <v>=</v>
          </cell>
          <cell r="W4254">
            <v>0.22</v>
          </cell>
          <cell r="Y4254" t="str">
            <v>기본</v>
          </cell>
          <cell r="Z4254" t="str">
            <v>x</v>
          </cell>
          <cell r="AA4254" t="str">
            <v>공구손료</v>
          </cell>
          <cell r="AM4254">
            <v>77401</v>
          </cell>
          <cell r="AN4254">
            <v>0</v>
          </cell>
        </row>
        <row r="4255">
          <cell r="A4255" t="str">
            <v>150-6</v>
          </cell>
          <cell r="B4255">
            <v>523</v>
          </cell>
          <cell r="D4255" t="str">
            <v>보통인부</v>
          </cell>
          <cell r="E4255">
            <v>0</v>
          </cell>
          <cell r="F4255" t="str">
            <v>인</v>
          </cell>
          <cell r="H4255">
            <v>1.5</v>
          </cell>
          <cell r="I4255" t="str">
            <v>x</v>
          </cell>
          <cell r="J4255">
            <v>0.03</v>
          </cell>
          <cell r="V4255" t="str">
            <v>=</v>
          </cell>
          <cell r="W4255">
            <v>0.05</v>
          </cell>
          <cell r="Y4255" t="str">
            <v>기본</v>
          </cell>
          <cell r="Z4255" t="str">
            <v>x</v>
          </cell>
          <cell r="AA4255" t="str">
            <v>공구손료</v>
          </cell>
          <cell r="AM4255">
            <v>40922</v>
          </cell>
          <cell r="AN4255">
            <v>0</v>
          </cell>
        </row>
        <row r="4256">
          <cell r="A4256" t="str">
            <v>150-6</v>
          </cell>
          <cell r="B4256">
            <v>555</v>
          </cell>
          <cell r="D4256" t="str">
            <v>통신관련산업기사</v>
          </cell>
          <cell r="E4256">
            <v>0</v>
          </cell>
          <cell r="F4256" t="str">
            <v>인</v>
          </cell>
          <cell r="H4256">
            <v>4</v>
          </cell>
          <cell r="I4256" t="str">
            <v>x</v>
          </cell>
          <cell r="J4256">
            <v>0.03</v>
          </cell>
          <cell r="V4256" t="str">
            <v>=</v>
          </cell>
          <cell r="W4256">
            <v>0.12</v>
          </cell>
          <cell r="Y4256" t="str">
            <v>기본</v>
          </cell>
          <cell r="Z4256" t="str">
            <v>x</v>
          </cell>
          <cell r="AA4256" t="str">
            <v>공구손료</v>
          </cell>
          <cell r="AM4256">
            <v>91949</v>
          </cell>
          <cell r="AN4256">
            <v>0</v>
          </cell>
        </row>
        <row r="4257">
          <cell r="AM4257">
            <v>0</v>
          </cell>
        </row>
        <row r="4258">
          <cell r="AM4258">
            <v>0</v>
          </cell>
        </row>
        <row r="4259">
          <cell r="AM4259">
            <v>0</v>
          </cell>
        </row>
        <row r="4260">
          <cell r="AM4260">
            <v>0</v>
          </cell>
        </row>
        <row r="4261">
          <cell r="AM4261">
            <v>0</v>
          </cell>
        </row>
        <row r="4262">
          <cell r="AM4262">
            <v>0</v>
          </cell>
        </row>
        <row r="4263">
          <cell r="AM4263">
            <v>0</v>
          </cell>
        </row>
        <row r="4264">
          <cell r="AM4264">
            <v>0</v>
          </cell>
        </row>
        <row r="4265">
          <cell r="AM4265">
            <v>0</v>
          </cell>
        </row>
        <row r="4266">
          <cell r="AM4266">
            <v>0</v>
          </cell>
        </row>
        <row r="4267">
          <cell r="AM4267">
            <v>0</v>
          </cell>
        </row>
        <row r="4268">
          <cell r="AM4268">
            <v>0</v>
          </cell>
          <cell r="AN4268">
            <v>0</v>
          </cell>
        </row>
        <row r="4269">
          <cell r="A4269">
            <v>151</v>
          </cell>
          <cell r="C4269">
            <v>151</v>
          </cell>
          <cell r="D4269" t="str">
            <v>수신안테나(FM용)</v>
          </cell>
          <cell r="E4269" t="str">
            <v>외부 ANT</v>
          </cell>
          <cell r="F4269" t="str">
            <v>대</v>
          </cell>
          <cell r="AM4269">
            <v>0</v>
          </cell>
          <cell r="AN4269">
            <v>0</v>
          </cell>
        </row>
        <row r="4270">
          <cell r="A4270" t="str">
            <v>151-1</v>
          </cell>
          <cell r="B4270">
            <v>541</v>
          </cell>
          <cell r="D4270" t="str">
            <v>가. 재료비</v>
          </cell>
          <cell r="E4270">
            <v>0</v>
          </cell>
          <cell r="F4270">
            <v>0</v>
          </cell>
          <cell r="AM4270">
            <v>0</v>
          </cell>
          <cell r="AN4270">
            <v>0</v>
          </cell>
        </row>
        <row r="4271">
          <cell r="A4271" t="str">
            <v>151-2</v>
          </cell>
          <cell r="B4271">
            <v>346</v>
          </cell>
          <cell r="D4271" t="str">
            <v>수신안테나(FM용)</v>
          </cell>
          <cell r="E4271" t="str">
            <v>외부 ANT(POLE 포함)</v>
          </cell>
          <cell r="F4271" t="str">
            <v>대</v>
          </cell>
          <cell r="V4271" t="str">
            <v>=</v>
          </cell>
          <cell r="W4271">
            <v>1</v>
          </cell>
          <cell r="AM4271">
            <v>1295000</v>
          </cell>
          <cell r="AN4271">
            <v>0</v>
          </cell>
        </row>
        <row r="4272">
          <cell r="A4272" t="str">
            <v>151-3</v>
          </cell>
          <cell r="B4272">
            <v>542</v>
          </cell>
          <cell r="D4272" t="str">
            <v>나. 노무비</v>
          </cell>
          <cell r="E4272">
            <v>0</v>
          </cell>
          <cell r="F4272">
            <v>0</v>
          </cell>
          <cell r="AL4272" t="str">
            <v>통 5-89(2)</v>
          </cell>
          <cell r="AM4272">
            <v>0</v>
          </cell>
          <cell r="AN4272">
            <v>0</v>
          </cell>
        </row>
        <row r="4273">
          <cell r="B4273">
            <v>517</v>
          </cell>
          <cell r="D4273" t="str">
            <v>통신설비공</v>
          </cell>
          <cell r="E4273">
            <v>0</v>
          </cell>
          <cell r="F4273" t="str">
            <v>인</v>
          </cell>
          <cell r="H4273">
            <v>0.33</v>
          </cell>
          <cell r="I4273" t="str">
            <v>+</v>
          </cell>
          <cell r="J4273">
            <v>0.06</v>
          </cell>
          <cell r="K4273" t="str">
            <v>+</v>
          </cell>
          <cell r="M4273">
            <v>0.19</v>
          </cell>
          <cell r="V4273" t="str">
            <v>=</v>
          </cell>
          <cell r="W4273">
            <v>0.58000000000000007</v>
          </cell>
          <cell r="Y4273" t="str">
            <v>기본</v>
          </cell>
          <cell r="AM4273">
            <v>77401</v>
          </cell>
          <cell r="AN4273">
            <v>0</v>
          </cell>
        </row>
        <row r="4274">
          <cell r="B4274">
            <v>520</v>
          </cell>
          <cell r="D4274" t="str">
            <v>무선안테나공</v>
          </cell>
          <cell r="E4274">
            <v>0</v>
          </cell>
          <cell r="F4274" t="str">
            <v>인</v>
          </cell>
          <cell r="H4274">
            <v>0.5</v>
          </cell>
          <cell r="V4274" t="str">
            <v>=</v>
          </cell>
          <cell r="W4274">
            <v>0.5</v>
          </cell>
          <cell r="Y4274" t="str">
            <v>기본</v>
          </cell>
          <cell r="AM4274">
            <v>95000</v>
          </cell>
          <cell r="AN4274">
            <v>0</v>
          </cell>
        </row>
        <row r="4275">
          <cell r="B4275">
            <v>544</v>
          </cell>
          <cell r="D4275" t="str">
            <v>소    계</v>
          </cell>
          <cell r="E4275">
            <v>0</v>
          </cell>
          <cell r="F4275">
            <v>0</v>
          </cell>
          <cell r="AM4275">
            <v>0</v>
          </cell>
          <cell r="AN4275">
            <v>0</v>
          </cell>
        </row>
        <row r="4276">
          <cell r="A4276" t="str">
            <v>151-4</v>
          </cell>
          <cell r="B4276">
            <v>517</v>
          </cell>
          <cell r="D4276" t="str">
            <v>통신설비공</v>
          </cell>
          <cell r="E4276">
            <v>0</v>
          </cell>
          <cell r="F4276" t="str">
            <v>인</v>
          </cell>
          <cell r="V4276" t="str">
            <v>=</v>
          </cell>
          <cell r="W4276">
            <v>0.58000000000000007</v>
          </cell>
          <cell r="AM4276">
            <v>77401</v>
          </cell>
          <cell r="AN4276">
            <v>0</v>
          </cell>
        </row>
        <row r="4277">
          <cell r="A4277" t="str">
            <v>151-5</v>
          </cell>
          <cell r="B4277">
            <v>520</v>
          </cell>
          <cell r="D4277" t="str">
            <v>무선안테나공</v>
          </cell>
          <cell r="E4277">
            <v>0</v>
          </cell>
          <cell r="F4277" t="str">
            <v>인</v>
          </cell>
          <cell r="V4277" t="str">
            <v>=</v>
          </cell>
          <cell r="W4277">
            <v>0.5</v>
          </cell>
          <cell r="AM4277">
            <v>95000</v>
          </cell>
          <cell r="AN4277">
            <v>0</v>
          </cell>
        </row>
        <row r="4278">
          <cell r="A4278" t="str">
            <v>151-6</v>
          </cell>
          <cell r="B4278">
            <v>543</v>
          </cell>
          <cell r="D4278" t="str">
            <v>다. 공구손료</v>
          </cell>
          <cell r="E4278" t="str">
            <v>노무비x3%</v>
          </cell>
          <cell r="F4278">
            <v>0</v>
          </cell>
          <cell r="AM4278">
            <v>0</v>
          </cell>
          <cell r="AN4278">
            <v>0</v>
          </cell>
        </row>
        <row r="4279">
          <cell r="A4279" t="str">
            <v>151-7</v>
          </cell>
          <cell r="B4279">
            <v>517</v>
          </cell>
          <cell r="D4279" t="str">
            <v>통신설비공</v>
          </cell>
          <cell r="E4279">
            <v>0</v>
          </cell>
          <cell r="F4279" t="str">
            <v>인</v>
          </cell>
          <cell r="H4279">
            <v>0.58000000000000007</v>
          </cell>
          <cell r="I4279" t="str">
            <v>x</v>
          </cell>
          <cell r="J4279">
            <v>0.03</v>
          </cell>
          <cell r="V4279" t="str">
            <v>=</v>
          </cell>
          <cell r="W4279">
            <v>0.02</v>
          </cell>
          <cell r="Y4279" t="str">
            <v>기본</v>
          </cell>
          <cell r="Z4279" t="str">
            <v>x</v>
          </cell>
          <cell r="AA4279" t="str">
            <v>공구손료</v>
          </cell>
          <cell r="AM4279">
            <v>77401</v>
          </cell>
          <cell r="AN4279">
            <v>0</v>
          </cell>
        </row>
        <row r="4280">
          <cell r="A4280" t="str">
            <v>151-8</v>
          </cell>
          <cell r="B4280">
            <v>520</v>
          </cell>
          <cell r="D4280" t="str">
            <v>무선안테나공</v>
          </cell>
          <cell r="E4280">
            <v>0</v>
          </cell>
          <cell r="F4280" t="str">
            <v>인</v>
          </cell>
          <cell r="H4280">
            <v>0.5</v>
          </cell>
          <cell r="I4280" t="str">
            <v>x</v>
          </cell>
          <cell r="J4280">
            <v>0.03</v>
          </cell>
          <cell r="V4280" t="str">
            <v>=</v>
          </cell>
          <cell r="W4280">
            <v>0.02</v>
          </cell>
          <cell r="Y4280" t="str">
            <v>기본</v>
          </cell>
          <cell r="Z4280" t="str">
            <v>x</v>
          </cell>
          <cell r="AA4280" t="str">
            <v>공구손료</v>
          </cell>
          <cell r="AM4280">
            <v>95000</v>
          </cell>
          <cell r="AN4280">
            <v>0</v>
          </cell>
        </row>
        <row r="4281">
          <cell r="AM4281">
            <v>0</v>
          </cell>
          <cell r="AN4281">
            <v>0</v>
          </cell>
        </row>
        <row r="4282">
          <cell r="AM4282">
            <v>0</v>
          </cell>
        </row>
        <row r="4283">
          <cell r="AM4283">
            <v>0</v>
          </cell>
        </row>
        <row r="4284">
          <cell r="AM4284">
            <v>0</v>
          </cell>
        </row>
        <row r="4285">
          <cell r="AM4285">
            <v>0</v>
          </cell>
        </row>
        <row r="4286">
          <cell r="AM4286">
            <v>0</v>
          </cell>
        </row>
        <row r="4287">
          <cell r="AM4287">
            <v>0</v>
          </cell>
        </row>
        <row r="4288">
          <cell r="AM4288">
            <v>0</v>
          </cell>
        </row>
        <row r="4289">
          <cell r="AM4289">
            <v>0</v>
          </cell>
        </row>
        <row r="4290">
          <cell r="AM4290">
            <v>0</v>
          </cell>
        </row>
        <row r="4291">
          <cell r="AM4291">
            <v>0</v>
          </cell>
        </row>
        <row r="4292">
          <cell r="AM4292">
            <v>0</v>
          </cell>
        </row>
        <row r="4293">
          <cell r="AM4293">
            <v>0</v>
          </cell>
          <cell r="AN4293">
            <v>0</v>
          </cell>
        </row>
        <row r="4294">
          <cell r="AM4294">
            <v>0</v>
          </cell>
          <cell r="AN4294">
            <v>0</v>
          </cell>
        </row>
        <row r="4295">
          <cell r="AM4295">
            <v>0</v>
          </cell>
          <cell r="AN4295">
            <v>0</v>
          </cell>
        </row>
        <row r="4296">
          <cell r="A4296">
            <v>152</v>
          </cell>
          <cell r="C4296">
            <v>152</v>
          </cell>
          <cell r="D4296" t="str">
            <v>공용안테나</v>
          </cell>
          <cell r="E4296" t="str">
            <v>대합실용</v>
          </cell>
          <cell r="F4296" t="str">
            <v>대</v>
          </cell>
          <cell r="AM4296">
            <v>0</v>
          </cell>
          <cell r="AN4296">
            <v>0</v>
          </cell>
        </row>
        <row r="4297">
          <cell r="A4297" t="str">
            <v>152-1</v>
          </cell>
          <cell r="B4297">
            <v>541</v>
          </cell>
          <cell r="D4297" t="str">
            <v>가. 재료비</v>
          </cell>
          <cell r="E4297">
            <v>0</v>
          </cell>
          <cell r="F4297">
            <v>0</v>
          </cell>
          <cell r="AM4297">
            <v>0</v>
          </cell>
          <cell r="AN4297">
            <v>0</v>
          </cell>
        </row>
        <row r="4298">
          <cell r="A4298" t="str">
            <v>152-2</v>
          </cell>
          <cell r="B4298">
            <v>347</v>
          </cell>
          <cell r="D4298" t="str">
            <v>공용안테나</v>
          </cell>
          <cell r="E4298" t="str">
            <v>대합실용</v>
          </cell>
          <cell r="F4298" t="str">
            <v>대</v>
          </cell>
          <cell r="V4298" t="str">
            <v>=</v>
          </cell>
          <cell r="W4298">
            <v>1</v>
          </cell>
          <cell r="AM4298">
            <v>1200000</v>
          </cell>
          <cell r="AN4298">
            <v>0</v>
          </cell>
        </row>
        <row r="4299">
          <cell r="A4299" t="str">
            <v>152-3</v>
          </cell>
          <cell r="B4299">
            <v>542</v>
          </cell>
          <cell r="D4299" t="str">
            <v>나. 노무비</v>
          </cell>
          <cell r="E4299">
            <v>0</v>
          </cell>
          <cell r="F4299">
            <v>0</v>
          </cell>
          <cell r="AL4299" t="str">
            <v>통 5-84-다</v>
          </cell>
          <cell r="AM4299">
            <v>0</v>
          </cell>
          <cell r="AN4299">
            <v>0</v>
          </cell>
        </row>
        <row r="4300">
          <cell r="B4300">
            <v>556</v>
          </cell>
          <cell r="D4300" t="str">
            <v>통신관련기사</v>
          </cell>
          <cell r="E4300">
            <v>0</v>
          </cell>
          <cell r="F4300" t="str">
            <v>인</v>
          </cell>
          <cell r="H4300">
            <v>5</v>
          </cell>
          <cell r="V4300" t="str">
            <v>=</v>
          </cell>
          <cell r="W4300">
            <v>5</v>
          </cell>
          <cell r="Y4300" t="str">
            <v>기본</v>
          </cell>
          <cell r="AM4300">
            <v>92355</v>
          </cell>
          <cell r="AN4300">
            <v>0</v>
          </cell>
        </row>
        <row r="4301">
          <cell r="B4301">
            <v>516</v>
          </cell>
          <cell r="D4301" t="str">
            <v>통신외선공</v>
          </cell>
          <cell r="E4301">
            <v>0</v>
          </cell>
          <cell r="F4301" t="str">
            <v>인</v>
          </cell>
          <cell r="H4301">
            <v>0.6</v>
          </cell>
          <cell r="I4301" t="str">
            <v>+</v>
          </cell>
          <cell r="J4301">
            <v>6</v>
          </cell>
          <cell r="V4301" t="str">
            <v>=</v>
          </cell>
          <cell r="W4301">
            <v>6.6</v>
          </cell>
          <cell r="Y4301" t="str">
            <v>기본</v>
          </cell>
          <cell r="AM4301">
            <v>90961</v>
          </cell>
          <cell r="AN4301">
            <v>0</v>
          </cell>
        </row>
        <row r="4302">
          <cell r="B4302">
            <v>523</v>
          </cell>
          <cell r="D4302" t="str">
            <v>보통인부</v>
          </cell>
          <cell r="E4302">
            <v>0</v>
          </cell>
          <cell r="F4302" t="str">
            <v>인</v>
          </cell>
          <cell r="H4302">
            <v>0.4</v>
          </cell>
          <cell r="V4302" t="str">
            <v>=</v>
          </cell>
          <cell r="W4302">
            <v>0.4</v>
          </cell>
          <cell r="Y4302" t="str">
            <v>기본</v>
          </cell>
          <cell r="AM4302">
            <v>40922</v>
          </cell>
          <cell r="AN4302">
            <v>0</v>
          </cell>
        </row>
        <row r="4303">
          <cell r="B4303">
            <v>544</v>
          </cell>
          <cell r="D4303" t="str">
            <v>소    계</v>
          </cell>
          <cell r="E4303">
            <v>0</v>
          </cell>
          <cell r="F4303">
            <v>0</v>
          </cell>
          <cell r="AM4303">
            <v>0</v>
          </cell>
          <cell r="AN4303">
            <v>0</v>
          </cell>
        </row>
        <row r="4304">
          <cell r="A4304" t="str">
            <v>152-4</v>
          </cell>
          <cell r="B4304">
            <v>556</v>
          </cell>
          <cell r="D4304" t="str">
            <v>통신관련기사</v>
          </cell>
          <cell r="E4304">
            <v>0</v>
          </cell>
          <cell r="F4304" t="str">
            <v>인</v>
          </cell>
          <cell r="V4304" t="str">
            <v>=</v>
          </cell>
          <cell r="W4304">
            <v>5</v>
          </cell>
          <cell r="AM4304">
            <v>92355</v>
          </cell>
          <cell r="AN4304">
            <v>0</v>
          </cell>
        </row>
        <row r="4305">
          <cell r="A4305" t="str">
            <v>152-5</v>
          </cell>
          <cell r="B4305">
            <v>516</v>
          </cell>
          <cell r="D4305" t="str">
            <v>통신외선공</v>
          </cell>
          <cell r="E4305">
            <v>0</v>
          </cell>
          <cell r="F4305" t="str">
            <v>인</v>
          </cell>
          <cell r="V4305" t="str">
            <v>=</v>
          </cell>
          <cell r="W4305">
            <v>6.6</v>
          </cell>
          <cell r="AM4305">
            <v>90961</v>
          </cell>
          <cell r="AN4305">
            <v>0</v>
          </cell>
        </row>
        <row r="4306">
          <cell r="A4306" t="str">
            <v>152-6</v>
          </cell>
          <cell r="B4306">
            <v>523</v>
          </cell>
          <cell r="D4306" t="str">
            <v>보통인부</v>
          </cell>
          <cell r="E4306">
            <v>0</v>
          </cell>
          <cell r="F4306" t="str">
            <v>인</v>
          </cell>
          <cell r="V4306" t="str">
            <v>=</v>
          </cell>
          <cell r="W4306">
            <v>0.4</v>
          </cell>
          <cell r="AM4306">
            <v>40922</v>
          </cell>
          <cell r="AN4306">
            <v>0</v>
          </cell>
        </row>
        <row r="4307">
          <cell r="A4307" t="str">
            <v>152-7</v>
          </cell>
          <cell r="B4307">
            <v>543</v>
          </cell>
          <cell r="D4307" t="str">
            <v>다. 공구손료</v>
          </cell>
          <cell r="E4307" t="str">
            <v>노무비x3%</v>
          </cell>
          <cell r="F4307">
            <v>0</v>
          </cell>
          <cell r="AM4307">
            <v>0</v>
          </cell>
          <cell r="AN4307">
            <v>0</v>
          </cell>
        </row>
        <row r="4308">
          <cell r="A4308" t="str">
            <v>152-8</v>
          </cell>
          <cell r="B4308">
            <v>517</v>
          </cell>
          <cell r="D4308" t="str">
            <v>통신설비공</v>
          </cell>
          <cell r="E4308">
            <v>0</v>
          </cell>
          <cell r="F4308" t="str">
            <v>인</v>
          </cell>
          <cell r="H4308">
            <v>5</v>
          </cell>
          <cell r="I4308" t="str">
            <v>x</v>
          </cell>
          <cell r="J4308">
            <v>0.03</v>
          </cell>
          <cell r="V4308" t="str">
            <v>=</v>
          </cell>
          <cell r="W4308">
            <v>0.15</v>
          </cell>
          <cell r="Y4308" t="str">
            <v>기본</v>
          </cell>
          <cell r="Z4308" t="str">
            <v>x</v>
          </cell>
          <cell r="AA4308" t="str">
            <v>공구손료</v>
          </cell>
          <cell r="AM4308">
            <v>77401</v>
          </cell>
          <cell r="AN4308">
            <v>0</v>
          </cell>
        </row>
        <row r="4309">
          <cell r="A4309" t="str">
            <v>152-9</v>
          </cell>
          <cell r="B4309">
            <v>516</v>
          </cell>
          <cell r="D4309" t="str">
            <v>통신외선공</v>
          </cell>
          <cell r="E4309">
            <v>0</v>
          </cell>
          <cell r="F4309" t="str">
            <v>인</v>
          </cell>
          <cell r="H4309">
            <v>6.6</v>
          </cell>
          <cell r="I4309" t="str">
            <v>x</v>
          </cell>
          <cell r="J4309">
            <v>0.03</v>
          </cell>
          <cell r="V4309" t="str">
            <v>=</v>
          </cell>
          <cell r="W4309">
            <v>0.2</v>
          </cell>
          <cell r="Y4309" t="str">
            <v>기본</v>
          </cell>
          <cell r="Z4309" t="str">
            <v>x</v>
          </cell>
          <cell r="AA4309" t="str">
            <v>공구손료</v>
          </cell>
          <cell r="AM4309">
            <v>90961</v>
          </cell>
          <cell r="AN4309">
            <v>0</v>
          </cell>
        </row>
        <row r="4310">
          <cell r="A4310" t="str">
            <v>152-10</v>
          </cell>
          <cell r="B4310">
            <v>523</v>
          </cell>
          <cell r="D4310" t="str">
            <v>보통인부</v>
          </cell>
          <cell r="E4310">
            <v>0</v>
          </cell>
          <cell r="F4310" t="str">
            <v>인</v>
          </cell>
          <cell r="H4310">
            <v>0.4</v>
          </cell>
          <cell r="I4310" t="str">
            <v>x</v>
          </cell>
          <cell r="J4310">
            <v>0.03</v>
          </cell>
          <cell r="V4310" t="str">
            <v>=</v>
          </cell>
          <cell r="W4310">
            <v>0.01</v>
          </cell>
          <cell r="Y4310" t="str">
            <v>기본</v>
          </cell>
          <cell r="Z4310" t="str">
            <v>x</v>
          </cell>
          <cell r="AA4310" t="str">
            <v>공구손료</v>
          </cell>
          <cell r="AM4310">
            <v>40922</v>
          </cell>
          <cell r="AN4310">
            <v>0</v>
          </cell>
        </row>
        <row r="4311">
          <cell r="AM4311">
            <v>0</v>
          </cell>
        </row>
        <row r="4312">
          <cell r="AM4312">
            <v>0</v>
          </cell>
        </row>
        <row r="4313">
          <cell r="AM4313">
            <v>0</v>
          </cell>
        </row>
        <row r="4314">
          <cell r="AM4314">
            <v>0</v>
          </cell>
        </row>
        <row r="4315">
          <cell r="AM4315">
            <v>0</v>
          </cell>
        </row>
        <row r="4316">
          <cell r="AM4316">
            <v>0</v>
          </cell>
        </row>
        <row r="4317">
          <cell r="AM4317">
            <v>0</v>
          </cell>
        </row>
        <row r="4318">
          <cell r="AM4318">
            <v>0</v>
          </cell>
        </row>
        <row r="4319">
          <cell r="AM4319">
            <v>0</v>
          </cell>
        </row>
        <row r="4320">
          <cell r="AM4320">
            <v>0</v>
          </cell>
        </row>
        <row r="4321">
          <cell r="AM4321">
            <v>0</v>
          </cell>
        </row>
        <row r="4322">
          <cell r="AM4322">
            <v>0</v>
          </cell>
          <cell r="AN4322">
            <v>0</v>
          </cell>
        </row>
        <row r="4323">
          <cell r="A4323">
            <v>153</v>
          </cell>
          <cell r="C4323">
            <v>153</v>
          </cell>
          <cell r="D4323" t="str">
            <v>광대역 분배기</v>
          </cell>
          <cell r="E4323" t="str">
            <v>대합실용</v>
          </cell>
          <cell r="F4323" t="str">
            <v>대</v>
          </cell>
          <cell r="AM4323">
            <v>0</v>
          </cell>
          <cell r="AN4323">
            <v>0</v>
          </cell>
        </row>
        <row r="4324">
          <cell r="A4324" t="str">
            <v>153-1</v>
          </cell>
          <cell r="B4324">
            <v>541</v>
          </cell>
          <cell r="D4324" t="str">
            <v>가. 재료비</v>
          </cell>
          <cell r="E4324">
            <v>0</v>
          </cell>
          <cell r="F4324">
            <v>0</v>
          </cell>
          <cell r="AM4324">
            <v>0</v>
          </cell>
          <cell r="AN4324">
            <v>0</v>
          </cell>
        </row>
        <row r="4325">
          <cell r="A4325" t="str">
            <v>153-2</v>
          </cell>
          <cell r="B4325">
            <v>348</v>
          </cell>
          <cell r="D4325" t="str">
            <v>광대역 분배기</v>
          </cell>
          <cell r="E4325" t="str">
            <v>대합실용</v>
          </cell>
          <cell r="F4325" t="str">
            <v>대</v>
          </cell>
          <cell r="V4325" t="str">
            <v>=</v>
          </cell>
          <cell r="W4325">
            <v>1</v>
          </cell>
          <cell r="AM4325">
            <v>1000000</v>
          </cell>
          <cell r="AN4325">
            <v>0</v>
          </cell>
        </row>
        <row r="4326">
          <cell r="A4326" t="str">
            <v>153-3</v>
          </cell>
          <cell r="B4326">
            <v>542</v>
          </cell>
          <cell r="D4326" t="str">
            <v>나. 노무비</v>
          </cell>
          <cell r="E4326">
            <v>0</v>
          </cell>
          <cell r="F4326">
            <v>0</v>
          </cell>
          <cell r="AL4326" t="str">
            <v>통 5-89(3)</v>
          </cell>
          <cell r="AM4326">
            <v>0</v>
          </cell>
          <cell r="AN4326">
            <v>0</v>
          </cell>
        </row>
        <row r="4327">
          <cell r="B4327">
            <v>517</v>
          </cell>
          <cell r="D4327" t="str">
            <v>통신설비공</v>
          </cell>
          <cell r="E4327">
            <v>0</v>
          </cell>
          <cell r="F4327" t="str">
            <v>인</v>
          </cell>
          <cell r="H4327">
            <v>0.16</v>
          </cell>
          <cell r="V4327" t="str">
            <v>=</v>
          </cell>
          <cell r="W4327">
            <v>0.16</v>
          </cell>
          <cell r="Y4327" t="str">
            <v>기본</v>
          </cell>
          <cell r="AM4327">
            <v>77401</v>
          </cell>
          <cell r="AN4327">
            <v>0</v>
          </cell>
        </row>
        <row r="4328">
          <cell r="B4328">
            <v>520</v>
          </cell>
          <cell r="D4328" t="str">
            <v>무선안테나공</v>
          </cell>
          <cell r="E4328">
            <v>0</v>
          </cell>
          <cell r="F4328" t="str">
            <v>인</v>
          </cell>
          <cell r="H4328">
            <v>0.06</v>
          </cell>
          <cell r="V4328" t="str">
            <v>=</v>
          </cell>
          <cell r="W4328">
            <v>0.06</v>
          </cell>
          <cell r="Y4328" t="str">
            <v>기본</v>
          </cell>
          <cell r="AM4328">
            <v>95000</v>
          </cell>
          <cell r="AN4328">
            <v>0</v>
          </cell>
        </row>
        <row r="4329">
          <cell r="B4329">
            <v>544</v>
          </cell>
          <cell r="D4329" t="str">
            <v>소    계</v>
          </cell>
          <cell r="E4329">
            <v>0</v>
          </cell>
          <cell r="F4329">
            <v>0</v>
          </cell>
          <cell r="AM4329">
            <v>0</v>
          </cell>
          <cell r="AN4329">
            <v>0</v>
          </cell>
        </row>
        <row r="4330">
          <cell r="A4330" t="str">
            <v>153-4</v>
          </cell>
          <cell r="B4330">
            <v>517</v>
          </cell>
          <cell r="D4330" t="str">
            <v>통신설비공</v>
          </cell>
          <cell r="E4330">
            <v>0</v>
          </cell>
          <cell r="F4330" t="str">
            <v>인</v>
          </cell>
          <cell r="V4330" t="str">
            <v>=</v>
          </cell>
          <cell r="W4330">
            <v>0.16</v>
          </cell>
          <cell r="AM4330">
            <v>77401</v>
          </cell>
          <cell r="AN4330">
            <v>0</v>
          </cell>
        </row>
        <row r="4331">
          <cell r="A4331" t="str">
            <v>153-5</v>
          </cell>
          <cell r="B4331">
            <v>520</v>
          </cell>
          <cell r="D4331" t="str">
            <v>무선안테나공</v>
          </cell>
          <cell r="E4331">
            <v>0</v>
          </cell>
          <cell r="F4331" t="str">
            <v>인</v>
          </cell>
          <cell r="V4331" t="str">
            <v>=</v>
          </cell>
          <cell r="W4331">
            <v>0.06</v>
          </cell>
          <cell r="AM4331">
            <v>95000</v>
          </cell>
          <cell r="AN4331">
            <v>0</v>
          </cell>
        </row>
        <row r="4332">
          <cell r="A4332" t="str">
            <v>153-6</v>
          </cell>
          <cell r="B4332">
            <v>543</v>
          </cell>
          <cell r="D4332" t="str">
            <v>다. 공구손료</v>
          </cell>
          <cell r="E4332" t="str">
            <v>노무비x3%</v>
          </cell>
          <cell r="F4332">
            <v>0</v>
          </cell>
          <cell r="AM4332">
            <v>0</v>
          </cell>
          <cell r="AN4332">
            <v>0</v>
          </cell>
        </row>
        <row r="4333">
          <cell r="A4333" t="str">
            <v>153-7</v>
          </cell>
          <cell r="B4333">
            <v>517</v>
          </cell>
          <cell r="D4333" t="str">
            <v>통신설비공</v>
          </cell>
          <cell r="E4333">
            <v>0</v>
          </cell>
          <cell r="F4333" t="str">
            <v>인</v>
          </cell>
          <cell r="H4333">
            <v>0.16</v>
          </cell>
          <cell r="I4333" t="str">
            <v>x</v>
          </cell>
          <cell r="J4333">
            <v>0.03</v>
          </cell>
          <cell r="V4333" t="str">
            <v>=</v>
          </cell>
          <cell r="W4333" t="str">
            <v>0</v>
          </cell>
          <cell r="Y4333" t="str">
            <v>기본</v>
          </cell>
          <cell r="Z4333" t="str">
            <v>x</v>
          </cell>
          <cell r="AA4333" t="str">
            <v>공구손료</v>
          </cell>
          <cell r="AM4333">
            <v>77401</v>
          </cell>
          <cell r="AN4333">
            <v>0</v>
          </cell>
        </row>
        <row r="4334">
          <cell r="A4334" t="str">
            <v>153-8</v>
          </cell>
          <cell r="B4334">
            <v>520</v>
          </cell>
          <cell r="D4334" t="str">
            <v>무선안테나공</v>
          </cell>
          <cell r="E4334">
            <v>0</v>
          </cell>
          <cell r="F4334" t="str">
            <v>인</v>
          </cell>
          <cell r="H4334">
            <v>0.06</v>
          </cell>
          <cell r="I4334" t="str">
            <v>x</v>
          </cell>
          <cell r="J4334">
            <v>0.03</v>
          </cell>
          <cell r="V4334" t="str">
            <v>=</v>
          </cell>
          <cell r="W4334" t="str">
            <v>0</v>
          </cell>
          <cell r="Y4334" t="str">
            <v>기본</v>
          </cell>
          <cell r="Z4334" t="str">
            <v>x</v>
          </cell>
          <cell r="AA4334" t="str">
            <v>공구손료</v>
          </cell>
          <cell r="AM4334">
            <v>95000</v>
          </cell>
          <cell r="AN4334">
            <v>0</v>
          </cell>
        </row>
        <row r="4335">
          <cell r="AM4335">
            <v>0</v>
          </cell>
          <cell r="AN4335">
            <v>0</v>
          </cell>
        </row>
        <row r="4336">
          <cell r="AM4336">
            <v>0</v>
          </cell>
        </row>
        <row r="4337">
          <cell r="AM4337">
            <v>0</v>
          </cell>
        </row>
        <row r="4338">
          <cell r="AM4338">
            <v>0</v>
          </cell>
        </row>
        <row r="4339">
          <cell r="AM4339">
            <v>0</v>
          </cell>
        </row>
        <row r="4340">
          <cell r="AM4340">
            <v>0</v>
          </cell>
        </row>
        <row r="4341">
          <cell r="AM4341">
            <v>0</v>
          </cell>
        </row>
        <row r="4342">
          <cell r="AM4342">
            <v>0</v>
          </cell>
        </row>
        <row r="4343">
          <cell r="AM4343">
            <v>0</v>
          </cell>
        </row>
        <row r="4344">
          <cell r="AM4344">
            <v>0</v>
          </cell>
        </row>
        <row r="4345">
          <cell r="AM4345">
            <v>0</v>
          </cell>
        </row>
        <row r="4346">
          <cell r="AM4346">
            <v>0</v>
          </cell>
        </row>
        <row r="4347">
          <cell r="AM4347">
            <v>0</v>
          </cell>
          <cell r="AN4347">
            <v>0</v>
          </cell>
        </row>
        <row r="4348">
          <cell r="AM4348">
            <v>0</v>
          </cell>
          <cell r="AN4348">
            <v>0</v>
          </cell>
        </row>
        <row r="4349">
          <cell r="AM4349">
            <v>0</v>
          </cell>
          <cell r="AN4349">
            <v>0</v>
          </cell>
        </row>
        <row r="4350">
          <cell r="A4350">
            <v>154</v>
          </cell>
          <cell r="C4350">
            <v>154</v>
          </cell>
          <cell r="D4350" t="str">
            <v>열차무선용 안테나 신설(지상)</v>
          </cell>
          <cell r="E4350" t="str">
            <v>다이폴3호</v>
          </cell>
          <cell r="F4350" t="str">
            <v>대</v>
          </cell>
          <cell r="AM4350">
            <v>0</v>
          </cell>
          <cell r="AN4350">
            <v>0</v>
          </cell>
        </row>
        <row r="4351">
          <cell r="A4351" t="str">
            <v>154-1</v>
          </cell>
          <cell r="B4351">
            <v>541</v>
          </cell>
          <cell r="D4351" t="str">
            <v>가. 재료비</v>
          </cell>
          <cell r="E4351">
            <v>0</v>
          </cell>
          <cell r="F4351">
            <v>0</v>
          </cell>
          <cell r="AM4351">
            <v>0</v>
          </cell>
          <cell r="AN4351">
            <v>0</v>
          </cell>
        </row>
        <row r="4352">
          <cell r="A4352" t="str">
            <v>154-2</v>
          </cell>
          <cell r="B4352">
            <v>129</v>
          </cell>
          <cell r="D4352" t="str">
            <v>다이폴ANT</v>
          </cell>
          <cell r="E4352" t="str">
            <v>3호</v>
          </cell>
          <cell r="F4352" t="str">
            <v>대</v>
          </cell>
          <cell r="H4352">
            <v>1</v>
          </cell>
          <cell r="V4352" t="str">
            <v>=</v>
          </cell>
          <cell r="W4352">
            <v>1</v>
          </cell>
          <cell r="Y4352" t="str">
            <v>기본</v>
          </cell>
          <cell r="AM4352">
            <v>300000</v>
          </cell>
          <cell r="AN4352">
            <v>0</v>
          </cell>
        </row>
        <row r="4353">
          <cell r="A4353" t="str">
            <v>154-3</v>
          </cell>
          <cell r="B4353">
            <v>542</v>
          </cell>
          <cell r="D4353" t="str">
            <v>나. 노무비</v>
          </cell>
          <cell r="E4353">
            <v>0</v>
          </cell>
          <cell r="F4353">
            <v>0</v>
          </cell>
          <cell r="AM4353">
            <v>0</v>
          </cell>
          <cell r="AN4353">
            <v>0</v>
          </cell>
        </row>
        <row r="4354">
          <cell r="B4354">
            <v>556</v>
          </cell>
          <cell r="D4354" t="str">
            <v>통신관련기사</v>
          </cell>
          <cell r="E4354">
            <v>0</v>
          </cell>
          <cell r="F4354" t="str">
            <v>인</v>
          </cell>
          <cell r="H4354">
            <v>1</v>
          </cell>
          <cell r="I4354" t="str">
            <v>x</v>
          </cell>
          <cell r="J4354">
            <v>1</v>
          </cell>
          <cell r="K4354" t="str">
            <v>x</v>
          </cell>
          <cell r="M4354">
            <v>0.5</v>
          </cell>
          <cell r="V4354" t="str">
            <v>=</v>
          </cell>
          <cell r="W4354">
            <v>0.5</v>
          </cell>
          <cell r="Y4354" t="str">
            <v>기본</v>
          </cell>
          <cell r="Z4354" t="str">
            <v>x</v>
          </cell>
          <cell r="AA4354" t="str">
            <v>단위량</v>
          </cell>
          <cell r="AB4354" t="str">
            <v>x</v>
          </cell>
          <cell r="AD4354" t="str">
            <v>지향성안테나</v>
          </cell>
          <cell r="AL4354" t="str">
            <v>통 5-26</v>
          </cell>
          <cell r="AM4354">
            <v>92355</v>
          </cell>
          <cell r="AN4354">
            <v>0</v>
          </cell>
        </row>
        <row r="4355">
          <cell r="B4355">
            <v>520</v>
          </cell>
          <cell r="D4355" t="str">
            <v>무선안테나공</v>
          </cell>
          <cell r="E4355">
            <v>0</v>
          </cell>
          <cell r="F4355" t="str">
            <v>인</v>
          </cell>
          <cell r="H4355">
            <v>3</v>
          </cell>
          <cell r="I4355" t="str">
            <v>x</v>
          </cell>
          <cell r="J4355">
            <v>1</v>
          </cell>
          <cell r="K4355" t="str">
            <v>x</v>
          </cell>
          <cell r="M4355">
            <v>0.5</v>
          </cell>
          <cell r="V4355" t="str">
            <v>=</v>
          </cell>
          <cell r="W4355">
            <v>1.5</v>
          </cell>
          <cell r="Y4355" t="str">
            <v>기본</v>
          </cell>
          <cell r="Z4355" t="str">
            <v>x</v>
          </cell>
          <cell r="AA4355" t="str">
            <v>단위량</v>
          </cell>
          <cell r="AB4355" t="str">
            <v>x</v>
          </cell>
          <cell r="AD4355" t="str">
            <v>지향성안테나</v>
          </cell>
          <cell r="AM4355">
            <v>95000</v>
          </cell>
          <cell r="AN4355">
            <v>0</v>
          </cell>
        </row>
        <row r="4356">
          <cell r="B4356">
            <v>505</v>
          </cell>
          <cell r="D4356" t="str">
            <v>비계공</v>
          </cell>
          <cell r="E4356">
            <v>0</v>
          </cell>
          <cell r="F4356" t="str">
            <v>인</v>
          </cell>
          <cell r="H4356">
            <v>3</v>
          </cell>
          <cell r="I4356" t="str">
            <v>x</v>
          </cell>
          <cell r="J4356">
            <v>1</v>
          </cell>
          <cell r="K4356" t="str">
            <v>x</v>
          </cell>
          <cell r="M4356">
            <v>0.5</v>
          </cell>
          <cell r="V4356" t="str">
            <v>=</v>
          </cell>
          <cell r="W4356">
            <v>1.5</v>
          </cell>
          <cell r="Y4356" t="str">
            <v>기본</v>
          </cell>
          <cell r="Z4356" t="str">
            <v>x</v>
          </cell>
          <cell r="AA4356" t="str">
            <v>단위량</v>
          </cell>
          <cell r="AB4356" t="str">
            <v>x</v>
          </cell>
          <cell r="AD4356" t="str">
            <v>지향성안테나</v>
          </cell>
          <cell r="AM4356">
            <v>75140</v>
          </cell>
          <cell r="AN4356">
            <v>0</v>
          </cell>
        </row>
        <row r="4357">
          <cell r="B4357">
            <v>523</v>
          </cell>
          <cell r="D4357" t="str">
            <v>보통인부</v>
          </cell>
          <cell r="E4357">
            <v>0</v>
          </cell>
          <cell r="F4357" t="str">
            <v>인</v>
          </cell>
          <cell r="H4357">
            <v>2.5</v>
          </cell>
          <cell r="I4357" t="str">
            <v>x</v>
          </cell>
          <cell r="J4357">
            <v>1</v>
          </cell>
          <cell r="K4357" t="str">
            <v>x</v>
          </cell>
          <cell r="M4357">
            <v>0.5</v>
          </cell>
          <cell r="V4357" t="str">
            <v>=</v>
          </cell>
          <cell r="W4357">
            <v>1.25</v>
          </cell>
          <cell r="Y4357" t="str">
            <v>기본</v>
          </cell>
          <cell r="Z4357" t="str">
            <v>x</v>
          </cell>
          <cell r="AA4357" t="str">
            <v>단위량</v>
          </cell>
          <cell r="AB4357" t="str">
            <v>x</v>
          </cell>
          <cell r="AD4357" t="str">
            <v>지향성안테나</v>
          </cell>
          <cell r="AM4357">
            <v>40922</v>
          </cell>
          <cell r="AN4357">
            <v>0</v>
          </cell>
        </row>
        <row r="4358">
          <cell r="B4358">
            <v>544</v>
          </cell>
          <cell r="D4358" t="str">
            <v>소    계</v>
          </cell>
          <cell r="E4358">
            <v>0</v>
          </cell>
          <cell r="F4358">
            <v>0</v>
          </cell>
          <cell r="AM4358">
            <v>0</v>
          </cell>
          <cell r="AN4358">
            <v>0</v>
          </cell>
        </row>
        <row r="4359">
          <cell r="A4359" t="str">
            <v>154-4</v>
          </cell>
          <cell r="B4359">
            <v>556</v>
          </cell>
          <cell r="D4359" t="str">
            <v>통신관련기사</v>
          </cell>
          <cell r="E4359">
            <v>0</v>
          </cell>
          <cell r="F4359" t="str">
            <v>인</v>
          </cell>
          <cell r="V4359" t="str">
            <v>=</v>
          </cell>
          <cell r="W4359">
            <v>0.5</v>
          </cell>
          <cell r="AM4359">
            <v>92355</v>
          </cell>
          <cell r="AN4359">
            <v>0</v>
          </cell>
        </row>
        <row r="4360">
          <cell r="A4360" t="str">
            <v>154-5</v>
          </cell>
          <cell r="B4360">
            <v>520</v>
          </cell>
          <cell r="D4360" t="str">
            <v>무선안테나공</v>
          </cell>
          <cell r="E4360">
            <v>0</v>
          </cell>
          <cell r="F4360" t="str">
            <v>인</v>
          </cell>
          <cell r="V4360" t="str">
            <v>=</v>
          </cell>
          <cell r="W4360">
            <v>1.5</v>
          </cell>
          <cell r="AM4360">
            <v>95000</v>
          </cell>
          <cell r="AN4360">
            <v>0</v>
          </cell>
        </row>
        <row r="4361">
          <cell r="A4361" t="str">
            <v>154-6</v>
          </cell>
          <cell r="B4361">
            <v>505</v>
          </cell>
          <cell r="D4361" t="str">
            <v>비계공</v>
          </cell>
          <cell r="E4361">
            <v>0</v>
          </cell>
          <cell r="F4361" t="str">
            <v>인</v>
          </cell>
          <cell r="V4361" t="str">
            <v>=</v>
          </cell>
          <cell r="W4361">
            <v>1.5</v>
          </cell>
          <cell r="AM4361">
            <v>75140</v>
          </cell>
          <cell r="AN4361">
            <v>0</v>
          </cell>
        </row>
        <row r="4362">
          <cell r="A4362" t="str">
            <v>154-7</v>
          </cell>
          <cell r="B4362">
            <v>523</v>
          </cell>
          <cell r="D4362" t="str">
            <v>보통인부</v>
          </cell>
          <cell r="E4362">
            <v>0</v>
          </cell>
          <cell r="F4362" t="str">
            <v>인</v>
          </cell>
          <cell r="V4362" t="str">
            <v>=</v>
          </cell>
          <cell r="W4362">
            <v>1.25</v>
          </cell>
          <cell r="AM4362">
            <v>40922</v>
          </cell>
          <cell r="AN4362">
            <v>0</v>
          </cell>
        </row>
        <row r="4363">
          <cell r="A4363" t="str">
            <v>154-8</v>
          </cell>
          <cell r="B4363">
            <v>543</v>
          </cell>
          <cell r="D4363" t="str">
            <v>다. 공구손료</v>
          </cell>
          <cell r="E4363" t="str">
            <v>노무비x3%</v>
          </cell>
          <cell r="F4363">
            <v>0</v>
          </cell>
          <cell r="AM4363">
            <v>0</v>
          </cell>
          <cell r="AN4363">
            <v>0</v>
          </cell>
        </row>
        <row r="4364">
          <cell r="A4364" t="str">
            <v>154-9</v>
          </cell>
          <cell r="B4364">
            <v>556</v>
          </cell>
          <cell r="D4364" t="str">
            <v>통신관련기사</v>
          </cell>
          <cell r="E4364">
            <v>0</v>
          </cell>
          <cell r="F4364" t="str">
            <v>인</v>
          </cell>
          <cell r="H4364">
            <v>0.5</v>
          </cell>
          <cell r="I4364" t="str">
            <v>x</v>
          </cell>
          <cell r="J4364">
            <v>0.03</v>
          </cell>
          <cell r="V4364" t="str">
            <v>=</v>
          </cell>
          <cell r="W4364">
            <v>0.02</v>
          </cell>
          <cell r="Y4364" t="str">
            <v>기본</v>
          </cell>
          <cell r="Z4364" t="str">
            <v>x</v>
          </cell>
          <cell r="AA4364" t="str">
            <v>공구손료</v>
          </cell>
          <cell r="AM4364">
            <v>92355</v>
          </cell>
          <cell r="AN4364">
            <v>0</v>
          </cell>
        </row>
        <row r="4365">
          <cell r="A4365" t="str">
            <v>154-10</v>
          </cell>
          <cell r="B4365">
            <v>520</v>
          </cell>
          <cell r="D4365" t="str">
            <v>무선안테나공</v>
          </cell>
          <cell r="E4365">
            <v>0</v>
          </cell>
          <cell r="F4365" t="str">
            <v>인</v>
          </cell>
          <cell r="H4365">
            <v>1.5</v>
          </cell>
          <cell r="I4365" t="str">
            <v>x</v>
          </cell>
          <cell r="J4365">
            <v>0.03</v>
          </cell>
          <cell r="V4365" t="str">
            <v>=</v>
          </cell>
          <cell r="W4365">
            <v>0.05</v>
          </cell>
          <cell r="Y4365" t="str">
            <v>기본</v>
          </cell>
          <cell r="Z4365" t="str">
            <v>x</v>
          </cell>
          <cell r="AA4365" t="str">
            <v>공구손료</v>
          </cell>
          <cell r="AM4365">
            <v>95000</v>
          </cell>
          <cell r="AN4365">
            <v>0</v>
          </cell>
        </row>
        <row r="4366">
          <cell r="A4366" t="str">
            <v>154-11</v>
          </cell>
          <cell r="B4366">
            <v>505</v>
          </cell>
          <cell r="D4366" t="str">
            <v>비계공</v>
          </cell>
          <cell r="E4366">
            <v>0</v>
          </cell>
          <cell r="F4366" t="str">
            <v>인</v>
          </cell>
          <cell r="H4366">
            <v>1.5</v>
          </cell>
          <cell r="I4366" t="str">
            <v>x</v>
          </cell>
          <cell r="J4366">
            <v>0.03</v>
          </cell>
          <cell r="V4366" t="str">
            <v>=</v>
          </cell>
          <cell r="W4366">
            <v>0.05</v>
          </cell>
          <cell r="Y4366" t="str">
            <v>기본</v>
          </cell>
          <cell r="Z4366" t="str">
            <v>x</v>
          </cell>
          <cell r="AA4366" t="str">
            <v>공구손료</v>
          </cell>
          <cell r="AM4366">
            <v>75140</v>
          </cell>
          <cell r="AN4366">
            <v>0</v>
          </cell>
        </row>
        <row r="4367">
          <cell r="A4367" t="str">
            <v>154-12</v>
          </cell>
          <cell r="B4367">
            <v>523</v>
          </cell>
          <cell r="D4367" t="str">
            <v>보통인부</v>
          </cell>
          <cell r="E4367">
            <v>0</v>
          </cell>
          <cell r="F4367" t="str">
            <v>인</v>
          </cell>
          <cell r="H4367">
            <v>1.25</v>
          </cell>
          <cell r="I4367" t="str">
            <v>x</v>
          </cell>
          <cell r="J4367">
            <v>0.03</v>
          </cell>
          <cell r="V4367" t="str">
            <v>=</v>
          </cell>
          <cell r="W4367">
            <v>0.04</v>
          </cell>
          <cell r="Y4367" t="str">
            <v>기본</v>
          </cell>
          <cell r="Z4367" t="str">
            <v>x</v>
          </cell>
          <cell r="AA4367" t="str">
            <v>공구손료</v>
          </cell>
          <cell r="AM4367">
            <v>40922</v>
          </cell>
          <cell r="AN4367">
            <v>0</v>
          </cell>
        </row>
        <row r="4368">
          <cell r="AM4368">
            <v>0</v>
          </cell>
        </row>
        <row r="4369">
          <cell r="AM4369">
            <v>0</v>
          </cell>
        </row>
        <row r="4370">
          <cell r="AM4370">
            <v>0</v>
          </cell>
        </row>
        <row r="4371">
          <cell r="AM4371">
            <v>0</v>
          </cell>
        </row>
        <row r="4372">
          <cell r="AM4372">
            <v>0</v>
          </cell>
        </row>
        <row r="4373">
          <cell r="AM4373">
            <v>0</v>
          </cell>
        </row>
        <row r="4374">
          <cell r="AM4374">
            <v>0</v>
          </cell>
        </row>
        <row r="4375">
          <cell r="AM4375">
            <v>0</v>
          </cell>
        </row>
        <row r="4376">
          <cell r="AM4376">
            <v>0</v>
          </cell>
          <cell r="AN4376">
            <v>0</v>
          </cell>
        </row>
        <row r="4377">
          <cell r="A4377">
            <v>155</v>
          </cell>
          <cell r="C4377">
            <v>155</v>
          </cell>
          <cell r="D4377" t="str">
            <v>열차무선용 안테나 신설(지하)</v>
          </cell>
          <cell r="E4377" t="str">
            <v>다이폴3호</v>
          </cell>
          <cell r="F4377" t="str">
            <v>대</v>
          </cell>
          <cell r="AM4377">
            <v>0</v>
          </cell>
          <cell r="AN4377">
            <v>0</v>
          </cell>
        </row>
        <row r="4378">
          <cell r="A4378" t="str">
            <v>155-1</v>
          </cell>
          <cell r="B4378">
            <v>541</v>
          </cell>
          <cell r="D4378" t="str">
            <v>가. 재료비</v>
          </cell>
          <cell r="E4378">
            <v>0</v>
          </cell>
          <cell r="F4378">
            <v>0</v>
          </cell>
          <cell r="AM4378">
            <v>0</v>
          </cell>
          <cell r="AN4378">
            <v>0</v>
          </cell>
        </row>
        <row r="4379">
          <cell r="A4379" t="str">
            <v>155-2</v>
          </cell>
          <cell r="B4379">
            <v>129</v>
          </cell>
          <cell r="D4379" t="str">
            <v>다이폴ANT</v>
          </cell>
          <cell r="E4379" t="str">
            <v>3호</v>
          </cell>
          <cell r="F4379" t="str">
            <v>대</v>
          </cell>
          <cell r="H4379">
            <v>1</v>
          </cell>
          <cell r="V4379" t="str">
            <v>=</v>
          </cell>
          <cell r="W4379">
            <v>1</v>
          </cell>
          <cell r="Y4379" t="str">
            <v>기본</v>
          </cell>
          <cell r="AM4379">
            <v>300000</v>
          </cell>
          <cell r="AN4379">
            <v>0</v>
          </cell>
        </row>
        <row r="4380">
          <cell r="A4380" t="str">
            <v>155-3</v>
          </cell>
          <cell r="B4380">
            <v>542</v>
          </cell>
          <cell r="D4380" t="str">
            <v>나. 노무비</v>
          </cell>
          <cell r="E4380">
            <v>0</v>
          </cell>
          <cell r="F4380">
            <v>0</v>
          </cell>
          <cell r="AM4380">
            <v>0</v>
          </cell>
          <cell r="AN4380">
            <v>0</v>
          </cell>
        </row>
        <row r="4381">
          <cell r="B4381">
            <v>556</v>
          </cell>
          <cell r="D4381" t="str">
            <v>통신관련기사</v>
          </cell>
          <cell r="E4381">
            <v>0</v>
          </cell>
          <cell r="F4381" t="str">
            <v>인</v>
          </cell>
          <cell r="H4381">
            <v>1</v>
          </cell>
          <cell r="I4381" t="str">
            <v>x</v>
          </cell>
          <cell r="J4381">
            <v>1</v>
          </cell>
          <cell r="K4381" t="str">
            <v>x</v>
          </cell>
          <cell r="L4381" t="str">
            <v>(</v>
          </cell>
          <cell r="M4381">
            <v>1</v>
          </cell>
          <cell r="N4381" t="str">
            <v>+</v>
          </cell>
          <cell r="O4381">
            <v>0.02</v>
          </cell>
          <cell r="P4381" t="str">
            <v>)</v>
          </cell>
          <cell r="Q4381">
            <v>0.5</v>
          </cell>
          <cell r="V4381" t="str">
            <v>=</v>
          </cell>
          <cell r="W4381">
            <v>0.51</v>
          </cell>
          <cell r="Y4381" t="str">
            <v>기본</v>
          </cell>
          <cell r="Z4381" t="str">
            <v>x</v>
          </cell>
          <cell r="AA4381" t="str">
            <v>단위량</v>
          </cell>
          <cell r="AB4381" t="str">
            <v>x</v>
          </cell>
          <cell r="AC4381" t="str">
            <v>(</v>
          </cell>
          <cell r="AD4381">
            <v>1</v>
          </cell>
          <cell r="AE4381" t="str">
            <v>+</v>
          </cell>
          <cell r="AF4381" t="str">
            <v>지하)</v>
          </cell>
          <cell r="AG4381" t="str">
            <v>x</v>
          </cell>
          <cell r="AH4381">
            <v>0.5</v>
          </cell>
          <cell r="AL4381" t="str">
            <v>통 5-26(지하)</v>
          </cell>
          <cell r="AM4381">
            <v>92355</v>
          </cell>
          <cell r="AN4381">
            <v>0</v>
          </cell>
        </row>
        <row r="4382">
          <cell r="B4382">
            <v>520</v>
          </cell>
          <cell r="D4382" t="str">
            <v>무선안테나공</v>
          </cell>
          <cell r="E4382">
            <v>0</v>
          </cell>
          <cell r="F4382" t="str">
            <v>인</v>
          </cell>
          <cell r="H4382">
            <v>3</v>
          </cell>
          <cell r="I4382" t="str">
            <v>x</v>
          </cell>
          <cell r="J4382">
            <v>1</v>
          </cell>
          <cell r="K4382" t="str">
            <v>x</v>
          </cell>
          <cell r="L4382" t="str">
            <v>(</v>
          </cell>
          <cell r="M4382">
            <v>1</v>
          </cell>
          <cell r="N4382" t="str">
            <v>+</v>
          </cell>
          <cell r="O4382">
            <v>0.02</v>
          </cell>
          <cell r="P4382" t="str">
            <v>)</v>
          </cell>
          <cell r="Q4382">
            <v>0.5</v>
          </cell>
          <cell r="V4382" t="str">
            <v>=</v>
          </cell>
          <cell r="W4382">
            <v>1.53</v>
          </cell>
          <cell r="Y4382" t="str">
            <v>기본</v>
          </cell>
          <cell r="Z4382" t="str">
            <v>x</v>
          </cell>
          <cell r="AA4382" t="str">
            <v>단위량</v>
          </cell>
          <cell r="AB4382" t="str">
            <v>x</v>
          </cell>
          <cell r="AC4382" t="str">
            <v>(</v>
          </cell>
          <cell r="AD4382">
            <v>1</v>
          </cell>
          <cell r="AE4382" t="str">
            <v>+</v>
          </cell>
          <cell r="AF4382" t="str">
            <v>지하)</v>
          </cell>
          <cell r="AG4382" t="str">
            <v>x</v>
          </cell>
          <cell r="AH4382">
            <v>0.5</v>
          </cell>
          <cell r="AM4382">
            <v>95000</v>
          </cell>
          <cell r="AN4382">
            <v>0</v>
          </cell>
        </row>
        <row r="4383">
          <cell r="B4383">
            <v>505</v>
          </cell>
          <cell r="D4383" t="str">
            <v>비계공</v>
          </cell>
          <cell r="E4383">
            <v>0</v>
          </cell>
          <cell r="F4383" t="str">
            <v>인</v>
          </cell>
          <cell r="H4383">
            <v>3</v>
          </cell>
          <cell r="I4383" t="str">
            <v>x</v>
          </cell>
          <cell r="J4383">
            <v>1</v>
          </cell>
          <cell r="K4383" t="str">
            <v>x</v>
          </cell>
          <cell r="L4383" t="str">
            <v>(</v>
          </cell>
          <cell r="M4383">
            <v>1</v>
          </cell>
          <cell r="N4383" t="str">
            <v>+</v>
          </cell>
          <cell r="O4383">
            <v>0.02</v>
          </cell>
          <cell r="P4383" t="str">
            <v>)</v>
          </cell>
          <cell r="Q4383">
            <v>0.5</v>
          </cell>
          <cell r="V4383" t="str">
            <v>=</v>
          </cell>
          <cell r="W4383">
            <v>1.53</v>
          </cell>
          <cell r="Y4383" t="str">
            <v>기본</v>
          </cell>
          <cell r="Z4383" t="str">
            <v>x</v>
          </cell>
          <cell r="AA4383" t="str">
            <v>단위량</v>
          </cell>
          <cell r="AB4383" t="str">
            <v>x</v>
          </cell>
          <cell r="AC4383" t="str">
            <v>(</v>
          </cell>
          <cell r="AD4383">
            <v>1</v>
          </cell>
          <cell r="AE4383" t="str">
            <v>+</v>
          </cell>
          <cell r="AF4383" t="str">
            <v>지하)</v>
          </cell>
          <cell r="AG4383" t="str">
            <v>x</v>
          </cell>
          <cell r="AH4383">
            <v>0.5</v>
          </cell>
          <cell r="AM4383">
            <v>75140</v>
          </cell>
          <cell r="AN4383">
            <v>0</v>
          </cell>
        </row>
        <row r="4384">
          <cell r="B4384">
            <v>523</v>
          </cell>
          <cell r="D4384" t="str">
            <v>보통인부</v>
          </cell>
          <cell r="E4384">
            <v>0</v>
          </cell>
          <cell r="F4384" t="str">
            <v>인</v>
          </cell>
          <cell r="H4384">
            <v>2.5</v>
          </cell>
          <cell r="I4384" t="str">
            <v>x</v>
          </cell>
          <cell r="J4384">
            <v>1</v>
          </cell>
          <cell r="K4384" t="str">
            <v>x</v>
          </cell>
          <cell r="L4384" t="str">
            <v>(</v>
          </cell>
          <cell r="M4384">
            <v>1</v>
          </cell>
          <cell r="N4384" t="str">
            <v>+</v>
          </cell>
          <cell r="O4384">
            <v>0.02</v>
          </cell>
          <cell r="P4384" t="str">
            <v>)</v>
          </cell>
          <cell r="Q4384">
            <v>0.5</v>
          </cell>
          <cell r="V4384" t="str">
            <v>=</v>
          </cell>
          <cell r="W4384">
            <v>1.28</v>
          </cell>
          <cell r="Y4384" t="str">
            <v>기본</v>
          </cell>
          <cell r="Z4384" t="str">
            <v>x</v>
          </cell>
          <cell r="AA4384" t="str">
            <v>단위량</v>
          </cell>
          <cell r="AB4384" t="str">
            <v>x</v>
          </cell>
          <cell r="AC4384" t="str">
            <v>(</v>
          </cell>
          <cell r="AD4384">
            <v>1</v>
          </cell>
          <cell r="AE4384" t="str">
            <v>+</v>
          </cell>
          <cell r="AF4384" t="str">
            <v>지하)</v>
          </cell>
          <cell r="AG4384" t="str">
            <v>x</v>
          </cell>
          <cell r="AH4384">
            <v>0.5</v>
          </cell>
          <cell r="AM4384">
            <v>40922</v>
          </cell>
          <cell r="AN4384">
            <v>0</v>
          </cell>
        </row>
        <row r="4385">
          <cell r="B4385">
            <v>544</v>
          </cell>
          <cell r="D4385" t="str">
            <v>소    계</v>
          </cell>
          <cell r="E4385">
            <v>0</v>
          </cell>
          <cell r="F4385">
            <v>0</v>
          </cell>
          <cell r="AM4385">
            <v>0</v>
          </cell>
          <cell r="AN4385">
            <v>0</v>
          </cell>
        </row>
        <row r="4386">
          <cell r="A4386" t="str">
            <v>155-4</v>
          </cell>
          <cell r="B4386">
            <v>556</v>
          </cell>
          <cell r="D4386" t="str">
            <v>통신관련기사</v>
          </cell>
          <cell r="E4386">
            <v>0</v>
          </cell>
          <cell r="F4386" t="str">
            <v>인</v>
          </cell>
          <cell r="V4386" t="str">
            <v>=</v>
          </cell>
          <cell r="W4386">
            <v>0.51</v>
          </cell>
          <cell r="AM4386">
            <v>92355</v>
          </cell>
          <cell r="AN4386">
            <v>0</v>
          </cell>
        </row>
        <row r="4387">
          <cell r="A4387" t="str">
            <v>155-5</v>
          </cell>
          <cell r="B4387">
            <v>520</v>
          </cell>
          <cell r="D4387" t="str">
            <v>무선안테나공</v>
          </cell>
          <cell r="E4387">
            <v>0</v>
          </cell>
          <cell r="F4387" t="str">
            <v>인</v>
          </cell>
          <cell r="V4387" t="str">
            <v>=</v>
          </cell>
          <cell r="W4387">
            <v>1.53</v>
          </cell>
          <cell r="AM4387">
            <v>95000</v>
          </cell>
          <cell r="AN4387">
            <v>0</v>
          </cell>
        </row>
        <row r="4388">
          <cell r="A4388" t="str">
            <v>155-6</v>
          </cell>
          <cell r="B4388">
            <v>505</v>
          </cell>
          <cell r="D4388" t="str">
            <v>비계공</v>
          </cell>
          <cell r="E4388">
            <v>0</v>
          </cell>
          <cell r="F4388" t="str">
            <v>인</v>
          </cell>
          <cell r="V4388" t="str">
            <v>=</v>
          </cell>
          <cell r="W4388">
            <v>1.53</v>
          </cell>
          <cell r="AM4388">
            <v>75140</v>
          </cell>
          <cell r="AN4388">
            <v>0</v>
          </cell>
        </row>
        <row r="4389">
          <cell r="A4389" t="str">
            <v>155-7</v>
          </cell>
          <cell r="B4389">
            <v>523</v>
          </cell>
          <cell r="D4389" t="str">
            <v>보통인부</v>
          </cell>
          <cell r="E4389">
            <v>0</v>
          </cell>
          <cell r="F4389" t="str">
            <v>인</v>
          </cell>
          <cell r="V4389" t="str">
            <v>=</v>
          </cell>
          <cell r="W4389">
            <v>1.28</v>
          </cell>
          <cell r="AM4389">
            <v>40922</v>
          </cell>
          <cell r="AN4389">
            <v>0</v>
          </cell>
        </row>
        <row r="4390">
          <cell r="A4390" t="str">
            <v>155-8</v>
          </cell>
          <cell r="B4390">
            <v>543</v>
          </cell>
          <cell r="D4390" t="str">
            <v>다. 공구손료</v>
          </cell>
          <cell r="E4390" t="str">
            <v>노무비x3%</v>
          </cell>
          <cell r="F4390">
            <v>0</v>
          </cell>
          <cell r="AM4390">
            <v>0</v>
          </cell>
          <cell r="AN4390">
            <v>0</v>
          </cell>
        </row>
        <row r="4391">
          <cell r="A4391" t="str">
            <v>155-9</v>
          </cell>
          <cell r="B4391">
            <v>556</v>
          </cell>
          <cell r="D4391" t="str">
            <v>통신관련기사</v>
          </cell>
          <cell r="E4391">
            <v>0</v>
          </cell>
          <cell r="F4391" t="str">
            <v>인</v>
          </cell>
          <cell r="H4391">
            <v>0.51</v>
          </cell>
          <cell r="I4391" t="str">
            <v>x</v>
          </cell>
          <cell r="J4391">
            <v>0.03</v>
          </cell>
          <cell r="V4391" t="str">
            <v>=</v>
          </cell>
          <cell r="W4391">
            <v>0.02</v>
          </cell>
          <cell r="Y4391" t="str">
            <v>기본</v>
          </cell>
          <cell r="Z4391" t="str">
            <v>x</v>
          </cell>
          <cell r="AA4391" t="str">
            <v>공구손료</v>
          </cell>
          <cell r="AM4391">
            <v>92355</v>
          </cell>
          <cell r="AN4391">
            <v>0</v>
          </cell>
        </row>
        <row r="4392">
          <cell r="A4392" t="str">
            <v>155-10</v>
          </cell>
          <cell r="B4392">
            <v>520</v>
          </cell>
          <cell r="D4392" t="str">
            <v>무선안테나공</v>
          </cell>
          <cell r="E4392">
            <v>0</v>
          </cell>
          <cell r="F4392" t="str">
            <v>인</v>
          </cell>
          <cell r="H4392">
            <v>1.53</v>
          </cell>
          <cell r="I4392" t="str">
            <v>x</v>
          </cell>
          <cell r="J4392">
            <v>0.03</v>
          </cell>
          <cell r="V4392" t="str">
            <v>=</v>
          </cell>
          <cell r="W4392">
            <v>0.05</v>
          </cell>
          <cell r="Y4392" t="str">
            <v>기본</v>
          </cell>
          <cell r="Z4392" t="str">
            <v>x</v>
          </cell>
          <cell r="AA4392" t="str">
            <v>공구손료</v>
          </cell>
          <cell r="AM4392">
            <v>95000</v>
          </cell>
          <cell r="AN4392">
            <v>0</v>
          </cell>
        </row>
        <row r="4393">
          <cell r="A4393" t="str">
            <v>155-11</v>
          </cell>
          <cell r="B4393">
            <v>505</v>
          </cell>
          <cell r="D4393" t="str">
            <v>비계공</v>
          </cell>
          <cell r="E4393">
            <v>0</v>
          </cell>
          <cell r="F4393" t="str">
            <v>인</v>
          </cell>
          <cell r="H4393">
            <v>1.53</v>
          </cell>
          <cell r="I4393" t="str">
            <v>x</v>
          </cell>
          <cell r="J4393">
            <v>0.03</v>
          </cell>
          <cell r="V4393" t="str">
            <v>=</v>
          </cell>
          <cell r="W4393">
            <v>0.05</v>
          </cell>
          <cell r="Y4393" t="str">
            <v>기본</v>
          </cell>
          <cell r="Z4393" t="str">
            <v>x</v>
          </cell>
          <cell r="AA4393" t="str">
            <v>공구손료</v>
          </cell>
          <cell r="AM4393">
            <v>75140</v>
          </cell>
          <cell r="AN4393">
            <v>0</v>
          </cell>
        </row>
        <row r="4394">
          <cell r="A4394" t="str">
            <v>155-12</v>
          </cell>
          <cell r="B4394">
            <v>523</v>
          </cell>
          <cell r="D4394" t="str">
            <v>보통인부</v>
          </cell>
          <cell r="E4394">
            <v>0</v>
          </cell>
          <cell r="F4394" t="str">
            <v>인</v>
          </cell>
          <cell r="H4394">
            <v>1.28</v>
          </cell>
          <cell r="I4394" t="str">
            <v>x</v>
          </cell>
          <cell r="J4394">
            <v>0.03</v>
          </cell>
          <cell r="V4394" t="str">
            <v>=</v>
          </cell>
          <cell r="W4394">
            <v>0.04</v>
          </cell>
          <cell r="Y4394" t="str">
            <v>기본</v>
          </cell>
          <cell r="Z4394" t="str">
            <v>x</v>
          </cell>
          <cell r="AA4394" t="str">
            <v>공구손료</v>
          </cell>
          <cell r="AM4394">
            <v>40922</v>
          </cell>
          <cell r="AN4394">
            <v>0</v>
          </cell>
        </row>
        <row r="4395">
          <cell r="AM4395">
            <v>0</v>
          </cell>
        </row>
        <row r="4396">
          <cell r="AM4396">
            <v>0</v>
          </cell>
        </row>
        <row r="4397">
          <cell r="AM4397">
            <v>0</v>
          </cell>
        </row>
        <row r="4398">
          <cell r="AM4398">
            <v>0</v>
          </cell>
        </row>
        <row r="4399">
          <cell r="AM4399">
            <v>0</v>
          </cell>
        </row>
        <row r="4400">
          <cell r="AM4400">
            <v>0</v>
          </cell>
        </row>
        <row r="4401">
          <cell r="AM4401">
            <v>0</v>
          </cell>
        </row>
        <row r="4402">
          <cell r="AM4402">
            <v>0</v>
          </cell>
        </row>
        <row r="4403">
          <cell r="AM4403">
            <v>0</v>
          </cell>
          <cell r="AN4403">
            <v>0</v>
          </cell>
        </row>
        <row r="4404">
          <cell r="A4404">
            <v>156</v>
          </cell>
          <cell r="C4404">
            <v>156</v>
          </cell>
          <cell r="D4404" t="str">
            <v>무지향 안테나 신설</v>
          </cell>
          <cell r="E4404" t="str">
            <v>OMNI ANT(역사)</v>
          </cell>
          <cell r="F4404" t="str">
            <v>대</v>
          </cell>
          <cell r="AM4404">
            <v>0</v>
          </cell>
          <cell r="AN4404">
            <v>0</v>
          </cell>
        </row>
        <row r="4405">
          <cell r="A4405" t="str">
            <v>156-1</v>
          </cell>
          <cell r="B4405">
            <v>541</v>
          </cell>
          <cell r="D4405" t="str">
            <v>가. 재료비</v>
          </cell>
          <cell r="E4405">
            <v>0</v>
          </cell>
          <cell r="F4405">
            <v>0</v>
          </cell>
          <cell r="AM4405">
            <v>0</v>
          </cell>
          <cell r="AN4405">
            <v>0</v>
          </cell>
        </row>
        <row r="4406">
          <cell r="A4406" t="str">
            <v>156-2</v>
          </cell>
          <cell r="B4406" t="str">
            <v>155-1</v>
          </cell>
          <cell r="D4406" t="str">
            <v>ANT</v>
          </cell>
          <cell r="E4406" t="str">
            <v>OMNI(0dBi)</v>
          </cell>
          <cell r="F4406" t="str">
            <v>대</v>
          </cell>
          <cell r="H4406">
            <v>1</v>
          </cell>
          <cell r="V4406" t="str">
            <v>=</v>
          </cell>
          <cell r="W4406">
            <v>1</v>
          </cell>
          <cell r="Y4406" t="str">
            <v>기본</v>
          </cell>
          <cell r="AM4406">
            <v>46950</v>
          </cell>
          <cell r="AN4406">
            <v>0</v>
          </cell>
        </row>
        <row r="4407">
          <cell r="A4407" t="str">
            <v>156-3</v>
          </cell>
          <cell r="B4407">
            <v>542</v>
          </cell>
          <cell r="D4407" t="str">
            <v>나. 노무비</v>
          </cell>
          <cell r="E4407">
            <v>0</v>
          </cell>
          <cell r="F4407">
            <v>0</v>
          </cell>
          <cell r="AM4407">
            <v>0</v>
          </cell>
          <cell r="AN4407">
            <v>0</v>
          </cell>
        </row>
        <row r="4408">
          <cell r="D4408" t="str">
            <v>1) 안테나 설치</v>
          </cell>
          <cell r="AL4408" t="str">
            <v>통5-82-2</v>
          </cell>
        </row>
        <row r="4409">
          <cell r="B4409">
            <v>517</v>
          </cell>
          <cell r="D4409" t="str">
            <v>통신설비공</v>
          </cell>
          <cell r="E4409">
            <v>0</v>
          </cell>
          <cell r="F4409" t="str">
            <v>인</v>
          </cell>
          <cell r="H4409">
            <v>0.06</v>
          </cell>
          <cell r="I4409" t="str">
            <v>x</v>
          </cell>
          <cell r="J4409">
            <v>1</v>
          </cell>
          <cell r="V4409" t="str">
            <v>=</v>
          </cell>
          <cell r="W4409">
            <v>0.06</v>
          </cell>
          <cell r="Y4409" t="str">
            <v>기본</v>
          </cell>
          <cell r="Z4409" t="str">
            <v>x</v>
          </cell>
          <cell r="AA4409" t="str">
            <v>단위량</v>
          </cell>
          <cell r="AM4409">
            <v>77401</v>
          </cell>
          <cell r="AN4409">
            <v>0</v>
          </cell>
        </row>
        <row r="4410">
          <cell r="D4410" t="str">
            <v>2) 구멍따기</v>
          </cell>
          <cell r="AL4410" t="str">
            <v>통5-61-사</v>
          </cell>
        </row>
        <row r="4411">
          <cell r="B4411">
            <v>518</v>
          </cell>
          <cell r="D4411" t="str">
            <v>통신내선공</v>
          </cell>
          <cell r="E4411">
            <v>0</v>
          </cell>
          <cell r="F4411" t="str">
            <v>인</v>
          </cell>
          <cell r="H4411">
            <v>4.1000000000000002E-2</v>
          </cell>
          <cell r="I4411" t="str">
            <v>x</v>
          </cell>
          <cell r="J4411">
            <v>1</v>
          </cell>
          <cell r="V4411" t="str">
            <v>=</v>
          </cell>
          <cell r="W4411">
            <v>4.1000000000000002E-2</v>
          </cell>
          <cell r="Y4411" t="str">
            <v>기본</v>
          </cell>
          <cell r="Z4411" t="str">
            <v>x</v>
          </cell>
          <cell r="AA4411" t="str">
            <v>단위량</v>
          </cell>
          <cell r="AM4411">
            <v>63806</v>
          </cell>
          <cell r="AN4411">
            <v>0</v>
          </cell>
        </row>
        <row r="4412">
          <cell r="D4412" t="str">
            <v>3) 앙카구멍 뚫기 및 설치</v>
          </cell>
          <cell r="AL4412" t="str">
            <v>통5-61-사</v>
          </cell>
        </row>
        <row r="4413">
          <cell r="B4413">
            <v>518</v>
          </cell>
          <cell r="D4413" t="str">
            <v>통신내선공</v>
          </cell>
          <cell r="E4413">
            <v>0</v>
          </cell>
          <cell r="F4413" t="str">
            <v>인</v>
          </cell>
          <cell r="H4413">
            <v>0.08</v>
          </cell>
          <cell r="I4413" t="str">
            <v>x</v>
          </cell>
          <cell r="J4413">
            <v>1</v>
          </cell>
          <cell r="V4413" t="str">
            <v>=</v>
          </cell>
          <cell r="W4413">
            <v>0.08</v>
          </cell>
          <cell r="Y4413" t="str">
            <v>기본</v>
          </cell>
          <cell r="Z4413" t="str">
            <v>x</v>
          </cell>
          <cell r="AA4413" t="str">
            <v>단위량</v>
          </cell>
          <cell r="AM4413">
            <v>63806</v>
          </cell>
          <cell r="AN4413">
            <v>0</v>
          </cell>
        </row>
        <row r="4414">
          <cell r="B4414">
            <v>523</v>
          </cell>
          <cell r="D4414" t="str">
            <v>보통인부</v>
          </cell>
          <cell r="E4414">
            <v>0</v>
          </cell>
          <cell r="F4414" t="str">
            <v>인</v>
          </cell>
          <cell r="H4414">
            <v>3.5999999999999997E-2</v>
          </cell>
          <cell r="I4414" t="str">
            <v>x</v>
          </cell>
          <cell r="J4414">
            <v>1</v>
          </cell>
          <cell r="V4414" t="str">
            <v>=</v>
          </cell>
          <cell r="W4414">
            <v>3.5999999999999997E-2</v>
          </cell>
          <cell r="Y4414" t="str">
            <v>기본</v>
          </cell>
          <cell r="Z4414" t="str">
            <v>x</v>
          </cell>
          <cell r="AA4414" t="str">
            <v>단위량</v>
          </cell>
          <cell r="AM4414">
            <v>40922</v>
          </cell>
          <cell r="AN4414">
            <v>0</v>
          </cell>
        </row>
        <row r="4416">
          <cell r="B4416">
            <v>544</v>
          </cell>
          <cell r="D4416" t="str">
            <v>소    계</v>
          </cell>
          <cell r="E4416">
            <v>0</v>
          </cell>
          <cell r="F4416">
            <v>0</v>
          </cell>
          <cell r="AM4416">
            <v>0</v>
          </cell>
          <cell r="AN4416">
            <v>0</v>
          </cell>
        </row>
        <row r="4417">
          <cell r="A4417" t="str">
            <v>156-4</v>
          </cell>
          <cell r="B4417">
            <v>517</v>
          </cell>
          <cell r="D4417" t="str">
            <v>통신설비공</v>
          </cell>
          <cell r="E4417">
            <v>0</v>
          </cell>
          <cell r="F4417" t="str">
            <v>인</v>
          </cell>
          <cell r="V4417" t="str">
            <v>=</v>
          </cell>
          <cell r="W4417">
            <v>0.06</v>
          </cell>
          <cell r="AM4417">
            <v>77401</v>
          </cell>
          <cell r="AN4417">
            <v>0</v>
          </cell>
        </row>
        <row r="4418">
          <cell r="A4418" t="str">
            <v>156-5</v>
          </cell>
          <cell r="B4418">
            <v>518</v>
          </cell>
          <cell r="D4418" t="str">
            <v>통신내선공</v>
          </cell>
          <cell r="E4418">
            <v>0</v>
          </cell>
          <cell r="F4418" t="str">
            <v>인</v>
          </cell>
          <cell r="V4418" t="str">
            <v>=</v>
          </cell>
          <cell r="W4418">
            <v>0.121</v>
          </cell>
          <cell r="AM4418">
            <v>63806</v>
          </cell>
          <cell r="AN4418">
            <v>0</v>
          </cell>
        </row>
        <row r="4419">
          <cell r="A4419" t="str">
            <v>156-6</v>
          </cell>
          <cell r="B4419">
            <v>523</v>
          </cell>
          <cell r="D4419" t="str">
            <v>보통인부</v>
          </cell>
          <cell r="E4419">
            <v>0</v>
          </cell>
          <cell r="F4419" t="str">
            <v>인</v>
          </cell>
          <cell r="V4419" t="str">
            <v>=</v>
          </cell>
          <cell r="W4419">
            <v>3.5999999999999997E-2</v>
          </cell>
          <cell r="AM4419">
            <v>40922</v>
          </cell>
          <cell r="AN4419">
            <v>0</v>
          </cell>
        </row>
        <row r="4421">
          <cell r="A4421" t="str">
            <v>156-7</v>
          </cell>
          <cell r="B4421">
            <v>543</v>
          </cell>
          <cell r="D4421" t="str">
            <v>다. 공구손료</v>
          </cell>
          <cell r="E4421" t="str">
            <v>노무비x3%</v>
          </cell>
          <cell r="F4421">
            <v>0</v>
          </cell>
          <cell r="AM4421">
            <v>0</v>
          </cell>
          <cell r="AN4421">
            <v>0</v>
          </cell>
        </row>
        <row r="4422">
          <cell r="A4422" t="str">
            <v>156-8</v>
          </cell>
          <cell r="B4422">
            <v>517</v>
          </cell>
          <cell r="D4422" t="str">
            <v>통신설비공</v>
          </cell>
          <cell r="E4422">
            <v>0</v>
          </cell>
          <cell r="F4422" t="str">
            <v>인</v>
          </cell>
          <cell r="H4422">
            <v>0.06</v>
          </cell>
          <cell r="I4422" t="str">
            <v>x</v>
          </cell>
          <cell r="J4422">
            <v>0.03</v>
          </cell>
          <cell r="V4422" t="str">
            <v>=</v>
          </cell>
          <cell r="W4422">
            <v>2E-3</v>
          </cell>
          <cell r="Y4422" t="str">
            <v>기본</v>
          </cell>
          <cell r="Z4422" t="str">
            <v>x</v>
          </cell>
          <cell r="AA4422" t="str">
            <v>공구손료</v>
          </cell>
          <cell r="AM4422">
            <v>77401</v>
          </cell>
          <cell r="AN4422">
            <v>0</v>
          </cell>
        </row>
        <row r="4423">
          <cell r="A4423" t="str">
            <v>156-9</v>
          </cell>
          <cell r="B4423">
            <v>518</v>
          </cell>
          <cell r="D4423" t="str">
            <v>통신내선공</v>
          </cell>
          <cell r="E4423">
            <v>0</v>
          </cell>
          <cell r="F4423" t="str">
            <v>인</v>
          </cell>
          <cell r="H4423">
            <v>0.121</v>
          </cell>
          <cell r="I4423" t="str">
            <v>x</v>
          </cell>
          <cell r="J4423">
            <v>0.03</v>
          </cell>
          <cell r="V4423" t="str">
            <v>=</v>
          </cell>
          <cell r="W4423">
            <v>4.0000000000000001E-3</v>
          </cell>
          <cell r="Y4423" t="str">
            <v>기본</v>
          </cell>
          <cell r="Z4423" t="str">
            <v>x</v>
          </cell>
          <cell r="AA4423" t="str">
            <v>공구손료</v>
          </cell>
          <cell r="AM4423">
            <v>63806</v>
          </cell>
          <cell r="AN4423">
            <v>0</v>
          </cell>
        </row>
        <row r="4424">
          <cell r="A4424" t="str">
            <v>156-10</v>
          </cell>
          <cell r="B4424">
            <v>523</v>
          </cell>
          <cell r="D4424" t="str">
            <v>보통인부</v>
          </cell>
          <cell r="E4424">
            <v>0</v>
          </cell>
          <cell r="F4424" t="str">
            <v>인</v>
          </cell>
          <cell r="H4424">
            <v>3.5999999999999997E-2</v>
          </cell>
          <cell r="I4424" t="str">
            <v>x</v>
          </cell>
          <cell r="J4424">
            <v>0.03</v>
          </cell>
          <cell r="V4424" t="str">
            <v>=</v>
          </cell>
          <cell r="W4424">
            <v>1E-3</v>
          </cell>
          <cell r="Y4424" t="str">
            <v>기본</v>
          </cell>
          <cell r="Z4424" t="str">
            <v>x</v>
          </cell>
          <cell r="AA4424" t="str">
            <v>공구손료</v>
          </cell>
          <cell r="AM4424">
            <v>40922</v>
          </cell>
          <cell r="AN4424">
            <v>0</v>
          </cell>
        </row>
        <row r="4426">
          <cell r="AM4426">
            <v>0</v>
          </cell>
        </row>
        <row r="4427">
          <cell r="AM4427">
            <v>0</v>
          </cell>
        </row>
        <row r="4428">
          <cell r="AM4428">
            <v>0</v>
          </cell>
        </row>
        <row r="4429">
          <cell r="AM4429">
            <v>0</v>
          </cell>
        </row>
        <row r="4430">
          <cell r="AM4430">
            <v>0</v>
          </cell>
          <cell r="AN4430">
            <v>0</v>
          </cell>
        </row>
        <row r="4431">
          <cell r="A4431">
            <v>157</v>
          </cell>
          <cell r="C4431">
            <v>157</v>
          </cell>
          <cell r="D4431" t="str">
            <v>지향성 안테나 신설</v>
          </cell>
          <cell r="E4431" t="str">
            <v>YAGI ANT(0dBi)</v>
          </cell>
          <cell r="F4431" t="str">
            <v>대</v>
          </cell>
          <cell r="AM4431">
            <v>0</v>
          </cell>
          <cell r="AN4431">
            <v>0</v>
          </cell>
        </row>
        <row r="4432">
          <cell r="A4432" t="str">
            <v>157-1</v>
          </cell>
          <cell r="B4432">
            <v>541</v>
          </cell>
          <cell r="D4432" t="str">
            <v>가. 재료비</v>
          </cell>
          <cell r="E4432">
            <v>0</v>
          </cell>
          <cell r="F4432">
            <v>0</v>
          </cell>
          <cell r="AM4432">
            <v>0</v>
          </cell>
          <cell r="AN4432">
            <v>0</v>
          </cell>
        </row>
        <row r="4433">
          <cell r="A4433" t="str">
            <v>157-2</v>
          </cell>
          <cell r="B4433" t="str">
            <v>155-2</v>
          </cell>
          <cell r="D4433" t="str">
            <v>ANT</v>
          </cell>
          <cell r="E4433" t="str">
            <v>YAGI ANT(0dBi)</v>
          </cell>
          <cell r="F4433" t="str">
            <v>대</v>
          </cell>
          <cell r="H4433">
            <v>1</v>
          </cell>
          <cell r="V4433" t="str">
            <v>=</v>
          </cell>
          <cell r="W4433">
            <v>1</v>
          </cell>
          <cell r="Y4433" t="str">
            <v>기본</v>
          </cell>
          <cell r="AM4433">
            <v>258000</v>
          </cell>
          <cell r="AN4433">
            <v>0</v>
          </cell>
        </row>
        <row r="4434">
          <cell r="A4434" t="str">
            <v>157-3</v>
          </cell>
          <cell r="B4434">
            <v>542</v>
          </cell>
          <cell r="D4434" t="str">
            <v>나. 노무비</v>
          </cell>
          <cell r="E4434">
            <v>0</v>
          </cell>
          <cell r="F4434">
            <v>0</v>
          </cell>
          <cell r="AM4434">
            <v>0</v>
          </cell>
          <cell r="AN4434">
            <v>0</v>
          </cell>
        </row>
        <row r="4435">
          <cell r="D4435" t="str">
            <v>1) 안테나 설치</v>
          </cell>
          <cell r="AL4435" t="str">
            <v>통5-82-2</v>
          </cell>
        </row>
        <row r="4436">
          <cell r="B4436">
            <v>517</v>
          </cell>
          <cell r="D4436" t="str">
            <v>통신설비공</v>
          </cell>
          <cell r="E4436">
            <v>0</v>
          </cell>
          <cell r="F4436" t="str">
            <v>인</v>
          </cell>
          <cell r="H4436">
            <v>0.06</v>
          </cell>
          <cell r="I4436" t="str">
            <v>x</v>
          </cell>
          <cell r="J4436">
            <v>1</v>
          </cell>
          <cell r="L4436" t="str">
            <v>x</v>
          </cell>
          <cell r="M4436">
            <v>1.02</v>
          </cell>
          <cell r="V4436" t="str">
            <v>=</v>
          </cell>
          <cell r="W4436">
            <v>6.0999999999999999E-2</v>
          </cell>
          <cell r="Y4436" t="str">
            <v>기본</v>
          </cell>
          <cell r="Z4436" t="str">
            <v>x</v>
          </cell>
          <cell r="AA4436" t="str">
            <v>단위량</v>
          </cell>
          <cell r="AC4436" t="str">
            <v>x</v>
          </cell>
          <cell r="AD4436" t="str">
            <v>지하</v>
          </cell>
          <cell r="AM4436">
            <v>77401</v>
          </cell>
          <cell r="AN4436">
            <v>0</v>
          </cell>
        </row>
        <row r="4437">
          <cell r="D4437" t="str">
            <v>2) 구멍따기</v>
          </cell>
          <cell r="AL4437" t="str">
            <v>통5-61-사</v>
          </cell>
        </row>
        <row r="4438">
          <cell r="B4438">
            <v>518</v>
          </cell>
          <cell r="D4438" t="str">
            <v>통신내선공</v>
          </cell>
          <cell r="E4438">
            <v>0</v>
          </cell>
          <cell r="F4438" t="str">
            <v>인</v>
          </cell>
          <cell r="H4438">
            <v>4.1000000000000002E-2</v>
          </cell>
          <cell r="I4438" t="str">
            <v>x</v>
          </cell>
          <cell r="J4438">
            <v>1</v>
          </cell>
          <cell r="L4438" t="str">
            <v>x</v>
          </cell>
          <cell r="M4438">
            <v>1.02</v>
          </cell>
          <cell r="V4438" t="str">
            <v>=</v>
          </cell>
          <cell r="W4438">
            <v>4.2000000000000003E-2</v>
          </cell>
          <cell r="Y4438" t="str">
            <v>기본</v>
          </cell>
          <cell r="Z4438" t="str">
            <v>x</v>
          </cell>
          <cell r="AA4438" t="str">
            <v>단위량</v>
          </cell>
          <cell r="AC4438" t="str">
            <v>x</v>
          </cell>
          <cell r="AD4438" t="str">
            <v>지하</v>
          </cell>
          <cell r="AM4438">
            <v>63806</v>
          </cell>
          <cell r="AN4438">
            <v>0</v>
          </cell>
        </row>
        <row r="4439">
          <cell r="D4439" t="str">
            <v>3) 앙카구멍 뚫기 및 설치</v>
          </cell>
          <cell r="AL4439" t="str">
            <v>통5-61-사</v>
          </cell>
        </row>
        <row r="4440">
          <cell r="B4440">
            <v>518</v>
          </cell>
          <cell r="D4440" t="str">
            <v>통신내선공</v>
          </cell>
          <cell r="E4440">
            <v>0</v>
          </cell>
          <cell r="F4440" t="str">
            <v>인</v>
          </cell>
          <cell r="H4440">
            <v>0.08</v>
          </cell>
          <cell r="I4440" t="str">
            <v>x</v>
          </cell>
          <cell r="J4440">
            <v>1</v>
          </cell>
          <cell r="L4440" t="str">
            <v>x</v>
          </cell>
          <cell r="M4440">
            <v>1.02</v>
          </cell>
          <cell r="V4440" t="str">
            <v>=</v>
          </cell>
          <cell r="W4440">
            <v>8.2000000000000003E-2</v>
          </cell>
          <cell r="Y4440" t="str">
            <v>기본</v>
          </cell>
          <cell r="Z4440" t="str">
            <v>x</v>
          </cell>
          <cell r="AA4440" t="str">
            <v>단위량</v>
          </cell>
          <cell r="AC4440" t="str">
            <v>x</v>
          </cell>
          <cell r="AD4440" t="str">
            <v>지하</v>
          </cell>
          <cell r="AM4440">
            <v>63806</v>
          </cell>
          <cell r="AN4440">
            <v>0</v>
          </cell>
        </row>
        <row r="4441">
          <cell r="B4441">
            <v>523</v>
          </cell>
          <cell r="D4441" t="str">
            <v>보통인부</v>
          </cell>
          <cell r="E4441">
            <v>0</v>
          </cell>
          <cell r="F4441" t="str">
            <v>인</v>
          </cell>
          <cell r="H4441">
            <v>3.5999999999999997E-2</v>
          </cell>
          <cell r="I4441" t="str">
            <v>x</v>
          </cell>
          <cell r="J4441">
            <v>1</v>
          </cell>
          <cell r="L4441" t="str">
            <v>x</v>
          </cell>
          <cell r="M4441">
            <v>1.02</v>
          </cell>
          <cell r="V4441" t="str">
            <v>=</v>
          </cell>
          <cell r="W4441">
            <v>3.6999999999999998E-2</v>
          </cell>
          <cell r="Y4441" t="str">
            <v>기본</v>
          </cell>
          <cell r="Z4441" t="str">
            <v>x</v>
          </cell>
          <cell r="AA4441" t="str">
            <v>단위량</v>
          </cell>
          <cell r="AC4441" t="str">
            <v>x</v>
          </cell>
          <cell r="AD4441" t="str">
            <v>지하</v>
          </cell>
          <cell r="AM4441">
            <v>40922</v>
          </cell>
          <cell r="AN4441">
            <v>0</v>
          </cell>
        </row>
        <row r="4443">
          <cell r="B4443">
            <v>544</v>
          </cell>
          <cell r="D4443" t="str">
            <v>소    계</v>
          </cell>
          <cell r="E4443">
            <v>0</v>
          </cell>
          <cell r="F4443">
            <v>0</v>
          </cell>
          <cell r="AM4443">
            <v>0</v>
          </cell>
          <cell r="AN4443">
            <v>0</v>
          </cell>
        </row>
        <row r="4444">
          <cell r="A4444" t="str">
            <v>157-4</v>
          </cell>
          <cell r="B4444">
            <v>517</v>
          </cell>
          <cell r="D4444" t="str">
            <v>통신설비공</v>
          </cell>
          <cell r="E4444">
            <v>0</v>
          </cell>
          <cell r="F4444" t="str">
            <v>인</v>
          </cell>
          <cell r="V4444" t="str">
            <v>=</v>
          </cell>
          <cell r="W4444">
            <v>6.0999999999999999E-2</v>
          </cell>
          <cell r="AM4444">
            <v>77401</v>
          </cell>
          <cell r="AN4444">
            <v>0</v>
          </cell>
        </row>
        <row r="4445">
          <cell r="A4445" t="str">
            <v>157-5</v>
          </cell>
          <cell r="B4445">
            <v>518</v>
          </cell>
          <cell r="D4445" t="str">
            <v>통신내선공</v>
          </cell>
          <cell r="E4445">
            <v>0</v>
          </cell>
          <cell r="F4445" t="str">
            <v>인</v>
          </cell>
          <cell r="V4445" t="str">
            <v>=</v>
          </cell>
          <cell r="W4445">
            <v>0.124</v>
          </cell>
          <cell r="AM4445">
            <v>63806</v>
          </cell>
          <cell r="AN4445">
            <v>0</v>
          </cell>
        </row>
        <row r="4446">
          <cell r="A4446" t="str">
            <v>157-6</v>
          </cell>
          <cell r="B4446">
            <v>523</v>
          </cell>
          <cell r="D4446" t="str">
            <v>보통인부</v>
          </cell>
          <cell r="E4446">
            <v>0</v>
          </cell>
          <cell r="F4446" t="str">
            <v>인</v>
          </cell>
          <cell r="V4446" t="str">
            <v>=</v>
          </cell>
          <cell r="W4446">
            <v>3.6999999999999998E-2</v>
          </cell>
          <cell r="AM4446">
            <v>40922</v>
          </cell>
          <cell r="AN4446">
            <v>0</v>
          </cell>
        </row>
        <row r="4448">
          <cell r="A4448" t="str">
            <v>157-7</v>
          </cell>
          <cell r="B4448">
            <v>543</v>
          </cell>
          <cell r="D4448" t="str">
            <v>다. 공구손료</v>
          </cell>
          <cell r="E4448" t="str">
            <v>노무비x3%</v>
          </cell>
          <cell r="F4448">
            <v>0</v>
          </cell>
          <cell r="AM4448">
            <v>0</v>
          </cell>
          <cell r="AN4448">
            <v>0</v>
          </cell>
        </row>
        <row r="4449">
          <cell r="A4449" t="str">
            <v>157-8</v>
          </cell>
          <cell r="B4449">
            <v>517</v>
          </cell>
          <cell r="D4449" t="str">
            <v>통신설비공</v>
          </cell>
          <cell r="E4449">
            <v>0</v>
          </cell>
          <cell r="F4449" t="str">
            <v>인</v>
          </cell>
          <cell r="H4449">
            <v>6.0999999999999999E-2</v>
          </cell>
          <cell r="I4449" t="str">
            <v>x</v>
          </cell>
          <cell r="J4449">
            <v>0.03</v>
          </cell>
          <cell r="V4449" t="str">
            <v>=</v>
          </cell>
          <cell r="W4449">
            <v>2E-3</v>
          </cell>
          <cell r="Y4449" t="str">
            <v>기본</v>
          </cell>
          <cell r="Z4449" t="str">
            <v>x</v>
          </cell>
          <cell r="AA4449" t="str">
            <v>공구손료</v>
          </cell>
          <cell r="AM4449">
            <v>77401</v>
          </cell>
          <cell r="AN4449">
            <v>0</v>
          </cell>
        </row>
        <row r="4450">
          <cell r="A4450" t="str">
            <v>157-9</v>
          </cell>
          <cell r="B4450">
            <v>518</v>
          </cell>
          <cell r="D4450" t="str">
            <v>통신내선공</v>
          </cell>
          <cell r="E4450">
            <v>0</v>
          </cell>
          <cell r="F4450" t="str">
            <v>인</v>
          </cell>
          <cell r="H4450">
            <v>0.124</v>
          </cell>
          <cell r="I4450" t="str">
            <v>x</v>
          </cell>
          <cell r="J4450">
            <v>0.03</v>
          </cell>
          <cell r="V4450" t="str">
            <v>=</v>
          </cell>
          <cell r="W4450">
            <v>4.0000000000000001E-3</v>
          </cell>
          <cell r="Y4450" t="str">
            <v>기본</v>
          </cell>
          <cell r="Z4450" t="str">
            <v>x</v>
          </cell>
          <cell r="AA4450" t="str">
            <v>공구손료</v>
          </cell>
          <cell r="AM4450">
            <v>63806</v>
          </cell>
          <cell r="AN4450">
            <v>0</v>
          </cell>
        </row>
        <row r="4451">
          <cell r="A4451" t="str">
            <v>157-10</v>
          </cell>
          <cell r="B4451">
            <v>523</v>
          </cell>
          <cell r="D4451" t="str">
            <v>보통인부</v>
          </cell>
          <cell r="E4451">
            <v>0</v>
          </cell>
          <cell r="F4451" t="str">
            <v>인</v>
          </cell>
          <cell r="H4451">
            <v>3.6999999999999998E-2</v>
          </cell>
          <cell r="I4451" t="str">
            <v>x</v>
          </cell>
          <cell r="J4451">
            <v>0.03</v>
          </cell>
          <cell r="V4451" t="str">
            <v>=</v>
          </cell>
          <cell r="W4451">
            <v>1E-3</v>
          </cell>
          <cell r="Y4451" t="str">
            <v>기본</v>
          </cell>
          <cell r="Z4451" t="str">
            <v>x</v>
          </cell>
          <cell r="AA4451" t="str">
            <v>공구손료</v>
          </cell>
          <cell r="AM4451">
            <v>40922</v>
          </cell>
          <cell r="AN4451">
            <v>0</v>
          </cell>
        </row>
        <row r="4453">
          <cell r="AM4453">
            <v>0</v>
          </cell>
        </row>
        <row r="4454">
          <cell r="AM4454">
            <v>0</v>
          </cell>
        </row>
        <row r="4455">
          <cell r="AM4455">
            <v>0</v>
          </cell>
        </row>
        <row r="4456">
          <cell r="AM4456">
            <v>0</v>
          </cell>
        </row>
        <row r="4457">
          <cell r="AM4457">
            <v>0</v>
          </cell>
          <cell r="AN4457">
            <v>0</v>
          </cell>
        </row>
        <row r="4458">
          <cell r="A4458">
            <v>158</v>
          </cell>
          <cell r="C4458">
            <v>158</v>
          </cell>
          <cell r="D4458" t="str">
            <v>동축케이블포설(지상)</v>
          </cell>
          <cell r="E4458" t="str">
            <v>HFC-12D</v>
          </cell>
          <cell r="F4458" t="str">
            <v>m</v>
          </cell>
          <cell r="AM4458">
            <v>0</v>
          </cell>
          <cell r="AN4458">
            <v>0</v>
          </cell>
        </row>
        <row r="4459">
          <cell r="A4459" t="str">
            <v>158-1</v>
          </cell>
          <cell r="B4459">
            <v>541</v>
          </cell>
          <cell r="D4459" t="str">
            <v>가. 재료비</v>
          </cell>
          <cell r="E4459">
            <v>0</v>
          </cell>
          <cell r="F4459">
            <v>0</v>
          </cell>
          <cell r="AM4459">
            <v>0</v>
          </cell>
          <cell r="AN4459">
            <v>0</v>
          </cell>
        </row>
        <row r="4460">
          <cell r="A4460" t="str">
            <v>158-2</v>
          </cell>
          <cell r="B4460">
            <v>125</v>
          </cell>
          <cell r="D4460" t="str">
            <v>HFC 케이블</v>
          </cell>
          <cell r="E4460" t="str">
            <v>HFC-12D</v>
          </cell>
          <cell r="F4460" t="str">
            <v>m</v>
          </cell>
          <cell r="H4460">
            <v>1</v>
          </cell>
          <cell r="I4460" t="str">
            <v>x</v>
          </cell>
          <cell r="J4460">
            <v>1</v>
          </cell>
          <cell r="K4460" t="str">
            <v>x</v>
          </cell>
          <cell r="L4460" t="str">
            <v>(</v>
          </cell>
          <cell r="M4460">
            <v>1</v>
          </cell>
          <cell r="N4460" t="str">
            <v>+</v>
          </cell>
          <cell r="O4460">
            <v>0.03</v>
          </cell>
          <cell r="P4460" t="str">
            <v>)</v>
          </cell>
          <cell r="V4460" t="str">
            <v>=</v>
          </cell>
          <cell r="W4460">
            <v>1.03</v>
          </cell>
          <cell r="Y4460" t="str">
            <v>기본</v>
          </cell>
          <cell r="Z4460" t="str">
            <v>x</v>
          </cell>
          <cell r="AA4460" t="str">
            <v>단위량</v>
          </cell>
          <cell r="AB4460" t="str">
            <v>x</v>
          </cell>
          <cell r="AC4460" t="str">
            <v>(</v>
          </cell>
          <cell r="AD4460">
            <v>1</v>
          </cell>
          <cell r="AE4460" t="str">
            <v>+</v>
          </cell>
          <cell r="AF4460" t="str">
            <v>할증</v>
          </cell>
          <cell r="AG4460" t="str">
            <v>)</v>
          </cell>
          <cell r="AL4460">
            <v>0</v>
          </cell>
          <cell r="AM4460">
            <v>6880</v>
          </cell>
          <cell r="AN4460">
            <v>0</v>
          </cell>
        </row>
        <row r="4461">
          <cell r="A4461" t="str">
            <v>158-3</v>
          </cell>
          <cell r="B4461">
            <v>700</v>
          </cell>
          <cell r="D4461" t="str">
            <v>잡재료비</v>
          </cell>
          <cell r="E4461" t="str">
            <v>재료비의2%</v>
          </cell>
          <cell r="F4461" t="str">
            <v>식</v>
          </cell>
          <cell r="V4461" t="str">
            <v>=</v>
          </cell>
          <cell r="W4461">
            <v>1</v>
          </cell>
          <cell r="Y4461" t="str">
            <v>기본</v>
          </cell>
          <cell r="AM4461">
            <v>0</v>
          </cell>
        </row>
        <row r="4462">
          <cell r="A4462" t="str">
            <v>158-4</v>
          </cell>
          <cell r="B4462">
            <v>542</v>
          </cell>
          <cell r="D4462" t="str">
            <v>나. 노무비</v>
          </cell>
          <cell r="E4462">
            <v>0</v>
          </cell>
          <cell r="F4462">
            <v>0</v>
          </cell>
          <cell r="AM4462">
            <v>0</v>
          </cell>
          <cell r="AN4462">
            <v>0</v>
          </cell>
        </row>
        <row r="4463">
          <cell r="B4463">
            <v>516</v>
          </cell>
          <cell r="D4463" t="str">
            <v>통신외선공</v>
          </cell>
          <cell r="E4463">
            <v>0</v>
          </cell>
          <cell r="F4463" t="str">
            <v>인</v>
          </cell>
          <cell r="H4463">
            <v>0.01</v>
          </cell>
          <cell r="I4463" t="str">
            <v>x</v>
          </cell>
          <cell r="J4463">
            <v>1</v>
          </cell>
          <cell r="V4463" t="str">
            <v>=</v>
          </cell>
          <cell r="W4463">
            <v>0.01</v>
          </cell>
          <cell r="Y4463" t="str">
            <v>기본</v>
          </cell>
          <cell r="AL4463" t="str">
            <v>통5-85-다</v>
          </cell>
          <cell r="AM4463">
            <v>90961</v>
          </cell>
          <cell r="AN4463">
            <v>0</v>
          </cell>
        </row>
        <row r="4464">
          <cell r="B4464">
            <v>520</v>
          </cell>
          <cell r="D4464" t="str">
            <v>무선안테나공</v>
          </cell>
          <cell r="E4464">
            <v>0</v>
          </cell>
          <cell r="F4464" t="str">
            <v>인</v>
          </cell>
          <cell r="H4464">
            <v>0.01</v>
          </cell>
          <cell r="I4464" t="str">
            <v>x</v>
          </cell>
          <cell r="J4464">
            <v>1</v>
          </cell>
          <cell r="V4464" t="str">
            <v>=</v>
          </cell>
          <cell r="W4464">
            <v>0.01</v>
          </cell>
          <cell r="Y4464" t="str">
            <v>기본</v>
          </cell>
          <cell r="AM4464">
            <v>95000</v>
          </cell>
          <cell r="AN4464">
            <v>0</v>
          </cell>
        </row>
        <row r="4465">
          <cell r="B4465">
            <v>523</v>
          </cell>
          <cell r="D4465" t="str">
            <v>보통인부</v>
          </cell>
          <cell r="E4465">
            <v>0</v>
          </cell>
          <cell r="F4465" t="str">
            <v>인</v>
          </cell>
          <cell r="H4465">
            <v>0.01</v>
          </cell>
          <cell r="I4465" t="str">
            <v>x</v>
          </cell>
          <cell r="J4465">
            <v>1</v>
          </cell>
          <cell r="V4465" t="str">
            <v>=</v>
          </cell>
          <cell r="W4465">
            <v>0.01</v>
          </cell>
          <cell r="Y4465" t="str">
            <v>기본</v>
          </cell>
          <cell r="AM4465">
            <v>40922</v>
          </cell>
          <cell r="AN4465">
            <v>0</v>
          </cell>
        </row>
        <row r="4466">
          <cell r="B4466">
            <v>544</v>
          </cell>
          <cell r="D4466" t="str">
            <v>소    계</v>
          </cell>
          <cell r="E4466">
            <v>0</v>
          </cell>
          <cell r="F4466">
            <v>0</v>
          </cell>
          <cell r="AM4466">
            <v>0</v>
          </cell>
          <cell r="AN4466">
            <v>0</v>
          </cell>
        </row>
        <row r="4467">
          <cell r="A4467" t="str">
            <v>158-5</v>
          </cell>
          <cell r="B4467">
            <v>516</v>
          </cell>
          <cell r="D4467" t="str">
            <v>통신외선공</v>
          </cell>
          <cell r="E4467">
            <v>0</v>
          </cell>
          <cell r="F4467" t="str">
            <v>인</v>
          </cell>
          <cell r="V4467" t="str">
            <v>=</v>
          </cell>
          <cell r="W4467">
            <v>0.01</v>
          </cell>
          <cell r="AM4467">
            <v>90961</v>
          </cell>
          <cell r="AN4467">
            <v>0</v>
          </cell>
        </row>
        <row r="4468">
          <cell r="A4468" t="str">
            <v>158-6</v>
          </cell>
          <cell r="B4468">
            <v>520</v>
          </cell>
          <cell r="D4468" t="str">
            <v>무선안테나공</v>
          </cell>
          <cell r="E4468">
            <v>0</v>
          </cell>
          <cell r="F4468" t="str">
            <v>인</v>
          </cell>
          <cell r="V4468" t="str">
            <v>=</v>
          </cell>
          <cell r="W4468">
            <v>0.01</v>
          </cell>
          <cell r="AM4468">
            <v>95000</v>
          </cell>
          <cell r="AN4468">
            <v>0</v>
          </cell>
        </row>
        <row r="4469">
          <cell r="A4469" t="str">
            <v>158-7</v>
          </cell>
          <cell r="B4469">
            <v>523</v>
          </cell>
          <cell r="D4469" t="str">
            <v>보통인부</v>
          </cell>
          <cell r="E4469">
            <v>0</v>
          </cell>
          <cell r="F4469" t="str">
            <v>인</v>
          </cell>
          <cell r="V4469" t="str">
            <v>=</v>
          </cell>
          <cell r="W4469">
            <v>0.01</v>
          </cell>
          <cell r="AM4469">
            <v>40922</v>
          </cell>
          <cell r="AN4469">
            <v>0</v>
          </cell>
        </row>
        <row r="4470">
          <cell r="A4470" t="str">
            <v>158-8</v>
          </cell>
          <cell r="B4470">
            <v>543</v>
          </cell>
          <cell r="D4470" t="str">
            <v>다. 공구손료</v>
          </cell>
          <cell r="E4470" t="str">
            <v>노무비x3%</v>
          </cell>
          <cell r="F4470">
            <v>0</v>
          </cell>
          <cell r="AM4470">
            <v>0</v>
          </cell>
          <cell r="AN4470">
            <v>0</v>
          </cell>
        </row>
        <row r="4471">
          <cell r="A4471" t="str">
            <v>158-9</v>
          </cell>
          <cell r="B4471">
            <v>516</v>
          </cell>
          <cell r="D4471" t="str">
            <v>통신외선공</v>
          </cell>
          <cell r="E4471">
            <v>0</v>
          </cell>
          <cell r="F4471" t="str">
            <v>인</v>
          </cell>
          <cell r="H4471">
            <v>0.01</v>
          </cell>
          <cell r="I4471" t="str">
            <v>x</v>
          </cell>
          <cell r="J4471">
            <v>0.03</v>
          </cell>
          <cell r="V4471" t="str">
            <v>=</v>
          </cell>
          <cell r="W4471" t="str">
            <v>0</v>
          </cell>
          <cell r="Y4471" t="str">
            <v>기본</v>
          </cell>
          <cell r="Z4471" t="str">
            <v>x</v>
          </cell>
          <cell r="AA4471" t="str">
            <v>공구손료</v>
          </cell>
          <cell r="AM4471">
            <v>90961</v>
          </cell>
          <cell r="AN4471">
            <v>0</v>
          </cell>
        </row>
        <row r="4472">
          <cell r="A4472" t="str">
            <v>158-10</v>
          </cell>
          <cell r="B4472">
            <v>520</v>
          </cell>
          <cell r="D4472" t="str">
            <v>무선안테나공</v>
          </cell>
          <cell r="E4472">
            <v>0</v>
          </cell>
          <cell r="F4472" t="str">
            <v>인</v>
          </cell>
          <cell r="H4472">
            <v>0.01</v>
          </cell>
          <cell r="I4472" t="str">
            <v>x</v>
          </cell>
          <cell r="J4472">
            <v>0.03</v>
          </cell>
          <cell r="V4472" t="str">
            <v>=</v>
          </cell>
          <cell r="W4472" t="str">
            <v>0</v>
          </cell>
          <cell r="Y4472" t="str">
            <v>기본</v>
          </cell>
          <cell r="Z4472" t="str">
            <v>x</v>
          </cell>
          <cell r="AA4472" t="str">
            <v>공구손료</v>
          </cell>
          <cell r="AM4472">
            <v>95000</v>
          </cell>
          <cell r="AN4472">
            <v>0</v>
          </cell>
        </row>
        <row r="4473">
          <cell r="A4473" t="str">
            <v>158-11</v>
          </cell>
          <cell r="B4473">
            <v>523</v>
          </cell>
          <cell r="D4473" t="str">
            <v>보통인부</v>
          </cell>
          <cell r="E4473">
            <v>0</v>
          </cell>
          <cell r="F4473" t="str">
            <v>인</v>
          </cell>
          <cell r="H4473">
            <v>0.01</v>
          </cell>
          <cell r="I4473" t="str">
            <v>x</v>
          </cell>
          <cell r="J4473">
            <v>0.03</v>
          </cell>
          <cell r="V4473" t="str">
            <v>=</v>
          </cell>
          <cell r="W4473" t="str">
            <v>0</v>
          </cell>
          <cell r="Y4473" t="str">
            <v>기본</v>
          </cell>
          <cell r="Z4473" t="str">
            <v>x</v>
          </cell>
          <cell r="AA4473" t="str">
            <v>공구손료</v>
          </cell>
          <cell r="AM4473">
            <v>40922</v>
          </cell>
          <cell r="AN4473">
            <v>0</v>
          </cell>
        </row>
        <row r="4474">
          <cell r="AM4474">
            <v>0</v>
          </cell>
          <cell r="AN4474">
            <v>0</v>
          </cell>
        </row>
        <row r="4475">
          <cell r="AM4475">
            <v>0</v>
          </cell>
          <cell r="AN4475">
            <v>0</v>
          </cell>
        </row>
        <row r="4476">
          <cell r="AM4476">
            <v>0</v>
          </cell>
          <cell r="AN4476">
            <v>0</v>
          </cell>
        </row>
        <row r="4477">
          <cell r="AM4477">
            <v>0</v>
          </cell>
        </row>
        <row r="4478">
          <cell r="AM4478">
            <v>0</v>
          </cell>
        </row>
        <row r="4479">
          <cell r="AM4479">
            <v>0</v>
          </cell>
        </row>
        <row r="4480">
          <cell r="AM4480">
            <v>0</v>
          </cell>
        </row>
        <row r="4481">
          <cell r="AM4481">
            <v>0</v>
          </cell>
        </row>
        <row r="4482">
          <cell r="AM4482">
            <v>0</v>
          </cell>
          <cell r="AN4482">
            <v>0</v>
          </cell>
        </row>
        <row r="4483">
          <cell r="AM4483">
            <v>0</v>
          </cell>
          <cell r="AN4483">
            <v>0</v>
          </cell>
        </row>
        <row r="4484">
          <cell r="AM4484">
            <v>0</v>
          </cell>
          <cell r="AN4484">
            <v>0</v>
          </cell>
        </row>
        <row r="4485">
          <cell r="A4485">
            <v>159</v>
          </cell>
          <cell r="C4485">
            <v>159</v>
          </cell>
          <cell r="D4485" t="str">
            <v>동축케이블포설(지하)</v>
          </cell>
          <cell r="E4485" t="str">
            <v>HFC-12D</v>
          </cell>
          <cell r="F4485" t="str">
            <v>m</v>
          </cell>
          <cell r="AM4485">
            <v>0</v>
          </cell>
          <cell r="AN4485">
            <v>0</v>
          </cell>
        </row>
        <row r="4486">
          <cell r="A4486" t="str">
            <v>159-1</v>
          </cell>
          <cell r="B4486">
            <v>541</v>
          </cell>
          <cell r="D4486" t="str">
            <v>가. 재료비</v>
          </cell>
          <cell r="E4486">
            <v>0</v>
          </cell>
          <cell r="F4486">
            <v>0</v>
          </cell>
          <cell r="AM4486">
            <v>0</v>
          </cell>
          <cell r="AN4486">
            <v>0</v>
          </cell>
        </row>
        <row r="4487">
          <cell r="A4487" t="str">
            <v>159-2</v>
          </cell>
          <cell r="B4487">
            <v>125</v>
          </cell>
          <cell r="D4487" t="str">
            <v>HFC 케이블</v>
          </cell>
          <cell r="E4487" t="str">
            <v>HFC-12D</v>
          </cell>
          <cell r="F4487" t="str">
            <v>m</v>
          </cell>
          <cell r="H4487">
            <v>1</v>
          </cell>
          <cell r="I4487" t="str">
            <v>x</v>
          </cell>
          <cell r="J4487">
            <v>1</v>
          </cell>
          <cell r="K4487" t="str">
            <v>x</v>
          </cell>
          <cell r="L4487" t="str">
            <v>(</v>
          </cell>
          <cell r="M4487">
            <v>1</v>
          </cell>
          <cell r="N4487" t="str">
            <v>+</v>
          </cell>
          <cell r="O4487">
            <v>0.03</v>
          </cell>
          <cell r="P4487" t="str">
            <v>)</v>
          </cell>
          <cell r="V4487" t="str">
            <v>=</v>
          </cell>
          <cell r="W4487">
            <v>1.03</v>
          </cell>
          <cell r="Y4487" t="str">
            <v>기본</v>
          </cell>
          <cell r="Z4487" t="str">
            <v>x</v>
          </cell>
          <cell r="AA4487" t="str">
            <v>단위량</v>
          </cell>
          <cell r="AB4487" t="str">
            <v>x</v>
          </cell>
          <cell r="AC4487" t="str">
            <v>(</v>
          </cell>
          <cell r="AD4487">
            <v>1</v>
          </cell>
          <cell r="AE4487" t="str">
            <v>+</v>
          </cell>
          <cell r="AF4487" t="str">
            <v>할증</v>
          </cell>
          <cell r="AG4487" t="str">
            <v>)</v>
          </cell>
          <cell r="AL4487">
            <v>0</v>
          </cell>
          <cell r="AM4487">
            <v>6880</v>
          </cell>
          <cell r="AN4487">
            <v>0</v>
          </cell>
        </row>
        <row r="4488">
          <cell r="A4488" t="str">
            <v>159-3</v>
          </cell>
          <cell r="B4488">
            <v>700</v>
          </cell>
          <cell r="D4488" t="str">
            <v>잡재료비</v>
          </cell>
          <cell r="E4488" t="str">
            <v>재료비의2%</v>
          </cell>
          <cell r="F4488" t="str">
            <v>식</v>
          </cell>
          <cell r="V4488" t="str">
            <v>=</v>
          </cell>
          <cell r="W4488">
            <v>1</v>
          </cell>
          <cell r="Y4488" t="str">
            <v>기본</v>
          </cell>
          <cell r="AM4488">
            <v>0</v>
          </cell>
        </row>
        <row r="4489">
          <cell r="A4489" t="str">
            <v>159-4</v>
          </cell>
          <cell r="B4489">
            <v>542</v>
          </cell>
          <cell r="D4489" t="str">
            <v>나. 노무비</v>
          </cell>
          <cell r="E4489">
            <v>0</v>
          </cell>
          <cell r="F4489">
            <v>0</v>
          </cell>
          <cell r="AM4489">
            <v>0</v>
          </cell>
          <cell r="AN4489">
            <v>0</v>
          </cell>
        </row>
        <row r="4490">
          <cell r="B4490">
            <v>516</v>
          </cell>
          <cell r="D4490" t="str">
            <v>통신외선공</v>
          </cell>
          <cell r="E4490">
            <v>0</v>
          </cell>
          <cell r="F4490" t="str">
            <v>인</v>
          </cell>
          <cell r="H4490">
            <v>0.01</v>
          </cell>
          <cell r="I4490" t="str">
            <v>x</v>
          </cell>
          <cell r="J4490">
            <v>1</v>
          </cell>
          <cell r="K4490" t="str">
            <v>x</v>
          </cell>
          <cell r="L4490" t="str">
            <v>(</v>
          </cell>
          <cell r="M4490">
            <v>1</v>
          </cell>
          <cell r="N4490" t="str">
            <v>+</v>
          </cell>
          <cell r="O4490">
            <v>0.02</v>
          </cell>
          <cell r="P4490" t="str">
            <v>)</v>
          </cell>
          <cell r="V4490" t="str">
            <v>=</v>
          </cell>
          <cell r="W4490">
            <v>0.01</v>
          </cell>
          <cell r="Y4490" t="str">
            <v>기본</v>
          </cell>
          <cell r="Z4490" t="str">
            <v>x</v>
          </cell>
          <cell r="AA4490" t="str">
            <v>단위량</v>
          </cell>
          <cell r="AB4490" t="str">
            <v>x</v>
          </cell>
          <cell r="AC4490" t="str">
            <v>(</v>
          </cell>
          <cell r="AD4490">
            <v>1</v>
          </cell>
          <cell r="AE4490" t="str">
            <v>+</v>
          </cell>
          <cell r="AF4490" t="str">
            <v>할증</v>
          </cell>
          <cell r="AG4490" t="str">
            <v>)</v>
          </cell>
          <cell r="AL4490" t="str">
            <v>통5-85-다(지하)</v>
          </cell>
          <cell r="AM4490">
            <v>90961</v>
          </cell>
          <cell r="AN4490">
            <v>0</v>
          </cell>
        </row>
        <row r="4491">
          <cell r="B4491">
            <v>520</v>
          </cell>
          <cell r="D4491" t="str">
            <v>무선안테나공</v>
          </cell>
          <cell r="E4491">
            <v>0</v>
          </cell>
          <cell r="F4491" t="str">
            <v>인</v>
          </cell>
          <cell r="H4491">
            <v>0.01</v>
          </cell>
          <cell r="I4491" t="str">
            <v>x</v>
          </cell>
          <cell r="J4491">
            <v>1</v>
          </cell>
          <cell r="K4491" t="str">
            <v>x</v>
          </cell>
          <cell r="L4491" t="str">
            <v>(</v>
          </cell>
          <cell r="M4491">
            <v>1</v>
          </cell>
          <cell r="N4491" t="str">
            <v>+</v>
          </cell>
          <cell r="O4491">
            <v>0.02</v>
          </cell>
          <cell r="P4491" t="str">
            <v>)</v>
          </cell>
          <cell r="V4491" t="str">
            <v>=</v>
          </cell>
          <cell r="W4491">
            <v>0.01</v>
          </cell>
          <cell r="Y4491" t="str">
            <v>기본</v>
          </cell>
          <cell r="Z4491" t="str">
            <v>x</v>
          </cell>
          <cell r="AA4491" t="str">
            <v>단위량</v>
          </cell>
          <cell r="AB4491" t="str">
            <v>x</v>
          </cell>
          <cell r="AC4491" t="str">
            <v>(</v>
          </cell>
          <cell r="AD4491">
            <v>1</v>
          </cell>
          <cell r="AE4491" t="str">
            <v>+</v>
          </cell>
          <cell r="AF4491" t="str">
            <v>할증</v>
          </cell>
          <cell r="AG4491" t="str">
            <v>)</v>
          </cell>
          <cell r="AM4491">
            <v>95000</v>
          </cell>
          <cell r="AN4491">
            <v>0</v>
          </cell>
        </row>
        <row r="4492">
          <cell r="B4492">
            <v>523</v>
          </cell>
          <cell r="D4492" t="str">
            <v>보통인부</v>
          </cell>
          <cell r="E4492">
            <v>0</v>
          </cell>
          <cell r="F4492" t="str">
            <v>인</v>
          </cell>
          <cell r="H4492">
            <v>0.01</v>
          </cell>
          <cell r="I4492" t="str">
            <v>x</v>
          </cell>
          <cell r="J4492">
            <v>1</v>
          </cell>
          <cell r="K4492" t="str">
            <v>x</v>
          </cell>
          <cell r="L4492" t="str">
            <v>(</v>
          </cell>
          <cell r="M4492">
            <v>1</v>
          </cell>
          <cell r="N4492" t="str">
            <v>+</v>
          </cell>
          <cell r="O4492">
            <v>0.02</v>
          </cell>
          <cell r="P4492" t="str">
            <v>)</v>
          </cell>
          <cell r="V4492" t="str">
            <v>=</v>
          </cell>
          <cell r="W4492">
            <v>0.01</v>
          </cell>
          <cell r="Y4492" t="str">
            <v>기본</v>
          </cell>
          <cell r="Z4492" t="str">
            <v>x</v>
          </cell>
          <cell r="AA4492" t="str">
            <v>단위량</v>
          </cell>
          <cell r="AB4492" t="str">
            <v>x</v>
          </cell>
          <cell r="AC4492" t="str">
            <v>(</v>
          </cell>
          <cell r="AD4492">
            <v>1</v>
          </cell>
          <cell r="AE4492" t="str">
            <v>+</v>
          </cell>
          <cell r="AF4492" t="str">
            <v>할증</v>
          </cell>
          <cell r="AG4492" t="str">
            <v>)</v>
          </cell>
          <cell r="AM4492">
            <v>40922</v>
          </cell>
          <cell r="AN4492">
            <v>0</v>
          </cell>
        </row>
        <row r="4493">
          <cell r="B4493">
            <v>544</v>
          </cell>
          <cell r="D4493" t="str">
            <v>소    계</v>
          </cell>
          <cell r="E4493">
            <v>0</v>
          </cell>
          <cell r="F4493">
            <v>0</v>
          </cell>
          <cell r="AM4493">
            <v>0</v>
          </cell>
          <cell r="AN4493">
            <v>0</v>
          </cell>
        </row>
        <row r="4494">
          <cell r="A4494" t="str">
            <v>159-5</v>
          </cell>
          <cell r="B4494">
            <v>516</v>
          </cell>
          <cell r="D4494" t="str">
            <v>통신외선공</v>
          </cell>
          <cell r="E4494">
            <v>0</v>
          </cell>
          <cell r="F4494" t="str">
            <v>인</v>
          </cell>
          <cell r="V4494" t="str">
            <v>=</v>
          </cell>
          <cell r="W4494">
            <v>0.01</v>
          </cell>
          <cell r="AM4494">
            <v>90961</v>
          </cell>
          <cell r="AN4494">
            <v>0</v>
          </cell>
        </row>
        <row r="4495">
          <cell r="A4495" t="str">
            <v>159-6</v>
          </cell>
          <cell r="B4495">
            <v>520</v>
          </cell>
          <cell r="D4495" t="str">
            <v>무선안테나공</v>
          </cell>
          <cell r="E4495">
            <v>0</v>
          </cell>
          <cell r="F4495" t="str">
            <v>인</v>
          </cell>
          <cell r="V4495" t="str">
            <v>=</v>
          </cell>
          <cell r="W4495">
            <v>0.01</v>
          </cell>
          <cell r="AM4495">
            <v>95000</v>
          </cell>
          <cell r="AN4495">
            <v>0</v>
          </cell>
        </row>
        <row r="4496">
          <cell r="A4496" t="str">
            <v>159-7</v>
          </cell>
          <cell r="B4496">
            <v>523</v>
          </cell>
          <cell r="D4496" t="str">
            <v>보통인부</v>
          </cell>
          <cell r="E4496">
            <v>0</v>
          </cell>
          <cell r="F4496" t="str">
            <v>인</v>
          </cell>
          <cell r="V4496" t="str">
            <v>=</v>
          </cell>
          <cell r="W4496">
            <v>0.01</v>
          </cell>
          <cell r="AM4496">
            <v>40922</v>
          </cell>
          <cell r="AN4496">
            <v>0</v>
          </cell>
        </row>
        <row r="4497">
          <cell r="A4497" t="str">
            <v>159-8</v>
          </cell>
          <cell r="B4497">
            <v>543</v>
          </cell>
          <cell r="D4497" t="str">
            <v>다. 공구손료</v>
          </cell>
          <cell r="E4497" t="str">
            <v>노무비x3%</v>
          </cell>
          <cell r="F4497">
            <v>0</v>
          </cell>
          <cell r="AM4497">
            <v>0</v>
          </cell>
          <cell r="AN4497">
            <v>0</v>
          </cell>
        </row>
        <row r="4498">
          <cell r="A4498" t="str">
            <v>159-9</v>
          </cell>
          <cell r="B4498">
            <v>516</v>
          </cell>
          <cell r="D4498" t="str">
            <v>통신외선공</v>
          </cell>
          <cell r="E4498">
            <v>0</v>
          </cell>
          <cell r="F4498" t="str">
            <v>인</v>
          </cell>
          <cell r="H4498">
            <v>0.01</v>
          </cell>
          <cell r="I4498" t="str">
            <v>x</v>
          </cell>
          <cell r="J4498">
            <v>0.03</v>
          </cell>
          <cell r="V4498" t="str">
            <v>=</v>
          </cell>
          <cell r="W4498" t="str">
            <v>0</v>
          </cell>
          <cell r="Y4498" t="str">
            <v>기본</v>
          </cell>
          <cell r="Z4498" t="str">
            <v>x</v>
          </cell>
          <cell r="AA4498" t="str">
            <v>공구손료</v>
          </cell>
          <cell r="AM4498">
            <v>90961</v>
          </cell>
          <cell r="AN4498">
            <v>0</v>
          </cell>
        </row>
        <row r="4499">
          <cell r="A4499" t="str">
            <v>159-10</v>
          </cell>
          <cell r="B4499">
            <v>520</v>
          </cell>
          <cell r="D4499" t="str">
            <v>무선안테나공</v>
          </cell>
          <cell r="E4499">
            <v>0</v>
          </cell>
          <cell r="F4499" t="str">
            <v>인</v>
          </cell>
          <cell r="H4499">
            <v>0.01</v>
          </cell>
          <cell r="I4499" t="str">
            <v>x</v>
          </cell>
          <cell r="J4499">
            <v>0.03</v>
          </cell>
          <cell r="V4499" t="str">
            <v>=</v>
          </cell>
          <cell r="W4499" t="str">
            <v>0</v>
          </cell>
          <cell r="Y4499" t="str">
            <v>기본</v>
          </cell>
          <cell r="Z4499" t="str">
            <v>x</v>
          </cell>
          <cell r="AA4499" t="str">
            <v>공구손료</v>
          </cell>
          <cell r="AM4499">
            <v>95000</v>
          </cell>
          <cell r="AN4499">
            <v>0</v>
          </cell>
        </row>
        <row r="4500">
          <cell r="A4500" t="str">
            <v>159-11</v>
          </cell>
          <cell r="B4500">
            <v>523</v>
          </cell>
          <cell r="D4500" t="str">
            <v>보통인부</v>
          </cell>
          <cell r="E4500">
            <v>0</v>
          </cell>
          <cell r="F4500" t="str">
            <v>인</v>
          </cell>
          <cell r="H4500">
            <v>0.01</v>
          </cell>
          <cell r="I4500" t="str">
            <v>x</v>
          </cell>
          <cell r="J4500">
            <v>0.03</v>
          </cell>
          <cell r="V4500" t="str">
            <v>=</v>
          </cell>
          <cell r="W4500" t="str">
            <v>0</v>
          </cell>
          <cell r="Y4500" t="str">
            <v>기본</v>
          </cell>
          <cell r="Z4500" t="str">
            <v>x</v>
          </cell>
          <cell r="AA4500" t="str">
            <v>공구손료</v>
          </cell>
          <cell r="AM4500">
            <v>40922</v>
          </cell>
          <cell r="AN4500">
            <v>0</v>
          </cell>
        </row>
        <row r="4501">
          <cell r="AM4501">
            <v>0</v>
          </cell>
          <cell r="AN4501">
            <v>0</v>
          </cell>
        </row>
        <row r="4502">
          <cell r="AM4502">
            <v>0</v>
          </cell>
          <cell r="AN4502">
            <v>0</v>
          </cell>
        </row>
        <row r="4503">
          <cell r="AM4503">
            <v>0</v>
          </cell>
          <cell r="AN4503">
            <v>0</v>
          </cell>
        </row>
        <row r="4504">
          <cell r="AM4504">
            <v>0</v>
          </cell>
        </row>
        <row r="4505">
          <cell r="AM4505">
            <v>0</v>
          </cell>
        </row>
        <row r="4506">
          <cell r="AM4506">
            <v>0</v>
          </cell>
        </row>
        <row r="4507">
          <cell r="AM4507">
            <v>0</v>
          </cell>
        </row>
        <row r="4508">
          <cell r="AM4508">
            <v>0</v>
          </cell>
        </row>
        <row r="4509">
          <cell r="AM4509">
            <v>0</v>
          </cell>
          <cell r="AN4509">
            <v>0</v>
          </cell>
        </row>
        <row r="4510">
          <cell r="AM4510">
            <v>0</v>
          </cell>
          <cell r="AN4510">
            <v>0</v>
          </cell>
        </row>
        <row r="4511">
          <cell r="AM4511">
            <v>0</v>
          </cell>
        </row>
      </sheetData>
      <sheetData sheetId="3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기초자료"/>
      <sheetName val="여과지동"/>
      <sheetName val="수량산출서(취수장)"/>
      <sheetName val="취수장"/>
      <sheetName val="수량산출서(여과지)"/>
      <sheetName val="근거서"/>
      <sheetName val="내역서"/>
      <sheetName val="남양내역"/>
      <sheetName val="코드표"/>
      <sheetName val="I一般比"/>
      <sheetName val="원가서"/>
      <sheetName val="물가대비표"/>
      <sheetName val="요율"/>
      <sheetName val="일위대가"/>
      <sheetName val="기초입력 DATA"/>
      <sheetName val="48단가"/>
      <sheetName val="투찰금액"/>
      <sheetName val="자재단가"/>
      <sheetName val="일위대가(가설)"/>
      <sheetName val="파이프류"/>
      <sheetName val="수량산출"/>
      <sheetName val="날개벽수량표"/>
      <sheetName val="암거"/>
      <sheetName val="XL4Poppy"/>
      <sheetName val="포장공"/>
      <sheetName val="배수공"/>
      <sheetName val="Sheet1"/>
      <sheetName val="경영상태"/>
      <sheetName val="샘플표지"/>
      <sheetName val="내역서적용"/>
      <sheetName val="전기단가조사서"/>
      <sheetName val="견적대비"/>
      <sheetName val="내역표지"/>
      <sheetName val="집계표"/>
      <sheetName val="단가 "/>
      <sheetName val="가격조사서"/>
      <sheetName val="9509"/>
      <sheetName val="기계경비및산출근거서"/>
      <sheetName val="MOTOR"/>
      <sheetName val="연습"/>
      <sheetName val="내역"/>
      <sheetName val="일위대가(1)"/>
      <sheetName val="신우"/>
      <sheetName val="공사개요"/>
      <sheetName val="Y-WORK"/>
      <sheetName val="DATE"/>
      <sheetName val="data"/>
      <sheetName val="출장내역"/>
      <sheetName val="견적서1"/>
      <sheetName val="직재"/>
      <sheetName val="일위"/>
      <sheetName val="대외공문"/>
      <sheetName val="빙장비사양"/>
      <sheetName val="대림산업"/>
      <sheetName val="9811"/>
      <sheetName val="일위_파일"/>
      <sheetName val="손익분석"/>
      <sheetName val="NEYOK"/>
      <sheetName val="실행내역"/>
      <sheetName val="기계경비(시간당)"/>
      <sheetName val="램머"/>
      <sheetName val="설비"/>
      <sheetName val="노임단가"/>
      <sheetName val="공문"/>
      <sheetName val="용수간선"/>
      <sheetName val="위치"/>
      <sheetName val="산출0"/>
      <sheetName val="단가산출"/>
      <sheetName val="간지"/>
      <sheetName val="총집계표"/>
      <sheetName val="북제주원가"/>
      <sheetName val="합천내역"/>
      <sheetName val="노임"/>
      <sheetName val="원가계산서"/>
      <sheetName val="대비"/>
      <sheetName val="단가"/>
      <sheetName val="9GNG운반"/>
      <sheetName val="s"/>
      <sheetName val="단가표"/>
      <sheetName val="건설성적"/>
      <sheetName val="차액보증"/>
      <sheetName val="지급자재"/>
      <sheetName val="금액"/>
      <sheetName val="#REF"/>
      <sheetName val="원본(갑지)"/>
      <sheetName val="단면치수"/>
      <sheetName val="DATA99"/>
      <sheetName val="내역(중앙)"/>
      <sheetName val="내역(창신)"/>
      <sheetName val="입찰안"/>
      <sheetName val="수량집계"/>
      <sheetName val="한강운반비"/>
      <sheetName val="자재"/>
      <sheetName val="bid"/>
      <sheetName val="배관배선 단가조사"/>
      <sheetName val="일위대가집계"/>
      <sheetName val="BJJIN"/>
      <sheetName val="주상도"/>
      <sheetName val="실행(1)"/>
      <sheetName val="설계명세서"/>
      <sheetName val="소요자재명세서"/>
      <sheetName val="제-노임"/>
      <sheetName val="제직재"/>
      <sheetName val="기안"/>
      <sheetName val="구분자"/>
      <sheetName val="단"/>
      <sheetName val="EQT-ESTN"/>
    </sheetNames>
    <sheetDataSet>
      <sheetData sheetId="0" refreshError="1">
        <row r="3">
          <cell r="A3">
            <v>1</v>
          </cell>
          <cell r="B3" t="str">
            <v>전선관</v>
          </cell>
          <cell r="C3" t="str">
            <v>ST  28C</v>
          </cell>
          <cell r="D3" t="str">
            <v>m</v>
          </cell>
          <cell r="S3" t="str">
            <v>내선</v>
          </cell>
          <cell r="T3">
            <v>0.14000000000000001</v>
          </cell>
        </row>
        <row r="4">
          <cell r="A4">
            <v>2</v>
          </cell>
          <cell r="B4" t="str">
            <v>전선관</v>
          </cell>
          <cell r="C4" t="str">
            <v>HI-PVC  16C</v>
          </cell>
          <cell r="D4" t="str">
            <v>m</v>
          </cell>
          <cell r="S4" t="str">
            <v>내선</v>
          </cell>
          <cell r="T4">
            <v>0.05</v>
          </cell>
        </row>
        <row r="5">
          <cell r="A5">
            <v>3</v>
          </cell>
          <cell r="B5" t="str">
            <v>전선관</v>
          </cell>
          <cell r="C5" t="str">
            <v>HI-PVC  22C</v>
          </cell>
          <cell r="D5" t="str">
            <v>m</v>
          </cell>
          <cell r="S5" t="str">
            <v>내선</v>
          </cell>
          <cell r="T5">
            <v>0.06</v>
          </cell>
        </row>
        <row r="6">
          <cell r="A6">
            <v>4</v>
          </cell>
          <cell r="B6" t="str">
            <v>전선관</v>
          </cell>
          <cell r="C6" t="str">
            <v>HI-PVC  28C</v>
          </cell>
          <cell r="D6" t="str">
            <v>m</v>
          </cell>
          <cell r="S6" t="str">
            <v>내선</v>
          </cell>
          <cell r="T6">
            <v>0.08</v>
          </cell>
        </row>
        <row r="7">
          <cell r="A7">
            <v>5</v>
          </cell>
          <cell r="B7" t="str">
            <v>전선관</v>
          </cell>
          <cell r="C7" t="str">
            <v>HI-PVC  36C</v>
          </cell>
          <cell r="D7" t="str">
            <v>m</v>
          </cell>
          <cell r="S7" t="str">
            <v>내선</v>
          </cell>
          <cell r="T7">
            <v>0.1</v>
          </cell>
        </row>
        <row r="8">
          <cell r="A8">
            <v>6</v>
          </cell>
          <cell r="B8" t="str">
            <v>전선관</v>
          </cell>
          <cell r="C8" t="str">
            <v xml:space="preserve">ELPφ40  </v>
          </cell>
          <cell r="D8" t="str">
            <v>m</v>
          </cell>
          <cell r="U8" t="str">
            <v>배전</v>
          </cell>
          <cell r="V8">
            <v>1.2E-2</v>
          </cell>
          <cell r="W8" t="str">
            <v>보인</v>
          </cell>
          <cell r="X8">
            <v>2.9000000000000001E-2</v>
          </cell>
        </row>
        <row r="9">
          <cell r="A9">
            <v>7</v>
          </cell>
          <cell r="B9" t="str">
            <v>전선관</v>
          </cell>
          <cell r="C9" t="str">
            <v xml:space="preserve">ELPφ50  </v>
          </cell>
          <cell r="D9" t="str">
            <v>m</v>
          </cell>
          <cell r="U9" t="str">
            <v>배전</v>
          </cell>
          <cell r="V9">
            <v>1.2E-2</v>
          </cell>
          <cell r="W9" t="str">
            <v>보인</v>
          </cell>
          <cell r="X9">
            <v>2.9000000000000001E-2</v>
          </cell>
        </row>
        <row r="10">
          <cell r="A10">
            <v>8</v>
          </cell>
          <cell r="B10" t="str">
            <v>노말 밴드</v>
          </cell>
          <cell r="C10" t="str">
            <v>HI-PVC  28C</v>
          </cell>
          <cell r="D10" t="str">
            <v>EA</v>
          </cell>
        </row>
        <row r="11">
          <cell r="A11">
            <v>9</v>
          </cell>
          <cell r="B11" t="str">
            <v>노말 밴드</v>
          </cell>
          <cell r="C11" t="str">
            <v>HI-PVC  36C</v>
          </cell>
          <cell r="D11" t="str">
            <v>EA</v>
          </cell>
        </row>
        <row r="12">
          <cell r="A12">
            <v>10</v>
          </cell>
          <cell r="B12" t="str">
            <v>노말 밴드</v>
          </cell>
          <cell r="C12" t="str">
            <v>ST  28C</v>
          </cell>
          <cell r="D12" t="str">
            <v>EA</v>
          </cell>
        </row>
        <row r="13">
          <cell r="A13">
            <v>11</v>
          </cell>
          <cell r="B13" t="str">
            <v xml:space="preserve">전선 </v>
          </cell>
          <cell r="C13" t="str">
            <v>IV   2.0</v>
          </cell>
          <cell r="D13" t="str">
            <v>m</v>
          </cell>
          <cell r="S13" t="str">
            <v>내선</v>
          </cell>
          <cell r="T13">
            <v>0.01</v>
          </cell>
        </row>
        <row r="14">
          <cell r="A14">
            <v>12</v>
          </cell>
          <cell r="B14" t="str">
            <v xml:space="preserve">전선 </v>
          </cell>
          <cell r="C14" t="str">
            <v>IV   5.5sq</v>
          </cell>
          <cell r="D14" t="str">
            <v>m</v>
          </cell>
          <cell r="S14" t="str">
            <v>내선</v>
          </cell>
          <cell r="T14">
            <v>0.01</v>
          </cell>
        </row>
        <row r="15">
          <cell r="A15">
            <v>13</v>
          </cell>
          <cell r="B15" t="str">
            <v xml:space="preserve">전선 </v>
          </cell>
          <cell r="C15" t="str">
            <v>GV   2.0sq</v>
          </cell>
          <cell r="D15" t="str">
            <v>m</v>
          </cell>
          <cell r="S15" t="str">
            <v>내선</v>
          </cell>
          <cell r="T15">
            <v>0.01</v>
          </cell>
        </row>
        <row r="16">
          <cell r="A16">
            <v>14</v>
          </cell>
          <cell r="B16" t="str">
            <v xml:space="preserve">전선 </v>
          </cell>
          <cell r="C16" t="str">
            <v>GV   3.5sq</v>
          </cell>
          <cell r="D16" t="str">
            <v>m</v>
          </cell>
          <cell r="S16" t="str">
            <v>내선</v>
          </cell>
          <cell r="T16">
            <v>0.01</v>
          </cell>
        </row>
        <row r="17">
          <cell r="A17">
            <v>15</v>
          </cell>
          <cell r="B17" t="str">
            <v xml:space="preserve">전선 </v>
          </cell>
          <cell r="C17" t="str">
            <v>HIV   1.2</v>
          </cell>
          <cell r="D17" t="str">
            <v>m</v>
          </cell>
          <cell r="S17" t="str">
            <v>내선</v>
          </cell>
          <cell r="T17">
            <v>0.01</v>
          </cell>
        </row>
        <row r="18">
          <cell r="A18">
            <v>16</v>
          </cell>
          <cell r="B18" t="str">
            <v xml:space="preserve">전선 </v>
          </cell>
          <cell r="C18" t="str">
            <v>HIV1.6</v>
          </cell>
          <cell r="D18" t="str">
            <v>m</v>
          </cell>
          <cell r="S18" t="str">
            <v>내선</v>
          </cell>
          <cell r="T18">
            <v>0.01</v>
          </cell>
        </row>
        <row r="19">
          <cell r="A19">
            <v>17</v>
          </cell>
          <cell r="B19" t="str">
            <v xml:space="preserve">전선 </v>
          </cell>
          <cell r="C19" t="str">
            <v>HIV   2.0</v>
          </cell>
          <cell r="D19" t="str">
            <v>m</v>
          </cell>
          <cell r="S19" t="str">
            <v>내선</v>
          </cell>
          <cell r="T19">
            <v>0.01</v>
          </cell>
        </row>
        <row r="20">
          <cell r="A20">
            <v>18</v>
          </cell>
          <cell r="B20" t="str">
            <v xml:space="preserve"> 케이블</v>
          </cell>
          <cell r="C20" t="str">
            <v>600V CV 5.5 sq/2C</v>
          </cell>
          <cell r="D20" t="str">
            <v>m</v>
          </cell>
          <cell r="S20" t="str">
            <v>저케</v>
          </cell>
          <cell r="T20">
            <v>1.7999999999999999E-2</v>
          </cell>
        </row>
        <row r="21">
          <cell r="A21">
            <v>19</v>
          </cell>
          <cell r="B21" t="str">
            <v xml:space="preserve"> 케이블</v>
          </cell>
          <cell r="C21" t="str">
            <v>600V CV 5.5 sq/4C</v>
          </cell>
          <cell r="D21" t="str">
            <v>m</v>
          </cell>
          <cell r="S21" t="str">
            <v>저케</v>
          </cell>
          <cell r="T21">
            <v>3.4000000000000002E-2</v>
          </cell>
        </row>
        <row r="22">
          <cell r="A22">
            <v>20</v>
          </cell>
          <cell r="B22" t="str">
            <v xml:space="preserve"> 케이블</v>
          </cell>
          <cell r="C22" t="str">
            <v>600V  CV8sq/2C</v>
          </cell>
          <cell r="D22" t="str">
            <v>m</v>
          </cell>
          <cell r="S22" t="str">
            <v>저케</v>
          </cell>
          <cell r="T22">
            <v>0.02</v>
          </cell>
        </row>
        <row r="23">
          <cell r="A23">
            <v>21</v>
          </cell>
          <cell r="B23" t="str">
            <v xml:space="preserve"> 케이블</v>
          </cell>
          <cell r="C23" t="str">
            <v>600V  CV8sq/4C</v>
          </cell>
          <cell r="D23" t="str">
            <v>m</v>
          </cell>
          <cell r="S23" t="str">
            <v>저케</v>
          </cell>
          <cell r="T23">
            <v>3.9E-2</v>
          </cell>
        </row>
        <row r="24">
          <cell r="A24">
            <v>22</v>
          </cell>
          <cell r="B24" t="str">
            <v xml:space="preserve"> 케이블</v>
          </cell>
          <cell r="C24" t="str">
            <v>CPEV 0.65/10P</v>
          </cell>
          <cell r="D24" t="str">
            <v>m</v>
          </cell>
          <cell r="S24" t="str">
            <v>통케</v>
          </cell>
          <cell r="T24">
            <v>1.7999999999999999E-2</v>
          </cell>
        </row>
        <row r="25">
          <cell r="A25">
            <v>23</v>
          </cell>
          <cell r="B25" t="str">
            <v xml:space="preserve"> 케이블</v>
          </cell>
          <cell r="C25" t="str">
            <v>CPEV 0.65/20P</v>
          </cell>
          <cell r="D25" t="str">
            <v>m</v>
          </cell>
          <cell r="S25" t="str">
            <v>통케</v>
          </cell>
          <cell r="T25">
            <v>2.1999999999999999E-2</v>
          </cell>
        </row>
        <row r="26">
          <cell r="A26">
            <v>24</v>
          </cell>
          <cell r="B26" t="str">
            <v xml:space="preserve"> 케이블</v>
          </cell>
          <cell r="C26" t="str">
            <v>CVV          2.0sq/3C</v>
          </cell>
          <cell r="D26" t="str">
            <v>m</v>
          </cell>
          <cell r="S26" t="str">
            <v>저케</v>
          </cell>
          <cell r="T26">
            <v>1.9E-2</v>
          </cell>
        </row>
        <row r="27">
          <cell r="A27">
            <v>25</v>
          </cell>
          <cell r="B27" t="str">
            <v xml:space="preserve"> 케이블</v>
          </cell>
          <cell r="C27" t="str">
            <v>CVV        2.0sq/15C</v>
          </cell>
          <cell r="D27" t="str">
            <v>m</v>
          </cell>
          <cell r="S27" t="str">
            <v>저케</v>
          </cell>
          <cell r="T27">
            <v>7.1999999999999995E-2</v>
          </cell>
        </row>
        <row r="28">
          <cell r="A28">
            <v>26</v>
          </cell>
          <cell r="B28" t="str">
            <v>Outlet Box</v>
          </cell>
          <cell r="C28" t="str">
            <v>4각 천정</v>
          </cell>
          <cell r="D28" t="str">
            <v>EA</v>
          </cell>
          <cell r="S28" t="str">
            <v>내선</v>
          </cell>
          <cell r="T28">
            <v>0.12</v>
          </cell>
        </row>
        <row r="29">
          <cell r="A29">
            <v>27</v>
          </cell>
          <cell r="B29" t="str">
            <v>Outlet Box</v>
          </cell>
          <cell r="C29" t="str">
            <v>4각벽부</v>
          </cell>
          <cell r="D29" t="str">
            <v>EA</v>
          </cell>
          <cell r="S29" t="str">
            <v>내선</v>
          </cell>
          <cell r="T29">
            <v>0.2</v>
          </cell>
        </row>
        <row r="30">
          <cell r="A30">
            <v>28</v>
          </cell>
          <cell r="B30" t="str">
            <v>Outlet Box</v>
          </cell>
          <cell r="C30" t="str">
            <v xml:space="preserve">  8 각</v>
          </cell>
          <cell r="D30" t="str">
            <v>EA</v>
          </cell>
          <cell r="S30" t="str">
            <v>내선</v>
          </cell>
          <cell r="T30">
            <v>0.12</v>
          </cell>
        </row>
        <row r="31">
          <cell r="A31">
            <v>29</v>
          </cell>
          <cell r="B31" t="str">
            <v>Outlet Box</v>
          </cell>
          <cell r="C31" t="str">
            <v>SW</v>
          </cell>
          <cell r="D31" t="str">
            <v>EA</v>
          </cell>
          <cell r="S31" t="str">
            <v>내선</v>
          </cell>
          <cell r="T31">
            <v>0.2</v>
          </cell>
        </row>
        <row r="32">
          <cell r="A32">
            <v>30</v>
          </cell>
          <cell r="B32" t="str">
            <v xml:space="preserve"> 콘  센  트   접지극부 </v>
          </cell>
          <cell r="C32" t="str">
            <v>1구용</v>
          </cell>
          <cell r="D32" t="str">
            <v>EA</v>
          </cell>
          <cell r="S32" t="str">
            <v>내선</v>
          </cell>
          <cell r="T32">
            <v>0.08</v>
          </cell>
        </row>
        <row r="33">
          <cell r="A33">
            <v>31</v>
          </cell>
          <cell r="B33" t="str">
            <v xml:space="preserve"> 콘  센  트   접지극부 </v>
          </cell>
          <cell r="C33" t="str">
            <v>1구방폭</v>
          </cell>
          <cell r="D33" t="str">
            <v>EA</v>
          </cell>
          <cell r="S33" t="str">
            <v>내선</v>
          </cell>
          <cell r="T33">
            <v>0.16</v>
          </cell>
        </row>
        <row r="34">
          <cell r="A34">
            <v>32</v>
          </cell>
          <cell r="B34" t="str">
            <v xml:space="preserve"> 콘  센  트   접지극부 </v>
          </cell>
          <cell r="C34" t="str">
            <v>1구방수</v>
          </cell>
          <cell r="D34" t="str">
            <v>EA</v>
          </cell>
          <cell r="S34" t="str">
            <v>내선</v>
          </cell>
          <cell r="T34">
            <v>0.08</v>
          </cell>
        </row>
        <row r="35">
          <cell r="A35">
            <v>33</v>
          </cell>
          <cell r="B35" t="str">
            <v xml:space="preserve"> 콘  센  트   접지극부 </v>
          </cell>
          <cell r="C35" t="str">
            <v>2구용</v>
          </cell>
          <cell r="D35" t="str">
            <v>EA</v>
          </cell>
          <cell r="S35" t="str">
            <v>내선</v>
          </cell>
          <cell r="T35">
            <v>0.08</v>
          </cell>
        </row>
        <row r="36">
          <cell r="A36">
            <v>34</v>
          </cell>
          <cell r="B36" t="str">
            <v xml:space="preserve"> 콘  센  트   접지극부 </v>
          </cell>
          <cell r="C36" t="str">
            <v>2구방폭</v>
          </cell>
          <cell r="D36" t="str">
            <v>EA</v>
          </cell>
          <cell r="S36" t="str">
            <v>내선</v>
          </cell>
          <cell r="T36">
            <v>0.16</v>
          </cell>
        </row>
        <row r="37">
          <cell r="A37">
            <v>35</v>
          </cell>
          <cell r="B37" t="str">
            <v xml:space="preserve"> 콘  센  트   접지극부 </v>
          </cell>
          <cell r="C37" t="str">
            <v>에어컨용</v>
          </cell>
          <cell r="D37" t="str">
            <v>EA</v>
          </cell>
          <cell r="S37" t="str">
            <v>내선</v>
          </cell>
          <cell r="T37">
            <v>0.08</v>
          </cell>
        </row>
        <row r="38">
          <cell r="A38">
            <v>36</v>
          </cell>
          <cell r="B38" t="str">
            <v xml:space="preserve"> 콘  센  트   접지극부 </v>
          </cell>
          <cell r="C38" t="str">
            <v>FAN용</v>
          </cell>
          <cell r="D38" t="str">
            <v>EA</v>
          </cell>
          <cell r="S38" t="str">
            <v>내선</v>
          </cell>
          <cell r="T38">
            <v>0.08</v>
          </cell>
        </row>
        <row r="39">
          <cell r="A39">
            <v>37</v>
          </cell>
          <cell r="B39" t="str">
            <v xml:space="preserve"> 콘  센  트   접지극부 </v>
          </cell>
          <cell r="C39" t="str">
            <v>3P 30A</v>
          </cell>
          <cell r="D39" t="str">
            <v>EA</v>
          </cell>
          <cell r="S39" t="str">
            <v>내선</v>
          </cell>
          <cell r="T39">
            <v>0.14499999999999999</v>
          </cell>
        </row>
        <row r="40">
          <cell r="A40">
            <v>38</v>
          </cell>
          <cell r="B40" t="str">
            <v>전화용 콘센트</v>
          </cell>
          <cell r="C40" t="str">
            <v>체신부규격4P</v>
          </cell>
          <cell r="D40" t="str">
            <v>EA</v>
          </cell>
          <cell r="S40" t="str">
            <v>통내</v>
          </cell>
          <cell r="T40">
            <v>7.0000000000000007E-2</v>
          </cell>
        </row>
        <row r="41">
          <cell r="A41">
            <v>39</v>
          </cell>
          <cell r="B41" t="str">
            <v>텀블러SW</v>
          </cell>
          <cell r="C41" t="str">
            <v>1로  1구</v>
          </cell>
          <cell r="D41" t="str">
            <v>EA</v>
          </cell>
          <cell r="S41" t="str">
            <v>내선</v>
          </cell>
          <cell r="T41">
            <v>6.5000000000000002E-2</v>
          </cell>
        </row>
        <row r="42">
          <cell r="A42">
            <v>40</v>
          </cell>
          <cell r="B42" t="str">
            <v>텀블러SW</v>
          </cell>
          <cell r="C42" t="str">
            <v>1로 1구방폭</v>
          </cell>
          <cell r="D42" t="str">
            <v>EA</v>
          </cell>
          <cell r="S42" t="str">
            <v>내선</v>
          </cell>
          <cell r="T42">
            <v>0.13</v>
          </cell>
        </row>
        <row r="43">
          <cell r="A43">
            <v>41</v>
          </cell>
          <cell r="B43" t="str">
            <v>텀블러SW</v>
          </cell>
          <cell r="C43" t="str">
            <v>1로  2구</v>
          </cell>
          <cell r="D43" t="str">
            <v>EA</v>
          </cell>
          <cell r="S43" t="str">
            <v>내선</v>
          </cell>
          <cell r="T43">
            <v>8.5000000000000006E-2</v>
          </cell>
        </row>
        <row r="44">
          <cell r="A44">
            <v>42</v>
          </cell>
          <cell r="B44" t="str">
            <v>텀블러SW</v>
          </cell>
          <cell r="C44" t="str">
            <v>1로 2구방폭</v>
          </cell>
          <cell r="D44" t="str">
            <v>EA</v>
          </cell>
          <cell r="S44" t="str">
            <v>내선</v>
          </cell>
          <cell r="T44">
            <v>0.17</v>
          </cell>
        </row>
        <row r="45">
          <cell r="A45">
            <v>43</v>
          </cell>
          <cell r="B45" t="str">
            <v>텀블러SW</v>
          </cell>
          <cell r="C45" t="str">
            <v>1로  3구</v>
          </cell>
          <cell r="D45" t="str">
            <v>EA</v>
          </cell>
          <cell r="S45" t="str">
            <v>내선</v>
          </cell>
          <cell r="T45">
            <v>8.5000000000000006E-2</v>
          </cell>
        </row>
        <row r="46">
          <cell r="A46">
            <v>44</v>
          </cell>
          <cell r="B46" t="str">
            <v>텀블러SW</v>
          </cell>
          <cell r="C46" t="str">
            <v>3로  1구</v>
          </cell>
          <cell r="D46" t="str">
            <v>EA</v>
          </cell>
          <cell r="S46" t="str">
            <v>내선</v>
          </cell>
          <cell r="T46">
            <v>8.5000000000000006E-2</v>
          </cell>
        </row>
        <row r="47">
          <cell r="A47">
            <v>45</v>
          </cell>
          <cell r="B47" t="str">
            <v>등 기 구</v>
          </cell>
          <cell r="C47" t="str">
            <v>IL-200W벽부</v>
          </cell>
          <cell r="D47" t="str">
            <v>EA</v>
          </cell>
          <cell r="S47" t="str">
            <v>내선</v>
          </cell>
          <cell r="T47">
            <v>0.158</v>
          </cell>
        </row>
        <row r="48">
          <cell r="A48">
            <v>46</v>
          </cell>
          <cell r="B48" t="str">
            <v>등 기 구</v>
          </cell>
          <cell r="C48" t="str">
            <v>IL-60W 천정매입</v>
          </cell>
          <cell r="D48" t="str">
            <v>EA</v>
          </cell>
          <cell r="S48" t="str">
            <v>내선</v>
          </cell>
          <cell r="T48">
            <v>0.245</v>
          </cell>
        </row>
        <row r="49">
          <cell r="A49">
            <v>47</v>
          </cell>
          <cell r="B49" t="str">
            <v>등 기 구</v>
          </cell>
          <cell r="C49" t="str">
            <v>IL-60W 천정직부</v>
          </cell>
          <cell r="D49" t="str">
            <v>EA</v>
          </cell>
          <cell r="S49" t="str">
            <v>내선</v>
          </cell>
          <cell r="T49">
            <v>0.18</v>
          </cell>
        </row>
        <row r="50">
          <cell r="A50">
            <v>48</v>
          </cell>
          <cell r="B50" t="str">
            <v>등 기 구</v>
          </cell>
          <cell r="C50" t="str">
            <v>비상등</v>
          </cell>
          <cell r="D50" t="str">
            <v>EA</v>
          </cell>
          <cell r="S50" t="str">
            <v>내선</v>
          </cell>
          <cell r="T50">
            <v>0.158</v>
          </cell>
        </row>
        <row r="51">
          <cell r="A51">
            <v>49</v>
          </cell>
          <cell r="B51" t="str">
            <v>등 기 구</v>
          </cell>
          <cell r="C51" t="str">
            <v>FL 2/20삼각직부</v>
          </cell>
          <cell r="D51" t="str">
            <v>EA</v>
          </cell>
          <cell r="S51" t="str">
            <v>내선</v>
          </cell>
          <cell r="T51">
            <v>0.19500000000000001</v>
          </cell>
        </row>
        <row r="52">
          <cell r="A52">
            <v>50</v>
          </cell>
          <cell r="B52" t="str">
            <v>등 기 구</v>
          </cell>
          <cell r="C52" t="str">
            <v>FL 2/20매입</v>
          </cell>
          <cell r="D52" t="str">
            <v>EA</v>
          </cell>
          <cell r="S52" t="str">
            <v>내선</v>
          </cell>
          <cell r="T52">
            <v>0.32</v>
          </cell>
        </row>
        <row r="53">
          <cell r="A53">
            <v>51</v>
          </cell>
          <cell r="B53" t="str">
            <v>등 기 구</v>
          </cell>
          <cell r="C53" t="str">
            <v>FL 2/40매입</v>
          </cell>
          <cell r="D53" t="str">
            <v>EA</v>
          </cell>
          <cell r="S53" t="str">
            <v>내선</v>
          </cell>
          <cell r="T53">
            <v>0.48799999999999999</v>
          </cell>
        </row>
        <row r="54">
          <cell r="A54">
            <v>52</v>
          </cell>
          <cell r="B54" t="str">
            <v>등 기 구</v>
          </cell>
          <cell r="C54" t="str">
            <v>FL 2/20펜던트</v>
          </cell>
          <cell r="D54" t="str">
            <v>EA</v>
          </cell>
          <cell r="S54" t="str">
            <v>내선</v>
          </cell>
          <cell r="T54">
            <v>0.23499999999999999</v>
          </cell>
        </row>
        <row r="55">
          <cell r="A55">
            <v>53</v>
          </cell>
          <cell r="B55" t="str">
            <v>등 기 구</v>
          </cell>
          <cell r="C55" t="str">
            <v>FL 2/40펜던트</v>
          </cell>
          <cell r="D55" t="str">
            <v>EA</v>
          </cell>
          <cell r="S55" t="str">
            <v>내선</v>
          </cell>
          <cell r="T55">
            <v>0.36499999999999999</v>
          </cell>
        </row>
        <row r="56">
          <cell r="A56">
            <v>54</v>
          </cell>
          <cell r="B56" t="str">
            <v>등 기 구</v>
          </cell>
          <cell r="C56" t="str">
            <v>FL 2/40방폭형</v>
          </cell>
          <cell r="S56" t="str">
            <v>내선</v>
          </cell>
          <cell r="T56">
            <v>0.73</v>
          </cell>
        </row>
        <row r="57">
          <cell r="A57">
            <v>55</v>
          </cell>
          <cell r="B57" t="str">
            <v>등 기 구</v>
          </cell>
          <cell r="C57" t="str">
            <v>MH 250W천정형</v>
          </cell>
          <cell r="D57" t="str">
            <v>EA</v>
          </cell>
          <cell r="S57" t="str">
            <v>내선</v>
          </cell>
          <cell r="T57">
            <v>0.495</v>
          </cell>
        </row>
        <row r="58">
          <cell r="A58">
            <v>56</v>
          </cell>
          <cell r="B58" t="str">
            <v>등 기 구</v>
          </cell>
          <cell r="C58" t="str">
            <v>MH 175W천정형</v>
          </cell>
          <cell r="D58" t="str">
            <v>EA</v>
          </cell>
          <cell r="S58" t="str">
            <v>내선</v>
          </cell>
          <cell r="T58">
            <v>0.44</v>
          </cell>
        </row>
        <row r="59">
          <cell r="A59">
            <v>57</v>
          </cell>
          <cell r="B59" t="str">
            <v>등 기 구</v>
          </cell>
          <cell r="C59" t="str">
            <v>MH 175W벽부형</v>
          </cell>
          <cell r="D59" t="str">
            <v>EA</v>
          </cell>
          <cell r="S59" t="str">
            <v>내선</v>
          </cell>
          <cell r="T59">
            <v>0.44</v>
          </cell>
        </row>
        <row r="60">
          <cell r="A60">
            <v>58</v>
          </cell>
          <cell r="B60" t="str">
            <v>판넬</v>
          </cell>
          <cell r="C60" t="str">
            <v>LP-A</v>
          </cell>
          <cell r="D60" t="str">
            <v>면</v>
          </cell>
          <cell r="S60" t="str">
            <v>프전</v>
          </cell>
          <cell r="T60">
            <v>5.8</v>
          </cell>
          <cell r="U60" t="str">
            <v>보인</v>
          </cell>
          <cell r="V60">
            <v>1.9</v>
          </cell>
        </row>
        <row r="61">
          <cell r="A61">
            <v>59</v>
          </cell>
          <cell r="B61" t="str">
            <v>전극봉</v>
          </cell>
          <cell r="C61" t="str">
            <v>3극</v>
          </cell>
          <cell r="D61" t="str">
            <v>EA</v>
          </cell>
          <cell r="S61" t="str">
            <v>내선</v>
          </cell>
          <cell r="T61">
            <v>0.8</v>
          </cell>
        </row>
        <row r="62">
          <cell r="A62">
            <v>60</v>
          </cell>
          <cell r="B62" t="str">
            <v>FLEXIBLE</v>
          </cell>
          <cell r="C62" t="str">
            <v>제1종 16C</v>
          </cell>
          <cell r="D62" t="str">
            <v>m</v>
          </cell>
          <cell r="S62" t="str">
            <v>내선</v>
          </cell>
          <cell r="T62">
            <v>3.9E-2</v>
          </cell>
        </row>
        <row r="63">
          <cell r="A63">
            <v>61</v>
          </cell>
          <cell r="B63" t="str">
            <v>FLEXIBLE</v>
          </cell>
          <cell r="C63" t="str">
            <v>고장력방수22C</v>
          </cell>
          <cell r="D63" t="str">
            <v>m</v>
          </cell>
          <cell r="S63" t="str">
            <v>내선</v>
          </cell>
          <cell r="T63">
            <v>4.9000000000000002E-2</v>
          </cell>
        </row>
        <row r="64">
          <cell r="A64">
            <v>62</v>
          </cell>
          <cell r="B64" t="str">
            <v>FLEXIBLE  CONNECTOR</v>
          </cell>
          <cell r="C64" t="str">
            <v>제1종 16C</v>
          </cell>
          <cell r="D64" t="str">
            <v>EA</v>
          </cell>
        </row>
        <row r="65">
          <cell r="A65">
            <v>63</v>
          </cell>
          <cell r="B65" t="str">
            <v>FLEXIBLE  CONNECTOR</v>
          </cell>
          <cell r="C65" t="str">
            <v>고장력방수22C</v>
          </cell>
          <cell r="D65" t="str">
            <v>EA</v>
          </cell>
        </row>
        <row r="66">
          <cell r="A66">
            <v>64</v>
          </cell>
          <cell r="B66" t="str">
            <v>AMP</v>
          </cell>
          <cell r="D66" t="str">
            <v>면</v>
          </cell>
          <cell r="S66" t="str">
            <v>통내</v>
          </cell>
          <cell r="T66">
            <v>9</v>
          </cell>
        </row>
        <row r="67">
          <cell r="A67">
            <v>65</v>
          </cell>
          <cell r="B67" t="str">
            <v>스피커</v>
          </cell>
          <cell r="C67" t="str">
            <v>3W    천정형</v>
          </cell>
          <cell r="D67" t="str">
            <v>EA</v>
          </cell>
          <cell r="S67" t="str">
            <v>통내</v>
          </cell>
          <cell r="T67">
            <v>0.45</v>
          </cell>
        </row>
        <row r="68">
          <cell r="A68">
            <v>66</v>
          </cell>
          <cell r="B68" t="str">
            <v>스피커</v>
          </cell>
          <cell r="C68" t="str">
            <v>3W    벽부형</v>
          </cell>
          <cell r="D68" t="str">
            <v>EA</v>
          </cell>
          <cell r="S68" t="str">
            <v>통내</v>
          </cell>
          <cell r="T68">
            <v>0.45</v>
          </cell>
        </row>
        <row r="69">
          <cell r="A69">
            <v>67</v>
          </cell>
          <cell r="B69" t="str">
            <v>스피커</v>
          </cell>
          <cell r="C69" t="str">
            <v>20W옥외칼럼형</v>
          </cell>
          <cell r="D69" t="str">
            <v>EA</v>
          </cell>
          <cell r="S69" t="str">
            <v>통내</v>
          </cell>
          <cell r="T69">
            <v>1</v>
          </cell>
        </row>
        <row r="70">
          <cell r="A70">
            <v>68</v>
          </cell>
          <cell r="B70" t="str">
            <v>인터폰</v>
          </cell>
          <cell r="C70" t="str">
            <v>전자연립식20회로</v>
          </cell>
          <cell r="D70" t="str">
            <v>EA</v>
          </cell>
          <cell r="S70" t="str">
            <v>통내</v>
          </cell>
          <cell r="T70">
            <v>1</v>
          </cell>
          <cell r="U70" t="str">
            <v>통설</v>
          </cell>
          <cell r="V70">
            <v>2</v>
          </cell>
        </row>
        <row r="71">
          <cell r="A71">
            <v>69</v>
          </cell>
          <cell r="B71" t="str">
            <v>감지기</v>
          </cell>
          <cell r="C71" t="str">
            <v>차동식 스포트감지기2종</v>
          </cell>
          <cell r="D71" t="str">
            <v>EA</v>
          </cell>
          <cell r="S71" t="str">
            <v>내선</v>
          </cell>
          <cell r="T71">
            <v>0.14300000000000002</v>
          </cell>
        </row>
        <row r="72">
          <cell r="A72">
            <v>70</v>
          </cell>
          <cell r="B72" t="str">
            <v>감지기</v>
          </cell>
          <cell r="C72" t="str">
            <v>광전식 연감지기2종</v>
          </cell>
          <cell r="D72" t="str">
            <v>EA</v>
          </cell>
          <cell r="S72" t="str">
            <v>내선</v>
          </cell>
          <cell r="T72">
            <v>0.14300000000000002</v>
          </cell>
        </row>
        <row r="73">
          <cell r="A73">
            <v>71</v>
          </cell>
          <cell r="B73" t="str">
            <v>감지기</v>
          </cell>
          <cell r="C73" t="str">
            <v>정온식감지기</v>
          </cell>
          <cell r="D73" t="str">
            <v>EA</v>
          </cell>
          <cell r="S73" t="str">
            <v>내선</v>
          </cell>
          <cell r="T73">
            <v>0.14300000000000002</v>
          </cell>
        </row>
        <row r="74">
          <cell r="A74">
            <v>72</v>
          </cell>
          <cell r="B74" t="str">
            <v>유도등</v>
          </cell>
          <cell r="C74" t="str">
            <v>통로유도등</v>
          </cell>
          <cell r="D74" t="str">
            <v>EA</v>
          </cell>
          <cell r="S74" t="str">
            <v>내선</v>
          </cell>
          <cell r="T74">
            <v>0.79500000000000004</v>
          </cell>
        </row>
        <row r="75">
          <cell r="A75">
            <v>73</v>
          </cell>
          <cell r="B75" t="str">
            <v>유도등</v>
          </cell>
          <cell r="C75" t="str">
            <v>피난구유도등</v>
          </cell>
          <cell r="D75" t="str">
            <v>EA</v>
          </cell>
          <cell r="S75" t="str">
            <v>내선</v>
          </cell>
          <cell r="T75">
            <v>0.13500000000000001</v>
          </cell>
        </row>
        <row r="76">
          <cell r="A76">
            <v>74</v>
          </cell>
          <cell r="B76" t="str">
            <v>수동발신기</v>
          </cell>
          <cell r="D76" t="str">
            <v>set</v>
          </cell>
          <cell r="S76" t="str">
            <v>내선</v>
          </cell>
          <cell r="T76">
            <v>0.3</v>
          </cell>
        </row>
        <row r="77">
          <cell r="A77">
            <v>75</v>
          </cell>
          <cell r="B77" t="str">
            <v>수신반</v>
          </cell>
          <cell r="C77" t="str">
            <v>P형1급   10회로용</v>
          </cell>
          <cell r="D77" t="str">
            <v>set</v>
          </cell>
          <cell r="S77" t="str">
            <v>내선</v>
          </cell>
          <cell r="T77">
            <v>9</v>
          </cell>
        </row>
        <row r="78">
          <cell r="A78">
            <v>101</v>
          </cell>
          <cell r="B78" t="str">
            <v>전선관</v>
          </cell>
          <cell r="C78" t="str">
            <v>ELPφ30</v>
          </cell>
          <cell r="D78" t="str">
            <v>m</v>
          </cell>
          <cell r="U78" t="str">
            <v>배전</v>
          </cell>
          <cell r="V78">
            <v>1.2E-2</v>
          </cell>
          <cell r="W78" t="str">
            <v>보인</v>
          </cell>
          <cell r="X78">
            <v>2.9000000000000001E-2</v>
          </cell>
        </row>
        <row r="79">
          <cell r="A79">
            <v>102</v>
          </cell>
          <cell r="B79" t="str">
            <v xml:space="preserve"> 케이블</v>
          </cell>
          <cell r="C79" t="str">
            <v>CV   2.0sq/2C</v>
          </cell>
          <cell r="D79" t="str">
            <v>m</v>
          </cell>
          <cell r="S79" t="str">
            <v>저케</v>
          </cell>
          <cell r="T79">
            <v>1.4E-2</v>
          </cell>
        </row>
        <row r="80">
          <cell r="A80">
            <v>103</v>
          </cell>
          <cell r="B80" t="str">
            <v xml:space="preserve"> 케이블</v>
          </cell>
          <cell r="C80" t="str">
            <v>CV     3.5sq/3C</v>
          </cell>
          <cell r="D80" t="str">
            <v>m</v>
          </cell>
          <cell r="S80" t="str">
            <v>저케</v>
          </cell>
          <cell r="T80">
            <v>2.1999999999999999E-2</v>
          </cell>
        </row>
      </sheetData>
      <sheetData sheetId="1" refreshError="1">
        <row r="3"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8</v>
          </cell>
          <cell r="K3">
            <v>9</v>
          </cell>
          <cell r="L3">
            <v>11</v>
          </cell>
          <cell r="M3">
            <v>12</v>
          </cell>
          <cell r="N3">
            <v>13</v>
          </cell>
          <cell r="O3">
            <v>22</v>
          </cell>
          <cell r="P3">
            <v>23</v>
          </cell>
          <cell r="Q3">
            <v>24</v>
          </cell>
          <cell r="R3">
            <v>16</v>
          </cell>
          <cell r="S3">
            <v>26</v>
          </cell>
          <cell r="T3">
            <v>27</v>
          </cell>
          <cell r="U3">
            <v>28</v>
          </cell>
          <cell r="V3">
            <v>29</v>
          </cell>
          <cell r="W3">
            <v>30</v>
          </cell>
          <cell r="X3">
            <v>32</v>
          </cell>
          <cell r="Y3">
            <v>33</v>
          </cell>
          <cell r="Z3">
            <v>35</v>
          </cell>
          <cell r="AA3">
            <v>36</v>
          </cell>
          <cell r="AB3">
            <v>37</v>
          </cell>
          <cell r="AC3">
            <v>38</v>
          </cell>
          <cell r="AD3">
            <v>39</v>
          </cell>
          <cell r="AE3">
            <v>41</v>
          </cell>
          <cell r="AF3">
            <v>43</v>
          </cell>
          <cell r="AG3">
            <v>46</v>
          </cell>
          <cell r="AH3">
            <v>48</v>
          </cell>
          <cell r="AI3">
            <v>50</v>
          </cell>
          <cell r="AJ3">
            <v>51</v>
          </cell>
          <cell r="AK3">
            <v>53</v>
          </cell>
          <cell r="AL3">
            <v>55</v>
          </cell>
          <cell r="AM3">
            <v>57</v>
          </cell>
          <cell r="AN3">
            <v>60</v>
          </cell>
          <cell r="AO3">
            <v>62</v>
          </cell>
          <cell r="AP3">
            <v>65</v>
          </cell>
          <cell r="AQ3">
            <v>66</v>
          </cell>
          <cell r="AR3">
            <v>67</v>
          </cell>
          <cell r="AS3">
            <v>68</v>
          </cell>
        </row>
        <row r="4">
          <cell r="F4" t="str">
            <v>전선관</v>
          </cell>
          <cell r="J4" t="str">
            <v>노말 밴드</v>
          </cell>
          <cell r="L4" t="str">
            <v>전선 및 케이블</v>
          </cell>
          <cell r="S4" t="str">
            <v>Outlet Box</v>
          </cell>
          <cell r="W4" t="str">
            <v xml:space="preserve"> 콘  센  트 </v>
          </cell>
          <cell r="AD4" t="str">
            <v>텀블러SW</v>
          </cell>
          <cell r="AI4" t="str">
            <v xml:space="preserve">            전        등</v>
          </cell>
          <cell r="AN4" t="str">
            <v>Flex.</v>
          </cell>
          <cell r="AO4" t="str">
            <v>Flex.Con.</v>
          </cell>
          <cell r="AP4" t="str">
            <v>스피커</v>
          </cell>
          <cell r="AS4" t="str">
            <v>인터폰</v>
          </cell>
        </row>
        <row r="5">
          <cell r="F5" t="str">
            <v>HI-PVC  16C</v>
          </cell>
          <cell r="G5" t="str">
            <v>HI-PVC  22C</v>
          </cell>
          <cell r="H5" t="str">
            <v>HI-PVC  28C</v>
          </cell>
          <cell r="I5" t="str">
            <v>HI-PVC  36C</v>
          </cell>
          <cell r="J5" t="str">
            <v>HI-PVC  28C</v>
          </cell>
          <cell r="K5" t="str">
            <v>HI-PVC  36C</v>
          </cell>
          <cell r="L5" t="str">
            <v>IV   2.0</v>
          </cell>
          <cell r="M5" t="str">
            <v>IV   5.5sq</v>
          </cell>
          <cell r="N5" t="str">
            <v>GV   2.0sq</v>
          </cell>
          <cell r="O5" t="str">
            <v>CPEV 0.65/10P</v>
          </cell>
          <cell r="P5" t="str">
            <v>CPEV 0.65/20P</v>
          </cell>
          <cell r="Q5" t="str">
            <v>CVV2.0sq/3C</v>
          </cell>
          <cell r="R5" t="str">
            <v>HIV1.6</v>
          </cell>
          <cell r="S5" t="str">
            <v>4각 천정</v>
          </cell>
          <cell r="T5" t="str">
            <v>4각벽부</v>
          </cell>
          <cell r="U5" t="str">
            <v xml:space="preserve">  8 각</v>
          </cell>
          <cell r="V5" t="str">
            <v>SW</v>
          </cell>
          <cell r="W5" t="str">
            <v>1구용</v>
          </cell>
          <cell r="X5" t="str">
            <v>1구방수</v>
          </cell>
          <cell r="Y5" t="str">
            <v>2구용</v>
          </cell>
          <cell r="Z5" t="str">
            <v>에어컨용</v>
          </cell>
          <cell r="AA5" t="str">
            <v>FAN용</v>
          </cell>
          <cell r="AB5" t="str">
            <v>3P320A</v>
          </cell>
          <cell r="AC5" t="str">
            <v>전화용</v>
          </cell>
          <cell r="AD5" t="str">
            <v>1로  1구</v>
          </cell>
          <cell r="AE5" t="str">
            <v>1로  2구</v>
          </cell>
          <cell r="AF5" t="str">
            <v>1로  3구</v>
          </cell>
          <cell r="AG5" t="str">
            <v>IL-60W</v>
          </cell>
          <cell r="AH5" t="str">
            <v>비상등</v>
          </cell>
          <cell r="AI5" t="str">
            <v>FL 2/20매입</v>
          </cell>
          <cell r="AJ5" t="str">
            <v>FL 2/40매입</v>
          </cell>
          <cell r="AK5" t="str">
            <v>FL 2/40펜던트</v>
          </cell>
          <cell r="AL5" t="str">
            <v>MH 250W천정형</v>
          </cell>
          <cell r="AM5" t="str">
            <v>MH 175W벽부형</v>
          </cell>
          <cell r="AN5" t="str">
            <v>제1종 16C</v>
          </cell>
          <cell r="AO5" t="str">
            <v>제1종 16C</v>
          </cell>
          <cell r="AP5" t="str">
            <v>3W    천정형</v>
          </cell>
          <cell r="AQ5" t="str">
            <v>3W    벽부형</v>
          </cell>
          <cell r="AR5" t="str">
            <v>20W옥외칼럼형</v>
          </cell>
          <cell r="AS5" t="str">
            <v>상호식20회로</v>
          </cell>
        </row>
        <row r="6">
          <cell r="F6">
            <v>56</v>
          </cell>
          <cell r="S6">
            <v>2</v>
          </cell>
          <cell r="U6">
            <v>14</v>
          </cell>
          <cell r="V6">
            <v>2</v>
          </cell>
          <cell r="AD6">
            <v>1</v>
          </cell>
          <cell r="AF6">
            <v>1</v>
          </cell>
          <cell r="AG6">
            <v>2</v>
          </cell>
          <cell r="AK6">
            <v>14</v>
          </cell>
        </row>
        <row r="7">
          <cell r="G7">
            <v>18.5</v>
          </cell>
        </row>
        <row r="8">
          <cell r="L8">
            <v>226.2</v>
          </cell>
        </row>
        <row r="9">
          <cell r="F9">
            <v>43</v>
          </cell>
          <cell r="T9">
            <v>2</v>
          </cell>
          <cell r="Y9">
            <v>2</v>
          </cell>
        </row>
        <row r="10">
          <cell r="M10">
            <v>92.4</v>
          </cell>
          <cell r="N10">
            <v>46.2</v>
          </cell>
        </row>
        <row r="11">
          <cell r="F11">
            <v>25.6</v>
          </cell>
          <cell r="S11">
            <v>1</v>
          </cell>
          <cell r="U11">
            <v>7</v>
          </cell>
          <cell r="V11">
            <v>1</v>
          </cell>
          <cell r="AE11">
            <v>1</v>
          </cell>
          <cell r="AL11">
            <v>8</v>
          </cell>
        </row>
        <row r="12">
          <cell r="F12">
            <v>48.2</v>
          </cell>
        </row>
        <row r="13">
          <cell r="L13">
            <v>58.800000000000004</v>
          </cell>
        </row>
        <row r="14">
          <cell r="L14">
            <v>153.60000000000002</v>
          </cell>
        </row>
        <row r="15">
          <cell r="F15">
            <v>66</v>
          </cell>
          <cell r="U15">
            <v>14</v>
          </cell>
          <cell r="V15">
            <v>6</v>
          </cell>
          <cell r="AA15">
            <v>4</v>
          </cell>
          <cell r="AE15">
            <v>2</v>
          </cell>
          <cell r="AK15">
            <v>14</v>
          </cell>
        </row>
        <row r="16">
          <cell r="F16">
            <v>29</v>
          </cell>
        </row>
        <row r="17">
          <cell r="G17">
            <v>4.5</v>
          </cell>
        </row>
        <row r="18">
          <cell r="G18">
            <v>6</v>
          </cell>
        </row>
        <row r="19">
          <cell r="G19">
            <v>9</v>
          </cell>
        </row>
        <row r="20">
          <cell r="L20">
            <v>145.6</v>
          </cell>
        </row>
        <row r="21">
          <cell r="L21">
            <v>90.6</v>
          </cell>
        </row>
        <row r="22">
          <cell r="L22">
            <v>20.399999999999999</v>
          </cell>
        </row>
        <row r="23">
          <cell r="L23">
            <v>30.5</v>
          </cell>
        </row>
        <row r="24">
          <cell r="L24">
            <v>61.199999999999996</v>
          </cell>
        </row>
        <row r="25">
          <cell r="F25">
            <v>81.3</v>
          </cell>
          <cell r="T25">
            <v>4</v>
          </cell>
          <cell r="Y25">
            <v>4</v>
          </cell>
        </row>
        <row r="26">
          <cell r="M26">
            <v>171.4</v>
          </cell>
          <cell r="N26">
            <v>85.7</v>
          </cell>
        </row>
        <row r="27">
          <cell r="F27">
            <v>24.6</v>
          </cell>
          <cell r="S27">
            <v>2</v>
          </cell>
          <cell r="U27">
            <v>4</v>
          </cell>
          <cell r="V27">
            <v>7</v>
          </cell>
          <cell r="AA27">
            <v>3</v>
          </cell>
          <cell r="AD27">
            <v>1</v>
          </cell>
          <cell r="AE27">
            <v>3</v>
          </cell>
          <cell r="AI27">
            <v>2</v>
          </cell>
          <cell r="AJ27">
            <v>4</v>
          </cell>
          <cell r="AN27">
            <v>12</v>
          </cell>
          <cell r="AO27">
            <v>12</v>
          </cell>
        </row>
        <row r="28">
          <cell r="F28">
            <v>28.799999999999997</v>
          </cell>
        </row>
        <row r="29">
          <cell r="L29">
            <v>84.4</v>
          </cell>
        </row>
        <row r="30">
          <cell r="L30">
            <v>97.199999999999989</v>
          </cell>
        </row>
        <row r="31">
          <cell r="F31">
            <v>70.099999999999994</v>
          </cell>
          <cell r="S31">
            <v>2</v>
          </cell>
          <cell r="U31">
            <v>34</v>
          </cell>
          <cell r="V31">
            <v>2</v>
          </cell>
          <cell r="AF31">
            <v>2</v>
          </cell>
          <cell r="AJ31">
            <v>36</v>
          </cell>
          <cell r="AN31">
            <v>72</v>
          </cell>
          <cell r="AO31">
            <v>72</v>
          </cell>
        </row>
        <row r="32">
          <cell r="F32">
            <v>7.9</v>
          </cell>
        </row>
        <row r="33">
          <cell r="G33">
            <v>9.6999999999999993</v>
          </cell>
        </row>
        <row r="34">
          <cell r="L34">
            <v>325.39999999999998</v>
          </cell>
        </row>
        <row r="35">
          <cell r="L35">
            <v>30.900000000000002</v>
          </cell>
        </row>
        <row r="36">
          <cell r="L36">
            <v>46</v>
          </cell>
        </row>
        <row r="37">
          <cell r="F37">
            <v>150.6</v>
          </cell>
          <cell r="S37">
            <v>5</v>
          </cell>
          <cell r="T37">
            <v>4</v>
          </cell>
          <cell r="U37">
            <v>53</v>
          </cell>
          <cell r="V37">
            <v>3</v>
          </cell>
          <cell r="AD37">
            <v>1</v>
          </cell>
          <cell r="AF37">
            <v>2</v>
          </cell>
          <cell r="AH37">
            <v>4</v>
          </cell>
          <cell r="AJ37">
            <v>58</v>
          </cell>
          <cell r="AN37">
            <v>116</v>
          </cell>
          <cell r="AO37">
            <v>116</v>
          </cell>
        </row>
        <row r="38">
          <cell r="F38">
            <v>6</v>
          </cell>
        </row>
        <row r="39">
          <cell r="G39">
            <v>5.5</v>
          </cell>
        </row>
        <row r="40">
          <cell r="G40">
            <v>3</v>
          </cell>
        </row>
        <row r="41">
          <cell r="H41">
            <v>10.199999999999999</v>
          </cell>
          <cell r="J41">
            <v>1</v>
          </cell>
        </row>
        <row r="42">
          <cell r="L42">
            <v>602.79999999999995</v>
          </cell>
        </row>
        <row r="43">
          <cell r="L43">
            <v>21.6</v>
          </cell>
        </row>
        <row r="44">
          <cell r="L44">
            <v>26.8</v>
          </cell>
        </row>
        <row r="45">
          <cell r="L45">
            <v>18</v>
          </cell>
        </row>
        <row r="46">
          <cell r="L46">
            <v>96</v>
          </cell>
        </row>
        <row r="47">
          <cell r="F47">
            <v>62.5</v>
          </cell>
          <cell r="T47">
            <v>7</v>
          </cell>
          <cell r="Y47">
            <v>5</v>
          </cell>
          <cell r="Z47">
            <v>2</v>
          </cell>
        </row>
        <row r="48">
          <cell r="M48">
            <v>136.80000000000001</v>
          </cell>
          <cell r="N48">
            <v>68.400000000000006</v>
          </cell>
        </row>
        <row r="49">
          <cell r="F49">
            <v>77</v>
          </cell>
          <cell r="T49">
            <v>6</v>
          </cell>
          <cell r="Y49">
            <v>6</v>
          </cell>
        </row>
        <row r="50">
          <cell r="M50">
            <v>164.6</v>
          </cell>
          <cell r="N50">
            <v>82.3</v>
          </cell>
        </row>
        <row r="51">
          <cell r="F51">
            <v>22</v>
          </cell>
          <cell r="T51">
            <v>2</v>
          </cell>
          <cell r="W51">
            <v>2</v>
          </cell>
        </row>
        <row r="52">
          <cell r="M52">
            <v>49.8</v>
          </cell>
          <cell r="N52">
            <v>24.9</v>
          </cell>
        </row>
        <row r="53">
          <cell r="F53">
            <v>19</v>
          </cell>
          <cell r="T53">
            <v>3</v>
          </cell>
          <cell r="W53">
            <v>1</v>
          </cell>
          <cell r="X53">
            <v>2</v>
          </cell>
        </row>
        <row r="54">
          <cell r="M54">
            <v>45</v>
          </cell>
          <cell r="N54">
            <v>22.5</v>
          </cell>
        </row>
        <row r="55">
          <cell r="G55">
            <v>16.5</v>
          </cell>
          <cell r="T55">
            <v>1</v>
          </cell>
          <cell r="AB55">
            <v>1</v>
          </cell>
        </row>
        <row r="56">
          <cell r="M56">
            <v>56.400000000000006</v>
          </cell>
          <cell r="N56">
            <v>18.8</v>
          </cell>
        </row>
        <row r="57">
          <cell r="H57">
            <v>22</v>
          </cell>
        </row>
        <row r="58">
          <cell r="M58">
            <v>104</v>
          </cell>
          <cell r="N58">
            <v>26</v>
          </cell>
        </row>
        <row r="59">
          <cell r="F59">
            <v>5</v>
          </cell>
          <cell r="T59">
            <v>1</v>
          </cell>
          <cell r="AQ59">
            <v>1</v>
          </cell>
        </row>
        <row r="60">
          <cell r="R60">
            <v>16.799999999999997</v>
          </cell>
        </row>
        <row r="61">
          <cell r="F61">
            <v>34.4</v>
          </cell>
          <cell r="T61">
            <v>2</v>
          </cell>
          <cell r="AQ61">
            <v>2</v>
          </cell>
        </row>
        <row r="62">
          <cell r="R62">
            <v>106.80000000000001</v>
          </cell>
        </row>
        <row r="63">
          <cell r="F63">
            <v>52</v>
          </cell>
          <cell r="T63">
            <v>1</v>
          </cell>
          <cell r="U63">
            <v>5</v>
          </cell>
          <cell r="AP63">
            <v>5</v>
          </cell>
          <cell r="AQ63">
            <v>1</v>
          </cell>
        </row>
        <row r="64">
          <cell r="R64">
            <v>171.89999999999998</v>
          </cell>
        </row>
        <row r="65">
          <cell r="F65">
            <v>24.5</v>
          </cell>
        </row>
        <row r="66">
          <cell r="Q66">
            <v>26.5</v>
          </cell>
        </row>
        <row r="67">
          <cell r="G67">
            <v>24.5</v>
          </cell>
        </row>
        <row r="68">
          <cell r="Q68">
            <v>26.5</v>
          </cell>
        </row>
        <row r="69">
          <cell r="O69">
            <v>26.5</v>
          </cell>
        </row>
        <row r="71">
          <cell r="G71">
            <v>31.5</v>
          </cell>
          <cell r="T71">
            <v>2</v>
          </cell>
          <cell r="V71">
            <v>1</v>
          </cell>
          <cell r="AC71">
            <v>3</v>
          </cell>
        </row>
        <row r="72">
          <cell r="O72">
            <v>32.700000000000003</v>
          </cell>
        </row>
        <row r="73">
          <cell r="G73">
            <v>9.5</v>
          </cell>
        </row>
        <row r="74">
          <cell r="O74">
            <v>11.5</v>
          </cell>
        </row>
        <row r="76">
          <cell r="G76">
            <v>31.5</v>
          </cell>
          <cell r="T76">
            <v>2</v>
          </cell>
          <cell r="V76">
            <v>1</v>
          </cell>
          <cell r="AS76">
            <v>1</v>
          </cell>
        </row>
        <row r="77">
          <cell r="P77">
            <v>32.700000000000003</v>
          </cell>
        </row>
        <row r="78">
          <cell r="I78">
            <v>9.5</v>
          </cell>
          <cell r="K78">
            <v>3</v>
          </cell>
        </row>
        <row r="79">
          <cell r="P79">
            <v>23</v>
          </cell>
        </row>
        <row r="80">
          <cell r="F80">
            <v>389</v>
          </cell>
          <cell r="G80">
            <v>70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787</v>
          </cell>
          <cell r="M80">
            <v>264</v>
          </cell>
          <cell r="N80">
            <v>132</v>
          </cell>
          <cell r="O80">
            <v>0</v>
          </cell>
          <cell r="P80">
            <v>33</v>
          </cell>
          <cell r="Q80">
            <v>0</v>
          </cell>
          <cell r="R80">
            <v>124</v>
          </cell>
          <cell r="S80">
            <v>3</v>
          </cell>
          <cell r="T80">
            <v>11</v>
          </cell>
          <cell r="U80">
            <v>35</v>
          </cell>
          <cell r="V80">
            <v>10</v>
          </cell>
          <cell r="W80">
            <v>0</v>
          </cell>
          <cell r="X80">
            <v>0</v>
          </cell>
          <cell r="Y80">
            <v>6</v>
          </cell>
          <cell r="Z80">
            <v>0</v>
          </cell>
          <cell r="AA80">
            <v>4</v>
          </cell>
          <cell r="AB80">
            <v>0</v>
          </cell>
          <cell r="AC80">
            <v>0</v>
          </cell>
          <cell r="AD80">
            <v>1</v>
          </cell>
          <cell r="AE80">
            <v>3</v>
          </cell>
          <cell r="AF80">
            <v>1</v>
          </cell>
          <cell r="AG80">
            <v>2</v>
          </cell>
          <cell r="AH80">
            <v>0</v>
          </cell>
          <cell r="AI80">
            <v>0</v>
          </cell>
          <cell r="AJ80">
            <v>0</v>
          </cell>
          <cell r="AK80">
            <v>28</v>
          </cell>
          <cell r="AL80">
            <v>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>
            <v>0</v>
          </cell>
          <cell r="AS80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개폐기"/>
      <sheetName val="변압기"/>
      <sheetName val="이동녕정리최종제출목록표"/>
      <sheetName val="차량방호대 조사 양식 "/>
      <sheetName val="9GNG운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내역서"/>
      <sheetName val="9GNG운반"/>
      <sheetName val="노임단가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용수량(생활용수)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DATE"/>
      <sheetName val="총괄"/>
      <sheetName val="평가데이터"/>
      <sheetName val="제-노임"/>
      <sheetName val="제직재"/>
      <sheetName val="#REF"/>
      <sheetName val="Sheet5"/>
      <sheetName val="일위대가9803"/>
      <sheetName val="Total"/>
      <sheetName val="구천"/>
      <sheetName val="자재단가"/>
      <sheetName val="신표지1"/>
      <sheetName val="수량산출"/>
      <sheetName val="산출금액내역"/>
      <sheetName val="내역서"/>
      <sheetName val="주차구획선수량"/>
      <sheetName val="집계표"/>
      <sheetName val="청천내"/>
      <sheetName val="명세서"/>
      <sheetName val="2공구하도급내역서"/>
      <sheetName val="내역"/>
      <sheetName val="포장공"/>
      <sheetName val="9GNG운반"/>
      <sheetName val="요율"/>
      <sheetName val="자재대"/>
      <sheetName val="설계예산서"/>
      <sheetName val="경산"/>
      <sheetName val="일위"/>
      <sheetName val="동원인원"/>
      <sheetName val="기계경비"/>
      <sheetName val="실행철강하도"/>
      <sheetName val="현장예산"/>
      <sheetName val="예총"/>
      <sheetName val="2000년1차"/>
      <sheetName val="2000전체분"/>
      <sheetName val="총투입계"/>
      <sheetName val="연습"/>
      <sheetName val="철근량"/>
      <sheetName val="비교1"/>
      <sheetName val="물량표"/>
      <sheetName val="Sheet4"/>
      <sheetName val="구의33고"/>
      <sheetName val="조경내역서"/>
      <sheetName val="설계내역서"/>
      <sheetName val="BID"/>
      <sheetName val="MAT"/>
      <sheetName val="데이타"/>
      <sheetName val="배관배선 단가조사"/>
      <sheetName val="일위대가집계"/>
      <sheetName val="대치판정"/>
      <sheetName val="가압장(토목)"/>
      <sheetName val="SANBAISU"/>
      <sheetName val="터파기및재료"/>
      <sheetName val="3.공통공사대비"/>
      <sheetName val="12호기내역서(건축분)"/>
      <sheetName val="ABUT수량-A1"/>
      <sheetName val="파형강관집계"/>
      <sheetName val="토적표"/>
      <sheetName val="공제수량총집계표"/>
      <sheetName val="임금단가"/>
      <sheetName val="한강운반비"/>
      <sheetName val="신우"/>
      <sheetName val="원본(갑지)"/>
      <sheetName val="단열-자재"/>
      <sheetName val="공사개요"/>
      <sheetName val="설계예산"/>
      <sheetName val="수량3"/>
      <sheetName val="준공평가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설비"/>
      <sheetName val="토목검측서"/>
      <sheetName val="노임이"/>
      <sheetName val="부하계산서"/>
      <sheetName val="전선 및 전선관"/>
      <sheetName val="연도별cash"/>
      <sheetName val="환경기계공정표 (3)"/>
      <sheetName val="내역갑지"/>
      <sheetName val="COPING"/>
      <sheetName val="구조물터파기수량집계"/>
      <sheetName val="배수공 시멘트 및 골재량 산출"/>
      <sheetName val="시운전연료"/>
      <sheetName val="노임"/>
      <sheetName val="b_balju"/>
      <sheetName val="200"/>
      <sheetName val="맨홀수량"/>
      <sheetName val="H-PILE수량집계"/>
      <sheetName val="8.PILE  (돌출)"/>
      <sheetName val="96보완계획7.1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현장운반(대운반)"/>
      <sheetName val="거리운임표(대운반)"/>
      <sheetName val="운반비산출(소운반)"/>
      <sheetName val="운반비산출 (대운반)"/>
      <sheetName val="9GNG운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집계"/>
      <sheetName val="정산내역"/>
      <sheetName val="data"/>
      <sheetName val="자재단가"/>
      <sheetName val="을지"/>
      <sheetName val="여과지동"/>
      <sheetName val="기초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자재단가"/>
      <sheetName val="노무비 근거"/>
      <sheetName val="여과지동"/>
      <sheetName val="기초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가공케이블신설(터널)"/>
      <sheetName val="가공케이블신설(터널) (2)"/>
      <sheetName val="월말"/>
      <sheetName val="자재단가"/>
      <sheetName val="내역서"/>
      <sheetName val="일위대가"/>
      <sheetName val="data"/>
      <sheetName val="여과지동"/>
      <sheetName val="기초자료"/>
      <sheetName val="수량산출서"/>
      <sheetName val="자재"/>
      <sheetName val="입찰안"/>
      <sheetName val="터파기및재료"/>
      <sheetName val="유림총괄"/>
      <sheetName val="단가산출"/>
      <sheetName val="지급자재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설계서"/>
      <sheetName val="공사원가"/>
      <sheetName val="산출근거"/>
      <sheetName val="호선별집계"/>
      <sheetName val="예산조서"/>
      <sheetName val="고동고재현황"/>
      <sheetName val="고동고재현황(물량)"/>
      <sheetName val="폐기물"/>
      <sheetName val="폐기물수량산출"/>
    </sheetNames>
    <sheetDataSet>
      <sheetData sheetId="0"/>
      <sheetData sheetId="1"/>
      <sheetData sheetId="2"/>
      <sheetData sheetId="3"/>
      <sheetData sheetId="4" refreshError="1">
        <row r="2">
          <cell r="C2" t="str">
            <v>품   명</v>
          </cell>
          <cell r="D2" t="str">
            <v>규   격</v>
          </cell>
          <cell r="E2" t="str">
            <v>단위</v>
          </cell>
          <cell r="F2" t="str">
            <v>수량</v>
          </cell>
          <cell r="G2" t="str">
            <v>재  료  비</v>
          </cell>
          <cell r="I2" t="str">
            <v>노  무  비</v>
          </cell>
          <cell r="K2" t="str">
            <v>경      비</v>
          </cell>
          <cell r="M2" t="str">
            <v>계</v>
          </cell>
          <cell r="O2" t="str">
            <v>비고</v>
          </cell>
        </row>
        <row r="3">
          <cell r="A3" t="str">
            <v>수량공종</v>
          </cell>
          <cell r="B3" t="str">
            <v>호표</v>
          </cell>
          <cell r="G3" t="str">
            <v>단 가</v>
          </cell>
          <cell r="H3" t="str">
            <v>금 액</v>
          </cell>
          <cell r="I3" t="str">
            <v>단 가</v>
          </cell>
          <cell r="J3" t="str">
            <v>금 액</v>
          </cell>
          <cell r="K3" t="str">
            <v>단 가</v>
          </cell>
          <cell r="L3" t="str">
            <v>금 액</v>
          </cell>
          <cell r="M3" t="str">
            <v>단 가</v>
          </cell>
          <cell r="N3" t="str">
            <v>금 액</v>
          </cell>
        </row>
        <row r="4">
          <cell r="C4" t="str">
            <v>1. AFC 시설 신설공사</v>
          </cell>
        </row>
        <row r="5">
          <cell r="A5" t="str">
            <v>A-1</v>
          </cell>
          <cell r="B5">
            <v>1</v>
          </cell>
          <cell r="C5" t="str">
            <v>전선관 신설</v>
          </cell>
          <cell r="D5" t="str">
            <v>후강 16mm</v>
          </cell>
          <cell r="E5" t="str">
            <v>m</v>
          </cell>
          <cell r="F5">
            <v>22</v>
          </cell>
          <cell r="G5">
            <v>1366</v>
          </cell>
          <cell r="H5">
            <v>30052</v>
          </cell>
          <cell r="I5">
            <v>13967</v>
          </cell>
          <cell r="J5">
            <v>307274</v>
          </cell>
          <cell r="L5">
            <v>0</v>
          </cell>
          <cell r="M5">
            <v>15333</v>
          </cell>
          <cell r="N5">
            <v>337326</v>
          </cell>
          <cell r="O5">
            <v>1</v>
          </cell>
        </row>
        <row r="6">
          <cell r="A6" t="str">
            <v>A-2</v>
          </cell>
          <cell r="B6">
            <v>2</v>
          </cell>
          <cell r="C6" t="str">
            <v>전선관 신설</v>
          </cell>
          <cell r="D6" t="str">
            <v>후강 22mm</v>
          </cell>
          <cell r="E6" t="str">
            <v>m</v>
          </cell>
          <cell r="F6">
            <v>470.64</v>
          </cell>
          <cell r="G6">
            <v>1727</v>
          </cell>
          <cell r="H6">
            <v>812795</v>
          </cell>
          <cell r="I6">
            <v>19718</v>
          </cell>
          <cell r="J6">
            <v>9280079</v>
          </cell>
          <cell r="L6">
            <v>0</v>
          </cell>
          <cell r="M6">
            <v>21445</v>
          </cell>
          <cell r="N6">
            <v>10092874</v>
          </cell>
          <cell r="O6">
            <v>2</v>
          </cell>
        </row>
        <row r="7">
          <cell r="A7" t="str">
            <v>A-3</v>
          </cell>
          <cell r="B7">
            <v>3</v>
          </cell>
          <cell r="C7" t="str">
            <v>전선관 신설</v>
          </cell>
          <cell r="D7" t="str">
            <v>후강 28mm</v>
          </cell>
          <cell r="E7" t="str">
            <v>m</v>
          </cell>
          <cell r="F7">
            <v>153.04</v>
          </cell>
          <cell r="G7">
            <v>2237</v>
          </cell>
          <cell r="H7">
            <v>342350</v>
          </cell>
          <cell r="I7">
            <v>24647</v>
          </cell>
          <cell r="J7">
            <v>3771976</v>
          </cell>
          <cell r="L7">
            <v>0</v>
          </cell>
          <cell r="M7">
            <v>26884</v>
          </cell>
          <cell r="N7">
            <v>4114326</v>
          </cell>
          <cell r="O7">
            <v>3</v>
          </cell>
        </row>
        <row r="8">
          <cell r="A8" t="str">
            <v>A-4</v>
          </cell>
          <cell r="B8">
            <v>4</v>
          </cell>
          <cell r="C8" t="str">
            <v>전선관 신설</v>
          </cell>
          <cell r="D8" t="str">
            <v>후강 36mm</v>
          </cell>
          <cell r="E8" t="str">
            <v>m</v>
          </cell>
          <cell r="F8">
            <v>51.6</v>
          </cell>
          <cell r="G8">
            <v>2741</v>
          </cell>
          <cell r="H8">
            <v>141435</v>
          </cell>
          <cell r="I8">
            <v>36149</v>
          </cell>
          <cell r="J8">
            <v>1865288</v>
          </cell>
          <cell r="L8">
            <v>0</v>
          </cell>
          <cell r="M8">
            <v>38890</v>
          </cell>
          <cell r="N8">
            <v>2006723</v>
          </cell>
          <cell r="O8">
            <v>4</v>
          </cell>
        </row>
        <row r="9">
          <cell r="A9" t="str">
            <v>A-5</v>
          </cell>
          <cell r="B9">
            <v>5</v>
          </cell>
          <cell r="C9" t="str">
            <v>전선관 신설</v>
          </cell>
          <cell r="D9" t="str">
            <v>후강 42mm</v>
          </cell>
          <cell r="E9" t="str">
            <v>m</v>
          </cell>
          <cell r="F9">
            <v>122.2</v>
          </cell>
          <cell r="G9">
            <v>3162</v>
          </cell>
          <cell r="H9">
            <v>386396</v>
          </cell>
          <cell r="I9">
            <v>44365</v>
          </cell>
          <cell r="J9">
            <v>5421403</v>
          </cell>
          <cell r="L9">
            <v>0</v>
          </cell>
          <cell r="M9">
            <v>47527</v>
          </cell>
          <cell r="N9">
            <v>5807799</v>
          </cell>
          <cell r="O9">
            <v>5</v>
          </cell>
        </row>
        <row r="10">
          <cell r="A10" t="str">
            <v>A-6</v>
          </cell>
          <cell r="B10">
            <v>6</v>
          </cell>
          <cell r="C10" t="str">
            <v>전선관 신설</v>
          </cell>
          <cell r="D10" t="str">
            <v>후강 54mm</v>
          </cell>
          <cell r="E10" t="str">
            <v>m</v>
          </cell>
          <cell r="F10">
            <v>349.4</v>
          </cell>
          <cell r="G10">
            <v>4360</v>
          </cell>
          <cell r="H10">
            <v>1523384</v>
          </cell>
          <cell r="I10">
            <v>60797</v>
          </cell>
          <cell r="J10">
            <v>21242471</v>
          </cell>
          <cell r="L10">
            <v>0</v>
          </cell>
          <cell r="M10">
            <v>65157</v>
          </cell>
          <cell r="N10">
            <v>22765855</v>
          </cell>
          <cell r="O10">
            <v>6</v>
          </cell>
        </row>
        <row r="11">
          <cell r="A11" t="str">
            <v>A-7</v>
          </cell>
          <cell r="B11">
            <v>7</v>
          </cell>
          <cell r="C11" t="str">
            <v>HI PVC 전선관 신설</v>
          </cell>
          <cell r="D11" t="str">
            <v>HI 28mm</v>
          </cell>
          <cell r="E11" t="str">
            <v>m</v>
          </cell>
          <cell r="F11">
            <v>132.5</v>
          </cell>
          <cell r="G11">
            <v>787</v>
          </cell>
          <cell r="H11">
            <v>104277</v>
          </cell>
          <cell r="I11">
            <v>13967</v>
          </cell>
          <cell r="J11">
            <v>1850627</v>
          </cell>
          <cell r="L11">
            <v>0</v>
          </cell>
          <cell r="M11">
            <v>14754</v>
          </cell>
          <cell r="N11">
            <v>1954904</v>
          </cell>
          <cell r="O11">
            <v>7</v>
          </cell>
        </row>
        <row r="12">
          <cell r="A12" t="str">
            <v>A-8</v>
          </cell>
          <cell r="B12">
            <v>8</v>
          </cell>
          <cell r="C12" t="str">
            <v>HI PVC 전선관 신설</v>
          </cell>
          <cell r="D12" t="str">
            <v>HI 42mm</v>
          </cell>
          <cell r="E12" t="str">
            <v>m</v>
          </cell>
          <cell r="F12">
            <v>199.20000000000002</v>
          </cell>
          <cell r="G12">
            <v>1456</v>
          </cell>
          <cell r="H12">
            <v>290035</v>
          </cell>
          <cell r="I12">
            <v>19718</v>
          </cell>
          <cell r="J12">
            <v>3927825</v>
          </cell>
          <cell r="L12">
            <v>0</v>
          </cell>
          <cell r="M12">
            <v>21174</v>
          </cell>
          <cell r="N12">
            <v>4217860</v>
          </cell>
          <cell r="O12">
            <v>8</v>
          </cell>
        </row>
        <row r="13">
          <cell r="A13" t="str">
            <v>A-9</v>
          </cell>
          <cell r="B13">
            <v>9</v>
          </cell>
          <cell r="C13" t="str">
            <v>앙카 설치</v>
          </cell>
          <cell r="D13" t="str">
            <v>3/8"(M10)</v>
          </cell>
          <cell r="E13" t="str">
            <v>개</v>
          </cell>
          <cell r="F13">
            <v>178</v>
          </cell>
          <cell r="G13">
            <v>428</v>
          </cell>
          <cell r="H13">
            <v>76184</v>
          </cell>
          <cell r="I13">
            <v>21966</v>
          </cell>
          <cell r="J13">
            <v>3909948</v>
          </cell>
          <cell r="L13">
            <v>0</v>
          </cell>
          <cell r="M13">
            <v>22394</v>
          </cell>
          <cell r="N13">
            <v>3986132</v>
          </cell>
          <cell r="O13">
            <v>9</v>
          </cell>
        </row>
        <row r="14">
          <cell r="A14" t="str">
            <v>A-10</v>
          </cell>
          <cell r="B14">
            <v>10</v>
          </cell>
          <cell r="C14" t="str">
            <v>아웃트박스 신설</v>
          </cell>
          <cell r="D14" t="str">
            <v>중형4각 54mm</v>
          </cell>
          <cell r="E14" t="str">
            <v>개</v>
          </cell>
          <cell r="F14">
            <v>12</v>
          </cell>
          <cell r="G14">
            <v>1498</v>
          </cell>
          <cell r="H14">
            <v>17976</v>
          </cell>
          <cell r="I14">
            <v>40862</v>
          </cell>
          <cell r="J14">
            <v>490344</v>
          </cell>
          <cell r="L14">
            <v>0</v>
          </cell>
          <cell r="M14">
            <v>42360</v>
          </cell>
          <cell r="N14">
            <v>508320</v>
          </cell>
          <cell r="O14">
            <v>10</v>
          </cell>
        </row>
        <row r="15">
          <cell r="A15" t="str">
            <v>A-12</v>
          </cell>
          <cell r="B15">
            <v>12</v>
          </cell>
          <cell r="C15" t="str">
            <v>풀박스 신설</v>
          </cell>
          <cell r="D15" t="str">
            <v>철재 1.2t200×200×100mm</v>
          </cell>
          <cell r="E15" t="str">
            <v>개</v>
          </cell>
          <cell r="F15">
            <v>2</v>
          </cell>
          <cell r="G15">
            <v>3440</v>
          </cell>
          <cell r="H15">
            <v>6880</v>
          </cell>
          <cell r="I15">
            <v>62440</v>
          </cell>
          <cell r="J15">
            <v>124880</v>
          </cell>
          <cell r="L15">
            <v>0</v>
          </cell>
          <cell r="M15">
            <v>65880</v>
          </cell>
          <cell r="N15">
            <v>131760</v>
          </cell>
          <cell r="O15">
            <v>12</v>
          </cell>
        </row>
        <row r="16">
          <cell r="A16" t="str">
            <v>A-13</v>
          </cell>
          <cell r="B16">
            <v>13</v>
          </cell>
          <cell r="C16" t="str">
            <v>풀박스 신설</v>
          </cell>
          <cell r="D16" t="str">
            <v>철재 1.2t300×300×100mm</v>
          </cell>
          <cell r="E16" t="str">
            <v>개</v>
          </cell>
          <cell r="F16">
            <v>8</v>
          </cell>
          <cell r="G16">
            <v>5410</v>
          </cell>
          <cell r="H16">
            <v>43280</v>
          </cell>
          <cell r="I16">
            <v>62440</v>
          </cell>
          <cell r="J16">
            <v>499520</v>
          </cell>
          <cell r="L16">
            <v>0</v>
          </cell>
          <cell r="M16">
            <v>67850</v>
          </cell>
          <cell r="N16">
            <v>542800</v>
          </cell>
          <cell r="O16">
            <v>13</v>
          </cell>
        </row>
        <row r="17">
          <cell r="A17" t="str">
            <v>A-15</v>
          </cell>
          <cell r="B17">
            <v>15</v>
          </cell>
          <cell r="C17" t="str">
            <v>풀박스 신설</v>
          </cell>
          <cell r="D17" t="str">
            <v>철재 1.2t400×400×300mm</v>
          </cell>
          <cell r="E17" t="str">
            <v>개</v>
          </cell>
          <cell r="F17">
            <v>1</v>
          </cell>
          <cell r="G17">
            <v>13050</v>
          </cell>
          <cell r="H17">
            <v>13050</v>
          </cell>
          <cell r="I17">
            <v>118308</v>
          </cell>
          <cell r="J17">
            <v>118308</v>
          </cell>
          <cell r="L17">
            <v>0</v>
          </cell>
          <cell r="M17">
            <v>131358</v>
          </cell>
          <cell r="N17">
            <v>131358</v>
          </cell>
          <cell r="O17">
            <v>15</v>
          </cell>
        </row>
        <row r="18">
          <cell r="A18" t="str">
            <v>A-16</v>
          </cell>
          <cell r="B18">
            <v>16</v>
          </cell>
          <cell r="C18" t="str">
            <v>풀박스 신설</v>
          </cell>
          <cell r="D18" t="str">
            <v>철재 1.2t500×500×300mm</v>
          </cell>
          <cell r="E18" t="str">
            <v>개</v>
          </cell>
          <cell r="F18">
            <v>3</v>
          </cell>
          <cell r="G18">
            <v>22800</v>
          </cell>
          <cell r="H18">
            <v>68400</v>
          </cell>
          <cell r="I18">
            <v>118308</v>
          </cell>
          <cell r="J18">
            <v>354924</v>
          </cell>
          <cell r="L18">
            <v>0</v>
          </cell>
          <cell r="M18">
            <v>141108</v>
          </cell>
          <cell r="N18">
            <v>423324</v>
          </cell>
          <cell r="O18">
            <v>16</v>
          </cell>
        </row>
        <row r="19">
          <cell r="A19" t="str">
            <v>A-17</v>
          </cell>
          <cell r="B19">
            <v>17</v>
          </cell>
          <cell r="C19" t="str">
            <v>풀박스 신설</v>
          </cell>
          <cell r="D19" t="str">
            <v>철재 1.2t600×600×300mm</v>
          </cell>
          <cell r="E19" t="str">
            <v>개</v>
          </cell>
          <cell r="F19">
            <v>3</v>
          </cell>
          <cell r="G19">
            <v>28500</v>
          </cell>
          <cell r="H19">
            <v>85500</v>
          </cell>
          <cell r="I19">
            <v>118308</v>
          </cell>
          <cell r="J19">
            <v>354924</v>
          </cell>
          <cell r="L19">
            <v>0</v>
          </cell>
          <cell r="M19">
            <v>146808</v>
          </cell>
          <cell r="N19">
            <v>440424</v>
          </cell>
          <cell r="O19">
            <v>17</v>
          </cell>
        </row>
        <row r="20">
          <cell r="A20" t="str">
            <v>A-18</v>
          </cell>
          <cell r="B20">
            <v>18</v>
          </cell>
          <cell r="C20" t="str">
            <v>본딩 크램프 설치</v>
          </cell>
          <cell r="D20" t="str">
            <v xml:space="preserve">16C                    </v>
          </cell>
          <cell r="E20" t="str">
            <v>개소</v>
          </cell>
          <cell r="F20">
            <v>3</v>
          </cell>
          <cell r="G20">
            <v>228</v>
          </cell>
          <cell r="H20">
            <v>684</v>
          </cell>
          <cell r="I20">
            <v>17253</v>
          </cell>
          <cell r="J20">
            <v>51759</v>
          </cell>
          <cell r="L20">
            <v>0</v>
          </cell>
          <cell r="M20">
            <v>17481</v>
          </cell>
          <cell r="N20">
            <v>52443</v>
          </cell>
          <cell r="O20">
            <v>18</v>
          </cell>
        </row>
        <row r="21">
          <cell r="A21" t="str">
            <v>A-19</v>
          </cell>
          <cell r="B21">
            <v>19</v>
          </cell>
          <cell r="C21" t="str">
            <v>본딩 크램프 설치</v>
          </cell>
          <cell r="D21" t="str">
            <v xml:space="preserve">22C                    </v>
          </cell>
          <cell r="E21" t="str">
            <v>개소</v>
          </cell>
          <cell r="F21">
            <v>57</v>
          </cell>
          <cell r="G21">
            <v>248</v>
          </cell>
          <cell r="H21">
            <v>14136</v>
          </cell>
          <cell r="I21">
            <v>17253</v>
          </cell>
          <cell r="J21">
            <v>983421</v>
          </cell>
          <cell r="L21">
            <v>0</v>
          </cell>
          <cell r="M21">
            <v>17501</v>
          </cell>
          <cell r="N21">
            <v>997557</v>
          </cell>
          <cell r="O21">
            <v>19</v>
          </cell>
        </row>
        <row r="22">
          <cell r="A22" t="str">
            <v>A-20</v>
          </cell>
          <cell r="B22">
            <v>20</v>
          </cell>
          <cell r="C22" t="str">
            <v>본딩 크램프 설치</v>
          </cell>
          <cell r="D22" t="str">
            <v xml:space="preserve">28C                    </v>
          </cell>
          <cell r="E22" t="str">
            <v>개소</v>
          </cell>
          <cell r="F22">
            <v>37</v>
          </cell>
          <cell r="G22">
            <v>298</v>
          </cell>
          <cell r="H22">
            <v>11026</v>
          </cell>
          <cell r="I22">
            <v>17253</v>
          </cell>
          <cell r="J22">
            <v>638361</v>
          </cell>
          <cell r="L22">
            <v>0</v>
          </cell>
          <cell r="M22">
            <v>17551</v>
          </cell>
          <cell r="N22">
            <v>649387</v>
          </cell>
          <cell r="O22">
            <v>20</v>
          </cell>
        </row>
        <row r="23">
          <cell r="A23" t="str">
            <v>A-21</v>
          </cell>
          <cell r="B23">
            <v>21</v>
          </cell>
          <cell r="C23" t="str">
            <v>본딩 크램프 설치</v>
          </cell>
          <cell r="D23" t="str">
            <v xml:space="preserve">36C                    </v>
          </cell>
          <cell r="E23" t="str">
            <v>개소</v>
          </cell>
          <cell r="F23">
            <v>10</v>
          </cell>
          <cell r="G23">
            <v>338</v>
          </cell>
          <cell r="H23">
            <v>3380</v>
          </cell>
          <cell r="I23">
            <v>17253</v>
          </cell>
          <cell r="J23">
            <v>172530</v>
          </cell>
          <cell r="L23">
            <v>0</v>
          </cell>
          <cell r="M23">
            <v>17591</v>
          </cell>
          <cell r="N23">
            <v>175910</v>
          </cell>
          <cell r="O23">
            <v>21</v>
          </cell>
        </row>
        <row r="24">
          <cell r="A24" t="str">
            <v>A-22</v>
          </cell>
          <cell r="B24">
            <v>22</v>
          </cell>
          <cell r="C24" t="str">
            <v>본딩 크램프 설치</v>
          </cell>
          <cell r="D24" t="str">
            <v xml:space="preserve">42C                    </v>
          </cell>
          <cell r="E24" t="str">
            <v>개소</v>
          </cell>
          <cell r="F24">
            <v>11</v>
          </cell>
          <cell r="G24">
            <v>438</v>
          </cell>
          <cell r="H24">
            <v>4818</v>
          </cell>
          <cell r="I24">
            <v>18896</v>
          </cell>
          <cell r="J24">
            <v>207856</v>
          </cell>
          <cell r="L24">
            <v>0</v>
          </cell>
          <cell r="M24">
            <v>19334</v>
          </cell>
          <cell r="N24">
            <v>212674</v>
          </cell>
          <cell r="O24">
            <v>22</v>
          </cell>
        </row>
        <row r="25">
          <cell r="A25" t="str">
            <v>A-23</v>
          </cell>
          <cell r="B25">
            <v>23</v>
          </cell>
          <cell r="C25" t="str">
            <v>본딩 크램프 설치</v>
          </cell>
          <cell r="D25" t="str">
            <v xml:space="preserve">54C                    </v>
          </cell>
          <cell r="E25" t="str">
            <v>개소</v>
          </cell>
          <cell r="F25">
            <v>39</v>
          </cell>
          <cell r="G25">
            <v>658</v>
          </cell>
          <cell r="H25">
            <v>25662</v>
          </cell>
          <cell r="I25">
            <v>18896</v>
          </cell>
          <cell r="J25">
            <v>736944</v>
          </cell>
          <cell r="L25">
            <v>0</v>
          </cell>
          <cell r="M25">
            <v>19554</v>
          </cell>
          <cell r="N25">
            <v>762606</v>
          </cell>
          <cell r="O25">
            <v>23</v>
          </cell>
        </row>
        <row r="26">
          <cell r="A26" t="str">
            <v>A-24</v>
          </cell>
          <cell r="B26">
            <v>24</v>
          </cell>
          <cell r="C26" t="str">
            <v>DUCT 신설</v>
          </cell>
          <cell r="D26" t="str">
            <v>100W×50H</v>
          </cell>
          <cell r="E26" t="str">
            <v>m</v>
          </cell>
          <cell r="F26">
            <v>6</v>
          </cell>
          <cell r="G26">
            <v>70310</v>
          </cell>
          <cell r="H26">
            <v>421860</v>
          </cell>
          <cell r="I26">
            <v>31220</v>
          </cell>
          <cell r="J26">
            <v>187320</v>
          </cell>
          <cell r="L26">
            <v>0</v>
          </cell>
          <cell r="M26">
            <v>101530</v>
          </cell>
          <cell r="N26">
            <v>609180</v>
          </cell>
          <cell r="O26">
            <v>24</v>
          </cell>
        </row>
        <row r="27">
          <cell r="A27" t="str">
            <v>A-25</v>
          </cell>
          <cell r="B27">
            <v>25</v>
          </cell>
          <cell r="C27" t="str">
            <v>DUCT 신설</v>
          </cell>
          <cell r="D27" t="str">
            <v>200W×100H</v>
          </cell>
          <cell r="E27" t="str">
            <v>m</v>
          </cell>
          <cell r="F27">
            <v>12</v>
          </cell>
          <cell r="G27">
            <v>83310</v>
          </cell>
          <cell r="H27">
            <v>999720</v>
          </cell>
          <cell r="I27">
            <v>61619</v>
          </cell>
          <cell r="J27">
            <v>739428</v>
          </cell>
          <cell r="L27">
            <v>0</v>
          </cell>
          <cell r="M27">
            <v>144929</v>
          </cell>
          <cell r="N27">
            <v>1739148</v>
          </cell>
          <cell r="O27">
            <v>25</v>
          </cell>
        </row>
        <row r="28">
          <cell r="A28" t="str">
            <v>A-26</v>
          </cell>
          <cell r="B28">
            <v>26</v>
          </cell>
          <cell r="C28" t="str">
            <v>DUCT 신설</v>
          </cell>
          <cell r="D28" t="str">
            <v>300W×200H</v>
          </cell>
          <cell r="E28" t="str">
            <v>m</v>
          </cell>
          <cell r="F28">
            <v>3</v>
          </cell>
          <cell r="G28">
            <v>114310</v>
          </cell>
          <cell r="H28">
            <v>342930</v>
          </cell>
          <cell r="I28">
            <v>92839</v>
          </cell>
          <cell r="J28">
            <v>278517</v>
          </cell>
          <cell r="L28">
            <v>0</v>
          </cell>
          <cell r="M28">
            <v>207149</v>
          </cell>
          <cell r="N28">
            <v>621447</v>
          </cell>
          <cell r="O28">
            <v>26</v>
          </cell>
        </row>
        <row r="29">
          <cell r="A29" t="str">
            <v>A-27</v>
          </cell>
          <cell r="B29">
            <v>27</v>
          </cell>
          <cell r="C29" t="str">
            <v>CABLE TRAY 신설</v>
          </cell>
          <cell r="D29" t="str">
            <v>200W×100H</v>
          </cell>
          <cell r="E29" t="str">
            <v>m</v>
          </cell>
          <cell r="F29">
            <v>20</v>
          </cell>
          <cell r="G29">
            <v>8400</v>
          </cell>
          <cell r="H29">
            <v>168000</v>
          </cell>
          <cell r="I29">
            <v>34506</v>
          </cell>
          <cell r="J29">
            <v>690120</v>
          </cell>
          <cell r="L29">
            <v>0</v>
          </cell>
          <cell r="M29">
            <v>42906</v>
          </cell>
          <cell r="N29">
            <v>858120</v>
          </cell>
          <cell r="O29">
            <v>27</v>
          </cell>
        </row>
        <row r="30">
          <cell r="A30" t="str">
            <v>A-28</v>
          </cell>
          <cell r="B30">
            <v>28</v>
          </cell>
          <cell r="C30" t="str">
            <v>CABLE TRAY 신설</v>
          </cell>
          <cell r="D30" t="str">
            <v>300W×100H</v>
          </cell>
          <cell r="E30" t="str">
            <v>m</v>
          </cell>
          <cell r="F30">
            <v>12</v>
          </cell>
          <cell r="G30">
            <v>8900</v>
          </cell>
          <cell r="H30">
            <v>106800</v>
          </cell>
          <cell r="I30">
            <v>43544</v>
          </cell>
          <cell r="J30">
            <v>522528</v>
          </cell>
          <cell r="L30">
            <v>0</v>
          </cell>
          <cell r="M30">
            <v>52444</v>
          </cell>
          <cell r="N30">
            <v>629328</v>
          </cell>
          <cell r="O30">
            <v>28</v>
          </cell>
        </row>
        <row r="31">
          <cell r="A31" t="str">
            <v>A-29</v>
          </cell>
          <cell r="B31">
            <v>29</v>
          </cell>
          <cell r="C31" t="str">
            <v>케이블 신설</v>
          </cell>
          <cell r="D31" t="str">
            <v>CV 3.5˚/2C</v>
          </cell>
          <cell r="E31" t="str">
            <v>m</v>
          </cell>
          <cell r="F31">
            <v>1334.72</v>
          </cell>
          <cell r="G31">
            <v>621</v>
          </cell>
          <cell r="H31">
            <v>828861</v>
          </cell>
          <cell r="I31">
            <v>2578</v>
          </cell>
          <cell r="J31">
            <v>3440908</v>
          </cell>
          <cell r="L31">
            <v>0</v>
          </cell>
          <cell r="M31">
            <v>3199</v>
          </cell>
          <cell r="N31">
            <v>4269769</v>
          </cell>
          <cell r="O31">
            <v>29</v>
          </cell>
        </row>
        <row r="32">
          <cell r="A32" t="str">
            <v>A-31</v>
          </cell>
          <cell r="B32">
            <v>31</v>
          </cell>
          <cell r="C32" t="str">
            <v>케이블 신설</v>
          </cell>
          <cell r="D32" t="str">
            <v>CV 14˚/2C</v>
          </cell>
          <cell r="E32" t="str">
            <v>m</v>
          </cell>
          <cell r="F32">
            <v>28</v>
          </cell>
          <cell r="G32">
            <v>1667</v>
          </cell>
          <cell r="H32">
            <v>46676</v>
          </cell>
          <cell r="I32">
            <v>4298</v>
          </cell>
          <cell r="J32">
            <v>120344</v>
          </cell>
          <cell r="L32">
            <v>0</v>
          </cell>
          <cell r="M32">
            <v>5965</v>
          </cell>
          <cell r="N32">
            <v>167020</v>
          </cell>
          <cell r="O32">
            <v>31</v>
          </cell>
        </row>
        <row r="33">
          <cell r="A33" t="str">
            <v>A-34</v>
          </cell>
          <cell r="B33">
            <v>34</v>
          </cell>
          <cell r="C33" t="str">
            <v>케이블 신설</v>
          </cell>
          <cell r="D33" t="str">
            <v>CV 8˚/3C</v>
          </cell>
          <cell r="E33" t="str">
            <v>m</v>
          </cell>
          <cell r="F33">
            <v>46.599999999999994</v>
          </cell>
          <cell r="G33">
            <v>1483</v>
          </cell>
          <cell r="H33">
            <v>69107</v>
          </cell>
          <cell r="I33">
            <v>4298</v>
          </cell>
          <cell r="J33">
            <v>200286</v>
          </cell>
          <cell r="L33">
            <v>0</v>
          </cell>
          <cell r="M33">
            <v>5781</v>
          </cell>
          <cell r="N33">
            <v>269393</v>
          </cell>
          <cell r="O33">
            <v>34</v>
          </cell>
        </row>
        <row r="34">
          <cell r="A34" t="str">
            <v>A-35</v>
          </cell>
          <cell r="B34">
            <v>35</v>
          </cell>
          <cell r="C34" t="str">
            <v>케이블 신설</v>
          </cell>
          <cell r="D34" t="str">
            <v>CV 14˚/3C</v>
          </cell>
          <cell r="E34" t="str">
            <v>m</v>
          </cell>
          <cell r="F34">
            <v>117.4</v>
          </cell>
          <cell r="G34">
            <v>2324</v>
          </cell>
          <cell r="H34">
            <v>272837</v>
          </cell>
          <cell r="I34">
            <v>6017</v>
          </cell>
          <cell r="J34">
            <v>706395</v>
          </cell>
          <cell r="L34">
            <v>0</v>
          </cell>
          <cell r="M34">
            <v>8341</v>
          </cell>
          <cell r="N34">
            <v>979232</v>
          </cell>
          <cell r="O34">
            <v>35</v>
          </cell>
        </row>
        <row r="35">
          <cell r="A35" t="str">
            <v>A-36</v>
          </cell>
          <cell r="B35">
            <v>36</v>
          </cell>
          <cell r="C35" t="str">
            <v>케이블 신설</v>
          </cell>
          <cell r="D35" t="str">
            <v>CV 22˚/3C</v>
          </cell>
          <cell r="E35" t="str">
            <v>m</v>
          </cell>
          <cell r="F35">
            <v>73.800000000000011</v>
          </cell>
          <cell r="G35">
            <v>3382</v>
          </cell>
          <cell r="H35">
            <v>249591</v>
          </cell>
          <cell r="I35">
            <v>7736</v>
          </cell>
          <cell r="J35">
            <v>570916</v>
          </cell>
          <cell r="L35">
            <v>0</v>
          </cell>
          <cell r="M35">
            <v>11118</v>
          </cell>
          <cell r="N35">
            <v>820507</v>
          </cell>
          <cell r="O35">
            <v>36</v>
          </cell>
        </row>
        <row r="36">
          <cell r="A36" t="str">
            <v>A-37</v>
          </cell>
          <cell r="B36">
            <v>37</v>
          </cell>
          <cell r="C36" t="str">
            <v>케이블 신설</v>
          </cell>
          <cell r="D36" t="str">
            <v>IV 3.5˚</v>
          </cell>
          <cell r="E36" t="str">
            <v>m</v>
          </cell>
          <cell r="F36">
            <v>679.7</v>
          </cell>
          <cell r="G36">
            <v>206</v>
          </cell>
          <cell r="H36">
            <v>140018</v>
          </cell>
          <cell r="I36">
            <v>1547</v>
          </cell>
          <cell r="J36">
            <v>1051495</v>
          </cell>
          <cell r="L36">
            <v>0</v>
          </cell>
          <cell r="M36">
            <v>1753</v>
          </cell>
          <cell r="N36">
            <v>1191513</v>
          </cell>
          <cell r="O36">
            <v>37</v>
          </cell>
        </row>
        <row r="37">
          <cell r="A37" t="str">
            <v>A-38</v>
          </cell>
          <cell r="B37">
            <v>38</v>
          </cell>
          <cell r="C37" t="str">
            <v>케이블 신설</v>
          </cell>
          <cell r="D37" t="str">
            <v>IV 8˚</v>
          </cell>
          <cell r="E37" t="str">
            <v>m</v>
          </cell>
          <cell r="F37">
            <v>46.599999999999994</v>
          </cell>
          <cell r="G37">
            <v>455</v>
          </cell>
          <cell r="H37">
            <v>21203</v>
          </cell>
          <cell r="I37">
            <v>3094</v>
          </cell>
          <cell r="J37">
            <v>144180</v>
          </cell>
          <cell r="L37">
            <v>0</v>
          </cell>
          <cell r="M37">
            <v>3549</v>
          </cell>
          <cell r="N37">
            <v>165383</v>
          </cell>
          <cell r="O37">
            <v>38</v>
          </cell>
        </row>
        <row r="38">
          <cell r="A38" t="str">
            <v>A-39</v>
          </cell>
          <cell r="B38">
            <v>39</v>
          </cell>
          <cell r="C38" t="str">
            <v>케이블 신설</v>
          </cell>
          <cell r="D38" t="str">
            <v>IV 14˚</v>
          </cell>
          <cell r="E38" t="str">
            <v>m</v>
          </cell>
          <cell r="F38">
            <v>73.800000000000011</v>
          </cell>
          <cell r="G38">
            <v>792</v>
          </cell>
          <cell r="H38">
            <v>58449</v>
          </cell>
          <cell r="I38">
            <v>3094</v>
          </cell>
          <cell r="J38">
            <v>228337</v>
          </cell>
          <cell r="L38">
            <v>0</v>
          </cell>
          <cell r="M38">
            <v>3886</v>
          </cell>
          <cell r="N38">
            <v>286786</v>
          </cell>
          <cell r="O38">
            <v>39</v>
          </cell>
        </row>
        <row r="39">
          <cell r="A39" t="str">
            <v>A-40</v>
          </cell>
          <cell r="B39">
            <v>40</v>
          </cell>
          <cell r="C39" t="str">
            <v>케이블 신설</v>
          </cell>
          <cell r="D39" t="str">
            <v>CVV-SB 1.25˚/4C</v>
          </cell>
          <cell r="E39" t="str">
            <v>m</v>
          </cell>
          <cell r="F39">
            <v>753.2</v>
          </cell>
          <cell r="G39">
            <v>862</v>
          </cell>
          <cell r="H39">
            <v>649258</v>
          </cell>
          <cell r="I39">
            <v>5157</v>
          </cell>
          <cell r="J39">
            <v>3884252</v>
          </cell>
          <cell r="L39">
            <v>0</v>
          </cell>
          <cell r="M39">
            <v>6019</v>
          </cell>
          <cell r="N39">
            <v>4533510</v>
          </cell>
          <cell r="O39">
            <v>40</v>
          </cell>
        </row>
        <row r="40">
          <cell r="A40" t="str">
            <v>A-41</v>
          </cell>
          <cell r="B40">
            <v>41</v>
          </cell>
          <cell r="C40" t="str">
            <v>케이블 신설</v>
          </cell>
          <cell r="D40" t="str">
            <v>CVV-SB 1.25˚/5C</v>
          </cell>
          <cell r="E40" t="str">
            <v>m</v>
          </cell>
          <cell r="F40">
            <v>938.6</v>
          </cell>
          <cell r="G40">
            <v>965</v>
          </cell>
          <cell r="H40">
            <v>905749</v>
          </cell>
          <cell r="I40">
            <v>6017</v>
          </cell>
          <cell r="J40">
            <v>5647556</v>
          </cell>
          <cell r="L40">
            <v>0</v>
          </cell>
          <cell r="M40">
            <v>6982</v>
          </cell>
          <cell r="N40">
            <v>6553305</v>
          </cell>
          <cell r="O40">
            <v>41</v>
          </cell>
        </row>
        <row r="41">
          <cell r="A41" t="str">
            <v>A-42</v>
          </cell>
          <cell r="B41">
            <v>42</v>
          </cell>
          <cell r="C41" t="str">
            <v>케이블 신설</v>
          </cell>
          <cell r="D41" t="str">
            <v>CVV-SB 1.25˚/7C</v>
          </cell>
          <cell r="E41" t="str">
            <v>m</v>
          </cell>
          <cell r="F41">
            <v>205.00000000000003</v>
          </cell>
          <cell r="G41">
            <v>1043</v>
          </cell>
          <cell r="H41">
            <v>213815</v>
          </cell>
          <cell r="I41">
            <v>6877</v>
          </cell>
          <cell r="J41">
            <v>1409785</v>
          </cell>
          <cell r="L41">
            <v>0</v>
          </cell>
          <cell r="M41">
            <v>7920</v>
          </cell>
          <cell r="N41">
            <v>1623600</v>
          </cell>
          <cell r="O41">
            <v>42</v>
          </cell>
        </row>
        <row r="42">
          <cell r="A42" t="str">
            <v>A-43</v>
          </cell>
          <cell r="B42">
            <v>43</v>
          </cell>
          <cell r="C42" t="str">
            <v>케이블 신설</v>
          </cell>
          <cell r="D42" t="str">
            <v>CVV 2.0˚/4C</v>
          </cell>
          <cell r="E42" t="str">
            <v>m</v>
          </cell>
          <cell r="F42">
            <v>385.30000000000007</v>
          </cell>
          <cell r="G42">
            <v>710</v>
          </cell>
          <cell r="H42">
            <v>273563</v>
          </cell>
          <cell r="I42">
            <v>4298</v>
          </cell>
          <cell r="J42">
            <v>1656019</v>
          </cell>
          <cell r="L42">
            <v>0</v>
          </cell>
          <cell r="M42">
            <v>5008</v>
          </cell>
          <cell r="N42">
            <v>1929582</v>
          </cell>
          <cell r="O42">
            <v>43</v>
          </cell>
        </row>
        <row r="43">
          <cell r="A43" t="str">
            <v>A-44</v>
          </cell>
          <cell r="B43">
            <v>44</v>
          </cell>
          <cell r="C43" t="str">
            <v>케이블 신설</v>
          </cell>
          <cell r="D43" t="str">
            <v>SH 5P/.65</v>
          </cell>
          <cell r="E43" t="str">
            <v>m</v>
          </cell>
          <cell r="F43">
            <v>327</v>
          </cell>
          <cell r="G43">
            <v>574</v>
          </cell>
          <cell r="H43">
            <v>187698</v>
          </cell>
          <cell r="I43">
            <v>3500</v>
          </cell>
          <cell r="J43">
            <v>1144500</v>
          </cell>
          <cell r="L43">
            <v>0</v>
          </cell>
          <cell r="M43">
            <v>4074</v>
          </cell>
          <cell r="N43">
            <v>1332198</v>
          </cell>
          <cell r="O43">
            <v>44</v>
          </cell>
        </row>
        <row r="44">
          <cell r="A44" t="str">
            <v>A-45</v>
          </cell>
          <cell r="B44">
            <v>45</v>
          </cell>
          <cell r="C44" t="str">
            <v>케이블 신설</v>
          </cell>
          <cell r="D44" t="str">
            <v>ECX 7C-2V</v>
          </cell>
          <cell r="E44" t="str">
            <v>m</v>
          </cell>
          <cell r="F44">
            <v>635.17999999999995</v>
          </cell>
          <cell r="G44">
            <v>750</v>
          </cell>
          <cell r="H44">
            <v>476385</v>
          </cell>
          <cell r="I44">
            <v>4667</v>
          </cell>
          <cell r="J44">
            <v>2964385</v>
          </cell>
          <cell r="L44">
            <v>0</v>
          </cell>
          <cell r="M44">
            <v>5417</v>
          </cell>
          <cell r="N44">
            <v>3440770</v>
          </cell>
          <cell r="O44">
            <v>45</v>
          </cell>
        </row>
        <row r="45">
          <cell r="A45" t="str">
            <v>A-46</v>
          </cell>
          <cell r="B45">
            <v>46</v>
          </cell>
          <cell r="C45" t="str">
            <v>케이블 신설</v>
          </cell>
          <cell r="D45" t="str">
            <v>GV 22˚</v>
          </cell>
          <cell r="E45" t="str">
            <v>m</v>
          </cell>
          <cell r="F45">
            <v>119.5</v>
          </cell>
          <cell r="G45">
            <v>1307</v>
          </cell>
          <cell r="H45">
            <v>156186</v>
          </cell>
          <cell r="I45">
            <v>4642</v>
          </cell>
          <cell r="J45">
            <v>554719</v>
          </cell>
          <cell r="L45">
            <v>0</v>
          </cell>
          <cell r="M45">
            <v>5949</v>
          </cell>
          <cell r="N45">
            <v>710905</v>
          </cell>
          <cell r="O45">
            <v>46</v>
          </cell>
        </row>
        <row r="46">
          <cell r="A46" t="str">
            <v>A-47</v>
          </cell>
          <cell r="B46">
            <v>47</v>
          </cell>
          <cell r="C46" t="str">
            <v>바닥 깨기</v>
          </cell>
          <cell r="D46" t="str">
            <v>(신설+철거)</v>
          </cell>
          <cell r="E46" t="str">
            <v>㎥</v>
          </cell>
          <cell r="F46">
            <v>4.12</v>
          </cell>
          <cell r="G46">
            <v>0</v>
          </cell>
          <cell r="H46">
            <v>0</v>
          </cell>
          <cell r="I46">
            <v>328706</v>
          </cell>
          <cell r="J46">
            <v>1354268</v>
          </cell>
          <cell r="L46">
            <v>0</v>
          </cell>
          <cell r="M46">
            <v>328706</v>
          </cell>
          <cell r="N46">
            <v>1354268</v>
          </cell>
          <cell r="O46">
            <v>47</v>
          </cell>
        </row>
        <row r="47">
          <cell r="A47" t="str">
            <v>A-48</v>
          </cell>
          <cell r="B47">
            <v>48</v>
          </cell>
          <cell r="C47" t="str">
            <v>노즐박스 신설</v>
          </cell>
          <cell r="D47" t="str">
            <v>400×200×100</v>
          </cell>
          <cell r="E47" t="str">
            <v>개</v>
          </cell>
          <cell r="F47">
            <v>34</v>
          </cell>
          <cell r="G47">
            <v>98000</v>
          </cell>
          <cell r="H47">
            <v>3332000</v>
          </cell>
          <cell r="I47">
            <v>101877</v>
          </cell>
          <cell r="J47">
            <v>3463818</v>
          </cell>
          <cell r="L47">
            <v>0</v>
          </cell>
          <cell r="M47">
            <v>199877</v>
          </cell>
          <cell r="N47">
            <v>6795818</v>
          </cell>
          <cell r="O47">
            <v>48</v>
          </cell>
        </row>
        <row r="48">
          <cell r="A48" t="str">
            <v>A-49</v>
          </cell>
          <cell r="B48">
            <v>49</v>
          </cell>
          <cell r="C48" t="str">
            <v>화강석 깔기</v>
          </cell>
          <cell r="D48" t="str">
            <v>연마 24t</v>
          </cell>
          <cell r="E48" t="str">
            <v>㎡</v>
          </cell>
          <cell r="F48">
            <v>16.079999999999998</v>
          </cell>
          <cell r="G48">
            <v>34980</v>
          </cell>
          <cell r="H48">
            <v>562478</v>
          </cell>
          <cell r="I48">
            <v>112066</v>
          </cell>
          <cell r="J48">
            <v>1802021</v>
          </cell>
          <cell r="L48">
            <v>0</v>
          </cell>
          <cell r="M48">
            <v>147046</v>
          </cell>
          <cell r="N48">
            <v>2364499</v>
          </cell>
          <cell r="O48">
            <v>49</v>
          </cell>
        </row>
        <row r="49">
          <cell r="A49" t="str">
            <v>A-50</v>
          </cell>
          <cell r="B49">
            <v>50</v>
          </cell>
          <cell r="C49" t="str">
            <v>자동 발매기</v>
          </cell>
          <cell r="D49" t="str">
            <v>장비이설</v>
          </cell>
          <cell r="E49" t="str">
            <v>대</v>
          </cell>
          <cell r="F49">
            <v>4</v>
          </cell>
          <cell r="G49">
            <v>7436</v>
          </cell>
          <cell r="H49">
            <v>29744</v>
          </cell>
          <cell r="I49">
            <v>701319</v>
          </cell>
          <cell r="J49">
            <v>2805276</v>
          </cell>
          <cell r="L49">
            <v>0</v>
          </cell>
          <cell r="M49">
            <v>708755</v>
          </cell>
          <cell r="N49">
            <v>2835020</v>
          </cell>
          <cell r="O49">
            <v>50</v>
          </cell>
        </row>
        <row r="50">
          <cell r="A50" t="str">
            <v>A-51</v>
          </cell>
          <cell r="B50">
            <v>51</v>
          </cell>
          <cell r="C50" t="str">
            <v>자동 발권기</v>
          </cell>
          <cell r="D50" t="str">
            <v>장비이설</v>
          </cell>
          <cell r="E50" t="str">
            <v>대</v>
          </cell>
          <cell r="F50">
            <v>5</v>
          </cell>
          <cell r="G50">
            <v>10538</v>
          </cell>
          <cell r="H50">
            <v>52690</v>
          </cell>
          <cell r="I50">
            <v>170123</v>
          </cell>
          <cell r="J50">
            <v>850615</v>
          </cell>
          <cell r="L50">
            <v>0</v>
          </cell>
          <cell r="M50">
            <v>180661</v>
          </cell>
          <cell r="N50">
            <v>903305</v>
          </cell>
          <cell r="O50">
            <v>51</v>
          </cell>
        </row>
        <row r="51">
          <cell r="A51" t="str">
            <v>A-52</v>
          </cell>
          <cell r="B51">
            <v>52</v>
          </cell>
          <cell r="C51" t="str">
            <v>보통권 발매기</v>
          </cell>
          <cell r="D51" t="str">
            <v>장비이설</v>
          </cell>
          <cell r="E51" t="str">
            <v>대</v>
          </cell>
          <cell r="F51">
            <v>5</v>
          </cell>
          <cell r="G51">
            <v>0</v>
          </cell>
          <cell r="H51">
            <v>0</v>
          </cell>
          <cell r="I51">
            <v>669770</v>
          </cell>
          <cell r="J51">
            <v>3348850</v>
          </cell>
          <cell r="L51">
            <v>0</v>
          </cell>
          <cell r="M51">
            <v>669770</v>
          </cell>
          <cell r="N51">
            <v>3348850</v>
          </cell>
          <cell r="O51">
            <v>52</v>
          </cell>
        </row>
        <row r="52">
          <cell r="A52" t="str">
            <v>A-53</v>
          </cell>
          <cell r="B52">
            <v>53</v>
          </cell>
          <cell r="C52" t="str">
            <v>역단위 전산기 (SACU)</v>
          </cell>
          <cell r="D52" t="str">
            <v>장비이설</v>
          </cell>
          <cell r="E52" t="str">
            <v>대</v>
          </cell>
          <cell r="F52">
            <v>1</v>
          </cell>
          <cell r="G52">
            <v>0</v>
          </cell>
          <cell r="H52">
            <v>0</v>
          </cell>
          <cell r="I52">
            <v>954203</v>
          </cell>
          <cell r="J52">
            <v>954203</v>
          </cell>
          <cell r="L52">
            <v>0</v>
          </cell>
          <cell r="M52">
            <v>954203</v>
          </cell>
          <cell r="N52">
            <v>954203</v>
          </cell>
          <cell r="O52">
            <v>53</v>
          </cell>
        </row>
        <row r="53">
          <cell r="A53" t="str">
            <v>A-54</v>
          </cell>
          <cell r="B53">
            <v>54</v>
          </cell>
          <cell r="C53" t="str">
            <v>자동개집표기</v>
          </cell>
          <cell r="D53" t="str">
            <v>장비이설</v>
          </cell>
          <cell r="E53" t="str">
            <v>대</v>
          </cell>
          <cell r="F53">
            <v>30</v>
          </cell>
          <cell r="G53">
            <v>5307</v>
          </cell>
          <cell r="H53">
            <v>159210</v>
          </cell>
          <cell r="I53">
            <v>570398</v>
          </cell>
          <cell r="J53">
            <v>17111940</v>
          </cell>
          <cell r="L53">
            <v>0</v>
          </cell>
          <cell r="M53">
            <v>575705</v>
          </cell>
          <cell r="N53">
            <v>17271150</v>
          </cell>
          <cell r="O53">
            <v>54</v>
          </cell>
        </row>
        <row r="54">
          <cell r="A54" t="str">
            <v>A-55</v>
          </cell>
          <cell r="B54">
            <v>55</v>
          </cell>
          <cell r="C54" t="str">
            <v>비상GATE 신설</v>
          </cell>
          <cell r="D54">
            <v>0</v>
          </cell>
          <cell r="E54" t="str">
            <v>대</v>
          </cell>
          <cell r="F54">
            <v>4</v>
          </cell>
          <cell r="G54">
            <v>1560810</v>
          </cell>
          <cell r="H54">
            <v>6243240</v>
          </cell>
          <cell r="I54">
            <v>350271</v>
          </cell>
          <cell r="J54">
            <v>1401084</v>
          </cell>
          <cell r="L54">
            <v>0</v>
          </cell>
          <cell r="M54">
            <v>1911081</v>
          </cell>
          <cell r="N54">
            <v>7644324</v>
          </cell>
          <cell r="O54">
            <v>55</v>
          </cell>
        </row>
        <row r="55">
          <cell r="A55" t="str">
            <v>A-62</v>
          </cell>
          <cell r="B55">
            <v>62</v>
          </cell>
          <cell r="C55" t="str">
            <v>분전반 신설(AFC UPS실)</v>
          </cell>
          <cell r="D55" t="str">
            <v>을지로3가(2) 700×800×200</v>
          </cell>
          <cell r="E55" t="str">
            <v>면</v>
          </cell>
          <cell r="F55">
            <v>1</v>
          </cell>
          <cell r="G55">
            <v>1244581</v>
          </cell>
          <cell r="H55">
            <v>1244581</v>
          </cell>
          <cell r="I55">
            <v>459735</v>
          </cell>
          <cell r="J55">
            <v>459735</v>
          </cell>
          <cell r="L55">
            <v>0</v>
          </cell>
          <cell r="M55">
            <v>1704316</v>
          </cell>
          <cell r="N55">
            <v>1704316</v>
          </cell>
          <cell r="O55">
            <v>62</v>
          </cell>
        </row>
        <row r="56">
          <cell r="A56" t="str">
            <v>A-63</v>
          </cell>
          <cell r="B56">
            <v>63</v>
          </cell>
          <cell r="C56" t="str">
            <v>분전반 신설(AFC UPS실)</v>
          </cell>
          <cell r="D56" t="str">
            <v>을지로3가(2) 700×500×200</v>
          </cell>
          <cell r="E56" t="str">
            <v>면</v>
          </cell>
          <cell r="F56">
            <v>1</v>
          </cell>
          <cell r="G56">
            <v>856993</v>
          </cell>
          <cell r="H56">
            <v>856993</v>
          </cell>
          <cell r="I56">
            <v>224591</v>
          </cell>
          <cell r="J56">
            <v>224591</v>
          </cell>
          <cell r="L56">
            <v>0</v>
          </cell>
          <cell r="M56">
            <v>1081584</v>
          </cell>
          <cell r="N56">
            <v>1081584</v>
          </cell>
          <cell r="O56">
            <v>63</v>
          </cell>
        </row>
        <row r="57">
          <cell r="A57" t="str">
            <v>A-64</v>
          </cell>
          <cell r="B57">
            <v>64</v>
          </cell>
          <cell r="C57" t="str">
            <v>분전반 신설("가"매표소)</v>
          </cell>
          <cell r="D57" t="str">
            <v>을지로3가(2) 600×800×150</v>
          </cell>
          <cell r="E57" t="str">
            <v>면</v>
          </cell>
          <cell r="F57">
            <v>1</v>
          </cell>
          <cell r="G57">
            <v>1052373</v>
          </cell>
          <cell r="H57">
            <v>1052373</v>
          </cell>
          <cell r="I57">
            <v>609552</v>
          </cell>
          <cell r="J57">
            <v>609552</v>
          </cell>
          <cell r="L57">
            <v>0</v>
          </cell>
          <cell r="M57">
            <v>1661925</v>
          </cell>
          <cell r="N57">
            <v>1661925</v>
          </cell>
          <cell r="O57">
            <v>64</v>
          </cell>
        </row>
        <row r="58">
          <cell r="A58" t="str">
            <v>A-65</v>
          </cell>
          <cell r="B58">
            <v>65</v>
          </cell>
          <cell r="C58" t="str">
            <v>분전반 신설("가"매표소)</v>
          </cell>
          <cell r="D58" t="str">
            <v>을지로3가(2) 500×500×150</v>
          </cell>
          <cell r="E58" t="str">
            <v>면</v>
          </cell>
          <cell r="F58">
            <v>1</v>
          </cell>
          <cell r="G58">
            <v>612357</v>
          </cell>
          <cell r="H58">
            <v>612357</v>
          </cell>
          <cell r="I58">
            <v>225734</v>
          </cell>
          <cell r="J58">
            <v>225734</v>
          </cell>
          <cell r="L58">
            <v>0</v>
          </cell>
          <cell r="M58">
            <v>838091</v>
          </cell>
          <cell r="N58">
            <v>838091</v>
          </cell>
          <cell r="O58">
            <v>65</v>
          </cell>
        </row>
        <row r="59">
          <cell r="A59" t="str">
            <v>A-66</v>
          </cell>
          <cell r="B59">
            <v>66</v>
          </cell>
          <cell r="C59" t="str">
            <v>분전반 신설("나"매표소)</v>
          </cell>
          <cell r="D59" t="str">
            <v>을지로3가(2) 600×800×150</v>
          </cell>
          <cell r="E59" t="str">
            <v>면</v>
          </cell>
          <cell r="F59">
            <v>1</v>
          </cell>
          <cell r="G59">
            <v>1023945</v>
          </cell>
          <cell r="H59">
            <v>1023945</v>
          </cell>
          <cell r="I59">
            <v>609552</v>
          </cell>
          <cell r="J59">
            <v>609552</v>
          </cell>
          <cell r="L59">
            <v>0</v>
          </cell>
          <cell r="M59">
            <v>1633497</v>
          </cell>
          <cell r="N59">
            <v>1633497</v>
          </cell>
          <cell r="O59">
            <v>66</v>
          </cell>
        </row>
        <row r="60">
          <cell r="A60" t="str">
            <v>A-67</v>
          </cell>
          <cell r="B60">
            <v>67</v>
          </cell>
          <cell r="C60" t="str">
            <v>분전반 신설("나"매표소)</v>
          </cell>
          <cell r="D60" t="str">
            <v>을지로3가(2) 500×500×150</v>
          </cell>
          <cell r="E60" t="str">
            <v>면</v>
          </cell>
          <cell r="F60">
            <v>1</v>
          </cell>
          <cell r="G60">
            <v>612357</v>
          </cell>
          <cell r="H60">
            <v>612357</v>
          </cell>
          <cell r="I60">
            <v>225734</v>
          </cell>
          <cell r="J60">
            <v>225734</v>
          </cell>
          <cell r="L60">
            <v>0</v>
          </cell>
          <cell r="M60">
            <v>838091</v>
          </cell>
          <cell r="N60">
            <v>838091</v>
          </cell>
          <cell r="O60">
            <v>67</v>
          </cell>
        </row>
        <row r="61">
          <cell r="A61" t="str">
            <v>A-72</v>
          </cell>
          <cell r="B61">
            <v>72</v>
          </cell>
          <cell r="C61" t="str">
            <v>바닥구멍 뚫기</v>
          </cell>
          <cell r="D61" t="str">
            <v>천공</v>
          </cell>
          <cell r="E61" t="str">
            <v>개소</v>
          </cell>
          <cell r="F61">
            <v>2</v>
          </cell>
          <cell r="G61">
            <v>983</v>
          </cell>
          <cell r="H61">
            <v>1966</v>
          </cell>
          <cell r="I61">
            <v>110445</v>
          </cell>
          <cell r="J61">
            <v>220890</v>
          </cell>
          <cell r="L61">
            <v>0</v>
          </cell>
          <cell r="M61">
            <v>111428</v>
          </cell>
          <cell r="N61">
            <v>222856</v>
          </cell>
          <cell r="O61">
            <v>72</v>
          </cell>
        </row>
        <row r="62">
          <cell r="A62" t="str">
            <v>A-73</v>
          </cell>
          <cell r="B62">
            <v>73</v>
          </cell>
          <cell r="C62" t="str">
            <v>접지 공사</v>
          </cell>
          <cell r="D62" t="str">
            <v>5Ω 이하</v>
          </cell>
          <cell r="E62" t="str">
            <v>개소</v>
          </cell>
          <cell r="F62">
            <v>1</v>
          </cell>
          <cell r="G62">
            <v>57712</v>
          </cell>
          <cell r="H62">
            <v>57712</v>
          </cell>
          <cell r="I62">
            <v>187599</v>
          </cell>
          <cell r="J62">
            <v>187599</v>
          </cell>
          <cell r="L62">
            <v>0</v>
          </cell>
          <cell r="M62">
            <v>245311</v>
          </cell>
          <cell r="N62">
            <v>245311</v>
          </cell>
          <cell r="O62">
            <v>73</v>
          </cell>
        </row>
        <row r="63">
          <cell r="A63" t="str">
            <v>가</v>
          </cell>
          <cell r="C63" t="str">
            <v>소         계</v>
          </cell>
          <cell r="H63">
            <v>26432052</v>
          </cell>
          <cell r="J63">
            <v>118308114</v>
          </cell>
          <cell r="L63">
            <v>0</v>
          </cell>
          <cell r="N63">
            <v>144740166</v>
          </cell>
        </row>
        <row r="64">
          <cell r="C64" t="str">
            <v>2. AFC 시설 철거공사</v>
          </cell>
        </row>
        <row r="65">
          <cell r="A65" t="str">
            <v>A-74</v>
          </cell>
          <cell r="B65">
            <v>74</v>
          </cell>
          <cell r="C65" t="str">
            <v>전선관 철거</v>
          </cell>
          <cell r="D65" t="str">
            <v>아연도 16C</v>
          </cell>
          <cell r="E65" t="str">
            <v>m</v>
          </cell>
          <cell r="F65">
            <v>71.400000000000006</v>
          </cell>
          <cell r="G65">
            <v>0</v>
          </cell>
          <cell r="H65">
            <v>0</v>
          </cell>
          <cell r="I65">
            <v>4107</v>
          </cell>
          <cell r="J65">
            <v>293239</v>
          </cell>
          <cell r="L65">
            <v>0</v>
          </cell>
          <cell r="M65">
            <v>4107</v>
          </cell>
          <cell r="N65">
            <v>293239</v>
          </cell>
          <cell r="O65">
            <v>74</v>
          </cell>
        </row>
        <row r="66">
          <cell r="A66" t="str">
            <v>A-75</v>
          </cell>
          <cell r="B66">
            <v>75</v>
          </cell>
          <cell r="C66" t="str">
            <v>전선관 철거</v>
          </cell>
          <cell r="D66" t="str">
            <v>아연도 22C</v>
          </cell>
          <cell r="E66" t="str">
            <v>m</v>
          </cell>
          <cell r="F66">
            <v>356.90000000000003</v>
          </cell>
          <cell r="G66">
            <v>0</v>
          </cell>
          <cell r="H66">
            <v>0</v>
          </cell>
          <cell r="I66">
            <v>5751</v>
          </cell>
          <cell r="J66">
            <v>2052531</v>
          </cell>
          <cell r="L66">
            <v>0</v>
          </cell>
          <cell r="M66">
            <v>5751</v>
          </cell>
          <cell r="N66">
            <v>2052531</v>
          </cell>
          <cell r="O66">
            <v>75</v>
          </cell>
        </row>
        <row r="67">
          <cell r="A67" t="str">
            <v>A-76</v>
          </cell>
          <cell r="B67">
            <v>76</v>
          </cell>
          <cell r="C67" t="str">
            <v>전선관 철거</v>
          </cell>
          <cell r="D67" t="str">
            <v>아연도 28C</v>
          </cell>
          <cell r="E67" t="str">
            <v>m</v>
          </cell>
          <cell r="F67">
            <v>100</v>
          </cell>
          <cell r="G67">
            <v>0</v>
          </cell>
          <cell r="H67">
            <v>0</v>
          </cell>
          <cell r="I67">
            <v>7394</v>
          </cell>
          <cell r="J67">
            <v>739400</v>
          </cell>
          <cell r="L67">
            <v>0</v>
          </cell>
          <cell r="M67">
            <v>7394</v>
          </cell>
          <cell r="N67">
            <v>739400</v>
          </cell>
          <cell r="O67">
            <v>76</v>
          </cell>
        </row>
        <row r="68">
          <cell r="A68" t="str">
            <v>A-77</v>
          </cell>
          <cell r="B68">
            <v>77</v>
          </cell>
          <cell r="C68" t="str">
            <v>전선관 철거</v>
          </cell>
          <cell r="D68" t="str">
            <v>아연도 36C</v>
          </cell>
          <cell r="E68" t="str">
            <v>m</v>
          </cell>
          <cell r="F68">
            <v>188.5</v>
          </cell>
          <cell r="G68">
            <v>0</v>
          </cell>
          <cell r="H68">
            <v>0</v>
          </cell>
          <cell r="I68">
            <v>10680</v>
          </cell>
          <cell r="J68">
            <v>2013180</v>
          </cell>
          <cell r="L68">
            <v>0</v>
          </cell>
          <cell r="M68">
            <v>10680</v>
          </cell>
          <cell r="N68">
            <v>2013180</v>
          </cell>
          <cell r="O68">
            <v>77</v>
          </cell>
        </row>
        <row r="69">
          <cell r="A69" t="str">
            <v>A-78</v>
          </cell>
          <cell r="B69">
            <v>78</v>
          </cell>
          <cell r="C69" t="str">
            <v>전선관 철거</v>
          </cell>
          <cell r="D69" t="str">
            <v>아연도 42C</v>
          </cell>
          <cell r="E69" t="str">
            <v>m</v>
          </cell>
          <cell r="F69">
            <v>250.8</v>
          </cell>
          <cell r="G69">
            <v>0</v>
          </cell>
          <cell r="H69">
            <v>0</v>
          </cell>
          <cell r="I69">
            <v>13145</v>
          </cell>
          <cell r="J69">
            <v>3296766</v>
          </cell>
          <cell r="L69">
            <v>0</v>
          </cell>
          <cell r="M69">
            <v>13145</v>
          </cell>
          <cell r="N69">
            <v>3296766</v>
          </cell>
          <cell r="O69">
            <v>78</v>
          </cell>
        </row>
        <row r="70">
          <cell r="A70" t="str">
            <v>A-79</v>
          </cell>
          <cell r="B70">
            <v>79</v>
          </cell>
          <cell r="C70" t="str">
            <v>전선관 철거</v>
          </cell>
          <cell r="D70" t="str">
            <v>아연도 54C</v>
          </cell>
          <cell r="E70" t="str">
            <v>m</v>
          </cell>
          <cell r="F70">
            <v>146.6</v>
          </cell>
          <cell r="G70">
            <v>0</v>
          </cell>
          <cell r="H70">
            <v>0</v>
          </cell>
          <cell r="I70">
            <v>18074</v>
          </cell>
          <cell r="J70">
            <v>2649648</v>
          </cell>
          <cell r="L70">
            <v>0</v>
          </cell>
          <cell r="M70">
            <v>18074</v>
          </cell>
          <cell r="N70">
            <v>2649648</v>
          </cell>
          <cell r="O70">
            <v>79</v>
          </cell>
        </row>
        <row r="71">
          <cell r="A71" t="str">
            <v>A-80</v>
          </cell>
          <cell r="B71">
            <v>80</v>
          </cell>
          <cell r="C71" t="str">
            <v>HI PVC 전선관 철거</v>
          </cell>
          <cell r="D71" t="str">
            <v>HI 22mm</v>
          </cell>
          <cell r="E71" t="str">
            <v>m</v>
          </cell>
          <cell r="F71">
            <v>32.700000000000003</v>
          </cell>
          <cell r="G71">
            <v>0</v>
          </cell>
          <cell r="H71">
            <v>0</v>
          </cell>
          <cell r="I71">
            <v>2464</v>
          </cell>
          <cell r="J71">
            <v>80572</v>
          </cell>
          <cell r="L71">
            <v>0</v>
          </cell>
          <cell r="M71">
            <v>2464</v>
          </cell>
          <cell r="N71">
            <v>80572</v>
          </cell>
          <cell r="O71">
            <v>80</v>
          </cell>
        </row>
        <row r="72">
          <cell r="A72" t="str">
            <v>A-81</v>
          </cell>
          <cell r="B72">
            <v>81</v>
          </cell>
          <cell r="C72" t="str">
            <v>HI PVC 전선관 철거</v>
          </cell>
          <cell r="D72" t="str">
            <v>HI 28mm</v>
          </cell>
          <cell r="E72" t="str">
            <v>m</v>
          </cell>
          <cell r="F72">
            <v>25.2</v>
          </cell>
          <cell r="G72">
            <v>0</v>
          </cell>
          <cell r="H72">
            <v>0</v>
          </cell>
          <cell r="I72">
            <v>4107</v>
          </cell>
          <cell r="J72">
            <v>103496</v>
          </cell>
          <cell r="L72">
            <v>0</v>
          </cell>
          <cell r="M72">
            <v>4107</v>
          </cell>
          <cell r="N72">
            <v>103496</v>
          </cell>
          <cell r="O72">
            <v>81</v>
          </cell>
        </row>
        <row r="73">
          <cell r="A73" t="str">
            <v>A-82</v>
          </cell>
          <cell r="B73">
            <v>82</v>
          </cell>
          <cell r="C73" t="str">
            <v>DUCT 철거</v>
          </cell>
          <cell r="D73" t="str">
            <v>100W×100H</v>
          </cell>
          <cell r="E73" t="str">
            <v>m</v>
          </cell>
          <cell r="F73">
            <v>3</v>
          </cell>
          <cell r="G73">
            <v>0</v>
          </cell>
          <cell r="H73">
            <v>0</v>
          </cell>
          <cell r="I73">
            <v>8215</v>
          </cell>
          <cell r="J73">
            <v>24645</v>
          </cell>
          <cell r="L73">
            <v>0</v>
          </cell>
          <cell r="M73">
            <v>8215</v>
          </cell>
          <cell r="N73">
            <v>24645</v>
          </cell>
          <cell r="O73">
            <v>82</v>
          </cell>
        </row>
        <row r="74">
          <cell r="A74" t="str">
            <v>A-83</v>
          </cell>
          <cell r="B74">
            <v>83</v>
          </cell>
          <cell r="C74" t="str">
            <v>DUCT 철거</v>
          </cell>
          <cell r="D74" t="str">
            <v>200W×100H</v>
          </cell>
          <cell r="E74" t="str">
            <v>m</v>
          </cell>
          <cell r="F74">
            <v>9</v>
          </cell>
          <cell r="G74">
            <v>0</v>
          </cell>
          <cell r="H74">
            <v>0</v>
          </cell>
          <cell r="I74">
            <v>16431</v>
          </cell>
          <cell r="J74">
            <v>147879</v>
          </cell>
          <cell r="L74">
            <v>0</v>
          </cell>
          <cell r="M74">
            <v>16431</v>
          </cell>
          <cell r="N74">
            <v>147879</v>
          </cell>
          <cell r="O74">
            <v>83</v>
          </cell>
        </row>
        <row r="75">
          <cell r="A75" t="str">
            <v>A-84</v>
          </cell>
          <cell r="B75">
            <v>84</v>
          </cell>
          <cell r="C75" t="str">
            <v>DUCT 철거</v>
          </cell>
          <cell r="D75" t="str">
            <v>250W×200H</v>
          </cell>
          <cell r="E75" t="str">
            <v>m</v>
          </cell>
          <cell r="F75">
            <v>9</v>
          </cell>
          <cell r="G75">
            <v>0</v>
          </cell>
          <cell r="H75">
            <v>0</v>
          </cell>
          <cell r="I75">
            <v>20539</v>
          </cell>
          <cell r="J75">
            <v>184851</v>
          </cell>
          <cell r="L75">
            <v>0</v>
          </cell>
          <cell r="M75">
            <v>20539</v>
          </cell>
          <cell r="N75">
            <v>184851</v>
          </cell>
          <cell r="O75">
            <v>84</v>
          </cell>
        </row>
        <row r="76">
          <cell r="A76" t="str">
            <v>A-85</v>
          </cell>
          <cell r="B76">
            <v>85</v>
          </cell>
          <cell r="C76" t="str">
            <v>DUCT 철거</v>
          </cell>
          <cell r="D76" t="str">
            <v>300W×150H</v>
          </cell>
          <cell r="E76" t="str">
            <v>m</v>
          </cell>
          <cell r="F76">
            <v>3</v>
          </cell>
          <cell r="G76">
            <v>0</v>
          </cell>
          <cell r="H76">
            <v>0</v>
          </cell>
          <cell r="I76">
            <v>14788</v>
          </cell>
          <cell r="J76">
            <v>44364</v>
          </cell>
          <cell r="L76">
            <v>0</v>
          </cell>
          <cell r="M76">
            <v>14788</v>
          </cell>
          <cell r="N76">
            <v>44364</v>
          </cell>
          <cell r="O76">
            <v>85</v>
          </cell>
        </row>
        <row r="77">
          <cell r="A77" t="str">
            <v>A-86</v>
          </cell>
          <cell r="B77">
            <v>86</v>
          </cell>
          <cell r="C77" t="str">
            <v>케이블 철거</v>
          </cell>
          <cell r="D77" t="str">
            <v>CV 3.5˚/2C</v>
          </cell>
          <cell r="E77" t="str">
            <v>m</v>
          </cell>
          <cell r="F77">
            <v>464.00000000000006</v>
          </cell>
          <cell r="G77">
            <v>0</v>
          </cell>
          <cell r="H77">
            <v>0</v>
          </cell>
          <cell r="I77">
            <v>1719</v>
          </cell>
          <cell r="J77">
            <v>797616</v>
          </cell>
          <cell r="L77">
            <v>0</v>
          </cell>
          <cell r="M77">
            <v>1719</v>
          </cell>
          <cell r="N77">
            <v>797616</v>
          </cell>
          <cell r="O77">
            <v>86</v>
          </cell>
        </row>
        <row r="78">
          <cell r="A78" t="str">
            <v>A-87</v>
          </cell>
          <cell r="B78">
            <v>87</v>
          </cell>
          <cell r="C78" t="str">
            <v>케이블 철거</v>
          </cell>
          <cell r="D78" t="str">
            <v>CV 5.5˚/2C</v>
          </cell>
          <cell r="E78" t="str">
            <v>m</v>
          </cell>
          <cell r="F78">
            <v>323.59999999999997</v>
          </cell>
          <cell r="G78">
            <v>0</v>
          </cell>
          <cell r="H78">
            <v>0</v>
          </cell>
          <cell r="I78">
            <v>1719</v>
          </cell>
          <cell r="J78">
            <v>556268</v>
          </cell>
          <cell r="L78">
            <v>0</v>
          </cell>
          <cell r="M78">
            <v>1719</v>
          </cell>
          <cell r="N78">
            <v>556268</v>
          </cell>
          <cell r="O78">
            <v>87</v>
          </cell>
        </row>
        <row r="79">
          <cell r="A79" t="str">
            <v>A-89</v>
          </cell>
          <cell r="B79">
            <v>89</v>
          </cell>
          <cell r="C79" t="str">
            <v>케이블 철거</v>
          </cell>
          <cell r="D79" t="str">
            <v>CV 22˚/2C</v>
          </cell>
          <cell r="E79" t="str">
            <v>m</v>
          </cell>
          <cell r="F79">
            <v>128.29999999999998</v>
          </cell>
          <cell r="G79">
            <v>0</v>
          </cell>
          <cell r="H79">
            <v>0</v>
          </cell>
          <cell r="I79">
            <v>3438</v>
          </cell>
          <cell r="J79">
            <v>441095</v>
          </cell>
          <cell r="L79">
            <v>0</v>
          </cell>
          <cell r="M79">
            <v>3438</v>
          </cell>
          <cell r="N79">
            <v>441095</v>
          </cell>
          <cell r="O79">
            <v>89</v>
          </cell>
        </row>
        <row r="80">
          <cell r="A80" t="str">
            <v>A-90</v>
          </cell>
          <cell r="B80">
            <v>90</v>
          </cell>
          <cell r="C80" t="str">
            <v>케이블 철거</v>
          </cell>
          <cell r="D80" t="str">
            <v>IV 3.5˚</v>
          </cell>
          <cell r="E80" t="str">
            <v>m</v>
          </cell>
          <cell r="F80">
            <v>234.50000000000003</v>
          </cell>
          <cell r="G80">
            <v>0</v>
          </cell>
          <cell r="H80">
            <v>0</v>
          </cell>
          <cell r="I80">
            <v>859</v>
          </cell>
          <cell r="J80">
            <v>201435</v>
          </cell>
          <cell r="L80">
            <v>0</v>
          </cell>
          <cell r="M80">
            <v>859</v>
          </cell>
          <cell r="N80">
            <v>201435</v>
          </cell>
          <cell r="O80">
            <v>90</v>
          </cell>
        </row>
        <row r="81">
          <cell r="A81" t="str">
            <v>A-92</v>
          </cell>
          <cell r="B81">
            <v>92</v>
          </cell>
          <cell r="C81" t="str">
            <v>케이블 철거</v>
          </cell>
          <cell r="D81" t="str">
            <v>IV 14˚</v>
          </cell>
          <cell r="E81" t="str">
            <v>m</v>
          </cell>
          <cell r="F81">
            <v>96.5</v>
          </cell>
          <cell r="G81">
            <v>0</v>
          </cell>
          <cell r="H81">
            <v>0</v>
          </cell>
          <cell r="I81">
            <v>1719</v>
          </cell>
          <cell r="J81">
            <v>165883</v>
          </cell>
          <cell r="L81">
            <v>0</v>
          </cell>
          <cell r="M81">
            <v>1719</v>
          </cell>
          <cell r="N81">
            <v>165883</v>
          </cell>
          <cell r="O81">
            <v>92</v>
          </cell>
        </row>
        <row r="82">
          <cell r="A82" t="str">
            <v>A-94</v>
          </cell>
          <cell r="B82">
            <v>94</v>
          </cell>
          <cell r="C82" t="str">
            <v>케이블 철거</v>
          </cell>
          <cell r="D82" t="str">
            <v>CVV-SB 1.25˚/4C</v>
          </cell>
          <cell r="E82" t="str">
            <v>m</v>
          </cell>
          <cell r="F82">
            <v>778.59999999999991</v>
          </cell>
          <cell r="G82">
            <v>0</v>
          </cell>
          <cell r="H82">
            <v>0</v>
          </cell>
          <cell r="I82">
            <v>1719</v>
          </cell>
          <cell r="J82">
            <v>1338413</v>
          </cell>
          <cell r="L82">
            <v>0</v>
          </cell>
          <cell r="M82">
            <v>1719</v>
          </cell>
          <cell r="N82">
            <v>1338413</v>
          </cell>
          <cell r="O82">
            <v>94</v>
          </cell>
        </row>
        <row r="83">
          <cell r="A83" t="str">
            <v>A-95</v>
          </cell>
          <cell r="B83">
            <v>95</v>
          </cell>
          <cell r="C83" t="str">
            <v>케이블 철거</v>
          </cell>
          <cell r="D83" t="str">
            <v>CVV-SB 1.25˚/5C</v>
          </cell>
          <cell r="E83" t="str">
            <v>m</v>
          </cell>
          <cell r="F83">
            <v>227.8</v>
          </cell>
          <cell r="G83">
            <v>0</v>
          </cell>
          <cell r="H83">
            <v>0</v>
          </cell>
          <cell r="I83">
            <v>2578</v>
          </cell>
          <cell r="J83">
            <v>587268</v>
          </cell>
          <cell r="L83">
            <v>0</v>
          </cell>
          <cell r="M83">
            <v>2578</v>
          </cell>
          <cell r="N83">
            <v>587268</v>
          </cell>
          <cell r="O83">
            <v>95</v>
          </cell>
        </row>
        <row r="84">
          <cell r="A84" t="str">
            <v>A-97</v>
          </cell>
          <cell r="B84">
            <v>97</v>
          </cell>
          <cell r="C84" t="str">
            <v>케이블 철거</v>
          </cell>
          <cell r="D84" t="str">
            <v>CVV 2.0˚/4C</v>
          </cell>
          <cell r="E84" t="str">
            <v>m</v>
          </cell>
          <cell r="F84">
            <v>168.6</v>
          </cell>
          <cell r="G84">
            <v>0</v>
          </cell>
          <cell r="H84">
            <v>0</v>
          </cell>
          <cell r="I84">
            <v>1719</v>
          </cell>
          <cell r="J84">
            <v>289823</v>
          </cell>
          <cell r="L84">
            <v>0</v>
          </cell>
          <cell r="M84">
            <v>1719</v>
          </cell>
          <cell r="N84">
            <v>289823</v>
          </cell>
          <cell r="O84">
            <v>97</v>
          </cell>
        </row>
        <row r="85">
          <cell r="A85" t="str">
            <v>A-98</v>
          </cell>
          <cell r="B85">
            <v>98</v>
          </cell>
          <cell r="C85" t="str">
            <v>케이블 철거</v>
          </cell>
          <cell r="D85" t="str">
            <v>SH 5P/.65</v>
          </cell>
          <cell r="E85" t="str">
            <v>m</v>
          </cell>
          <cell r="F85">
            <v>518</v>
          </cell>
          <cell r="G85">
            <v>0</v>
          </cell>
          <cell r="H85">
            <v>0</v>
          </cell>
          <cell r="I85">
            <v>1166</v>
          </cell>
          <cell r="J85">
            <v>603988</v>
          </cell>
          <cell r="L85">
            <v>0</v>
          </cell>
          <cell r="M85">
            <v>1166</v>
          </cell>
          <cell r="N85">
            <v>603988</v>
          </cell>
          <cell r="O85">
            <v>98</v>
          </cell>
        </row>
        <row r="86">
          <cell r="A86" t="str">
            <v>A-99</v>
          </cell>
          <cell r="B86">
            <v>99</v>
          </cell>
          <cell r="C86" t="str">
            <v>케이블 철거</v>
          </cell>
          <cell r="D86" t="str">
            <v>ECX 7C-2V</v>
          </cell>
          <cell r="E86" t="str">
            <v>m</v>
          </cell>
          <cell r="F86">
            <v>782.3</v>
          </cell>
          <cell r="G86">
            <v>0</v>
          </cell>
          <cell r="H86">
            <v>0</v>
          </cell>
          <cell r="I86">
            <v>1166</v>
          </cell>
          <cell r="J86">
            <v>912161</v>
          </cell>
          <cell r="L86">
            <v>0</v>
          </cell>
          <cell r="M86">
            <v>1166</v>
          </cell>
          <cell r="N86">
            <v>912161</v>
          </cell>
          <cell r="O86">
            <v>99</v>
          </cell>
        </row>
        <row r="87">
          <cell r="A87" t="str">
            <v>A-100</v>
          </cell>
          <cell r="B87">
            <v>100</v>
          </cell>
          <cell r="C87" t="str">
            <v>케이블 철거</v>
          </cell>
          <cell r="D87" t="str">
            <v>GV 38˚</v>
          </cell>
          <cell r="E87" t="str">
            <v>m</v>
          </cell>
          <cell r="F87">
            <v>51.900000000000006</v>
          </cell>
          <cell r="G87">
            <v>0</v>
          </cell>
          <cell r="H87">
            <v>0</v>
          </cell>
          <cell r="I87">
            <v>1547</v>
          </cell>
          <cell r="J87">
            <v>80289</v>
          </cell>
          <cell r="L87">
            <v>0</v>
          </cell>
          <cell r="M87">
            <v>1547</v>
          </cell>
          <cell r="N87">
            <v>80289</v>
          </cell>
          <cell r="O87">
            <v>100</v>
          </cell>
        </row>
        <row r="88">
          <cell r="A88" t="str">
            <v>A-101</v>
          </cell>
          <cell r="B88">
            <v>101</v>
          </cell>
          <cell r="C88" t="str">
            <v>비상GATE 철거</v>
          </cell>
          <cell r="D88">
            <v>0</v>
          </cell>
          <cell r="E88" t="str">
            <v>대</v>
          </cell>
          <cell r="F88">
            <v>4</v>
          </cell>
          <cell r="G88">
            <v>0</v>
          </cell>
          <cell r="H88">
            <v>0</v>
          </cell>
          <cell r="I88">
            <v>397902</v>
          </cell>
          <cell r="J88">
            <v>1591608</v>
          </cell>
          <cell r="L88">
            <v>0</v>
          </cell>
          <cell r="M88">
            <v>397902</v>
          </cell>
          <cell r="N88">
            <v>1591608</v>
          </cell>
          <cell r="O88">
            <v>101</v>
          </cell>
        </row>
        <row r="89">
          <cell r="A89" t="str">
            <v>A-105</v>
          </cell>
          <cell r="B89">
            <v>105</v>
          </cell>
          <cell r="C89" t="str">
            <v>분전반 철거(역무실)</v>
          </cell>
          <cell r="D89" t="str">
            <v>을지로3가(2) 500×900×150</v>
          </cell>
          <cell r="E89" t="str">
            <v>면</v>
          </cell>
          <cell r="F89">
            <v>1</v>
          </cell>
          <cell r="G89">
            <v>0</v>
          </cell>
          <cell r="H89">
            <v>0</v>
          </cell>
          <cell r="I89">
            <v>22437</v>
          </cell>
          <cell r="J89">
            <v>22437</v>
          </cell>
          <cell r="L89">
            <v>0</v>
          </cell>
          <cell r="M89">
            <v>22437</v>
          </cell>
          <cell r="N89">
            <v>22437</v>
          </cell>
          <cell r="O89">
            <v>105</v>
          </cell>
        </row>
        <row r="90">
          <cell r="A90" t="str">
            <v>A-106</v>
          </cell>
          <cell r="B90">
            <v>106</v>
          </cell>
          <cell r="C90" t="str">
            <v>분전반 철거("가"매표소)</v>
          </cell>
          <cell r="D90" t="str">
            <v>을지로3가(2) 500×800×150</v>
          </cell>
          <cell r="E90" t="str">
            <v>면</v>
          </cell>
          <cell r="F90">
            <v>1</v>
          </cell>
          <cell r="G90">
            <v>0</v>
          </cell>
          <cell r="H90">
            <v>0</v>
          </cell>
          <cell r="I90">
            <v>22437</v>
          </cell>
          <cell r="J90">
            <v>22437</v>
          </cell>
          <cell r="L90">
            <v>0</v>
          </cell>
          <cell r="M90">
            <v>22437</v>
          </cell>
          <cell r="N90">
            <v>22437</v>
          </cell>
          <cell r="O90">
            <v>106</v>
          </cell>
        </row>
        <row r="91">
          <cell r="A91" t="str">
            <v>A-107</v>
          </cell>
          <cell r="B91">
            <v>107</v>
          </cell>
          <cell r="C91" t="str">
            <v>분전반 철거("나"매표소)</v>
          </cell>
          <cell r="D91" t="str">
            <v>을지로3가(2) 500×750×150</v>
          </cell>
          <cell r="E91" t="str">
            <v>면</v>
          </cell>
          <cell r="F91">
            <v>1</v>
          </cell>
          <cell r="G91">
            <v>0</v>
          </cell>
          <cell r="H91">
            <v>0</v>
          </cell>
          <cell r="I91">
            <v>22437</v>
          </cell>
          <cell r="J91">
            <v>22437</v>
          </cell>
          <cell r="L91">
            <v>0</v>
          </cell>
          <cell r="M91">
            <v>22437</v>
          </cell>
          <cell r="N91">
            <v>22437</v>
          </cell>
          <cell r="O91">
            <v>107</v>
          </cell>
        </row>
        <row r="92">
          <cell r="A92" t="str">
            <v>A-111</v>
          </cell>
          <cell r="B92">
            <v>111</v>
          </cell>
          <cell r="C92" t="str">
            <v>CAMERA 철거</v>
          </cell>
          <cell r="D92">
            <v>0</v>
          </cell>
          <cell r="E92" t="str">
            <v>EA</v>
          </cell>
          <cell r="F92">
            <v>8</v>
          </cell>
          <cell r="G92">
            <v>0</v>
          </cell>
          <cell r="H92">
            <v>0</v>
          </cell>
          <cell r="I92">
            <v>31653</v>
          </cell>
          <cell r="J92">
            <v>253224</v>
          </cell>
          <cell r="L92">
            <v>0</v>
          </cell>
          <cell r="M92">
            <v>31653</v>
          </cell>
          <cell r="N92">
            <v>253224</v>
          </cell>
          <cell r="O92">
            <v>111</v>
          </cell>
        </row>
        <row r="93">
          <cell r="A93" t="str">
            <v>A-112</v>
          </cell>
          <cell r="B93">
            <v>112</v>
          </cell>
          <cell r="C93" t="str">
            <v>CCTV RACK 철거</v>
          </cell>
          <cell r="D93">
            <v>0</v>
          </cell>
          <cell r="E93" t="str">
            <v>EA</v>
          </cell>
          <cell r="F93">
            <v>1</v>
          </cell>
          <cell r="G93">
            <v>0</v>
          </cell>
          <cell r="H93">
            <v>0</v>
          </cell>
          <cell r="I93">
            <v>19252</v>
          </cell>
          <cell r="J93">
            <v>19252</v>
          </cell>
          <cell r="L93">
            <v>0</v>
          </cell>
          <cell r="M93">
            <v>19252</v>
          </cell>
          <cell r="N93">
            <v>19252</v>
          </cell>
          <cell r="O93">
            <v>112</v>
          </cell>
        </row>
        <row r="103">
          <cell r="A103" t="str">
            <v>라</v>
          </cell>
          <cell r="C103" t="str">
            <v>소         계</v>
          </cell>
          <cell r="H103">
            <v>0</v>
          </cell>
          <cell r="J103">
            <v>19536205</v>
          </cell>
          <cell r="K103">
            <v>0</v>
          </cell>
          <cell r="L103">
            <v>0</v>
          </cell>
          <cell r="N103">
            <v>19536205</v>
          </cell>
        </row>
        <row r="104">
          <cell r="C104" t="str">
            <v>3. AFC 시설 가설 신설 및 철거공사</v>
          </cell>
        </row>
        <row r="105">
          <cell r="A105" t="str">
            <v>A-113</v>
          </cell>
          <cell r="B105">
            <v>113</v>
          </cell>
          <cell r="C105" t="str">
            <v>케이블 신설</v>
          </cell>
          <cell r="D105" t="str">
            <v>CV 3.5˚/2C</v>
          </cell>
          <cell r="E105" t="str">
            <v>m</v>
          </cell>
          <cell r="F105">
            <v>341.8</v>
          </cell>
          <cell r="G105">
            <v>621</v>
          </cell>
          <cell r="H105">
            <v>212257</v>
          </cell>
          <cell r="I105">
            <v>4297</v>
          </cell>
          <cell r="J105">
            <v>1468714</v>
          </cell>
          <cell r="L105">
            <v>0</v>
          </cell>
          <cell r="M105">
            <v>4918</v>
          </cell>
          <cell r="N105">
            <v>1680971</v>
          </cell>
          <cell r="O105">
            <v>113</v>
          </cell>
        </row>
        <row r="106">
          <cell r="A106" t="str">
            <v>A-115</v>
          </cell>
          <cell r="B106">
            <v>115</v>
          </cell>
          <cell r="C106" t="str">
            <v>케이블 신설</v>
          </cell>
          <cell r="D106" t="str">
            <v>CV 14˚/2C</v>
          </cell>
          <cell r="E106" t="str">
            <v>m</v>
          </cell>
          <cell r="F106">
            <v>51</v>
          </cell>
          <cell r="G106">
            <v>1667</v>
          </cell>
          <cell r="H106">
            <v>85017</v>
          </cell>
          <cell r="I106">
            <v>6017</v>
          </cell>
          <cell r="J106">
            <v>306867</v>
          </cell>
          <cell r="L106">
            <v>0</v>
          </cell>
          <cell r="M106">
            <v>7684</v>
          </cell>
          <cell r="N106">
            <v>391884</v>
          </cell>
          <cell r="O106">
            <v>115</v>
          </cell>
        </row>
        <row r="107">
          <cell r="A107" t="str">
            <v>A-116</v>
          </cell>
          <cell r="B107">
            <v>116</v>
          </cell>
          <cell r="C107" t="str">
            <v>케이블 신설</v>
          </cell>
          <cell r="D107" t="str">
            <v>CV 22˚/2C</v>
          </cell>
          <cell r="E107" t="str">
            <v>m</v>
          </cell>
          <cell r="F107">
            <v>99.3</v>
          </cell>
          <cell r="G107">
            <v>2405</v>
          </cell>
          <cell r="H107">
            <v>238816</v>
          </cell>
          <cell r="I107">
            <v>7735</v>
          </cell>
          <cell r="J107">
            <v>768085</v>
          </cell>
          <cell r="L107">
            <v>0</v>
          </cell>
          <cell r="M107">
            <v>10140</v>
          </cell>
          <cell r="N107">
            <v>1006901</v>
          </cell>
          <cell r="O107">
            <v>116</v>
          </cell>
        </row>
        <row r="108">
          <cell r="A108" t="str">
            <v>A-117</v>
          </cell>
          <cell r="B108">
            <v>117</v>
          </cell>
          <cell r="C108" t="str">
            <v>케이블 신설</v>
          </cell>
          <cell r="D108" t="str">
            <v>IV 3.5˚</v>
          </cell>
          <cell r="E108" t="str">
            <v>m</v>
          </cell>
          <cell r="F108">
            <v>170.9</v>
          </cell>
          <cell r="G108">
            <v>206</v>
          </cell>
          <cell r="H108">
            <v>35205</v>
          </cell>
          <cell r="I108">
            <v>2320</v>
          </cell>
          <cell r="J108">
            <v>396488</v>
          </cell>
          <cell r="L108">
            <v>0</v>
          </cell>
          <cell r="M108">
            <v>2526</v>
          </cell>
          <cell r="N108">
            <v>431693</v>
          </cell>
          <cell r="O108">
            <v>117</v>
          </cell>
        </row>
        <row r="109">
          <cell r="A109" t="str">
            <v>A-118</v>
          </cell>
          <cell r="B109">
            <v>118</v>
          </cell>
          <cell r="C109" t="str">
            <v>케이블 신설</v>
          </cell>
          <cell r="D109" t="str">
            <v>IV 8˚</v>
          </cell>
          <cell r="E109" t="str">
            <v>m</v>
          </cell>
          <cell r="F109">
            <v>51</v>
          </cell>
          <cell r="G109">
            <v>455</v>
          </cell>
          <cell r="H109">
            <v>23205</v>
          </cell>
          <cell r="I109">
            <v>4641</v>
          </cell>
          <cell r="J109">
            <v>236691</v>
          </cell>
          <cell r="L109">
            <v>0</v>
          </cell>
          <cell r="M109">
            <v>5096</v>
          </cell>
          <cell r="N109">
            <v>259896</v>
          </cell>
          <cell r="O109">
            <v>118</v>
          </cell>
        </row>
        <row r="110">
          <cell r="A110" t="str">
            <v>A-119</v>
          </cell>
          <cell r="B110">
            <v>119</v>
          </cell>
          <cell r="C110" t="str">
            <v>케이블 신설</v>
          </cell>
          <cell r="D110" t="str">
            <v>IV 14˚</v>
          </cell>
          <cell r="E110" t="str">
            <v>m</v>
          </cell>
          <cell r="F110">
            <v>99.3</v>
          </cell>
          <cell r="G110">
            <v>792</v>
          </cell>
          <cell r="H110">
            <v>78645</v>
          </cell>
          <cell r="I110">
            <v>4641</v>
          </cell>
          <cell r="J110">
            <v>460851</v>
          </cell>
          <cell r="L110">
            <v>0</v>
          </cell>
          <cell r="M110">
            <v>5433</v>
          </cell>
          <cell r="N110">
            <v>539496</v>
          </cell>
          <cell r="O110">
            <v>119</v>
          </cell>
        </row>
        <row r="111">
          <cell r="A111" t="str">
            <v>A-120</v>
          </cell>
          <cell r="B111">
            <v>120</v>
          </cell>
          <cell r="C111" t="str">
            <v>케이블 신설</v>
          </cell>
          <cell r="D111" t="str">
            <v>CVV-SB 1.25˚/4C</v>
          </cell>
          <cell r="E111" t="str">
            <v>m</v>
          </cell>
          <cell r="F111">
            <v>300.60000000000002</v>
          </cell>
          <cell r="G111">
            <v>862</v>
          </cell>
          <cell r="H111">
            <v>259117</v>
          </cell>
          <cell r="I111">
            <v>7735</v>
          </cell>
          <cell r="J111">
            <v>2325141</v>
          </cell>
          <cell r="L111">
            <v>0</v>
          </cell>
          <cell r="M111">
            <v>8597</v>
          </cell>
          <cell r="N111">
            <v>2584258</v>
          </cell>
          <cell r="O111">
            <v>120</v>
          </cell>
        </row>
        <row r="112">
          <cell r="A112" t="str">
            <v>A-121</v>
          </cell>
          <cell r="B112">
            <v>121</v>
          </cell>
          <cell r="C112" t="str">
            <v>케이블 신설</v>
          </cell>
          <cell r="D112" t="str">
            <v>CVV-SB 1.25˚/5C</v>
          </cell>
          <cell r="E112" t="str">
            <v>m</v>
          </cell>
          <cell r="F112">
            <v>751.5</v>
          </cell>
          <cell r="G112">
            <v>965</v>
          </cell>
          <cell r="H112">
            <v>725197</v>
          </cell>
          <cell r="I112">
            <v>9455</v>
          </cell>
          <cell r="J112">
            <v>7105432</v>
          </cell>
          <cell r="L112">
            <v>0</v>
          </cell>
          <cell r="M112">
            <v>10420</v>
          </cell>
          <cell r="N112">
            <v>7830629</v>
          </cell>
          <cell r="O112">
            <v>121</v>
          </cell>
        </row>
        <row r="113">
          <cell r="A113" t="str">
            <v>A-122</v>
          </cell>
          <cell r="B113">
            <v>122</v>
          </cell>
          <cell r="C113" t="str">
            <v>케이블 신설</v>
          </cell>
          <cell r="D113" t="str">
            <v>CVV-SB 1.25˚/7C</v>
          </cell>
          <cell r="E113" t="str">
            <v>m</v>
          </cell>
          <cell r="F113">
            <v>166.7</v>
          </cell>
          <cell r="G113">
            <v>1043</v>
          </cell>
          <cell r="H113">
            <v>173868</v>
          </cell>
          <cell r="I113">
            <v>11175</v>
          </cell>
          <cell r="J113">
            <v>1862872</v>
          </cell>
          <cell r="L113">
            <v>0</v>
          </cell>
          <cell r="M113">
            <v>12218</v>
          </cell>
          <cell r="N113">
            <v>2036740</v>
          </cell>
          <cell r="O113">
            <v>122</v>
          </cell>
        </row>
        <row r="114">
          <cell r="A114" t="str">
            <v>A-123</v>
          </cell>
          <cell r="B114">
            <v>123</v>
          </cell>
          <cell r="C114" t="str">
            <v>케이블 신설</v>
          </cell>
          <cell r="D114" t="str">
            <v>CVV 2.0˚/4C</v>
          </cell>
          <cell r="E114" t="str">
            <v>m</v>
          </cell>
          <cell r="F114">
            <v>294.29999999999995</v>
          </cell>
          <cell r="G114">
            <v>710</v>
          </cell>
          <cell r="H114">
            <v>208953</v>
          </cell>
          <cell r="I114">
            <v>6876</v>
          </cell>
          <cell r="J114">
            <v>2023606</v>
          </cell>
          <cell r="L114">
            <v>0</v>
          </cell>
          <cell r="M114">
            <v>7586</v>
          </cell>
          <cell r="N114">
            <v>2232559</v>
          </cell>
          <cell r="O114">
            <v>123</v>
          </cell>
        </row>
        <row r="115">
          <cell r="A115" t="str">
            <v>A-124</v>
          </cell>
          <cell r="B115">
            <v>124</v>
          </cell>
          <cell r="C115" t="str">
            <v>케이블 신설</v>
          </cell>
          <cell r="D115" t="str">
            <v>SH 5P/.65</v>
          </cell>
          <cell r="E115" t="str">
            <v>m</v>
          </cell>
          <cell r="F115">
            <v>448.4</v>
          </cell>
          <cell r="G115">
            <v>574</v>
          </cell>
          <cell r="H115">
            <v>257381</v>
          </cell>
          <cell r="I115">
            <v>5833</v>
          </cell>
          <cell r="J115">
            <v>2615517</v>
          </cell>
          <cell r="L115">
            <v>0</v>
          </cell>
          <cell r="M115">
            <v>6407</v>
          </cell>
          <cell r="N115">
            <v>2872898</v>
          </cell>
          <cell r="O115">
            <v>124</v>
          </cell>
        </row>
        <row r="116">
          <cell r="A116" t="str">
            <v>A-125</v>
          </cell>
          <cell r="B116">
            <v>125</v>
          </cell>
          <cell r="C116" t="str">
            <v>찬넬 가대</v>
          </cell>
          <cell r="D116" t="str">
            <v>W:600mm</v>
          </cell>
          <cell r="E116" t="str">
            <v>개소</v>
          </cell>
          <cell r="F116">
            <v>21</v>
          </cell>
          <cell r="G116">
            <v>1204</v>
          </cell>
          <cell r="H116">
            <v>25284</v>
          </cell>
          <cell r="I116">
            <v>13272</v>
          </cell>
          <cell r="J116">
            <v>278712</v>
          </cell>
          <cell r="L116">
            <v>0</v>
          </cell>
          <cell r="M116">
            <v>14476</v>
          </cell>
          <cell r="N116">
            <v>303996</v>
          </cell>
          <cell r="O116">
            <v>125</v>
          </cell>
        </row>
        <row r="117">
          <cell r="A117" t="str">
            <v>A-126</v>
          </cell>
          <cell r="B117">
            <v>126</v>
          </cell>
          <cell r="C117" t="str">
            <v>찬넬 가대</v>
          </cell>
          <cell r="D117" t="str">
            <v>W:500mm</v>
          </cell>
          <cell r="E117" t="str">
            <v>개소</v>
          </cell>
          <cell r="F117">
            <v>20</v>
          </cell>
          <cell r="G117">
            <v>1146</v>
          </cell>
          <cell r="H117">
            <v>22920</v>
          </cell>
          <cell r="I117">
            <v>13272</v>
          </cell>
          <cell r="J117">
            <v>265440</v>
          </cell>
          <cell r="L117">
            <v>0</v>
          </cell>
          <cell r="M117">
            <v>14418</v>
          </cell>
          <cell r="N117">
            <v>288360</v>
          </cell>
          <cell r="O117">
            <v>126</v>
          </cell>
        </row>
        <row r="118">
          <cell r="A118" t="str">
            <v>A-127</v>
          </cell>
          <cell r="B118">
            <v>127</v>
          </cell>
          <cell r="C118" t="str">
            <v>찬넬 가대</v>
          </cell>
          <cell r="D118" t="str">
            <v>W:400mm</v>
          </cell>
          <cell r="E118" t="str">
            <v>개소</v>
          </cell>
          <cell r="F118">
            <v>95</v>
          </cell>
          <cell r="G118">
            <v>1088</v>
          </cell>
          <cell r="H118">
            <v>103360</v>
          </cell>
          <cell r="I118">
            <v>13272</v>
          </cell>
          <cell r="J118">
            <v>1260840</v>
          </cell>
          <cell r="L118">
            <v>0</v>
          </cell>
          <cell r="M118">
            <v>14360</v>
          </cell>
          <cell r="N118">
            <v>1364200</v>
          </cell>
          <cell r="O118">
            <v>127</v>
          </cell>
        </row>
        <row r="119">
          <cell r="A119" t="str">
            <v>A-129</v>
          </cell>
          <cell r="B119">
            <v>129</v>
          </cell>
          <cell r="C119" t="str">
            <v>찬넬 가대</v>
          </cell>
          <cell r="D119" t="str">
            <v>W:200mm</v>
          </cell>
          <cell r="E119" t="str">
            <v>개소</v>
          </cell>
          <cell r="F119">
            <v>38</v>
          </cell>
          <cell r="G119">
            <v>972</v>
          </cell>
          <cell r="H119">
            <v>36936</v>
          </cell>
          <cell r="I119">
            <v>13272</v>
          </cell>
          <cell r="J119">
            <v>504336</v>
          </cell>
          <cell r="L119">
            <v>0</v>
          </cell>
          <cell r="M119">
            <v>14244</v>
          </cell>
          <cell r="N119">
            <v>541272</v>
          </cell>
          <cell r="O119">
            <v>129</v>
          </cell>
        </row>
        <row r="120">
          <cell r="A120" t="str">
            <v>A-130</v>
          </cell>
          <cell r="B120">
            <v>130</v>
          </cell>
          <cell r="C120" t="str">
            <v>합판 설치</v>
          </cell>
          <cell r="D120">
            <v>0</v>
          </cell>
          <cell r="E120" t="str">
            <v>개소</v>
          </cell>
          <cell r="F120">
            <v>30</v>
          </cell>
          <cell r="G120">
            <v>9517</v>
          </cell>
          <cell r="H120">
            <v>285510</v>
          </cell>
          <cell r="I120">
            <v>15394</v>
          </cell>
          <cell r="J120">
            <v>461820</v>
          </cell>
          <cell r="L120">
            <v>0</v>
          </cell>
          <cell r="M120">
            <v>24911</v>
          </cell>
          <cell r="N120">
            <v>747330</v>
          </cell>
          <cell r="O120">
            <v>130</v>
          </cell>
        </row>
        <row r="123">
          <cell r="A123" t="str">
            <v>사</v>
          </cell>
          <cell r="C123" t="str">
            <v>소         계</v>
          </cell>
          <cell r="H123">
            <v>2771671</v>
          </cell>
          <cell r="J123">
            <v>22341412</v>
          </cell>
          <cell r="K123">
            <v>0</v>
          </cell>
          <cell r="L123">
            <v>0</v>
          </cell>
          <cell r="N123">
            <v>25113083</v>
          </cell>
        </row>
        <row r="124">
          <cell r="C124" t="str">
            <v>4. 고동, 고재 처리비</v>
          </cell>
          <cell r="E124" t="str">
            <v>식</v>
          </cell>
          <cell r="F124">
            <v>1</v>
          </cell>
          <cell r="H124">
            <v>-945807</v>
          </cell>
          <cell r="M124">
            <v>0</v>
          </cell>
          <cell r="N124">
            <v>-945807</v>
          </cell>
        </row>
        <row r="143">
          <cell r="C143" t="str">
            <v>소         계</v>
          </cell>
          <cell r="H143">
            <v>-945807</v>
          </cell>
          <cell r="L143">
            <v>0</v>
          </cell>
          <cell r="N143">
            <v>-945807</v>
          </cell>
        </row>
        <row r="144">
          <cell r="C144" t="str">
            <v>5. 산업폐기물 처리비</v>
          </cell>
          <cell r="E144" t="str">
            <v>식</v>
          </cell>
          <cell r="F144">
            <v>1</v>
          </cell>
          <cell r="L144">
            <v>416977</v>
          </cell>
          <cell r="M144">
            <v>0</v>
          </cell>
          <cell r="N144">
            <v>416977</v>
          </cell>
        </row>
        <row r="161">
          <cell r="C161" t="str">
            <v>소         계</v>
          </cell>
          <cell r="J161">
            <v>0</v>
          </cell>
          <cell r="L161">
            <v>416977</v>
          </cell>
          <cell r="N161">
            <v>416977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</sheetNames>
    <sheetDataSet>
      <sheetData sheetId="0" refreshError="1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계약내역"/>
      <sheetName val="내역서"/>
      <sheetName val="갑지(휘경)"/>
      <sheetName val="CCTV내역서집계 (휘경)"/>
      <sheetName val="CCTV내역서 (휘경)"/>
      <sheetName val="일위대가표 집계표"/>
      <sheetName val="일위대가표"/>
      <sheetName val="휘경 자재 비교"/>
      <sheetName val="갑지(신이문)"/>
      <sheetName val="CCTV내역서집계 (신이문)"/>
      <sheetName val="CCTV내역서(신이문)"/>
      <sheetName val="신이문 자재 비교"/>
      <sheetName val="노무비"/>
      <sheetName val="직재"/>
      <sheetName val="자재단가"/>
      <sheetName val="을지"/>
      <sheetName val="감가상각"/>
      <sheetName val="시화점실행"/>
      <sheetName val="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변경설계설명서"/>
      <sheetName val="변경설계설명서 (2)"/>
      <sheetName val="이전2단계산출내역서"/>
      <sheetName val="총괄"/>
      <sheetName val="개요"/>
      <sheetName val="개략공사비"/>
      <sheetName val="총괄수량집계"/>
      <sheetName val="개요상세"/>
      <sheetName val="표지"/>
      <sheetName val="공정예정표"/>
      <sheetName val="총괄집계표"/>
      <sheetName val="산출내역서2"/>
      <sheetName val="산출내역서"/>
      <sheetName val="원가(갑)"/>
      <sheetName val="원가1"/>
      <sheetName val="원가2"/>
      <sheetName val="수목목록"/>
      <sheetName val="식재하위"/>
      <sheetName val="일위(이식식재)"/>
      <sheetName val="기초,포장,철거,관리목록"/>
      <sheetName val="시설,관리하위"/>
      <sheetName val="일위(포장,우배수)"/>
      <sheetName val="광섬유"/>
      <sheetName val="단가조사"/>
      <sheetName val="시설"/>
      <sheetName val="일위(시설)"/>
      <sheetName val="단산목록(L)"/>
      <sheetName val="단가산출(L)"/>
      <sheetName val="이식수상하차"/>
      <sheetName val="이식수운반"/>
      <sheetName val="단산목록(C)"/>
      <sheetName val="단가산출(C)"/>
      <sheetName val="중기목록"/>
      <sheetName val="중기사용"/>
      <sheetName val="기본단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원가"/>
      <sheetName val="data"/>
      <sheetName val="자재단가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예산서"/>
      <sheetName val="일위대가"/>
      <sheetName val="산출근거(집계)"/>
      <sheetName val="산출근거-1"/>
      <sheetName val="산출근거-2"/>
      <sheetName val="단가비교표"/>
      <sheetName val="단위수량-1"/>
      <sheetName val="노무비 근거"/>
      <sheetName val="000000"/>
      <sheetName val="작업예정량"/>
      <sheetName val="관.자 제작비"/>
      <sheetName val="단가산출 (2)"/>
      <sheetName val="단가산출기초조사서"/>
      <sheetName val="노무비 "/>
      <sheetName val="총괄내역서(1구역)"/>
      <sheetName val="제경비산출서(1구역)"/>
      <sheetName val="총괄표(1구역)"/>
      <sheetName val="원가계산서(1)"/>
      <sheetName val="설계서(갑)"/>
      <sheetName val="갑지1"/>
      <sheetName val="총괄내역서(2구역)"/>
      <sheetName val="제경비산출서(2구역)"/>
      <sheetName val="총괄표(2구역)"/>
      <sheetName val="원가계산서(2구역)"/>
      <sheetName val="설계서(갑2)"/>
      <sheetName val="갑지2"/>
      <sheetName val="준공조서1구역"/>
      <sheetName val="준공조서2구역"/>
      <sheetName val="9GNG운반"/>
      <sheetName val="MOTOR"/>
      <sheetName val="합정로내역서(토목)"/>
      <sheetName val="원형1호맨홀토공수량"/>
      <sheetName val="노임"/>
      <sheetName val="단가비교"/>
      <sheetName val="Sheet1"/>
      <sheetName val="단가 및 재료비"/>
      <sheetName val="1,2공구원가계산서"/>
      <sheetName val="1공구산출내역서"/>
      <sheetName val="노임조서"/>
      <sheetName val="일위"/>
      <sheetName val="을지"/>
      <sheetName val="산출내역서"/>
      <sheetName val="금액결정"/>
      <sheetName val="옥외외등집계표"/>
      <sheetName val="전체"/>
      <sheetName val="기초코드"/>
      <sheetName val="단가"/>
      <sheetName val="화재 탐지 설비"/>
      <sheetName val="수량산출서"/>
      <sheetName val="산출서집계"/>
      <sheetName val="간선계산"/>
      <sheetName val="#REF"/>
      <sheetName val="자재단가"/>
      <sheetName val="단가산출"/>
      <sheetName val="전차선로 물량표"/>
      <sheetName val="한강운반비"/>
      <sheetName val="자재"/>
      <sheetName val="공통(20-91)"/>
      <sheetName val="단락전류-A"/>
      <sheetName val="기술부 VENDOR LIST"/>
      <sheetName val="실행철강하도"/>
      <sheetName val="북방3터널"/>
      <sheetName val="DATA"/>
      <sheetName val="데이타"/>
      <sheetName val="2.1  노무비 평균단가산출"/>
      <sheetName val="원가계산서"/>
      <sheetName val="유입량"/>
      <sheetName val="인부신상자료"/>
      <sheetName val="2공구산출내역"/>
      <sheetName val="배수내역"/>
      <sheetName val="기흥하도용"/>
      <sheetName val="DANGA"/>
      <sheetName val="기둥(원형)"/>
      <sheetName val="DATE"/>
      <sheetName val="건설실행"/>
      <sheetName val="갑지"/>
      <sheetName val="이형관중량"/>
      <sheetName val="일위대가(목록)"/>
      <sheetName val="산근(목록)"/>
      <sheetName val="재료비"/>
      <sheetName val="토공"/>
      <sheetName val="관급"/>
      <sheetName val="코드표"/>
      <sheetName val="이월"/>
      <sheetName val="L_RPTB02_01"/>
      <sheetName val="산수배수"/>
      <sheetName val="을"/>
      <sheetName val="b_balju"/>
      <sheetName val="인제내역"/>
      <sheetName val="사용자일위"/>
      <sheetName val="IT-BAT"/>
      <sheetName val="사업수지"/>
      <sheetName val="일위대가(동대문운동장별관)"/>
      <sheetName val="갑(전기)"/>
      <sheetName val="갑(계장)"/>
      <sheetName val="이월가격"/>
      <sheetName val="12.일위대가"/>
      <sheetName val="투자효율분석"/>
      <sheetName val="22인공"/>
      <sheetName val="터널조도"/>
      <sheetName val="업체별기성내역"/>
      <sheetName val="단가산출서"/>
      <sheetName val="산출"/>
      <sheetName val="공사비집계"/>
      <sheetName val="일위대가(1)"/>
      <sheetName val="ITEM"/>
      <sheetName val="일괄인쇄"/>
      <sheetName val="저"/>
      <sheetName val="본공사"/>
      <sheetName val="기자재비"/>
      <sheetName val="Sheet2"/>
      <sheetName val="안양동교 1안"/>
      <sheetName val="B1(반포1차)"/>
      <sheetName val="수량산출"/>
      <sheetName val="인력터파기품"/>
      <sheetName val="조명율표"/>
      <sheetName val="단위단가"/>
      <sheetName val="인원"/>
      <sheetName val="내역"/>
      <sheetName val="철거산출근거"/>
      <sheetName val="노무"/>
      <sheetName val="인입관수량총괄"/>
      <sheetName val="배관배선 단가조사"/>
      <sheetName val="일위대가집계"/>
      <sheetName val="I一般比"/>
      <sheetName val="N賃率-職"/>
      <sheetName val="인건비(VOICE)"/>
      <sheetName val="노임단가"/>
      <sheetName val="2"/>
      <sheetName val="단위수량"/>
      <sheetName val="현장관리비"/>
      <sheetName val="자재단가비교표"/>
      <sheetName val="일위대가표"/>
      <sheetName val="9509"/>
      <sheetName val="내역서"/>
      <sheetName val="표지 (2)"/>
      <sheetName val="기초자료"/>
      <sheetName val="여과지동"/>
      <sheetName val="J"/>
      <sheetName val="일위(시설)"/>
      <sheetName val="5.공량산출서"/>
      <sheetName val="산출근거"/>
      <sheetName val="간접비계산"/>
      <sheetName val="맨홀수량산출"/>
      <sheetName val="목차"/>
      <sheetName val="설계예시"/>
      <sheetName val="원가"/>
      <sheetName val="식재"/>
      <sheetName val="시설물"/>
      <sheetName val="식재출력용"/>
      <sheetName val="유지관리"/>
      <sheetName val="설계내역서"/>
      <sheetName val="Macro2"/>
      <sheetName val="Macro1"/>
      <sheetName val="SG"/>
      <sheetName val="예가표"/>
      <sheetName val="연습"/>
      <sheetName val="시화점실행"/>
      <sheetName val="대차"/>
      <sheetName val="예산총괄"/>
      <sheetName val="b_balju (2)"/>
      <sheetName val="b_gunmul"/>
      <sheetName val="집계"/>
      <sheetName val="자재테이블"/>
      <sheetName val="통신원가"/>
      <sheetName val="개요"/>
      <sheetName val="정부노임단가"/>
      <sheetName val="6.이토처리시간"/>
      <sheetName val="일위대가(총괄)"/>
      <sheetName val="투찰"/>
      <sheetName val="투찰내역"/>
      <sheetName val="일위목록"/>
      <sheetName val="터파기및재료"/>
      <sheetName val="가로등내역서"/>
      <sheetName val="Sheet3"/>
      <sheetName val="인원계획"/>
      <sheetName val="Proposal"/>
      <sheetName val="준검 내역서"/>
      <sheetName val="총괄내역서"/>
      <sheetName val="유치원내역"/>
      <sheetName val=" HIT-&gt;HMC 견적(3900)"/>
      <sheetName val="1공구원가계산서"/>
      <sheetName val="자재일람"/>
      <sheetName val="집계표"/>
      <sheetName val="골조시행"/>
      <sheetName val="시운전연료비"/>
      <sheetName val="1.적격점수"/>
      <sheetName val="우수공,맨홀,집수정"/>
      <sheetName val="주요항목별"/>
      <sheetName val="단가표"/>
      <sheetName val="DATA1"/>
      <sheetName val="기본단가표"/>
      <sheetName val="본선"/>
      <sheetName val="포장공"/>
      <sheetName val="단가대비표"/>
      <sheetName val="부하계산서"/>
      <sheetName val="설계조건"/>
      <sheetName val="가로등기초"/>
      <sheetName val="PAD TR보호대기초"/>
      <sheetName val="1유리"/>
      <sheetName val="ABUT수량-A1"/>
      <sheetName val="XL4Poppy"/>
      <sheetName val="Y-WORK"/>
      <sheetName val="공사비총괄표"/>
      <sheetName val="정산내역"/>
      <sheetName val="Total"/>
      <sheetName val="일위대가(계측기설치)"/>
      <sheetName val="산출내역서집계표"/>
      <sheetName val="인건비"/>
      <sheetName val="원가서"/>
      <sheetName val="기본단가"/>
      <sheetName val="Tot-sum"/>
      <sheetName val="간접(90)"/>
      <sheetName val="개소별수량산출"/>
      <sheetName val="토목"/>
      <sheetName val="차액보증"/>
      <sheetName val="재료"/>
      <sheetName val="식재인부"/>
      <sheetName val="VXXXXXXX"/>
      <sheetName val="모델명"/>
      <sheetName val="단위중량"/>
      <sheetName val="견적"/>
      <sheetName val="BOX(1.5X1.5)"/>
      <sheetName val="주소"/>
      <sheetName val="IMP(MAIN)"/>
      <sheetName val="IMP (REACTOR)"/>
      <sheetName val="선로정수"/>
      <sheetName val="비용"/>
      <sheetName val="단면치수"/>
      <sheetName val="설비"/>
      <sheetName val="제경비율"/>
      <sheetName val="가스"/>
      <sheetName val="J直材4"/>
      <sheetName val="제진기"/>
      <sheetName val="XXXXXX"/>
      <sheetName val="대비"/>
      <sheetName val="2.대외공문"/>
      <sheetName val="본사인상전"/>
      <sheetName val="단가조사서"/>
      <sheetName val="첨부1"/>
      <sheetName val="PAY2002"/>
      <sheetName val="실행기초"/>
      <sheetName val="기본설계기준"/>
      <sheetName val="Sheet5"/>
      <sheetName val="실행간접비"/>
      <sheetName val="TEMP1"/>
      <sheetName val="TEMP2"/>
      <sheetName val="BS"/>
      <sheetName val="PL"/>
      <sheetName val="SP-B1"/>
      <sheetName val="동력설비"/>
      <sheetName val="퍼스트"/>
    </sheetNames>
    <definedNames>
      <definedName name="이윤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교육진행비"/>
      <sheetName val="강사료"/>
      <sheetName val="교재제작비"/>
      <sheetName val="연수생중식비"/>
      <sheetName val="workshop진행비"/>
      <sheetName val="연수생여비"/>
      <sheetName val="수료증및케이스"/>
      <sheetName val="명찰"/>
      <sheetName val="현수막"/>
      <sheetName val="간접경비총괄"/>
      <sheetName val="간접경비_음료대"/>
      <sheetName val="간접경비_사무용품"/>
      <sheetName val="간접경비_운영비"/>
      <sheetName val="Sheet1"/>
      <sheetName val="Sheet2"/>
      <sheetName val="Sheet3"/>
      <sheetName val="인건비"/>
      <sheetName val="간담회개최"/>
      <sheetName val="업무협의비"/>
      <sheetName val="부대경비총괄"/>
      <sheetName val="부대_사무용품"/>
      <sheetName val="부대_운영비"/>
      <sheetName val="부대_시설관리비"/>
      <sheetName val="KT020128-01(표지)"/>
      <sheetName val="등기구설치"/>
      <sheetName val="kt020128-01 (재료비)"/>
      <sheetName val="kt020128-01 (인건비)"/>
      <sheetName val="표지"/>
      <sheetName val="내역표지"/>
      <sheetName val="대강당내역(기계)"/>
      <sheetName val="대강당내역(전기)"/>
      <sheetName val="대강당산출(기계)"/>
      <sheetName val="대강당산출(전기)"/>
      <sheetName val="소강당(1)내역(기계)"/>
      <sheetName val="소강당(1)내역(전기)"/>
      <sheetName val="소강당(1)산출(기계)"/>
      <sheetName val="소강당(1)산출(전기)"/>
      <sheetName val="물가"/>
      <sheetName val="일위1"/>
      <sheetName val="일위2"/>
      <sheetName val="견적"/>
      <sheetName val="갑지"/>
      <sheetName val="내역(기계)"/>
      <sheetName val="내역(전기)"/>
      <sheetName val="기계산출"/>
      <sheetName val="전기산출"/>
      <sheetName val="임률기준"/>
      <sheetName val="일위대가"/>
      <sheetName val="견적대비"/>
      <sheetName val="산출"/>
      <sheetName val="내역(기산)"/>
      <sheetName val="내역 (전산)"/>
      <sheetName val="기산"/>
      <sheetName val="전산"/>
      <sheetName val="명갑"/>
      <sheetName val="명을"/>
      <sheetName val="대아갑지"/>
      <sheetName val="대아을"/>
      <sheetName val="경성기업"/>
      <sheetName val="경성을"/>
      <sheetName val="CONTOUR일위"/>
      <sheetName val="견적 갑지"/>
      <sheetName val="견적을지"/>
      <sheetName val="시공견적서"/>
      <sheetName val="구매내역"/>
      <sheetName val="구매내역 (2)"/>
      <sheetName val="신설 수량"/>
      <sheetName val="충청최종 "/>
      <sheetName val="충청"/>
      <sheetName val="노후설비교체"/>
      <sheetName val="유형합계"/>
      <sheetName val="차선유형"/>
      <sheetName val="일위집계"/>
      <sheetName val="설치단가data"/>
      <sheetName val="설노임단가"/>
      <sheetName val="경부선"/>
      <sheetName val="중부선"/>
      <sheetName val="영동선"/>
      <sheetName val="서해안선"/>
      <sheetName val="20간노율"/>
      <sheetName val="추가집행집계표"/>
      <sheetName val="2차원가"/>
      <sheetName val="집계표"/>
      <sheetName val="유형별 내역서"/>
      <sheetName val="물량산출서"/>
      <sheetName val="설노임 단가"/>
      <sheetName val="재료단가"/>
      <sheetName val="철근"/>
      <sheetName val="차선도면"/>
      <sheetName val="유리끼우기 (판유리)"/>
      <sheetName val="신규각입(낙찰)"/>
      <sheetName val="재노경(전체낙찰)"/>
      <sheetName val="대우(낙찰)"/>
      <sheetName val="비교표"/>
      <sheetName val="신규각입(협의조정율)"/>
      <sheetName val="재노경(전체협의)"/>
      <sheetName val="대우(협의)"/>
      <sheetName val="입찰내역"/>
      <sheetName val="견적업체"/>
      <sheetName val="견적의뢰(소산토건)"/>
      <sheetName val="견적의뢰(AL창호)"/>
      <sheetName val="견적의뢰(PL창호)"/>
      <sheetName val="견적의뢰(경량천정)원본"/>
      <sheetName val="견적의뢰용(경량천정)"/>
      <sheetName val="견적의뢰(내장목공)"/>
      <sheetName val="견적의뢰(방수)"/>
      <sheetName val="실행(방수)"/>
      <sheetName val="견적의뢰(유리)"/>
      <sheetName val="견적의뢰(도장)"/>
      <sheetName val="견적의뢰(슁글)"/>
      <sheetName val="견적의뢰(도배)"/>
      <sheetName val="견적의뢰(철창호)"/>
      <sheetName val="견적의뢰(철창호철물)"/>
      <sheetName val="견적의뢰(강화도어)"/>
      <sheetName val="견적의뢰(목창호)"/>
      <sheetName val="견적의뢰(코킹공사)"/>
      <sheetName val="견적의뢰(세대표시판)"/>
      <sheetName val="견적의뢰(타일)"/>
      <sheetName val="견적의뢰(석공사)"/>
      <sheetName val="견적의뢰(견출공사)"/>
      <sheetName val="견적의뢰(욕실장)"/>
      <sheetName val="견적의뢰(마블실)"/>
      <sheetName val="견적의뢰(비닐쉬트)"/>
      <sheetName val="견적의뢰(경량기포)"/>
      <sheetName val="견적의뢰(외단열)"/>
      <sheetName val="견적의뢰(내장목2)"/>
      <sheetName val="견적의뢰(EXP'J)"/>
      <sheetName val="견적의뢰(가구공사)"/>
      <sheetName val="MBK"/>
      <sheetName val="MBK-1"/>
      <sheetName val="정화조설치"/>
      <sheetName val="분할(안)내역"/>
      <sheetName val="내역서"/>
      <sheetName val="VXXXXX"/>
      <sheetName val="기표"/>
      <sheetName val="수량계(대+현)"/>
      <sheetName val="수량계(대) "/>
      <sheetName val="토수집"/>
      <sheetName val="토적계"/>
      <sheetName val="배수집"/>
      <sheetName val="암거(1)"/>
      <sheetName val="암거 (2)"/>
      <sheetName val="암거 (3)"/>
      <sheetName val="배터파계"/>
      <sheetName val="구조물"/>
      <sheetName val="송1교퇴,벽"/>
      <sheetName val="포장 계"/>
      <sheetName val="부대공"/>
      <sheetName val="철근계"/>
      <sheetName val="시,골 계"/>
      <sheetName val="콘계"/>
      <sheetName val="현황"/>
      <sheetName val="작성기준"/>
      <sheetName val="간지"/>
      <sheetName val="내역갑"/>
      <sheetName val="내역을"/>
      <sheetName val="총수량"/>
      <sheetName val="수량"/>
      <sheetName val="단가"/>
      <sheetName val="수량세로"/>
      <sheetName val="가시설1"/>
      <sheetName val="2"/>
      <sheetName val="원골재"/>
      <sheetName val="변골재"/>
      <sheetName val="파일집계"/>
      <sheetName val="수량근거"/>
      <sheetName val="수량집계"/>
      <sheetName val="수량증감"/>
      <sheetName val="공사금액"/>
      <sheetName val="위치별수량"/>
      <sheetName val="산호대교"/>
      <sheetName val="선산도개"/>
      <sheetName val="상림해평"/>
      <sheetName val="경주감포"/>
      <sheetName val="중앙하수"/>
      <sheetName val="양산선"/>
      <sheetName val="부산302"/>
      <sheetName val="삼랑진"/>
      <sheetName val="귀산양곡"/>
      <sheetName val="현동가포"/>
      <sheetName val="합천산청"/>
      <sheetName val="광컨3-2"/>
      <sheetName val="영일만"/>
      <sheetName val="해경부두"/>
      <sheetName val="마창대교"/>
      <sheetName val="성서"/>
      <sheetName val="죽전"/>
      <sheetName val="담티"/>
      <sheetName val="대공원"/>
      <sheetName val="실정"/>
      <sheetName val="공사비집계"/>
      <sheetName val="금액비교"/>
      <sheetName val="수량산출"/>
      <sheetName val="도면"/>
      <sheetName val="하부여굴"/>
      <sheetName val="기계타설(주행 2차)"/>
      <sheetName val="기계타설(추월 2차)"/>
      <sheetName val="기계타설(주행 4차)"/>
      <sheetName val="기계타설(추월 4차)"/>
      <sheetName val="찬재♥정희3"/>
      <sheetName val="자재"/>
      <sheetName val="모형원가"/>
      <sheetName val="모형내"/>
      <sheetName val="Chart3"/>
      <sheetName val="30년운영비"/>
      <sheetName val="소모품"/>
      <sheetName val="총괄내역"/>
      <sheetName val="CCTV 세부내역"/>
      <sheetName val="VMS 세부내역"/>
      <sheetName val="루프검지기"/>
      <sheetName val="영상검지기 세부내역"/>
      <sheetName val="광통신 세부내역"/>
      <sheetName val="센터설비"/>
      <sheetName val="비상전화기"/>
      <sheetName val="산정기준"/>
      <sheetName val="단가산출"/>
      <sheetName val="CCTV일위대가"/>
      <sheetName val="CCTV 철주 설치 일위대가"/>
      <sheetName val="영상검지일위대가"/>
      <sheetName val="광케이블 및 부대설비 일위대가"/>
      <sheetName val="센터 설비 일위대가"/>
      <sheetName val="비상전화 일위대가"/>
      <sheetName val="원가계산서"/>
      <sheetName val="총괄내역서"/>
      <sheetName val="추가공사(1)"/>
      <sheetName val="추가공사(2)"/>
      <sheetName val="적용단가"/>
      <sheetName val="노임"/>
      <sheetName val="Sheet6"/>
      <sheetName val="자연석기초"/>
      <sheetName val="석축"/>
      <sheetName val="개요"/>
      <sheetName val="망도"/>
      <sheetName val="관로 CA망도"/>
      <sheetName val="Chart2"/>
      <sheetName val="내역서(총괄)"/>
      <sheetName val="내역서(통신)"/>
      <sheetName val="최종비교표"/>
      <sheetName val="산출근거"/>
      <sheetName val="수량및단가(1안)"/>
      <sheetName val="수량및단가(2안)"/>
      <sheetName val="수량및단가(3안)"/>
      <sheetName val="수량(통신)"/>
      <sheetName val="일위대가(통신)"/>
      <sheetName val="노임단가"/>
      <sheetName val="겉지"/>
      <sheetName val="설계서"/>
      <sheetName val="원가표지"/>
      <sheetName val="전시관원"/>
      <sheetName val="총괄집계표"/>
      <sheetName val="의장부문"/>
      <sheetName val="의장내역"/>
      <sheetName val="의장일위집"/>
      <sheetName val="의장일위"/>
      <sheetName val="의장단가표 "/>
      <sheetName val="의장노임"/>
      <sheetName val="사인집계표"/>
      <sheetName val="사인내역서"/>
      <sheetName val="사인일위집"/>
      <sheetName val="사인일위대가"/>
      <sheetName val="모형집"/>
      <sheetName val="모형내역"/>
      <sheetName val="영상하드집계"/>
      <sheetName val="영상하드내역서"/>
      <sheetName val="영상하드단가조사표"/>
      <sheetName val="영상하드일위대가표"/>
      <sheetName val="영상소프트집계표"/>
      <sheetName val="영상소프트"/>
      <sheetName val="13.날개벽(2변)"/>
      <sheetName val="1.2차비교"/>
      <sheetName val="국별1.2"/>
      <sheetName val="본청1"/>
      <sheetName val="면사무소1"/>
      <sheetName val="본청2"/>
      <sheetName val="면사무소2"/>
      <sheetName val="1,2"/>
      <sheetName val="국별"/>
      <sheetName val="상하"/>
      <sheetName val="상하담"/>
      <sheetName val="개인순"/>
      <sheetName val="그래프"/>
      <sheetName val="단가대비표"/>
      <sheetName val="차트만들기"/>
      <sheetName val="1차"/>
      <sheetName val="국별 (2)"/>
      <sheetName val="점수 (2)"/>
      <sheetName val="점수"/>
      <sheetName val="1차청주경비정산"/>
      <sheetName val="본사지원"/>
      <sheetName val="울산지원"/>
      <sheetName val="재경본부"/>
      <sheetName val="생산본부"/>
      <sheetName val="기획실"/>
      <sheetName val="Chart5"/>
      <sheetName val="요약_chart"/>
      <sheetName val="output"/>
      <sheetName val="Chart1"/>
      <sheetName val="SPECIAL TYPE"/>
      <sheetName val="COLD TYPE"/>
      <sheetName val="현설대구전기2"/>
      <sheetName val="현설대구통신2"/>
      <sheetName val="개포목록"/>
      <sheetName val="설직재-1"/>
      <sheetName val="제직재"/>
      <sheetName val="선로수량집계"/>
      <sheetName val="장비수량집계"/>
      <sheetName val="지장수량집계"/>
      <sheetName val="철거"/>
      <sheetName val="N賃率-職"/>
      <sheetName val="거래처"/>
      <sheetName val="설계"/>
      <sheetName val="요농"/>
      <sheetName val="원청"/>
      <sheetName val="솟대"/>
      <sheetName val="떼마"/>
      <sheetName val="친우"/>
      <sheetName val="가족"/>
      <sheetName val="내역(전체)"/>
      <sheetName val="工완성공사율"/>
      <sheetName val="순서"/>
      <sheetName val="1.개발개요"/>
      <sheetName val="3-1"/>
      <sheetName val="3-2"/>
      <sheetName val="3-3"/>
      <sheetName val="3-4(1)"/>
      <sheetName val="3-4(2)"/>
      <sheetName val="3-6"/>
      <sheetName val="3-7"/>
      <sheetName val="4"/>
      <sheetName val="5"/>
      <sheetName val="6"/>
      <sheetName val="7-1"/>
      <sheetName val="7-2"/>
      <sheetName val="8"/>
      <sheetName val="9-1"/>
      <sheetName val="9-2"/>
      <sheetName val="9-3"/>
      <sheetName val="9-4"/>
      <sheetName val="9-5"/>
      <sheetName val="9-6"/>
      <sheetName val="9-7"/>
      <sheetName val="기안지"/>
      <sheetName val="개발계획"/>
      <sheetName val="개발계획 (2)"/>
      <sheetName val="조직"/>
      <sheetName val="집행예산총괄"/>
      <sheetName val="0000"/>
      <sheetName val="2조직및인원"/>
      <sheetName val="물류요약"/>
      <sheetName val="이관비용"/>
      <sheetName val="물류비절감"/>
      <sheetName val="이관ITEM형구LIST"/>
      <sheetName val="자재2"/>
      <sheetName val="협조전"/>
      <sheetName val="제작대수"/>
      <sheetName val="기안"/>
      <sheetName val="1"/>
      <sheetName val="1 (2)"/>
      <sheetName val="3"/>
      <sheetName val="카메라일정"/>
      <sheetName val="불용설비LIST"/>
      <sheetName val="불용설비LIST (2)"/>
      <sheetName val="기획예산편성표"/>
      <sheetName val="집행예산편성표"/>
      <sheetName val="SUMMARY"/>
      <sheetName val="카메라"/>
      <sheetName val="camera2"/>
      <sheetName val="카메라-일정"/>
      <sheetName val="목차"/>
      <sheetName val="방침"/>
      <sheetName val="목표"/>
      <sheetName val="kpi"/>
      <sheetName val="인원참조"/>
      <sheetName val="신신차생산"/>
      <sheetName val="P계획Gr1"/>
      <sheetName val="P계획Gr1-1"/>
      <sheetName val="P계획Gr1-2"/>
      <sheetName val="P계획Gr2"/>
      <sheetName val="가동율"/>
      <sheetName val="신기술1"/>
      <sheetName val="신기술2"/>
      <sheetName val="원가절감"/>
      <sheetName val="보완종합"/>
      <sheetName val="참조1"/>
      <sheetName val="참조2"/>
      <sheetName val="참조3"/>
      <sheetName val="종합"/>
      <sheetName val="IT집계(1안)"/>
      <sheetName val="IT집계 (2안)"/>
      <sheetName val="IT집계 (3안)"/>
      <sheetName val="IT집계 (4안)"/>
      <sheetName val="현업집계"/>
      <sheetName val="IT"/>
      <sheetName val="본사(현업)"/>
      <sheetName val="울산(현업)"/>
      <sheetName val="연구소(현업)"/>
      <sheetName val="아산,전주"/>
      <sheetName val="3D"/>
      <sheetName val="CRAY"/>
      <sheetName val="화상"/>
      <sheetName val="근태"/>
      <sheetName val="설계용EWS"/>
      <sheetName val="연구개발시스템실(980801)-1"/>
      <sheetName val="연구개발시스템실(980801)-2"/>
      <sheetName val="연구개발시스템실(980801)-3"/>
      <sheetName val="연구개발시스템실(980801)"/>
      <sheetName val="연구개발시스템실(980720)"/>
      <sheetName val="연구개발시스템실(980710)"/>
      <sheetName val="퇴직후업무변동"/>
      <sheetName val="연구개발시스템실(980601) "/>
      <sheetName val="보완투자(계획팀)"/>
      <sheetName val="예산편성(계획팀)"/>
      <sheetName val="6.추진일정"/>
      <sheetName val="품확차량"/>
      <sheetName val="camera"/>
      <sheetName val="6.2.차체"/>
      <sheetName val="h2d4OWAjVLxOBazzuUwEaJMcH"/>
      <sheetName val="추진일정 (ENG) (0602)"/>
      <sheetName val="추진일정 (업무보고용)"/>
      <sheetName val="000000"/>
      <sheetName val="1.LCI부품개발현황"/>
      <sheetName val="2.부품개발(0602)"/>
      <sheetName val="2.부품개발(보고용)"/>
      <sheetName val="부품공급 (보고용)"/>
      <sheetName val="부품공급"/>
      <sheetName val="기준(자)"/>
      <sheetName val="표지 (2)"/>
      <sheetName val="1.금액결정방안"/>
      <sheetName val="2.설계MH기준"/>
      <sheetName val="3.추진일정계획"/>
      <sheetName val="발주사양1"/>
      <sheetName val="발주사양2"/>
      <sheetName val="추진일정1"/>
      <sheetName val="기본개요"/>
      <sheetName val="추진일정"/>
      <sheetName val="개요1종"/>
      <sheetName val="차체추진"/>
      <sheetName val="차체LOUT신"/>
      <sheetName val="의장추진"/>
      <sheetName val="의장LOUT"/>
      <sheetName val="프레스추진"/>
      <sheetName val="도장추진"/>
      <sheetName val="원가구성"/>
      <sheetName val="맨아워"/>
      <sheetName val="4-1"/>
      <sheetName val="4-2"/>
      <sheetName val="4-3"/>
      <sheetName val="4-4"/>
      <sheetName val="4-5"/>
      <sheetName val="1.개요"/>
      <sheetName val="2-1.투자list"/>
      <sheetName val="3.추진일정"/>
      <sheetName val="4.FLOWCHAR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투자예산"/>
      <sheetName val="기획예산"/>
      <sheetName val="품의예산1"/>
      <sheetName val="품의예산2"/>
      <sheetName val="품예2"/>
      <sheetName val="일정계획"/>
      <sheetName val="공정계획"/>
      <sheetName val="공정인원"/>
      <sheetName val="991028"/>
      <sheetName val="991105"/>
      <sheetName val="TARGET2"/>
      <sheetName val="조정의뢰서"/>
      <sheetName val="도입설비"/>
      <sheetName val="국내가공"/>
      <sheetName val="MS기획기안"/>
      <sheetName val="상품기획서"/>
      <sheetName val="1개발개요"/>
      <sheetName val="1-2개발목적"/>
      <sheetName val="2상품콘셉"/>
      <sheetName val="2-1주요제원"/>
      <sheetName val="2-2부품공용화"/>
      <sheetName val="재료비"/>
      <sheetName val="그림국내"/>
      <sheetName val="그림북미"/>
      <sheetName val="그림유럽"/>
      <sheetName val="MS"/>
      <sheetName val="."/>
      <sheetName val="공수표"/>
      <sheetName val="LOAD표"/>
      <sheetName val="첨부-3"/>
      <sheetName val="수익성 검토(A4)"/>
      <sheetName val="찬재♥정희2"/>
      <sheetName val="전개방안"/>
      <sheetName val="시설능력"/>
      <sheetName val="레이아웃"/>
      <sheetName val="FLOW CHART"/>
      <sheetName val="추진일정(10.1)"/>
      <sheetName val="조직도"/>
      <sheetName val="품질향상1,2"/>
      <sheetName val="투자계획(버스추가)"/>
      <sheetName val="차체추가종합"/>
      <sheetName val="제조관리"/>
      <sheetName val="트럭조립"/>
      <sheetName val="트럭조립(수정)"/>
      <sheetName val="생기1차종합"/>
      <sheetName val="VXXXXXX"/>
      <sheetName val="사업계획기준월별table"/>
      <sheetName val="총무1"/>
      <sheetName val="총무월별1-2"/>
      <sheetName val="인력2"/>
      <sheetName val="인력월별2-1"/>
      <sheetName val="시설3"/>
      <sheetName val="시설월별3-1"/>
      <sheetName val="생산관리팀4"/>
      <sheetName val="생관월별4-1"/>
      <sheetName val="1공장5"/>
      <sheetName val="월별"/>
      <sheetName val="1공장5-1"/>
      <sheetName val="2공장6"/>
      <sheetName val="2공장월별6-1"/>
      <sheetName val="엔진공장7"/>
      <sheetName val="엔진공장월별7-1"/>
      <sheetName val="품질관리8"/>
      <sheetName val="품질관리8-1"/>
      <sheetName val="특장제조부"/>
      <sheetName val="특장제조부월별"/>
      <sheetName val="대대본부"/>
      <sheetName val="대대본부월별"/>
      <sheetName val="소모공구월별"/>
      <sheetName val="경리팀"/>
      <sheetName val="경리팀월별"/>
      <sheetName val="노무비"/>
      <sheetName val="일반경비"/>
      <sheetName val="대당부재료비"/>
      <sheetName val="대당OS&amp;D"/>
      <sheetName val="공장장방침"/>
      <sheetName val="공장운영목표"/>
      <sheetName val="1.99요약"/>
      <sheetName val="2.생산"/>
      <sheetName val="3.UPH"/>
      <sheetName val="4.가동율"/>
      <sheetName val="5.인력"/>
      <sheetName val="6.MH"/>
      <sheetName val="7.원가절감"/>
      <sheetName val="8.품질"/>
      <sheetName val="8-1.품질"/>
      <sheetName val="9.교육"/>
      <sheetName val="차량시험"/>
      <sheetName val="기능시험"/>
      <sheetName val="성능시험"/>
      <sheetName val="전자시험"/>
      <sheetName val="시작"/>
      <sheetName val="차시근거"/>
      <sheetName val="기시근거"/>
      <sheetName val="5 생산준비 일정계획"/>
      <sheetName val="6 전개LAY OUT"/>
      <sheetName val="7-2예산편성표"/>
      <sheetName val="10"/>
      <sheetName val="11"/>
      <sheetName val="집행예산편성표(A3) 프레지오 광주이설"/>
      <sheetName val="집행예산편성표(A3)카니발 증산"/>
      <sheetName val="집행예산편성표(A3)카니발 증산 (2)"/>
      <sheetName val="집행예산편성표(A3)"/>
      <sheetName val="차체레이아웃"/>
      <sheetName val="설비리스트종합"/>
      <sheetName val="이관자산"/>
      <sheetName val="불용설비"/>
      <sheetName val="재활용"/>
      <sheetName val="기안용지"/>
      <sheetName val="안1"/>
      <sheetName val="안2"/>
      <sheetName val="안3"/>
      <sheetName val="2-1차체LOUT신"/>
      <sheetName val="금형투자종합"/>
      <sheetName val="출장비"/>
      <sheetName val="REPORT 초기"/>
      <sheetName val="주요 문제점"/>
      <sheetName val="금액결정방안"/>
      <sheetName val="기안양식(참고)"/>
      <sheetName val="왕목차"/>
      <sheetName val="1 개발개요"/>
      <sheetName val="2.1주요제원"/>
      <sheetName val="2.2 제원비교"/>
      <sheetName val="3 1 내수판매"/>
      <sheetName val="3 2 수출판매"/>
      <sheetName val="4 설비"/>
      <sheetName val="5.예산"/>
      <sheetName val="6 제조원가"/>
      <sheetName val="7.M-Hr"/>
      <sheetName val="8 추진일정"/>
      <sheetName val="9 부품개발"/>
      <sheetName val="11 Pilot"/>
      <sheetName val="12.1 품질(바디)"/>
      <sheetName val="12.2도장품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표"/>
      <sheetName val="#REF"/>
      <sheetName val="MOTOR"/>
      <sheetName val="요율"/>
      <sheetName val="일위목록"/>
      <sheetName val="을"/>
      <sheetName val="_REF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변경설계설명서"/>
      <sheetName val="변경설계설명서 (2)"/>
      <sheetName val="이전2단계산출내역서"/>
      <sheetName val="총괄"/>
      <sheetName val="개요"/>
      <sheetName val="개략공사비"/>
      <sheetName val="총괄수량집계"/>
      <sheetName val="개요상세"/>
      <sheetName val="표지"/>
      <sheetName val="공정예정표"/>
      <sheetName val="총괄집계표"/>
      <sheetName val="산출내역서2"/>
      <sheetName val="산출내역서"/>
      <sheetName val="원가(갑)"/>
      <sheetName val="원가1"/>
      <sheetName val="원가2"/>
      <sheetName val="수목목록"/>
      <sheetName val="식재하위"/>
      <sheetName val="일위(이식식재)"/>
      <sheetName val="기초,포장,철거,관리목록"/>
      <sheetName val="시설,관리하위"/>
      <sheetName val="일위(포장,우배수)"/>
      <sheetName val="광섬유"/>
      <sheetName val="단가조사"/>
      <sheetName val="시설"/>
      <sheetName val="일위(시설)"/>
      <sheetName val="단산목록(L)"/>
      <sheetName val="단가산출(L)"/>
      <sheetName val="이식수상하차"/>
      <sheetName val="이식수운반"/>
      <sheetName val="단산목록(C)"/>
      <sheetName val="단가산출(C)"/>
      <sheetName val="중기목록"/>
      <sheetName val="중기사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수변전-1"/>
      <sheetName val="수변전-2"/>
      <sheetName val="전력간선-1"/>
      <sheetName val="전력간선-2"/>
      <sheetName val="집계표 전등"/>
      <sheetName val="옥외보안등"/>
      <sheetName val="전등"/>
      <sheetName val="집계표 전열"/>
      <sheetName val="전열"/>
      <sheetName val="피뢰침및접지"/>
      <sheetName val="집계표 주차관제"/>
      <sheetName val="주차관제"/>
      <sheetName val="TRAY (전기)"/>
      <sheetName val="자재테이블"/>
      <sheetName val="일위(시설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0509001</v>
          </cell>
        </row>
      </sheetData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 (정보통신_심의반영)"/>
      <sheetName val="심사결과 요약서"/>
      <sheetName val="원가계산서(통신)"/>
      <sheetName val="원가계산서"/>
      <sheetName val="설계서(총괄)"/>
      <sheetName val="공종별집계"/>
      <sheetName val="내역서"/>
      <sheetName val="일위대가목록"/>
      <sheetName val="일위대가"/>
      <sheetName val="단가조사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C3" t="str">
            <v>호  표</v>
          </cell>
          <cell r="D3" t="str">
            <v>공  종</v>
          </cell>
          <cell r="E3" t="str">
            <v>규  격</v>
          </cell>
          <cell r="F3" t="str">
            <v>단위</v>
          </cell>
          <cell r="G3" t="str">
            <v>재료비</v>
          </cell>
          <cell r="H3" t="str">
            <v>노무비</v>
          </cell>
          <cell r="I3" t="str">
            <v>합   계</v>
          </cell>
          <cell r="J3" t="str">
            <v>비고</v>
          </cell>
        </row>
        <row r="4">
          <cell r="C4">
            <v>1</v>
          </cell>
          <cell r="D4" t="str">
            <v>강제전선관</v>
          </cell>
          <cell r="E4" t="str">
            <v>아연도 16C(콘노)</v>
          </cell>
          <cell r="F4" t="str">
            <v>m</v>
          </cell>
          <cell r="G4">
            <v>1610</v>
          </cell>
          <cell r="H4">
            <v>7988</v>
          </cell>
          <cell r="I4">
            <v>9598</v>
          </cell>
        </row>
        <row r="5">
          <cell r="C5">
            <v>2</v>
          </cell>
          <cell r="D5" t="str">
            <v>강제전선관</v>
          </cell>
          <cell r="E5" t="str">
            <v>아연도 22C(콘노)</v>
          </cell>
          <cell r="F5" t="str">
            <v>m</v>
          </cell>
          <cell r="G5">
            <v>2092</v>
          </cell>
          <cell r="H5">
            <v>10983</v>
          </cell>
          <cell r="I5">
            <v>13075</v>
          </cell>
        </row>
        <row r="6">
          <cell r="C6">
            <v>3</v>
          </cell>
          <cell r="D6" t="str">
            <v>강제전선관</v>
          </cell>
          <cell r="E6" t="str">
            <v>아연도 28C(콘노)</v>
          </cell>
          <cell r="F6" t="str">
            <v>m</v>
          </cell>
          <cell r="G6">
            <v>2605</v>
          </cell>
          <cell r="H6">
            <v>13979</v>
          </cell>
          <cell r="I6">
            <v>16584</v>
          </cell>
        </row>
        <row r="7">
          <cell r="C7">
            <v>4</v>
          </cell>
          <cell r="D7" t="str">
            <v>강제전선관</v>
          </cell>
          <cell r="E7" t="str">
            <v>아연도 36C(콘노)</v>
          </cell>
          <cell r="F7" t="str">
            <v>m</v>
          </cell>
          <cell r="G7">
            <v>3344</v>
          </cell>
          <cell r="H7">
            <v>19970</v>
          </cell>
          <cell r="I7">
            <v>23314</v>
          </cell>
        </row>
        <row r="8">
          <cell r="C8">
            <v>5</v>
          </cell>
          <cell r="D8" t="str">
            <v>강제전선관</v>
          </cell>
          <cell r="E8" t="str">
            <v>아연도 42C(콘노)</v>
          </cell>
          <cell r="F8" t="str">
            <v>m</v>
          </cell>
          <cell r="G8">
            <v>3836</v>
          </cell>
          <cell r="H8">
            <v>24962</v>
          </cell>
          <cell r="I8">
            <v>28798</v>
          </cell>
        </row>
        <row r="9">
          <cell r="C9">
            <v>6</v>
          </cell>
          <cell r="D9" t="str">
            <v>강제전선관</v>
          </cell>
          <cell r="E9" t="str">
            <v>아연도 54C(콘노)</v>
          </cell>
          <cell r="F9" t="str">
            <v>m</v>
          </cell>
          <cell r="G9">
            <v>5404</v>
          </cell>
          <cell r="H9">
            <v>33949</v>
          </cell>
          <cell r="I9">
            <v>39353</v>
          </cell>
        </row>
        <row r="10">
          <cell r="C10">
            <v>7</v>
          </cell>
          <cell r="D10" t="str">
            <v>강제전선관</v>
          </cell>
          <cell r="E10" t="str">
            <v>아연도 16C(철노)</v>
          </cell>
          <cell r="F10" t="str">
            <v>m</v>
          </cell>
          <cell r="G10">
            <v>1610</v>
          </cell>
          <cell r="H10">
            <v>8320</v>
          </cell>
          <cell r="I10">
            <v>9930</v>
          </cell>
        </row>
        <row r="11">
          <cell r="C11">
            <v>8</v>
          </cell>
          <cell r="D11" t="str">
            <v>강제전선관</v>
          </cell>
          <cell r="E11" t="str">
            <v>아연도 22C(철노)</v>
          </cell>
          <cell r="F11" t="str">
            <v>m</v>
          </cell>
          <cell r="G11">
            <v>2092</v>
          </cell>
          <cell r="H11">
            <v>11399</v>
          </cell>
          <cell r="I11">
            <v>13491</v>
          </cell>
        </row>
        <row r="12">
          <cell r="C12">
            <v>9</v>
          </cell>
          <cell r="D12" t="str">
            <v>강제전선관</v>
          </cell>
          <cell r="E12" t="str">
            <v>아연도 28C(철노)</v>
          </cell>
          <cell r="F12" t="str">
            <v>m</v>
          </cell>
          <cell r="G12">
            <v>2605</v>
          </cell>
          <cell r="H12">
            <v>14561</v>
          </cell>
          <cell r="I12">
            <v>17166</v>
          </cell>
        </row>
        <row r="13">
          <cell r="C13">
            <v>10</v>
          </cell>
          <cell r="D13" t="str">
            <v>강제전선관</v>
          </cell>
          <cell r="E13" t="str">
            <v>아연도 36C(철노)</v>
          </cell>
          <cell r="F13" t="str">
            <v>m</v>
          </cell>
          <cell r="G13">
            <v>3344</v>
          </cell>
          <cell r="H13">
            <v>20802</v>
          </cell>
          <cell r="I13">
            <v>24146</v>
          </cell>
        </row>
        <row r="14">
          <cell r="C14">
            <v>11</v>
          </cell>
          <cell r="D14" t="str">
            <v>강제전선관</v>
          </cell>
          <cell r="E14" t="str">
            <v>아연도 42C(철노)</v>
          </cell>
          <cell r="F14" t="str">
            <v>m</v>
          </cell>
          <cell r="G14">
            <v>3836</v>
          </cell>
          <cell r="H14">
            <v>25961</v>
          </cell>
          <cell r="I14">
            <v>29797</v>
          </cell>
        </row>
        <row r="15">
          <cell r="C15">
            <v>12</v>
          </cell>
          <cell r="D15" t="str">
            <v>강제전선관</v>
          </cell>
          <cell r="E15" t="str">
            <v>아연도 54C(철노)</v>
          </cell>
          <cell r="F15" t="str">
            <v>m</v>
          </cell>
          <cell r="G15">
            <v>5404</v>
          </cell>
          <cell r="H15">
            <v>35363</v>
          </cell>
          <cell r="I15">
            <v>40767</v>
          </cell>
        </row>
        <row r="16">
          <cell r="C16">
            <v>13</v>
          </cell>
          <cell r="D16" t="str">
            <v>강제전선관</v>
          </cell>
          <cell r="E16" t="str">
            <v>아연도 16C(벽체)</v>
          </cell>
          <cell r="F16" t="str">
            <v>m</v>
          </cell>
          <cell r="G16">
            <v>1610</v>
          </cell>
          <cell r="H16">
            <v>7988</v>
          </cell>
          <cell r="I16">
            <v>9598</v>
          </cell>
        </row>
        <row r="17">
          <cell r="C17">
            <v>14</v>
          </cell>
          <cell r="D17" t="str">
            <v>강제전선관</v>
          </cell>
          <cell r="E17" t="str">
            <v>아연도 22C(벽체)</v>
          </cell>
          <cell r="F17" t="str">
            <v>m</v>
          </cell>
          <cell r="G17">
            <v>2092</v>
          </cell>
          <cell r="H17">
            <v>10983</v>
          </cell>
          <cell r="I17">
            <v>13075</v>
          </cell>
        </row>
        <row r="18">
          <cell r="C18">
            <v>15</v>
          </cell>
          <cell r="D18" t="str">
            <v>강제전선관</v>
          </cell>
          <cell r="E18" t="str">
            <v>아연도 28C(벽체)</v>
          </cell>
          <cell r="F18" t="str">
            <v>m</v>
          </cell>
          <cell r="G18">
            <v>2605</v>
          </cell>
          <cell r="H18">
            <v>13979</v>
          </cell>
          <cell r="I18">
            <v>16584</v>
          </cell>
        </row>
        <row r="19">
          <cell r="C19">
            <v>16</v>
          </cell>
          <cell r="D19" t="str">
            <v>강제전선관</v>
          </cell>
          <cell r="E19" t="str">
            <v>아연도 36C(벽체)</v>
          </cell>
          <cell r="F19" t="str">
            <v>m</v>
          </cell>
          <cell r="G19">
            <v>3344</v>
          </cell>
          <cell r="H19">
            <v>19970</v>
          </cell>
          <cell r="I19">
            <v>23314</v>
          </cell>
        </row>
        <row r="20">
          <cell r="C20">
            <v>17</v>
          </cell>
          <cell r="D20" t="str">
            <v>강제전선관</v>
          </cell>
          <cell r="E20" t="str">
            <v>아연도 42C(벽체)</v>
          </cell>
          <cell r="F20" t="str">
            <v>m</v>
          </cell>
          <cell r="G20">
            <v>3836</v>
          </cell>
          <cell r="H20">
            <v>24962</v>
          </cell>
          <cell r="I20">
            <v>28798</v>
          </cell>
        </row>
        <row r="21">
          <cell r="C21">
            <v>18</v>
          </cell>
          <cell r="D21" t="str">
            <v>강제전선관</v>
          </cell>
          <cell r="E21" t="str">
            <v>아연도 54C(벽체)</v>
          </cell>
          <cell r="F21" t="str">
            <v>m</v>
          </cell>
          <cell r="G21">
            <v>5404</v>
          </cell>
          <cell r="H21">
            <v>33949</v>
          </cell>
          <cell r="I21">
            <v>39353</v>
          </cell>
        </row>
        <row r="22">
          <cell r="C22">
            <v>19</v>
          </cell>
          <cell r="D22" t="str">
            <v>강제전선관</v>
          </cell>
          <cell r="E22" t="str">
            <v>아연도 16C(벽체매입)</v>
          </cell>
          <cell r="F22" t="str">
            <v>m</v>
          </cell>
          <cell r="G22">
            <v>1610</v>
          </cell>
          <cell r="H22">
            <v>7988</v>
          </cell>
          <cell r="I22">
            <v>9598</v>
          </cell>
        </row>
        <row r="23">
          <cell r="C23">
            <v>20</v>
          </cell>
          <cell r="D23" t="str">
            <v>강제전선관</v>
          </cell>
          <cell r="E23" t="str">
            <v>아연도 22C(벽체매입)</v>
          </cell>
          <cell r="F23" t="str">
            <v>m</v>
          </cell>
          <cell r="G23">
            <v>2092</v>
          </cell>
          <cell r="H23">
            <v>10983</v>
          </cell>
          <cell r="I23">
            <v>13075</v>
          </cell>
        </row>
        <row r="24">
          <cell r="C24">
            <v>21</v>
          </cell>
          <cell r="D24" t="str">
            <v>강제전선관</v>
          </cell>
          <cell r="E24" t="str">
            <v>아연도 28C(벽체매입)</v>
          </cell>
          <cell r="F24" t="str">
            <v>m</v>
          </cell>
          <cell r="G24">
            <v>2605</v>
          </cell>
          <cell r="H24">
            <v>13979</v>
          </cell>
          <cell r="I24">
            <v>16584</v>
          </cell>
        </row>
        <row r="25">
          <cell r="C25">
            <v>22</v>
          </cell>
          <cell r="D25" t="str">
            <v>강제전선관</v>
          </cell>
          <cell r="E25" t="str">
            <v>아연도 36C(벽체매입)</v>
          </cell>
          <cell r="F25" t="str">
            <v>m</v>
          </cell>
          <cell r="G25">
            <v>3344</v>
          </cell>
          <cell r="H25">
            <v>19970</v>
          </cell>
          <cell r="I25">
            <v>23314</v>
          </cell>
        </row>
        <row r="26">
          <cell r="C26">
            <v>23</v>
          </cell>
          <cell r="D26" t="str">
            <v>강제전선관</v>
          </cell>
          <cell r="E26" t="str">
            <v>아연도 42C(벽체매입)</v>
          </cell>
          <cell r="F26" t="str">
            <v>m</v>
          </cell>
          <cell r="G26">
            <v>3836</v>
          </cell>
          <cell r="H26">
            <v>24962</v>
          </cell>
          <cell r="I26">
            <v>28798</v>
          </cell>
        </row>
        <row r="27">
          <cell r="C27">
            <v>24</v>
          </cell>
          <cell r="D27" t="str">
            <v>강제전선관</v>
          </cell>
          <cell r="E27" t="str">
            <v>아연도 54C(벽체매입)</v>
          </cell>
          <cell r="F27" t="str">
            <v>m</v>
          </cell>
          <cell r="G27">
            <v>5404</v>
          </cell>
          <cell r="H27">
            <v>33949</v>
          </cell>
          <cell r="I27">
            <v>39353</v>
          </cell>
        </row>
        <row r="28">
          <cell r="C28">
            <v>25</v>
          </cell>
          <cell r="D28" t="str">
            <v>강제전선관</v>
          </cell>
          <cell r="E28" t="str">
            <v>아연도 16C(바닥매입)</v>
          </cell>
          <cell r="F28" t="str">
            <v>m</v>
          </cell>
          <cell r="G28">
            <v>1610</v>
          </cell>
          <cell r="H28">
            <v>6656</v>
          </cell>
          <cell r="I28">
            <v>8266</v>
          </cell>
        </row>
        <row r="29">
          <cell r="C29">
            <v>26</v>
          </cell>
          <cell r="D29" t="str">
            <v>강제전선관</v>
          </cell>
          <cell r="E29" t="str">
            <v>아연도 22C(바닥매입)</v>
          </cell>
          <cell r="F29" t="str">
            <v>m</v>
          </cell>
          <cell r="G29">
            <v>2092</v>
          </cell>
          <cell r="H29">
            <v>9152</v>
          </cell>
          <cell r="I29">
            <v>11244</v>
          </cell>
        </row>
        <row r="30">
          <cell r="C30">
            <v>27</v>
          </cell>
          <cell r="D30" t="str">
            <v>강제전선관</v>
          </cell>
          <cell r="E30" t="str">
            <v>아연도 28C(바닥매입)</v>
          </cell>
          <cell r="F30" t="str">
            <v>m</v>
          </cell>
          <cell r="G30">
            <v>2605</v>
          </cell>
          <cell r="H30">
            <v>11649</v>
          </cell>
          <cell r="I30">
            <v>14254</v>
          </cell>
        </row>
        <row r="31">
          <cell r="C31">
            <v>28</v>
          </cell>
          <cell r="D31" t="str">
            <v>강제전선관</v>
          </cell>
          <cell r="E31" t="str">
            <v>아연도 36C(바닥매입)</v>
          </cell>
          <cell r="F31" t="str">
            <v>m</v>
          </cell>
          <cell r="G31">
            <v>3344</v>
          </cell>
          <cell r="H31">
            <v>16641</v>
          </cell>
          <cell r="I31">
            <v>19985</v>
          </cell>
        </row>
        <row r="32">
          <cell r="C32">
            <v>29</v>
          </cell>
          <cell r="D32" t="str">
            <v>강제전선관</v>
          </cell>
          <cell r="E32" t="str">
            <v>아연도 42C(바닥매입)</v>
          </cell>
          <cell r="F32" t="str">
            <v>m</v>
          </cell>
          <cell r="G32">
            <v>3836</v>
          </cell>
          <cell r="H32">
            <v>20802</v>
          </cell>
          <cell r="I32">
            <v>24638</v>
          </cell>
        </row>
        <row r="33">
          <cell r="C33">
            <v>30</v>
          </cell>
          <cell r="D33" t="str">
            <v>강제전선관</v>
          </cell>
          <cell r="E33" t="str">
            <v>아연도 54C(바닥매입)</v>
          </cell>
          <cell r="F33" t="str">
            <v>m</v>
          </cell>
          <cell r="G33">
            <v>5404</v>
          </cell>
          <cell r="H33">
            <v>28291</v>
          </cell>
          <cell r="I33">
            <v>33695</v>
          </cell>
        </row>
        <row r="34">
          <cell r="C34">
            <v>31</v>
          </cell>
          <cell r="D34" t="str">
            <v>강제전선관</v>
          </cell>
          <cell r="E34" t="str">
            <v>아연도 16C(콘노, 야간)</v>
          </cell>
          <cell r="F34" t="str">
            <v>m</v>
          </cell>
          <cell r="G34">
            <v>1610</v>
          </cell>
          <cell r="H34">
            <v>11982</v>
          </cell>
          <cell r="I34">
            <v>13592</v>
          </cell>
        </row>
        <row r="35">
          <cell r="C35">
            <v>32</v>
          </cell>
          <cell r="D35" t="str">
            <v>강제전선관</v>
          </cell>
          <cell r="E35" t="str">
            <v>아연도 22C(콘노, 야간)</v>
          </cell>
          <cell r="F35" t="str">
            <v>m</v>
          </cell>
          <cell r="G35">
            <v>2092</v>
          </cell>
          <cell r="H35">
            <v>16475</v>
          </cell>
          <cell r="I35">
            <v>18567</v>
          </cell>
        </row>
        <row r="36">
          <cell r="C36">
            <v>33</v>
          </cell>
          <cell r="D36" t="str">
            <v>강제전선관</v>
          </cell>
          <cell r="E36" t="str">
            <v>아연도 28C(콘노, 야간)</v>
          </cell>
          <cell r="F36" t="str">
            <v>m</v>
          </cell>
          <cell r="G36">
            <v>2605</v>
          </cell>
          <cell r="H36">
            <v>20968</v>
          </cell>
          <cell r="I36">
            <v>23573</v>
          </cell>
        </row>
        <row r="37">
          <cell r="C37">
            <v>34</v>
          </cell>
          <cell r="D37" t="str">
            <v>강제전선관</v>
          </cell>
          <cell r="E37" t="str">
            <v>아연도 36C(콘노, 야간)</v>
          </cell>
          <cell r="F37" t="str">
            <v>m</v>
          </cell>
          <cell r="G37">
            <v>3344</v>
          </cell>
          <cell r="H37">
            <v>29955</v>
          </cell>
          <cell r="I37">
            <v>33299</v>
          </cell>
        </row>
        <row r="38">
          <cell r="C38">
            <v>35</v>
          </cell>
          <cell r="D38" t="str">
            <v>강제전선관</v>
          </cell>
          <cell r="E38" t="str">
            <v>아연도 42C(콘노, 야간)</v>
          </cell>
          <cell r="F38" t="str">
            <v>m</v>
          </cell>
          <cell r="G38">
            <v>3836</v>
          </cell>
          <cell r="H38">
            <v>37444</v>
          </cell>
          <cell r="I38">
            <v>41280</v>
          </cell>
        </row>
        <row r="39">
          <cell r="C39">
            <v>36</v>
          </cell>
          <cell r="D39" t="str">
            <v>강제전선관</v>
          </cell>
          <cell r="E39" t="str">
            <v>아연도 54C(콘노, 야간)</v>
          </cell>
          <cell r="F39" t="str">
            <v>m</v>
          </cell>
          <cell r="G39">
            <v>5404</v>
          </cell>
          <cell r="H39">
            <v>50923</v>
          </cell>
          <cell r="I39">
            <v>56327</v>
          </cell>
        </row>
        <row r="40">
          <cell r="C40">
            <v>37</v>
          </cell>
          <cell r="D40" t="str">
            <v>경질비닐전선관</v>
          </cell>
          <cell r="E40" t="str">
            <v>HI-PVC 16C(매입)</v>
          </cell>
          <cell r="F40" t="str">
            <v>m</v>
          </cell>
          <cell r="G40">
            <v>309</v>
          </cell>
          <cell r="H40">
            <v>4160</v>
          </cell>
          <cell r="I40">
            <v>4469</v>
          </cell>
        </row>
        <row r="41">
          <cell r="C41">
            <v>38</v>
          </cell>
          <cell r="D41" t="str">
            <v>경질비닐전선관</v>
          </cell>
          <cell r="E41" t="str">
            <v>HI-PVC 22C(매입)</v>
          </cell>
          <cell r="F41" t="str">
            <v>m</v>
          </cell>
          <cell r="G41">
            <v>360</v>
          </cell>
          <cell r="H41">
            <v>4992</v>
          </cell>
          <cell r="I41">
            <v>5352</v>
          </cell>
        </row>
        <row r="42">
          <cell r="C42">
            <v>39</v>
          </cell>
          <cell r="D42" t="str">
            <v>경질비닐전선관</v>
          </cell>
          <cell r="E42" t="str">
            <v>HI-PVC 28C(매입)</v>
          </cell>
          <cell r="F42" t="str">
            <v>m</v>
          </cell>
          <cell r="G42">
            <v>695</v>
          </cell>
          <cell r="H42">
            <v>6656</v>
          </cell>
          <cell r="I42">
            <v>7351</v>
          </cell>
        </row>
        <row r="43">
          <cell r="C43">
            <v>40</v>
          </cell>
          <cell r="D43" t="str">
            <v>경질비닐전선관</v>
          </cell>
          <cell r="E43" t="str">
            <v>HI-PVC 36C(매입)</v>
          </cell>
          <cell r="F43" t="str">
            <v>m</v>
          </cell>
          <cell r="G43">
            <v>1004</v>
          </cell>
          <cell r="H43">
            <v>8320</v>
          </cell>
          <cell r="I43">
            <v>9324</v>
          </cell>
        </row>
        <row r="44">
          <cell r="C44">
            <v>41</v>
          </cell>
          <cell r="D44" t="str">
            <v>경질비닐전선관</v>
          </cell>
          <cell r="E44" t="str">
            <v>HI-PVC 42C(매입)</v>
          </cell>
          <cell r="F44" t="str">
            <v>m</v>
          </cell>
          <cell r="G44">
            <v>1313</v>
          </cell>
          <cell r="H44">
            <v>10817</v>
          </cell>
          <cell r="I44">
            <v>12130</v>
          </cell>
        </row>
        <row r="45">
          <cell r="C45">
            <v>42</v>
          </cell>
          <cell r="D45" t="str">
            <v>경질비닐전선관</v>
          </cell>
          <cell r="E45" t="str">
            <v>HI-PVC 54C(매입)</v>
          </cell>
          <cell r="F45" t="str">
            <v>m</v>
          </cell>
          <cell r="G45">
            <v>1854</v>
          </cell>
          <cell r="H45">
            <v>15809</v>
          </cell>
          <cell r="I45">
            <v>17663</v>
          </cell>
        </row>
        <row r="46">
          <cell r="C46">
            <v>43</v>
          </cell>
          <cell r="D46" t="str">
            <v>경질비닐전선관</v>
          </cell>
          <cell r="E46" t="str">
            <v>HI-PVC 16C(벽체)</v>
          </cell>
          <cell r="F46" t="str">
            <v>m</v>
          </cell>
          <cell r="G46">
            <v>309</v>
          </cell>
          <cell r="H46">
            <v>4992</v>
          </cell>
          <cell r="I46">
            <v>5301</v>
          </cell>
        </row>
        <row r="47">
          <cell r="C47">
            <v>44</v>
          </cell>
          <cell r="D47" t="str">
            <v>경질비닐전선관</v>
          </cell>
          <cell r="E47" t="str">
            <v>HI-PVC 22C(벽체)</v>
          </cell>
          <cell r="F47" t="str">
            <v>m</v>
          </cell>
          <cell r="G47">
            <v>360</v>
          </cell>
          <cell r="H47">
            <v>5991</v>
          </cell>
          <cell r="I47">
            <v>6351</v>
          </cell>
        </row>
        <row r="48">
          <cell r="C48">
            <v>45</v>
          </cell>
          <cell r="D48" t="str">
            <v>경질비닐전선관</v>
          </cell>
          <cell r="E48" t="str">
            <v>HI-PVC 28C(벽체)</v>
          </cell>
          <cell r="F48" t="str">
            <v>m</v>
          </cell>
          <cell r="G48">
            <v>695</v>
          </cell>
          <cell r="H48">
            <v>7988</v>
          </cell>
          <cell r="I48">
            <v>8683</v>
          </cell>
        </row>
        <row r="49">
          <cell r="C49">
            <v>46</v>
          </cell>
          <cell r="D49" t="str">
            <v>경질비닐전선관</v>
          </cell>
          <cell r="E49" t="str">
            <v>HI-PVC 36C(벽체)</v>
          </cell>
          <cell r="F49" t="str">
            <v>m</v>
          </cell>
          <cell r="G49">
            <v>1004</v>
          </cell>
          <cell r="H49">
            <v>9985</v>
          </cell>
          <cell r="I49">
            <v>10989</v>
          </cell>
        </row>
        <row r="50">
          <cell r="C50">
            <v>47</v>
          </cell>
          <cell r="D50" t="str">
            <v>경질비닐전선관</v>
          </cell>
          <cell r="E50" t="str">
            <v>HI-PVC 42C(벽체)</v>
          </cell>
          <cell r="F50" t="str">
            <v>m</v>
          </cell>
          <cell r="G50">
            <v>1313</v>
          </cell>
          <cell r="H50">
            <v>12980</v>
          </cell>
          <cell r="I50">
            <v>14293</v>
          </cell>
        </row>
        <row r="51">
          <cell r="C51">
            <v>48</v>
          </cell>
          <cell r="D51" t="str">
            <v>경질비닐전선관</v>
          </cell>
          <cell r="E51" t="str">
            <v>HI-PVC 54C(벽체)</v>
          </cell>
          <cell r="F51" t="str">
            <v>m</v>
          </cell>
          <cell r="G51">
            <v>1854</v>
          </cell>
          <cell r="H51">
            <v>18971</v>
          </cell>
          <cell r="I51">
            <v>20825</v>
          </cell>
        </row>
        <row r="52">
          <cell r="C52">
            <v>49</v>
          </cell>
          <cell r="D52" t="str">
            <v>경질비닐전선관</v>
          </cell>
          <cell r="E52" t="str">
            <v>HI-PVC 16C(매설)</v>
          </cell>
          <cell r="F52" t="str">
            <v>m</v>
          </cell>
          <cell r="G52">
            <v>309</v>
          </cell>
          <cell r="H52">
            <v>2912</v>
          </cell>
          <cell r="I52">
            <v>3221</v>
          </cell>
        </row>
        <row r="53">
          <cell r="C53">
            <v>50</v>
          </cell>
          <cell r="D53" t="str">
            <v>경질비닐전선관</v>
          </cell>
          <cell r="E53" t="str">
            <v>HI-PVC 22C(매설)</v>
          </cell>
          <cell r="F53" t="str">
            <v>m</v>
          </cell>
          <cell r="G53">
            <v>360</v>
          </cell>
          <cell r="H53">
            <v>3494</v>
          </cell>
          <cell r="I53">
            <v>3854</v>
          </cell>
        </row>
        <row r="54">
          <cell r="C54">
            <v>51</v>
          </cell>
          <cell r="D54" t="str">
            <v>경질비닐전선관</v>
          </cell>
          <cell r="E54" t="str">
            <v>HI-PVC 28C(매설)</v>
          </cell>
          <cell r="F54" t="str">
            <v>m</v>
          </cell>
          <cell r="G54">
            <v>695</v>
          </cell>
          <cell r="H54">
            <v>4659</v>
          </cell>
          <cell r="I54">
            <v>5354</v>
          </cell>
        </row>
        <row r="55">
          <cell r="C55">
            <v>52</v>
          </cell>
          <cell r="D55" t="str">
            <v>경질비닐전선관</v>
          </cell>
          <cell r="E55" t="str">
            <v>HI-PVC 36C(매설)</v>
          </cell>
          <cell r="F55" t="str">
            <v>m</v>
          </cell>
          <cell r="G55">
            <v>1004</v>
          </cell>
          <cell r="H55">
            <v>5824</v>
          </cell>
          <cell r="I55">
            <v>6828</v>
          </cell>
        </row>
        <row r="56">
          <cell r="C56">
            <v>53</v>
          </cell>
          <cell r="D56" t="str">
            <v>경질비닐전선관</v>
          </cell>
          <cell r="E56" t="str">
            <v>HI-PVC 42C(매설)</v>
          </cell>
          <cell r="F56" t="str">
            <v>m</v>
          </cell>
          <cell r="G56">
            <v>1313</v>
          </cell>
          <cell r="H56">
            <v>7572</v>
          </cell>
          <cell r="I56">
            <v>8885</v>
          </cell>
        </row>
        <row r="57">
          <cell r="C57">
            <v>54</v>
          </cell>
          <cell r="D57" t="str">
            <v>경질비닐전선관</v>
          </cell>
          <cell r="E57" t="str">
            <v>HI-PVC 54C(매설)</v>
          </cell>
          <cell r="F57" t="str">
            <v>m</v>
          </cell>
          <cell r="G57">
            <v>1854</v>
          </cell>
          <cell r="H57">
            <v>11066</v>
          </cell>
          <cell r="I57">
            <v>12920</v>
          </cell>
        </row>
        <row r="58">
          <cell r="C58">
            <v>55</v>
          </cell>
          <cell r="D58" t="str">
            <v>후렉시블 전선관신설</v>
          </cell>
          <cell r="E58" t="str">
            <v>일반비방수 16C(콘노)</v>
          </cell>
          <cell r="F58" t="str">
            <v>m</v>
          </cell>
          <cell r="G58">
            <v>818</v>
          </cell>
          <cell r="H58">
            <v>4826</v>
          </cell>
          <cell r="I58">
            <v>5644</v>
          </cell>
        </row>
        <row r="59">
          <cell r="C59">
            <v>56</v>
          </cell>
          <cell r="D59" t="str">
            <v>후렉시블 전선관신설</v>
          </cell>
          <cell r="E59" t="str">
            <v>일반비방수 22C(콘노)</v>
          </cell>
          <cell r="F59" t="str">
            <v>m</v>
          </cell>
          <cell r="G59">
            <v>1122</v>
          </cell>
          <cell r="H59">
            <v>6240</v>
          </cell>
          <cell r="I59">
            <v>7362</v>
          </cell>
        </row>
        <row r="60">
          <cell r="C60">
            <v>57</v>
          </cell>
          <cell r="D60" t="str">
            <v>후렉시블 전선관신설</v>
          </cell>
          <cell r="E60" t="str">
            <v>일반비방수 28C(콘노)</v>
          </cell>
          <cell r="F60" t="str">
            <v>m</v>
          </cell>
          <cell r="G60">
            <v>1386</v>
          </cell>
          <cell r="H60">
            <v>7655</v>
          </cell>
          <cell r="I60">
            <v>9041</v>
          </cell>
        </row>
        <row r="61">
          <cell r="C61">
            <v>58</v>
          </cell>
          <cell r="D61" t="str">
            <v>후렉시블 전선관신설</v>
          </cell>
          <cell r="E61" t="str">
            <v>일반비방수 36C(콘노)</v>
          </cell>
          <cell r="F61" t="str">
            <v>m</v>
          </cell>
          <cell r="G61">
            <v>2376</v>
          </cell>
          <cell r="H61">
            <v>9069</v>
          </cell>
          <cell r="I61">
            <v>11445</v>
          </cell>
        </row>
        <row r="62">
          <cell r="C62">
            <v>59</v>
          </cell>
          <cell r="D62" t="str">
            <v>후렉시블 전선관신설</v>
          </cell>
          <cell r="E62" t="str">
            <v>일반비방수 42C(콘노)</v>
          </cell>
          <cell r="F62" t="str">
            <v>m</v>
          </cell>
          <cell r="G62">
            <v>2376</v>
          </cell>
          <cell r="H62">
            <v>12980</v>
          </cell>
          <cell r="I62">
            <v>15356</v>
          </cell>
        </row>
        <row r="63">
          <cell r="C63">
            <v>60</v>
          </cell>
          <cell r="D63" t="str">
            <v>후렉시블 전선관신설</v>
          </cell>
          <cell r="E63" t="str">
            <v>일반비방수 16C(철노)</v>
          </cell>
          <cell r="F63" t="str">
            <v>m</v>
          </cell>
          <cell r="G63">
            <v>818</v>
          </cell>
          <cell r="H63">
            <v>5075</v>
          </cell>
          <cell r="I63">
            <v>5893</v>
          </cell>
        </row>
        <row r="64">
          <cell r="C64">
            <v>61</v>
          </cell>
          <cell r="D64" t="str">
            <v>후렉시블 전선관신설</v>
          </cell>
          <cell r="E64" t="str">
            <v>일반비방수 22C(철노)</v>
          </cell>
          <cell r="F64" t="str">
            <v>m</v>
          </cell>
          <cell r="G64">
            <v>1122</v>
          </cell>
          <cell r="H64">
            <v>6490</v>
          </cell>
          <cell r="I64">
            <v>7612</v>
          </cell>
        </row>
        <row r="65">
          <cell r="C65">
            <v>62</v>
          </cell>
          <cell r="D65" t="str">
            <v>후렉시블 전선관신설</v>
          </cell>
          <cell r="E65" t="str">
            <v>일반비방수 28C(철노)</v>
          </cell>
          <cell r="F65" t="str">
            <v>m</v>
          </cell>
          <cell r="G65">
            <v>1386</v>
          </cell>
          <cell r="H65">
            <v>7988</v>
          </cell>
          <cell r="I65">
            <v>9374</v>
          </cell>
        </row>
        <row r="66">
          <cell r="C66">
            <v>63</v>
          </cell>
          <cell r="D66" t="str">
            <v>후렉시블 전선관신설</v>
          </cell>
          <cell r="E66" t="str">
            <v>일반비방수 36C(철노)</v>
          </cell>
          <cell r="F66" t="str">
            <v>m</v>
          </cell>
          <cell r="G66">
            <v>2376</v>
          </cell>
          <cell r="H66">
            <v>9402</v>
          </cell>
          <cell r="I66">
            <v>11778</v>
          </cell>
        </row>
        <row r="67">
          <cell r="C67">
            <v>64</v>
          </cell>
          <cell r="D67" t="str">
            <v>후렉시블 전선관신설</v>
          </cell>
          <cell r="E67" t="str">
            <v>일반비방수 16C(매입)</v>
          </cell>
          <cell r="F67" t="str">
            <v>m</v>
          </cell>
          <cell r="G67">
            <v>818</v>
          </cell>
          <cell r="H67">
            <v>4077</v>
          </cell>
          <cell r="I67">
            <v>4895</v>
          </cell>
        </row>
        <row r="68">
          <cell r="C68">
            <v>65</v>
          </cell>
          <cell r="D68" t="str">
            <v>후렉시블 전선관신설</v>
          </cell>
          <cell r="E68" t="str">
            <v>일반비방수 22C(매입)</v>
          </cell>
          <cell r="F68" t="str">
            <v>m</v>
          </cell>
          <cell r="G68">
            <v>1122</v>
          </cell>
          <cell r="H68">
            <v>5242</v>
          </cell>
          <cell r="I68">
            <v>6364</v>
          </cell>
        </row>
        <row r="69">
          <cell r="C69">
            <v>66</v>
          </cell>
          <cell r="D69" t="str">
            <v>후렉시블 전선관신설</v>
          </cell>
          <cell r="E69" t="str">
            <v>일반비방수 28C(매입)</v>
          </cell>
          <cell r="F69" t="str">
            <v>m</v>
          </cell>
          <cell r="G69">
            <v>1386</v>
          </cell>
          <cell r="H69">
            <v>6407</v>
          </cell>
          <cell r="I69">
            <v>7793</v>
          </cell>
        </row>
        <row r="70">
          <cell r="C70">
            <v>67</v>
          </cell>
          <cell r="D70" t="str">
            <v>후렉시블 전선관신설</v>
          </cell>
          <cell r="E70" t="str">
            <v>일반비방수 36C(매입)</v>
          </cell>
          <cell r="F70" t="str">
            <v>m</v>
          </cell>
          <cell r="G70">
            <v>2376</v>
          </cell>
          <cell r="H70">
            <v>7572</v>
          </cell>
          <cell r="I70">
            <v>9948</v>
          </cell>
        </row>
        <row r="71">
          <cell r="C71">
            <v>68</v>
          </cell>
          <cell r="D71" t="str">
            <v>후렉시블 전선관신설</v>
          </cell>
          <cell r="E71" t="str">
            <v>일반비방수 42C(매입)</v>
          </cell>
          <cell r="F71" t="str">
            <v>m</v>
          </cell>
          <cell r="G71">
            <v>2640</v>
          </cell>
          <cell r="H71">
            <v>10817</v>
          </cell>
          <cell r="I71">
            <v>13457</v>
          </cell>
        </row>
        <row r="72">
          <cell r="C72">
            <v>69</v>
          </cell>
          <cell r="D72" t="str">
            <v>파상형 경질비닐전선관</v>
          </cell>
          <cell r="E72" t="str">
            <v>ELP 30C(매입)</v>
          </cell>
          <cell r="F72" t="str">
            <v>m</v>
          </cell>
          <cell r="G72">
            <v>339</v>
          </cell>
          <cell r="H72">
            <v>3147</v>
          </cell>
          <cell r="I72">
            <v>3486</v>
          </cell>
        </row>
        <row r="73">
          <cell r="C73">
            <v>70</v>
          </cell>
          <cell r="D73" t="str">
            <v>파상형 경질비닐전선관</v>
          </cell>
          <cell r="E73" t="str">
            <v>ELP 50C(매입)</v>
          </cell>
          <cell r="F73" t="str">
            <v>m</v>
          </cell>
          <cell r="G73">
            <v>638</v>
          </cell>
          <cell r="H73">
            <v>3147</v>
          </cell>
          <cell r="I73">
            <v>3785</v>
          </cell>
        </row>
        <row r="74">
          <cell r="C74">
            <v>71</v>
          </cell>
          <cell r="D74" t="str">
            <v>찬넬 설치(앙카포함,콘노)</v>
          </cell>
          <cell r="E74" t="str">
            <v xml:space="preserve">41*25*1.2T              </v>
          </cell>
          <cell r="F74" t="str">
            <v>m</v>
          </cell>
          <cell r="G74">
            <v>8990</v>
          </cell>
          <cell r="H74">
            <v>13107</v>
          </cell>
          <cell r="I74">
            <v>22097</v>
          </cell>
        </row>
        <row r="75">
          <cell r="C75">
            <v>72</v>
          </cell>
          <cell r="D75" t="str">
            <v>찬넬 설치(앙카포함,벽체)</v>
          </cell>
          <cell r="E75" t="str">
            <v xml:space="preserve">41*25*1.2T              </v>
          </cell>
          <cell r="F75" t="str">
            <v>m</v>
          </cell>
          <cell r="G75">
            <v>4000</v>
          </cell>
          <cell r="H75">
            <v>8737</v>
          </cell>
          <cell r="I75">
            <v>12737</v>
          </cell>
        </row>
        <row r="76">
          <cell r="C76">
            <v>73</v>
          </cell>
          <cell r="D76" t="str">
            <v>찬넬 설치(앙카포함,콘노, 야간)</v>
          </cell>
          <cell r="E76" t="str">
            <v xml:space="preserve">41*25*1.2T              </v>
          </cell>
          <cell r="F76" t="str">
            <v>m</v>
          </cell>
          <cell r="G76">
            <v>8990</v>
          </cell>
          <cell r="H76">
            <v>19660</v>
          </cell>
          <cell r="I76">
            <v>28650</v>
          </cell>
        </row>
        <row r="77">
          <cell r="C77">
            <v>74</v>
          </cell>
          <cell r="D77" t="str">
            <v xml:space="preserve">파이프크램프                      </v>
          </cell>
          <cell r="E77" t="str">
            <v xml:space="preserve">16 C                    </v>
          </cell>
          <cell r="F77" t="str">
            <v>개</v>
          </cell>
          <cell r="G77">
            <v>120</v>
          </cell>
          <cell r="H77">
            <v>0</v>
          </cell>
          <cell r="I77">
            <v>120</v>
          </cell>
        </row>
        <row r="78">
          <cell r="C78">
            <v>75</v>
          </cell>
          <cell r="D78" t="str">
            <v xml:space="preserve">파이프크램프                      </v>
          </cell>
          <cell r="E78" t="str">
            <v xml:space="preserve">22 C                    </v>
          </cell>
          <cell r="F78" t="str">
            <v>개</v>
          </cell>
          <cell r="G78">
            <v>140</v>
          </cell>
          <cell r="H78">
            <v>0</v>
          </cell>
          <cell r="I78">
            <v>140</v>
          </cell>
        </row>
        <row r="79">
          <cell r="C79">
            <v>76</v>
          </cell>
          <cell r="D79" t="str">
            <v xml:space="preserve">파이프크램프                      </v>
          </cell>
          <cell r="E79" t="str">
            <v xml:space="preserve">28 C                    </v>
          </cell>
          <cell r="F79" t="str">
            <v>개</v>
          </cell>
          <cell r="G79">
            <v>150</v>
          </cell>
          <cell r="H79">
            <v>0</v>
          </cell>
          <cell r="I79">
            <v>150</v>
          </cell>
        </row>
        <row r="80">
          <cell r="C80">
            <v>77</v>
          </cell>
          <cell r="D80" t="str">
            <v xml:space="preserve">파이프크램프                      </v>
          </cell>
          <cell r="E80" t="str">
            <v xml:space="preserve">36 C                    </v>
          </cell>
          <cell r="F80" t="str">
            <v>개</v>
          </cell>
          <cell r="G80">
            <v>200</v>
          </cell>
          <cell r="H80">
            <v>0</v>
          </cell>
          <cell r="I80">
            <v>200</v>
          </cell>
        </row>
        <row r="81">
          <cell r="C81">
            <v>78</v>
          </cell>
          <cell r="D81" t="str">
            <v xml:space="preserve">파이프크램프                      </v>
          </cell>
          <cell r="E81" t="str">
            <v xml:space="preserve">42 C                    </v>
          </cell>
          <cell r="F81" t="str">
            <v>개</v>
          </cell>
          <cell r="G81">
            <v>230</v>
          </cell>
          <cell r="H81">
            <v>0</v>
          </cell>
          <cell r="I81">
            <v>230</v>
          </cell>
        </row>
        <row r="82">
          <cell r="C82">
            <v>79</v>
          </cell>
          <cell r="D82" t="str">
            <v xml:space="preserve">파이프크램프                      </v>
          </cell>
          <cell r="E82" t="str">
            <v xml:space="preserve">54 C                    </v>
          </cell>
          <cell r="F82" t="str">
            <v>개</v>
          </cell>
          <cell r="G82">
            <v>250</v>
          </cell>
          <cell r="H82">
            <v>0</v>
          </cell>
          <cell r="I82">
            <v>250</v>
          </cell>
        </row>
        <row r="83">
          <cell r="C83">
            <v>80</v>
          </cell>
          <cell r="D83" t="str">
            <v>후렉시블콘넥터</v>
          </cell>
          <cell r="E83" t="str">
            <v>16C</v>
          </cell>
          <cell r="F83" t="str">
            <v>개</v>
          </cell>
          <cell r="G83">
            <v>510</v>
          </cell>
          <cell r="H83">
            <v>0</v>
          </cell>
          <cell r="I83">
            <v>510</v>
          </cell>
        </row>
        <row r="84">
          <cell r="C84">
            <v>81</v>
          </cell>
          <cell r="D84" t="str">
            <v>후렉시블콘넥터</v>
          </cell>
          <cell r="E84" t="str">
            <v>22C</v>
          </cell>
          <cell r="F84" t="str">
            <v>개</v>
          </cell>
          <cell r="G84">
            <v>740</v>
          </cell>
          <cell r="H84">
            <v>0</v>
          </cell>
          <cell r="I84">
            <v>740</v>
          </cell>
        </row>
        <row r="85">
          <cell r="C85">
            <v>82</v>
          </cell>
          <cell r="D85" t="str">
            <v>후렉시블콘넥터</v>
          </cell>
          <cell r="E85" t="str">
            <v>28C</v>
          </cell>
          <cell r="F85" t="str">
            <v>개</v>
          </cell>
          <cell r="G85">
            <v>880</v>
          </cell>
          <cell r="H85">
            <v>0</v>
          </cell>
          <cell r="I85">
            <v>880</v>
          </cell>
        </row>
        <row r="86">
          <cell r="C86">
            <v>83</v>
          </cell>
          <cell r="D86" t="str">
            <v>후렉시블콘넥터</v>
          </cell>
          <cell r="E86" t="str">
            <v>36C</v>
          </cell>
          <cell r="F86" t="str">
            <v>개</v>
          </cell>
          <cell r="G86">
            <v>1280</v>
          </cell>
          <cell r="H86">
            <v>0</v>
          </cell>
          <cell r="I86">
            <v>1280</v>
          </cell>
        </row>
        <row r="87">
          <cell r="C87">
            <v>84</v>
          </cell>
          <cell r="D87" t="str">
            <v>후렉시블콘넥터</v>
          </cell>
          <cell r="E87" t="str">
            <v>42C</v>
          </cell>
          <cell r="F87" t="str">
            <v>개</v>
          </cell>
          <cell r="G87">
            <v>1620</v>
          </cell>
          <cell r="H87">
            <v>0</v>
          </cell>
          <cell r="I87">
            <v>1620</v>
          </cell>
        </row>
        <row r="88">
          <cell r="C88">
            <v>85</v>
          </cell>
          <cell r="D88" t="str">
            <v>후렉시블콘넥터</v>
          </cell>
          <cell r="E88" t="str">
            <v>54C</v>
          </cell>
          <cell r="F88" t="str">
            <v>개</v>
          </cell>
          <cell r="G88">
            <v>2020</v>
          </cell>
          <cell r="H88">
            <v>0</v>
          </cell>
          <cell r="I88">
            <v>2020</v>
          </cell>
        </row>
        <row r="89">
          <cell r="C89">
            <v>86</v>
          </cell>
          <cell r="D89" t="str">
            <v>아울렛박스 신설</v>
          </cell>
          <cell r="E89" t="str">
            <v>중형4각 44mm(철노)</v>
          </cell>
          <cell r="F89" t="str">
            <v>개</v>
          </cell>
          <cell r="G89">
            <v>892</v>
          </cell>
          <cell r="H89">
            <v>20802</v>
          </cell>
          <cell r="I89">
            <v>21694</v>
          </cell>
        </row>
        <row r="90">
          <cell r="C90">
            <v>87</v>
          </cell>
          <cell r="D90" t="str">
            <v>아울렛박스 신설</v>
          </cell>
          <cell r="E90" t="str">
            <v>중형4각 44mm(콘노)</v>
          </cell>
          <cell r="F90" t="str">
            <v>식</v>
          </cell>
          <cell r="G90">
            <v>892</v>
          </cell>
          <cell r="H90">
            <v>19970</v>
          </cell>
          <cell r="I90">
            <v>20862</v>
          </cell>
        </row>
        <row r="91">
          <cell r="C91">
            <v>88</v>
          </cell>
          <cell r="D91" t="str">
            <v>아울렛박스 신설</v>
          </cell>
          <cell r="E91" t="str">
            <v>중형4각 44mm(벽체)</v>
          </cell>
          <cell r="F91" t="str">
            <v>식</v>
          </cell>
          <cell r="G91">
            <v>892</v>
          </cell>
          <cell r="H91">
            <v>19970</v>
          </cell>
          <cell r="I91">
            <v>20862</v>
          </cell>
        </row>
        <row r="92">
          <cell r="C92">
            <v>89</v>
          </cell>
          <cell r="D92" t="str">
            <v>아웃트박스신설(전화용)</v>
          </cell>
          <cell r="E92" t="str">
            <v>중형4각 44mm(콘센트, 플레이트 포함)</v>
          </cell>
          <cell r="F92" t="str">
            <v>개</v>
          </cell>
          <cell r="G92">
            <v>3504</v>
          </cell>
          <cell r="H92">
            <v>25212</v>
          </cell>
          <cell r="I92">
            <v>28716</v>
          </cell>
        </row>
        <row r="93">
          <cell r="C93">
            <v>90</v>
          </cell>
          <cell r="D93" t="str">
            <v>Moula Jack 신설</v>
          </cell>
          <cell r="E93" t="str">
            <v>RJ 45-8Pin</v>
          </cell>
          <cell r="F93" t="str">
            <v>개</v>
          </cell>
          <cell r="G93">
            <v>500</v>
          </cell>
          <cell r="H93">
            <v>2329</v>
          </cell>
          <cell r="I93">
            <v>2829</v>
          </cell>
        </row>
        <row r="94">
          <cell r="C94">
            <v>91</v>
          </cell>
          <cell r="D94" t="str">
            <v>Moula Jack 신설</v>
          </cell>
          <cell r="E94" t="str">
            <v>RJ 45-8Pin(STP, FTP용)</v>
          </cell>
          <cell r="F94" t="str">
            <v>개</v>
          </cell>
          <cell r="G94">
            <v>500</v>
          </cell>
          <cell r="H94">
            <v>2995</v>
          </cell>
          <cell r="I94">
            <v>3495</v>
          </cell>
        </row>
        <row r="95">
          <cell r="C95">
            <v>92</v>
          </cell>
          <cell r="D95" t="str">
            <v>풀박스 신설 (콘노)</v>
          </cell>
          <cell r="E95" t="str">
            <v>철재 1.2t 100x100x100mm</v>
          </cell>
          <cell r="F95" t="str">
            <v>개</v>
          </cell>
          <cell r="G95">
            <v>2550</v>
          </cell>
          <cell r="H95">
            <v>61161</v>
          </cell>
          <cell r="I95">
            <v>63711</v>
          </cell>
        </row>
        <row r="96">
          <cell r="C96">
            <v>93</v>
          </cell>
          <cell r="D96" t="str">
            <v>풀박스 신설 (콘노)</v>
          </cell>
          <cell r="E96" t="str">
            <v>철재 1.2t 200x200x100mm</v>
          </cell>
          <cell r="F96" t="str">
            <v>개</v>
          </cell>
          <cell r="G96">
            <v>4280</v>
          </cell>
          <cell r="H96">
            <v>61161</v>
          </cell>
          <cell r="I96">
            <v>65441</v>
          </cell>
        </row>
        <row r="97">
          <cell r="C97">
            <v>94</v>
          </cell>
          <cell r="D97" t="str">
            <v>풀박스 신설 (콘노)</v>
          </cell>
          <cell r="E97" t="str">
            <v>철재 1.2t 300x300x100mm</v>
          </cell>
          <cell r="F97" t="str">
            <v>개</v>
          </cell>
          <cell r="G97">
            <v>6330</v>
          </cell>
          <cell r="H97">
            <v>61161</v>
          </cell>
          <cell r="I97">
            <v>67491</v>
          </cell>
        </row>
        <row r="98">
          <cell r="C98">
            <v>95</v>
          </cell>
          <cell r="D98" t="str">
            <v>풀박스 신설 (콘노)</v>
          </cell>
          <cell r="E98" t="str">
            <v>철재 1.2t 300x300x200mm</v>
          </cell>
          <cell r="F98" t="str">
            <v>개</v>
          </cell>
          <cell r="G98">
            <v>8020</v>
          </cell>
          <cell r="H98">
            <v>61161</v>
          </cell>
          <cell r="I98">
            <v>69181</v>
          </cell>
        </row>
        <row r="99">
          <cell r="C99">
            <v>96</v>
          </cell>
          <cell r="D99" t="str">
            <v>풀박스 신설 (콘노)</v>
          </cell>
          <cell r="E99" t="str">
            <v>철재 1.2t 400x400x150mm</v>
          </cell>
          <cell r="F99" t="str">
            <v>개</v>
          </cell>
          <cell r="G99">
            <v>11940</v>
          </cell>
          <cell r="H99">
            <v>87376</v>
          </cell>
          <cell r="I99">
            <v>99316</v>
          </cell>
        </row>
        <row r="100">
          <cell r="C100">
            <v>97</v>
          </cell>
          <cell r="D100" t="str">
            <v>풀박스 신설 (콘노)</v>
          </cell>
          <cell r="E100" t="str">
            <v>철재 1.2t 400x400x200mm</v>
          </cell>
          <cell r="F100" t="str">
            <v>개</v>
          </cell>
          <cell r="G100">
            <v>12890</v>
          </cell>
          <cell r="H100">
            <v>118330</v>
          </cell>
          <cell r="I100">
            <v>131220</v>
          </cell>
        </row>
        <row r="101">
          <cell r="C101">
            <v>98</v>
          </cell>
          <cell r="D101" t="str">
            <v>풀박스 신설 (콘노)</v>
          </cell>
          <cell r="E101" t="str">
            <v>철재 1.2t 400x400x300mm</v>
          </cell>
          <cell r="F101" t="str">
            <v>개</v>
          </cell>
          <cell r="G101">
            <v>15040</v>
          </cell>
          <cell r="H101">
            <v>118330</v>
          </cell>
          <cell r="I101">
            <v>133370</v>
          </cell>
        </row>
        <row r="102">
          <cell r="C102">
            <v>99</v>
          </cell>
          <cell r="D102" t="str">
            <v>풀박스 신설 (콘노)</v>
          </cell>
          <cell r="E102" t="str">
            <v>철재 1.2t 500x500x200mm</v>
          </cell>
          <cell r="F102" t="str">
            <v>개</v>
          </cell>
          <cell r="G102">
            <v>21910</v>
          </cell>
          <cell r="H102">
            <v>118330</v>
          </cell>
          <cell r="I102">
            <v>140240</v>
          </cell>
        </row>
        <row r="103">
          <cell r="C103">
            <v>100</v>
          </cell>
          <cell r="D103" t="str">
            <v>풀박스 신설 (콘노)</v>
          </cell>
          <cell r="E103" t="str">
            <v>철재 1.2t 600x600x200mm</v>
          </cell>
          <cell r="F103" t="str">
            <v>개</v>
          </cell>
          <cell r="G103">
            <v>32390</v>
          </cell>
          <cell r="H103">
            <v>118330</v>
          </cell>
          <cell r="I103">
            <v>150720</v>
          </cell>
        </row>
        <row r="104">
          <cell r="C104">
            <v>101</v>
          </cell>
          <cell r="D104" t="str">
            <v>풀박스 신설 (콘노, 야간)</v>
          </cell>
          <cell r="E104" t="str">
            <v>철재 1.2t 100x100x100mm</v>
          </cell>
          <cell r="F104" t="str">
            <v>개</v>
          </cell>
          <cell r="G104">
            <v>2550</v>
          </cell>
          <cell r="H104">
            <v>91742</v>
          </cell>
          <cell r="I104">
            <v>94292</v>
          </cell>
        </row>
        <row r="105">
          <cell r="C105">
            <v>102</v>
          </cell>
          <cell r="D105" t="str">
            <v>풀박스 신설 (콘노, 야간)</v>
          </cell>
          <cell r="E105" t="str">
            <v>철재 1.2t 200x200x100mm</v>
          </cell>
          <cell r="F105" t="str">
            <v>개</v>
          </cell>
          <cell r="G105">
            <v>4280</v>
          </cell>
          <cell r="H105">
            <v>91742</v>
          </cell>
          <cell r="I105">
            <v>96022</v>
          </cell>
        </row>
        <row r="106">
          <cell r="C106">
            <v>103</v>
          </cell>
          <cell r="D106" t="str">
            <v>풀박스 신설 (콘노, 야간)</v>
          </cell>
          <cell r="E106" t="str">
            <v>철재 1.2t 300x300x100mm</v>
          </cell>
          <cell r="F106" t="str">
            <v>개</v>
          </cell>
          <cell r="G106">
            <v>6330</v>
          </cell>
          <cell r="H106">
            <v>91742</v>
          </cell>
          <cell r="I106">
            <v>98072</v>
          </cell>
        </row>
        <row r="107">
          <cell r="C107">
            <v>104</v>
          </cell>
          <cell r="D107" t="str">
            <v>풀박스 신설 (콘노, 야간)</v>
          </cell>
          <cell r="E107" t="str">
            <v>철재 1.2t 300x300x200mm</v>
          </cell>
          <cell r="F107" t="str">
            <v>개</v>
          </cell>
          <cell r="G107">
            <v>8020</v>
          </cell>
          <cell r="H107">
            <v>91742</v>
          </cell>
          <cell r="I107">
            <v>99762</v>
          </cell>
        </row>
        <row r="108">
          <cell r="C108">
            <v>105</v>
          </cell>
          <cell r="D108" t="str">
            <v>풀박스 신설 (콘노, 야간)</v>
          </cell>
          <cell r="E108" t="str">
            <v>철재 1.2t 400x400x150mm</v>
          </cell>
          <cell r="F108" t="str">
            <v>개</v>
          </cell>
          <cell r="G108">
            <v>11940</v>
          </cell>
          <cell r="H108">
            <v>131064</v>
          </cell>
          <cell r="I108">
            <v>143004</v>
          </cell>
        </row>
        <row r="109">
          <cell r="C109">
            <v>106</v>
          </cell>
          <cell r="D109" t="str">
            <v>풀박스 신설 (콘노, 야간)</v>
          </cell>
          <cell r="E109" t="str">
            <v>철재 1.2t 400x400x200mm</v>
          </cell>
          <cell r="F109" t="str">
            <v>개</v>
          </cell>
          <cell r="G109">
            <v>12890</v>
          </cell>
          <cell r="H109">
            <v>177495</v>
          </cell>
          <cell r="I109">
            <v>190385</v>
          </cell>
        </row>
        <row r="110">
          <cell r="C110">
            <v>107</v>
          </cell>
          <cell r="D110" t="str">
            <v>풀박스 신설 (콘노, 야간)</v>
          </cell>
          <cell r="E110" t="str">
            <v>철재 1.2t 400x400x300mm</v>
          </cell>
          <cell r="F110" t="str">
            <v>개</v>
          </cell>
          <cell r="G110">
            <v>15040</v>
          </cell>
          <cell r="H110">
            <v>177495</v>
          </cell>
          <cell r="I110">
            <v>192535</v>
          </cell>
        </row>
        <row r="111">
          <cell r="C111">
            <v>108</v>
          </cell>
          <cell r="D111" t="str">
            <v>풀박스 신설 (콘노, 야간)</v>
          </cell>
          <cell r="E111" t="str">
            <v>철재 1.2t 500x500x200mm</v>
          </cell>
          <cell r="F111" t="str">
            <v>개</v>
          </cell>
          <cell r="G111">
            <v>21910</v>
          </cell>
          <cell r="H111">
            <v>177495</v>
          </cell>
          <cell r="I111">
            <v>199405</v>
          </cell>
        </row>
        <row r="112">
          <cell r="C112">
            <v>109</v>
          </cell>
          <cell r="D112" t="str">
            <v>풀박스 신설 (콘노, 야간)</v>
          </cell>
          <cell r="E112" t="str">
            <v>철재 1.2t 600x600x200mm</v>
          </cell>
          <cell r="F112" t="str">
            <v>개</v>
          </cell>
          <cell r="G112">
            <v>32390</v>
          </cell>
          <cell r="H112">
            <v>177495</v>
          </cell>
          <cell r="I112">
            <v>209885</v>
          </cell>
        </row>
        <row r="113">
          <cell r="C113">
            <v>110</v>
          </cell>
          <cell r="D113" t="str">
            <v>풀박스 신설 (철노)</v>
          </cell>
          <cell r="E113" t="str">
            <v>철재 1.2t 100x100x100mm</v>
          </cell>
          <cell r="F113" t="str">
            <v>개</v>
          </cell>
          <cell r="G113">
            <v>1850</v>
          </cell>
          <cell r="H113">
            <v>36362</v>
          </cell>
          <cell r="I113">
            <v>38212</v>
          </cell>
        </row>
        <row r="114">
          <cell r="C114">
            <v>111</v>
          </cell>
          <cell r="D114" t="str">
            <v>풀박스 신설 (철노)</v>
          </cell>
          <cell r="E114" t="str">
            <v>철재 1.2t 200x200x100mm</v>
          </cell>
          <cell r="F114" t="str">
            <v>개</v>
          </cell>
          <cell r="G114">
            <v>3580</v>
          </cell>
          <cell r="H114">
            <v>36362</v>
          </cell>
          <cell r="I114">
            <v>39942</v>
          </cell>
        </row>
        <row r="115">
          <cell r="C115">
            <v>112</v>
          </cell>
          <cell r="D115" t="str">
            <v>풀박스 신설 (철노)</v>
          </cell>
          <cell r="E115" t="str">
            <v>철재 1.2t 300x300x100mm</v>
          </cell>
          <cell r="F115" t="str">
            <v>개</v>
          </cell>
          <cell r="G115">
            <v>5630</v>
          </cell>
          <cell r="H115">
            <v>36362</v>
          </cell>
          <cell r="I115">
            <v>41992</v>
          </cell>
        </row>
        <row r="116">
          <cell r="C116">
            <v>113</v>
          </cell>
          <cell r="D116" t="str">
            <v>풀박스 신설 (철노)</v>
          </cell>
          <cell r="E116" t="str">
            <v>철재 1.2t 300x300x200mm</v>
          </cell>
          <cell r="F116" t="str">
            <v>개</v>
          </cell>
          <cell r="G116">
            <v>7320</v>
          </cell>
          <cell r="H116">
            <v>36362</v>
          </cell>
          <cell r="I116">
            <v>43682</v>
          </cell>
        </row>
        <row r="117">
          <cell r="C117">
            <v>114</v>
          </cell>
          <cell r="D117" t="str">
            <v>풀박스 신설 (철노)</v>
          </cell>
          <cell r="E117" t="str">
            <v>철재 1.2t 400x400x150mm</v>
          </cell>
          <cell r="F117" t="str">
            <v>개</v>
          </cell>
          <cell r="G117">
            <v>10540</v>
          </cell>
          <cell r="H117">
            <v>36362</v>
          </cell>
          <cell r="I117">
            <v>46902</v>
          </cell>
        </row>
        <row r="118">
          <cell r="C118">
            <v>115</v>
          </cell>
          <cell r="D118" t="str">
            <v>풀박스 신설 (철노)</v>
          </cell>
          <cell r="E118" t="str">
            <v>철재 1.2t 400x400x200mm</v>
          </cell>
          <cell r="F118" t="str">
            <v>개</v>
          </cell>
          <cell r="G118">
            <v>11490</v>
          </cell>
          <cell r="H118">
            <v>68647</v>
          </cell>
          <cell r="I118">
            <v>80137</v>
          </cell>
        </row>
        <row r="119">
          <cell r="C119">
            <v>116</v>
          </cell>
          <cell r="D119" t="str">
            <v>풀박스 신설 (철노)</v>
          </cell>
          <cell r="E119" t="str">
            <v>철재 1.2t 400x400x300mm</v>
          </cell>
          <cell r="F119" t="str">
            <v>개</v>
          </cell>
          <cell r="G119">
            <v>13640</v>
          </cell>
          <cell r="H119">
            <v>68647</v>
          </cell>
          <cell r="I119">
            <v>82287</v>
          </cell>
        </row>
        <row r="120">
          <cell r="C120">
            <v>117</v>
          </cell>
          <cell r="D120" t="str">
            <v>풀박스 신설 (철노)</v>
          </cell>
          <cell r="E120" t="str">
            <v>철재 1.2t 500x500x200mm</v>
          </cell>
          <cell r="F120" t="str">
            <v>개</v>
          </cell>
          <cell r="G120">
            <v>20510</v>
          </cell>
          <cell r="H120">
            <v>68647</v>
          </cell>
          <cell r="I120">
            <v>89157</v>
          </cell>
        </row>
        <row r="121">
          <cell r="C121">
            <v>118</v>
          </cell>
          <cell r="D121" t="str">
            <v>풀박스 신설 (철노)</v>
          </cell>
          <cell r="E121" t="str">
            <v>철재 1.2t 600x600x200mm</v>
          </cell>
          <cell r="F121" t="str">
            <v>개</v>
          </cell>
          <cell r="G121">
            <v>30990</v>
          </cell>
          <cell r="H121">
            <v>68647</v>
          </cell>
          <cell r="I121">
            <v>99637</v>
          </cell>
        </row>
        <row r="122">
          <cell r="C122">
            <v>119</v>
          </cell>
          <cell r="D122" t="str">
            <v>통신 케이블신설</v>
          </cell>
          <cell r="E122" t="str">
            <v>UTP CAT5. CMR 4P</v>
          </cell>
          <cell r="F122" t="str">
            <v>m</v>
          </cell>
          <cell r="G122">
            <v>286</v>
          </cell>
          <cell r="H122">
            <v>1248</v>
          </cell>
          <cell r="I122">
            <v>1534</v>
          </cell>
        </row>
        <row r="123">
          <cell r="C123">
            <v>120</v>
          </cell>
          <cell r="D123" t="str">
            <v>통신 케이블신설</v>
          </cell>
          <cell r="E123" t="str">
            <v>UTP CAT5. CMR 25P</v>
          </cell>
          <cell r="F123" t="str">
            <v>m</v>
          </cell>
          <cell r="G123">
            <v>2572</v>
          </cell>
          <cell r="H123">
            <v>2940</v>
          </cell>
          <cell r="I123">
            <v>5512</v>
          </cell>
        </row>
        <row r="124">
          <cell r="C124">
            <v>121</v>
          </cell>
          <cell r="D124" t="str">
            <v>통신 케이블신설</v>
          </cell>
          <cell r="E124" t="str">
            <v>UTP CAT5. CMR 50P</v>
          </cell>
          <cell r="F124" t="str">
            <v>m</v>
          </cell>
          <cell r="G124">
            <v>5460</v>
          </cell>
          <cell r="H124">
            <v>4091</v>
          </cell>
          <cell r="I124">
            <v>9551</v>
          </cell>
        </row>
        <row r="125">
          <cell r="C125">
            <v>122</v>
          </cell>
          <cell r="D125" t="str">
            <v>통신 케이블신설</v>
          </cell>
          <cell r="E125" t="str">
            <v>UTP CAT5. CMR 100P</v>
          </cell>
          <cell r="F125" t="str">
            <v>m</v>
          </cell>
          <cell r="G125">
            <v>9660</v>
          </cell>
          <cell r="H125">
            <v>5753</v>
          </cell>
          <cell r="I125">
            <v>15413</v>
          </cell>
        </row>
        <row r="126">
          <cell r="C126">
            <v>123</v>
          </cell>
          <cell r="D126" t="str">
            <v>통신케이블 신설</v>
          </cell>
          <cell r="E126" t="str">
            <v>FTP CAT5. CMR 4P</v>
          </cell>
          <cell r="F126" t="str">
            <v>m</v>
          </cell>
          <cell r="G126">
            <v>606</v>
          </cell>
          <cell r="H126">
            <v>1580</v>
          </cell>
          <cell r="I126">
            <v>2186</v>
          </cell>
        </row>
        <row r="127">
          <cell r="C127">
            <v>124</v>
          </cell>
          <cell r="D127" t="str">
            <v>통신케이블 신설</v>
          </cell>
          <cell r="E127" t="str">
            <v>STP CAT5. CMR 4P</v>
          </cell>
          <cell r="F127" t="str">
            <v>m</v>
          </cell>
          <cell r="G127">
            <v>1000</v>
          </cell>
          <cell r="H127">
            <v>1580</v>
          </cell>
          <cell r="I127">
            <v>2580</v>
          </cell>
        </row>
        <row r="128">
          <cell r="C128">
            <v>125</v>
          </cell>
          <cell r="D128" t="str">
            <v>통신 케이블신설</v>
          </cell>
          <cell r="E128" t="str">
            <v>UTP CAT5. CMR 4P(공동구)</v>
          </cell>
          <cell r="F128" t="str">
            <v>m</v>
          </cell>
          <cell r="G128">
            <v>281</v>
          </cell>
          <cell r="H128">
            <v>1248</v>
          </cell>
          <cell r="I128">
            <v>1529</v>
          </cell>
        </row>
        <row r="129">
          <cell r="C129">
            <v>126</v>
          </cell>
          <cell r="D129" t="str">
            <v>통신 케이블신설</v>
          </cell>
          <cell r="E129" t="str">
            <v>UTP CAT5. CMR 25P(공동구)</v>
          </cell>
          <cell r="F129" t="str">
            <v>m</v>
          </cell>
          <cell r="G129">
            <v>2523</v>
          </cell>
          <cell r="H129">
            <v>2940</v>
          </cell>
          <cell r="I129">
            <v>5463</v>
          </cell>
        </row>
        <row r="130">
          <cell r="C130">
            <v>127</v>
          </cell>
          <cell r="D130" t="str">
            <v>통신 케이블신설</v>
          </cell>
          <cell r="E130" t="str">
            <v>UTP CAT5. CMR 50P(공동구)</v>
          </cell>
          <cell r="F130" t="str">
            <v>m</v>
          </cell>
          <cell r="G130">
            <v>5356</v>
          </cell>
          <cell r="H130">
            <v>4091</v>
          </cell>
          <cell r="I130">
            <v>9447</v>
          </cell>
        </row>
        <row r="131">
          <cell r="C131">
            <v>128</v>
          </cell>
          <cell r="D131" t="str">
            <v>통신 케이블신설</v>
          </cell>
          <cell r="E131" t="str">
            <v>UTP CAT5. CMR 100P(공동구)</v>
          </cell>
          <cell r="F131" t="str">
            <v>m</v>
          </cell>
          <cell r="G131">
            <v>9476</v>
          </cell>
          <cell r="H131">
            <v>5753</v>
          </cell>
          <cell r="I131">
            <v>15229</v>
          </cell>
        </row>
        <row r="132">
          <cell r="C132">
            <v>129</v>
          </cell>
          <cell r="D132" t="str">
            <v>통신케이블 신설</v>
          </cell>
          <cell r="E132" t="str">
            <v>FTP CAT5. CMR 4P(공동구)</v>
          </cell>
          <cell r="F132" t="str">
            <v>m</v>
          </cell>
          <cell r="G132">
            <v>595</v>
          </cell>
          <cell r="H132">
            <v>1580</v>
          </cell>
          <cell r="I132">
            <v>2175</v>
          </cell>
        </row>
        <row r="133">
          <cell r="C133">
            <v>130</v>
          </cell>
          <cell r="D133" t="str">
            <v>통신 케이블신설</v>
          </cell>
          <cell r="E133" t="str">
            <v>UTP CAT5. CMR 4P(야간)</v>
          </cell>
          <cell r="F133" t="str">
            <v>m</v>
          </cell>
          <cell r="G133">
            <v>286</v>
          </cell>
          <cell r="H133">
            <v>1830</v>
          </cell>
          <cell r="I133">
            <v>2116</v>
          </cell>
        </row>
        <row r="134">
          <cell r="C134">
            <v>131</v>
          </cell>
          <cell r="D134" t="str">
            <v>통신 케이블신설</v>
          </cell>
          <cell r="E134" t="str">
            <v>UTP CAT5. CMR 25P(야간)</v>
          </cell>
          <cell r="F134" t="str">
            <v>m</v>
          </cell>
          <cell r="G134">
            <v>2572</v>
          </cell>
          <cell r="H134">
            <v>4347</v>
          </cell>
          <cell r="I134">
            <v>6919</v>
          </cell>
        </row>
        <row r="135">
          <cell r="C135">
            <v>132</v>
          </cell>
          <cell r="D135" t="str">
            <v>시내케이블신설</v>
          </cell>
          <cell r="E135" t="str">
            <v>CPEV 5P/0.65</v>
          </cell>
          <cell r="F135" t="str">
            <v>m</v>
          </cell>
          <cell r="G135">
            <v>1426</v>
          </cell>
          <cell r="H135">
            <v>2301</v>
          </cell>
          <cell r="I135">
            <v>3727</v>
          </cell>
        </row>
        <row r="136">
          <cell r="C136">
            <v>133</v>
          </cell>
          <cell r="D136" t="str">
            <v>시내케이블신설</v>
          </cell>
          <cell r="E136" t="str">
            <v>CPEV 10P/0.65</v>
          </cell>
          <cell r="F136" t="str">
            <v>m</v>
          </cell>
          <cell r="G136">
            <v>1840</v>
          </cell>
          <cell r="H136">
            <v>2301</v>
          </cell>
          <cell r="I136">
            <v>4141</v>
          </cell>
        </row>
        <row r="137">
          <cell r="C137">
            <v>134</v>
          </cell>
          <cell r="D137" t="str">
            <v>시내케이블신설</v>
          </cell>
          <cell r="E137" t="str">
            <v>CPEV 20P/0.65</v>
          </cell>
          <cell r="F137" t="str">
            <v>m</v>
          </cell>
          <cell r="G137">
            <v>2753</v>
          </cell>
          <cell r="H137">
            <v>2813</v>
          </cell>
          <cell r="I137">
            <v>5566</v>
          </cell>
        </row>
        <row r="138">
          <cell r="C138">
            <v>135</v>
          </cell>
          <cell r="D138" t="str">
            <v>시내케이블신설</v>
          </cell>
          <cell r="E138" t="str">
            <v>CPEV 5P/0.9</v>
          </cell>
          <cell r="F138" t="str">
            <v>m</v>
          </cell>
          <cell r="G138">
            <v>1707</v>
          </cell>
          <cell r="H138">
            <v>2301</v>
          </cell>
          <cell r="I138">
            <v>4008</v>
          </cell>
        </row>
        <row r="139">
          <cell r="C139">
            <v>136</v>
          </cell>
          <cell r="D139" t="str">
            <v>시내케이블신설</v>
          </cell>
          <cell r="E139" t="str">
            <v>CPEV 10P/0.9</v>
          </cell>
          <cell r="F139" t="str">
            <v>m</v>
          </cell>
          <cell r="G139">
            <v>2755</v>
          </cell>
          <cell r="H139">
            <v>2301</v>
          </cell>
          <cell r="I139">
            <v>5056</v>
          </cell>
        </row>
        <row r="140">
          <cell r="C140">
            <v>137</v>
          </cell>
          <cell r="D140" t="str">
            <v>시내케이블신설</v>
          </cell>
          <cell r="E140" t="str">
            <v>CPEV 20P/.9</v>
          </cell>
          <cell r="F140" t="str">
            <v>m</v>
          </cell>
          <cell r="G140">
            <v>4461</v>
          </cell>
          <cell r="H140">
            <v>2813</v>
          </cell>
          <cell r="I140">
            <v>7274</v>
          </cell>
        </row>
        <row r="141">
          <cell r="C141">
            <v>138</v>
          </cell>
          <cell r="D141" t="str">
            <v>시내케이블신설</v>
          </cell>
          <cell r="E141" t="str">
            <v>CPEV 10P/0.65(야간)</v>
          </cell>
          <cell r="F141" t="str">
            <v>m</v>
          </cell>
          <cell r="G141">
            <v>1840</v>
          </cell>
          <cell r="H141">
            <v>3452</v>
          </cell>
          <cell r="I141">
            <v>5292</v>
          </cell>
        </row>
        <row r="142">
          <cell r="C142">
            <v>139</v>
          </cell>
          <cell r="D142" t="str">
            <v>시내케이블신설</v>
          </cell>
          <cell r="E142" t="str">
            <v>CPEV 20P/.9(야간)</v>
          </cell>
          <cell r="F142" t="str">
            <v>m</v>
          </cell>
          <cell r="G142">
            <v>4461</v>
          </cell>
          <cell r="H142">
            <v>4219</v>
          </cell>
          <cell r="I142">
            <v>8680</v>
          </cell>
        </row>
        <row r="143">
          <cell r="C143">
            <v>140</v>
          </cell>
          <cell r="D143" t="str">
            <v>전선신설</v>
          </cell>
          <cell r="E143" t="str">
            <v>F-GV 4.0㎟</v>
          </cell>
          <cell r="F143" t="str">
            <v>m</v>
          </cell>
          <cell r="G143">
            <v>445</v>
          </cell>
          <cell r="H143">
            <v>1839</v>
          </cell>
          <cell r="I143">
            <v>2284</v>
          </cell>
        </row>
        <row r="144">
          <cell r="C144">
            <v>141</v>
          </cell>
          <cell r="D144" t="str">
            <v>전선신설</v>
          </cell>
          <cell r="E144" t="str">
            <v>F-GV 6.0㎟</v>
          </cell>
          <cell r="F144" t="str">
            <v>m</v>
          </cell>
          <cell r="G144">
            <v>615</v>
          </cell>
          <cell r="H144">
            <v>1839</v>
          </cell>
          <cell r="I144">
            <v>2454</v>
          </cell>
        </row>
        <row r="145">
          <cell r="C145">
            <v>142</v>
          </cell>
          <cell r="D145" t="str">
            <v>전선신설</v>
          </cell>
          <cell r="E145" t="str">
            <v>F-GV 16㎟</v>
          </cell>
          <cell r="F145" t="str">
            <v>m</v>
          </cell>
          <cell r="G145">
            <v>2719</v>
          </cell>
          <cell r="H145">
            <v>2207</v>
          </cell>
          <cell r="I145">
            <v>4926</v>
          </cell>
        </row>
        <row r="146">
          <cell r="C146">
            <v>143</v>
          </cell>
          <cell r="D146" t="str">
            <v>전선신설</v>
          </cell>
          <cell r="E146" t="str">
            <v>F-GV 25㎟</v>
          </cell>
          <cell r="F146" t="str">
            <v>m</v>
          </cell>
          <cell r="G146">
            <v>2338</v>
          </cell>
          <cell r="H146">
            <v>2207</v>
          </cell>
          <cell r="I146">
            <v>4545</v>
          </cell>
        </row>
        <row r="147">
          <cell r="C147">
            <v>144</v>
          </cell>
          <cell r="D147" t="str">
            <v>전선신설</v>
          </cell>
          <cell r="E147" t="str">
            <v>F-GV 35㎟</v>
          </cell>
          <cell r="F147" t="str">
            <v>m</v>
          </cell>
          <cell r="G147">
            <v>3297</v>
          </cell>
          <cell r="H147">
            <v>2207</v>
          </cell>
          <cell r="I147">
            <v>5504</v>
          </cell>
        </row>
        <row r="148">
          <cell r="C148">
            <v>145</v>
          </cell>
          <cell r="D148" t="str">
            <v>전선신설</v>
          </cell>
          <cell r="E148" t="str">
            <v>F-GV 25㎟(매입)</v>
          </cell>
          <cell r="F148" t="str">
            <v>m</v>
          </cell>
          <cell r="G148">
            <v>2293</v>
          </cell>
          <cell r="H148">
            <v>1471</v>
          </cell>
          <cell r="I148">
            <v>3764</v>
          </cell>
        </row>
        <row r="149">
          <cell r="C149">
            <v>146</v>
          </cell>
          <cell r="D149" t="str">
            <v>전선신설</v>
          </cell>
          <cell r="E149" t="str">
            <v>F-GV 35㎟(매입)</v>
          </cell>
          <cell r="F149" t="str">
            <v>m</v>
          </cell>
          <cell r="G149">
            <v>3234</v>
          </cell>
          <cell r="H149">
            <v>1471</v>
          </cell>
          <cell r="I149">
            <v>4705</v>
          </cell>
        </row>
        <row r="150">
          <cell r="C150">
            <v>147</v>
          </cell>
          <cell r="D150" t="str">
            <v>전선신설</v>
          </cell>
          <cell r="E150" t="str">
            <v>F-GV 16㎟(공동구)</v>
          </cell>
          <cell r="F150" t="str">
            <v>m</v>
          </cell>
          <cell r="G150">
            <v>1493</v>
          </cell>
          <cell r="H150">
            <v>2207</v>
          </cell>
          <cell r="I150">
            <v>3700</v>
          </cell>
        </row>
        <row r="151">
          <cell r="C151">
            <v>148</v>
          </cell>
          <cell r="D151" t="str">
            <v>전선신설</v>
          </cell>
          <cell r="E151" t="str">
            <v>F-GV 35㎟(공동구)</v>
          </cell>
          <cell r="F151" t="str">
            <v>m</v>
          </cell>
          <cell r="G151">
            <v>3234</v>
          </cell>
          <cell r="H151">
            <v>2207</v>
          </cell>
          <cell r="I151">
            <v>5441</v>
          </cell>
        </row>
        <row r="152">
          <cell r="C152">
            <v>149</v>
          </cell>
          <cell r="D152" t="str">
            <v>전선신설</v>
          </cell>
          <cell r="E152" t="str">
            <v>HIV 1.5㎟</v>
          </cell>
          <cell r="F152" t="str">
            <v>m</v>
          </cell>
          <cell r="G152">
            <v>157</v>
          </cell>
          <cell r="H152">
            <v>839</v>
          </cell>
          <cell r="I152">
            <v>996</v>
          </cell>
        </row>
        <row r="153">
          <cell r="C153">
            <v>150</v>
          </cell>
          <cell r="D153" t="str">
            <v>전선신설</v>
          </cell>
          <cell r="E153" t="str">
            <v>HIV 1.5㎟(야간)</v>
          </cell>
          <cell r="F153" t="str">
            <v>m</v>
          </cell>
          <cell r="G153">
            <v>157</v>
          </cell>
          <cell r="H153">
            <v>1259</v>
          </cell>
          <cell r="I153">
            <v>1416</v>
          </cell>
        </row>
        <row r="154">
          <cell r="C154">
            <v>151</v>
          </cell>
          <cell r="D154" t="str">
            <v>제어케이블</v>
          </cell>
          <cell r="E154" t="str">
            <v>RS-485</v>
          </cell>
          <cell r="F154" t="str">
            <v>m</v>
          </cell>
          <cell r="G154">
            <v>4725</v>
          </cell>
          <cell r="H154">
            <v>2301</v>
          </cell>
          <cell r="I154">
            <v>7026</v>
          </cell>
        </row>
        <row r="155">
          <cell r="C155">
            <v>152</v>
          </cell>
          <cell r="D155" t="str">
            <v>제어케이블</v>
          </cell>
          <cell r="E155" t="str">
            <v>RS-485(야간)</v>
          </cell>
          <cell r="F155" t="str">
            <v>m</v>
          </cell>
          <cell r="G155">
            <v>4725</v>
          </cell>
          <cell r="H155">
            <v>3452</v>
          </cell>
          <cell r="I155">
            <v>8177</v>
          </cell>
        </row>
        <row r="156">
          <cell r="C156">
            <v>153</v>
          </cell>
          <cell r="D156" t="str">
            <v>제어케이블 신설</v>
          </cell>
          <cell r="E156" t="str">
            <v>F-CVV-S 1.5˚/2C</v>
          </cell>
          <cell r="F156" t="str">
            <v>m</v>
          </cell>
          <cell r="G156">
            <v>1171</v>
          </cell>
          <cell r="H156">
            <v>1790</v>
          </cell>
          <cell r="I156">
            <v>2961</v>
          </cell>
        </row>
        <row r="157">
          <cell r="C157">
            <v>154</v>
          </cell>
          <cell r="D157" t="str">
            <v>제어케이블 신설</v>
          </cell>
          <cell r="E157" t="str">
            <v>F-CVV-S 1.5˚/3C</v>
          </cell>
          <cell r="F157" t="str">
            <v>m</v>
          </cell>
          <cell r="G157">
            <v>1363</v>
          </cell>
          <cell r="H157">
            <v>2429</v>
          </cell>
          <cell r="I157">
            <v>3792</v>
          </cell>
        </row>
        <row r="158">
          <cell r="C158">
            <v>155</v>
          </cell>
          <cell r="D158" t="str">
            <v>제어케이블 신설</v>
          </cell>
          <cell r="E158" t="str">
            <v>F-CVV-S 1.5˚/4C</v>
          </cell>
          <cell r="F158" t="str">
            <v>m</v>
          </cell>
          <cell r="G158">
            <v>1582</v>
          </cell>
          <cell r="H158">
            <v>3324</v>
          </cell>
          <cell r="I158">
            <v>4906</v>
          </cell>
        </row>
        <row r="159">
          <cell r="C159">
            <v>156</v>
          </cell>
          <cell r="D159" t="str">
            <v>제어케이블 신설</v>
          </cell>
          <cell r="E159" t="str">
            <v>F-CVV-S 1.5˚/6C</v>
          </cell>
          <cell r="F159" t="str">
            <v>m</v>
          </cell>
          <cell r="G159">
            <v>2069</v>
          </cell>
          <cell r="H159">
            <v>4475</v>
          </cell>
          <cell r="I159">
            <v>6544</v>
          </cell>
        </row>
        <row r="160">
          <cell r="C160">
            <v>157</v>
          </cell>
          <cell r="D160" t="str">
            <v>제어케이블 신설</v>
          </cell>
          <cell r="E160" t="str">
            <v>F-CVV-S 1.5˚/8C</v>
          </cell>
          <cell r="F160" t="str">
            <v>m</v>
          </cell>
          <cell r="G160">
            <v>2450</v>
          </cell>
          <cell r="H160">
            <v>5370</v>
          </cell>
          <cell r="I160">
            <v>7820</v>
          </cell>
        </row>
        <row r="161">
          <cell r="C161">
            <v>158</v>
          </cell>
          <cell r="D161" t="str">
            <v>제어케이블 신설</v>
          </cell>
          <cell r="E161" t="str">
            <v>F-CVV-S 2.5˚/5C</v>
          </cell>
          <cell r="F161" t="str">
            <v>m</v>
          </cell>
          <cell r="G161">
            <v>2222</v>
          </cell>
          <cell r="H161">
            <v>4091</v>
          </cell>
          <cell r="I161">
            <v>6313</v>
          </cell>
        </row>
        <row r="162">
          <cell r="C162">
            <v>159</v>
          </cell>
          <cell r="D162" t="str">
            <v>제어케이블 신설</v>
          </cell>
          <cell r="E162" t="str">
            <v>F-CVV-S 2.5˚/5C(야간)</v>
          </cell>
          <cell r="F162" t="str">
            <v>m</v>
          </cell>
          <cell r="G162">
            <v>2222</v>
          </cell>
          <cell r="H162">
            <v>6137</v>
          </cell>
          <cell r="I162">
            <v>8359</v>
          </cell>
        </row>
        <row r="163">
          <cell r="C163">
            <v>160</v>
          </cell>
          <cell r="D163" t="str">
            <v>제어케이블 신설</v>
          </cell>
          <cell r="E163" t="str">
            <v>F-CVV-S 1.5˚/3C(공동구)</v>
          </cell>
          <cell r="F163" t="str">
            <v>m</v>
          </cell>
          <cell r="G163">
            <v>1337</v>
          </cell>
          <cell r="H163">
            <v>2429</v>
          </cell>
          <cell r="I163">
            <v>3766</v>
          </cell>
        </row>
        <row r="164">
          <cell r="C164">
            <v>161</v>
          </cell>
          <cell r="D164" t="str">
            <v>제어케이블 신설</v>
          </cell>
          <cell r="E164" t="str">
            <v>F-CVV-S 1.5˚/4C(공동구)</v>
          </cell>
          <cell r="F164" t="str">
            <v>m</v>
          </cell>
          <cell r="G164">
            <v>1552</v>
          </cell>
          <cell r="H164">
            <v>3324</v>
          </cell>
          <cell r="I164">
            <v>4876</v>
          </cell>
        </row>
        <row r="165">
          <cell r="C165">
            <v>162</v>
          </cell>
          <cell r="D165" t="str">
            <v>SHILED DATA 2464</v>
          </cell>
          <cell r="E165" t="str">
            <v>24AWG×30P</v>
          </cell>
          <cell r="F165" t="str">
            <v>m</v>
          </cell>
          <cell r="G165">
            <v>0</v>
          </cell>
          <cell r="H165">
            <v>17133</v>
          </cell>
          <cell r="I165">
            <v>17133</v>
          </cell>
        </row>
        <row r="166">
          <cell r="C166">
            <v>163</v>
          </cell>
          <cell r="D166" t="str">
            <v>전력케이블신설</v>
          </cell>
          <cell r="E166" t="str">
            <v>HFCO 2.5˚/2C</v>
          </cell>
          <cell r="F166" t="str">
            <v>m</v>
          </cell>
          <cell r="G166">
            <v>1257</v>
          </cell>
          <cell r="H166">
            <v>1790</v>
          </cell>
          <cell r="I166">
            <v>3047</v>
          </cell>
        </row>
        <row r="167">
          <cell r="C167">
            <v>164</v>
          </cell>
          <cell r="D167" t="str">
            <v>전력케이블신설</v>
          </cell>
          <cell r="E167" t="str">
            <v>HFCO 4.0˚/2C</v>
          </cell>
          <cell r="F167" t="str">
            <v>m</v>
          </cell>
          <cell r="G167">
            <v>1603</v>
          </cell>
          <cell r="H167">
            <v>2045</v>
          </cell>
          <cell r="I167">
            <v>3648</v>
          </cell>
        </row>
        <row r="168">
          <cell r="C168">
            <v>165</v>
          </cell>
          <cell r="D168" t="str">
            <v>전력케이블신설</v>
          </cell>
          <cell r="E168" t="str">
            <v>HFCO 1.5˚/3C</v>
          </cell>
          <cell r="F168" t="str">
            <v>m</v>
          </cell>
          <cell r="G168">
            <v>1589</v>
          </cell>
          <cell r="H168">
            <v>2429</v>
          </cell>
          <cell r="I168">
            <v>4018</v>
          </cell>
        </row>
        <row r="169">
          <cell r="C169">
            <v>166</v>
          </cell>
          <cell r="D169" t="str">
            <v>전력케이블신설</v>
          </cell>
          <cell r="E169" t="str">
            <v>HFCO 2.5˚/3C</v>
          </cell>
          <cell r="F169" t="str">
            <v>m</v>
          </cell>
          <cell r="G169">
            <v>1871</v>
          </cell>
          <cell r="H169">
            <v>2429</v>
          </cell>
          <cell r="I169">
            <v>4300</v>
          </cell>
        </row>
        <row r="170">
          <cell r="C170">
            <v>167</v>
          </cell>
          <cell r="D170" t="str">
            <v>전력케이블신설</v>
          </cell>
          <cell r="E170" t="str">
            <v>HFCO 4.0˚/3C</v>
          </cell>
          <cell r="F170" t="str">
            <v>m</v>
          </cell>
          <cell r="G170">
            <v>2386</v>
          </cell>
          <cell r="H170">
            <v>2813</v>
          </cell>
          <cell r="I170">
            <v>5199</v>
          </cell>
        </row>
        <row r="171">
          <cell r="C171">
            <v>168</v>
          </cell>
          <cell r="D171" t="str">
            <v>전력케이블 신설</v>
          </cell>
          <cell r="E171" t="str">
            <v>HFCO 6.0˚/3C</v>
          </cell>
          <cell r="F171" t="str">
            <v>m</v>
          </cell>
          <cell r="G171">
            <v>0</v>
          </cell>
          <cell r="H171">
            <v>3324</v>
          </cell>
          <cell r="I171">
            <v>3324</v>
          </cell>
        </row>
        <row r="172">
          <cell r="C172">
            <v>169</v>
          </cell>
          <cell r="D172" t="str">
            <v>전력케이블신설</v>
          </cell>
          <cell r="E172" t="str">
            <v>HFCO 2.5˚/2C(야간)</v>
          </cell>
          <cell r="F172" t="str">
            <v>m</v>
          </cell>
          <cell r="G172">
            <v>1257</v>
          </cell>
          <cell r="H172">
            <v>2685</v>
          </cell>
          <cell r="I172">
            <v>3942</v>
          </cell>
        </row>
        <row r="173">
          <cell r="C173">
            <v>170</v>
          </cell>
          <cell r="D173" t="str">
            <v>전력케이블신설</v>
          </cell>
          <cell r="E173" t="str">
            <v>HFCO 2.5˚/3C(야간)</v>
          </cell>
          <cell r="F173" t="str">
            <v>m</v>
          </cell>
          <cell r="G173">
            <v>1871</v>
          </cell>
          <cell r="H173">
            <v>3580</v>
          </cell>
          <cell r="I173">
            <v>5451</v>
          </cell>
        </row>
        <row r="174">
          <cell r="C174">
            <v>171</v>
          </cell>
          <cell r="D174" t="str">
            <v>전력케이블신설</v>
          </cell>
          <cell r="E174" t="str">
            <v>HFCO 2.5˚/3C(공동구)</v>
          </cell>
          <cell r="F174" t="str">
            <v>m</v>
          </cell>
          <cell r="G174">
            <v>1835</v>
          </cell>
          <cell r="H174">
            <v>2429</v>
          </cell>
          <cell r="I174">
            <v>4264</v>
          </cell>
        </row>
        <row r="175">
          <cell r="C175">
            <v>172</v>
          </cell>
          <cell r="D175" t="str">
            <v>전력케이블신설</v>
          </cell>
          <cell r="E175" t="str">
            <v>HFCO 4.0˚/3C(공동구)</v>
          </cell>
          <cell r="F175" t="str">
            <v>m</v>
          </cell>
          <cell r="G175">
            <v>2341</v>
          </cell>
          <cell r="H175">
            <v>2813</v>
          </cell>
          <cell r="I175">
            <v>5154</v>
          </cell>
        </row>
        <row r="176">
          <cell r="C176">
            <v>173</v>
          </cell>
          <cell r="D176" t="str">
            <v>광전복합케이블</v>
          </cell>
          <cell r="E176" t="str">
            <v>OF-SM-2C-P4.0㎟/3C</v>
          </cell>
          <cell r="F176" t="str">
            <v>m</v>
          </cell>
          <cell r="G176">
            <v>0</v>
          </cell>
          <cell r="H176">
            <v>5114</v>
          </cell>
          <cell r="I176">
            <v>5114</v>
          </cell>
        </row>
        <row r="177">
          <cell r="C177">
            <v>174</v>
          </cell>
          <cell r="D177" t="str">
            <v>동축케이블신설</v>
          </cell>
          <cell r="E177" t="str">
            <v xml:space="preserve">ECX 5C-2V                   </v>
          </cell>
          <cell r="F177" t="str">
            <v>m</v>
          </cell>
          <cell r="G177">
            <v>758</v>
          </cell>
          <cell r="H177">
            <v>2301</v>
          </cell>
          <cell r="I177">
            <v>3059</v>
          </cell>
        </row>
        <row r="178">
          <cell r="C178">
            <v>175</v>
          </cell>
          <cell r="D178" t="str">
            <v>동축케이블신설</v>
          </cell>
          <cell r="E178" t="str">
            <v>ECX 7C-2V</v>
          </cell>
          <cell r="F178" t="str">
            <v>m</v>
          </cell>
          <cell r="G178">
            <v>1354</v>
          </cell>
          <cell r="H178">
            <v>2813</v>
          </cell>
          <cell r="I178">
            <v>4167</v>
          </cell>
        </row>
        <row r="179">
          <cell r="C179">
            <v>176</v>
          </cell>
          <cell r="D179" t="str">
            <v>CATV용 고발포동축케이블</v>
          </cell>
          <cell r="E179" t="str">
            <v xml:space="preserve">5C-2V                 </v>
          </cell>
          <cell r="F179" t="str">
            <v>m</v>
          </cell>
          <cell r="G179">
            <v>553</v>
          </cell>
          <cell r="H179">
            <v>2301</v>
          </cell>
          <cell r="I179">
            <v>2854</v>
          </cell>
        </row>
        <row r="180">
          <cell r="C180">
            <v>177</v>
          </cell>
          <cell r="D180" t="str">
            <v>CATV용 고발포동축케이블</v>
          </cell>
          <cell r="E180" t="str">
            <v>7C-2V</v>
          </cell>
          <cell r="F180" t="str">
            <v>m</v>
          </cell>
          <cell r="G180">
            <v>1037</v>
          </cell>
          <cell r="H180">
            <v>2813</v>
          </cell>
          <cell r="I180">
            <v>3850</v>
          </cell>
        </row>
        <row r="181">
          <cell r="C181">
            <v>178</v>
          </cell>
          <cell r="D181" t="str">
            <v>CATV용 고발포동축케이블</v>
          </cell>
          <cell r="E181" t="str">
            <v xml:space="preserve">10C-2V           </v>
          </cell>
          <cell r="F181" t="str">
            <v>m</v>
          </cell>
          <cell r="G181">
            <v>1529</v>
          </cell>
          <cell r="H181">
            <v>4091</v>
          </cell>
          <cell r="I181">
            <v>5620</v>
          </cell>
        </row>
        <row r="182">
          <cell r="C182">
            <v>179</v>
          </cell>
          <cell r="D182" t="str">
            <v>CATV용 고발포동축케이블</v>
          </cell>
          <cell r="E182" t="str">
            <v>5C-2V(야간)</v>
          </cell>
          <cell r="F182" t="str">
            <v>m</v>
          </cell>
          <cell r="G182">
            <v>553</v>
          </cell>
          <cell r="H182">
            <v>3452</v>
          </cell>
          <cell r="I182">
            <v>4005</v>
          </cell>
        </row>
        <row r="183">
          <cell r="C183">
            <v>180</v>
          </cell>
          <cell r="D183" t="str">
            <v>CATV용 고발포동축케이블</v>
          </cell>
          <cell r="E183" t="str">
            <v>7C-2V(야간)</v>
          </cell>
          <cell r="F183" t="str">
            <v>m</v>
          </cell>
          <cell r="G183">
            <v>1037</v>
          </cell>
          <cell r="H183">
            <v>4219</v>
          </cell>
          <cell r="I183">
            <v>5256</v>
          </cell>
        </row>
        <row r="184">
          <cell r="C184">
            <v>181</v>
          </cell>
          <cell r="D184" t="str">
            <v>CATV용 고발포동축케이블</v>
          </cell>
          <cell r="E184" t="str">
            <v>5C-2V(공동구)</v>
          </cell>
          <cell r="F184" t="str">
            <v>m</v>
          </cell>
          <cell r="G184">
            <v>542</v>
          </cell>
          <cell r="H184">
            <v>918</v>
          </cell>
          <cell r="I184">
            <v>1460</v>
          </cell>
        </row>
        <row r="185">
          <cell r="C185">
            <v>182</v>
          </cell>
          <cell r="D185" t="str">
            <v>CATV용 고발포동축케이블</v>
          </cell>
          <cell r="E185" t="str">
            <v>7C-2V(공동구)</v>
          </cell>
          <cell r="F185" t="str">
            <v>m</v>
          </cell>
          <cell r="G185">
            <v>1017</v>
          </cell>
          <cell r="H185">
            <v>1296</v>
          </cell>
          <cell r="I185">
            <v>2313</v>
          </cell>
        </row>
        <row r="186">
          <cell r="C186">
            <v>183</v>
          </cell>
          <cell r="D186" t="str">
            <v>CATV용 고발포동축케이블</v>
          </cell>
          <cell r="E186" t="str">
            <v>10C-2V(공동구)</v>
          </cell>
          <cell r="F186" t="str">
            <v>m</v>
          </cell>
          <cell r="G186">
            <v>1500</v>
          </cell>
          <cell r="H186">
            <v>1857</v>
          </cell>
          <cell r="I186">
            <v>3357</v>
          </cell>
        </row>
        <row r="187">
          <cell r="C187">
            <v>184</v>
          </cell>
          <cell r="D187" t="str">
            <v>동축케이블 신설</v>
          </cell>
          <cell r="E187" t="str">
            <v>LMR-200</v>
          </cell>
          <cell r="F187" t="str">
            <v>m</v>
          </cell>
          <cell r="G187">
            <v>0</v>
          </cell>
          <cell r="H187">
            <v>2301</v>
          </cell>
          <cell r="I187">
            <v>2301</v>
          </cell>
        </row>
        <row r="188">
          <cell r="C188">
            <v>185</v>
          </cell>
          <cell r="D188" t="str">
            <v>동축케이블 신설</v>
          </cell>
          <cell r="E188" t="str">
            <v>LMR-400</v>
          </cell>
          <cell r="F188" t="str">
            <v>m</v>
          </cell>
          <cell r="G188">
            <v>0</v>
          </cell>
          <cell r="H188">
            <v>2813</v>
          </cell>
          <cell r="I188">
            <v>2813</v>
          </cell>
        </row>
        <row r="189">
          <cell r="C189">
            <v>186</v>
          </cell>
          <cell r="D189" t="str">
            <v>동축케이블 신설(본선)</v>
          </cell>
          <cell r="E189" t="str">
            <v>LMR-200</v>
          </cell>
          <cell r="F189" t="str">
            <v>m</v>
          </cell>
          <cell r="G189">
            <v>0</v>
          </cell>
          <cell r="H189">
            <v>918</v>
          </cell>
          <cell r="I189">
            <v>918</v>
          </cell>
        </row>
        <row r="190">
          <cell r="C190">
            <v>187</v>
          </cell>
          <cell r="D190" t="str">
            <v>동축케이블 신설(본선)</v>
          </cell>
          <cell r="E190" t="str">
            <v>LMR-400</v>
          </cell>
          <cell r="F190" t="str">
            <v>m</v>
          </cell>
          <cell r="G190">
            <v>0</v>
          </cell>
          <cell r="H190">
            <v>1296</v>
          </cell>
          <cell r="I190">
            <v>1296</v>
          </cell>
        </row>
        <row r="191">
          <cell r="C191">
            <v>188</v>
          </cell>
          <cell r="D191" t="str">
            <v xml:space="preserve">FEEDER CABLE </v>
          </cell>
          <cell r="E191" t="str">
            <v>HFC-12D-FR</v>
          </cell>
          <cell r="F191" t="str">
            <v>m</v>
          </cell>
          <cell r="G191">
            <v>5250</v>
          </cell>
          <cell r="H191">
            <v>2817</v>
          </cell>
          <cell r="I191">
            <v>8067</v>
          </cell>
        </row>
        <row r="192">
          <cell r="C192">
            <v>189</v>
          </cell>
          <cell r="D192" t="str">
            <v>FEEDER CABLE</v>
          </cell>
          <cell r="E192" t="str">
            <v>HFC-22D-FR</v>
          </cell>
          <cell r="F192" t="str">
            <v>m</v>
          </cell>
          <cell r="G192">
            <v>10500</v>
          </cell>
          <cell r="H192">
            <v>5635</v>
          </cell>
          <cell r="I192">
            <v>16135</v>
          </cell>
        </row>
        <row r="193">
          <cell r="C193">
            <v>190</v>
          </cell>
          <cell r="D193" t="str">
            <v xml:space="preserve">FEEDER CABLE </v>
          </cell>
          <cell r="E193" t="str">
            <v>HFC-12D-FR(야간)</v>
          </cell>
          <cell r="F193" t="str">
            <v>m</v>
          </cell>
          <cell r="G193">
            <v>5250</v>
          </cell>
          <cell r="H193">
            <v>4226</v>
          </cell>
          <cell r="I193">
            <v>9476</v>
          </cell>
        </row>
        <row r="194">
          <cell r="C194">
            <v>191</v>
          </cell>
          <cell r="D194" t="str">
            <v>FEEDER CABLE</v>
          </cell>
          <cell r="E194" t="str">
            <v>HFC-22D-FR(야간)</v>
          </cell>
          <cell r="F194" t="str">
            <v>m</v>
          </cell>
          <cell r="G194">
            <v>10500</v>
          </cell>
          <cell r="H194">
            <v>8453</v>
          </cell>
          <cell r="I194">
            <v>18953</v>
          </cell>
        </row>
        <row r="195">
          <cell r="C195">
            <v>192</v>
          </cell>
          <cell r="D195" t="str">
            <v>광케이블</v>
          </cell>
          <cell r="E195" t="str">
            <v>OF-SM-2C (구내)</v>
          </cell>
          <cell r="F195" t="str">
            <v>m</v>
          </cell>
          <cell r="G195">
            <v>1308</v>
          </cell>
          <cell r="H195">
            <v>2446</v>
          </cell>
          <cell r="I195">
            <v>3754</v>
          </cell>
        </row>
        <row r="196">
          <cell r="C196">
            <v>193</v>
          </cell>
          <cell r="D196" t="str">
            <v>광케이블</v>
          </cell>
          <cell r="E196" t="str">
            <v>OF-SM-4C (구내)</v>
          </cell>
          <cell r="F196" t="str">
            <v>m</v>
          </cell>
          <cell r="G196">
            <v>1308</v>
          </cell>
          <cell r="H196">
            <v>2446</v>
          </cell>
          <cell r="I196">
            <v>3754</v>
          </cell>
        </row>
        <row r="197">
          <cell r="C197">
            <v>194</v>
          </cell>
          <cell r="D197" t="str">
            <v>광케이블</v>
          </cell>
          <cell r="E197" t="str">
            <v>OF-SM-6C (구내)</v>
          </cell>
          <cell r="F197" t="str">
            <v>m</v>
          </cell>
          <cell r="G197">
            <v>1431</v>
          </cell>
          <cell r="H197">
            <v>2446</v>
          </cell>
          <cell r="I197">
            <v>3877</v>
          </cell>
        </row>
        <row r="198">
          <cell r="C198">
            <v>195</v>
          </cell>
          <cell r="D198" t="str">
            <v>광케이블</v>
          </cell>
          <cell r="E198" t="str">
            <v>OF-SM-8C (구내)</v>
          </cell>
          <cell r="F198" t="str">
            <v>m</v>
          </cell>
          <cell r="G198">
            <v>1545</v>
          </cell>
          <cell r="H198">
            <v>3201</v>
          </cell>
          <cell r="I198">
            <v>4746</v>
          </cell>
        </row>
        <row r="199">
          <cell r="C199">
            <v>196</v>
          </cell>
          <cell r="D199" t="str">
            <v>광케이블</v>
          </cell>
          <cell r="E199" t="str">
            <v>OF-SM-10C (구내)</v>
          </cell>
          <cell r="F199" t="str">
            <v>m</v>
          </cell>
          <cell r="G199">
            <v>1668</v>
          </cell>
          <cell r="H199">
            <v>3201</v>
          </cell>
          <cell r="I199">
            <v>4869</v>
          </cell>
        </row>
        <row r="200">
          <cell r="C200">
            <v>197</v>
          </cell>
          <cell r="D200" t="str">
            <v>광케이블</v>
          </cell>
          <cell r="E200" t="str">
            <v>OF-SM-12C (구내)</v>
          </cell>
          <cell r="F200" t="str">
            <v>m</v>
          </cell>
          <cell r="G200">
            <v>1781</v>
          </cell>
          <cell r="H200">
            <v>3201</v>
          </cell>
          <cell r="I200">
            <v>4982</v>
          </cell>
        </row>
        <row r="201">
          <cell r="C201">
            <v>198</v>
          </cell>
          <cell r="D201" t="str">
            <v>광케이블</v>
          </cell>
          <cell r="E201" t="str">
            <v>OF-SM-14C (구내)</v>
          </cell>
          <cell r="F201" t="str">
            <v>m</v>
          </cell>
          <cell r="G201">
            <v>0</v>
          </cell>
          <cell r="H201">
            <v>3832</v>
          </cell>
          <cell r="I201">
            <v>3832</v>
          </cell>
        </row>
        <row r="202">
          <cell r="C202">
            <v>199</v>
          </cell>
          <cell r="D202" t="str">
            <v>광케이블</v>
          </cell>
          <cell r="E202" t="str">
            <v>OF-SM-4C (구내, 야간)</v>
          </cell>
          <cell r="F202" t="str">
            <v>m</v>
          </cell>
          <cell r="G202">
            <v>1308</v>
          </cell>
          <cell r="H202">
            <v>3670</v>
          </cell>
          <cell r="I202">
            <v>4978</v>
          </cell>
        </row>
        <row r="203">
          <cell r="C203">
            <v>200</v>
          </cell>
          <cell r="D203" t="str">
            <v>광케이블</v>
          </cell>
          <cell r="E203" t="str">
            <v>OF-SM-6C (구내, 야간)</v>
          </cell>
          <cell r="F203" t="str">
            <v>m</v>
          </cell>
          <cell r="G203">
            <v>1431</v>
          </cell>
          <cell r="H203">
            <v>3670</v>
          </cell>
          <cell r="I203">
            <v>5101</v>
          </cell>
        </row>
        <row r="204">
          <cell r="C204">
            <v>201</v>
          </cell>
          <cell r="D204" t="str">
            <v>광케이블</v>
          </cell>
          <cell r="E204" t="str">
            <v>OF-SM-8C (구내, 야간)</v>
          </cell>
          <cell r="F204" t="str">
            <v>m</v>
          </cell>
          <cell r="G204">
            <v>1545</v>
          </cell>
          <cell r="H204">
            <v>4802</v>
          </cell>
          <cell r="I204">
            <v>6347</v>
          </cell>
        </row>
        <row r="205">
          <cell r="C205">
            <v>202</v>
          </cell>
          <cell r="D205" t="str">
            <v>광케이블</v>
          </cell>
          <cell r="E205" t="str">
            <v>OF-SM-10C (구내, 야간)</v>
          </cell>
          <cell r="F205" t="str">
            <v>m</v>
          </cell>
          <cell r="G205">
            <v>1668</v>
          </cell>
          <cell r="H205">
            <v>4802</v>
          </cell>
          <cell r="I205">
            <v>6470</v>
          </cell>
        </row>
        <row r="206">
          <cell r="C206">
            <v>203</v>
          </cell>
          <cell r="D206" t="str">
            <v>광케이블</v>
          </cell>
          <cell r="E206" t="str">
            <v>OF-SM-12C (구내, 야간)</v>
          </cell>
          <cell r="F206" t="str">
            <v>m</v>
          </cell>
          <cell r="G206">
            <v>1781</v>
          </cell>
          <cell r="H206">
            <v>4802</v>
          </cell>
          <cell r="I206">
            <v>6583</v>
          </cell>
        </row>
        <row r="207">
          <cell r="C207">
            <v>204</v>
          </cell>
          <cell r="D207" t="str">
            <v>광케이블</v>
          </cell>
          <cell r="E207" t="str">
            <v>OF-SM-14C (구내, 야간)</v>
          </cell>
          <cell r="F207" t="str">
            <v>m</v>
          </cell>
          <cell r="G207">
            <v>0</v>
          </cell>
          <cell r="H207">
            <v>5751</v>
          </cell>
          <cell r="I207">
            <v>5751</v>
          </cell>
        </row>
        <row r="208">
          <cell r="C208">
            <v>205</v>
          </cell>
          <cell r="D208" t="str">
            <v>광케이블</v>
          </cell>
          <cell r="E208" t="str">
            <v>OF-SM-2C(공동구)</v>
          </cell>
          <cell r="F208" t="str">
            <v>m</v>
          </cell>
          <cell r="G208">
            <v>1308</v>
          </cell>
          <cell r="H208">
            <v>3045</v>
          </cell>
          <cell r="I208">
            <v>4353</v>
          </cell>
        </row>
        <row r="209">
          <cell r="C209">
            <v>206</v>
          </cell>
          <cell r="D209" t="str">
            <v>광케이블</v>
          </cell>
          <cell r="E209" t="str">
            <v>OF-SM-4C(공동구)</v>
          </cell>
          <cell r="F209" t="str">
            <v>m</v>
          </cell>
          <cell r="G209">
            <v>1308</v>
          </cell>
          <cell r="H209">
            <v>3045</v>
          </cell>
          <cell r="I209">
            <v>4353</v>
          </cell>
        </row>
        <row r="210">
          <cell r="C210">
            <v>207</v>
          </cell>
          <cell r="D210" t="str">
            <v>광케이블</v>
          </cell>
          <cell r="E210" t="str">
            <v>OF-SM-6C(공동구)</v>
          </cell>
          <cell r="F210" t="str">
            <v>m</v>
          </cell>
          <cell r="G210">
            <v>1431</v>
          </cell>
          <cell r="H210">
            <v>3045</v>
          </cell>
          <cell r="I210">
            <v>4476</v>
          </cell>
        </row>
        <row r="211">
          <cell r="C211">
            <v>208</v>
          </cell>
          <cell r="D211" t="str">
            <v>광케이블</v>
          </cell>
          <cell r="E211" t="str">
            <v>OF-SM-8C(공동구)</v>
          </cell>
          <cell r="F211" t="str">
            <v>m</v>
          </cell>
          <cell r="G211">
            <v>1545</v>
          </cell>
          <cell r="H211">
            <v>3045</v>
          </cell>
          <cell r="I211">
            <v>4590</v>
          </cell>
        </row>
        <row r="212">
          <cell r="C212">
            <v>209</v>
          </cell>
          <cell r="D212" t="str">
            <v>광케이블</v>
          </cell>
          <cell r="E212" t="str">
            <v>OF-SM-24C</v>
          </cell>
          <cell r="F212" t="str">
            <v>m</v>
          </cell>
          <cell r="G212">
            <v>2441</v>
          </cell>
          <cell r="H212">
            <v>2313</v>
          </cell>
          <cell r="I212">
            <v>4754</v>
          </cell>
        </row>
        <row r="213">
          <cell r="C213">
            <v>210</v>
          </cell>
          <cell r="D213" t="str">
            <v>광케이블 성단 (구내)</v>
          </cell>
          <cell r="E213">
            <v>0</v>
          </cell>
          <cell r="F213" t="str">
            <v>Core</v>
          </cell>
          <cell r="G213">
            <v>5650</v>
          </cell>
          <cell r="H213">
            <v>11656</v>
          </cell>
          <cell r="I213">
            <v>17306</v>
          </cell>
        </row>
        <row r="214">
          <cell r="C214">
            <v>211</v>
          </cell>
          <cell r="D214" t="str">
            <v>광케이블 시험 (구내)</v>
          </cell>
          <cell r="E214">
            <v>0</v>
          </cell>
          <cell r="F214" t="str">
            <v>Core</v>
          </cell>
          <cell r="G214">
            <v>0</v>
          </cell>
          <cell r="H214">
            <v>6780</v>
          </cell>
          <cell r="I214">
            <v>6780</v>
          </cell>
        </row>
        <row r="215">
          <cell r="C215">
            <v>212</v>
          </cell>
          <cell r="D215" t="str">
            <v>광케이블 성단(성단접속품량 포함)</v>
          </cell>
          <cell r="E215" t="str">
            <v>12 CORE 이하</v>
          </cell>
          <cell r="F215" t="str">
            <v>Core</v>
          </cell>
          <cell r="G215">
            <v>5650</v>
          </cell>
          <cell r="H215">
            <v>45462</v>
          </cell>
          <cell r="I215">
            <v>51112</v>
          </cell>
        </row>
        <row r="216">
          <cell r="C216">
            <v>213</v>
          </cell>
          <cell r="D216" t="str">
            <v>광케이블 성단(성단접속품량 포함)</v>
          </cell>
          <cell r="E216" t="str">
            <v>13-71 CORE</v>
          </cell>
          <cell r="F216" t="str">
            <v>Core</v>
          </cell>
          <cell r="G216">
            <v>5650</v>
          </cell>
          <cell r="H216">
            <v>32160</v>
          </cell>
          <cell r="I216">
            <v>37810</v>
          </cell>
        </row>
        <row r="217">
          <cell r="C217">
            <v>214</v>
          </cell>
          <cell r="D217" t="str">
            <v>광케이블 코아접속</v>
          </cell>
          <cell r="E217" t="str">
            <v>13-71 CORE</v>
          </cell>
          <cell r="F217" t="str">
            <v>Core</v>
          </cell>
          <cell r="G217">
            <v>120</v>
          </cell>
          <cell r="H217">
            <v>22731</v>
          </cell>
          <cell r="I217">
            <v>22851</v>
          </cell>
        </row>
        <row r="218">
          <cell r="C218">
            <v>215</v>
          </cell>
          <cell r="D218" t="str">
            <v>광케이블 최졷시험</v>
          </cell>
          <cell r="E218">
            <v>0</v>
          </cell>
          <cell r="F218" t="str">
            <v>Core</v>
          </cell>
          <cell r="G218">
            <v>0</v>
          </cell>
          <cell r="H218">
            <v>47951</v>
          </cell>
          <cell r="I218">
            <v>47951</v>
          </cell>
        </row>
        <row r="219">
          <cell r="C219">
            <v>216</v>
          </cell>
          <cell r="D219" t="str">
            <v>광케이블 접속후 시험</v>
          </cell>
          <cell r="E219">
            <v>0</v>
          </cell>
          <cell r="F219" t="str">
            <v>Core</v>
          </cell>
          <cell r="G219">
            <v>0</v>
          </cell>
          <cell r="H219">
            <v>29512</v>
          </cell>
          <cell r="I219">
            <v>29512</v>
          </cell>
        </row>
        <row r="220">
          <cell r="C220">
            <v>217</v>
          </cell>
          <cell r="D220" t="str">
            <v>UTP 케이블 성단</v>
          </cell>
          <cell r="E220" t="str">
            <v>4P</v>
          </cell>
          <cell r="F220" t="str">
            <v>조</v>
          </cell>
          <cell r="G220">
            <v>0</v>
          </cell>
          <cell r="H220">
            <v>8660</v>
          </cell>
          <cell r="I220">
            <v>8660</v>
          </cell>
        </row>
        <row r="221">
          <cell r="C221">
            <v>218</v>
          </cell>
          <cell r="D221" t="str">
            <v>UTP 케이블 성단</v>
          </cell>
          <cell r="E221" t="str">
            <v>25P</v>
          </cell>
          <cell r="F221" t="str">
            <v>조</v>
          </cell>
          <cell r="G221">
            <v>0</v>
          </cell>
          <cell r="H221">
            <v>35140</v>
          </cell>
          <cell r="I221">
            <v>35140</v>
          </cell>
        </row>
        <row r="222">
          <cell r="C222">
            <v>219</v>
          </cell>
          <cell r="D222" t="str">
            <v>UTP 케이블 성단</v>
          </cell>
          <cell r="E222" t="str">
            <v>50P</v>
          </cell>
          <cell r="F222" t="str">
            <v>조</v>
          </cell>
          <cell r="G222">
            <v>0</v>
          </cell>
          <cell r="H222">
            <v>70409</v>
          </cell>
          <cell r="I222">
            <v>70409</v>
          </cell>
        </row>
        <row r="223">
          <cell r="C223">
            <v>220</v>
          </cell>
          <cell r="D223" t="str">
            <v>UTP 케이블 성단</v>
          </cell>
          <cell r="E223" t="str">
            <v>100P</v>
          </cell>
          <cell r="F223" t="str">
            <v>조</v>
          </cell>
          <cell r="G223">
            <v>0</v>
          </cell>
          <cell r="H223">
            <v>140819</v>
          </cell>
          <cell r="I223">
            <v>140819</v>
          </cell>
        </row>
        <row r="224">
          <cell r="C224">
            <v>221</v>
          </cell>
          <cell r="D224" t="str">
            <v>STP(FTP) 케이블 성단</v>
          </cell>
          <cell r="E224" t="str">
            <v>4P</v>
          </cell>
          <cell r="F224" t="str">
            <v>조</v>
          </cell>
          <cell r="G224">
            <v>0</v>
          </cell>
          <cell r="H224">
            <v>11341</v>
          </cell>
          <cell r="I224">
            <v>11341</v>
          </cell>
        </row>
        <row r="225">
          <cell r="C225">
            <v>222</v>
          </cell>
          <cell r="D225" t="str">
            <v>케이블 성단</v>
          </cell>
          <cell r="E225" t="str">
            <v>0.65mm</v>
          </cell>
          <cell r="F225" t="str">
            <v>회선</v>
          </cell>
          <cell r="G225">
            <v>0</v>
          </cell>
          <cell r="H225">
            <v>940</v>
          </cell>
          <cell r="I225">
            <v>940</v>
          </cell>
        </row>
        <row r="226">
          <cell r="C226">
            <v>223</v>
          </cell>
          <cell r="D226" t="str">
            <v>케이블 성단</v>
          </cell>
          <cell r="E226" t="str">
            <v>0.9mm</v>
          </cell>
          <cell r="F226" t="str">
            <v>회선</v>
          </cell>
          <cell r="G226">
            <v>0</v>
          </cell>
          <cell r="H226">
            <v>1021</v>
          </cell>
          <cell r="I226">
            <v>1021</v>
          </cell>
        </row>
        <row r="227">
          <cell r="C227">
            <v>224</v>
          </cell>
          <cell r="D227" t="str">
            <v>광분배함(OFD) 신설</v>
          </cell>
          <cell r="E227" t="str">
            <v>SC-48Core</v>
          </cell>
          <cell r="F227" t="str">
            <v>대</v>
          </cell>
          <cell r="G227">
            <v>0</v>
          </cell>
          <cell r="H227">
            <v>14036</v>
          </cell>
          <cell r="I227">
            <v>14036</v>
          </cell>
        </row>
        <row r="228">
          <cell r="C228">
            <v>225</v>
          </cell>
          <cell r="D228" t="str">
            <v>광단자함(FDF) 신설</v>
          </cell>
          <cell r="E228" t="str">
            <v>SC-12Core</v>
          </cell>
          <cell r="F228" t="str">
            <v>대</v>
          </cell>
          <cell r="G228">
            <v>0</v>
          </cell>
          <cell r="H228">
            <v>35872</v>
          </cell>
          <cell r="I228">
            <v>35872</v>
          </cell>
        </row>
        <row r="229">
          <cell r="C229">
            <v>226</v>
          </cell>
          <cell r="D229" t="str">
            <v>광전송장치 신설</v>
          </cell>
          <cell r="E229" t="str">
            <v>비디오/데이터 링크</v>
          </cell>
          <cell r="F229" t="str">
            <v>대</v>
          </cell>
          <cell r="G229">
            <v>6830</v>
          </cell>
          <cell r="H229">
            <v>80147</v>
          </cell>
          <cell r="I229">
            <v>86977</v>
          </cell>
        </row>
        <row r="230">
          <cell r="C230">
            <v>227</v>
          </cell>
          <cell r="D230" t="str">
            <v>통신TB(SUS H/L, 110블럭 25Px1 포함)</v>
          </cell>
          <cell r="E230" t="str">
            <v xml:space="preserve">400x400x250(빼크,자물쇠)     </v>
          </cell>
          <cell r="F230" t="str">
            <v>대</v>
          </cell>
          <cell r="G230">
            <v>220000</v>
          </cell>
          <cell r="H230">
            <v>84617</v>
          </cell>
          <cell r="I230">
            <v>304617</v>
          </cell>
        </row>
        <row r="231">
          <cell r="C231">
            <v>228</v>
          </cell>
          <cell r="D231" t="str">
            <v>통신TB(SUS H/L, 110블럭 50Px3포함)</v>
          </cell>
          <cell r="E231" t="str">
            <v xml:space="preserve">400x500x250(빼크,자물쇠)     </v>
          </cell>
          <cell r="F231" t="str">
            <v>대</v>
          </cell>
          <cell r="G231">
            <v>220000</v>
          </cell>
          <cell r="H231">
            <v>98720</v>
          </cell>
          <cell r="I231">
            <v>318720</v>
          </cell>
        </row>
        <row r="232">
          <cell r="C232">
            <v>229</v>
          </cell>
          <cell r="D232" t="str">
            <v>통신TB(SUS H/L, 110블럭 50Px4포함)</v>
          </cell>
          <cell r="E232" t="str">
            <v xml:space="preserve">400x500x250(빼크,자물쇠)     </v>
          </cell>
          <cell r="F232" t="str">
            <v>대</v>
          </cell>
          <cell r="G232">
            <v>220000</v>
          </cell>
          <cell r="H232">
            <v>98720</v>
          </cell>
          <cell r="I232">
            <v>318720</v>
          </cell>
        </row>
        <row r="233">
          <cell r="C233">
            <v>230</v>
          </cell>
          <cell r="D233" t="str">
            <v>통신TB(SUS H/L, 110블럭 50Px5포함)</v>
          </cell>
          <cell r="E233" t="str">
            <v xml:space="preserve">400x500x250(빼크,자물쇠)     </v>
          </cell>
          <cell r="F233" t="str">
            <v>대</v>
          </cell>
          <cell r="G233">
            <v>220000</v>
          </cell>
          <cell r="H233">
            <v>98720</v>
          </cell>
          <cell r="I233">
            <v>318720</v>
          </cell>
        </row>
        <row r="234">
          <cell r="C234">
            <v>231</v>
          </cell>
          <cell r="D234" t="str">
            <v>국선TB(SUS H/L, 피뢰탄기반,110블록 50Px3포함)</v>
          </cell>
          <cell r="E234" t="str">
            <v xml:space="preserve">600x600x250(빼크,자물쇠)     </v>
          </cell>
          <cell r="F234" t="str">
            <v>EA</v>
          </cell>
          <cell r="G234">
            <v>390000</v>
          </cell>
          <cell r="H234">
            <v>98720</v>
          </cell>
          <cell r="I234">
            <v>488720</v>
          </cell>
        </row>
        <row r="235">
          <cell r="C235">
            <v>232</v>
          </cell>
          <cell r="D235" t="str">
            <v xml:space="preserve">광TB(SUS H/L)         </v>
          </cell>
          <cell r="E235" t="str">
            <v xml:space="preserve">400x400x250(빼크,자물쇠)     </v>
          </cell>
          <cell r="F235" t="str">
            <v>EA</v>
          </cell>
          <cell r="G235">
            <v>0</v>
          </cell>
          <cell r="H235">
            <v>84617</v>
          </cell>
          <cell r="I235">
            <v>84617</v>
          </cell>
        </row>
        <row r="236">
          <cell r="C236">
            <v>233</v>
          </cell>
          <cell r="D236" t="str">
            <v xml:space="preserve">광TB(SUS H/L, M/C포함 )   </v>
          </cell>
          <cell r="E236" t="str">
            <v xml:space="preserve">400x600x250(빼크,자물쇠)     </v>
          </cell>
          <cell r="F236" t="str">
            <v>EA</v>
          </cell>
          <cell r="G236">
            <v>1721</v>
          </cell>
          <cell r="H236">
            <v>189125</v>
          </cell>
          <cell r="I236">
            <v>190846</v>
          </cell>
        </row>
        <row r="237">
          <cell r="C237">
            <v>234</v>
          </cell>
          <cell r="D237" t="str">
            <v xml:space="preserve">방송TB(SUS H/L, U-Link 단자대 10Px3 포함)        </v>
          </cell>
          <cell r="E237" t="str">
            <v xml:space="preserve">400x400x250(빼크,자물쇠)     </v>
          </cell>
          <cell r="F237" t="str">
            <v>EA</v>
          </cell>
          <cell r="G237">
            <v>34000</v>
          </cell>
          <cell r="H237">
            <v>98720</v>
          </cell>
          <cell r="I237">
            <v>132720</v>
          </cell>
        </row>
        <row r="238">
          <cell r="C238">
            <v>235</v>
          </cell>
          <cell r="D238" t="str">
            <v xml:space="preserve">접지TB(SUS H/L, 동대, 단자대x1)        </v>
          </cell>
          <cell r="E238" t="str">
            <v xml:space="preserve">400x500x250(빼크,자물쇠)     </v>
          </cell>
          <cell r="F238" t="str">
            <v>EA</v>
          </cell>
          <cell r="G238">
            <v>9766</v>
          </cell>
          <cell r="H238">
            <v>104852</v>
          </cell>
          <cell r="I238">
            <v>114618</v>
          </cell>
        </row>
        <row r="239">
          <cell r="C239">
            <v>236</v>
          </cell>
          <cell r="D239" t="str">
            <v xml:space="preserve">접지TB(SUS H/L, 동대, 단자대x2)        </v>
          </cell>
          <cell r="E239" t="str">
            <v xml:space="preserve">500x500x250(빼크,자물쇠)     </v>
          </cell>
          <cell r="F239" t="str">
            <v>EA</v>
          </cell>
          <cell r="G239">
            <v>10032</v>
          </cell>
          <cell r="H239">
            <v>110985</v>
          </cell>
          <cell r="I239">
            <v>121017</v>
          </cell>
        </row>
        <row r="240">
          <cell r="C240">
            <v>237</v>
          </cell>
          <cell r="D240" t="str">
            <v xml:space="preserve">접지TB(SUS H/L, 단자대x3)        </v>
          </cell>
          <cell r="E240" t="str">
            <v xml:space="preserve">400x500x250(빼크,자물쇠)     </v>
          </cell>
          <cell r="F240" t="str">
            <v>EA</v>
          </cell>
          <cell r="G240">
            <v>798</v>
          </cell>
          <cell r="H240">
            <v>117118</v>
          </cell>
          <cell r="I240">
            <v>117916</v>
          </cell>
        </row>
        <row r="241">
          <cell r="C241">
            <v>238</v>
          </cell>
          <cell r="D241" t="str">
            <v xml:space="preserve">콜폰TB(SUS H/L, 110블록 50Px1포함)     </v>
          </cell>
          <cell r="E241" t="str">
            <v xml:space="preserve">400x300x250(빼크,자물쇠)     </v>
          </cell>
          <cell r="F241" t="str">
            <v>EA</v>
          </cell>
          <cell r="G241">
            <v>0</v>
          </cell>
          <cell r="H241">
            <v>84617</v>
          </cell>
          <cell r="I241">
            <v>84617</v>
          </cell>
        </row>
        <row r="242">
          <cell r="C242">
            <v>239</v>
          </cell>
          <cell r="D242" t="str">
            <v xml:space="preserve">공시청TB(SUS H/L)       </v>
          </cell>
          <cell r="E242" t="str">
            <v>증폭기</v>
          </cell>
          <cell r="F242" t="str">
            <v>EA</v>
          </cell>
          <cell r="G242">
            <v>66721</v>
          </cell>
          <cell r="H242">
            <v>123609</v>
          </cell>
          <cell r="I242">
            <v>190330</v>
          </cell>
        </row>
        <row r="243">
          <cell r="C243">
            <v>240</v>
          </cell>
          <cell r="D243" t="str">
            <v xml:space="preserve">공시청TB(SUS H/L)       </v>
          </cell>
          <cell r="E243" t="str">
            <v>증폭기+2분배기</v>
          </cell>
          <cell r="F243" t="str">
            <v>EA</v>
          </cell>
          <cell r="G243">
            <v>71721</v>
          </cell>
          <cell r="H243">
            <v>138947</v>
          </cell>
          <cell r="I243">
            <v>210668</v>
          </cell>
        </row>
        <row r="244">
          <cell r="C244">
            <v>241</v>
          </cell>
          <cell r="D244" t="str">
            <v xml:space="preserve">공시청TB(SUS H/L)       </v>
          </cell>
          <cell r="E244" t="str">
            <v>증폭기+3분배기</v>
          </cell>
          <cell r="F244" t="str">
            <v>EA</v>
          </cell>
          <cell r="G244">
            <v>72721</v>
          </cell>
          <cell r="H244">
            <v>143476</v>
          </cell>
          <cell r="I244">
            <v>216197</v>
          </cell>
        </row>
        <row r="245">
          <cell r="C245">
            <v>242</v>
          </cell>
          <cell r="D245" t="str">
            <v xml:space="preserve">공시청TB(SUS H/L)       </v>
          </cell>
          <cell r="E245" t="str">
            <v>증폭기+4분배기</v>
          </cell>
          <cell r="F245" t="str">
            <v>EA</v>
          </cell>
          <cell r="G245">
            <v>73721</v>
          </cell>
          <cell r="H245">
            <v>147218</v>
          </cell>
          <cell r="I245">
            <v>220939</v>
          </cell>
        </row>
        <row r="246">
          <cell r="C246">
            <v>243</v>
          </cell>
          <cell r="D246" t="str">
            <v xml:space="preserve">공시청TB(SUS H/L)       </v>
          </cell>
          <cell r="E246" t="str">
            <v>증폭기+5분배기</v>
          </cell>
          <cell r="F246" t="str">
            <v>EA</v>
          </cell>
          <cell r="G246">
            <v>74721</v>
          </cell>
          <cell r="H246">
            <v>150962</v>
          </cell>
          <cell r="I246">
            <v>225683</v>
          </cell>
        </row>
        <row r="247">
          <cell r="C247">
            <v>244</v>
          </cell>
          <cell r="D247" t="str">
            <v>중간박스 신설</v>
          </cell>
          <cell r="E247" t="str">
            <v>CCTV 전원용(전원단자대 포함)</v>
          </cell>
          <cell r="F247" t="str">
            <v>EA</v>
          </cell>
          <cell r="G247">
            <v>18000</v>
          </cell>
          <cell r="H247">
            <v>19970</v>
          </cell>
          <cell r="I247">
            <v>37970</v>
          </cell>
        </row>
        <row r="248">
          <cell r="C248">
            <v>245</v>
          </cell>
          <cell r="D248" t="str">
            <v>AFC박스 신설</v>
          </cell>
          <cell r="E248" t="str">
            <v xml:space="preserve">400 x 250 x 80         </v>
          </cell>
          <cell r="F248" t="str">
            <v>개</v>
          </cell>
          <cell r="G248">
            <v>18000</v>
          </cell>
          <cell r="H248">
            <v>16641</v>
          </cell>
          <cell r="I248">
            <v>34641</v>
          </cell>
        </row>
        <row r="249">
          <cell r="C249">
            <v>246</v>
          </cell>
          <cell r="D249" t="str">
            <v>SYSTEM박스 신설</v>
          </cell>
          <cell r="E249" t="str">
            <v>사각 AL형</v>
          </cell>
          <cell r="F249" t="str">
            <v>개</v>
          </cell>
          <cell r="G249">
            <v>54000</v>
          </cell>
          <cell r="H249">
            <v>52421</v>
          </cell>
          <cell r="I249">
            <v>106421</v>
          </cell>
        </row>
        <row r="250">
          <cell r="C250">
            <v>247</v>
          </cell>
          <cell r="D250" t="str">
            <v>JUNCTION박스 신설</v>
          </cell>
          <cell r="E250" t="str">
            <v>F7-3 DUCT용</v>
          </cell>
          <cell r="F250" t="str">
            <v>개</v>
          </cell>
          <cell r="G250">
            <v>45000</v>
          </cell>
          <cell r="H250">
            <v>66567</v>
          </cell>
          <cell r="I250">
            <v>111567</v>
          </cell>
        </row>
        <row r="251">
          <cell r="C251">
            <v>248</v>
          </cell>
          <cell r="D251" t="str">
            <v>접지공사</v>
          </cell>
          <cell r="E251" t="str">
            <v>3Ω 이하</v>
          </cell>
          <cell r="F251" t="str">
            <v>식</v>
          </cell>
          <cell r="G251">
            <v>383128</v>
          </cell>
          <cell r="H251">
            <v>1124959</v>
          </cell>
          <cell r="I251">
            <v>1508087</v>
          </cell>
        </row>
        <row r="252">
          <cell r="C252">
            <v>249</v>
          </cell>
          <cell r="D252" t="str">
            <v>접지공사</v>
          </cell>
          <cell r="E252" t="str">
            <v>10Ω 이하</v>
          </cell>
          <cell r="F252" t="str">
            <v>식</v>
          </cell>
          <cell r="G252">
            <v>181794</v>
          </cell>
          <cell r="H252">
            <v>565155</v>
          </cell>
          <cell r="I252">
            <v>746949</v>
          </cell>
        </row>
        <row r="253">
          <cell r="C253">
            <v>250</v>
          </cell>
          <cell r="D253" t="str">
            <v>접지공사</v>
          </cell>
          <cell r="E253" t="str">
            <v>10Ω 이하</v>
          </cell>
          <cell r="F253" t="str">
            <v>식</v>
          </cell>
          <cell r="G253">
            <v>121750</v>
          </cell>
          <cell r="H253">
            <v>404581</v>
          </cell>
          <cell r="I253">
            <v>526331</v>
          </cell>
        </row>
        <row r="254">
          <cell r="C254">
            <v>251</v>
          </cell>
          <cell r="D254" t="str">
            <v>접지동대(부스바)</v>
          </cell>
          <cell r="E254" t="str">
            <v>H6×W50×L300</v>
          </cell>
          <cell r="F254" t="str">
            <v>개</v>
          </cell>
          <cell r="G254">
            <v>9500</v>
          </cell>
          <cell r="H254">
            <v>0</v>
          </cell>
          <cell r="I254">
            <v>9500</v>
          </cell>
        </row>
        <row r="255">
          <cell r="C255">
            <v>252</v>
          </cell>
          <cell r="D255" t="str">
            <v>접지단자대</v>
          </cell>
          <cell r="E255" t="str">
            <v>체부형</v>
          </cell>
          <cell r="F255" t="str">
            <v>개</v>
          </cell>
          <cell r="G255">
            <v>266</v>
          </cell>
          <cell r="H255">
            <v>4160</v>
          </cell>
          <cell r="I255">
            <v>4426</v>
          </cell>
        </row>
        <row r="256">
          <cell r="C256">
            <v>253</v>
          </cell>
          <cell r="D256" t="str">
            <v>접지선서비스콘넥터</v>
          </cell>
          <cell r="E256" t="str">
            <v>22-35㎟</v>
          </cell>
          <cell r="F256" t="str">
            <v>개</v>
          </cell>
          <cell r="G256">
            <v>5000</v>
          </cell>
          <cell r="H256">
            <v>2496</v>
          </cell>
          <cell r="I256">
            <v>7496</v>
          </cell>
        </row>
        <row r="257">
          <cell r="C257">
            <v>254</v>
          </cell>
          <cell r="D257" t="str">
            <v>상승 DUCT 신설</v>
          </cell>
          <cell r="E257" t="str">
            <v>1.5t (W200*D250)</v>
          </cell>
          <cell r="F257" t="str">
            <v>m</v>
          </cell>
          <cell r="G257">
            <v>2560</v>
          </cell>
          <cell r="H257">
            <v>33283</v>
          </cell>
          <cell r="I257">
            <v>35843</v>
          </cell>
        </row>
        <row r="258">
          <cell r="C258">
            <v>255</v>
          </cell>
          <cell r="D258" t="str">
            <v>상승 DUCT 신설</v>
          </cell>
          <cell r="E258" t="str">
            <v>1.5t (W300*D250)</v>
          </cell>
          <cell r="F258" t="str">
            <v>m</v>
          </cell>
          <cell r="G258">
            <v>2560</v>
          </cell>
          <cell r="H258">
            <v>41604</v>
          </cell>
          <cell r="I258">
            <v>44164</v>
          </cell>
        </row>
        <row r="259">
          <cell r="C259">
            <v>256</v>
          </cell>
          <cell r="D259" t="str">
            <v>상승 DUCT 신설</v>
          </cell>
          <cell r="E259" t="str">
            <v>1.5t (W400*D300)</v>
          </cell>
          <cell r="F259" t="str">
            <v>m</v>
          </cell>
          <cell r="G259">
            <v>2560</v>
          </cell>
          <cell r="H259">
            <v>49925</v>
          </cell>
          <cell r="I259">
            <v>52485</v>
          </cell>
        </row>
        <row r="260">
          <cell r="C260">
            <v>257</v>
          </cell>
          <cell r="D260" t="str">
            <v>상승 DUCT 신설</v>
          </cell>
          <cell r="E260" t="str">
            <v>1.5t (W600*D300)</v>
          </cell>
          <cell r="F260" t="str">
            <v>m</v>
          </cell>
          <cell r="G260">
            <v>2560</v>
          </cell>
          <cell r="H260">
            <v>158097</v>
          </cell>
          <cell r="I260">
            <v>160657</v>
          </cell>
        </row>
        <row r="261">
          <cell r="C261">
            <v>258</v>
          </cell>
          <cell r="D261" t="str">
            <v>DUCT 신설</v>
          </cell>
          <cell r="E261" t="str">
            <v>W300*D35(AFC용)</v>
          </cell>
          <cell r="F261" t="str">
            <v>m</v>
          </cell>
          <cell r="G261">
            <v>2560</v>
          </cell>
          <cell r="H261">
            <v>41604</v>
          </cell>
          <cell r="I261">
            <v>44164</v>
          </cell>
        </row>
        <row r="262">
          <cell r="C262">
            <v>259</v>
          </cell>
          <cell r="D262" t="str">
            <v>파스콘트라프 설치</v>
          </cell>
          <cell r="E262" t="str">
            <v>70S</v>
          </cell>
          <cell r="F262" t="str">
            <v>m</v>
          </cell>
          <cell r="G262">
            <v>0</v>
          </cell>
          <cell r="H262">
            <v>1906</v>
          </cell>
          <cell r="I262">
            <v>1906</v>
          </cell>
        </row>
        <row r="263">
          <cell r="C263">
            <v>260</v>
          </cell>
          <cell r="D263" t="str">
            <v>파스콘트라프 설치</v>
          </cell>
          <cell r="E263" t="str">
            <v>150S</v>
          </cell>
          <cell r="F263" t="str">
            <v>m</v>
          </cell>
          <cell r="G263">
            <v>0</v>
          </cell>
          <cell r="H263">
            <v>3813</v>
          </cell>
          <cell r="I263">
            <v>3813</v>
          </cell>
        </row>
        <row r="264">
          <cell r="C264">
            <v>261</v>
          </cell>
          <cell r="D264" t="str">
            <v>케이블트레이 신설(분체도장)</v>
          </cell>
          <cell r="E264" t="str">
            <v>W : 150×100(Hi-Tec)</v>
          </cell>
          <cell r="F264" t="str">
            <v>m</v>
          </cell>
          <cell r="G264">
            <v>32624</v>
          </cell>
          <cell r="H264">
            <v>22466</v>
          </cell>
          <cell r="I264">
            <v>55090</v>
          </cell>
        </row>
        <row r="265">
          <cell r="C265">
            <v>262</v>
          </cell>
          <cell r="D265" t="str">
            <v>케이블트레이 신설(분체도장)</v>
          </cell>
          <cell r="E265" t="str">
            <v>W : 200×100(Hi-Tec)</v>
          </cell>
          <cell r="F265" t="str">
            <v>m</v>
          </cell>
          <cell r="G265">
            <v>37604</v>
          </cell>
          <cell r="H265">
            <v>22466</v>
          </cell>
          <cell r="I265">
            <v>60070</v>
          </cell>
        </row>
        <row r="266">
          <cell r="C266">
            <v>263</v>
          </cell>
          <cell r="D266" t="str">
            <v>케이블트레이 신설(분체도장)</v>
          </cell>
          <cell r="E266" t="str">
            <v>W : 300×100(Hi-Tec)</v>
          </cell>
          <cell r="F266" t="str">
            <v>m</v>
          </cell>
          <cell r="G266">
            <v>47403</v>
          </cell>
          <cell r="H266">
            <v>28457</v>
          </cell>
          <cell r="I266">
            <v>75860</v>
          </cell>
        </row>
        <row r="267">
          <cell r="C267">
            <v>264</v>
          </cell>
          <cell r="D267" t="str">
            <v>케이블트레이 신설(분체도장)</v>
          </cell>
          <cell r="E267" t="str">
            <v>W : 400×100(Hi-Tec)</v>
          </cell>
          <cell r="F267" t="str">
            <v>m</v>
          </cell>
          <cell r="G267">
            <v>54314</v>
          </cell>
          <cell r="H267">
            <v>35447</v>
          </cell>
          <cell r="I267">
            <v>89761</v>
          </cell>
        </row>
        <row r="268">
          <cell r="C268">
            <v>265</v>
          </cell>
          <cell r="D268" t="str">
            <v>케이블트레이 신설(분체도장)</v>
          </cell>
          <cell r="E268" t="str">
            <v>W : 200×150(Hi-Tec)</v>
          </cell>
          <cell r="F268" t="str">
            <v>m</v>
          </cell>
          <cell r="G268">
            <v>41765</v>
          </cell>
          <cell r="H268">
            <v>22466</v>
          </cell>
          <cell r="I268">
            <v>64231</v>
          </cell>
        </row>
        <row r="269">
          <cell r="C269">
            <v>266</v>
          </cell>
          <cell r="D269" t="str">
            <v>케이블트레이 신설(분체도장)</v>
          </cell>
          <cell r="E269" t="str">
            <v>W : 300×150(Hi-Tec)</v>
          </cell>
          <cell r="F269" t="str">
            <v>m</v>
          </cell>
          <cell r="G269">
            <v>51587</v>
          </cell>
          <cell r="H269">
            <v>28457</v>
          </cell>
          <cell r="I269">
            <v>80044</v>
          </cell>
        </row>
        <row r="270">
          <cell r="C270">
            <v>267</v>
          </cell>
          <cell r="D270" t="str">
            <v>케이블트레이 신설(분체도장)</v>
          </cell>
          <cell r="E270" t="str">
            <v>W : 400×150(Hi-Tec)</v>
          </cell>
          <cell r="F270" t="str">
            <v>m</v>
          </cell>
          <cell r="G270">
            <v>58724</v>
          </cell>
          <cell r="H270">
            <v>35447</v>
          </cell>
          <cell r="I270">
            <v>94171</v>
          </cell>
        </row>
        <row r="271">
          <cell r="C271">
            <v>268</v>
          </cell>
          <cell r="D271" t="str">
            <v>케이블트레이 신설(융용도금)</v>
          </cell>
          <cell r="E271" t="str">
            <v>W : 150×100(Hi-Tec)</v>
          </cell>
          <cell r="F271" t="str">
            <v>m</v>
          </cell>
          <cell r="G271">
            <v>30404</v>
          </cell>
          <cell r="H271">
            <v>22466</v>
          </cell>
          <cell r="I271">
            <v>52870</v>
          </cell>
        </row>
        <row r="272">
          <cell r="C272">
            <v>269</v>
          </cell>
          <cell r="D272" t="str">
            <v>케이블트레이 신설(융용도금)</v>
          </cell>
          <cell r="E272" t="str">
            <v>W : 200×100(Hi-Tec)</v>
          </cell>
          <cell r="F272" t="str">
            <v>m</v>
          </cell>
          <cell r="G272">
            <v>35354</v>
          </cell>
          <cell r="H272">
            <v>22466</v>
          </cell>
          <cell r="I272">
            <v>57820</v>
          </cell>
        </row>
        <row r="273">
          <cell r="C273">
            <v>270</v>
          </cell>
          <cell r="D273" t="str">
            <v>케이블트레이 신설(융용도금)</v>
          </cell>
          <cell r="E273" t="str">
            <v>W : 300×100(Hi-Tec)</v>
          </cell>
          <cell r="F273" t="str">
            <v>m</v>
          </cell>
          <cell r="G273">
            <v>44853</v>
          </cell>
          <cell r="H273">
            <v>28457</v>
          </cell>
          <cell r="I273">
            <v>73310</v>
          </cell>
        </row>
        <row r="274">
          <cell r="C274">
            <v>271</v>
          </cell>
          <cell r="D274" t="str">
            <v>케이블트레이 신설(융용도금)</v>
          </cell>
          <cell r="E274" t="str">
            <v>W : 400×100(Hi-Tec)</v>
          </cell>
          <cell r="F274" t="str">
            <v>m</v>
          </cell>
          <cell r="G274">
            <v>51684</v>
          </cell>
          <cell r="H274">
            <v>35447</v>
          </cell>
          <cell r="I274">
            <v>87131</v>
          </cell>
        </row>
        <row r="275">
          <cell r="C275">
            <v>272</v>
          </cell>
          <cell r="D275" t="str">
            <v>케이블트레이 신설(융용도금)</v>
          </cell>
          <cell r="E275" t="str">
            <v>W : 200×150(Hi-Tec)</v>
          </cell>
          <cell r="F275" t="str">
            <v>m</v>
          </cell>
          <cell r="G275">
            <v>40505</v>
          </cell>
          <cell r="H275">
            <v>22466</v>
          </cell>
          <cell r="I275">
            <v>62971</v>
          </cell>
        </row>
        <row r="276">
          <cell r="C276">
            <v>273</v>
          </cell>
          <cell r="D276" t="str">
            <v>케이블트레이 신설(융용도금)</v>
          </cell>
          <cell r="E276" t="str">
            <v>W : 300×150(Hi-Tec)</v>
          </cell>
          <cell r="F276" t="str">
            <v>m</v>
          </cell>
          <cell r="G276">
            <v>50057</v>
          </cell>
          <cell r="H276">
            <v>28457</v>
          </cell>
          <cell r="I276">
            <v>78514</v>
          </cell>
        </row>
        <row r="277">
          <cell r="C277">
            <v>274</v>
          </cell>
          <cell r="D277" t="str">
            <v>케이블트레이 신설(융용도금)</v>
          </cell>
          <cell r="E277" t="str">
            <v>W : 400×150(Hi-Tec)</v>
          </cell>
          <cell r="F277" t="str">
            <v>m</v>
          </cell>
          <cell r="G277">
            <v>56904</v>
          </cell>
          <cell r="H277">
            <v>35447</v>
          </cell>
          <cell r="I277">
            <v>92351</v>
          </cell>
        </row>
        <row r="278">
          <cell r="C278">
            <v>275</v>
          </cell>
          <cell r="D278" t="str">
            <v>케이블라다 신설(공동구)</v>
          </cell>
          <cell r="E278" t="str">
            <v>W : 200×100</v>
          </cell>
          <cell r="F278" t="str">
            <v>m</v>
          </cell>
          <cell r="G278">
            <v>27128</v>
          </cell>
          <cell r="H278">
            <v>18722</v>
          </cell>
          <cell r="I278">
            <v>45850</v>
          </cell>
        </row>
        <row r="279">
          <cell r="C279">
            <v>276</v>
          </cell>
          <cell r="D279" t="str">
            <v>케이블라다 신설(공동구)</v>
          </cell>
          <cell r="E279" t="str">
            <v>W : 300×100</v>
          </cell>
          <cell r="F279" t="str">
            <v>m</v>
          </cell>
          <cell r="G279">
            <v>32798</v>
          </cell>
          <cell r="H279">
            <v>23714</v>
          </cell>
          <cell r="I279">
            <v>56512</v>
          </cell>
        </row>
        <row r="280">
          <cell r="C280">
            <v>277</v>
          </cell>
          <cell r="D280" t="str">
            <v>레이스웨이 신설</v>
          </cell>
          <cell r="E280" t="str">
            <v>40×40(천장)</v>
          </cell>
          <cell r="F280" t="str">
            <v>m</v>
          </cell>
          <cell r="G280">
            <v>4032</v>
          </cell>
          <cell r="H280">
            <v>27458</v>
          </cell>
          <cell r="I280">
            <v>31490</v>
          </cell>
        </row>
        <row r="281">
          <cell r="C281">
            <v>278</v>
          </cell>
          <cell r="D281" t="str">
            <v>레이스웨이 신설</v>
          </cell>
          <cell r="E281" t="str">
            <v>70×40(천장)</v>
          </cell>
          <cell r="F281" t="str">
            <v>m</v>
          </cell>
          <cell r="G281">
            <v>5176</v>
          </cell>
          <cell r="H281">
            <v>40273</v>
          </cell>
          <cell r="I281">
            <v>45449</v>
          </cell>
        </row>
        <row r="282">
          <cell r="C282">
            <v>279</v>
          </cell>
          <cell r="D282" t="str">
            <v>레이스웨이 신설</v>
          </cell>
          <cell r="E282" t="str">
            <v>110×50(천장)</v>
          </cell>
          <cell r="F282" t="str">
            <v>m</v>
          </cell>
          <cell r="G282">
            <v>7297</v>
          </cell>
          <cell r="H282">
            <v>69562</v>
          </cell>
          <cell r="I282">
            <v>76859</v>
          </cell>
        </row>
        <row r="283">
          <cell r="C283">
            <v>280</v>
          </cell>
          <cell r="D283" t="str">
            <v>유니트 신설</v>
          </cell>
          <cell r="E283" t="str">
            <v xml:space="preserve">단말용                     </v>
          </cell>
          <cell r="F283" t="str">
            <v>개</v>
          </cell>
          <cell r="G283">
            <v>3500</v>
          </cell>
          <cell r="H283">
            <v>6656</v>
          </cell>
          <cell r="I283">
            <v>10156</v>
          </cell>
        </row>
        <row r="284">
          <cell r="C284">
            <v>281</v>
          </cell>
          <cell r="D284" t="str">
            <v>유니트 신설</v>
          </cell>
          <cell r="E284" t="str">
            <v xml:space="preserve">직렬용                     </v>
          </cell>
          <cell r="F284" t="str">
            <v>개</v>
          </cell>
          <cell r="G284">
            <v>4000</v>
          </cell>
          <cell r="H284">
            <v>6656</v>
          </cell>
          <cell r="I284">
            <v>10656</v>
          </cell>
        </row>
        <row r="285">
          <cell r="C285">
            <v>282</v>
          </cell>
          <cell r="D285" t="str">
            <v>유니트 신설</v>
          </cell>
          <cell r="E285" t="str">
            <v xml:space="preserve">연결용                     </v>
          </cell>
          <cell r="F285" t="str">
            <v>개</v>
          </cell>
          <cell r="G285">
            <v>5000</v>
          </cell>
          <cell r="H285">
            <v>6656</v>
          </cell>
          <cell r="I285">
            <v>11656</v>
          </cell>
        </row>
        <row r="286">
          <cell r="C286">
            <v>283</v>
          </cell>
          <cell r="D286" t="str">
            <v>공시청 ANT 신설</v>
          </cell>
          <cell r="E286" t="str">
            <v>공청용</v>
          </cell>
          <cell r="F286" t="str">
            <v>식</v>
          </cell>
          <cell r="G286">
            <v>462000</v>
          </cell>
          <cell r="H286">
            <v>66741</v>
          </cell>
          <cell r="I286">
            <v>528741</v>
          </cell>
        </row>
        <row r="287">
          <cell r="C287">
            <v>284</v>
          </cell>
          <cell r="D287" t="str">
            <v>수공 신설</v>
          </cell>
          <cell r="E287" t="str">
            <v>2호</v>
          </cell>
          <cell r="F287" t="str">
            <v>개소</v>
          </cell>
          <cell r="G287">
            <v>2612251</v>
          </cell>
          <cell r="H287">
            <v>917037</v>
          </cell>
          <cell r="I287">
            <v>3529288</v>
          </cell>
        </row>
        <row r="288">
          <cell r="C288">
            <v>285</v>
          </cell>
          <cell r="D288" t="str">
            <v>스피커 신설</v>
          </cell>
          <cell r="E288" t="str">
            <v>천정형 3W</v>
          </cell>
          <cell r="F288" t="str">
            <v>EA</v>
          </cell>
          <cell r="G288">
            <v>0</v>
          </cell>
          <cell r="H288">
            <v>19433</v>
          </cell>
          <cell r="I288">
            <v>19433</v>
          </cell>
        </row>
        <row r="289">
          <cell r="C289">
            <v>286</v>
          </cell>
          <cell r="D289" t="str">
            <v>스피커 신설</v>
          </cell>
          <cell r="E289" t="str">
            <v xml:space="preserve">벽부형(5W) ATT포함         </v>
          </cell>
          <cell r="F289" t="str">
            <v>EA</v>
          </cell>
          <cell r="G289">
            <v>0</v>
          </cell>
          <cell r="H289">
            <v>31914</v>
          </cell>
          <cell r="I289">
            <v>31914</v>
          </cell>
        </row>
        <row r="290">
          <cell r="C290">
            <v>287</v>
          </cell>
          <cell r="D290" t="str">
            <v>스피커 신설</v>
          </cell>
          <cell r="E290" t="str">
            <v>천정형 5W</v>
          </cell>
          <cell r="F290" t="str">
            <v>EA</v>
          </cell>
          <cell r="G290">
            <v>0</v>
          </cell>
          <cell r="H290">
            <v>19433</v>
          </cell>
          <cell r="I290">
            <v>19433</v>
          </cell>
        </row>
        <row r="291">
          <cell r="C291">
            <v>288</v>
          </cell>
          <cell r="D291" t="str">
            <v>스피커 신설</v>
          </cell>
          <cell r="E291" t="str">
            <v>벽부형 10W</v>
          </cell>
          <cell r="F291" t="str">
            <v>EA</v>
          </cell>
          <cell r="G291">
            <v>0</v>
          </cell>
          <cell r="H291">
            <v>19433</v>
          </cell>
          <cell r="I291">
            <v>19433</v>
          </cell>
        </row>
        <row r="292">
          <cell r="C292">
            <v>289</v>
          </cell>
          <cell r="D292" t="str">
            <v>스피커 신설</v>
          </cell>
          <cell r="E292" t="str">
            <v>벽부형 20W</v>
          </cell>
          <cell r="F292" t="str">
            <v>EA</v>
          </cell>
          <cell r="G292">
            <v>0</v>
          </cell>
          <cell r="H292">
            <v>19433</v>
          </cell>
          <cell r="I292">
            <v>19433</v>
          </cell>
        </row>
        <row r="293">
          <cell r="C293">
            <v>290</v>
          </cell>
          <cell r="D293" t="str">
            <v>TV 분배기 신설</v>
          </cell>
          <cell r="E293" t="str">
            <v>2분배기</v>
          </cell>
          <cell r="F293" t="str">
            <v>EA</v>
          </cell>
          <cell r="G293">
            <v>5000</v>
          </cell>
          <cell r="H293">
            <v>15338</v>
          </cell>
          <cell r="I293">
            <v>20338</v>
          </cell>
        </row>
        <row r="294">
          <cell r="C294">
            <v>291</v>
          </cell>
          <cell r="D294" t="str">
            <v>TV 분배기 신설</v>
          </cell>
          <cell r="E294" t="str">
            <v>3분배기</v>
          </cell>
          <cell r="F294" t="str">
            <v>EA</v>
          </cell>
          <cell r="G294">
            <v>6000</v>
          </cell>
          <cell r="H294">
            <v>19867</v>
          </cell>
          <cell r="I294">
            <v>25867</v>
          </cell>
        </row>
        <row r="295">
          <cell r="C295">
            <v>292</v>
          </cell>
          <cell r="D295" t="str">
            <v>TV 분배기 신설</v>
          </cell>
          <cell r="E295" t="str">
            <v>4분배기</v>
          </cell>
          <cell r="F295" t="str">
            <v>개</v>
          </cell>
          <cell r="G295">
            <v>7000</v>
          </cell>
          <cell r="H295">
            <v>23609</v>
          </cell>
          <cell r="I295">
            <v>30609</v>
          </cell>
        </row>
        <row r="296">
          <cell r="C296">
            <v>293</v>
          </cell>
          <cell r="D296" t="str">
            <v>TV 분배기 신설</v>
          </cell>
          <cell r="E296" t="str">
            <v>5분배기</v>
          </cell>
          <cell r="F296" t="str">
            <v>개</v>
          </cell>
          <cell r="G296">
            <v>8000</v>
          </cell>
          <cell r="H296">
            <v>24997</v>
          </cell>
          <cell r="I296">
            <v>32997</v>
          </cell>
        </row>
        <row r="297">
          <cell r="C297">
            <v>294</v>
          </cell>
          <cell r="D297" t="str">
            <v>승강장비상인터폰용 박스</v>
          </cell>
          <cell r="E297" t="str">
            <v>장주형</v>
          </cell>
          <cell r="F297" t="str">
            <v>개</v>
          </cell>
          <cell r="G297">
            <v>0</v>
          </cell>
          <cell r="H297">
            <v>41609</v>
          </cell>
          <cell r="I297">
            <v>41609</v>
          </cell>
        </row>
        <row r="298">
          <cell r="C298">
            <v>295</v>
          </cell>
          <cell r="D298" t="str">
            <v>조립식가설사무소(24개월)</v>
          </cell>
          <cell r="E298" t="str">
            <v>120㎡</v>
          </cell>
          <cell r="F298" t="str">
            <v>식</v>
          </cell>
          <cell r="G298">
            <v>3428160</v>
          </cell>
          <cell r="H298">
            <v>6023400</v>
          </cell>
          <cell r="I298">
            <v>9451560</v>
          </cell>
        </row>
        <row r="299">
          <cell r="C299">
            <v>296</v>
          </cell>
          <cell r="D299" t="str">
            <v>조립식가설창고(24개월)</v>
          </cell>
          <cell r="E299" t="str">
            <v>120㎡</v>
          </cell>
          <cell r="F299" t="str">
            <v>식</v>
          </cell>
          <cell r="G299">
            <v>2586000</v>
          </cell>
          <cell r="H299">
            <v>4517520</v>
          </cell>
          <cell r="I299">
            <v>7103520</v>
          </cell>
        </row>
        <row r="300">
          <cell r="C300">
            <v>297</v>
          </cell>
          <cell r="D300" t="str">
            <v>연선전화기 부스 설치</v>
          </cell>
          <cell r="E300" t="str">
            <v>장주형</v>
          </cell>
          <cell r="F300" t="str">
            <v>개소</v>
          </cell>
          <cell r="G300">
            <v>112182</v>
          </cell>
          <cell r="H300">
            <v>184913</v>
          </cell>
          <cell r="I300">
            <v>297095</v>
          </cell>
        </row>
        <row r="301">
          <cell r="C301">
            <v>298</v>
          </cell>
          <cell r="D301" t="str">
            <v>증폭기 부스 설치</v>
          </cell>
          <cell r="E301" t="str">
            <v>TV증폭기(장주형)</v>
          </cell>
          <cell r="F301" t="str">
            <v>개소</v>
          </cell>
          <cell r="G301">
            <v>157536</v>
          </cell>
          <cell r="H301">
            <v>186980</v>
          </cell>
          <cell r="I301">
            <v>344516</v>
          </cell>
        </row>
        <row r="302">
          <cell r="C302">
            <v>299</v>
          </cell>
          <cell r="D302" t="str">
            <v>사각통신맨홀 신설</v>
          </cell>
          <cell r="E302" t="str">
            <v>600×600×600</v>
          </cell>
          <cell r="F302" t="str">
            <v>식</v>
          </cell>
          <cell r="G302">
            <v>167800</v>
          </cell>
          <cell r="H302">
            <v>5782</v>
          </cell>
          <cell r="I302">
            <v>173582</v>
          </cell>
        </row>
        <row r="303">
          <cell r="C303">
            <v>300</v>
          </cell>
          <cell r="D303" t="str">
            <v>위성안테나 신설</v>
          </cell>
          <cell r="E303">
            <v>0</v>
          </cell>
          <cell r="F303" t="str">
            <v>식</v>
          </cell>
          <cell r="G303">
            <v>19297515</v>
          </cell>
          <cell r="H303">
            <v>3134621</v>
          </cell>
          <cell r="I303">
            <v>22432136</v>
          </cell>
        </row>
        <row r="304">
          <cell r="C304">
            <v>301</v>
          </cell>
          <cell r="D304" t="str">
            <v>지지대 설치</v>
          </cell>
          <cell r="E304" t="str">
            <v>펜틸터 카메라</v>
          </cell>
          <cell r="F304" t="str">
            <v>개소</v>
          </cell>
          <cell r="G304">
            <v>351569</v>
          </cell>
          <cell r="H304">
            <v>245965</v>
          </cell>
          <cell r="I304">
            <v>597534</v>
          </cell>
        </row>
        <row r="305">
          <cell r="C305">
            <v>302</v>
          </cell>
          <cell r="D305" t="str">
            <v>지지대 설치</v>
          </cell>
          <cell r="E305" t="str">
            <v>펜틸터 카메라(옥상)</v>
          </cell>
          <cell r="F305" t="str">
            <v>개소</v>
          </cell>
          <cell r="G305">
            <v>146259</v>
          </cell>
          <cell r="H305">
            <v>126341</v>
          </cell>
          <cell r="I305">
            <v>272600</v>
          </cell>
        </row>
        <row r="306">
          <cell r="C306">
            <v>303</v>
          </cell>
          <cell r="D306" t="str">
            <v>행선안내게시기 지지대 설치</v>
          </cell>
          <cell r="E306" t="str">
            <v>지하</v>
          </cell>
          <cell r="F306" t="str">
            <v>기</v>
          </cell>
          <cell r="G306">
            <v>0</v>
          </cell>
          <cell r="H306">
            <v>144798</v>
          </cell>
          <cell r="I306">
            <v>144798</v>
          </cell>
        </row>
        <row r="307">
          <cell r="C307">
            <v>304</v>
          </cell>
          <cell r="D307" t="str">
            <v>행선안내게시기 지지대 설치</v>
          </cell>
          <cell r="E307" t="str">
            <v>지상</v>
          </cell>
          <cell r="F307" t="str">
            <v>기</v>
          </cell>
          <cell r="G307">
            <v>0</v>
          </cell>
          <cell r="H307">
            <v>84878</v>
          </cell>
          <cell r="I307">
            <v>84878</v>
          </cell>
        </row>
        <row r="308">
          <cell r="C308">
            <v>305</v>
          </cell>
          <cell r="D308" t="str">
            <v>안테나 폴 설치</v>
          </cell>
          <cell r="E308" t="str">
            <v>열차무선, 기초포함</v>
          </cell>
          <cell r="F308" t="str">
            <v>개소</v>
          </cell>
          <cell r="G308">
            <v>143996</v>
          </cell>
          <cell r="H308">
            <v>112121</v>
          </cell>
          <cell r="I308">
            <v>256117</v>
          </cell>
        </row>
      </sheetData>
      <sheetData sheetId="8" refreshError="1"/>
      <sheetData sheetId="9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VXXXXX"/>
      <sheetName val="총괄표"/>
      <sheetName val="전기"/>
      <sheetName val="계장"/>
      <sheetName val="일위대가"/>
      <sheetName val="1.집계(PANEL)"/>
      <sheetName val="1.산출(PANEL)"/>
      <sheetName val="2.집계(동력)"/>
      <sheetName val="2.산출(동력)"/>
      <sheetName val="3.집계(제조)"/>
      <sheetName val="3.산출(제조)"/>
      <sheetName val="4.집계(전등전열)"/>
      <sheetName val="4.산출(전등전열)"/>
      <sheetName val="5.집계(자탐통신)"/>
      <sheetName val="5.산출(자탐통신)"/>
      <sheetName val="자재단가"/>
      <sheetName val="노임단가"/>
      <sheetName val="일위목록"/>
      <sheetName val="품셈총괄표"/>
      <sheetName val="일위단가"/>
      <sheetName val=" HIT-&gt;HMC 견적(3900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표지 (3)"/>
      <sheetName val="표지"/>
      <sheetName val="표지 (2)"/>
      <sheetName val="내역서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일위대가"/>
      <sheetName val="대비"/>
      <sheetName val="제경비"/>
      <sheetName val="내역"/>
      <sheetName val="수량집계"/>
      <sheetName val="수량(교각)"/>
      <sheetName val="수량산출(2)"/>
      <sheetName val="단가(동바리)"/>
      <sheetName val="단가(강재운반)"/>
      <sheetName val="총괄표"/>
      <sheetName val="추진계획"/>
      <sheetName val="추진실적"/>
      <sheetName val="Sheet3"/>
      <sheetName val="공정표"/>
      <sheetName val="일수계산"/>
      <sheetName val="터널공기"/>
      <sheetName val="Sheet1"/>
      <sheetName val="Sheet2"/>
      <sheetName val="업협(토공,철콘)"/>
      <sheetName val="실행예산"/>
      <sheetName val="시방서"/>
      <sheetName val="계약현황"/>
      <sheetName val="간지"/>
      <sheetName val="견적(토공)"/>
      <sheetName val="견적(철콘)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xxxxxx"/>
      <sheetName val="0000"/>
      <sheetName val="현황"/>
      <sheetName val="철콘"/>
      <sheetName val="입찰표지"/>
      <sheetName val="BID"/>
      <sheetName val="b_balju"/>
      <sheetName val="SG"/>
      <sheetName val="내역(한신APT)"/>
      <sheetName val="b_balju (2)"/>
      <sheetName val="b_gunmul"/>
      <sheetName val="산출내역서"/>
      <sheetName val=" HIT-&gt;HMC 견적(3900)"/>
      <sheetName val="입찰안"/>
      <sheetName val="한전일위"/>
      <sheetName val="갑지"/>
      <sheetName val="일위목록"/>
      <sheetName val="요율"/>
      <sheetName val="투찰내역"/>
      <sheetName val="건설성적"/>
      <sheetName val="현장관리비"/>
      <sheetName val="합계"/>
      <sheetName val="실행철강하도"/>
      <sheetName val="일위대가목록"/>
      <sheetName val="일위CODE"/>
      <sheetName val="후다내역"/>
      <sheetName val="간접비계산"/>
      <sheetName val="Macro1"/>
      <sheetName val="단가"/>
      <sheetName val="PI"/>
      <sheetName val="품셈총괄표"/>
      <sheetName val="#2_일위대가목록"/>
      <sheetName val="일  위  대  가  목  록"/>
      <sheetName val="INSTR"/>
      <sheetName val="1공구원가계산서"/>
      <sheetName val="1공구산출내역서"/>
      <sheetName val="1유리"/>
      <sheetName val="중기비"/>
      <sheetName val="노무비"/>
      <sheetName val="단가산출"/>
      <sheetName val="자재단가"/>
      <sheetName val="품셈"/>
      <sheetName val="산수배수"/>
      <sheetName val="당초명세(평)"/>
      <sheetName val="일위산출"/>
      <sheetName val="원가계산서"/>
      <sheetName val="관급자재"/>
      <sheetName val="금액결정"/>
      <sheetName val="인부신상자료"/>
      <sheetName val="세부추진"/>
      <sheetName val="제안서"/>
      <sheetName val="상용보강"/>
      <sheetName val="행정표준(1)"/>
      <sheetName val="행정표준(2)"/>
      <sheetName val="장문교(대전)"/>
      <sheetName val="관급"/>
      <sheetName val="장비"/>
      <sheetName val="산근1"/>
      <sheetName val="노무"/>
      <sheetName val="자재"/>
      <sheetName val="우배수"/>
      <sheetName val="계산식"/>
      <sheetName val="전체"/>
      <sheetName val="유동표"/>
      <sheetName val="설계가"/>
      <sheetName val="원형1호맨홀토공수량"/>
      <sheetName val="교각토공 _2_"/>
      <sheetName val="2공구산출내역"/>
      <sheetName val="운반비요율"/>
      <sheetName val="1,2공구원가계산서"/>
      <sheetName val="3.공통공사대비"/>
      <sheetName val="6. 안전관리비"/>
      <sheetName val="간접(90)"/>
      <sheetName val="증감내역서"/>
      <sheetName val="조건표"/>
      <sheetName val="#REF"/>
      <sheetName val="차액보증"/>
      <sheetName val="직노"/>
      <sheetName val="노임단가"/>
      <sheetName val="작업일보"/>
      <sheetName val="48일위"/>
      <sheetName val="HRSG SMALL07220"/>
      <sheetName val="기본설계기준"/>
      <sheetName val="일위"/>
      <sheetName val="조명율표"/>
      <sheetName val="2000년1차"/>
      <sheetName val="2000전체분"/>
      <sheetName val="일위대가목차"/>
      <sheetName val="JUCKEYK"/>
      <sheetName val="S0"/>
      <sheetName val="도급"/>
      <sheetName val="6PILE  (돌출)"/>
      <sheetName val="덕전리"/>
      <sheetName val="1단계"/>
      <sheetName val="일위총괄"/>
      <sheetName val="단가적용"/>
      <sheetName val="저"/>
      <sheetName val="참조"/>
      <sheetName val="노임"/>
      <sheetName val="준검 내역서"/>
      <sheetName val="견적의뢰서"/>
      <sheetName val="일위대가D"/>
      <sheetName val="지급자재"/>
      <sheetName val="작성방법"/>
      <sheetName val="안산기계장치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코드표"/>
      <sheetName val="BSD (2)"/>
      <sheetName val="노임조서"/>
      <sheetName val="Macro2"/>
      <sheetName val="표지1"/>
      <sheetName val="97년 추정"/>
      <sheetName val="10공구일위"/>
      <sheetName val="3개월-백데이타"/>
      <sheetName val="LG배관재단가"/>
      <sheetName val="다다수전류단가"/>
      <sheetName val="LG유통상품단가표"/>
      <sheetName val="조명시설"/>
      <sheetName val="일위대가목록표"/>
      <sheetName val="하도내역 (철콘)"/>
      <sheetName val="특기사항"/>
      <sheetName val="임율 Data"/>
      <sheetName val="DHEQSUPT"/>
      <sheetName val="약품공급2"/>
      <sheetName val="내역전기"/>
      <sheetName val="수량산출서"/>
      <sheetName val="신공항A-9(원가수정)"/>
      <sheetName val="노무비 근거"/>
      <sheetName val="수정2"/>
      <sheetName val="집계"/>
      <sheetName val="개거총"/>
      <sheetName val="1.설계기준"/>
      <sheetName val="공정집계_국별"/>
      <sheetName val="입출재고현황 (2)"/>
      <sheetName val="별표집계"/>
      <sheetName val="산출근거"/>
      <sheetName val="IT-BAT"/>
      <sheetName val="수문일위1"/>
      <sheetName val="A1"/>
      <sheetName val="일위단가"/>
      <sheetName val="수량3"/>
      <sheetName val="FORM-0"/>
      <sheetName val="이월"/>
      <sheetName val="조건표 (2)"/>
      <sheetName val="CTEMCOST"/>
      <sheetName val="일위산출근거"/>
      <sheetName val="TEST1"/>
      <sheetName val="c_balju"/>
      <sheetName val="물가시세"/>
      <sheetName val="기초1"/>
      <sheetName val="을"/>
      <sheetName val="2터널시점"/>
      <sheetName val="첨부1"/>
      <sheetName val="배수내역"/>
      <sheetName val="ORIGIN"/>
      <sheetName val="호안사석"/>
      <sheetName val="배수자집"/>
      <sheetName val="8.PILE  (돌출)"/>
      <sheetName val="중기"/>
      <sheetName val="U형개거"/>
      <sheetName val="인원"/>
      <sheetName val="일일"/>
      <sheetName val="#2정산"/>
      <sheetName val="유입량"/>
      <sheetName val="노무비 "/>
      <sheetName val="목차 "/>
      <sheetName val="입력데이타"/>
      <sheetName val="공통가설"/>
      <sheetName val="ABUT수량-A1"/>
      <sheetName val="(원)기흥상갈"/>
      <sheetName val="2000용수잠관-수량집계"/>
      <sheetName val="음성방향"/>
      <sheetName val="설계예산서"/>
      <sheetName val="토공유동표(전체.당초)"/>
      <sheetName val="추가예산"/>
      <sheetName val="표지_(3)"/>
      <sheetName val="표지_(2)"/>
      <sheetName val="교각집계_(2)"/>
      <sheetName val="교각토공_(2)"/>
      <sheetName val="교각철근_(2)"/>
      <sheetName val="하도금액분계"/>
      <sheetName val="견적"/>
      <sheetName val="실행대비"/>
      <sheetName val="SLAB근거-1"/>
      <sheetName val="단면 (2)"/>
      <sheetName val="P_RPTB04_산근"/>
      <sheetName val="단위단가"/>
      <sheetName val="Total"/>
      <sheetName val="예산총괄"/>
      <sheetName val="간선계산"/>
      <sheetName val="표준건축비"/>
      <sheetName val="철거산출근거"/>
      <sheetName val="설계"/>
      <sheetName val="업체별기성내역"/>
      <sheetName val="포장(수량)-관로부"/>
      <sheetName val="1. 설계조건 2.단면가정 3. 하중계산"/>
      <sheetName val="DATA 입력란"/>
      <sheetName val="유치원내역"/>
      <sheetName val="만년달력"/>
      <sheetName val="잡비"/>
      <sheetName val="WORK"/>
      <sheetName val="외주대비_-석축"/>
      <sheetName val="외주대비-구조물_(2)"/>
      <sheetName val="견적표지_(3)"/>
      <sheetName val="_HIT-&gt;HMC_견적(3900)"/>
      <sheetName val="일__위__대__가__목__록"/>
      <sheetName val="교각토공__2_"/>
      <sheetName val="6__안전관리비"/>
      <sheetName val="3_공통공사대비"/>
      <sheetName val="HRSG_SMALL07220"/>
      <sheetName val="준검_내역서"/>
      <sheetName val="97년_추정"/>
      <sheetName val="6PILE__(돌출)"/>
      <sheetName val="개산공사비"/>
      <sheetName val="COVER-P"/>
      <sheetName val="공사비증감"/>
      <sheetName val="실행내역"/>
      <sheetName val="인사자료"/>
      <sheetName val="재료비"/>
      <sheetName val="7. 현장관리비 "/>
      <sheetName val="건설실행"/>
      <sheetName val="실행내역서 "/>
      <sheetName val="전기"/>
      <sheetName val="효율표"/>
      <sheetName val="토목품셈"/>
      <sheetName val="수량분개내역"/>
      <sheetName val="DANGA"/>
      <sheetName val="기본단가표"/>
      <sheetName val="FB25JN"/>
      <sheetName val="배수공"/>
      <sheetName val="제경비산출서"/>
      <sheetName val="설계명세서"/>
      <sheetName val="내역서 제출"/>
      <sheetName val="자료입력"/>
      <sheetName val="공량산출서"/>
      <sheetName val="총괄내역서"/>
      <sheetName val="내역(2000년)"/>
      <sheetName val="수량산출"/>
      <sheetName val="기계내역"/>
      <sheetName val="8.현장관리비"/>
      <sheetName val="7.안전관리비"/>
      <sheetName val="일위(PN)"/>
      <sheetName val="환기시설"/>
      <sheetName val="조명"/>
      <sheetName val="점보전력사용"/>
      <sheetName val="단면"/>
      <sheetName val="배수처리"/>
      <sheetName val="입력자료(노무비)"/>
      <sheetName val="경영상태"/>
      <sheetName val="일위대가표48"/>
      <sheetName val="기본단가"/>
      <sheetName val="구조     ."/>
      <sheetName val="INPUT"/>
      <sheetName val="DATE"/>
      <sheetName val="토공(1)"/>
      <sheetName val="차수공(1)"/>
      <sheetName val="DATA"/>
      <sheetName val="경상비"/>
      <sheetName val="전문하도급"/>
      <sheetName val="교량전기"/>
      <sheetName val="평가데이터"/>
      <sheetName val="MOTOR"/>
      <sheetName val="현장관리비 산출내역"/>
      <sheetName val="인명부"/>
      <sheetName val="인사자료총집계"/>
      <sheetName val="단면가정"/>
      <sheetName val="장비단가"/>
      <sheetName val="내역표지"/>
      <sheetName val="가스"/>
      <sheetName val="양수장(기계)"/>
      <sheetName val="공사내역서(을)실행"/>
      <sheetName val="직접비"/>
      <sheetName val="건장설비"/>
      <sheetName val="교통대책내역"/>
      <sheetName val="BND"/>
      <sheetName val="토공사"/>
      <sheetName val="적현로"/>
      <sheetName val="(당평)자재"/>
      <sheetName val="사업관리"/>
      <sheetName val="운반"/>
      <sheetName val="물가자료"/>
      <sheetName val="단가표"/>
      <sheetName val="콘크리트타설집계표"/>
      <sheetName val="시화점실행"/>
      <sheetName val="간 지1"/>
      <sheetName val="프랜트면허"/>
      <sheetName val="토목주소"/>
      <sheetName val="일위(시설)"/>
      <sheetName val="기성갑지"/>
      <sheetName val="중기일위대가"/>
      <sheetName val="금융비용"/>
      <sheetName val="2"/>
      <sheetName val="자재일람"/>
      <sheetName val="화재 탐지 설비"/>
      <sheetName val="4.일위대가집계"/>
      <sheetName val="금액내역서"/>
      <sheetName val="날개벽수량표"/>
      <sheetName val="우수"/>
      <sheetName val="공사비예산서(토목분)"/>
      <sheetName val="Customer Databas"/>
      <sheetName val="일위대가(1)"/>
      <sheetName val="5. 현장관리비(new) "/>
      <sheetName val="예가표"/>
      <sheetName val="결재난"/>
      <sheetName val="tggwan(mac)"/>
      <sheetName val="방배동내역(리라)"/>
      <sheetName val="현장경비"/>
      <sheetName val="건축공사집계표"/>
      <sheetName val="방배동내역 (총괄)"/>
      <sheetName val="부대공사총괄"/>
      <sheetName val="lab"/>
      <sheetName val="1.설계조건"/>
      <sheetName val="유림골조"/>
      <sheetName val="공통부대비"/>
      <sheetName val="부하계산서"/>
      <sheetName val="단가산출(T)"/>
      <sheetName val="공사원가계산서"/>
      <sheetName val="날개벽(시점좌측)"/>
      <sheetName val="맨홀수량산출"/>
      <sheetName val="재료집계표"/>
      <sheetName val="일위대가목록(ems)"/>
      <sheetName val="기자재비"/>
      <sheetName val="금리계산"/>
      <sheetName val="중기조종사 단위단가"/>
      <sheetName val="청천내"/>
      <sheetName val="단위중량"/>
      <sheetName val="파이프류"/>
      <sheetName val="일위집계(기존)"/>
      <sheetName val="대로근거"/>
      <sheetName val="중로근거"/>
      <sheetName val="일반공사"/>
      <sheetName val="하도내역_(철콘)"/>
      <sheetName val="입출재고현황_(2)"/>
      <sheetName val="노무비_근거"/>
      <sheetName val="임율_Data"/>
      <sheetName val="조건표_(2)"/>
      <sheetName val="목차_"/>
      <sheetName val="1_설계기준"/>
      <sheetName val="7__현장관리비_"/>
      <sheetName val="SHL"/>
      <sheetName val="산출내역서집계표"/>
      <sheetName val="5_ 현장관리비_new_ "/>
      <sheetName val="인원계획"/>
      <sheetName val="인계"/>
      <sheetName val="경비2내역"/>
      <sheetName val="Temporary Mooring"/>
      <sheetName val="공문"/>
      <sheetName val="A LINE"/>
      <sheetName val="우석문틀"/>
      <sheetName val="품셈TABLE"/>
      <sheetName val="2.대외공문"/>
      <sheetName val="U-TYPE(1)"/>
      <sheetName val="단위량당중기"/>
      <sheetName val="일위목록데이타"/>
      <sheetName val="설내역서 "/>
      <sheetName val="세부내역서"/>
      <sheetName val="기성내역"/>
      <sheetName val="입력정보"/>
      <sheetName val="경산"/>
      <sheetName val="격점별물량"/>
      <sheetName val="7.PILE  (돌출)"/>
      <sheetName val="일H35Y4"/>
      <sheetName val="전도금월정금액"/>
      <sheetName val="설계내역"/>
      <sheetName val="마산방향철근집계"/>
      <sheetName val="진주방향"/>
      <sheetName val="일위대가집계"/>
      <sheetName val="단가대비표"/>
      <sheetName val="코드"/>
      <sheetName val="여과지동"/>
      <sheetName val="기초자료"/>
      <sheetName val="식재가격"/>
      <sheetName val="식재총괄"/>
      <sheetName val="초기화면"/>
      <sheetName val="교각계산"/>
      <sheetName val="700seg"/>
      <sheetName val="N賃率-職"/>
      <sheetName val="원도급"/>
      <sheetName val="하도급"/>
      <sheetName val="RE9604"/>
      <sheetName val="BQ"/>
      <sheetName val="내역서2안"/>
      <sheetName val="동천하상준설"/>
      <sheetName val="측량요율"/>
      <sheetName val="자재대"/>
      <sheetName val="점검총괄"/>
      <sheetName val="특수선일위대가"/>
      <sheetName val="J直材4"/>
      <sheetName val="인건비"/>
      <sheetName val="임율산출표"/>
      <sheetName val="자  재"/>
      <sheetName val="건축외주"/>
      <sheetName val=" 갑지"/>
      <sheetName val="9.1지하2층하부보"/>
      <sheetName val="CONCRETE"/>
      <sheetName val="자재단가비교표"/>
      <sheetName val="1"/>
      <sheetName val="제출내역 (2)"/>
      <sheetName val="자동제어"/>
      <sheetName val="화전내"/>
      <sheetName val="기본일위"/>
      <sheetName val="입력데이타(비인쇄용)"/>
      <sheetName val="집 계 표"/>
      <sheetName val="계측기"/>
      <sheetName val="갑지(추정)"/>
      <sheetName val="B"/>
      <sheetName val="총 원가계산"/>
      <sheetName val="하중계산"/>
      <sheetName val="철근량"/>
      <sheetName val="시중노임단가"/>
      <sheetName val="정렬"/>
      <sheetName val="선정요령"/>
      <sheetName val="부대내역"/>
      <sheetName val="돈암사업"/>
      <sheetName val="2.2_오피스텔(12~32F)"/>
      <sheetName val="현장별"/>
      <sheetName val="간접비"/>
      <sheetName val="일위대가 집계표"/>
      <sheetName val="설 계"/>
      <sheetName val="대치판정"/>
      <sheetName val="이형관중량"/>
      <sheetName val="일위대가(목록)"/>
      <sheetName val="산근(목록)"/>
      <sheetName val="70%"/>
      <sheetName val="일위총괄표"/>
      <sheetName val="기계경비일람"/>
      <sheetName val="횡배위치"/>
      <sheetName val="기계"/>
      <sheetName val="252K444"/>
      <sheetName val="관개"/>
      <sheetName val="터널대가"/>
      <sheetName val="법면"/>
      <sheetName val="부대공"/>
      <sheetName val="구조물공"/>
      <sheetName val="포장공"/>
      <sheetName val="배수공1"/>
      <sheetName val="중기조종사_단위단가"/>
      <sheetName val="단면_(2)"/>
      <sheetName val="BSD_(2)"/>
      <sheetName val="현장일반사항"/>
      <sheetName val="차수"/>
      <sheetName val="월별손익"/>
      <sheetName val="일위대가(가설)"/>
      <sheetName val="1.취수장"/>
      <sheetName val="변경내역"/>
      <sheetName val="기술부 VENDOR LIST"/>
      <sheetName val="공통(20-91)"/>
      <sheetName val="원본(갑지)"/>
      <sheetName val="Code"/>
      <sheetName val="Sheet5"/>
      <sheetName val="퍼스트"/>
      <sheetName val="중기사용료"/>
      <sheetName val="원가계산서(변경)"/>
      <sheetName val="일용직6월"/>
      <sheetName val="터파기및재료"/>
      <sheetName val="수리결과"/>
      <sheetName val="기초단가"/>
      <sheetName val="Sheet1 (2)"/>
      <sheetName val="소방"/>
      <sheetName val="수량산출목록표"/>
      <sheetName val="4.2.1 마루높이 검토"/>
      <sheetName val="COVER"/>
      <sheetName val="플랜트 설치"/>
      <sheetName val="경비"/>
      <sheetName val="총괄"/>
      <sheetName val="양덕동"/>
      <sheetName val="추가일위대가"/>
      <sheetName val="일용직"/>
      <sheetName val="일대"/>
      <sheetName val="증감대비"/>
      <sheetName val="단계별내역 (2)"/>
      <sheetName val="데이타"/>
      <sheetName val="식재인부"/>
      <sheetName val="인천제철"/>
      <sheetName val="입력"/>
      <sheetName val="주요항목별"/>
      <sheetName val="골조"/>
      <sheetName val="남양내역"/>
      <sheetName val="실행내역_원본"/>
      <sheetName val="Sheet4"/>
      <sheetName val="실행(ALT1)"/>
      <sheetName val="환율change"/>
      <sheetName val="GRDBS"/>
      <sheetName val="견적대비표"/>
      <sheetName val="Y-WORK"/>
      <sheetName val="4 LINE"/>
      <sheetName val="7 th"/>
      <sheetName val="C10집계2"/>
      <sheetName val="노원열병합  건축공사기성내역서"/>
      <sheetName val="개요"/>
      <sheetName val="케이블규격"/>
      <sheetName val="COVERSHEET"/>
      <sheetName val="할증 "/>
      <sheetName val="개인별 순위표"/>
      <sheetName val="CM 1"/>
      <sheetName val="전기실-1"/>
      <sheetName val="ROOF(ALKALI)"/>
      <sheetName val="4.일위대가"/>
      <sheetName val="제수변수량"/>
      <sheetName val="일위대가목록(기계)"/>
      <sheetName val="목차"/>
      <sheetName val="외주대비 -석축_x0000__x0000__x0000__x0000__x0000__x0012_[후다내역.XLS]견적표지 (3"/>
      <sheetName val="표지_(3)1"/>
      <sheetName val="표지_(2)1"/>
      <sheetName val="교각집계_(2)1"/>
      <sheetName val="교각토공_(2)1"/>
      <sheetName val="교각철근_(2)1"/>
      <sheetName val="외주대비_-석축1"/>
      <sheetName val="외주대비-구조물_(2)1"/>
      <sheetName val="견적표지_(3)1"/>
      <sheetName val="_HIT-&gt;HMC_견적(3900)1"/>
      <sheetName val="일__위__대__가__목__록1"/>
      <sheetName val="교각토공__2_1"/>
      <sheetName val="3_공통공사대비1"/>
      <sheetName val="6__안전관리비1"/>
      <sheetName val="6PILE__(돌출)1"/>
      <sheetName val="HRSG_SMALL072201"/>
      <sheetName val="준검_내역서1"/>
      <sheetName val="97년_추정1"/>
      <sheetName val="2차전체변경예정_(2)"/>
      <sheetName val="토공유동표(전체_당초)"/>
      <sheetName val="b_balju_(2)"/>
      <sheetName val="8_PILE__(돌출)"/>
      <sheetName val="8_현장관리비"/>
      <sheetName val="7_안전관리비"/>
      <sheetName val="2.2 띠장의 설계"/>
      <sheetName val="설비"/>
      <sheetName val="흥양2교토공집계표"/>
      <sheetName val="확약서"/>
      <sheetName val="6_ 안전관리비"/>
      <sheetName val="전체내역서"/>
      <sheetName val="전기내역서"/>
      <sheetName val="자재수량"/>
      <sheetName val="1공구 건정토건 토공"/>
      <sheetName val="1공구 건정토건 철콘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제어계측"/>
      <sheetName val="Sheet6"/>
      <sheetName val="Sheet16"/>
      <sheetName val="보도내역 (3)"/>
      <sheetName val="Module1"/>
      <sheetName val="Qheet6"/>
      <sheetName val="총괄-1"/>
      <sheetName val="단가산출서"/>
      <sheetName val="공사개요"/>
      <sheetName val="주차구획선수량"/>
      <sheetName val="부대tu"/>
      <sheetName val="정부노임단가"/>
      <sheetName val="A-4"/>
      <sheetName val="금호"/>
      <sheetName val="하조서"/>
      <sheetName val="한강운반비"/>
      <sheetName val="서∼군(2)"/>
      <sheetName val="가도공"/>
      <sheetName val="변경비교-을"/>
      <sheetName val="6공구(당초)"/>
      <sheetName val="품의서"/>
      <sheetName val="데리네이타현황"/>
      <sheetName val="재개발"/>
      <sheetName val="내역(최종본4.5)"/>
      <sheetName val="SP-B1"/>
      <sheetName val="토적집계"/>
      <sheetName val="98NS-N"/>
      <sheetName val="소야공정계획표"/>
      <sheetName val="45,46"/>
      <sheetName val="기초코드"/>
      <sheetName val="1.수인터널"/>
      <sheetName val="일위대가표"/>
      <sheetName val="보할"/>
      <sheetName val="공업용수관로"/>
      <sheetName val="일위(토목)"/>
      <sheetName val="물량표"/>
      <sheetName val="낙찰표"/>
      <sheetName val="입적표"/>
      <sheetName val="지주설치제원"/>
      <sheetName val="준공조서갑지"/>
      <sheetName val="실행내역서"/>
      <sheetName val="98지급계획"/>
      <sheetName val="수문일1"/>
      <sheetName val="가시설"/>
      <sheetName val="시공여유율"/>
      <sheetName val="SANTOGO"/>
      <sheetName val="eq_data"/>
      <sheetName val="ELECTRIC"/>
      <sheetName val="전기공사"/>
      <sheetName val="AS포장복구 "/>
      <sheetName val="건축내역서"/>
      <sheetName val="Dae_Jiju"/>
      <sheetName val="Sikje_ingun"/>
      <sheetName val="TREE_D"/>
      <sheetName val="단가비교표"/>
      <sheetName val="입력시트"/>
      <sheetName val="장비집계"/>
      <sheetName val="결과조달"/>
      <sheetName val="3차준공"/>
      <sheetName val="입찰품의서"/>
      <sheetName val="토사(PE)"/>
      <sheetName val="날개벽"/>
      <sheetName val="choose"/>
      <sheetName val="분전반"/>
      <sheetName val="특별"/>
      <sheetName val="VE절감"/>
      <sheetName val="청주(철골발주의뢰서)"/>
      <sheetName val="감액총괄표"/>
      <sheetName val="옥외배관기본공량"/>
      <sheetName val="대비2"/>
      <sheetName val="옥외외등집계표"/>
      <sheetName val="단중표"/>
      <sheetName val="MATRLDATA"/>
      <sheetName val="Print"/>
      <sheetName val="FACTOR"/>
      <sheetName val="말뚝지지력산정"/>
      <sheetName val="일위1"/>
      <sheetName val="우수공,맨홀,집수정"/>
      <sheetName val="unit 4"/>
      <sheetName val="단"/>
      <sheetName val="자료"/>
      <sheetName val="원가(칠곡다부)"/>
      <sheetName val="다부IC내역"/>
      <sheetName val="원가(재방송)"/>
      <sheetName val="재방송"/>
      <sheetName val="다부내역"/>
      <sheetName val="읍내터널"/>
      <sheetName val="칠곡IC내역"/>
      <sheetName val="VXXXXX"/>
      <sheetName val="내역집계표"/>
      <sheetName val="내역서 (3)"/>
      <sheetName val="대가"/>
      <sheetName val="산출양식"/>
      <sheetName val="대가목록"/>
      <sheetName val="산출양식 (2)"/>
      <sheetName val="토목원가계산서"/>
      <sheetName val="토목원가"/>
      <sheetName val="집계장"/>
      <sheetName val="제외공종"/>
      <sheetName val="선급금사용계획서"/>
      <sheetName val="사용세부내역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공사비"/>
      <sheetName val="가드레일산근"/>
      <sheetName val="수량집계표"/>
      <sheetName val="수량"/>
      <sheetName val="단가비교"/>
      <sheetName val="적용2002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b_balju_cho"/>
      <sheetName val="실행총괄 "/>
      <sheetName val="토목"/>
      <sheetName val="본체"/>
      <sheetName val="[IL-3.XLSY갑지"/>
      <sheetName val=""/>
      <sheetName val="설비내역서"/>
      <sheetName val="CON'C"/>
      <sheetName val="도급내역서(재노경)"/>
      <sheetName val="4.일위대가목차"/>
      <sheetName val="96노임기준"/>
      <sheetName val="기계경비(시간당)"/>
      <sheetName val="램머"/>
      <sheetName val="내역_ver1.0"/>
      <sheetName val="건축공사"/>
      <sheetName val="2000,9월 일위"/>
      <sheetName val="단가일람표"/>
      <sheetName val="IL-3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공사비총괄표"/>
      <sheetName val="차수공개요"/>
      <sheetName val="재료"/>
      <sheetName val="설계산출기초"/>
      <sheetName val="도급예산내역서봉투"/>
      <sheetName val="설계산출표지"/>
      <sheetName val="도급예산내역서총괄표"/>
      <sheetName val="을부담운반비"/>
      <sheetName val="운반비산출"/>
      <sheetName val="매출현황"/>
      <sheetName val="단가 "/>
      <sheetName val="보온일위"/>
      <sheetName val="49일위"/>
      <sheetName val="22일위"/>
      <sheetName val="49수량"/>
      <sheetName val="단가비교표(노무)"/>
      <sheetName val="수목표준대가"/>
      <sheetName val="변경품셈총괄"/>
      <sheetName val="고창터널(고창방향)"/>
      <sheetName val="변압기 및 발전기 용량"/>
      <sheetName val="냉천부속동"/>
      <sheetName val="공종단가"/>
      <sheetName val="조도계산서 (도서)"/>
      <sheetName val="암거단위"/>
      <sheetName val="보증수수료산출"/>
      <sheetName val="총공사내역서"/>
      <sheetName val="DAN"/>
      <sheetName val="백호우계수"/>
      <sheetName val="건축내역"/>
      <sheetName val="설직재-1"/>
      <sheetName val="기흥하도용"/>
      <sheetName val="대포2교접속"/>
      <sheetName val="천방교접속"/>
      <sheetName val="실행예산서"/>
      <sheetName val="BQ(실행)"/>
      <sheetName val="일반전기(2단지-을지)"/>
      <sheetName val="단가조사"/>
      <sheetName val="토목공사"/>
      <sheetName val="일위대가(4층원격)"/>
      <sheetName val="BM"/>
      <sheetName val="찍기"/>
      <sheetName val="의왕내역"/>
      <sheetName val="세부내역"/>
      <sheetName val="단가대비"/>
      <sheetName val="총괄집계표"/>
      <sheetName val="인수공규격"/>
      <sheetName val="단가(1)"/>
      <sheetName val="원가"/>
      <sheetName val="적용단위길이"/>
      <sheetName val="일위대가(건축)"/>
      <sheetName val="빌딩 안내"/>
      <sheetName val="기계공사비집계(원안)"/>
      <sheetName val="48단가"/>
      <sheetName val="CABLE"/>
      <sheetName val="CABLE (2)"/>
      <sheetName val="일위_파일"/>
      <sheetName val="연결임시"/>
      <sheetName val="접지수량"/>
      <sheetName val="G.R300경비"/>
      <sheetName val="교수설계"/>
      <sheetName val="공종구간"/>
      <sheetName val="조경일람"/>
      <sheetName val="49단가"/>
      <sheetName val="구간산출"/>
      <sheetName val="부하LOAD"/>
      <sheetName val="노임단가산출근거"/>
      <sheetName val="COST"/>
      <sheetName val="항목등록"/>
      <sheetName val="원가계산서(남측)"/>
      <sheetName val="신고분기설정참고"/>
      <sheetName val="거래처자료등록"/>
      <sheetName val="조도계산"/>
      <sheetName val="국내조달(통합-1)"/>
      <sheetName val="Baby일위대가"/>
      <sheetName val="상시"/>
      <sheetName val="주beam"/>
      <sheetName val="9811"/>
      <sheetName val="출력용"/>
      <sheetName val="단가대비표 (3)"/>
      <sheetName val="하부철근수량"/>
      <sheetName val="연결관산출조서"/>
      <sheetName val="내역서적용수량"/>
      <sheetName val="계획집계"/>
      <sheetName val="기계물량"/>
      <sheetName val="단가목록"/>
      <sheetName val="비탈면보호공수량산출"/>
      <sheetName val="준공검사원(갑)"/>
      <sheetName val="기성내역서(을) (2)"/>
      <sheetName val="전기일위대가"/>
      <sheetName val="영신토건물가변동"/>
      <sheetName val="변수값"/>
      <sheetName val="중기상차"/>
      <sheetName val="AS복구"/>
      <sheetName val="중기터파기"/>
      <sheetName val="1단계 (2)"/>
      <sheetName val="L_RPTA05_목록"/>
      <sheetName val="동원인원"/>
      <sheetName val="2.1  노무비 평균단가산출"/>
      <sheetName val="예산명세서"/>
      <sheetName val="입상내역"/>
      <sheetName val="단가일람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견"/>
      <sheetName val="#3_일위대가목록"/>
      <sheetName val="Macro(차단기)"/>
      <sheetName val="띘랷랷랷"/>
      <sheetName val="TRE TABLE"/>
      <sheetName val="기계경비"/>
      <sheetName val="Requirement(Work Crew)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대전-교대(A1-A2)"/>
      <sheetName val="7단가"/>
      <sheetName val="9509"/>
      <sheetName val="총공사원가"/>
      <sheetName val="건축공사원가"/>
      <sheetName val="설비공사원가"/>
      <sheetName val="견적서"/>
      <sheetName val="배관공사기초자료"/>
      <sheetName val="Ekog10"/>
      <sheetName val="AL공사(원)"/>
      <sheetName val="내역서1"/>
      <sheetName val="22수량"/>
      <sheetName val="품목현황"/>
      <sheetName val="출고대장"/>
      <sheetName val="바닥판"/>
      <sheetName val="입력DATA"/>
      <sheetName val="asd"/>
      <sheetName val="★도급내역"/>
      <sheetName val="back-data"/>
      <sheetName val="인월수표"/>
      <sheetName val="중기가격"/>
      <sheetName val="분전함신설"/>
      <sheetName val="접지1종"/>
      <sheetName val="단위수량"/>
      <sheetName val="진입도로B (2)"/>
      <sheetName val="백암비스타내역"/>
      <sheetName val="수목데이타 "/>
      <sheetName val="2.냉난방설비공사"/>
      <sheetName val="7.자동제어공사"/>
      <sheetName val="중강당 내역"/>
      <sheetName val="제-노임"/>
      <sheetName val="AV시스템"/>
      <sheetName val="guard(mac)"/>
      <sheetName val="COPING"/>
      <sheetName val="전체분2회변경"/>
      <sheetName val="산출근거(복구)"/>
      <sheetName val="영창26"/>
      <sheetName val="웅진교-S2"/>
      <sheetName val="횡배수관집현황(2공구)"/>
      <sheetName val="남양주부대"/>
      <sheetName val="기초자료입력및 K치 확인"/>
      <sheetName val="ES조서출력하기"/>
      <sheetName val="등록자료"/>
      <sheetName val="역T형교대(PILE기초)"/>
      <sheetName val="실행내역 "/>
      <sheetName val="산근"/>
      <sheetName val="수원역(전체분)설계서"/>
      <sheetName val="단가조사-2"/>
      <sheetName val="자재 단가 비교표(견적)"/>
      <sheetName val="자재 단가 비교표"/>
      <sheetName val="BDATA"/>
      <sheetName val="지하"/>
      <sheetName val="건설기계목록"/>
      <sheetName val="일위대가_목록"/>
      <sheetName val="재료단가"/>
      <sheetName val="시중노임"/>
      <sheetName val="지불내역1"/>
      <sheetName val="지질조사"/>
      <sheetName val="암거단위-1련"/>
      <sheetName val="의뢰내역서"/>
      <sheetName val="준공내역서표지"/>
      <sheetName val="䂰출양식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단가조사서"/>
      <sheetName val="48수량"/>
      <sheetName val="세골재  T2 변경 현황"/>
      <sheetName val="내역서 (2)"/>
      <sheetName val="98수문일위"/>
      <sheetName val="단가비교표_공통1"/>
      <sheetName val="내역(원안-대안)"/>
      <sheetName val="산출목록표"/>
      <sheetName val="전화공사 공량 및 집계표"/>
      <sheetName val="공사착공계"/>
      <sheetName val="참조 (2)"/>
      <sheetName val="6. 직접경비"/>
      <sheetName val="노임이"/>
      <sheetName val="이토변실(A3-LINE)"/>
      <sheetName val="조경"/>
      <sheetName val="횡배수관재료-"/>
      <sheetName val="계산서(직선부)"/>
      <sheetName val="포장재료집계표"/>
      <sheetName val="콘크리트측구연장"/>
      <sheetName val="-몰탈콘크리트"/>
      <sheetName val="-배수구조물공토공"/>
      <sheetName val="MAIN"/>
      <sheetName val="부표총괄"/>
      <sheetName val="일대목차"/>
      <sheetName val="ITEM"/>
      <sheetName val="단가(보완)"/>
      <sheetName val="대가 (보완)"/>
      <sheetName val="단위목록"/>
      <sheetName val="기계경비목록"/>
      <sheetName val="몰탈재료산출"/>
      <sheetName val="3.자재비(총괄)"/>
      <sheetName val="제출내역"/>
      <sheetName val="철콘공사"/>
      <sheetName val="내역서_(3)"/>
      <sheetName val="산출양식_(2)"/>
      <sheetName val="전체산출내역서갑(변경)_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품목납기"/>
      <sheetName val="정공공사"/>
      <sheetName val="단가기준"/>
      <sheetName val="횡배수관수량집계"/>
      <sheetName val="우,오수"/>
      <sheetName val="유의사항"/>
      <sheetName val="현장설명"/>
      <sheetName val="특별조건"/>
      <sheetName val="토공갑"/>
      <sheetName val="구조물갑"/>
      <sheetName val="투찰계획서"/>
      <sheetName val="실행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99총공사내역서"/>
      <sheetName val="평야부단가"/>
      <sheetName val="예산서"/>
      <sheetName val="오동"/>
      <sheetName val="대조"/>
      <sheetName val="나한"/>
      <sheetName val="단가대비표(계측)"/>
      <sheetName val="공정외주"/>
      <sheetName val="제조 경영"/>
      <sheetName val="36단가"/>
      <sheetName val="36수량"/>
      <sheetName val="메인거더-크로스빔200연결부"/>
      <sheetName val="인건비 "/>
      <sheetName val="기본자료"/>
      <sheetName val="설계서을"/>
      <sheetName val="을지"/>
      <sheetName val="EQ-R1"/>
      <sheetName val="L-type"/>
      <sheetName val="bearing"/>
      <sheetName val="조내역"/>
      <sheetName val="부안일위"/>
      <sheetName val="C지구"/>
      <sheetName val="사내도로"/>
      <sheetName val="4.전기"/>
      <sheetName val="노 무 비"/>
      <sheetName val="노임단가표"/>
      <sheetName val="결선list"/>
      <sheetName val="위치도1"/>
      <sheetName val="자재단가-1"/>
      <sheetName val="갑지1"/>
      <sheetName val="도급정산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DATA_입력란"/>
      <sheetName val="제잡비집계"/>
      <sheetName val="간접1"/>
      <sheetName val="가로등내역서"/>
      <sheetName val="내역서(토목)"/>
      <sheetName val="미납품 현황"/>
      <sheetName val="신설개소별 총집계표(동해-배전)"/>
      <sheetName val="SSMITM"/>
      <sheetName val="잔수량(작성)"/>
      <sheetName val="4동급수"/>
      <sheetName val="기둥(원형)"/>
      <sheetName val="WING3"/>
      <sheetName val="9GNG운반"/>
      <sheetName val="48평단가"/>
      <sheetName val="57단가"/>
      <sheetName val="54평단가"/>
      <sheetName val="66평단가"/>
      <sheetName val="61단가"/>
      <sheetName val="89평단가"/>
      <sheetName val="84평단가"/>
      <sheetName val="현장관리비데이타"/>
      <sheetName val="샘플표지"/>
      <sheetName val="s"/>
      <sheetName val="시운전연료비"/>
      <sheetName val="지원사무소원가배부내역"/>
      <sheetName val="총체"/>
      <sheetName val="단가삐출"/>
      <sheetName val="cctv예산대비"/>
      <sheetName val="라이닝폼예산대비내역"/>
      <sheetName val="환산"/>
      <sheetName val="관로분포도"/>
      <sheetName val="시설,관리하위"/>
      <sheetName val="MODELING"/>
      <sheetName val="마산월령동골조물량변경"/>
      <sheetName val="호표"/>
      <sheetName val="GEN"/>
      <sheetName val="대운반(철재)"/>
      <sheetName val="기안"/>
      <sheetName val="가설건물"/>
      <sheetName val="원가계산"/>
      <sheetName val="공종보합"/>
      <sheetName val="출력원가"/>
      <sheetName val="공종원가"/>
      <sheetName val="총괄원가"/>
      <sheetName val="아파트"/>
      <sheetName val="상가,복지관"/>
      <sheetName val="주차장"/>
      <sheetName val="경비실"/>
      <sheetName val="BOX 본체"/>
      <sheetName val="내역(설계)"/>
      <sheetName val="보도경계블럭"/>
      <sheetName val="6호기"/>
      <sheetName val="2.1외주"/>
      <sheetName val="2.3노무"/>
      <sheetName val="2.4자재"/>
      <sheetName val="2.2장비"/>
      <sheetName val="2.5경비"/>
      <sheetName val="2.6수목대"/>
      <sheetName val="3련 BOX"/>
      <sheetName val="골조시행"/>
      <sheetName val="소방사항"/>
      <sheetName val="방음벽기초"/>
      <sheetName val="도수로집계"/>
      <sheetName val="원하대비"/>
      <sheetName val="예산변경원인분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/>
      <sheetData sheetId="744" refreshError="1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  <sheetData sheetId="885"/>
      <sheetData sheetId="886"/>
      <sheetData sheetId="887"/>
      <sheetData sheetId="888"/>
      <sheetData sheetId="889" refreshError="1"/>
      <sheetData sheetId="890"/>
      <sheetData sheetId="891" refreshError="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/>
      <sheetData sheetId="1118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현장"/>
      <sheetName val="예산M11A"/>
      <sheetName val="내역"/>
      <sheetName val="#REF"/>
      <sheetName val="기본일위"/>
      <sheetName val="J直材4"/>
      <sheetName val="I一般比"/>
      <sheetName val="5공철탑검토표"/>
      <sheetName val="4공철탑검토"/>
      <sheetName val="골재산출"/>
      <sheetName val="MAIN_TABLE"/>
      <sheetName val="교통대책내역"/>
      <sheetName val="백암비스타내역"/>
      <sheetName val="기초자료"/>
      <sheetName val="공사비총괄표"/>
      <sheetName val="출자한도"/>
      <sheetName val="건축내역"/>
      <sheetName val="101동"/>
      <sheetName val="2000년1차"/>
      <sheetName val="2000전체분"/>
      <sheetName val="3BL공동구 수량"/>
      <sheetName val="일대-1"/>
      <sheetName val="KKK"/>
      <sheetName val="공사개요(서광주)"/>
      <sheetName val="CTEMCOST"/>
      <sheetName val="재료"/>
      <sheetName val="식재인부"/>
      <sheetName val="단가조사"/>
      <sheetName val="설직재-1"/>
      <sheetName val="기본단가표"/>
      <sheetName val="영창26"/>
      <sheetName val="일위대가목차"/>
      <sheetName val="N賃率-職"/>
      <sheetName val="요율"/>
      <sheetName val="본공사"/>
      <sheetName val="적용토목"/>
      <sheetName val="갑지"/>
      <sheetName val="조명율표"/>
      <sheetName val="본체"/>
      <sheetName val="자료"/>
      <sheetName val="총괄표"/>
      <sheetName val="노무비"/>
      <sheetName val="6PILE  (돌출)"/>
      <sheetName val="설계서"/>
      <sheetName val="asd"/>
      <sheetName val="기초내역서"/>
      <sheetName val="수량산출"/>
      <sheetName val="대가목록표"/>
      <sheetName val="실행"/>
      <sheetName val="갑지(추정)"/>
      <sheetName val="경산"/>
      <sheetName val="단가산출"/>
      <sheetName val="지하"/>
      <sheetName val="산근"/>
      <sheetName val="금액내역서"/>
      <sheetName val="산출근거"/>
      <sheetName val="대공종"/>
      <sheetName val="물가자료"/>
      <sheetName val="AIR SHOWER(3인용)"/>
      <sheetName val="차수공개요"/>
      <sheetName val="철탑공사"/>
      <sheetName val="예산"/>
      <sheetName val="Customer Databas"/>
      <sheetName val="스포회원매출"/>
      <sheetName val="노임"/>
      <sheetName val="수주추정"/>
      <sheetName val="당초"/>
      <sheetName val="식생블럭단위수량"/>
      <sheetName val="노임,재료비"/>
      <sheetName val="토공 total"/>
      <sheetName val="기술부대조건"/>
      <sheetName val="교각별철근수량집계표"/>
      <sheetName val="토공(우물통,기타) "/>
      <sheetName val="산출내역서"/>
      <sheetName val="지질조사"/>
      <sheetName val="코드표"/>
      <sheetName val="재료비노무비"/>
      <sheetName val="NYS"/>
      <sheetName val="단중표"/>
      <sheetName val="위생설비"/>
      <sheetName val="교수설계"/>
      <sheetName val="LF자재단가"/>
      <sheetName val="자재단가"/>
      <sheetName val="데이타"/>
      <sheetName val="DATA"/>
      <sheetName val="공사직종별노임"/>
      <sheetName val="RE9604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특외대"/>
      <sheetName val="중기"/>
      <sheetName val="Sheet5"/>
      <sheetName val="조명시설"/>
      <sheetName val="노무,재료"/>
      <sheetName val="견적"/>
      <sheetName val="원가 (2)"/>
      <sheetName val=" HIT-&gt;HMC 견적(3900)"/>
      <sheetName val="LEGEND"/>
      <sheetName val="Sheet6"/>
      <sheetName val="도급기성"/>
      <sheetName val="설비단가표"/>
      <sheetName val="연부97-1"/>
      <sheetName val="조건표"/>
      <sheetName val="자갈,시멘트,모래산출"/>
      <sheetName val="오수공수량집계표"/>
      <sheetName val="율촌법률사무소2내역"/>
      <sheetName val="사다리"/>
      <sheetName val="CIVIL4"/>
      <sheetName val="표지"/>
      <sheetName val="원가계산서"/>
      <sheetName val="노 무 비"/>
      <sheetName val="견적서"/>
      <sheetName val="공통가설공사"/>
      <sheetName val="카메라"/>
      <sheetName val="목록"/>
      <sheetName val="데리네이타현황"/>
      <sheetName val="102역사"/>
      <sheetName val="상가분양"/>
      <sheetName val="내역서2안"/>
      <sheetName val="철거산출근거"/>
      <sheetName val="설_(3)"/>
      <sheetName val="설_(2)"/>
      <sheetName val="3BL공동구_수량"/>
      <sheetName val="내역(원안-대안)"/>
      <sheetName val="배수내역"/>
      <sheetName val="기흥하도용"/>
      <sheetName val="guard(mac)"/>
      <sheetName val="입찰안"/>
      <sheetName val="기계경비(시간당)"/>
      <sheetName val="반포2차"/>
      <sheetName val="Baby일위대가"/>
      <sheetName val="을지"/>
      <sheetName val="단"/>
      <sheetName val="96정변2"/>
      <sheetName val="대치판정"/>
      <sheetName val="원가서"/>
      <sheetName val="공사개요"/>
      <sheetName val="조경일람"/>
      <sheetName val="일위대가1"/>
      <sheetName val="본체철근표"/>
      <sheetName val="아파트건축"/>
      <sheetName val="6호기"/>
      <sheetName val="부대공Ⅱ"/>
      <sheetName val="전기일위목록"/>
      <sheetName val="도급견적가"/>
      <sheetName val="당진1,2호기전선관설치및접지4차공사내역서-을지"/>
      <sheetName val="유림콘도"/>
      <sheetName val="200"/>
      <sheetName val="3본사"/>
      <sheetName val="간접1"/>
      <sheetName val="장비가동"/>
      <sheetName val="48전력선로일위"/>
      <sheetName val="단가표"/>
      <sheetName val="산출-설비"/>
      <sheetName val="봉방동근생"/>
      <sheetName val="주beam"/>
      <sheetName val="기계공사비집계(원안)"/>
      <sheetName val="sub"/>
      <sheetName val="기타 정보통신공사"/>
      <sheetName val="첨부1"/>
      <sheetName val="약품공급2"/>
      <sheetName val="1.설계조건"/>
      <sheetName val="내역서(중수)"/>
      <sheetName val="CAT_5"/>
      <sheetName val="단가비교표_공통1"/>
      <sheetName val="물량입력"/>
      <sheetName val="DATE"/>
      <sheetName val="시설물기초"/>
      <sheetName val=" 냉각수펌프"/>
      <sheetName val="AHU집계"/>
      <sheetName val="토공"/>
      <sheetName val="청주(철골발주의뢰서)"/>
      <sheetName val="제작비추산총괄표"/>
      <sheetName val="갑"/>
      <sheetName val="하도급원가계산총괄표(식재)"/>
      <sheetName val="공사착공계"/>
      <sheetName val="물량표"/>
      <sheetName val="Customer_Databas"/>
      <sheetName val="토공_total"/>
      <sheetName val="_HIT-&gt;HMC_견적(3900)"/>
      <sheetName val="토공(우물통,기타)_"/>
      <sheetName val="AIR_SHOWER(3인용)"/>
      <sheetName val="노(97_1,97_9,98_1)"/>
      <sheetName val="6PILE__(돌출)"/>
      <sheetName val="원가_(2)"/>
      <sheetName val="부하자료"/>
      <sheetName val="찍기"/>
      <sheetName val="특별땅고르기"/>
      <sheetName val="계약서"/>
      <sheetName val="일위(철거)"/>
      <sheetName val="민감도"/>
      <sheetName val="금액집계"/>
      <sheetName val="공통가설"/>
      <sheetName val="ELEC"/>
      <sheetName val="9GNG운반"/>
      <sheetName val="001"/>
      <sheetName val="단위내역서"/>
      <sheetName val="저"/>
      <sheetName val="설계조건"/>
      <sheetName val="토공집계표"/>
      <sheetName val="국내"/>
      <sheetName val="내역서 제출"/>
      <sheetName val="2000년 공정표"/>
      <sheetName val="터파기및재료"/>
      <sheetName val="노무비 근거"/>
      <sheetName val="연결관암거"/>
      <sheetName val="소비자가"/>
      <sheetName val="일위대가목록"/>
      <sheetName val="일위_파일"/>
      <sheetName val="일위(PANEL)"/>
      <sheetName val="효성CB 1P기초"/>
      <sheetName val="계수시트"/>
      <sheetName val="램머"/>
      <sheetName val="경영상태"/>
      <sheetName val="E총15"/>
      <sheetName val="단위단가"/>
      <sheetName val="내역(설계)"/>
      <sheetName val="INPUT"/>
      <sheetName val="세부내역서(전기)"/>
      <sheetName val="내역서 "/>
      <sheetName val="공조기휀"/>
      <sheetName val="통합집계표"/>
      <sheetName val="단가일람"/>
      <sheetName val="부대내역"/>
      <sheetName val="세골재  T2 변경 현황"/>
      <sheetName val="시멘트"/>
      <sheetName val="내역표지"/>
      <sheetName val="유기공정"/>
      <sheetName val="갑지.을지"/>
      <sheetName val="실행철강하도"/>
      <sheetName val="BID"/>
      <sheetName val="일위대가(1)"/>
      <sheetName val="Sheet7(ㅅ)"/>
      <sheetName val="총수량집계표"/>
      <sheetName val="직접공사비"/>
      <sheetName val="JUCKEYK"/>
      <sheetName val="별표"/>
      <sheetName val="일위"/>
      <sheetName val="손익분석"/>
      <sheetName val="자재표"/>
      <sheetName val="역공종"/>
      <sheetName val="N賃率_職"/>
      <sheetName val="제-노임"/>
      <sheetName val="제직재"/>
      <sheetName val="갑지1"/>
      <sheetName val="전선 및 전선관"/>
      <sheetName val="현장관리비참조"/>
      <sheetName val="부대"/>
      <sheetName val="일위CODE"/>
      <sheetName val="gyun"/>
      <sheetName val="암거단위"/>
      <sheetName val="별표 "/>
      <sheetName val="PIPING"/>
      <sheetName val="내역서(기성청구)"/>
      <sheetName val="수량총괄"/>
      <sheetName val="노무비단가"/>
      <sheetName val="내역관리1"/>
      <sheetName val="내역서1"/>
      <sheetName val="입력변수"/>
      <sheetName val="일위(시설)"/>
      <sheetName val="1공구산출내역서"/>
      <sheetName val="적용단위길이"/>
      <sheetName val="피벗테이블데이터분석"/>
      <sheetName val="일위목록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산출0"/>
      <sheetName val="금융비용"/>
      <sheetName val="콘크리트"/>
      <sheetName val="총괄집계표"/>
      <sheetName val="오동"/>
      <sheetName val="대조"/>
      <sheetName val="나한"/>
      <sheetName val="터널조도"/>
      <sheetName val="전기"/>
      <sheetName val="지급자재"/>
      <sheetName val="연습"/>
      <sheetName val="내역전기"/>
      <sheetName val="3.2제조설비"/>
      <sheetName val="적용건축"/>
      <sheetName val="단재적표"/>
      <sheetName val="견적(100%)"/>
      <sheetName val="설계"/>
      <sheetName val="입상내역"/>
      <sheetName val="기초자료입력"/>
      <sheetName val="Inst."/>
      <sheetName val="백룡교차로"/>
      <sheetName val="산정교차로"/>
      <sheetName val="신영교차로"/>
      <sheetName val="01상노임"/>
      <sheetName val="2공구산출내역"/>
      <sheetName val="건축원가"/>
      <sheetName val="#3_일위대가목록"/>
      <sheetName val="기초일위"/>
      <sheetName val="차액보증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지점장"/>
      <sheetName val="ITEM"/>
      <sheetName val="원본"/>
      <sheetName val="단가대비표 (3)"/>
      <sheetName val="원가총괄"/>
      <sheetName val="수량산출(생반)"/>
      <sheetName val="일반전기C"/>
      <sheetName val="청곡지선입력"/>
      <sheetName val="COST"/>
      <sheetName val="직재"/>
      <sheetName val="재집"/>
      <sheetName val="Sheet1 (2)"/>
      <sheetName val="조명율"/>
      <sheetName val="(1)본선수량집계"/>
      <sheetName val="Macro1"/>
      <sheetName val="1000 DB구축 부표"/>
      <sheetName val="CT "/>
      <sheetName val="발신정보"/>
      <sheetName val="기초대가"/>
      <sheetName val="조도계산서 (도서)"/>
      <sheetName val="명세서"/>
      <sheetName val="구리토평1전기"/>
      <sheetName val="C.전기공사"/>
      <sheetName val="J-EQ"/>
      <sheetName val="총괄내역"/>
      <sheetName val="하이테콤직원"/>
      <sheetName val="맨홀수량산출"/>
      <sheetName val="개요"/>
      <sheetName val="노임단가(08.01)"/>
      <sheetName val="현장관리비"/>
      <sheetName val="유림골조"/>
      <sheetName val="품셈"/>
      <sheetName val="변경내역(전체)"/>
      <sheetName val="내역서중"/>
      <sheetName val="도급자재"/>
      <sheetName val="교각1"/>
      <sheetName val="정거장 설계조건"/>
      <sheetName val="예가표"/>
      <sheetName val="옥외계측"/>
      <sheetName val="99년하반기"/>
      <sheetName val="말뚝지지력산정"/>
      <sheetName val="Total"/>
      <sheetName val="BF12-R0"/>
      <sheetName val="공문"/>
      <sheetName val="조명일위"/>
      <sheetName val="가설공사"/>
      <sheetName val="인적사항"/>
      <sheetName val="기초목록"/>
      <sheetName val="단가(자재)"/>
      <sheetName val="내역서적용수량"/>
      <sheetName val="가도공"/>
      <sheetName val="16-1"/>
      <sheetName val="공사추진현황"/>
      <sheetName val="건설기계사용료목록"/>
      <sheetName val="단가조사서"/>
      <sheetName val="건축기계설비표선정수장"/>
      <sheetName val="국도접속 차도부수량"/>
      <sheetName val="시중노임"/>
      <sheetName val="직접시공계획서"/>
      <sheetName val="2000.05"/>
      <sheetName val="98지급계획"/>
      <sheetName val="직접노무"/>
      <sheetName val="직접재료"/>
      <sheetName val="공사입찰정보입력"/>
      <sheetName val="을"/>
      <sheetName val="접지수량"/>
      <sheetName val="구성1"/>
      <sheetName val="구성2"/>
      <sheetName val="구성3"/>
      <sheetName val="구성4"/>
      <sheetName val="그림2"/>
      <sheetName val="구의33고"/>
      <sheetName val="투찰가"/>
      <sheetName val="도급내역서(재노경)"/>
      <sheetName val="철근중량"/>
      <sheetName val="청도공장"/>
      <sheetName val="날개벽수량표"/>
      <sheetName val="전기내역"/>
      <sheetName val="보증수수료산출"/>
      <sheetName val="화재 탐지 설비"/>
      <sheetName val="포승중환경개선공사(변경)"/>
      <sheetName val="작성"/>
      <sheetName val="출력은 금물"/>
      <sheetName val="일위대가(건축)"/>
      <sheetName val="간접비"/>
      <sheetName val="그림"/>
      <sheetName val="제경비율"/>
      <sheetName val="기본가정"/>
      <sheetName val="ABUT수량-A1"/>
      <sheetName val="처리단락"/>
      <sheetName val="건축부하"/>
      <sheetName val="약전닥트"/>
      <sheetName val="일지-H"/>
      <sheetName val="김포IO"/>
      <sheetName val="LD"/>
      <sheetName val="FA설치명세"/>
      <sheetName val="BSD (2)"/>
      <sheetName val="화의-현금흐름"/>
      <sheetName val="자료입력"/>
      <sheetName val="실행(1)"/>
      <sheetName val="가락화장을지"/>
      <sheetName val="신우"/>
      <sheetName val="20관리비율"/>
      <sheetName val="기초입력"/>
      <sheetName val="빌딩 안내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전선_및_전선관"/>
      <sheetName val="효성CB_1P기초"/>
      <sheetName val="내역서_제출"/>
      <sheetName val="입력"/>
      <sheetName val="&lt;--"/>
      <sheetName val="단가비교"/>
      <sheetName val="수목표준대가"/>
      <sheetName val="예산총괄"/>
      <sheetName val="CODE"/>
      <sheetName val="전체"/>
      <sheetName val="인공"/>
      <sheetName val="참조자료"/>
      <sheetName val="교각계산"/>
      <sheetName val="계측기"/>
      <sheetName val="패널"/>
      <sheetName val="전기2005"/>
      <sheetName val="통신2005"/>
      <sheetName val="철콘"/>
      <sheetName val="표  지"/>
      <sheetName val="간접비계산"/>
      <sheetName val="분전반"/>
      <sheetName val="유림총괄"/>
      <sheetName val="간접(90)"/>
      <sheetName val="품셈총괄"/>
      <sheetName val="표층포설및다짐"/>
      <sheetName val="중기일위대가"/>
      <sheetName val="0Title"/>
      <sheetName val="추가예산"/>
      <sheetName val="물가시세"/>
      <sheetName val="부하"/>
      <sheetName val="단가 "/>
      <sheetName val="COVER"/>
      <sheetName val="ESCO개보수공사"/>
      <sheetName val="DATA테이블1 (2)"/>
      <sheetName val="DB"/>
      <sheetName val="공연,전시"/>
      <sheetName val="A 견적"/>
      <sheetName val="s.v"/>
      <sheetName val="국내조달(통합-1)"/>
      <sheetName val="도담구내 개소별 명세"/>
      <sheetName val="工관리비율"/>
      <sheetName val="工완성공사율"/>
      <sheetName val="노무단가산정"/>
      <sheetName val="인공산출"/>
      <sheetName val="주요기준"/>
      <sheetName val="자재단가비교표"/>
      <sheetName val="단가대비표"/>
      <sheetName val="b_balju"/>
      <sheetName val="집"/>
      <sheetName val="자재테이블"/>
      <sheetName val="수량산출서"/>
      <sheetName val="와동수량"/>
      <sheetName val="특별교실"/>
      <sheetName val="1차 내역서"/>
      <sheetName val="실행-집행"/>
      <sheetName val="조달단가"/>
      <sheetName val="하중계산"/>
      <sheetName val="안정성검토"/>
      <sheetName val="설계기준"/>
      <sheetName val="바닥판"/>
      <sheetName val="입력DATA"/>
      <sheetName val="견적업체"/>
      <sheetName val="MOTOR"/>
      <sheetName val="교사기준면적(초등)"/>
      <sheetName val="Y-WORK"/>
      <sheetName val="일위대가 "/>
      <sheetName val="Uint보온"/>
      <sheetName val="AHU-01"/>
      <sheetName val="직공비"/>
      <sheetName val="인건비"/>
      <sheetName val="철근집계"/>
      <sheetName val="COPING"/>
      <sheetName val="상행-교대(A1-A2)"/>
      <sheetName val="전기설계변경"/>
      <sheetName val="간선계산"/>
      <sheetName val="계화배수"/>
      <sheetName val="전체제잡비"/>
      <sheetName val="노임200103"/>
      <sheetName val="ES조서출력하기"/>
      <sheetName val="직원현황"/>
      <sheetName val="ELECTRIC"/>
      <sheetName val="품셈TABLE"/>
      <sheetName val="공정코드"/>
      <sheetName val="예비용"/>
      <sheetName val="도로일위대가표"/>
      <sheetName val="원가계산서구조조정"/>
      <sheetName val="B부대공"/>
      <sheetName val="현금예금"/>
      <sheetName val="FAX"/>
      <sheetName val="실행대비"/>
      <sheetName val="기초분물량표"/>
      <sheetName val="일위총괄표"/>
      <sheetName val="자재일람"/>
      <sheetName val="현장경비"/>
      <sheetName val="단가 및 재료비"/>
      <sheetName val="직원자료입력"/>
      <sheetName val="퍼스트"/>
      <sheetName val="사전공사"/>
      <sheetName val="물집"/>
      <sheetName val="담장산출"/>
      <sheetName val="집수정토공"/>
      <sheetName val="설계명세서"/>
      <sheetName val="기계설비표선정수장"/>
      <sheetName val="EJ"/>
      <sheetName val="내역서(삼호)"/>
      <sheetName val="일위대가(출입)"/>
      <sheetName val="식재일위대가"/>
      <sheetName val="대,유,램"/>
      <sheetName val="국별인원"/>
      <sheetName val="일위대가(4층원격)"/>
      <sheetName val="기초일위대가"/>
      <sheetName val="산출기초"/>
      <sheetName val="기계내역"/>
      <sheetName val="도급내역서"/>
      <sheetName val="부분별수량산출(조합기초)"/>
      <sheetName val="소방"/>
      <sheetName val="COL"/>
      <sheetName val="2F 회의실견적(5_14 일대)"/>
      <sheetName val="Sheet38"/>
      <sheetName val="기자재비"/>
      <sheetName val="부속동"/>
      <sheetName val="1안"/>
      <sheetName val="부대공"/>
      <sheetName val="포장공"/>
      <sheetName val="ilch"/>
      <sheetName val="단위중량"/>
      <sheetName val="정부노임단가"/>
      <sheetName val="골조시행"/>
      <sheetName val="샘플표지"/>
      <sheetName val="대보~세기"/>
      <sheetName val="대운반(철재)"/>
      <sheetName val="쌍송교"/>
      <sheetName val="수지예산"/>
      <sheetName val="직원관리자료"/>
      <sheetName val="세부내역서"/>
      <sheetName val="신규 수주분(사용자 정의)"/>
      <sheetName val="동해title"/>
      <sheetName val="17F MOCKUP B-1,B-2"/>
      <sheetName val="기성내역서표지"/>
      <sheetName val="집수A"/>
      <sheetName val="남양시작동자105노65기1.3화1.2"/>
      <sheetName val="구천"/>
      <sheetName val="유입맨홀산출"/>
      <sheetName val="설계명세"/>
      <sheetName val="인부노임"/>
      <sheetName val="원가계산서(변경)"/>
      <sheetName val="5.동별횡주관경"/>
      <sheetName val="참조 (2)"/>
      <sheetName val="참고"/>
      <sheetName val="Sheet4"/>
      <sheetName val="철근량"/>
      <sheetName val="본서하반기"/>
      <sheetName val="하반기(지구대)"/>
      <sheetName val="본사업"/>
      <sheetName val="제출내역 (3)"/>
      <sheetName val="7.환경"/>
      <sheetName val="하조서"/>
      <sheetName val="시운전연료비"/>
      <sheetName val="예산명세서"/>
      <sheetName val="조정율"/>
      <sheetName val="일위단가"/>
      <sheetName val="일위대가(계측기설치)"/>
      <sheetName val="f산출"/>
      <sheetName val="자재단가리스트"/>
      <sheetName val="관로공정"/>
      <sheetName val="작업일보"/>
      <sheetName val="내역서01"/>
      <sheetName val="토사(PE)"/>
      <sheetName val="01"/>
      <sheetName val="수배전반"/>
      <sheetName val="총내역서"/>
      <sheetName val="설계예시"/>
      <sheetName val="예산서"/>
      <sheetName val="사급자재(1단계)"/>
      <sheetName val="기초입력 DATA"/>
      <sheetName val="자재대"/>
      <sheetName val="간지"/>
      <sheetName val="견적단가"/>
      <sheetName val="기초작업"/>
      <sheetName val="부대집계"/>
      <sheetName val="전신환매도율"/>
      <sheetName val="공기압축기실"/>
      <sheetName val="건축공사"/>
      <sheetName val="진흥지역조서(구역밖)"/>
      <sheetName val="부자재 적용비율"/>
      <sheetName val="1구간BOQ"/>
      <sheetName val="도급내역"/>
      <sheetName val="공량(1월22일)"/>
      <sheetName val="출력은_금물"/>
      <sheetName val="단가_"/>
      <sheetName val="일반공사"/>
      <sheetName val="외주비"/>
      <sheetName val="sst,stl창호"/>
      <sheetName val="양식_자재단가조사표"/>
      <sheetName val="포장복구집계"/>
      <sheetName val="SHEET PILE단가"/>
      <sheetName val="사유서제출현황-2"/>
      <sheetName val="준공정산"/>
      <sheetName val="세부내역"/>
      <sheetName val="4.고용보험"/>
      <sheetName val="휴가비,급량비"/>
      <sheetName val="골조"/>
      <sheetName val="총공사내역서"/>
      <sheetName val="토목"/>
      <sheetName val="투찰내역"/>
      <sheetName val="ETC"/>
      <sheetName val="1-1"/>
      <sheetName val="합의경상"/>
      <sheetName val="대목"/>
      <sheetName val="상수도토공집계표"/>
      <sheetName val="ATM기초철가"/>
      <sheetName val="base"/>
      <sheetName val="중질쓰레기"/>
      <sheetName val="압축공기소요량"/>
      <sheetName val="보일러물질수지"/>
      <sheetName val="B2BERP"/>
      <sheetName val="1월"/>
      <sheetName val="어룡"/>
      <sheetName val="P-1"/>
      <sheetName val="itm코드"/>
      <sheetName val="itm기준"/>
      <sheetName val="97년 추정"/>
      <sheetName val="지하시설물작성"/>
      <sheetName val="기안1"/>
      <sheetName val="면적표"/>
      <sheetName val="중기사용료산출근거"/>
      <sheetName val="토공A1"/>
      <sheetName val="실행기초"/>
      <sheetName val="적용률"/>
      <sheetName val="1구간FRP수량산출"/>
      <sheetName val="B-data"/>
      <sheetName val="천방교접속"/>
      <sheetName val="대포2교접속"/>
      <sheetName val="Data&amp;Result"/>
      <sheetName val="99총공사내역서"/>
      <sheetName val="관리보고"/>
      <sheetName val="환율change"/>
      <sheetName val="3.자재비(총괄)"/>
      <sheetName val="준검 내역서"/>
      <sheetName val="결재갑지"/>
      <sheetName val="제잡비"/>
      <sheetName val="건축2"/>
      <sheetName val="1.토공집계표"/>
      <sheetName val="접속단위"/>
      <sheetName val="wall"/>
      <sheetName val="상반기손익차2총괄"/>
      <sheetName val="주안3차A-A"/>
      <sheetName val="간접경상비"/>
      <sheetName val="Cost bd-&quot;A&quot;"/>
      <sheetName val="Summary Sheets"/>
      <sheetName val="2.대외공문"/>
      <sheetName val="앉음벽 (2)"/>
      <sheetName val=" 토목 처리장도급내역서 "/>
      <sheetName val="1,2공구원가계산서"/>
      <sheetName val="기성내역"/>
      <sheetName val="효동"/>
      <sheetName val="ND"/>
      <sheetName val="원본(갑지)"/>
      <sheetName val="주차구획선수량"/>
      <sheetName val="노임(1차)"/>
      <sheetName val="백호우계수"/>
      <sheetName val="모래기초"/>
      <sheetName val="문학간접"/>
      <sheetName val="간접"/>
      <sheetName val="항목등록"/>
      <sheetName val="개거재료산출"/>
      <sheetName val="중기조종사 단위단가"/>
      <sheetName val="영외수지"/>
      <sheetName val="일위-1"/>
      <sheetName val="성곽공사"/>
      <sheetName val="흙쌓기도수로설치현황"/>
      <sheetName val="MA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NAV000"/>
      <sheetName val="실행예산"/>
      <sheetName val="정산내역"/>
      <sheetName val="정산집계"/>
      <sheetName val="준공보고"/>
      <sheetName val="집계"/>
      <sheetName val="집계 (2)"/>
      <sheetName val="견적대비표 "/>
      <sheetName val="구동단가비교"/>
      <sheetName val="기성"/>
      <sheetName val="시방서"/>
      <sheetName val="증감사유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정산서"/>
      <sheetName val="Shee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보행자로"/>
      <sheetName val="일반구간"/>
      <sheetName val="DATA"/>
      <sheetName val="조명율표"/>
      <sheetName val="Sheet2"/>
      <sheetName val="체감식 "/>
      <sheetName val="데이타"/>
      <sheetName val="간접1"/>
      <sheetName val="1,2공구원가계산서"/>
      <sheetName val="1공구산출내역서"/>
      <sheetName val="설계서"/>
      <sheetName val="내역"/>
      <sheetName val="#REF"/>
      <sheetName val="설계예산서"/>
      <sheetName val="예산내역서"/>
      <sheetName val="49단가"/>
      <sheetName val="13LPMCC"/>
      <sheetName val="계산서4"/>
      <sheetName val="자재단가"/>
      <sheetName val="N賃率_職"/>
      <sheetName val="갑지"/>
      <sheetName val="일위대가"/>
      <sheetName val="2000년1차"/>
      <sheetName val="2000전체분"/>
      <sheetName val="공사비증감"/>
      <sheetName val="BID"/>
      <sheetName val="sheet1"/>
      <sheetName val="약품공급2"/>
      <sheetName val="99총공사내역서"/>
      <sheetName val="내역서(전기)"/>
      <sheetName val="조경일람"/>
      <sheetName val="접지수량"/>
      <sheetName val="조명일위"/>
      <sheetName val="산근"/>
      <sheetName val="단가일람"/>
      <sheetName val="표  지"/>
      <sheetName val="기성내역"/>
      <sheetName val="원가계산서"/>
      <sheetName val="산출근거"/>
      <sheetName val="DATE"/>
      <sheetName val="DB"/>
      <sheetName val="건축2"/>
      <sheetName val="내역서"/>
      <sheetName val="자재일람"/>
      <sheetName val="전체"/>
      <sheetName val="분전반"/>
      <sheetName val="Macro(차단기)"/>
      <sheetName val="기본단가표"/>
      <sheetName val="앉음벽 (2)"/>
      <sheetName val="견적조건"/>
      <sheetName val="건축내역"/>
      <sheetName val="문학간접"/>
      <sheetName val="전체제잡비"/>
      <sheetName val="노임"/>
      <sheetName val="전기일위대가"/>
      <sheetName val="N賃率-職"/>
      <sheetName val="단가조사-2"/>
      <sheetName val="신호등일위대가"/>
      <sheetName val="수목표준대가"/>
      <sheetName val="b_balju"/>
      <sheetName val="2.1  노무비 평균단가산출"/>
      <sheetName val="주안3차A-A"/>
      <sheetName val="준검 내역서"/>
      <sheetName val="G.R300경비"/>
      <sheetName val="상-교대(A1-A2)"/>
      <sheetName val="기준정보"/>
      <sheetName val="제조노임"/>
      <sheetName val="당진1,2호기전선관설치및접지4차공사내역서-을지"/>
      <sheetName val="교각1"/>
      <sheetName val="단위단가"/>
      <sheetName val="공사비총괄"/>
      <sheetName val="현장설명"/>
      <sheetName val="EBSDATA"/>
      <sheetName val="전기"/>
      <sheetName val="코드표"/>
      <sheetName val="과업별 상세(계산 1)"/>
      <sheetName val="자산TOTAL"/>
      <sheetName val="도담구내 개소별 명세"/>
      <sheetName val="노임단가"/>
      <sheetName val="식재가격"/>
      <sheetName val="식재총괄"/>
      <sheetName val="일위목록"/>
      <sheetName val="인부노임"/>
      <sheetName val="자재단가비교표"/>
      <sheetName val="총괄표"/>
      <sheetName val="전기2005"/>
      <sheetName val="LD"/>
      <sheetName val="2공구산출내역"/>
      <sheetName val="교통대책내역"/>
      <sheetName val="1안"/>
      <sheetName val="수량산출서"/>
      <sheetName val="중기"/>
      <sheetName val="ELEC"/>
      <sheetName val="전체항목"/>
      <sheetName val="준공정산"/>
      <sheetName val="401"/>
      <sheetName val="봉양~조차장간고하개명(신설)"/>
      <sheetName val="지중자재단가"/>
      <sheetName val="MANUFACTORY"/>
      <sheetName val="자재단가표"/>
      <sheetName val="요율"/>
      <sheetName val="검암내역"/>
      <sheetName val="수량(금호)"/>
      <sheetName val="진주방향"/>
      <sheetName val="마산방향"/>
      <sheetName val="마산방향철근집계"/>
      <sheetName val="단가조사"/>
      <sheetName val="실행철강하도"/>
      <sheetName val="Data &amp; Result"/>
      <sheetName val="조경"/>
      <sheetName val="기초자료입력"/>
      <sheetName val="C1ㅇ"/>
      <sheetName val="Total"/>
      <sheetName val="옥내소화전계산서"/>
      <sheetName val="총괄내역서"/>
      <sheetName val="실행기초"/>
      <sheetName val="4.전기"/>
      <sheetName val="적용토목"/>
      <sheetName val="물량산출근거-지상층"/>
      <sheetName val="잔수량(작성)"/>
      <sheetName val="RE9604"/>
      <sheetName val="내   역"/>
      <sheetName val="품셈TABLE"/>
      <sheetName val="점검총괄"/>
      <sheetName val="전체_1설계"/>
      <sheetName val="96노임기준"/>
      <sheetName val="냉천부속동"/>
      <sheetName val="원가총괄"/>
      <sheetName val="실행내역"/>
      <sheetName val="비탈면보호공수량산출"/>
      <sheetName val="9GNG운반"/>
      <sheetName val="조명시설"/>
      <sheetName val="인원계획"/>
      <sheetName val="원가계산서구조조정"/>
      <sheetName val="터파기및재료"/>
      <sheetName val="관로내역원"/>
      <sheetName val="COST"/>
      <sheetName val="플랜트 설치"/>
      <sheetName val="집계표"/>
      <sheetName val="전사 (2)"/>
      <sheetName val="BA (2)"/>
      <sheetName val="CP (2)"/>
      <sheetName val="산출기준"/>
      <sheetName val="자동제어"/>
      <sheetName val="토목주소"/>
      <sheetName val="프랜트면허"/>
      <sheetName val="직공비"/>
      <sheetName val="조도계산"/>
      <sheetName val="예산명세서"/>
      <sheetName val="설계명세서"/>
      <sheetName val="자료입력"/>
      <sheetName val="결재갑지"/>
      <sheetName val="b_balju_cho"/>
      <sheetName val="2000노임기준"/>
      <sheetName val="제작기술지원센터"/>
      <sheetName val="수량산출"/>
      <sheetName val="전기일위목록"/>
      <sheetName val="현장관리비참조"/>
      <sheetName val="101동"/>
      <sheetName val="시운전연료"/>
      <sheetName val="제경비"/>
      <sheetName val="일위대가목록"/>
      <sheetName val="PAY2002"/>
      <sheetName val="JUCKEYK"/>
      <sheetName val="터널조도"/>
      <sheetName val="내역(원안-대안)"/>
      <sheetName val="천방교접속"/>
      <sheetName val="대포2교접속"/>
      <sheetName val="설계조건"/>
      <sheetName val="TEL"/>
      <sheetName val="을"/>
      <sheetName val="실행대비"/>
      <sheetName val="노무비"/>
      <sheetName val="산수배수"/>
      <sheetName val="손익분석"/>
      <sheetName val="A갑지"/>
      <sheetName val="경산"/>
      <sheetName val="도급"/>
      <sheetName val="Sheet1 (2)"/>
      <sheetName val="22전열"/>
      <sheetName val="내역(가지)"/>
      <sheetName val="품셈"/>
      <sheetName val="분전반계산서(석관)"/>
      <sheetName val="단가조사-1"/>
      <sheetName val="관로공사"/>
      <sheetName val="기흥하도용"/>
      <sheetName val="관리,공감"/>
      <sheetName val="직접경비호표"/>
      <sheetName val="단가산출"/>
      <sheetName val="철거산출근거"/>
      <sheetName val="예산조서(전송)"/>
      <sheetName val="교각계산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구조물수량집계표"/>
      <sheetName val="제수변 수량집계표(보통)"/>
      <sheetName val="EQT-ESTN"/>
      <sheetName val="1차 내역서"/>
      <sheetName val="산출내역서"/>
      <sheetName val="단가대비"/>
      <sheetName val="개소별수량산출"/>
      <sheetName val="단가비교표"/>
      <sheetName val="7단가"/>
      <sheetName val="동해title"/>
      <sheetName val="토목"/>
      <sheetName val="자재테이블"/>
      <sheetName val="자금입금"/>
      <sheetName val="Macro(전선)"/>
      <sheetName val="제잡비"/>
      <sheetName val="1.취수장"/>
      <sheetName val="Sheet15"/>
      <sheetName val="하남내역"/>
      <sheetName val="우수관매설및 우수받이"/>
      <sheetName val="대비"/>
      <sheetName val="1단계"/>
      <sheetName val="내역기준"/>
      <sheetName val="환율change"/>
      <sheetName val="회로내역(승인)"/>
      <sheetName val="Baby일위대가"/>
      <sheetName val="적점"/>
      <sheetName val="재료"/>
      <sheetName val="단가조사_2"/>
      <sheetName val="13.노임단가"/>
      <sheetName val="관급자재"/>
      <sheetName val="단가비교"/>
      <sheetName val="1공구(입찰내역)"/>
      <sheetName val="금융비용"/>
      <sheetName val="양식_자재단가조사표"/>
      <sheetName val="자재co"/>
      <sheetName val="현장경비"/>
      <sheetName val="토목내역서"/>
      <sheetName val="전선(총)"/>
      <sheetName val="교량"/>
      <sheetName val="시중노임(공사)"/>
      <sheetName val="현장조사"/>
      <sheetName val="9811"/>
      <sheetName val="예산M12A"/>
      <sheetName val="여과지동"/>
      <sheetName val="기초자료"/>
      <sheetName val="설계서(본관)"/>
      <sheetName val="공사개요"/>
      <sheetName val="A 견적"/>
      <sheetName val="계수시트"/>
      <sheetName val="4)유동표"/>
      <sheetName val="시중노임단가"/>
      <sheetName val="SILICATE"/>
      <sheetName val="일위대가목차"/>
      <sheetName val="BQ(실행)"/>
      <sheetName val="MOTOR"/>
      <sheetName val="식재인부"/>
      <sheetName val="NEYOK"/>
      <sheetName val="재료값"/>
      <sheetName val="1.설계조건"/>
      <sheetName val="재료비노무비"/>
      <sheetName val="DATA1"/>
      <sheetName val="퍼스트"/>
      <sheetName val="제안서"/>
      <sheetName val="행정표준(1)"/>
      <sheetName val="행정표준(2)"/>
      <sheetName val="원가"/>
      <sheetName val="기계실냉난방"/>
      <sheetName val="CALCULATION"/>
      <sheetName val="수량명세서"/>
      <sheetName val="인사자료총집계"/>
      <sheetName val="암거단위-1련"/>
      <sheetName val="Macro2"/>
      <sheetName val="Macro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하도"/>
      <sheetName val="별지"/>
      <sheetName val="견적"/>
      <sheetName val="조사"/>
      <sheetName val="합의서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조명율표"/>
      <sheetName val="투찰내역"/>
      <sheetName val="조경일람"/>
      <sheetName val="2000년1차"/>
      <sheetName val="2000전체분"/>
      <sheetName val="교통대책내역"/>
      <sheetName val="집계표"/>
      <sheetName val="간접1"/>
      <sheetName val="내역서"/>
      <sheetName val="단가일람"/>
      <sheetName val="조명일위"/>
      <sheetName val="부대공사비"/>
      <sheetName val="BID"/>
      <sheetName val="차액보증"/>
      <sheetName val="SLAB데이터"/>
      <sheetName val="#REF"/>
      <sheetName val="지질조사"/>
      <sheetName val="CALCULATION"/>
      <sheetName val="99총공사내역서"/>
      <sheetName val="퍼스트"/>
      <sheetName val="접지수량"/>
      <sheetName val="노임"/>
      <sheetName val="약품공급2"/>
      <sheetName val="C1ㅇ"/>
      <sheetName val="정부노임단가"/>
      <sheetName val="원가계산서"/>
      <sheetName val="실행내역"/>
      <sheetName val="Total 단위경유량집계"/>
      <sheetName val="DANGA"/>
      <sheetName val="일위대가"/>
      <sheetName val="설계조건"/>
      <sheetName val="제경비"/>
      <sheetName val="실행철강하도"/>
      <sheetName val="RE9604"/>
      <sheetName val="sheet1"/>
      <sheetName val="MOTOR"/>
      <sheetName val="전체제잡비"/>
      <sheetName val="산근"/>
      <sheetName val="1,2공구원가계산서"/>
      <sheetName val="2공구산출내역"/>
      <sheetName val="1공구산출내역서"/>
      <sheetName val="내역(원안-대안)"/>
      <sheetName val="단가"/>
      <sheetName val="마산월령동골조물량변경"/>
      <sheetName val="기계경비(시간당)"/>
      <sheetName val="조명시설"/>
      <sheetName val="항목(1)"/>
      <sheetName val="총괄표"/>
      <sheetName val="준검 내역서"/>
      <sheetName val="기본단가표"/>
      <sheetName val="재료집계표"/>
      <sheetName val="교각1"/>
      <sheetName val="DB"/>
      <sheetName val="구조물공"/>
      <sheetName val="부대공"/>
      <sheetName val="배수공"/>
      <sheetName val="토공"/>
      <sheetName val="포장공"/>
      <sheetName val="토공유동표(전체.당초)"/>
      <sheetName val="총공사내역서"/>
      <sheetName val="품셈TABLE"/>
      <sheetName val="건축내역"/>
      <sheetName val="SIL98"/>
      <sheetName val="당진1,2호기전선관설치및접지4차공사내역서-을지"/>
      <sheetName val="기계내역서"/>
      <sheetName val="1001"/>
      <sheetName val="공사개요"/>
      <sheetName val="매입세율"/>
      <sheetName val="적점"/>
      <sheetName val="내역(중앙)"/>
      <sheetName val="노임단가"/>
      <sheetName val="수량산출서"/>
      <sheetName val="단위단가"/>
      <sheetName val="금액내역서"/>
      <sheetName val="NYS"/>
      <sheetName val="기계경비일람"/>
      <sheetName val="대포2교접속"/>
      <sheetName val="천방교접속"/>
      <sheetName val="하남내역"/>
      <sheetName val="내역서(전기)"/>
      <sheetName val="원가계산서구조조정"/>
      <sheetName val="예산서"/>
      <sheetName val="1.수인터널"/>
      <sheetName val="N賃率-職"/>
      <sheetName val="I.설계조건"/>
      <sheetName val="산출근거"/>
      <sheetName val="표  지"/>
      <sheetName val="잡철물"/>
      <sheetName val="관급"/>
      <sheetName val="일위목록"/>
      <sheetName val="요율"/>
      <sheetName val="설비2차"/>
      <sheetName val="제안서"/>
      <sheetName val="행정표준(1)"/>
      <sheetName val="행정표준(2)"/>
      <sheetName val="자재일람"/>
      <sheetName val="5회토적"/>
      <sheetName val="도급"/>
      <sheetName val="일반공사"/>
      <sheetName val="운반"/>
      <sheetName val="현장설명"/>
      <sheetName val="공사비예산서(토목분)"/>
      <sheetName val="001"/>
      <sheetName val="ABUT수량-A1"/>
      <sheetName val="4.전기"/>
      <sheetName val="오저간내역서"/>
      <sheetName val="참조-(1)"/>
      <sheetName val="관리비비계상"/>
      <sheetName val="예가내역서"/>
      <sheetName val="경비2내역"/>
      <sheetName val="세부내역"/>
      <sheetName val="BH-1 (2)"/>
      <sheetName val="소야공정계획표"/>
      <sheetName val="직노"/>
      <sheetName val="초기화면"/>
      <sheetName val="폐기물"/>
      <sheetName val="할증"/>
      <sheetName val="노원열병합  건축공사기성내역서"/>
      <sheetName val="현장지지물물량"/>
      <sheetName val="증감내역서"/>
      <sheetName val="이형관"/>
      <sheetName val="DATA"/>
      <sheetName val="을-ATYPE"/>
      <sheetName val="제1호단위수량"/>
      <sheetName val="작성방법"/>
      <sheetName val="터파기및재료"/>
      <sheetName val="인원계획"/>
      <sheetName val="타공종이기"/>
      <sheetName val="전기"/>
      <sheetName val="자료"/>
      <sheetName val="코드표"/>
      <sheetName val="1.설계조건"/>
      <sheetName val="여수토토적"/>
      <sheetName val="구조물수량집계표"/>
      <sheetName val="사업전망"/>
      <sheetName val="현장업무"/>
      <sheetName val="PIPING"/>
      <sheetName val="MSS 2"/>
      <sheetName val="전주2本1"/>
      <sheetName val="신호등일위대가"/>
      <sheetName val="프로젝트"/>
      <sheetName val="hvac(제어동)"/>
      <sheetName val="보증수수료산출"/>
      <sheetName val="도급-집계"/>
      <sheetName val="을"/>
      <sheetName val="2.1  노무비 평균단가산출"/>
      <sheetName val="경비"/>
      <sheetName val="데이타"/>
      <sheetName val="산출내역서"/>
      <sheetName val="ITEM"/>
      <sheetName val="공문"/>
      <sheetName val="결재갑지"/>
      <sheetName val="앉음벽 (2)"/>
      <sheetName val="6호기"/>
      <sheetName val="일반부표"/>
      <sheetName val="ancillary"/>
      <sheetName val="금융비용"/>
      <sheetName val="우수관매설및 우수받이"/>
      <sheetName val="접지1종"/>
      <sheetName val="조경"/>
      <sheetName val="문학간접"/>
      <sheetName val="조도계산서 (도서)"/>
      <sheetName val="직공비"/>
      <sheetName val="명세서"/>
      <sheetName val="총괄내역서"/>
      <sheetName val="A-4"/>
      <sheetName val="대비"/>
      <sheetName val="제출내역 (2)"/>
      <sheetName val="대전21토목내역서"/>
      <sheetName val="말뚝지지력산정"/>
      <sheetName val="인부노임"/>
      <sheetName val="전체"/>
      <sheetName val="I一般比"/>
      <sheetName val="간접비계산"/>
      <sheetName val="plan&amp;section of foundation"/>
      <sheetName val="pile bearing capa &amp; arrenge"/>
      <sheetName val="working load at the btm ft."/>
      <sheetName val="stability check"/>
      <sheetName val="design criteria"/>
      <sheetName val="Sheet3"/>
      <sheetName val="일위대가표"/>
      <sheetName val="98지급계획"/>
      <sheetName val="적용단가"/>
      <sheetName val="분뇨"/>
      <sheetName val="단가산출"/>
      <sheetName val="적용표"/>
      <sheetName val="INPUT"/>
      <sheetName val="운반비"/>
      <sheetName val="2000양배"/>
      <sheetName val="예산변경원인분석"/>
      <sheetName val="내역_ver1.0"/>
      <sheetName val="자재단가비교표"/>
      <sheetName val="단가대비표"/>
      <sheetName val="기초일위"/>
      <sheetName val="시설일위"/>
      <sheetName val="품셈"/>
      <sheetName val="자재단가표"/>
      <sheetName val="보고서 기기리스트"/>
      <sheetName val="현장관리비"/>
      <sheetName val="상-교대(A1-A2)"/>
      <sheetName val="설계내역서"/>
      <sheetName val="일위대가(1)"/>
      <sheetName val="마산방향"/>
      <sheetName val="진주방향"/>
      <sheetName val="토목내역"/>
      <sheetName val="사급자재"/>
      <sheetName val="기계공사"/>
      <sheetName val="간접(90)"/>
      <sheetName val="참조"/>
      <sheetName val="7. 현장관리비 "/>
      <sheetName val="6. 안전관리비"/>
      <sheetName val="봉양~조차장간고하개명(신설)"/>
      <sheetName val="견적조건"/>
      <sheetName val="구조물견적서"/>
      <sheetName val="설계서(7)"/>
      <sheetName val="예산서(6)"/>
      <sheetName val="3련 BOX"/>
      <sheetName val="역T형옹벽단위수량"/>
      <sheetName val="Resource2"/>
      <sheetName val="실행(1)"/>
      <sheetName val="소포내역 (2)"/>
      <sheetName val="산출내역서집계표"/>
      <sheetName val="측구터파기공수량집계"/>
      <sheetName val="배수공 시멘트 및 골재량 산출"/>
      <sheetName val="전기내역서(총계)"/>
      <sheetName val="INPUT-DATA"/>
      <sheetName val="토목주소"/>
      <sheetName val="11.우각부 보강"/>
      <sheetName val="조건표"/>
      <sheetName val="재료비"/>
      <sheetName val="내역(창신)"/>
      <sheetName val="배수내역"/>
      <sheetName val="배수내역 (2)"/>
      <sheetName val="신림자금"/>
      <sheetName val="횡배위치"/>
      <sheetName val="입력데이타"/>
      <sheetName val="결과조달"/>
      <sheetName val="연결임시"/>
      <sheetName val="분전반"/>
      <sheetName val="간이영수증"/>
      <sheetName val="날개벽수량표"/>
      <sheetName val="일용노임단가"/>
      <sheetName val="11.산출(전열)"/>
      <sheetName val="6.산출(동력)"/>
      <sheetName val="7.산출(TRAY)"/>
      <sheetName val="부재예실1월"/>
      <sheetName val="용소리교"/>
      <sheetName val="토목"/>
      <sheetName val="lee"/>
      <sheetName val="집계표소트"/>
      <sheetName val="토공A"/>
      <sheetName val="8설7발"/>
      <sheetName val="현금흐름"/>
      <sheetName val=" HIT-&gt;HMC 견적(3900)"/>
      <sheetName val="Macro1"/>
      <sheetName val="기초수량집"/>
      <sheetName val="type-F"/>
      <sheetName val="설계"/>
      <sheetName val="TYPE-A"/>
      <sheetName val="입력"/>
      <sheetName val="소비자가"/>
      <sheetName val="원가"/>
      <sheetName val="설계예산서"/>
      <sheetName val="ilch"/>
      <sheetName val="원가+내역"/>
      <sheetName val="JUCKEYK"/>
      <sheetName val="A 견적"/>
      <sheetName val="전기일위목록"/>
      <sheetName val="99월별경비계획"/>
      <sheetName val="_HIT__HMC 견적_3900_"/>
      <sheetName val="단가조사-2"/>
      <sheetName val="일위대가목록"/>
      <sheetName val="예산총괄"/>
      <sheetName val="COVER"/>
      <sheetName val="70%"/>
      <sheetName val="일위집계(기존)"/>
      <sheetName val="갑지"/>
      <sheetName val="교량"/>
      <sheetName val="여과지동"/>
      <sheetName val="기초자료"/>
      <sheetName val="자재단가"/>
      <sheetName val="금호"/>
      <sheetName val="가격조사서"/>
      <sheetName val="검암내역"/>
      <sheetName val="bearing"/>
      <sheetName val="별첨1-임식"/>
      <sheetName val="기본자료"/>
      <sheetName val="EBSDATA"/>
      <sheetName val="일위대가(가설)"/>
      <sheetName val="부속동"/>
      <sheetName val="APT"/>
      <sheetName val="구간별관경"/>
      <sheetName val="Macro(차단기)"/>
      <sheetName val="5호광장_(만점)"/>
      <sheetName val="인천국제_(만점)_(2)"/>
      <sheetName val="Total_단위경유량집계"/>
      <sheetName val="준검_내역서"/>
      <sheetName val="토공유동표(전체_당초)"/>
      <sheetName val="1_수인터널"/>
      <sheetName val="부대내역"/>
      <sheetName val="인사자료총집계"/>
      <sheetName val="13LPMCC"/>
      <sheetName val="Total"/>
      <sheetName val="01AC"/>
      <sheetName val="정화조내역"/>
      <sheetName val="물량표S"/>
      <sheetName val="중기일위대가"/>
      <sheetName val="시멘트"/>
      <sheetName val="내   역"/>
      <sheetName val="플랜트 설치"/>
      <sheetName val="노임단가표"/>
      <sheetName val="5.산출(전력)"/>
      <sheetName val="광산내역"/>
      <sheetName val="내역원본"/>
      <sheetName val="공사원가계산서"/>
      <sheetName val="단가집"/>
      <sheetName val="EUPDAT2"/>
      <sheetName val="제품원재"/>
      <sheetName val="건설성적"/>
      <sheetName val="WORK"/>
      <sheetName val="99-0002"/>
      <sheetName val="기성내역"/>
      <sheetName val="전기실-1"/>
      <sheetName val="추가예산"/>
      <sheetName val="원계약고시공및준비구분"/>
      <sheetName val="spc 배관견적"/>
      <sheetName val="C97상"/>
      <sheetName val="투찰추정"/>
      <sheetName val="검토"/>
      <sheetName val="총괄-1"/>
      <sheetName val="기초코드"/>
      <sheetName val="수정2"/>
      <sheetName val="데리네이타현황"/>
      <sheetName val="중기"/>
      <sheetName val="내역(가지)"/>
      <sheetName val="6PILE  (돌출)"/>
      <sheetName val="바닥판"/>
      <sheetName val="입력DATA"/>
      <sheetName val="SHEET PILE단가"/>
      <sheetName val="소방사항"/>
      <sheetName val="갑지(추정)"/>
      <sheetName val="지불내역(자재외)"/>
      <sheetName val="접속도로1"/>
      <sheetName val="공사비총괄"/>
      <sheetName val="BH_1 _2_"/>
      <sheetName val="200"/>
      <sheetName val="전체_1설계"/>
      <sheetName val="노임 단가"/>
      <sheetName val="수량산출서(전력간선_지하1)"/>
      <sheetName val="수량산출서(전력간선_지하발전)"/>
      <sheetName val="수량산출서(전력간선_지하D.C)"/>
      <sheetName val="수량산출서(전력간선_동관)"/>
      <sheetName val="수량산출서(전력간선_서관)"/>
      <sheetName val="수량산출서(전력간선_TRAY)"/>
      <sheetName val="수량산출서(특고압케이블)"/>
      <sheetName val="수량산출서(전열)"/>
      <sheetName val="단가조사표"/>
      <sheetName val="시운전연료"/>
      <sheetName val="수량산출"/>
      <sheetName val="단가조건(02년)"/>
      <sheetName val="기기리스트"/>
      <sheetName val="전라자금"/>
      <sheetName val="전기일위대가"/>
      <sheetName val="Y-WORK"/>
      <sheetName val="시설물일위"/>
      <sheetName val="내역서1"/>
      <sheetName val="unit 4"/>
      <sheetName val="견적서"/>
      <sheetName val="WING3"/>
      <sheetName val="전입"/>
      <sheetName val="전 기"/>
      <sheetName val="CORE#2"/>
      <sheetName val="SLAB"/>
      <sheetName val="일위"/>
      <sheetName val="장비단가표"/>
      <sheetName val="asd"/>
      <sheetName val="Customer Databas"/>
      <sheetName val="공통가설"/>
      <sheetName val="d118"/>
      <sheetName val="목차 "/>
      <sheetName val="화재 탐지 설비"/>
      <sheetName val="관급자재"/>
      <sheetName val="현장관리비참조"/>
      <sheetName val="b_balju"/>
      <sheetName val="원가총괄"/>
      <sheetName val="귀래 설계 공내역서"/>
      <sheetName val="FM"/>
      <sheetName val="내역표지"/>
      <sheetName val="파일구성"/>
      <sheetName val="동방설계서"/>
      <sheetName val="유입량"/>
      <sheetName val="1.취수장"/>
      <sheetName val="투입내역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1"/>
      <sheetName val="건축공사"/>
      <sheetName val="일위대가목차"/>
      <sheetName val="3.1공사현황 공정표"/>
      <sheetName val="시설물기초"/>
      <sheetName val="SG"/>
      <sheetName val="공정증감대ㅈ표"/>
      <sheetName val="편입토지조서"/>
      <sheetName val="배수통관(좌)"/>
      <sheetName val="예가표"/>
      <sheetName val="입찰"/>
      <sheetName val="현경"/>
      <sheetName val="중기사용료산출근거"/>
      <sheetName val="단가산출1"/>
      <sheetName val="주관사업"/>
      <sheetName val="퇴직금(울산천상)"/>
      <sheetName val="6공구(당초)"/>
      <sheetName val="공통단가"/>
      <sheetName val="1월"/>
      <sheetName val="DATE"/>
      <sheetName val="BH-1_(2)"/>
      <sheetName val="표__지"/>
      <sheetName val="4_전기"/>
      <sheetName val="I_설계조건"/>
      <sheetName val="앉음벽_(2)"/>
      <sheetName val="1_설계조건"/>
      <sheetName val="조도계산서_(도서)"/>
      <sheetName val="노원열병합__건축공사기성내역서"/>
      <sheetName val="내역_ver1_0"/>
      <sheetName val="11_우각부_보강"/>
      <sheetName val="제출내역_(2)"/>
      <sheetName val="우수관매설및_우수받이"/>
      <sheetName val="11_산출(전열)"/>
      <sheetName val="6_산출(동력)"/>
      <sheetName val="7_산출(TRAY)"/>
      <sheetName val="plan&amp;section_of_foundation"/>
      <sheetName val="pile_bearing_capa_&amp;_arrenge"/>
      <sheetName val="working_load_at_the_btm_ft_"/>
      <sheetName val="stability_check"/>
      <sheetName val="design_criteria"/>
      <sheetName val="7__현장관리비_"/>
      <sheetName val="6__안전관리비"/>
      <sheetName val="_HIT__HMC_견적_3900_"/>
      <sheetName val="소포내역_(2)"/>
      <sheetName val="3련_BOX"/>
      <sheetName val="노임이"/>
      <sheetName val="백암비스타내역"/>
      <sheetName val="계수시트"/>
      <sheetName val="PAY"/>
      <sheetName val="설 계"/>
      <sheetName val="정렬"/>
      <sheetName val="직접경비호표"/>
      <sheetName val="ELEC"/>
      <sheetName val="1유리"/>
      <sheetName val="#2_일위대가목록"/>
      <sheetName val="실행(ALT1)"/>
      <sheetName val="개인별 순위표"/>
      <sheetName val="INDEX"/>
      <sheetName val="프랜트면허"/>
      <sheetName val="냉천부속동"/>
      <sheetName val="네고율"/>
      <sheetName val="Sheet5"/>
      <sheetName val="재집"/>
      <sheetName val="총"/>
      <sheetName val="물량표"/>
      <sheetName val="오산갈곳"/>
      <sheetName val="설계서(본관)"/>
      <sheetName val="신천3호용수로"/>
      <sheetName val="중기비"/>
      <sheetName val="안정계산"/>
      <sheetName val="단면검토"/>
      <sheetName val="2000년하반기"/>
      <sheetName val="수지예산"/>
      <sheetName val="직재"/>
      <sheetName val="전동기"/>
      <sheetName val="일위대가(집계)"/>
      <sheetName val="수량산출서집계(1-4차)"/>
      <sheetName val="기본일위"/>
      <sheetName val="모델명"/>
      <sheetName val="손익분석"/>
      <sheetName val="(1)본선수량집계"/>
      <sheetName val="정산내역"/>
      <sheetName val="Cash Flow-1"/>
      <sheetName val="PAINT"/>
      <sheetName val="EQT-ESTN"/>
      <sheetName val="장비"/>
      <sheetName val="노무"/>
      <sheetName val="세골재  T2 변경 현황"/>
      <sheetName val="1.설계기준"/>
      <sheetName val="정리계획CF평가"/>
      <sheetName val="공기압축기실"/>
      <sheetName val="원도급"/>
      <sheetName val="하도급"/>
      <sheetName val="증감분석"/>
      <sheetName val="한전일위"/>
      <sheetName val="101동"/>
      <sheetName val="단가(적용)"/>
      <sheetName val="SUMMARY(S)"/>
      <sheetName val="설치"/>
      <sheetName val="저장소"/>
      <sheetName val="내역집계"/>
      <sheetName val="재료"/>
      <sheetName val="8.현장관리비"/>
      <sheetName val="7.안전관리비"/>
      <sheetName val="Macro(전선)"/>
      <sheetName val="POL6차-PIPING"/>
      <sheetName val="덕전리"/>
      <sheetName val="1,2,3,4,5단위수량"/>
      <sheetName val="Sheet2"/>
      <sheetName val="계산표지"/>
      <sheetName val="노임변동률"/>
      <sheetName val="개산공사비"/>
      <sheetName val="재개발"/>
      <sheetName val="TOT"/>
      <sheetName val="유림골조"/>
      <sheetName val="별표 "/>
      <sheetName val="인건비"/>
      <sheetName val="도담구내 개소별 명세"/>
      <sheetName val="1안"/>
      <sheetName val="BQ"/>
      <sheetName val="집계및폼"/>
      <sheetName val="04_10_11"/>
      <sheetName val="원가서"/>
      <sheetName val="환율change"/>
      <sheetName val="당초"/>
      <sheetName val="단가표"/>
      <sheetName val="시화점실행"/>
      <sheetName val="기별(종합)"/>
      <sheetName val="건축"/>
      <sheetName val="부서코드표"/>
      <sheetName val="결재란"/>
      <sheetName val="협력업체"/>
      <sheetName val="코드1"/>
      <sheetName val="코드2"/>
      <sheetName val="분전반일위대가"/>
      <sheetName val="품목납기"/>
      <sheetName val="대림경상68억"/>
      <sheetName val="단중표"/>
      <sheetName val="7"/>
      <sheetName val="投标材料清单 "/>
      <sheetName val="공사비산출내역"/>
      <sheetName val="TCDB"/>
      <sheetName val="손익차9월2"/>
      <sheetName val="득점현황"/>
      <sheetName val="전기공사"/>
      <sheetName val="청천내"/>
      <sheetName val="재료값"/>
      <sheetName val="합계"/>
      <sheetName val="내역서 "/>
      <sheetName val="실행"/>
      <sheetName val="조경수목"/>
      <sheetName val="퇴직공제부금"/>
      <sheetName val="평균노임"/>
      <sheetName val="분석"/>
      <sheetName val="시운전연료비"/>
      <sheetName val="골조시행"/>
      <sheetName val="입찰보고"/>
      <sheetName val="CC16-내역서"/>
      <sheetName val="재료비단가"/>
      <sheetName val="자료입력"/>
      <sheetName val="적용단위길이"/>
      <sheetName val="전기혼잡제경비(45)"/>
      <sheetName val="중사"/>
      <sheetName val="통신물량"/>
      <sheetName val="공사비총괄표"/>
      <sheetName val="공사비집계"/>
      <sheetName val="집계장(대목_실행)"/>
      <sheetName val="대공종"/>
      <sheetName val="집 계 표"/>
      <sheetName val="업체자료"/>
      <sheetName val="MILL"/>
      <sheetName val="9GNG운반"/>
      <sheetName val="원형1호맨홀토공수량"/>
      <sheetName val="장비비 명세서1"/>
      <sheetName val="단가산출서"/>
      <sheetName val="가설건물"/>
      <sheetName val="코드"/>
      <sheetName val="연습"/>
      <sheetName val="장비단가"/>
      <sheetName val="자금청구"/>
      <sheetName val="목차"/>
      <sheetName val="간접비(1)"/>
      <sheetName val="제노임"/>
      <sheetName val="철거산출근거"/>
      <sheetName val="CODE"/>
      <sheetName val="DHEQSUPT"/>
      <sheetName val="소화실적"/>
      <sheetName val="10공구일위"/>
      <sheetName val="7.공정표"/>
      <sheetName val="단면 (2)"/>
      <sheetName val="지구단위계획"/>
      <sheetName val="김해토지조서"/>
      <sheetName val="자동제어"/>
      <sheetName val="실지수기호표"/>
      <sheetName val="시중노임단가"/>
      <sheetName val="청주(철골발주의뢰서)"/>
      <sheetName val="VE절감"/>
      <sheetName val="분전함신설"/>
      <sheetName val="차수"/>
      <sheetName val="관공일위대가"/>
      <sheetName val="관자재"/>
      <sheetName val="단가 및 재료비"/>
      <sheetName val="관접합및자재집계표"/>
      <sheetName val="3.공통공사대비"/>
      <sheetName val="sub"/>
      <sheetName val="공량산출서"/>
      <sheetName val="98수문일위"/>
      <sheetName val="몰탈"/>
      <sheetName val="MSS_2"/>
      <sheetName val="2000노임기준"/>
      <sheetName val="교각계산"/>
      <sheetName val="식재인부"/>
      <sheetName val="일위총괄"/>
      <sheetName val="AS복구"/>
      <sheetName val="중기터파기"/>
      <sheetName val="변수값"/>
      <sheetName val="중기상차"/>
      <sheetName val="대치판정"/>
      <sheetName val="남양내역"/>
      <sheetName val="MAIN_TABLE"/>
      <sheetName val="단가적용"/>
      <sheetName val="수량집계"/>
      <sheetName val="기본단가"/>
      <sheetName val="현장별"/>
      <sheetName val="1단계"/>
      <sheetName val="미드수량"/>
      <sheetName val="단면가정"/>
      <sheetName val="입찰견적보고서"/>
      <sheetName val="단가조사서"/>
      <sheetName val="준공정산"/>
      <sheetName val="상수도토공집계표"/>
      <sheetName val="직접비"/>
      <sheetName val="자재co"/>
      <sheetName val="INSTR"/>
      <sheetName val="#3_일위대가목록"/>
      <sheetName val="일위대가표48"/>
      <sheetName val="RETAIL (ABOVE)"/>
      <sheetName val="토공계산서(부체도로)"/>
      <sheetName val="검색방"/>
      <sheetName val="내역서비교"/>
      <sheetName val="부대공(BOQ)"/>
      <sheetName val="비주거용"/>
      <sheetName val="전선 및 전선관"/>
      <sheetName val="공조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을지"/>
      <sheetName val="갑지"/>
      <sheetName val="지입"/>
      <sheetName val="지입 (2)"/>
      <sheetName val="평가서"/>
      <sheetName val="이동통고 "/>
      <sheetName val="TR보고서"/>
      <sheetName val="접지저항"/>
      <sheetName val="하조서"/>
      <sheetName val="요율"/>
      <sheetName val="sw1"/>
      <sheetName val="NOMUBI"/>
      <sheetName val="단가조사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M.H"/>
      <sheetName val="AS+사리도"/>
      <sheetName val="재료비"/>
      <sheetName val="기준비용"/>
      <sheetName val="정산변경입력"/>
      <sheetName val="정산변경서식"/>
      <sheetName val="준공보고양식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요율"/>
      <sheetName val="데리네이타현황"/>
      <sheetName val="내역"/>
      <sheetName val="산출근거"/>
      <sheetName val="분석"/>
      <sheetName val="BID"/>
      <sheetName val="일위대가목차"/>
      <sheetName val="인명부"/>
      <sheetName val="골재산출"/>
      <sheetName val="집계표"/>
      <sheetName val="Sheet1"/>
      <sheetName val="#REF"/>
      <sheetName val="물량표"/>
      <sheetName val="당초"/>
      <sheetName val="PIPING"/>
      <sheetName val="#3_일위대가목록"/>
      <sheetName val="#2_일위대가목록"/>
      <sheetName val="입찰안"/>
      <sheetName val="guard(mac)"/>
      <sheetName val="지장물C"/>
      <sheetName val="6PILE  (돌출)"/>
      <sheetName val="흥양2교토공집계표"/>
      <sheetName val="차수공개요"/>
      <sheetName val="96정변2"/>
      <sheetName val="대로근거"/>
      <sheetName val="중로근거"/>
      <sheetName val="차수"/>
      <sheetName val="일위대가표"/>
      <sheetName val="DATA"/>
      <sheetName val="토목"/>
      <sheetName val="설명서 "/>
      <sheetName val="추가예산"/>
      <sheetName val="식생블럭단위수량"/>
      <sheetName val="조명율표"/>
      <sheetName val="공동구수량"/>
      <sheetName val="바닥판"/>
      <sheetName val="입력DATA"/>
      <sheetName val="표지"/>
      <sheetName val="조경일람"/>
      <sheetName val="철근량"/>
      <sheetName val="공사비총괄표"/>
      <sheetName val="공사착공계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NAV000"/>
      <sheetName val="완료기안 (2)"/>
      <sheetName val="실행품의"/>
      <sheetName val="실행내역"/>
      <sheetName val="예산서"/>
      <sheetName val="수량집계"/>
      <sheetName val="실행집계 (2)"/>
      <sheetName val="실행집계"/>
      <sheetName val="공정표"/>
      <sheetName val="시방"/>
      <sheetName val="시방서"/>
      <sheetName val="기성기안"/>
      <sheetName val="기성보고"/>
      <sheetName val="기성내역"/>
      <sheetName val="정산내역"/>
      <sheetName val="정산집계 (2)"/>
      <sheetName val="정산집계"/>
      <sheetName val="완료기안"/>
      <sheetName val="준공보고"/>
      <sheetName val="완료통보"/>
      <sheetName val="기성변환"/>
      <sheetName val="실행내역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입찰안"/>
      <sheetName val="을지"/>
      <sheetName val="YES"/>
      <sheetName val="Macro(차단기)"/>
      <sheetName val="요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VXXXX"/>
      <sheetName val="원본"/>
      <sheetName val="집계"/>
      <sheetName val="내역서"/>
      <sheetName val="매입세"/>
      <sheetName val="집계 (하도)"/>
      <sheetName val="내역서 (하도)"/>
    </sheetNames>
    <sheetDataSet>
      <sheetData sheetId="0"/>
      <sheetData sheetId="1">
        <row r="1">
          <cell r="A1" t="str">
            <v>CD_WBS</v>
          </cell>
          <cell r="B1" t="str">
            <v>SER_NO</v>
          </cell>
          <cell r="C1" t="str">
            <v>CD_ITM</v>
          </cell>
          <cell r="D1" t="str">
            <v>DS_ITM</v>
          </cell>
          <cell r="E1" t="str">
            <v>SIZE</v>
          </cell>
          <cell r="F1" t="str">
            <v>UNIT</v>
          </cell>
          <cell r="G1" t="str">
            <v>F_QTY</v>
          </cell>
          <cell r="H1" t="str">
            <v>N_QTY</v>
          </cell>
          <cell r="I1" t="str">
            <v>CN_QTY</v>
          </cell>
          <cell r="J1" t="str">
            <v>QTY</v>
          </cell>
          <cell r="K1" t="str">
            <v>C_QTY</v>
          </cell>
          <cell r="L1" t="str">
            <v>PRICE</v>
          </cell>
          <cell r="M1" t="str">
            <v>PRICE_C</v>
          </cell>
          <cell r="N1" t="str">
            <v>AMOUNT</v>
          </cell>
          <cell r="O1" t="str">
            <v>C_AMOUNT</v>
          </cell>
          <cell r="P1" t="str">
            <v>GUBUN</v>
          </cell>
          <cell r="Q1" t="str">
            <v>TAG</v>
          </cell>
          <cell r="R1" t="str">
            <v>IS_MISC</v>
          </cell>
        </row>
        <row r="2">
          <cell r="A2" t="str">
            <v>A</v>
          </cell>
          <cell r="D2" t="str">
            <v>아파트 설비공사</v>
          </cell>
        </row>
        <row r="3">
          <cell r="A3" t="str">
            <v>AA</v>
          </cell>
          <cell r="B3">
            <v>0</v>
          </cell>
          <cell r="C3" t="str">
            <v>WAAA</v>
          </cell>
          <cell r="D3" t="str">
            <v>1. 옥외배관공사</v>
          </cell>
        </row>
        <row r="4">
          <cell r="A4" t="str">
            <v>AA</v>
          </cell>
          <cell r="B4">
            <v>100</v>
          </cell>
          <cell r="C4" t="str">
            <v>MCUA100C</v>
          </cell>
          <cell r="D4" t="str">
            <v>주철관(KP/J),수도용</v>
          </cell>
          <cell r="E4" t="str">
            <v>125A*5000L</v>
          </cell>
          <cell r="F4" t="str">
            <v>EA</v>
          </cell>
          <cell r="G4">
            <v>0</v>
          </cell>
          <cell r="H4">
            <v>2</v>
          </cell>
          <cell r="J4">
            <v>2</v>
          </cell>
          <cell r="L4">
            <v>76280</v>
          </cell>
          <cell r="N4">
            <v>152560</v>
          </cell>
          <cell r="R4" t="b">
            <v>0</v>
          </cell>
        </row>
        <row r="5">
          <cell r="A5" t="str">
            <v>AA</v>
          </cell>
          <cell r="B5">
            <v>200</v>
          </cell>
          <cell r="C5" t="str">
            <v>MCUB405A</v>
          </cell>
          <cell r="D5" t="str">
            <v>KP 플랜지소켓관</v>
          </cell>
          <cell r="E5" t="str">
            <v>125A</v>
          </cell>
          <cell r="F5" t="str">
            <v>EA</v>
          </cell>
          <cell r="G5">
            <v>0</v>
          </cell>
          <cell r="H5">
            <v>2</v>
          </cell>
          <cell r="J5">
            <v>2</v>
          </cell>
          <cell r="L5">
            <v>15560</v>
          </cell>
          <cell r="N5">
            <v>31120</v>
          </cell>
          <cell r="R5" t="b">
            <v>0</v>
          </cell>
        </row>
        <row r="6">
          <cell r="A6" t="str">
            <v>AA</v>
          </cell>
          <cell r="B6">
            <v>300</v>
          </cell>
          <cell r="C6" t="str">
            <v>MCUB505A</v>
          </cell>
          <cell r="D6" t="str">
            <v>KP 45°소켓곡관</v>
          </cell>
          <cell r="E6" t="str">
            <v>125A</v>
          </cell>
          <cell r="F6" t="str">
            <v>EA</v>
          </cell>
          <cell r="G6">
            <v>0</v>
          </cell>
          <cell r="H6">
            <v>2</v>
          </cell>
          <cell r="J6">
            <v>2</v>
          </cell>
          <cell r="L6">
            <v>19390</v>
          </cell>
          <cell r="N6">
            <v>38780</v>
          </cell>
          <cell r="R6" t="b">
            <v>0</v>
          </cell>
        </row>
        <row r="7">
          <cell r="A7" t="str">
            <v>AA</v>
          </cell>
          <cell r="B7">
            <v>400</v>
          </cell>
          <cell r="C7" t="str">
            <v>MVAB215A</v>
          </cell>
          <cell r="D7" t="str">
            <v>게이트밸브(주철)</v>
          </cell>
          <cell r="E7" t="str">
            <v>10K 125A</v>
          </cell>
          <cell r="F7" t="str">
            <v>EA</v>
          </cell>
          <cell r="G7">
            <v>0</v>
          </cell>
          <cell r="H7">
            <v>1</v>
          </cell>
          <cell r="J7">
            <v>1</v>
          </cell>
          <cell r="L7">
            <v>91000</v>
          </cell>
          <cell r="N7">
            <v>91000</v>
          </cell>
          <cell r="R7" t="b">
            <v>0</v>
          </cell>
        </row>
        <row r="8">
          <cell r="A8" t="str">
            <v>AA</v>
          </cell>
          <cell r="B8">
            <v>500</v>
          </cell>
          <cell r="C8" t="str">
            <v>MP0ASD01</v>
          </cell>
          <cell r="D8" t="str">
            <v>모래</v>
          </cell>
          <cell r="F8" t="str">
            <v>M3</v>
          </cell>
          <cell r="G8">
            <v>0</v>
          </cell>
          <cell r="H8">
            <v>2</v>
          </cell>
          <cell r="J8">
            <v>2</v>
          </cell>
          <cell r="L8">
            <v>13500</v>
          </cell>
          <cell r="N8">
            <v>27000</v>
          </cell>
          <cell r="R8" t="b">
            <v>0</v>
          </cell>
        </row>
        <row r="9">
          <cell r="A9" t="str">
            <v>AA</v>
          </cell>
          <cell r="B9">
            <v>600</v>
          </cell>
          <cell r="C9" t="str">
            <v>MP0AWT03</v>
          </cell>
          <cell r="D9" t="str">
            <v>배관매설 표시비닐테프</v>
          </cell>
          <cell r="E9" t="str">
            <v>400W</v>
          </cell>
          <cell r="F9" t="str">
            <v>M</v>
          </cell>
          <cell r="G9">
            <v>0</v>
          </cell>
          <cell r="H9">
            <v>10</v>
          </cell>
          <cell r="J9">
            <v>10</v>
          </cell>
          <cell r="L9">
            <v>140</v>
          </cell>
          <cell r="N9">
            <v>1400</v>
          </cell>
          <cell r="R9" t="b">
            <v>0</v>
          </cell>
        </row>
        <row r="10">
          <cell r="A10" t="str">
            <v>AA</v>
          </cell>
          <cell r="B10">
            <v>700</v>
          </cell>
          <cell r="C10" t="str">
            <v>BXAAA125</v>
          </cell>
          <cell r="D10" t="str">
            <v>강관스리브(지수판)</v>
          </cell>
          <cell r="E10" t="str">
            <v>125A</v>
          </cell>
          <cell r="F10" t="str">
            <v>개소</v>
          </cell>
          <cell r="H10">
            <v>1</v>
          </cell>
          <cell r="J10">
            <v>1</v>
          </cell>
          <cell r="L10">
            <v>35477</v>
          </cell>
          <cell r="N10">
            <v>35477</v>
          </cell>
          <cell r="R10" t="b">
            <v>0</v>
          </cell>
        </row>
        <row r="11">
          <cell r="A11" t="str">
            <v>AA</v>
          </cell>
          <cell r="B11">
            <v>750000</v>
          </cell>
          <cell r="C11" t="str">
            <v>S22S10C</v>
          </cell>
          <cell r="D11" t="str">
            <v>주철관접합(KP-JOINT)</v>
          </cell>
          <cell r="E11" t="str">
            <v>125A</v>
          </cell>
          <cell r="F11" t="str">
            <v>EA</v>
          </cell>
          <cell r="H11">
            <v>6</v>
          </cell>
          <cell r="J11">
            <v>6</v>
          </cell>
          <cell r="L11">
            <v>8580</v>
          </cell>
          <cell r="N11">
            <v>51480</v>
          </cell>
        </row>
        <row r="12">
          <cell r="A12" t="str">
            <v>AA</v>
          </cell>
          <cell r="B12">
            <v>810000</v>
          </cell>
          <cell r="C12" t="str">
            <v>OMISC03</v>
          </cell>
          <cell r="D12" t="str">
            <v>잡자재비</v>
          </cell>
          <cell r="E12" t="str">
            <v>관의 (3)％</v>
          </cell>
          <cell r="F12" t="str">
            <v>L/S</v>
          </cell>
          <cell r="H12">
            <v>1</v>
          </cell>
          <cell r="J12">
            <v>1</v>
          </cell>
          <cell r="L12">
            <v>183</v>
          </cell>
          <cell r="N12">
            <v>183</v>
          </cell>
        </row>
        <row r="13">
          <cell r="A13" t="str">
            <v>AA</v>
          </cell>
          <cell r="B13">
            <v>850000</v>
          </cell>
          <cell r="C13" t="str">
            <v>LHELPR</v>
          </cell>
          <cell r="D13" t="str">
            <v>보통인부</v>
          </cell>
          <cell r="F13" t="str">
            <v>M/D</v>
          </cell>
          <cell r="H13">
            <v>0.2</v>
          </cell>
          <cell r="J13">
            <v>0.2</v>
          </cell>
          <cell r="L13">
            <v>22300</v>
          </cell>
          <cell r="N13">
            <v>4460</v>
          </cell>
        </row>
        <row r="14">
          <cell r="A14" t="str">
            <v>AA</v>
          </cell>
          <cell r="B14">
            <v>850000</v>
          </cell>
          <cell r="C14" t="str">
            <v>LPIPEG</v>
          </cell>
          <cell r="D14" t="str">
            <v>배관공</v>
          </cell>
          <cell r="F14" t="str">
            <v>M/D</v>
          </cell>
          <cell r="H14">
            <v>0.4</v>
          </cell>
          <cell r="J14">
            <v>0.4</v>
          </cell>
          <cell r="L14">
            <v>34400</v>
          </cell>
          <cell r="N14">
            <v>13760</v>
          </cell>
        </row>
        <row r="15">
          <cell r="A15" t="str">
            <v>AA</v>
          </cell>
          <cell r="B15">
            <v>900000</v>
          </cell>
          <cell r="C15" t="str">
            <v>CAMTEF0</v>
          </cell>
          <cell r="D15" t="str">
            <v>터파기및되메우기(줄파기)</v>
          </cell>
          <cell r="F15" t="str">
            <v>M3</v>
          </cell>
          <cell r="H15">
            <v>14.4</v>
          </cell>
          <cell r="J15">
            <v>14.4</v>
          </cell>
          <cell r="L15">
            <v>5000</v>
          </cell>
          <cell r="N15">
            <v>72000</v>
          </cell>
          <cell r="R15" t="b">
            <v>0</v>
          </cell>
        </row>
        <row r="16">
          <cell r="A16" t="str">
            <v>AA</v>
          </cell>
          <cell r="B16">
            <v>990000</v>
          </cell>
          <cell r="C16" t="str">
            <v>OMISC06</v>
          </cell>
          <cell r="D16" t="str">
            <v>공구손료</v>
          </cell>
          <cell r="E16" t="str">
            <v>인건비의 (3)％</v>
          </cell>
          <cell r="F16" t="str">
            <v>L/S</v>
          </cell>
          <cell r="H16">
            <v>1</v>
          </cell>
          <cell r="J16">
            <v>1</v>
          </cell>
          <cell r="L16">
            <v>780</v>
          </cell>
          <cell r="N16">
            <v>780</v>
          </cell>
        </row>
        <row r="17">
          <cell r="A17" t="str">
            <v>AC</v>
          </cell>
          <cell r="B17">
            <v>0</v>
          </cell>
          <cell r="C17" t="str">
            <v>WAAC</v>
          </cell>
          <cell r="D17" t="str">
            <v>2. 장비설치공사</v>
          </cell>
        </row>
        <row r="18">
          <cell r="A18" t="str">
            <v>AC</v>
          </cell>
          <cell r="B18">
            <v>100</v>
          </cell>
          <cell r="C18" t="str">
            <v>TMSJI025</v>
          </cell>
          <cell r="D18" t="str">
            <v>B-1 가스보일러(F.F)</v>
          </cell>
          <cell r="E18" t="str">
            <v>13,000KCAL</v>
          </cell>
          <cell r="F18" t="str">
            <v>SET</v>
          </cell>
          <cell r="G18">
            <v>0</v>
          </cell>
          <cell r="H18">
            <v>183</v>
          </cell>
          <cell r="J18">
            <v>183</v>
          </cell>
          <cell r="L18">
            <v>310000</v>
          </cell>
          <cell r="N18">
            <v>56730000</v>
          </cell>
          <cell r="R18" t="b">
            <v>0</v>
          </cell>
        </row>
        <row r="19">
          <cell r="A19" t="str">
            <v>AC</v>
          </cell>
          <cell r="B19">
            <v>200</v>
          </cell>
          <cell r="C19" t="str">
            <v>TMSJI012</v>
          </cell>
          <cell r="D19" t="str">
            <v>F-1 시로코배기휀</v>
          </cell>
          <cell r="E19" t="str">
            <v>125CMM*#3DS</v>
          </cell>
          <cell r="F19" t="str">
            <v>SET</v>
          </cell>
          <cell r="G19">
            <v>0</v>
          </cell>
          <cell r="H19">
            <v>4</v>
          </cell>
          <cell r="J19">
            <v>4</v>
          </cell>
          <cell r="L19">
            <v>713000</v>
          </cell>
          <cell r="N19">
            <v>2852000</v>
          </cell>
          <cell r="R19" t="b">
            <v>0</v>
          </cell>
        </row>
        <row r="20">
          <cell r="A20" t="str">
            <v>AC</v>
          </cell>
          <cell r="B20">
            <v>300</v>
          </cell>
          <cell r="C20" t="str">
            <v>TMSJI013</v>
          </cell>
          <cell r="D20" t="str">
            <v>F-2 덕트연결형배기휀</v>
          </cell>
          <cell r="E20" t="str">
            <v>D600*71CMM*14MM</v>
          </cell>
          <cell r="F20" t="str">
            <v>SET</v>
          </cell>
          <cell r="G20">
            <v>0</v>
          </cell>
          <cell r="H20">
            <v>1</v>
          </cell>
          <cell r="J20">
            <v>1</v>
          </cell>
          <cell r="L20">
            <v>676000</v>
          </cell>
          <cell r="N20">
            <v>676000</v>
          </cell>
          <cell r="R20" t="b">
            <v>0</v>
          </cell>
        </row>
        <row r="21">
          <cell r="A21" t="str">
            <v>AC</v>
          </cell>
          <cell r="B21">
            <v>400</v>
          </cell>
          <cell r="C21" t="str">
            <v>TMSJI014</v>
          </cell>
          <cell r="D21" t="str">
            <v>F-3 덕트연결형급배기휀</v>
          </cell>
          <cell r="E21" t="str">
            <v>D500*50CMM*14</v>
          </cell>
          <cell r="F21" t="str">
            <v>SET</v>
          </cell>
          <cell r="G21">
            <v>0</v>
          </cell>
          <cell r="H21">
            <v>2</v>
          </cell>
          <cell r="J21">
            <v>2</v>
          </cell>
          <cell r="L21">
            <v>640000</v>
          </cell>
          <cell r="N21">
            <v>1280000</v>
          </cell>
          <cell r="R21" t="b">
            <v>0</v>
          </cell>
        </row>
        <row r="22">
          <cell r="A22" t="str">
            <v>AC</v>
          </cell>
          <cell r="B22">
            <v>500</v>
          </cell>
          <cell r="C22" t="str">
            <v>TMSJI016</v>
          </cell>
          <cell r="D22" t="str">
            <v>F-5 벽부형급배기휀</v>
          </cell>
          <cell r="E22" t="str">
            <v>D250*9CMM*0.04</v>
          </cell>
          <cell r="F22" t="str">
            <v>SET</v>
          </cell>
          <cell r="G22">
            <v>0</v>
          </cell>
          <cell r="H22">
            <v>3</v>
          </cell>
          <cell r="J22">
            <v>3</v>
          </cell>
          <cell r="L22">
            <v>20000</v>
          </cell>
          <cell r="N22">
            <v>60000</v>
          </cell>
          <cell r="R22" t="b">
            <v>0</v>
          </cell>
        </row>
        <row r="23">
          <cell r="A23" t="str">
            <v>AC</v>
          </cell>
          <cell r="B23">
            <v>600</v>
          </cell>
          <cell r="C23" t="str">
            <v>TMSJI017</v>
          </cell>
          <cell r="D23" t="str">
            <v>F-4 벽부형급배기휀</v>
          </cell>
          <cell r="E23" t="str">
            <v>D350*30CMM</v>
          </cell>
          <cell r="F23" t="str">
            <v>SET</v>
          </cell>
          <cell r="G23">
            <v>0</v>
          </cell>
          <cell r="H23">
            <v>2</v>
          </cell>
          <cell r="J23">
            <v>2</v>
          </cell>
          <cell r="L23">
            <v>52000</v>
          </cell>
          <cell r="N23">
            <v>104000</v>
          </cell>
          <cell r="R23" t="b">
            <v>0</v>
          </cell>
        </row>
        <row r="24">
          <cell r="A24" t="str">
            <v>AC</v>
          </cell>
          <cell r="B24">
            <v>700</v>
          </cell>
          <cell r="C24" t="str">
            <v>TMSJI018</v>
          </cell>
          <cell r="D24" t="str">
            <v>P-1 급수펌프(다단보류트)</v>
          </cell>
          <cell r="E24" t="str">
            <v>312LPM*65M*15KW</v>
          </cell>
          <cell r="F24" t="str">
            <v>SET</v>
          </cell>
          <cell r="G24">
            <v>0</v>
          </cell>
          <cell r="H24">
            <v>2</v>
          </cell>
          <cell r="J24">
            <v>2</v>
          </cell>
          <cell r="L24">
            <v>1712000</v>
          </cell>
          <cell r="N24">
            <v>3424000</v>
          </cell>
          <cell r="R24" t="b">
            <v>0</v>
          </cell>
        </row>
        <row r="25">
          <cell r="A25" t="str">
            <v>AC</v>
          </cell>
          <cell r="B25">
            <v>800</v>
          </cell>
          <cell r="C25" t="str">
            <v>TMSJI019</v>
          </cell>
          <cell r="D25" t="str">
            <v>P-2 가압펌프(가압탱크식)</v>
          </cell>
          <cell r="E25" t="str">
            <v>265LPM*15M*1.87</v>
          </cell>
          <cell r="F25" t="str">
            <v>SET</v>
          </cell>
          <cell r="G25">
            <v>0</v>
          </cell>
          <cell r="H25">
            <v>2</v>
          </cell>
          <cell r="J25">
            <v>2</v>
          </cell>
          <cell r="L25">
            <v>600000</v>
          </cell>
          <cell r="N25">
            <v>1200000</v>
          </cell>
          <cell r="R25" t="b">
            <v>0</v>
          </cell>
        </row>
        <row r="26">
          <cell r="A26" t="str">
            <v>AC</v>
          </cell>
          <cell r="B26">
            <v>900</v>
          </cell>
          <cell r="C26" t="str">
            <v>TMSJI020</v>
          </cell>
          <cell r="D26" t="str">
            <v>P-3 수중형배수펌프</v>
          </cell>
          <cell r="E26" t="str">
            <v>1200LPM*11M*3.7</v>
          </cell>
          <cell r="F26" t="str">
            <v>SET</v>
          </cell>
          <cell r="G26">
            <v>0</v>
          </cell>
          <cell r="H26">
            <v>2</v>
          </cell>
          <cell r="J26">
            <v>2</v>
          </cell>
          <cell r="L26">
            <v>493000</v>
          </cell>
          <cell r="N26">
            <v>986000</v>
          </cell>
          <cell r="R26" t="b">
            <v>0</v>
          </cell>
        </row>
        <row r="27">
          <cell r="A27" t="str">
            <v>AC</v>
          </cell>
          <cell r="B27">
            <v>1000</v>
          </cell>
          <cell r="C27" t="str">
            <v>TMSJI021</v>
          </cell>
          <cell r="D27" t="str">
            <v>P-4 입형배수펌프</v>
          </cell>
          <cell r="E27" t="str">
            <v>100LPM*11M*1.5</v>
          </cell>
          <cell r="F27" t="str">
            <v>SET</v>
          </cell>
          <cell r="G27">
            <v>0</v>
          </cell>
          <cell r="H27">
            <v>2</v>
          </cell>
          <cell r="J27">
            <v>2</v>
          </cell>
          <cell r="L27">
            <v>370000</v>
          </cell>
          <cell r="N27">
            <v>740000</v>
          </cell>
          <cell r="R27" t="b">
            <v>0</v>
          </cell>
        </row>
        <row r="28">
          <cell r="A28" t="str">
            <v>AC</v>
          </cell>
          <cell r="B28">
            <v>1100</v>
          </cell>
          <cell r="C28" t="str">
            <v>TMSJI011</v>
          </cell>
          <cell r="D28" t="str">
            <v>T-2 고가수조(칸,SMC)</v>
          </cell>
          <cell r="E28" t="str">
            <v>3000*6500*2000</v>
          </cell>
          <cell r="F28" t="str">
            <v>EA</v>
          </cell>
          <cell r="G28">
            <v>0</v>
          </cell>
          <cell r="H28">
            <v>1</v>
          </cell>
          <cell r="J28">
            <v>1</v>
          </cell>
          <cell r="L28">
            <v>7566000</v>
          </cell>
          <cell r="N28">
            <v>7566000</v>
          </cell>
          <cell r="R28" t="b">
            <v>0</v>
          </cell>
        </row>
        <row r="29">
          <cell r="A29" t="str">
            <v>AC</v>
          </cell>
          <cell r="B29">
            <v>1200</v>
          </cell>
          <cell r="C29" t="str">
            <v>TMCYH001</v>
          </cell>
          <cell r="D29" t="str">
            <v>명판</v>
          </cell>
          <cell r="F29" t="str">
            <v>식</v>
          </cell>
          <cell r="G29">
            <v>0</v>
          </cell>
          <cell r="H29">
            <v>1</v>
          </cell>
          <cell r="J29">
            <v>1</v>
          </cell>
          <cell r="L29">
            <v>200000</v>
          </cell>
          <cell r="N29">
            <v>200000</v>
          </cell>
          <cell r="R29" t="b">
            <v>0</v>
          </cell>
        </row>
        <row r="30">
          <cell r="A30" t="str">
            <v>AC</v>
          </cell>
          <cell r="B30">
            <v>1300</v>
          </cell>
          <cell r="C30" t="str">
            <v>TMCYH002</v>
          </cell>
          <cell r="D30" t="str">
            <v>장비도색비</v>
          </cell>
          <cell r="F30" t="str">
            <v>식</v>
          </cell>
          <cell r="G30">
            <v>0</v>
          </cell>
          <cell r="H30">
            <v>1</v>
          </cell>
          <cell r="J30">
            <v>1</v>
          </cell>
          <cell r="L30">
            <v>200000</v>
          </cell>
          <cell r="N30">
            <v>200000</v>
          </cell>
          <cell r="R30" t="b">
            <v>0</v>
          </cell>
        </row>
        <row r="31">
          <cell r="A31" t="str">
            <v>AC</v>
          </cell>
          <cell r="B31">
            <v>1400</v>
          </cell>
          <cell r="C31" t="str">
            <v>TMYYS002</v>
          </cell>
          <cell r="D31" t="str">
            <v>전기온돌판넬(전기실)</v>
          </cell>
          <cell r="E31" t="str">
            <v>1700*850 200W</v>
          </cell>
          <cell r="F31" t="str">
            <v>SET</v>
          </cell>
          <cell r="G31">
            <v>0</v>
          </cell>
          <cell r="H31">
            <v>8</v>
          </cell>
          <cell r="J31">
            <v>8</v>
          </cell>
          <cell r="L31">
            <v>535000</v>
          </cell>
          <cell r="N31">
            <v>4280000</v>
          </cell>
          <cell r="R31" t="b">
            <v>0</v>
          </cell>
        </row>
        <row r="32">
          <cell r="A32" t="str">
            <v>AC</v>
          </cell>
          <cell r="B32">
            <v>1600</v>
          </cell>
          <cell r="C32" t="str">
            <v>TMYYS008</v>
          </cell>
          <cell r="D32" t="str">
            <v>비상동력펌프(W/급수대)</v>
          </cell>
          <cell r="E32" t="str">
            <v>350LPM*15M*3HP</v>
          </cell>
          <cell r="F32" t="str">
            <v>SET</v>
          </cell>
          <cell r="G32">
            <v>0</v>
          </cell>
          <cell r="H32">
            <v>1</v>
          </cell>
          <cell r="J32">
            <v>1</v>
          </cell>
          <cell r="L32">
            <v>770000</v>
          </cell>
          <cell r="N32">
            <v>770000</v>
          </cell>
          <cell r="R32" t="b">
            <v>0</v>
          </cell>
        </row>
        <row r="33">
          <cell r="A33" t="str">
            <v>AC</v>
          </cell>
          <cell r="B33">
            <v>1700</v>
          </cell>
          <cell r="C33" t="str">
            <v>MEPV0021</v>
          </cell>
          <cell r="D33" t="str">
            <v>배수펌프가대</v>
          </cell>
          <cell r="F33" t="str">
            <v>SET</v>
          </cell>
          <cell r="G33">
            <v>0</v>
          </cell>
          <cell r="H33">
            <v>4</v>
          </cell>
          <cell r="J33">
            <v>4</v>
          </cell>
          <cell r="L33">
            <v>50000</v>
          </cell>
          <cell r="N33">
            <v>200000</v>
          </cell>
          <cell r="R33" t="b">
            <v>0</v>
          </cell>
        </row>
        <row r="34">
          <cell r="A34" t="str">
            <v>AC</v>
          </cell>
          <cell r="B34">
            <v>1800</v>
          </cell>
          <cell r="C34" t="str">
            <v>MEPV0150</v>
          </cell>
          <cell r="D34" t="str">
            <v>펌프방진가대</v>
          </cell>
          <cell r="E34" t="str">
            <v>15.00KW</v>
          </cell>
          <cell r="F34" t="str">
            <v>SET</v>
          </cell>
          <cell r="G34">
            <v>0</v>
          </cell>
          <cell r="H34">
            <v>2</v>
          </cell>
          <cell r="J34">
            <v>2</v>
          </cell>
          <cell r="L34">
            <v>240000</v>
          </cell>
          <cell r="N34">
            <v>480000</v>
          </cell>
          <cell r="R34" t="b">
            <v>0</v>
          </cell>
        </row>
        <row r="35">
          <cell r="A35" t="str">
            <v>AC</v>
          </cell>
          <cell r="B35">
            <v>810000</v>
          </cell>
          <cell r="C35" t="str">
            <v>OMISC03</v>
          </cell>
          <cell r="D35" t="str">
            <v>잡자재비</v>
          </cell>
          <cell r="E35" t="str">
            <v>관의 (3)％</v>
          </cell>
          <cell r="F35" t="str">
            <v>L/S</v>
          </cell>
          <cell r="H35">
            <v>1</v>
          </cell>
          <cell r="J35">
            <v>1</v>
          </cell>
          <cell r="L35">
            <v>0</v>
          </cell>
          <cell r="N35">
            <v>0</v>
          </cell>
        </row>
        <row r="36">
          <cell r="A36" t="str">
            <v>AC</v>
          </cell>
          <cell r="B36">
            <v>850000</v>
          </cell>
          <cell r="C36" t="str">
            <v>LHELPR</v>
          </cell>
          <cell r="D36" t="str">
            <v>보통인부</v>
          </cell>
          <cell r="F36" t="str">
            <v>M/D</v>
          </cell>
          <cell r="H36">
            <v>3.8</v>
          </cell>
          <cell r="J36">
            <v>3.8</v>
          </cell>
          <cell r="L36">
            <v>22300</v>
          </cell>
          <cell r="N36">
            <v>84740</v>
          </cell>
        </row>
        <row r="37">
          <cell r="A37" t="str">
            <v>AC</v>
          </cell>
          <cell r="B37">
            <v>850000</v>
          </cell>
          <cell r="C37" t="str">
            <v>LMILLW</v>
          </cell>
          <cell r="D37" t="str">
            <v>기계설치공</v>
          </cell>
          <cell r="F37" t="str">
            <v>M/D</v>
          </cell>
          <cell r="H37">
            <v>18.399999999999999</v>
          </cell>
          <cell r="J37">
            <v>18.399999999999999</v>
          </cell>
          <cell r="L37">
            <v>34000</v>
          </cell>
          <cell r="N37">
            <v>625600</v>
          </cell>
        </row>
        <row r="38">
          <cell r="A38" t="str">
            <v>AC</v>
          </cell>
          <cell r="B38">
            <v>900000</v>
          </cell>
          <cell r="C38" t="str">
            <v>CAMTEF1</v>
          </cell>
          <cell r="D38" t="str">
            <v>방진가대 CONC타설</v>
          </cell>
          <cell r="F38" t="str">
            <v>개소</v>
          </cell>
          <cell r="H38">
            <v>2</v>
          </cell>
          <cell r="J38">
            <v>2</v>
          </cell>
          <cell r="L38">
            <v>26390</v>
          </cell>
          <cell r="N38">
            <v>52780</v>
          </cell>
          <cell r="R38" t="b">
            <v>0</v>
          </cell>
        </row>
        <row r="39">
          <cell r="A39" t="str">
            <v>AC</v>
          </cell>
          <cell r="B39">
            <v>990000</v>
          </cell>
          <cell r="C39" t="str">
            <v>OMISC06</v>
          </cell>
          <cell r="D39" t="str">
            <v>공구손료</v>
          </cell>
          <cell r="E39" t="str">
            <v>인건비의 (3)％</v>
          </cell>
          <cell r="F39" t="str">
            <v>L/S</v>
          </cell>
          <cell r="H39">
            <v>1</v>
          </cell>
          <cell r="J39">
            <v>1</v>
          </cell>
          <cell r="L39">
            <v>21880</v>
          </cell>
          <cell r="N39">
            <v>21880</v>
          </cell>
        </row>
        <row r="40">
          <cell r="A40" t="str">
            <v>AE</v>
          </cell>
          <cell r="B40">
            <v>0</v>
          </cell>
          <cell r="C40" t="str">
            <v>WAAE</v>
          </cell>
          <cell r="D40" t="str">
            <v>3.기계실배관공사</v>
          </cell>
        </row>
        <row r="41">
          <cell r="A41" t="str">
            <v>AEP</v>
          </cell>
          <cell r="B41">
            <v>0</v>
          </cell>
          <cell r="C41" t="str">
            <v>WAAEP</v>
          </cell>
          <cell r="D41" t="str">
            <v>3-1. 기계실위생배관공사</v>
          </cell>
        </row>
        <row r="42">
          <cell r="A42" t="str">
            <v>AEP</v>
          </cell>
          <cell r="B42">
            <v>100</v>
          </cell>
          <cell r="C42" t="str">
            <v>MPA0000H</v>
          </cell>
          <cell r="D42" t="str">
            <v>동관(L형)</v>
          </cell>
          <cell r="E42" t="str">
            <v>1/2B  , 15.88</v>
          </cell>
          <cell r="F42" t="str">
            <v>M</v>
          </cell>
          <cell r="G42">
            <v>5</v>
          </cell>
          <cell r="H42">
            <v>5.4</v>
          </cell>
          <cell r="J42">
            <v>5.7</v>
          </cell>
          <cell r="L42">
            <v>1235</v>
          </cell>
          <cell r="N42">
            <v>7040</v>
          </cell>
          <cell r="R42" t="b">
            <v>1</v>
          </cell>
        </row>
        <row r="43">
          <cell r="A43" t="str">
            <v>AEP</v>
          </cell>
          <cell r="B43">
            <v>101</v>
          </cell>
          <cell r="C43" t="str">
            <v>OMIPMPA0</v>
          </cell>
          <cell r="D43" t="str">
            <v>관 부속</v>
          </cell>
          <cell r="E43" t="str">
            <v>관의 (45)％</v>
          </cell>
          <cell r="F43" t="str">
            <v>L/S</v>
          </cell>
          <cell r="H43">
            <v>1</v>
          </cell>
          <cell r="J43">
            <v>1</v>
          </cell>
          <cell r="L43">
            <v>3151</v>
          </cell>
          <cell r="N43">
            <v>3151</v>
          </cell>
        </row>
        <row r="44">
          <cell r="A44" t="str">
            <v>AEP</v>
          </cell>
          <cell r="B44">
            <v>102</v>
          </cell>
          <cell r="C44" t="str">
            <v>OMIHMPA0</v>
          </cell>
          <cell r="D44" t="str">
            <v>행거 및 용접봉</v>
          </cell>
          <cell r="E44" t="str">
            <v>관의 (20)％</v>
          </cell>
          <cell r="F44" t="str">
            <v>L/S</v>
          </cell>
          <cell r="H44">
            <v>1</v>
          </cell>
          <cell r="J44">
            <v>1</v>
          </cell>
          <cell r="L44">
            <v>1400</v>
          </cell>
          <cell r="N44">
            <v>1400</v>
          </cell>
        </row>
        <row r="45">
          <cell r="A45" t="str">
            <v>AEP</v>
          </cell>
          <cell r="B45">
            <v>200</v>
          </cell>
          <cell r="C45" t="str">
            <v>MPH2003A</v>
          </cell>
          <cell r="D45" t="str">
            <v>스텐레스 관(SCH#10),용접</v>
          </cell>
          <cell r="E45" t="str">
            <v>80A</v>
          </cell>
          <cell r="F45" t="str">
            <v>M</v>
          </cell>
          <cell r="G45">
            <v>5</v>
          </cell>
          <cell r="H45">
            <v>21.9</v>
          </cell>
          <cell r="J45">
            <v>23</v>
          </cell>
          <cell r="L45">
            <v>16086</v>
          </cell>
          <cell r="N45">
            <v>369978</v>
          </cell>
          <cell r="R45" t="b">
            <v>1</v>
          </cell>
        </row>
        <row r="46">
          <cell r="A46" t="str">
            <v>AEP</v>
          </cell>
          <cell r="B46">
            <v>300</v>
          </cell>
          <cell r="C46" t="str">
            <v>MPH2005A</v>
          </cell>
          <cell r="D46" t="str">
            <v>스텐레스 관(SCH#10),용접</v>
          </cell>
          <cell r="E46" t="str">
            <v>125A</v>
          </cell>
          <cell r="F46" t="str">
            <v>M</v>
          </cell>
          <cell r="G46">
            <v>5</v>
          </cell>
          <cell r="H46">
            <v>42.5</v>
          </cell>
          <cell r="J46">
            <v>44.6</v>
          </cell>
          <cell r="L46">
            <v>28881</v>
          </cell>
          <cell r="N46">
            <v>1288093</v>
          </cell>
          <cell r="R46" t="b">
            <v>1</v>
          </cell>
        </row>
        <row r="47">
          <cell r="A47" t="str">
            <v>AEP</v>
          </cell>
          <cell r="B47">
            <v>400</v>
          </cell>
          <cell r="C47" t="str">
            <v>MPH2006A</v>
          </cell>
          <cell r="D47" t="str">
            <v>스텐레스 관(SCH#10),용접</v>
          </cell>
          <cell r="E47" t="str">
            <v>150A</v>
          </cell>
          <cell r="F47" t="str">
            <v>M</v>
          </cell>
          <cell r="G47">
            <v>5</v>
          </cell>
          <cell r="H47">
            <v>48</v>
          </cell>
          <cell r="J47">
            <v>50.4</v>
          </cell>
          <cell r="L47">
            <v>34259</v>
          </cell>
          <cell r="N47">
            <v>1726654</v>
          </cell>
          <cell r="R47" t="b">
            <v>1</v>
          </cell>
        </row>
        <row r="48">
          <cell r="A48" t="str">
            <v>AEP</v>
          </cell>
          <cell r="B48">
            <v>401</v>
          </cell>
          <cell r="C48" t="str">
            <v>OMIPMPH2</v>
          </cell>
          <cell r="D48" t="str">
            <v>관 부속</v>
          </cell>
          <cell r="E48" t="str">
            <v>관의 (45)％</v>
          </cell>
          <cell r="F48" t="str">
            <v>L/S</v>
          </cell>
          <cell r="H48">
            <v>1</v>
          </cell>
          <cell r="J48">
            <v>1</v>
          </cell>
          <cell r="L48">
            <v>1523415</v>
          </cell>
          <cell r="N48">
            <v>1523415</v>
          </cell>
        </row>
        <row r="49">
          <cell r="A49" t="str">
            <v>AEP</v>
          </cell>
          <cell r="B49">
            <v>402</v>
          </cell>
          <cell r="C49" t="str">
            <v>OMIHMPH2</v>
          </cell>
          <cell r="D49" t="str">
            <v>행거 및 용접봉</v>
          </cell>
          <cell r="E49" t="str">
            <v>관의 (20)％</v>
          </cell>
          <cell r="F49" t="str">
            <v>L/S</v>
          </cell>
          <cell r="H49">
            <v>1</v>
          </cell>
          <cell r="J49">
            <v>1</v>
          </cell>
          <cell r="L49">
            <v>677074</v>
          </cell>
          <cell r="N49">
            <v>677074</v>
          </cell>
        </row>
        <row r="50">
          <cell r="A50" t="str">
            <v>AEP</v>
          </cell>
          <cell r="B50">
            <v>500</v>
          </cell>
          <cell r="C50" t="str">
            <v>MP10100H</v>
          </cell>
          <cell r="D50" t="str">
            <v>배관용 탄소강관(SPP)</v>
          </cell>
          <cell r="E50" t="str">
            <v>15A</v>
          </cell>
          <cell r="F50" t="str">
            <v>M</v>
          </cell>
          <cell r="G50">
            <v>5</v>
          </cell>
          <cell r="H50">
            <v>2</v>
          </cell>
          <cell r="J50">
            <v>2.1</v>
          </cell>
          <cell r="L50">
            <v>897</v>
          </cell>
          <cell r="N50">
            <v>1884</v>
          </cell>
          <cell r="R50" t="b">
            <v>1</v>
          </cell>
        </row>
        <row r="51">
          <cell r="A51" t="str">
            <v>AEP</v>
          </cell>
          <cell r="B51">
            <v>600</v>
          </cell>
          <cell r="C51" t="str">
            <v>MP10104A</v>
          </cell>
          <cell r="D51" t="str">
            <v>배관용 탄소강관(SPP)</v>
          </cell>
          <cell r="E51" t="str">
            <v>100A</v>
          </cell>
          <cell r="F51" t="str">
            <v>M</v>
          </cell>
          <cell r="G51">
            <v>5</v>
          </cell>
          <cell r="H51">
            <v>55.3</v>
          </cell>
          <cell r="J51">
            <v>58.1</v>
          </cell>
          <cell r="L51">
            <v>7025</v>
          </cell>
          <cell r="N51">
            <v>408153</v>
          </cell>
          <cell r="R51" t="b">
            <v>1</v>
          </cell>
        </row>
        <row r="52">
          <cell r="A52" t="str">
            <v>AEP</v>
          </cell>
          <cell r="B52">
            <v>700</v>
          </cell>
          <cell r="C52" t="str">
            <v>MP10108A</v>
          </cell>
          <cell r="D52" t="str">
            <v>배관용 탄소강관(SPP)</v>
          </cell>
          <cell r="E52" t="str">
            <v>200A</v>
          </cell>
          <cell r="F52" t="str">
            <v>M</v>
          </cell>
          <cell r="G52">
            <v>5</v>
          </cell>
          <cell r="H52">
            <v>36.5</v>
          </cell>
          <cell r="J52">
            <v>38.299999999999997</v>
          </cell>
          <cell r="L52">
            <v>18196</v>
          </cell>
          <cell r="N52">
            <v>696907</v>
          </cell>
          <cell r="R52" t="b">
            <v>1</v>
          </cell>
        </row>
        <row r="53">
          <cell r="A53" t="str">
            <v>AEP</v>
          </cell>
          <cell r="B53">
            <v>701</v>
          </cell>
          <cell r="C53" t="str">
            <v>OMIPMP10</v>
          </cell>
          <cell r="D53" t="str">
            <v>관 부속</v>
          </cell>
          <cell r="E53" t="str">
            <v>관의 (45)％</v>
          </cell>
          <cell r="F53" t="str">
            <v>L/S</v>
          </cell>
          <cell r="H53">
            <v>1</v>
          </cell>
          <cell r="J53">
            <v>1</v>
          </cell>
          <cell r="L53">
            <v>498219</v>
          </cell>
          <cell r="N53">
            <v>498219</v>
          </cell>
        </row>
        <row r="54">
          <cell r="A54" t="str">
            <v>AEP</v>
          </cell>
          <cell r="B54">
            <v>702</v>
          </cell>
          <cell r="C54" t="str">
            <v>OMIHMP10</v>
          </cell>
          <cell r="D54" t="str">
            <v>행거 및 용접봉</v>
          </cell>
          <cell r="E54" t="str">
            <v>관의 (20)％</v>
          </cell>
          <cell r="F54" t="str">
            <v>L/S</v>
          </cell>
          <cell r="H54">
            <v>1</v>
          </cell>
          <cell r="J54">
            <v>1</v>
          </cell>
          <cell r="L54">
            <v>221430</v>
          </cell>
          <cell r="N54">
            <v>221430</v>
          </cell>
        </row>
        <row r="55">
          <cell r="A55" t="str">
            <v>AEP</v>
          </cell>
          <cell r="B55">
            <v>800</v>
          </cell>
          <cell r="C55" t="str">
            <v>BIPY280A</v>
          </cell>
          <cell r="D55" t="str">
            <v>관보온 노출,유리솜,IPP</v>
          </cell>
          <cell r="E55" t="str">
            <v>40T*80A</v>
          </cell>
          <cell r="F55" t="str">
            <v>M</v>
          </cell>
          <cell r="H55">
            <v>21.9</v>
          </cell>
          <cell r="J55">
            <v>21.9</v>
          </cell>
          <cell r="L55">
            <v>4518</v>
          </cell>
          <cell r="N55">
            <v>98944</v>
          </cell>
          <cell r="R55" t="b">
            <v>0</v>
          </cell>
        </row>
        <row r="56">
          <cell r="A56" t="str">
            <v>AEP</v>
          </cell>
          <cell r="B56">
            <v>900</v>
          </cell>
          <cell r="C56" t="str">
            <v>BIPY2B0A</v>
          </cell>
          <cell r="D56" t="str">
            <v>관보온 노출,유리솜,IPP</v>
          </cell>
          <cell r="E56" t="str">
            <v>40T*125A</v>
          </cell>
          <cell r="F56" t="str">
            <v>M</v>
          </cell>
          <cell r="H56">
            <v>42.5</v>
          </cell>
          <cell r="J56">
            <v>42.5</v>
          </cell>
          <cell r="L56">
            <v>6630</v>
          </cell>
          <cell r="N56">
            <v>281775</v>
          </cell>
          <cell r="R56" t="b">
            <v>0</v>
          </cell>
        </row>
        <row r="57">
          <cell r="A57" t="str">
            <v>AEP</v>
          </cell>
          <cell r="B57">
            <v>1000</v>
          </cell>
          <cell r="C57" t="str">
            <v>BIPY2C0A</v>
          </cell>
          <cell r="D57" t="str">
            <v>관보온 노출,유리솜,IPP</v>
          </cell>
          <cell r="E57" t="str">
            <v>40T*150A</v>
          </cell>
          <cell r="F57" t="str">
            <v>M</v>
          </cell>
          <cell r="H57">
            <v>48</v>
          </cell>
          <cell r="J57">
            <v>48</v>
          </cell>
          <cell r="L57">
            <v>7712</v>
          </cell>
          <cell r="N57">
            <v>370176</v>
          </cell>
          <cell r="R57" t="b">
            <v>0</v>
          </cell>
        </row>
        <row r="58">
          <cell r="A58" t="str">
            <v>AEP</v>
          </cell>
          <cell r="B58">
            <v>1100</v>
          </cell>
          <cell r="C58" t="str">
            <v>MVAB214A</v>
          </cell>
          <cell r="D58" t="str">
            <v>게이트밸브(주철)</v>
          </cell>
          <cell r="E58" t="str">
            <v>10K 100A</v>
          </cell>
          <cell r="F58" t="str">
            <v>EA</v>
          </cell>
          <cell r="G58">
            <v>0</v>
          </cell>
          <cell r="H58">
            <v>2</v>
          </cell>
          <cell r="J58">
            <v>2</v>
          </cell>
          <cell r="L58">
            <v>68250</v>
          </cell>
          <cell r="N58">
            <v>136500</v>
          </cell>
          <cell r="R58" t="b">
            <v>0</v>
          </cell>
        </row>
        <row r="59">
          <cell r="A59" t="str">
            <v>AEP</v>
          </cell>
          <cell r="B59">
            <v>1200</v>
          </cell>
          <cell r="C59" t="str">
            <v>MVAO110H</v>
          </cell>
          <cell r="D59" t="str">
            <v>볼밸브(황동)</v>
          </cell>
          <cell r="E59" t="str">
            <v>10K  15A</v>
          </cell>
          <cell r="F59" t="str">
            <v>EA</v>
          </cell>
          <cell r="G59">
            <v>0</v>
          </cell>
          <cell r="H59">
            <v>2</v>
          </cell>
          <cell r="J59">
            <v>2</v>
          </cell>
          <cell r="L59">
            <v>1890</v>
          </cell>
          <cell r="N59">
            <v>3780</v>
          </cell>
          <cell r="R59" t="b">
            <v>0</v>
          </cell>
        </row>
        <row r="60">
          <cell r="A60" t="str">
            <v>AEP</v>
          </cell>
          <cell r="B60">
            <v>1300</v>
          </cell>
          <cell r="C60" t="str">
            <v>MVAUA13A</v>
          </cell>
          <cell r="D60" t="str">
            <v>버터플라이밸브(레버식)</v>
          </cell>
          <cell r="E60" t="str">
            <v>10K  80A</v>
          </cell>
          <cell r="F60" t="str">
            <v>EA</v>
          </cell>
          <cell r="G60">
            <v>0</v>
          </cell>
          <cell r="H60">
            <v>5</v>
          </cell>
          <cell r="J60">
            <v>5</v>
          </cell>
          <cell r="L60">
            <v>31200</v>
          </cell>
          <cell r="N60">
            <v>156000</v>
          </cell>
          <cell r="R60" t="b">
            <v>0</v>
          </cell>
        </row>
        <row r="61">
          <cell r="A61" t="str">
            <v>AEP</v>
          </cell>
          <cell r="B61">
            <v>1400</v>
          </cell>
          <cell r="C61" t="str">
            <v>MVAUA14A</v>
          </cell>
          <cell r="D61" t="str">
            <v>버터플라이밸브(레버식)</v>
          </cell>
          <cell r="E61" t="str">
            <v>10K 100A</v>
          </cell>
          <cell r="F61" t="str">
            <v>EA</v>
          </cell>
          <cell r="G61">
            <v>0</v>
          </cell>
          <cell r="H61">
            <v>2</v>
          </cell>
          <cell r="J61">
            <v>2</v>
          </cell>
          <cell r="L61">
            <v>38280</v>
          </cell>
          <cell r="N61">
            <v>76560</v>
          </cell>
          <cell r="R61" t="b">
            <v>0</v>
          </cell>
        </row>
        <row r="62">
          <cell r="A62" t="str">
            <v>AEP</v>
          </cell>
          <cell r="B62">
            <v>1500</v>
          </cell>
          <cell r="C62" t="str">
            <v>BIV3004A</v>
          </cell>
          <cell r="D62" t="str">
            <v>밸브보온(버터플라이)</v>
          </cell>
          <cell r="E62" t="str">
            <v>100A</v>
          </cell>
          <cell r="F62" t="str">
            <v>EA</v>
          </cell>
          <cell r="H62">
            <v>2</v>
          </cell>
          <cell r="J62">
            <v>2</v>
          </cell>
          <cell r="L62">
            <v>11500</v>
          </cell>
          <cell r="N62">
            <v>23000</v>
          </cell>
          <cell r="R62" t="b">
            <v>0</v>
          </cell>
        </row>
        <row r="63">
          <cell r="A63" t="str">
            <v>AEP</v>
          </cell>
          <cell r="B63">
            <v>1600</v>
          </cell>
          <cell r="C63" t="str">
            <v>MVAWB16A</v>
          </cell>
          <cell r="D63" t="str">
            <v>버터플라이밸브(기어식)</v>
          </cell>
          <cell r="E63" t="str">
            <v>10K 150A</v>
          </cell>
          <cell r="F63" t="str">
            <v>EA</v>
          </cell>
          <cell r="G63">
            <v>0</v>
          </cell>
          <cell r="H63">
            <v>2</v>
          </cell>
          <cell r="J63">
            <v>2</v>
          </cell>
          <cell r="L63">
            <v>91800</v>
          </cell>
          <cell r="N63">
            <v>183600</v>
          </cell>
          <cell r="R63" t="b">
            <v>0</v>
          </cell>
        </row>
        <row r="64">
          <cell r="A64" t="str">
            <v>AEP</v>
          </cell>
          <cell r="B64">
            <v>1700</v>
          </cell>
          <cell r="C64" t="str">
            <v>MVBB214A</v>
          </cell>
          <cell r="D64" t="str">
            <v>체크밸브(주철,스윙)</v>
          </cell>
          <cell r="E64" t="str">
            <v>10K 100A</v>
          </cell>
          <cell r="F64" t="str">
            <v>EA</v>
          </cell>
          <cell r="G64">
            <v>0</v>
          </cell>
          <cell r="H64">
            <v>2</v>
          </cell>
          <cell r="J64">
            <v>2</v>
          </cell>
          <cell r="L64">
            <v>69300</v>
          </cell>
          <cell r="N64">
            <v>138600</v>
          </cell>
          <cell r="R64" t="b">
            <v>0</v>
          </cell>
        </row>
        <row r="65">
          <cell r="A65" t="str">
            <v>AEP</v>
          </cell>
          <cell r="B65">
            <v>1800</v>
          </cell>
          <cell r="C65" t="str">
            <v>MVBDB13A</v>
          </cell>
          <cell r="D65" t="str">
            <v>체크밸브(주철,스모렌스키)</v>
          </cell>
          <cell r="E65" t="str">
            <v>10K  80A</v>
          </cell>
          <cell r="F65" t="str">
            <v>EA</v>
          </cell>
          <cell r="G65">
            <v>0</v>
          </cell>
          <cell r="H65">
            <v>2</v>
          </cell>
          <cell r="J65">
            <v>2</v>
          </cell>
          <cell r="L65">
            <v>63000</v>
          </cell>
          <cell r="N65">
            <v>126000</v>
          </cell>
          <cell r="R65" t="b">
            <v>0</v>
          </cell>
        </row>
        <row r="66">
          <cell r="A66" t="str">
            <v>AEP</v>
          </cell>
          <cell r="B66">
            <v>1900</v>
          </cell>
          <cell r="C66" t="str">
            <v>MVBL213A</v>
          </cell>
          <cell r="D66" t="str">
            <v>스트레나(주철,후렌지)</v>
          </cell>
          <cell r="E66" t="str">
            <v>10K  80A</v>
          </cell>
          <cell r="F66" t="str">
            <v>EA</v>
          </cell>
          <cell r="G66">
            <v>0</v>
          </cell>
          <cell r="H66">
            <v>2</v>
          </cell>
          <cell r="J66">
            <v>2</v>
          </cell>
          <cell r="L66">
            <v>35700</v>
          </cell>
          <cell r="N66">
            <v>71400</v>
          </cell>
          <cell r="R66" t="b">
            <v>0</v>
          </cell>
        </row>
        <row r="67">
          <cell r="A67" t="str">
            <v>AEP</v>
          </cell>
          <cell r="B67">
            <v>2000</v>
          </cell>
          <cell r="C67" t="str">
            <v>MFEHPS4A</v>
          </cell>
          <cell r="D67" t="str">
            <v>동망,소화용</v>
          </cell>
          <cell r="E67" t="str">
            <v>100A</v>
          </cell>
          <cell r="F67" t="str">
            <v>EA</v>
          </cell>
          <cell r="G67">
            <v>0</v>
          </cell>
          <cell r="H67">
            <v>4</v>
          </cell>
          <cell r="J67">
            <v>4</v>
          </cell>
          <cell r="L67">
            <v>10000</v>
          </cell>
          <cell r="N67">
            <v>40000</v>
          </cell>
          <cell r="R67" t="b">
            <v>0</v>
          </cell>
        </row>
        <row r="68">
          <cell r="A68" t="str">
            <v>AEP</v>
          </cell>
          <cell r="B68">
            <v>2100</v>
          </cell>
          <cell r="C68" t="str">
            <v>MFEHPS6A</v>
          </cell>
          <cell r="D68" t="str">
            <v>동망,소화용</v>
          </cell>
          <cell r="E68" t="str">
            <v>150A</v>
          </cell>
          <cell r="F68" t="str">
            <v>EA</v>
          </cell>
          <cell r="G68">
            <v>0</v>
          </cell>
          <cell r="H68">
            <v>2</v>
          </cell>
          <cell r="J68">
            <v>2</v>
          </cell>
          <cell r="L68">
            <v>15000</v>
          </cell>
          <cell r="N68">
            <v>30000</v>
          </cell>
          <cell r="R68" t="b">
            <v>0</v>
          </cell>
        </row>
        <row r="69">
          <cell r="A69" t="str">
            <v>AEP</v>
          </cell>
          <cell r="B69">
            <v>2200</v>
          </cell>
          <cell r="C69" t="str">
            <v>MVCFCGP1</v>
          </cell>
          <cell r="D69" t="str">
            <v>압력계</v>
          </cell>
          <cell r="F69" t="str">
            <v>SET</v>
          </cell>
          <cell r="G69">
            <v>0</v>
          </cell>
          <cell r="H69">
            <v>4</v>
          </cell>
          <cell r="J69">
            <v>4</v>
          </cell>
          <cell r="L69">
            <v>8300</v>
          </cell>
          <cell r="N69">
            <v>33200</v>
          </cell>
          <cell r="R69" t="b">
            <v>0</v>
          </cell>
        </row>
        <row r="70">
          <cell r="A70" t="str">
            <v>AEP</v>
          </cell>
          <cell r="B70">
            <v>2300</v>
          </cell>
          <cell r="C70" t="str">
            <v>MFEHPW3A</v>
          </cell>
          <cell r="D70" t="str">
            <v>수충격방지기,소화용</v>
          </cell>
          <cell r="E70" t="str">
            <v>80A*10K</v>
          </cell>
          <cell r="F70" t="str">
            <v>EA</v>
          </cell>
          <cell r="G70">
            <v>0</v>
          </cell>
          <cell r="H70">
            <v>2</v>
          </cell>
          <cell r="J70">
            <v>2</v>
          </cell>
          <cell r="L70">
            <v>61000</v>
          </cell>
          <cell r="N70">
            <v>122000</v>
          </cell>
          <cell r="R70" t="b">
            <v>0</v>
          </cell>
        </row>
        <row r="71">
          <cell r="A71" t="str">
            <v>AEP</v>
          </cell>
          <cell r="B71">
            <v>2400</v>
          </cell>
          <cell r="C71" t="str">
            <v>MVFFS13A</v>
          </cell>
          <cell r="D71" t="str">
            <v>플렉시블 코넥터(SUS)</v>
          </cell>
          <cell r="E71" t="str">
            <v>10k  80A</v>
          </cell>
          <cell r="F71" t="str">
            <v>EA</v>
          </cell>
          <cell r="G71">
            <v>0</v>
          </cell>
          <cell r="H71">
            <v>4</v>
          </cell>
          <cell r="J71">
            <v>4</v>
          </cell>
          <cell r="L71">
            <v>59500</v>
          </cell>
          <cell r="N71">
            <v>238000</v>
          </cell>
          <cell r="R71" t="b">
            <v>0</v>
          </cell>
        </row>
        <row r="72">
          <cell r="A72" t="str">
            <v>AEP</v>
          </cell>
          <cell r="B72">
            <v>2500</v>
          </cell>
          <cell r="C72" t="str">
            <v>MVCB410H</v>
          </cell>
          <cell r="D72" t="str">
            <v>볼탭(SUS 볼)</v>
          </cell>
          <cell r="E72" t="str">
            <v>10K  15A</v>
          </cell>
          <cell r="F72" t="str">
            <v>EA</v>
          </cell>
          <cell r="G72">
            <v>0</v>
          </cell>
          <cell r="H72">
            <v>2</v>
          </cell>
          <cell r="J72">
            <v>2</v>
          </cell>
          <cell r="L72">
            <v>4160</v>
          </cell>
          <cell r="N72">
            <v>8320</v>
          </cell>
          <cell r="R72" t="b">
            <v>0</v>
          </cell>
        </row>
        <row r="73">
          <cell r="A73" t="str">
            <v>AEP</v>
          </cell>
          <cell r="B73">
            <v>2600</v>
          </cell>
          <cell r="C73" t="str">
            <v>B2AW5A5A</v>
          </cell>
          <cell r="D73" t="str">
            <v>2방변장치,SU WELD,10K 1</v>
          </cell>
          <cell r="E73" t="str">
            <v>125A*CV*125A</v>
          </cell>
          <cell r="F73" t="str">
            <v>SET</v>
          </cell>
          <cell r="H73">
            <v>2</v>
          </cell>
          <cell r="J73">
            <v>2</v>
          </cell>
          <cell r="L73">
            <v>972744</v>
          </cell>
          <cell r="N73">
            <v>1945488</v>
          </cell>
          <cell r="R73" t="b">
            <v>0</v>
          </cell>
        </row>
        <row r="74">
          <cell r="A74" t="str">
            <v>AEP</v>
          </cell>
          <cell r="B74">
            <v>2700</v>
          </cell>
          <cell r="C74" t="str">
            <v>MVCG001J</v>
          </cell>
          <cell r="D74" t="str">
            <v>볼탑밸브(피스텍,SUS볼)</v>
          </cell>
          <cell r="E74" t="str">
            <v>125A</v>
          </cell>
          <cell r="F74" t="str">
            <v>EA</v>
          </cell>
          <cell r="G74">
            <v>0</v>
          </cell>
          <cell r="H74">
            <v>2</v>
          </cell>
          <cell r="J74">
            <v>2</v>
          </cell>
          <cell r="L74">
            <v>788800</v>
          </cell>
          <cell r="N74">
            <v>1577600</v>
          </cell>
          <cell r="R74" t="b">
            <v>0</v>
          </cell>
        </row>
        <row r="75">
          <cell r="A75" t="str">
            <v>AEP</v>
          </cell>
          <cell r="B75">
            <v>2800</v>
          </cell>
          <cell r="C75" t="str">
            <v>MVLWB15A</v>
          </cell>
          <cell r="D75" t="str">
            <v>정수위밸,전자볼탭형,YAW</v>
          </cell>
          <cell r="E75" t="str">
            <v>10K 125A</v>
          </cell>
          <cell r="F75" t="str">
            <v>EA</v>
          </cell>
          <cell r="G75">
            <v>0</v>
          </cell>
          <cell r="H75">
            <v>1</v>
          </cell>
          <cell r="J75">
            <v>1</v>
          </cell>
          <cell r="L75">
            <v>701250</v>
          </cell>
          <cell r="N75">
            <v>701250</v>
          </cell>
          <cell r="R75" t="b">
            <v>0</v>
          </cell>
        </row>
        <row r="76">
          <cell r="A76" t="str">
            <v>AEP</v>
          </cell>
          <cell r="B76">
            <v>2900</v>
          </cell>
          <cell r="C76" t="str">
            <v>MPZA203A</v>
          </cell>
          <cell r="D76" t="str">
            <v>고정식커플링</v>
          </cell>
          <cell r="E76" t="str">
            <v>80A</v>
          </cell>
          <cell r="F76" t="str">
            <v>EA</v>
          </cell>
          <cell r="G76">
            <v>0</v>
          </cell>
          <cell r="H76">
            <v>8</v>
          </cell>
          <cell r="J76">
            <v>8</v>
          </cell>
          <cell r="L76">
            <v>18960</v>
          </cell>
          <cell r="N76">
            <v>151680</v>
          </cell>
          <cell r="R76" t="b">
            <v>0</v>
          </cell>
        </row>
        <row r="77">
          <cell r="A77" t="str">
            <v>AEP</v>
          </cell>
          <cell r="B77">
            <v>3000</v>
          </cell>
          <cell r="C77" t="str">
            <v>MPZA205A</v>
          </cell>
          <cell r="D77" t="str">
            <v>고정식커플링</v>
          </cell>
          <cell r="E77" t="str">
            <v>125A</v>
          </cell>
          <cell r="F77" t="str">
            <v>EA</v>
          </cell>
          <cell r="G77">
            <v>0</v>
          </cell>
          <cell r="H77">
            <v>15</v>
          </cell>
          <cell r="J77">
            <v>15</v>
          </cell>
          <cell r="L77">
            <v>34880</v>
          </cell>
          <cell r="N77">
            <v>523200</v>
          </cell>
          <cell r="R77" t="b">
            <v>0</v>
          </cell>
        </row>
        <row r="78">
          <cell r="A78" t="str">
            <v>AEP</v>
          </cell>
          <cell r="B78">
            <v>3100</v>
          </cell>
          <cell r="C78" t="str">
            <v>MPZA206A</v>
          </cell>
          <cell r="D78" t="str">
            <v>고정식커플링</v>
          </cell>
          <cell r="E78" t="str">
            <v>150A</v>
          </cell>
          <cell r="F78" t="str">
            <v>EA</v>
          </cell>
          <cell r="G78">
            <v>0</v>
          </cell>
          <cell r="H78">
            <v>16</v>
          </cell>
          <cell r="J78">
            <v>16</v>
          </cell>
          <cell r="L78">
            <v>46480</v>
          </cell>
          <cell r="N78">
            <v>743680</v>
          </cell>
          <cell r="R78" t="b">
            <v>0</v>
          </cell>
        </row>
        <row r="79">
          <cell r="A79" t="str">
            <v>AEP</v>
          </cell>
          <cell r="B79">
            <v>3200</v>
          </cell>
          <cell r="C79" t="str">
            <v>MP6M108A</v>
          </cell>
          <cell r="D79" t="str">
            <v>맹 후렌지,KS</v>
          </cell>
          <cell r="E79" t="str">
            <v>10K 200A</v>
          </cell>
          <cell r="F79" t="str">
            <v>EA</v>
          </cell>
          <cell r="G79">
            <v>0</v>
          </cell>
          <cell r="H79">
            <v>1</v>
          </cell>
          <cell r="J79">
            <v>1</v>
          </cell>
          <cell r="L79">
            <v>13778</v>
          </cell>
          <cell r="N79">
            <v>13778</v>
          </cell>
          <cell r="R79" t="b">
            <v>0</v>
          </cell>
        </row>
        <row r="80">
          <cell r="A80" t="str">
            <v>AEP</v>
          </cell>
          <cell r="B80">
            <v>3300</v>
          </cell>
          <cell r="C80" t="str">
            <v>BFBA104A</v>
          </cell>
          <cell r="D80" t="str">
            <v>스틸 후렌지 접합,SO</v>
          </cell>
          <cell r="E80" t="str">
            <v>10K 100A</v>
          </cell>
          <cell r="F80" t="str">
            <v>JNT</v>
          </cell>
          <cell r="H80">
            <v>22</v>
          </cell>
          <cell r="J80">
            <v>22</v>
          </cell>
          <cell r="L80">
            <v>4846</v>
          </cell>
          <cell r="N80">
            <v>106612</v>
          </cell>
          <cell r="R80" t="b">
            <v>0</v>
          </cell>
        </row>
        <row r="81">
          <cell r="A81" t="str">
            <v>AEP</v>
          </cell>
          <cell r="B81">
            <v>3400</v>
          </cell>
          <cell r="C81" t="str">
            <v>MPWHB13A</v>
          </cell>
          <cell r="D81" t="str">
            <v>스텐레스 맹 후렌지</v>
          </cell>
          <cell r="E81" t="str">
            <v>10K  80A</v>
          </cell>
          <cell r="F81" t="str">
            <v>EA</v>
          </cell>
          <cell r="G81">
            <v>0</v>
          </cell>
          <cell r="H81">
            <v>2</v>
          </cell>
          <cell r="J81">
            <v>2</v>
          </cell>
          <cell r="L81">
            <v>11775</v>
          </cell>
          <cell r="N81">
            <v>23550</v>
          </cell>
          <cell r="R81" t="b">
            <v>0</v>
          </cell>
        </row>
        <row r="82">
          <cell r="A82" t="str">
            <v>AEP</v>
          </cell>
          <cell r="B82">
            <v>3500</v>
          </cell>
          <cell r="C82" t="str">
            <v>MPWHB15A</v>
          </cell>
          <cell r="D82" t="str">
            <v>스텐레스 맹 후렌지</v>
          </cell>
          <cell r="E82" t="str">
            <v>10K 125A</v>
          </cell>
          <cell r="F82" t="str">
            <v>EA</v>
          </cell>
          <cell r="G82">
            <v>0</v>
          </cell>
          <cell r="H82">
            <v>1</v>
          </cell>
          <cell r="J82">
            <v>1</v>
          </cell>
          <cell r="L82">
            <v>20175</v>
          </cell>
          <cell r="N82">
            <v>20175</v>
          </cell>
          <cell r="R82" t="b">
            <v>0</v>
          </cell>
        </row>
        <row r="83">
          <cell r="A83" t="str">
            <v>AEP</v>
          </cell>
          <cell r="B83">
            <v>3600</v>
          </cell>
          <cell r="C83" t="str">
            <v>MPWHB16A</v>
          </cell>
          <cell r="D83" t="str">
            <v>스텐레스 맹 후렌지</v>
          </cell>
          <cell r="E83" t="str">
            <v>10K 150A</v>
          </cell>
          <cell r="F83" t="str">
            <v>EA</v>
          </cell>
          <cell r="G83">
            <v>0</v>
          </cell>
          <cell r="H83">
            <v>1</v>
          </cell>
          <cell r="J83">
            <v>1</v>
          </cell>
          <cell r="L83">
            <v>28050</v>
          </cell>
          <cell r="N83">
            <v>28050</v>
          </cell>
          <cell r="R83" t="b">
            <v>0</v>
          </cell>
        </row>
        <row r="84">
          <cell r="A84" t="str">
            <v>AEP</v>
          </cell>
          <cell r="B84">
            <v>3700</v>
          </cell>
          <cell r="C84" t="str">
            <v>BFSWI13A</v>
          </cell>
          <cell r="D84" t="str">
            <v>스텐레스 절연후렌지접합</v>
          </cell>
          <cell r="E84" t="str">
            <v>10K  80A</v>
          </cell>
          <cell r="F84" t="str">
            <v>JNT</v>
          </cell>
          <cell r="H84">
            <v>33</v>
          </cell>
          <cell r="J84">
            <v>33</v>
          </cell>
          <cell r="L84">
            <v>12862</v>
          </cell>
          <cell r="N84">
            <v>424446</v>
          </cell>
          <cell r="R84" t="b">
            <v>0</v>
          </cell>
        </row>
        <row r="85">
          <cell r="A85" t="str">
            <v>AEP</v>
          </cell>
          <cell r="B85">
            <v>3800</v>
          </cell>
          <cell r="C85" t="str">
            <v>BFSWI15A</v>
          </cell>
          <cell r="D85" t="str">
            <v>스텐레스 절연후렌지접합</v>
          </cell>
          <cell r="E85" t="str">
            <v>10K 125A</v>
          </cell>
          <cell r="F85" t="str">
            <v>JNT</v>
          </cell>
          <cell r="H85">
            <v>5</v>
          </cell>
          <cell r="J85">
            <v>5</v>
          </cell>
          <cell r="L85">
            <v>27202</v>
          </cell>
          <cell r="N85">
            <v>136010</v>
          </cell>
          <cell r="R85" t="b">
            <v>0</v>
          </cell>
        </row>
        <row r="86">
          <cell r="A86" t="str">
            <v>AEP</v>
          </cell>
          <cell r="B86">
            <v>3900</v>
          </cell>
          <cell r="C86" t="str">
            <v>BFSWI16A</v>
          </cell>
          <cell r="D86" t="str">
            <v>스텐레스 절연후렌지접합</v>
          </cell>
          <cell r="E86" t="str">
            <v>10K 150A</v>
          </cell>
          <cell r="F86" t="str">
            <v>JNT</v>
          </cell>
          <cell r="H86">
            <v>7</v>
          </cell>
          <cell r="J86">
            <v>7</v>
          </cell>
          <cell r="L86">
            <v>37003</v>
          </cell>
          <cell r="N86">
            <v>259021</v>
          </cell>
          <cell r="R86" t="b">
            <v>0</v>
          </cell>
        </row>
        <row r="87">
          <cell r="A87" t="str">
            <v>AEP</v>
          </cell>
          <cell r="B87">
            <v>4000</v>
          </cell>
          <cell r="C87" t="str">
            <v>BIV1003A</v>
          </cell>
          <cell r="D87" t="str">
            <v>밸브보온 1</v>
          </cell>
          <cell r="E87" t="str">
            <v>10K  80A</v>
          </cell>
          <cell r="F87" t="str">
            <v>EA</v>
          </cell>
          <cell r="H87">
            <v>4</v>
          </cell>
          <cell r="J87">
            <v>4</v>
          </cell>
          <cell r="L87">
            <v>20000</v>
          </cell>
          <cell r="N87">
            <v>80000</v>
          </cell>
          <cell r="R87" t="b">
            <v>0</v>
          </cell>
        </row>
        <row r="88">
          <cell r="A88" t="str">
            <v>AEP</v>
          </cell>
          <cell r="B88">
            <v>4100</v>
          </cell>
          <cell r="C88" t="str">
            <v>BIV3003A</v>
          </cell>
          <cell r="D88" t="str">
            <v>밸브보온(버터플라이)</v>
          </cell>
          <cell r="E88" t="str">
            <v>80A</v>
          </cell>
          <cell r="F88" t="str">
            <v>EA</v>
          </cell>
          <cell r="H88">
            <v>5</v>
          </cell>
          <cell r="J88">
            <v>5</v>
          </cell>
          <cell r="L88">
            <v>9500</v>
          </cell>
          <cell r="N88">
            <v>47500</v>
          </cell>
          <cell r="R88" t="b">
            <v>0</v>
          </cell>
        </row>
        <row r="89">
          <cell r="A89" t="str">
            <v>AEP</v>
          </cell>
          <cell r="B89">
            <v>4200</v>
          </cell>
          <cell r="C89" t="str">
            <v>BIV3006A</v>
          </cell>
          <cell r="D89" t="str">
            <v>밸브보온(버터플라이)</v>
          </cell>
          <cell r="E89" t="str">
            <v>150A</v>
          </cell>
          <cell r="F89" t="str">
            <v>EA</v>
          </cell>
          <cell r="H89">
            <v>2</v>
          </cell>
          <cell r="J89">
            <v>2</v>
          </cell>
          <cell r="L89">
            <v>18000</v>
          </cell>
          <cell r="N89">
            <v>36000</v>
          </cell>
          <cell r="R89" t="b">
            <v>0</v>
          </cell>
        </row>
        <row r="90">
          <cell r="A90" t="str">
            <v>AEP</v>
          </cell>
          <cell r="B90">
            <v>4300</v>
          </cell>
          <cell r="C90" t="str">
            <v>BPACSP0H</v>
          </cell>
          <cell r="D90" t="str">
            <v>백강관 도장,색페인트</v>
          </cell>
          <cell r="E90" t="str">
            <v>2 COAT* 15A</v>
          </cell>
          <cell r="F90" t="str">
            <v>M</v>
          </cell>
          <cell r="H90">
            <v>2</v>
          </cell>
          <cell r="J90">
            <v>2</v>
          </cell>
          <cell r="L90">
            <v>81</v>
          </cell>
          <cell r="N90">
            <v>162</v>
          </cell>
          <cell r="R90" t="b">
            <v>0</v>
          </cell>
        </row>
        <row r="91">
          <cell r="A91" t="str">
            <v>AEP</v>
          </cell>
          <cell r="B91">
            <v>4400</v>
          </cell>
          <cell r="C91" t="str">
            <v>BPACSP4A</v>
          </cell>
          <cell r="D91" t="str">
            <v>백강관 도장,색페인트</v>
          </cell>
          <cell r="E91" t="str">
            <v>2 COAT*100A</v>
          </cell>
          <cell r="F91" t="str">
            <v>M</v>
          </cell>
          <cell r="H91">
            <v>55.3</v>
          </cell>
          <cell r="J91">
            <v>55.3</v>
          </cell>
          <cell r="L91">
            <v>426</v>
          </cell>
          <cell r="N91">
            <v>23558</v>
          </cell>
          <cell r="R91" t="b">
            <v>0</v>
          </cell>
        </row>
        <row r="92">
          <cell r="A92" t="str">
            <v>AEP</v>
          </cell>
          <cell r="B92">
            <v>4500</v>
          </cell>
          <cell r="C92" t="str">
            <v>BPACSP8A</v>
          </cell>
          <cell r="D92" t="str">
            <v>백강관 도장,색페인트</v>
          </cell>
          <cell r="E92" t="str">
            <v>2 COAT*200A</v>
          </cell>
          <cell r="F92" t="str">
            <v>M</v>
          </cell>
          <cell r="H92">
            <v>36.5</v>
          </cell>
          <cell r="J92">
            <v>36.5</v>
          </cell>
          <cell r="L92">
            <v>808</v>
          </cell>
          <cell r="N92">
            <v>29492</v>
          </cell>
          <cell r="R92" t="b">
            <v>0</v>
          </cell>
        </row>
        <row r="93">
          <cell r="A93" t="str">
            <v>AEP</v>
          </cell>
          <cell r="B93">
            <v>4600</v>
          </cell>
          <cell r="C93" t="str">
            <v>BHASSL5A</v>
          </cell>
          <cell r="D93" t="str">
            <v>파이프스리브 설치</v>
          </cell>
          <cell r="E93" t="str">
            <v>125A</v>
          </cell>
          <cell r="F93" t="str">
            <v>EA</v>
          </cell>
          <cell r="H93">
            <v>1</v>
          </cell>
          <cell r="J93">
            <v>1</v>
          </cell>
          <cell r="L93">
            <v>16932</v>
          </cell>
          <cell r="N93">
            <v>16932</v>
          </cell>
          <cell r="R93" t="b">
            <v>0</v>
          </cell>
        </row>
        <row r="94">
          <cell r="A94" t="str">
            <v>AEP</v>
          </cell>
          <cell r="B94">
            <v>4700</v>
          </cell>
          <cell r="C94" t="str">
            <v>BHASSL6A</v>
          </cell>
          <cell r="D94" t="str">
            <v>파이프스리브 설치</v>
          </cell>
          <cell r="E94" t="str">
            <v>150A</v>
          </cell>
          <cell r="F94" t="str">
            <v>EA</v>
          </cell>
          <cell r="H94">
            <v>1</v>
          </cell>
          <cell r="J94">
            <v>1</v>
          </cell>
          <cell r="L94">
            <v>21745</v>
          </cell>
          <cell r="N94">
            <v>21745</v>
          </cell>
          <cell r="R94" t="b">
            <v>0</v>
          </cell>
        </row>
        <row r="95">
          <cell r="A95" t="str">
            <v>AEP</v>
          </cell>
          <cell r="B95">
            <v>4800</v>
          </cell>
          <cell r="C95" t="str">
            <v>BHASSL8A</v>
          </cell>
          <cell r="D95" t="str">
            <v>파이프스리브 설치</v>
          </cell>
          <cell r="E95" t="str">
            <v>200A</v>
          </cell>
          <cell r="F95" t="str">
            <v>EA</v>
          </cell>
          <cell r="H95">
            <v>1</v>
          </cell>
          <cell r="J95">
            <v>1</v>
          </cell>
          <cell r="L95">
            <v>39959</v>
          </cell>
          <cell r="N95">
            <v>39959</v>
          </cell>
          <cell r="R95" t="b">
            <v>0</v>
          </cell>
        </row>
        <row r="96">
          <cell r="A96" t="str">
            <v>AEP</v>
          </cell>
          <cell r="B96">
            <v>4900</v>
          </cell>
          <cell r="C96" t="str">
            <v>BHASSL3A</v>
          </cell>
          <cell r="D96" t="str">
            <v>파이프스리브 설치</v>
          </cell>
          <cell r="E96" t="str">
            <v>80A</v>
          </cell>
          <cell r="F96" t="str">
            <v>EA</v>
          </cell>
          <cell r="H96">
            <v>1</v>
          </cell>
          <cell r="J96">
            <v>1</v>
          </cell>
          <cell r="L96">
            <v>6951</v>
          </cell>
          <cell r="N96">
            <v>6951</v>
          </cell>
          <cell r="R96" t="b">
            <v>1</v>
          </cell>
        </row>
        <row r="97">
          <cell r="A97" t="str">
            <v>AEP</v>
          </cell>
          <cell r="B97">
            <v>5000</v>
          </cell>
          <cell r="C97" t="str">
            <v>BXAAA100</v>
          </cell>
          <cell r="D97" t="str">
            <v>강관스리브(지수판)</v>
          </cell>
          <cell r="E97" t="str">
            <v>100A</v>
          </cell>
          <cell r="F97" t="str">
            <v>개소</v>
          </cell>
          <cell r="H97">
            <v>6</v>
          </cell>
          <cell r="J97">
            <v>6</v>
          </cell>
          <cell r="L97">
            <v>17425</v>
          </cell>
          <cell r="N97">
            <v>104550</v>
          </cell>
          <cell r="R97" t="b">
            <v>0</v>
          </cell>
        </row>
        <row r="98">
          <cell r="A98" t="str">
            <v>AEP</v>
          </cell>
          <cell r="B98">
            <v>5100</v>
          </cell>
          <cell r="C98" t="str">
            <v>BXAAA125</v>
          </cell>
          <cell r="D98" t="str">
            <v>강관스리브(지수판)</v>
          </cell>
          <cell r="E98" t="str">
            <v>125A</v>
          </cell>
          <cell r="F98" t="str">
            <v>개소</v>
          </cell>
          <cell r="H98">
            <v>2</v>
          </cell>
          <cell r="J98">
            <v>2</v>
          </cell>
          <cell r="L98">
            <v>35477</v>
          </cell>
          <cell r="N98">
            <v>70954</v>
          </cell>
          <cell r="R98" t="b">
            <v>0</v>
          </cell>
        </row>
        <row r="99">
          <cell r="A99" t="str">
            <v>AEP</v>
          </cell>
          <cell r="B99">
            <v>5200</v>
          </cell>
          <cell r="C99" t="str">
            <v>BXAAA150</v>
          </cell>
          <cell r="D99" t="str">
            <v>강관스리브(지수판)</v>
          </cell>
          <cell r="E99" t="str">
            <v>150A</v>
          </cell>
          <cell r="F99" t="str">
            <v>개소</v>
          </cell>
          <cell r="H99">
            <v>2</v>
          </cell>
          <cell r="J99">
            <v>2</v>
          </cell>
          <cell r="L99">
            <v>58877</v>
          </cell>
          <cell r="N99">
            <v>117754</v>
          </cell>
          <cell r="R99" t="b">
            <v>0</v>
          </cell>
        </row>
        <row r="100">
          <cell r="A100" t="str">
            <v>AEP</v>
          </cell>
          <cell r="B100">
            <v>5300</v>
          </cell>
          <cell r="C100" t="str">
            <v>BXAAA200</v>
          </cell>
          <cell r="D100" t="str">
            <v>강관스리브(지수판)</v>
          </cell>
          <cell r="E100" t="str">
            <v>200A</v>
          </cell>
          <cell r="F100" t="str">
            <v>개소</v>
          </cell>
          <cell r="H100">
            <v>2</v>
          </cell>
          <cell r="J100">
            <v>2</v>
          </cell>
          <cell r="L100">
            <v>72994</v>
          </cell>
          <cell r="N100">
            <v>145988</v>
          </cell>
          <cell r="R100" t="b">
            <v>0</v>
          </cell>
        </row>
        <row r="101">
          <cell r="A101" t="str">
            <v>AEP</v>
          </cell>
          <cell r="B101">
            <v>750000</v>
          </cell>
          <cell r="C101" t="str">
            <v>S20000H</v>
          </cell>
          <cell r="D101" t="str">
            <v>동관용접,BRAZING</v>
          </cell>
          <cell r="E101" t="str">
            <v>1/2B</v>
          </cell>
          <cell r="F101" t="str">
            <v>JNT</v>
          </cell>
          <cell r="H101">
            <v>10.8</v>
          </cell>
          <cell r="J101">
            <v>10.8</v>
          </cell>
          <cell r="L101">
            <v>65</v>
          </cell>
          <cell r="N101">
            <v>702</v>
          </cell>
        </row>
        <row r="102">
          <cell r="A102" t="str">
            <v>AEP</v>
          </cell>
          <cell r="B102">
            <v>810000</v>
          </cell>
          <cell r="C102" t="str">
            <v>OMISC03</v>
          </cell>
          <cell r="D102" t="str">
            <v>잡자재비</v>
          </cell>
          <cell r="E102" t="str">
            <v>관의 (3)％</v>
          </cell>
          <cell r="F102" t="str">
            <v>L/S</v>
          </cell>
          <cell r="H102">
            <v>1</v>
          </cell>
          <cell r="J102">
            <v>1</v>
          </cell>
          <cell r="L102">
            <v>135960</v>
          </cell>
          <cell r="N102">
            <v>135960</v>
          </cell>
        </row>
        <row r="103">
          <cell r="A103" t="str">
            <v>AEP</v>
          </cell>
          <cell r="B103">
            <v>850000</v>
          </cell>
          <cell r="C103" t="str">
            <v>LHELPR</v>
          </cell>
          <cell r="D103" t="str">
            <v>보통인부</v>
          </cell>
          <cell r="F103" t="str">
            <v>M/D</v>
          </cell>
          <cell r="H103">
            <v>18.8</v>
          </cell>
          <cell r="J103">
            <v>18.8</v>
          </cell>
          <cell r="L103">
            <v>22300</v>
          </cell>
          <cell r="N103">
            <v>419240</v>
          </cell>
        </row>
        <row r="104">
          <cell r="A104" t="str">
            <v>AEP</v>
          </cell>
          <cell r="B104">
            <v>850000</v>
          </cell>
          <cell r="C104" t="str">
            <v>LINSUL</v>
          </cell>
          <cell r="D104" t="str">
            <v>보온공</v>
          </cell>
          <cell r="F104" t="str">
            <v>M/D</v>
          </cell>
          <cell r="H104">
            <v>13</v>
          </cell>
          <cell r="J104">
            <v>13</v>
          </cell>
          <cell r="L104">
            <v>30900</v>
          </cell>
          <cell r="N104">
            <v>401700</v>
          </cell>
        </row>
        <row r="105">
          <cell r="A105" t="str">
            <v>AEP</v>
          </cell>
          <cell r="B105">
            <v>850000</v>
          </cell>
          <cell r="C105" t="str">
            <v>LPIPEG</v>
          </cell>
          <cell r="D105" t="str">
            <v>배관공</v>
          </cell>
          <cell r="F105" t="str">
            <v>M/D</v>
          </cell>
          <cell r="H105">
            <v>52</v>
          </cell>
          <cell r="J105">
            <v>52</v>
          </cell>
          <cell r="L105">
            <v>34400</v>
          </cell>
          <cell r="N105">
            <v>1788800</v>
          </cell>
        </row>
        <row r="106">
          <cell r="A106" t="str">
            <v>AEP</v>
          </cell>
          <cell r="B106">
            <v>850000</v>
          </cell>
          <cell r="C106" t="str">
            <v>LSPWKR</v>
          </cell>
          <cell r="D106" t="str">
            <v>특별인부</v>
          </cell>
          <cell r="F106" t="str">
            <v>M/D</v>
          </cell>
          <cell r="H106">
            <v>2.2000000000000002</v>
          </cell>
          <cell r="J106">
            <v>2.2000000000000002</v>
          </cell>
          <cell r="L106">
            <v>31200</v>
          </cell>
          <cell r="N106">
            <v>68640</v>
          </cell>
        </row>
        <row r="107">
          <cell r="A107" t="str">
            <v>AEP</v>
          </cell>
          <cell r="B107">
            <v>850000</v>
          </cell>
          <cell r="C107" t="str">
            <v>LWELDG</v>
          </cell>
          <cell r="D107" t="str">
            <v>용접공(일반)</v>
          </cell>
          <cell r="F107" t="str">
            <v>M/D</v>
          </cell>
          <cell r="H107">
            <v>31.9</v>
          </cell>
          <cell r="J107">
            <v>31.9</v>
          </cell>
          <cell r="L107">
            <v>39500</v>
          </cell>
          <cell r="N107">
            <v>1260050</v>
          </cell>
        </row>
        <row r="108">
          <cell r="A108" t="str">
            <v>AEP</v>
          </cell>
          <cell r="B108">
            <v>850000</v>
          </cell>
          <cell r="C108" t="str">
            <v>LPAINT</v>
          </cell>
          <cell r="D108" t="str">
            <v>도장공</v>
          </cell>
          <cell r="F108" t="str">
            <v>M/D</v>
          </cell>
          <cell r="H108">
            <v>3</v>
          </cell>
          <cell r="J108">
            <v>3</v>
          </cell>
          <cell r="L108">
            <v>38200</v>
          </cell>
          <cell r="N108">
            <v>114600</v>
          </cell>
        </row>
        <row r="109">
          <cell r="A109" t="str">
            <v>AEP</v>
          </cell>
          <cell r="B109">
            <v>850000</v>
          </cell>
          <cell r="C109" t="str">
            <v>LIRONW</v>
          </cell>
          <cell r="D109" t="str">
            <v>철공</v>
          </cell>
          <cell r="F109" t="str">
            <v>M/D</v>
          </cell>
          <cell r="H109">
            <v>0.2</v>
          </cell>
          <cell r="J109">
            <v>0.2</v>
          </cell>
          <cell r="L109">
            <v>35500</v>
          </cell>
          <cell r="N109">
            <v>7100</v>
          </cell>
        </row>
        <row r="110">
          <cell r="A110" t="str">
            <v>AEP</v>
          </cell>
          <cell r="B110">
            <v>990000</v>
          </cell>
          <cell r="C110" t="str">
            <v>OMISC06</v>
          </cell>
          <cell r="D110" t="str">
            <v>공구손료</v>
          </cell>
          <cell r="E110" t="str">
            <v>인건비의 (3)％</v>
          </cell>
          <cell r="F110" t="str">
            <v>L/S</v>
          </cell>
          <cell r="H110">
            <v>1</v>
          </cell>
          <cell r="J110">
            <v>1</v>
          </cell>
          <cell r="L110">
            <v>121870</v>
          </cell>
          <cell r="N110">
            <v>121870</v>
          </cell>
        </row>
        <row r="111">
          <cell r="A111" t="str">
            <v>AET</v>
          </cell>
          <cell r="B111">
            <v>0</v>
          </cell>
          <cell r="C111" t="str">
            <v>WAAET</v>
          </cell>
          <cell r="D111" t="str">
            <v>3-2. 기계실 덕트설비공사</v>
          </cell>
        </row>
        <row r="112">
          <cell r="A112" t="str">
            <v>AET</v>
          </cell>
          <cell r="B112">
            <v>100</v>
          </cell>
          <cell r="C112" t="str">
            <v>BDGAM006</v>
          </cell>
          <cell r="D112" t="str">
            <v>기계식덕트 제작</v>
          </cell>
          <cell r="E112" t="str">
            <v>#24(0.6T)</v>
          </cell>
          <cell r="F112" t="str">
            <v>M2</v>
          </cell>
          <cell r="H112">
            <v>57.9</v>
          </cell>
          <cell r="J112">
            <v>57.9</v>
          </cell>
          <cell r="L112">
            <v>8805</v>
          </cell>
          <cell r="N112">
            <v>509810</v>
          </cell>
          <cell r="R112" t="b">
            <v>0</v>
          </cell>
        </row>
        <row r="113">
          <cell r="A113" t="str">
            <v>AET</v>
          </cell>
          <cell r="B113">
            <v>200</v>
          </cell>
          <cell r="C113" t="str">
            <v>BDGAM008</v>
          </cell>
          <cell r="D113" t="str">
            <v>기계식덕트 제작</v>
          </cell>
          <cell r="E113" t="str">
            <v>#22(0.8T)</v>
          </cell>
          <cell r="F113" t="str">
            <v>M2</v>
          </cell>
          <cell r="H113">
            <v>1.3</v>
          </cell>
          <cell r="J113">
            <v>1.3</v>
          </cell>
          <cell r="L113">
            <v>9570</v>
          </cell>
          <cell r="N113">
            <v>12441</v>
          </cell>
          <cell r="R113" t="b">
            <v>0</v>
          </cell>
        </row>
        <row r="114">
          <cell r="A114" t="str">
            <v>AET</v>
          </cell>
          <cell r="B114">
            <v>300</v>
          </cell>
          <cell r="C114" t="str">
            <v>BPACDU02</v>
          </cell>
          <cell r="D114" t="str">
            <v>덕트 도장</v>
          </cell>
          <cell r="E114" t="str">
            <v>2 COAT</v>
          </cell>
          <cell r="F114" t="str">
            <v>M2</v>
          </cell>
          <cell r="H114">
            <v>59.2</v>
          </cell>
          <cell r="J114">
            <v>59.2</v>
          </cell>
          <cell r="L114">
            <v>415</v>
          </cell>
          <cell r="N114">
            <v>24568</v>
          </cell>
          <cell r="R114" t="b">
            <v>0</v>
          </cell>
        </row>
        <row r="115">
          <cell r="A115" t="str">
            <v>AET</v>
          </cell>
          <cell r="B115">
            <v>400</v>
          </cell>
          <cell r="C115" t="str">
            <v>MDXCX101</v>
          </cell>
          <cell r="D115" t="str">
            <v>그릴</v>
          </cell>
          <cell r="E115" t="str">
            <v>700* 300</v>
          </cell>
          <cell r="F115" t="str">
            <v>EA</v>
          </cell>
          <cell r="G115">
            <v>0</v>
          </cell>
          <cell r="H115">
            <v>4</v>
          </cell>
          <cell r="J115">
            <v>4</v>
          </cell>
          <cell r="L115">
            <v>18900</v>
          </cell>
          <cell r="N115">
            <v>75600</v>
          </cell>
          <cell r="R115" t="b">
            <v>0</v>
          </cell>
        </row>
        <row r="116">
          <cell r="A116" t="str">
            <v>AET</v>
          </cell>
          <cell r="B116">
            <v>500</v>
          </cell>
          <cell r="C116" t="str">
            <v>MDXCX170</v>
          </cell>
          <cell r="D116" t="str">
            <v>그릴</v>
          </cell>
          <cell r="E116" t="str">
            <v>750* 400</v>
          </cell>
          <cell r="F116" t="str">
            <v>EA</v>
          </cell>
          <cell r="G116">
            <v>0</v>
          </cell>
          <cell r="H116">
            <v>2</v>
          </cell>
          <cell r="J116">
            <v>2</v>
          </cell>
          <cell r="L116">
            <v>21000</v>
          </cell>
          <cell r="N116">
            <v>42000</v>
          </cell>
          <cell r="R116" t="b">
            <v>0</v>
          </cell>
        </row>
        <row r="117">
          <cell r="A117" t="str">
            <v>AET</v>
          </cell>
          <cell r="B117">
            <v>600</v>
          </cell>
          <cell r="C117" t="str">
            <v>MDRCCNVA</v>
          </cell>
          <cell r="D117" t="str">
            <v>캔버스</v>
          </cell>
          <cell r="F117" t="str">
            <v>M2</v>
          </cell>
          <cell r="G117">
            <v>0</v>
          </cell>
          <cell r="H117">
            <v>3.1</v>
          </cell>
          <cell r="J117">
            <v>3.1</v>
          </cell>
          <cell r="L117">
            <v>4500</v>
          </cell>
          <cell r="N117">
            <v>13950</v>
          </cell>
          <cell r="R117" t="b">
            <v>0</v>
          </cell>
        </row>
        <row r="118">
          <cell r="A118" t="str">
            <v>AET</v>
          </cell>
          <cell r="B118">
            <v>700</v>
          </cell>
          <cell r="C118" t="str">
            <v>MDRNCOME</v>
          </cell>
          <cell r="D118" t="str">
            <v>동망</v>
          </cell>
          <cell r="F118" t="str">
            <v>M2</v>
          </cell>
          <cell r="G118">
            <v>0</v>
          </cell>
          <cell r="H118">
            <v>1.2</v>
          </cell>
          <cell r="J118">
            <v>1.2</v>
          </cell>
          <cell r="L118">
            <v>2500</v>
          </cell>
          <cell r="N118">
            <v>3000</v>
          </cell>
          <cell r="R118" t="b">
            <v>0</v>
          </cell>
        </row>
        <row r="119">
          <cell r="A119" t="str">
            <v>AET</v>
          </cell>
          <cell r="B119">
            <v>810000</v>
          </cell>
          <cell r="C119" t="str">
            <v>OMISC03</v>
          </cell>
          <cell r="D119" t="str">
            <v>잡자재비</v>
          </cell>
          <cell r="E119" t="str">
            <v>관의 (3)％</v>
          </cell>
          <cell r="F119" t="str">
            <v>L/S</v>
          </cell>
          <cell r="H119">
            <v>1</v>
          </cell>
          <cell r="J119">
            <v>1</v>
          </cell>
          <cell r="L119">
            <v>631</v>
          </cell>
          <cell r="N119">
            <v>631</v>
          </cell>
        </row>
        <row r="120">
          <cell r="A120" t="str">
            <v>AET</v>
          </cell>
          <cell r="B120">
            <v>850000</v>
          </cell>
          <cell r="C120" t="str">
            <v>LDUCTM</v>
          </cell>
          <cell r="D120" t="str">
            <v>덕트공(기계닥트 설치)</v>
          </cell>
          <cell r="F120" t="str">
            <v>M/D</v>
          </cell>
          <cell r="H120">
            <v>8.5</v>
          </cell>
          <cell r="J120">
            <v>8.5</v>
          </cell>
          <cell r="L120">
            <v>31400</v>
          </cell>
          <cell r="N120">
            <v>266900</v>
          </cell>
        </row>
        <row r="121">
          <cell r="A121" t="str">
            <v>AET</v>
          </cell>
          <cell r="B121">
            <v>850000</v>
          </cell>
          <cell r="C121" t="str">
            <v>LPAINT</v>
          </cell>
          <cell r="D121" t="str">
            <v>도장공</v>
          </cell>
          <cell r="F121" t="str">
            <v>M/D</v>
          </cell>
          <cell r="H121">
            <v>1.8</v>
          </cell>
          <cell r="J121">
            <v>1.8</v>
          </cell>
          <cell r="L121">
            <v>38200</v>
          </cell>
          <cell r="N121">
            <v>68760</v>
          </cell>
        </row>
        <row r="122">
          <cell r="A122" t="str">
            <v>AET</v>
          </cell>
          <cell r="B122">
            <v>850000</v>
          </cell>
          <cell r="C122" t="str">
            <v>LDUCTR</v>
          </cell>
          <cell r="D122" t="str">
            <v>덕트공</v>
          </cell>
          <cell r="F122" t="str">
            <v>M/D</v>
          </cell>
          <cell r="H122">
            <v>1.4</v>
          </cell>
          <cell r="J122">
            <v>1.4</v>
          </cell>
          <cell r="L122">
            <v>31400</v>
          </cell>
          <cell r="N122">
            <v>43960</v>
          </cell>
        </row>
        <row r="123">
          <cell r="A123" t="str">
            <v>AET</v>
          </cell>
          <cell r="B123">
            <v>990000</v>
          </cell>
          <cell r="C123" t="str">
            <v>OMISC06</v>
          </cell>
          <cell r="D123" t="str">
            <v>공구손료</v>
          </cell>
          <cell r="E123" t="str">
            <v>인건비의 (3)％</v>
          </cell>
          <cell r="F123" t="str">
            <v>L/S</v>
          </cell>
          <cell r="H123">
            <v>1</v>
          </cell>
          <cell r="J123">
            <v>1</v>
          </cell>
          <cell r="L123">
            <v>12380</v>
          </cell>
          <cell r="N123">
            <v>12380</v>
          </cell>
        </row>
        <row r="124">
          <cell r="A124" t="str">
            <v>AH</v>
          </cell>
          <cell r="B124">
            <v>0</v>
          </cell>
          <cell r="C124" t="str">
            <v>WAAH</v>
          </cell>
          <cell r="D124" t="str">
            <v>4. 난방배관공사</v>
          </cell>
        </row>
        <row r="125">
          <cell r="A125" t="str">
            <v>AHSA</v>
          </cell>
          <cell r="B125">
            <v>0</v>
          </cell>
          <cell r="C125" t="str">
            <v>WAAHSA</v>
          </cell>
          <cell r="D125" t="str">
            <v>4-1. 단위세대 난방배관공사(대가)</v>
          </cell>
        </row>
        <row r="126">
          <cell r="A126" t="str">
            <v>AHSA</v>
          </cell>
          <cell r="B126">
            <v>100</v>
          </cell>
          <cell r="C126" t="str">
            <v>MPC0000V</v>
          </cell>
          <cell r="D126" t="str">
            <v>PPC 코일</v>
          </cell>
          <cell r="E126" t="str">
            <v>15D</v>
          </cell>
          <cell r="F126" t="str">
            <v>M</v>
          </cell>
          <cell r="G126">
            <v>5</v>
          </cell>
          <cell r="H126">
            <v>18117</v>
          </cell>
          <cell r="J126">
            <v>19022.900000000001</v>
          </cell>
          <cell r="L126">
            <v>190</v>
          </cell>
          <cell r="N126">
            <v>3614351</v>
          </cell>
          <cell r="R126" t="b">
            <v>1</v>
          </cell>
        </row>
        <row r="127">
          <cell r="A127" t="str">
            <v>AHSA</v>
          </cell>
          <cell r="B127">
            <v>200</v>
          </cell>
          <cell r="C127" t="str">
            <v>MPC1000T</v>
          </cell>
          <cell r="D127" t="str">
            <v>PPC 파이프</v>
          </cell>
          <cell r="E127" t="str">
            <v>20D</v>
          </cell>
          <cell r="F127" t="str">
            <v>M</v>
          </cell>
          <cell r="G127">
            <v>5</v>
          </cell>
          <cell r="H127">
            <v>2433.9</v>
          </cell>
          <cell r="J127">
            <v>2555.6</v>
          </cell>
          <cell r="L127">
            <v>310</v>
          </cell>
          <cell r="N127">
            <v>792236</v>
          </cell>
          <cell r="R127" t="b">
            <v>1</v>
          </cell>
        </row>
        <row r="128">
          <cell r="A128" t="str">
            <v>AHSA</v>
          </cell>
          <cell r="B128">
            <v>300</v>
          </cell>
          <cell r="C128" t="str">
            <v>BIPDC00H</v>
          </cell>
          <cell r="D128" t="str">
            <v>관보온,아티론,일반AL</v>
          </cell>
          <cell r="E128" t="str">
            <v>5T* 15A</v>
          </cell>
          <cell r="F128" t="str">
            <v>M</v>
          </cell>
          <cell r="H128">
            <v>366</v>
          </cell>
          <cell r="J128">
            <v>366</v>
          </cell>
          <cell r="L128">
            <v>209</v>
          </cell>
          <cell r="N128">
            <v>76494</v>
          </cell>
          <cell r="R128" t="b">
            <v>0</v>
          </cell>
        </row>
        <row r="129">
          <cell r="A129" t="str">
            <v>AHSA</v>
          </cell>
          <cell r="B129">
            <v>400</v>
          </cell>
          <cell r="C129" t="str">
            <v>BIPDC10T</v>
          </cell>
          <cell r="D129" t="str">
            <v>관보온,아티론,일반AL</v>
          </cell>
          <cell r="E129" t="str">
            <v>10T* 20A</v>
          </cell>
          <cell r="F129" t="str">
            <v>M</v>
          </cell>
          <cell r="H129">
            <v>2433.9</v>
          </cell>
          <cell r="J129">
            <v>2433.9</v>
          </cell>
          <cell r="L129">
            <v>370</v>
          </cell>
          <cell r="N129">
            <v>900543</v>
          </cell>
          <cell r="R129" t="b">
            <v>0</v>
          </cell>
        </row>
        <row r="130">
          <cell r="A130" t="str">
            <v>AHSA</v>
          </cell>
          <cell r="B130">
            <v>500</v>
          </cell>
          <cell r="C130" t="str">
            <v>MVAO110H</v>
          </cell>
          <cell r="D130" t="str">
            <v>볼밸브(황동)</v>
          </cell>
          <cell r="E130" t="str">
            <v>10K  15A</v>
          </cell>
          <cell r="F130" t="str">
            <v>EA</v>
          </cell>
          <cell r="G130">
            <v>0</v>
          </cell>
          <cell r="H130">
            <v>183</v>
          </cell>
          <cell r="J130">
            <v>183</v>
          </cell>
          <cell r="L130">
            <v>1890</v>
          </cell>
          <cell r="N130">
            <v>345870</v>
          </cell>
          <cell r="R130" t="b">
            <v>0</v>
          </cell>
        </row>
        <row r="131">
          <cell r="A131" t="str">
            <v>AHSA</v>
          </cell>
          <cell r="B131">
            <v>600</v>
          </cell>
          <cell r="C131" t="str">
            <v>MVAO110T</v>
          </cell>
          <cell r="D131" t="str">
            <v>볼밸브(황동)</v>
          </cell>
          <cell r="E131" t="str">
            <v>10K  20A</v>
          </cell>
          <cell r="F131" t="str">
            <v>EA</v>
          </cell>
          <cell r="G131">
            <v>0</v>
          </cell>
          <cell r="H131">
            <v>366</v>
          </cell>
          <cell r="J131">
            <v>366</v>
          </cell>
          <cell r="L131">
            <v>2450</v>
          </cell>
          <cell r="N131">
            <v>896700</v>
          </cell>
          <cell r="R131" t="b">
            <v>0</v>
          </cell>
        </row>
        <row r="132">
          <cell r="A132" t="str">
            <v>AHSA</v>
          </cell>
          <cell r="B132">
            <v>700</v>
          </cell>
          <cell r="C132" t="str">
            <v>MPCF000T</v>
          </cell>
          <cell r="D132" t="str">
            <v>PPC 엘보,90도</v>
          </cell>
          <cell r="E132" t="str">
            <v>20D</v>
          </cell>
          <cell r="F132" t="str">
            <v>EA</v>
          </cell>
          <cell r="G132">
            <v>0</v>
          </cell>
          <cell r="H132">
            <v>732</v>
          </cell>
          <cell r="J132">
            <v>732</v>
          </cell>
          <cell r="L132">
            <v>190</v>
          </cell>
          <cell r="N132">
            <v>139080</v>
          </cell>
          <cell r="R132" t="b">
            <v>0</v>
          </cell>
        </row>
        <row r="133">
          <cell r="A133" t="str">
            <v>AHSA</v>
          </cell>
          <cell r="B133">
            <v>800</v>
          </cell>
          <cell r="C133" t="str">
            <v>MPCF6F0T</v>
          </cell>
          <cell r="D133" t="str">
            <v>PPC 트랜지션 소켓(F)</v>
          </cell>
          <cell r="E133" t="str">
            <v>20D</v>
          </cell>
          <cell r="F133" t="str">
            <v>EA</v>
          </cell>
          <cell r="G133">
            <v>0</v>
          </cell>
          <cell r="H133">
            <v>732</v>
          </cell>
          <cell r="J133">
            <v>732</v>
          </cell>
          <cell r="L133">
            <v>840</v>
          </cell>
          <cell r="N133">
            <v>614880</v>
          </cell>
          <cell r="R133" t="b">
            <v>0</v>
          </cell>
        </row>
        <row r="134">
          <cell r="A134" t="str">
            <v>AHSA</v>
          </cell>
          <cell r="B134">
            <v>900</v>
          </cell>
          <cell r="C134" t="str">
            <v>MPAF0D0H</v>
          </cell>
          <cell r="D134" t="str">
            <v>황동 엘보(S*S)</v>
          </cell>
          <cell r="E134" t="str">
            <v>1/2B</v>
          </cell>
          <cell r="F134" t="str">
            <v>EA</v>
          </cell>
          <cell r="G134">
            <v>0</v>
          </cell>
          <cell r="H134">
            <v>183</v>
          </cell>
          <cell r="J134">
            <v>183</v>
          </cell>
          <cell r="L134">
            <v>655</v>
          </cell>
          <cell r="N134">
            <v>119865</v>
          </cell>
          <cell r="R134" t="b">
            <v>0</v>
          </cell>
        </row>
        <row r="135">
          <cell r="A135" t="str">
            <v>AHSA</v>
          </cell>
          <cell r="B135">
            <v>1000</v>
          </cell>
          <cell r="C135" t="str">
            <v>MPAF0D0T</v>
          </cell>
          <cell r="D135" t="str">
            <v>황동 엘보(S*S)</v>
          </cell>
          <cell r="E135" t="str">
            <v>3/4B</v>
          </cell>
          <cell r="F135" t="str">
            <v>EA</v>
          </cell>
          <cell r="G135">
            <v>0</v>
          </cell>
          <cell r="H135">
            <v>366</v>
          </cell>
          <cell r="J135">
            <v>366</v>
          </cell>
          <cell r="L135">
            <v>1740</v>
          </cell>
          <cell r="N135">
            <v>636840</v>
          </cell>
          <cell r="R135" t="b">
            <v>0</v>
          </cell>
        </row>
        <row r="136">
          <cell r="A136" t="str">
            <v>AHSA</v>
          </cell>
          <cell r="B136">
            <v>1100</v>
          </cell>
          <cell r="C136" t="str">
            <v>MPAF3M0T</v>
          </cell>
          <cell r="D136" t="str">
            <v>황동 CXM 유니온</v>
          </cell>
          <cell r="E136" t="str">
            <v>3/4B</v>
          </cell>
          <cell r="F136" t="str">
            <v>EA</v>
          </cell>
          <cell r="G136">
            <v>0</v>
          </cell>
          <cell r="H136">
            <v>366</v>
          </cell>
          <cell r="J136">
            <v>366</v>
          </cell>
          <cell r="L136">
            <v>1372</v>
          </cell>
          <cell r="N136">
            <v>502152</v>
          </cell>
          <cell r="R136" t="b">
            <v>0</v>
          </cell>
        </row>
        <row r="137">
          <cell r="A137" t="str">
            <v>AHSA</v>
          </cell>
          <cell r="B137">
            <v>1200</v>
          </cell>
          <cell r="C137" t="str">
            <v>MPAF4S0H</v>
          </cell>
          <cell r="D137" t="str">
            <v>황동 니플</v>
          </cell>
          <cell r="E137" t="str">
            <v>1/2B</v>
          </cell>
          <cell r="F137" t="str">
            <v>EA</v>
          </cell>
          <cell r="G137">
            <v>0</v>
          </cell>
          <cell r="H137">
            <v>549</v>
          </cell>
          <cell r="J137">
            <v>549</v>
          </cell>
          <cell r="L137">
            <v>253</v>
          </cell>
          <cell r="N137">
            <v>138897</v>
          </cell>
          <cell r="R137" t="b">
            <v>0</v>
          </cell>
        </row>
        <row r="138">
          <cell r="A138" t="str">
            <v>AHSA</v>
          </cell>
          <cell r="B138">
            <v>1300</v>
          </cell>
          <cell r="C138" t="str">
            <v>MPAF4S0T</v>
          </cell>
          <cell r="D138" t="str">
            <v>황동 니플</v>
          </cell>
          <cell r="E138" t="str">
            <v>3/4B</v>
          </cell>
          <cell r="F138" t="str">
            <v>EA</v>
          </cell>
          <cell r="G138">
            <v>0</v>
          </cell>
          <cell r="H138">
            <v>1098</v>
          </cell>
          <cell r="J138">
            <v>1098</v>
          </cell>
          <cell r="L138">
            <v>495</v>
          </cell>
          <cell r="N138">
            <v>543510</v>
          </cell>
          <cell r="R138" t="b">
            <v>0</v>
          </cell>
        </row>
        <row r="139">
          <cell r="A139" t="str">
            <v>AHSA</v>
          </cell>
          <cell r="B139">
            <v>1400</v>
          </cell>
          <cell r="C139" t="str">
            <v>MPC2000H</v>
          </cell>
          <cell r="D139" t="str">
            <v>편사호스(W/밴드)</v>
          </cell>
          <cell r="E139" t="str">
            <v>15D</v>
          </cell>
          <cell r="F139" t="str">
            <v>M</v>
          </cell>
          <cell r="G139">
            <v>0</v>
          </cell>
          <cell r="H139">
            <v>183</v>
          </cell>
          <cell r="J139">
            <v>183</v>
          </cell>
          <cell r="L139">
            <v>600</v>
          </cell>
          <cell r="N139">
            <v>109800</v>
          </cell>
          <cell r="R139" t="b">
            <v>0</v>
          </cell>
        </row>
        <row r="140">
          <cell r="A140" t="str">
            <v>AHSA</v>
          </cell>
          <cell r="B140">
            <v>1500</v>
          </cell>
          <cell r="C140" t="str">
            <v>MRAKC002</v>
          </cell>
          <cell r="D140" t="str">
            <v>온수분배기(청동)</v>
          </cell>
          <cell r="E140" t="str">
            <v>2 ZONE*15A코일</v>
          </cell>
          <cell r="F140" t="str">
            <v>EA</v>
          </cell>
          <cell r="G140">
            <v>0</v>
          </cell>
          <cell r="H140">
            <v>183</v>
          </cell>
          <cell r="J140">
            <v>183</v>
          </cell>
          <cell r="L140">
            <v>14000</v>
          </cell>
          <cell r="N140">
            <v>2562000</v>
          </cell>
          <cell r="R140" t="b">
            <v>0</v>
          </cell>
        </row>
        <row r="141">
          <cell r="A141" t="str">
            <v>AHSA</v>
          </cell>
          <cell r="B141">
            <v>1600</v>
          </cell>
          <cell r="C141" t="str">
            <v>MXAPA002</v>
          </cell>
          <cell r="D141" t="str">
            <v>열선(동파방지,센서부착형)</v>
          </cell>
          <cell r="E141" t="str">
            <v>1.5M</v>
          </cell>
          <cell r="F141" t="str">
            <v>SET</v>
          </cell>
          <cell r="G141">
            <v>0</v>
          </cell>
          <cell r="H141">
            <v>366</v>
          </cell>
          <cell r="J141">
            <v>366</v>
          </cell>
          <cell r="L141">
            <v>11000</v>
          </cell>
          <cell r="N141">
            <v>4026000</v>
          </cell>
          <cell r="R141" t="b">
            <v>0</v>
          </cell>
        </row>
        <row r="142">
          <cell r="A142" t="str">
            <v>AHSA</v>
          </cell>
          <cell r="B142">
            <v>1700</v>
          </cell>
          <cell r="C142" t="str">
            <v>BQABHCOA</v>
          </cell>
          <cell r="D142" t="str">
            <v>보일러 주위배관(난방,동)</v>
          </cell>
          <cell r="E142" t="str">
            <v>20A</v>
          </cell>
          <cell r="F142" t="str">
            <v>SET</v>
          </cell>
          <cell r="H142">
            <v>183</v>
          </cell>
          <cell r="J142">
            <v>183</v>
          </cell>
          <cell r="L142">
            <v>31226</v>
          </cell>
          <cell r="N142">
            <v>5714358</v>
          </cell>
          <cell r="R142" t="b">
            <v>0</v>
          </cell>
        </row>
        <row r="143">
          <cell r="A143" t="str">
            <v>AHSA</v>
          </cell>
          <cell r="B143">
            <v>1800</v>
          </cell>
          <cell r="C143" t="str">
            <v>MPFGCAA2</v>
          </cell>
          <cell r="D143" t="str">
            <v>방수형스리브(개별보일러)</v>
          </cell>
          <cell r="E143" t="str">
            <v>20D</v>
          </cell>
          <cell r="F143" t="str">
            <v>EA</v>
          </cell>
          <cell r="G143">
            <v>0</v>
          </cell>
          <cell r="H143">
            <v>366</v>
          </cell>
          <cell r="J143">
            <v>366</v>
          </cell>
          <cell r="L143">
            <v>2125</v>
          </cell>
          <cell r="N143">
            <v>777750</v>
          </cell>
          <cell r="R143" t="b">
            <v>0</v>
          </cell>
        </row>
        <row r="144">
          <cell r="A144" t="str">
            <v>AHSA</v>
          </cell>
          <cell r="B144">
            <v>1900</v>
          </cell>
          <cell r="C144" t="str">
            <v>MPFGCAB1</v>
          </cell>
          <cell r="D144" t="str">
            <v>연도스리브(빗물방지)</v>
          </cell>
          <cell r="E144" t="str">
            <v>100D</v>
          </cell>
          <cell r="F144" t="str">
            <v>EA</v>
          </cell>
          <cell r="G144">
            <v>0</v>
          </cell>
          <cell r="H144">
            <v>183</v>
          </cell>
          <cell r="J144">
            <v>183</v>
          </cell>
          <cell r="L144">
            <v>1700</v>
          </cell>
          <cell r="N144">
            <v>311100</v>
          </cell>
          <cell r="R144" t="b">
            <v>0</v>
          </cell>
        </row>
        <row r="145">
          <cell r="A145" t="str">
            <v>AHSA</v>
          </cell>
          <cell r="B145">
            <v>750000</v>
          </cell>
          <cell r="C145" t="str">
            <v>S20000T</v>
          </cell>
          <cell r="D145" t="str">
            <v>동관용접,BRAZING</v>
          </cell>
          <cell r="E145" t="str">
            <v>3/4B</v>
          </cell>
          <cell r="F145" t="str">
            <v>JNT</v>
          </cell>
          <cell r="H145">
            <v>366</v>
          </cell>
          <cell r="J145">
            <v>366</v>
          </cell>
          <cell r="L145">
            <v>137</v>
          </cell>
          <cell r="N145">
            <v>50142</v>
          </cell>
        </row>
        <row r="146">
          <cell r="A146" t="str">
            <v>AHSA</v>
          </cell>
          <cell r="B146">
            <v>750000</v>
          </cell>
          <cell r="C146" t="str">
            <v>S22200H</v>
          </cell>
          <cell r="D146" t="str">
            <v>PPC 코일배관 부자재</v>
          </cell>
          <cell r="E146" t="str">
            <v>15A- 20A</v>
          </cell>
          <cell r="F146" t="str">
            <v>M</v>
          </cell>
          <cell r="H146">
            <v>18117</v>
          </cell>
          <cell r="J146">
            <v>18117</v>
          </cell>
          <cell r="L146">
            <v>67</v>
          </cell>
          <cell r="N146">
            <v>1213839</v>
          </cell>
        </row>
        <row r="147">
          <cell r="A147" t="str">
            <v>AHSA</v>
          </cell>
          <cell r="B147">
            <v>810000</v>
          </cell>
          <cell r="C147" t="str">
            <v>OMISC03</v>
          </cell>
          <cell r="D147" t="str">
            <v>잡자재비</v>
          </cell>
          <cell r="E147" t="str">
            <v>관의 (3)％</v>
          </cell>
          <cell r="F147" t="str">
            <v>L/S</v>
          </cell>
          <cell r="H147">
            <v>1</v>
          </cell>
          <cell r="J147">
            <v>1</v>
          </cell>
          <cell r="L147">
            <v>132593</v>
          </cell>
          <cell r="N147">
            <v>132593</v>
          </cell>
        </row>
        <row r="148">
          <cell r="A148" t="str">
            <v>AHSA</v>
          </cell>
          <cell r="B148">
            <v>850000</v>
          </cell>
          <cell r="C148" t="str">
            <v>LINSUL</v>
          </cell>
          <cell r="D148" t="str">
            <v>보온공</v>
          </cell>
          <cell r="F148" t="str">
            <v>M/D</v>
          </cell>
          <cell r="H148">
            <v>70.8</v>
          </cell>
          <cell r="J148">
            <v>70.8</v>
          </cell>
          <cell r="L148">
            <v>30900</v>
          </cell>
          <cell r="N148">
            <v>2187720</v>
          </cell>
        </row>
        <row r="149">
          <cell r="A149" t="str">
            <v>AHSA</v>
          </cell>
          <cell r="B149">
            <v>850000</v>
          </cell>
          <cell r="C149" t="str">
            <v>LHELPR</v>
          </cell>
          <cell r="D149" t="str">
            <v>보통인부</v>
          </cell>
          <cell r="F149" t="str">
            <v>M/D</v>
          </cell>
          <cell r="H149">
            <v>126.3</v>
          </cell>
          <cell r="J149">
            <v>126.3</v>
          </cell>
          <cell r="L149">
            <v>22300</v>
          </cell>
          <cell r="N149">
            <v>2816490</v>
          </cell>
        </row>
        <row r="150">
          <cell r="A150" t="str">
            <v>AHSA</v>
          </cell>
          <cell r="B150">
            <v>850000</v>
          </cell>
          <cell r="C150" t="str">
            <v>LPIPEG</v>
          </cell>
          <cell r="D150" t="str">
            <v>배관공</v>
          </cell>
          <cell r="F150" t="str">
            <v>M/D</v>
          </cell>
          <cell r="H150">
            <v>165.6</v>
          </cell>
          <cell r="J150">
            <v>165.6</v>
          </cell>
          <cell r="L150">
            <v>34400</v>
          </cell>
          <cell r="N150">
            <v>5696640</v>
          </cell>
        </row>
        <row r="151">
          <cell r="A151" t="str">
            <v>AHSA</v>
          </cell>
          <cell r="B151">
            <v>850000</v>
          </cell>
          <cell r="C151" t="str">
            <v>LWELDG</v>
          </cell>
          <cell r="D151" t="str">
            <v>용접공(일반)</v>
          </cell>
          <cell r="F151" t="str">
            <v>M/D</v>
          </cell>
          <cell r="H151">
            <v>31.8</v>
          </cell>
          <cell r="J151">
            <v>31.8</v>
          </cell>
          <cell r="L151">
            <v>39500</v>
          </cell>
          <cell r="N151">
            <v>1256100</v>
          </cell>
        </row>
        <row r="152">
          <cell r="A152" t="str">
            <v>AHSA</v>
          </cell>
          <cell r="B152">
            <v>850000</v>
          </cell>
          <cell r="C152" t="str">
            <v>LSPWKR</v>
          </cell>
          <cell r="D152" t="str">
            <v>특별인부</v>
          </cell>
          <cell r="F152" t="str">
            <v>M/D</v>
          </cell>
          <cell r="H152">
            <v>0.5</v>
          </cell>
          <cell r="J152">
            <v>0.5</v>
          </cell>
          <cell r="L152">
            <v>31200</v>
          </cell>
          <cell r="N152">
            <v>15600</v>
          </cell>
        </row>
        <row r="153">
          <cell r="A153" t="str">
            <v>AHSA</v>
          </cell>
          <cell r="B153">
            <v>900000</v>
          </cell>
          <cell r="C153" t="str">
            <v>CAMTHC0</v>
          </cell>
          <cell r="D153" t="str">
            <v>난방코일 불어내기</v>
          </cell>
          <cell r="E153" t="str">
            <v>서울지역</v>
          </cell>
          <cell r="F153" t="str">
            <v>M</v>
          </cell>
          <cell r="H153">
            <v>18117</v>
          </cell>
          <cell r="J153">
            <v>18117</v>
          </cell>
          <cell r="L153">
            <v>16</v>
          </cell>
          <cell r="N153">
            <v>289872</v>
          </cell>
          <cell r="R153" t="b">
            <v>0</v>
          </cell>
        </row>
        <row r="154">
          <cell r="A154" t="str">
            <v>AHSA</v>
          </cell>
          <cell r="B154">
            <v>900000</v>
          </cell>
          <cell r="C154" t="str">
            <v>CAMTHF0</v>
          </cell>
          <cell r="D154" t="str">
            <v>난방코일 세척</v>
          </cell>
          <cell r="E154" t="str">
            <v>서울지역</v>
          </cell>
          <cell r="F154" t="str">
            <v>M</v>
          </cell>
          <cell r="H154">
            <v>18117</v>
          </cell>
          <cell r="J154">
            <v>18117</v>
          </cell>
          <cell r="L154">
            <v>32</v>
          </cell>
          <cell r="N154">
            <v>579744</v>
          </cell>
          <cell r="R154" t="b">
            <v>0</v>
          </cell>
        </row>
        <row r="155">
          <cell r="A155" t="str">
            <v>AHSA</v>
          </cell>
          <cell r="B155">
            <v>900000</v>
          </cell>
          <cell r="C155" t="str">
            <v>CAMTLP4</v>
          </cell>
          <cell r="D155" t="str">
            <v>APT난방주관몰탈보양(PPC)</v>
          </cell>
          <cell r="F155" t="str">
            <v>M</v>
          </cell>
          <cell r="H155">
            <v>2214.3000000000002</v>
          </cell>
          <cell r="J155">
            <v>2214.3000000000002</v>
          </cell>
          <cell r="L155">
            <v>299</v>
          </cell>
          <cell r="N155">
            <v>662076</v>
          </cell>
          <cell r="R155" t="b">
            <v>0</v>
          </cell>
        </row>
        <row r="156">
          <cell r="A156" t="str">
            <v>AHSA</v>
          </cell>
          <cell r="B156">
            <v>990000</v>
          </cell>
          <cell r="C156" t="str">
            <v>OMISC06</v>
          </cell>
          <cell r="D156" t="str">
            <v>공구손료</v>
          </cell>
          <cell r="E156" t="str">
            <v>인건비의 (3)％</v>
          </cell>
          <cell r="F156" t="str">
            <v>L/S</v>
          </cell>
          <cell r="H156">
            <v>1</v>
          </cell>
          <cell r="J156">
            <v>1</v>
          </cell>
          <cell r="L156">
            <v>359758</v>
          </cell>
          <cell r="N156">
            <v>359758</v>
          </cell>
        </row>
        <row r="157">
          <cell r="A157" t="str">
            <v>AJ</v>
          </cell>
          <cell r="B157">
            <v>0</v>
          </cell>
          <cell r="C157" t="str">
            <v>WAAJ</v>
          </cell>
          <cell r="D157" t="str">
            <v>5. 위생설비공사</v>
          </cell>
        </row>
        <row r="158">
          <cell r="A158" t="str">
            <v>AJSA</v>
          </cell>
          <cell r="B158">
            <v>0</v>
          </cell>
          <cell r="C158" t="str">
            <v>WAAJSA</v>
          </cell>
          <cell r="D158" t="str">
            <v>5-1.세대 위생기구 설치공사(대가)</v>
          </cell>
        </row>
        <row r="159">
          <cell r="A159" t="str">
            <v>AJSA</v>
          </cell>
          <cell r="B159">
            <v>100</v>
          </cell>
          <cell r="C159" t="str">
            <v>BLBA312C</v>
          </cell>
          <cell r="D159" t="str">
            <v>양변기,절수식,일반칼라</v>
          </cell>
          <cell r="E159" t="str">
            <v>CC-312,</v>
          </cell>
          <cell r="F159" t="str">
            <v>SET</v>
          </cell>
          <cell r="H159">
            <v>183</v>
          </cell>
          <cell r="J159">
            <v>183</v>
          </cell>
          <cell r="L159">
            <v>81140</v>
          </cell>
          <cell r="N159">
            <v>14848620</v>
          </cell>
          <cell r="R159" t="b">
            <v>0</v>
          </cell>
        </row>
        <row r="160">
          <cell r="A160" t="str">
            <v>AJSA</v>
          </cell>
          <cell r="B160">
            <v>200</v>
          </cell>
          <cell r="C160" t="str">
            <v>TMKJH310</v>
          </cell>
          <cell r="D160" t="str">
            <v>욕조(아크릴/WHITE)</v>
          </cell>
          <cell r="E160" t="str">
            <v>750*1000*500</v>
          </cell>
          <cell r="F160" t="str">
            <v>SET</v>
          </cell>
          <cell r="G160">
            <v>0</v>
          </cell>
          <cell r="H160">
            <v>183</v>
          </cell>
          <cell r="J160">
            <v>183</v>
          </cell>
          <cell r="L160">
            <v>170000</v>
          </cell>
          <cell r="N160">
            <v>31110000</v>
          </cell>
          <cell r="R160" t="b">
            <v>0</v>
          </cell>
        </row>
        <row r="161">
          <cell r="A161" t="str">
            <v>AJSA</v>
          </cell>
          <cell r="B161">
            <v>300</v>
          </cell>
          <cell r="C161" t="str">
            <v>TMYYS007</v>
          </cell>
          <cell r="D161" t="str">
            <v>세면기(듀라스톤)</v>
          </cell>
          <cell r="E161" t="str">
            <v>CL-506/WHITE</v>
          </cell>
          <cell r="F161" t="str">
            <v>SET</v>
          </cell>
          <cell r="G161">
            <v>0</v>
          </cell>
          <cell r="H161">
            <v>183</v>
          </cell>
          <cell r="J161">
            <v>183</v>
          </cell>
          <cell r="L161">
            <v>233500</v>
          </cell>
          <cell r="N161">
            <v>42730500</v>
          </cell>
          <cell r="R161" t="b">
            <v>0</v>
          </cell>
        </row>
        <row r="162">
          <cell r="A162" t="str">
            <v>AJSA</v>
          </cell>
          <cell r="B162">
            <v>400</v>
          </cell>
          <cell r="C162" t="str">
            <v>MLFA7100</v>
          </cell>
          <cell r="D162" t="str">
            <v>세면기수전,4"한개레버</v>
          </cell>
          <cell r="E162" t="str">
            <v>FL-710</v>
          </cell>
          <cell r="F162" t="str">
            <v>EA</v>
          </cell>
          <cell r="G162">
            <v>0</v>
          </cell>
          <cell r="H162">
            <v>183</v>
          </cell>
          <cell r="J162">
            <v>183</v>
          </cell>
          <cell r="L162">
            <v>24000</v>
          </cell>
          <cell r="N162">
            <v>4392000</v>
          </cell>
          <cell r="R162" t="b">
            <v>0</v>
          </cell>
        </row>
        <row r="163">
          <cell r="A163" t="str">
            <v>AJSA</v>
          </cell>
          <cell r="B163">
            <v>500</v>
          </cell>
          <cell r="C163" t="str">
            <v>BLBBN214</v>
          </cell>
          <cell r="D163" t="str">
            <v>세면기부속,수전제외</v>
          </cell>
          <cell r="E163" t="str">
            <v>FL-214,154,231</v>
          </cell>
          <cell r="F163" t="str">
            <v>EA</v>
          </cell>
          <cell r="H163">
            <v>183</v>
          </cell>
          <cell r="J163">
            <v>183</v>
          </cell>
          <cell r="L163">
            <v>18700</v>
          </cell>
          <cell r="N163">
            <v>3422100</v>
          </cell>
          <cell r="R163" t="b">
            <v>0</v>
          </cell>
        </row>
        <row r="164">
          <cell r="A164" t="str">
            <v>AJSA</v>
          </cell>
          <cell r="B164">
            <v>600</v>
          </cell>
          <cell r="C164" t="str">
            <v>MLFH711S</v>
          </cell>
          <cell r="D164" t="str">
            <v>싱크수전,한개레버</v>
          </cell>
          <cell r="E164" t="str">
            <v>FS-711H</v>
          </cell>
          <cell r="F164" t="str">
            <v>EA</v>
          </cell>
          <cell r="G164">
            <v>0</v>
          </cell>
          <cell r="H164">
            <v>183</v>
          </cell>
          <cell r="J164">
            <v>183</v>
          </cell>
          <cell r="L164">
            <v>34000</v>
          </cell>
          <cell r="N164">
            <v>6222000</v>
          </cell>
          <cell r="R164" t="b">
            <v>0</v>
          </cell>
        </row>
        <row r="165">
          <cell r="A165" t="str">
            <v>AJSA</v>
          </cell>
          <cell r="B165">
            <v>700</v>
          </cell>
          <cell r="C165" t="str">
            <v>MLFB7100</v>
          </cell>
          <cell r="D165" t="str">
            <v>샤워,한개레버</v>
          </cell>
          <cell r="E165" t="str">
            <v>FB-710</v>
          </cell>
          <cell r="F165" t="str">
            <v>EA</v>
          </cell>
          <cell r="G165">
            <v>0</v>
          </cell>
          <cell r="H165">
            <v>183</v>
          </cell>
          <cell r="J165">
            <v>183</v>
          </cell>
          <cell r="L165">
            <v>39000</v>
          </cell>
          <cell r="N165">
            <v>7137000</v>
          </cell>
          <cell r="R165" t="b">
            <v>0</v>
          </cell>
        </row>
        <row r="166">
          <cell r="A166" t="str">
            <v>AJSA</v>
          </cell>
          <cell r="B166">
            <v>800</v>
          </cell>
          <cell r="C166" t="str">
            <v>MLFD60F5</v>
          </cell>
          <cell r="D166" t="str">
            <v>수건선반</v>
          </cell>
          <cell r="E166" t="str">
            <v>FB-800BG-2</v>
          </cell>
          <cell r="F166" t="str">
            <v>EA</v>
          </cell>
          <cell r="G166">
            <v>0</v>
          </cell>
          <cell r="H166">
            <v>183</v>
          </cell>
          <cell r="J166">
            <v>183</v>
          </cell>
          <cell r="L166">
            <v>22000</v>
          </cell>
          <cell r="N166">
            <v>4026000</v>
          </cell>
          <cell r="R166" t="b">
            <v>0</v>
          </cell>
        </row>
        <row r="167">
          <cell r="A167" t="str">
            <v>AJSA</v>
          </cell>
          <cell r="B167">
            <v>900</v>
          </cell>
          <cell r="C167" t="str">
            <v>MLFD60A6</v>
          </cell>
          <cell r="D167" t="str">
            <v>수건걸이</v>
          </cell>
          <cell r="E167" t="str">
            <v>FB-800AG</v>
          </cell>
          <cell r="F167" t="str">
            <v>EA</v>
          </cell>
          <cell r="G167">
            <v>0</v>
          </cell>
          <cell r="H167">
            <v>183</v>
          </cell>
          <cell r="J167">
            <v>183</v>
          </cell>
          <cell r="L167">
            <v>9500</v>
          </cell>
          <cell r="N167">
            <v>1738500</v>
          </cell>
          <cell r="R167" t="b">
            <v>0</v>
          </cell>
        </row>
        <row r="168">
          <cell r="A168" t="str">
            <v>AJSA</v>
          </cell>
          <cell r="B168">
            <v>1000</v>
          </cell>
          <cell r="C168" t="str">
            <v>MLFD60C4</v>
          </cell>
          <cell r="D168" t="str">
            <v>휴지걸이</v>
          </cell>
          <cell r="E168" t="str">
            <v>FB-800CG</v>
          </cell>
          <cell r="F168" t="str">
            <v>EA</v>
          </cell>
          <cell r="G168">
            <v>0</v>
          </cell>
          <cell r="H168">
            <v>183</v>
          </cell>
          <cell r="J168">
            <v>183</v>
          </cell>
          <cell r="L168">
            <v>8500</v>
          </cell>
          <cell r="N168">
            <v>1555500</v>
          </cell>
          <cell r="R168" t="b">
            <v>0</v>
          </cell>
        </row>
        <row r="169">
          <cell r="A169" t="str">
            <v>AJSA</v>
          </cell>
          <cell r="B169">
            <v>1100</v>
          </cell>
          <cell r="C169" t="str">
            <v>MLFD60D0</v>
          </cell>
          <cell r="D169" t="str">
            <v>비누갑</v>
          </cell>
          <cell r="E169" t="str">
            <v>FB-60D</v>
          </cell>
          <cell r="F169" t="str">
            <v>EA</v>
          </cell>
          <cell r="G169">
            <v>0</v>
          </cell>
          <cell r="H169">
            <v>183</v>
          </cell>
          <cell r="J169">
            <v>183</v>
          </cell>
          <cell r="L169">
            <v>2500</v>
          </cell>
          <cell r="N169">
            <v>457500</v>
          </cell>
          <cell r="R169" t="b">
            <v>0</v>
          </cell>
        </row>
        <row r="170">
          <cell r="A170" t="str">
            <v>AJSA</v>
          </cell>
          <cell r="B170">
            <v>1300</v>
          </cell>
          <cell r="C170" t="str">
            <v>TMYYS006</v>
          </cell>
          <cell r="D170" t="str">
            <v>발코니 부동수전</v>
          </cell>
          <cell r="F170" t="str">
            <v>EA</v>
          </cell>
          <cell r="G170">
            <v>0</v>
          </cell>
          <cell r="H170">
            <v>366</v>
          </cell>
          <cell r="J170">
            <v>366</v>
          </cell>
          <cell r="L170">
            <v>13500</v>
          </cell>
          <cell r="N170">
            <v>4941000</v>
          </cell>
          <cell r="R170" t="b">
            <v>0</v>
          </cell>
        </row>
        <row r="171">
          <cell r="A171" t="str">
            <v>AJSA</v>
          </cell>
          <cell r="B171">
            <v>1400</v>
          </cell>
          <cell r="C171" t="str">
            <v>TMKJH240</v>
          </cell>
          <cell r="D171" t="str">
            <v>렌지후드</v>
          </cell>
          <cell r="E171" t="str">
            <v>HDCL-650MD</v>
          </cell>
          <cell r="F171" t="str">
            <v>EA</v>
          </cell>
          <cell r="G171">
            <v>0</v>
          </cell>
          <cell r="H171">
            <v>183</v>
          </cell>
          <cell r="J171">
            <v>183</v>
          </cell>
          <cell r="L171">
            <v>95000</v>
          </cell>
          <cell r="N171">
            <v>17385000</v>
          </cell>
          <cell r="R171" t="b">
            <v>0</v>
          </cell>
        </row>
        <row r="172">
          <cell r="A172" t="str">
            <v>AJSA</v>
          </cell>
          <cell r="B172">
            <v>800000</v>
          </cell>
          <cell r="C172" t="str">
            <v>MXAP0000</v>
          </cell>
          <cell r="D172" t="str">
            <v>도기손료</v>
          </cell>
          <cell r="E172" t="str">
            <v>기구의 (3)％</v>
          </cell>
          <cell r="F172" t="str">
            <v>L/S</v>
          </cell>
          <cell r="G172">
            <v>0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548280</v>
          </cell>
          <cell r="N172">
            <v>548280</v>
          </cell>
        </row>
        <row r="173">
          <cell r="A173" t="str">
            <v>AJSA</v>
          </cell>
          <cell r="B173">
            <v>810000</v>
          </cell>
          <cell r="C173" t="str">
            <v>OMISC03</v>
          </cell>
          <cell r="D173" t="str">
            <v>잡자재비</v>
          </cell>
          <cell r="E173" t="str">
            <v>관의 (3)％</v>
          </cell>
          <cell r="F173" t="str">
            <v>L/S</v>
          </cell>
          <cell r="H173">
            <v>1</v>
          </cell>
          <cell r="J173">
            <v>1</v>
          </cell>
          <cell r="L173">
            <v>0</v>
          </cell>
          <cell r="N173">
            <v>0</v>
          </cell>
        </row>
        <row r="174">
          <cell r="A174" t="str">
            <v>AJSA</v>
          </cell>
          <cell r="B174">
            <v>850000</v>
          </cell>
          <cell r="C174" t="str">
            <v>LHELPR</v>
          </cell>
          <cell r="D174" t="str">
            <v>보통인부</v>
          </cell>
          <cell r="F174" t="str">
            <v>M/D</v>
          </cell>
          <cell r="H174">
            <v>31.9</v>
          </cell>
          <cell r="J174">
            <v>31.9</v>
          </cell>
          <cell r="L174">
            <v>22300</v>
          </cell>
          <cell r="N174">
            <v>711370</v>
          </cell>
        </row>
        <row r="175">
          <cell r="A175" t="str">
            <v>AJSA</v>
          </cell>
          <cell r="B175">
            <v>850000</v>
          </cell>
          <cell r="C175" t="str">
            <v>LPLUMR</v>
          </cell>
          <cell r="D175" t="str">
            <v>위생공</v>
          </cell>
          <cell r="F175" t="str">
            <v>M/D</v>
          </cell>
          <cell r="H175">
            <v>266</v>
          </cell>
          <cell r="J175">
            <v>266</v>
          </cell>
          <cell r="L175">
            <v>33900</v>
          </cell>
          <cell r="N175">
            <v>9017400</v>
          </cell>
        </row>
        <row r="176">
          <cell r="A176" t="str">
            <v>AJSA</v>
          </cell>
          <cell r="B176">
            <v>950000</v>
          </cell>
          <cell r="C176" t="str">
            <v>OMISC05</v>
          </cell>
          <cell r="D176" t="str">
            <v>도기소운반비</v>
          </cell>
          <cell r="E176" t="str">
            <v>위생공의 (5)％</v>
          </cell>
          <cell r="F176" t="str">
            <v>L/S</v>
          </cell>
          <cell r="H176">
            <v>1</v>
          </cell>
          <cell r="J176">
            <v>1</v>
          </cell>
          <cell r="L176">
            <v>450870</v>
          </cell>
          <cell r="N176">
            <v>450870</v>
          </cell>
        </row>
        <row r="177">
          <cell r="A177" t="str">
            <v>AJSA</v>
          </cell>
          <cell r="B177">
            <v>990000</v>
          </cell>
          <cell r="C177" t="str">
            <v>OMISC06</v>
          </cell>
          <cell r="D177" t="str">
            <v>공구손료</v>
          </cell>
          <cell r="E177" t="str">
            <v>인건비의 (3)％</v>
          </cell>
          <cell r="F177" t="str">
            <v>L/S</v>
          </cell>
          <cell r="H177">
            <v>1</v>
          </cell>
          <cell r="J177">
            <v>1</v>
          </cell>
          <cell r="L177">
            <v>292360</v>
          </cell>
          <cell r="N177">
            <v>292360</v>
          </cell>
        </row>
        <row r="178">
          <cell r="A178" t="str">
            <v>AJSB</v>
          </cell>
          <cell r="B178">
            <v>0</v>
          </cell>
          <cell r="C178" t="str">
            <v>WAAJSB</v>
          </cell>
          <cell r="D178" t="str">
            <v>5-2.세대 급수급탕 배관공사(대가)</v>
          </cell>
        </row>
        <row r="179">
          <cell r="A179" t="str">
            <v>AJSB</v>
          </cell>
          <cell r="B179">
            <v>100</v>
          </cell>
          <cell r="C179" t="str">
            <v>MPA3000H</v>
          </cell>
          <cell r="D179" t="str">
            <v>동관(L형)</v>
          </cell>
          <cell r="E179" t="str">
            <v>1/2B  , 15.88</v>
          </cell>
          <cell r="F179" t="str">
            <v>M</v>
          </cell>
          <cell r="G179">
            <v>5</v>
          </cell>
          <cell r="H179">
            <v>805.2</v>
          </cell>
          <cell r="J179">
            <v>845.5</v>
          </cell>
          <cell r="L179">
            <v>1235</v>
          </cell>
          <cell r="N179">
            <v>1044193</v>
          </cell>
          <cell r="R179" t="b">
            <v>1</v>
          </cell>
        </row>
        <row r="180">
          <cell r="A180" t="str">
            <v>AJSB</v>
          </cell>
          <cell r="B180">
            <v>200</v>
          </cell>
          <cell r="C180" t="str">
            <v>MPB2000H</v>
          </cell>
          <cell r="D180" t="str">
            <v>PB 파이프</v>
          </cell>
          <cell r="E180" t="str">
            <v>15A</v>
          </cell>
          <cell r="F180" t="str">
            <v>M</v>
          </cell>
          <cell r="G180">
            <v>5</v>
          </cell>
          <cell r="H180">
            <v>8582.7000000000007</v>
          </cell>
          <cell r="J180">
            <v>9011.7999999999993</v>
          </cell>
          <cell r="L180">
            <v>413</v>
          </cell>
          <cell r="N180">
            <v>3721873</v>
          </cell>
          <cell r="R180" t="b">
            <v>1</v>
          </cell>
        </row>
        <row r="181">
          <cell r="A181" t="str">
            <v>AJSB</v>
          </cell>
          <cell r="B181">
            <v>300</v>
          </cell>
          <cell r="C181" t="str">
            <v>BIPA120H</v>
          </cell>
          <cell r="D181" t="str">
            <v>관보온 은폐,유리솜 1</v>
          </cell>
          <cell r="E181" t="str">
            <v>25T* 15A</v>
          </cell>
          <cell r="F181" t="str">
            <v>M</v>
          </cell>
          <cell r="H181">
            <v>549</v>
          </cell>
          <cell r="J181">
            <v>549</v>
          </cell>
          <cell r="L181">
            <v>927</v>
          </cell>
          <cell r="N181">
            <v>508923</v>
          </cell>
          <cell r="R181" t="b">
            <v>0</v>
          </cell>
        </row>
        <row r="182">
          <cell r="A182" t="str">
            <v>AJSB</v>
          </cell>
          <cell r="B182">
            <v>400</v>
          </cell>
          <cell r="C182" t="str">
            <v>BIPDC00H</v>
          </cell>
          <cell r="D182" t="str">
            <v>관보온,아티론,일반AL</v>
          </cell>
          <cell r="E182" t="str">
            <v>5T* 15A</v>
          </cell>
          <cell r="F182" t="str">
            <v>M</v>
          </cell>
          <cell r="H182">
            <v>8582.7000000000007</v>
          </cell>
          <cell r="J182">
            <v>8582.7000000000007</v>
          </cell>
          <cell r="L182">
            <v>209</v>
          </cell>
          <cell r="N182">
            <v>1793784</v>
          </cell>
          <cell r="R182" t="b">
            <v>0</v>
          </cell>
        </row>
        <row r="183">
          <cell r="A183" t="str">
            <v>AJSB</v>
          </cell>
          <cell r="B183">
            <v>500</v>
          </cell>
          <cell r="C183" t="str">
            <v>BIPP120H</v>
          </cell>
          <cell r="D183" t="str">
            <v>관보온 은폐,유리솜(동관)</v>
          </cell>
          <cell r="E183" t="str">
            <v>25T* 1/2"</v>
          </cell>
          <cell r="F183" t="str">
            <v>M</v>
          </cell>
          <cell r="H183">
            <v>366</v>
          </cell>
          <cell r="J183">
            <v>366</v>
          </cell>
          <cell r="L183">
            <v>725</v>
          </cell>
          <cell r="N183">
            <v>265350</v>
          </cell>
          <cell r="R183" t="b">
            <v>0</v>
          </cell>
        </row>
        <row r="184">
          <cell r="A184" t="str">
            <v>AJSB</v>
          </cell>
          <cell r="B184">
            <v>600</v>
          </cell>
          <cell r="C184" t="str">
            <v>MVAO110H</v>
          </cell>
          <cell r="D184" t="str">
            <v>볼밸브(황동)</v>
          </cell>
          <cell r="E184" t="str">
            <v>10K  15A</v>
          </cell>
          <cell r="F184" t="str">
            <v>EA</v>
          </cell>
          <cell r="G184">
            <v>0</v>
          </cell>
          <cell r="H184">
            <v>366</v>
          </cell>
          <cell r="J184">
            <v>366</v>
          </cell>
          <cell r="L184">
            <v>1890</v>
          </cell>
          <cell r="N184">
            <v>691740</v>
          </cell>
          <cell r="R184" t="b">
            <v>0</v>
          </cell>
        </row>
        <row r="185">
          <cell r="A185" t="str">
            <v>AJSB</v>
          </cell>
          <cell r="B185">
            <v>700</v>
          </cell>
          <cell r="C185" t="str">
            <v>MPAF0S0H</v>
          </cell>
          <cell r="D185" t="str">
            <v>황동 수전 엘보</v>
          </cell>
          <cell r="E185" t="str">
            <v>1/2B</v>
          </cell>
          <cell r="F185" t="str">
            <v>EA</v>
          </cell>
          <cell r="G185">
            <v>0</v>
          </cell>
          <cell r="H185">
            <v>366</v>
          </cell>
          <cell r="J185">
            <v>366</v>
          </cell>
          <cell r="L185">
            <v>579</v>
          </cell>
          <cell r="N185">
            <v>211914</v>
          </cell>
          <cell r="R185" t="b">
            <v>0</v>
          </cell>
        </row>
        <row r="186">
          <cell r="A186" t="str">
            <v>AJSB</v>
          </cell>
          <cell r="B186">
            <v>800</v>
          </cell>
          <cell r="C186" t="str">
            <v>MPAF3M0H</v>
          </cell>
          <cell r="D186" t="str">
            <v>황동 CXM 유니온</v>
          </cell>
          <cell r="E186" t="str">
            <v>1/2B</v>
          </cell>
          <cell r="F186" t="str">
            <v>EA</v>
          </cell>
          <cell r="G186">
            <v>0</v>
          </cell>
          <cell r="H186">
            <v>366</v>
          </cell>
          <cell r="J186">
            <v>366</v>
          </cell>
          <cell r="L186">
            <v>789</v>
          </cell>
          <cell r="N186">
            <v>288774</v>
          </cell>
          <cell r="R186" t="b">
            <v>0</v>
          </cell>
        </row>
        <row r="187">
          <cell r="A187" t="str">
            <v>AJSB</v>
          </cell>
          <cell r="B187">
            <v>900</v>
          </cell>
          <cell r="C187" t="str">
            <v>MPAF4S0H</v>
          </cell>
          <cell r="D187" t="str">
            <v>황동 니플</v>
          </cell>
          <cell r="E187" t="str">
            <v>1/2B</v>
          </cell>
          <cell r="F187" t="str">
            <v>EA</v>
          </cell>
          <cell r="G187">
            <v>0</v>
          </cell>
          <cell r="H187">
            <v>732</v>
          </cell>
          <cell r="J187">
            <v>732</v>
          </cell>
          <cell r="L187">
            <v>253</v>
          </cell>
          <cell r="N187">
            <v>185196</v>
          </cell>
          <cell r="R187" t="b">
            <v>0</v>
          </cell>
        </row>
        <row r="188">
          <cell r="A188" t="str">
            <v>AJSB</v>
          </cell>
          <cell r="B188">
            <v>1000</v>
          </cell>
          <cell r="C188" t="str">
            <v>MPBF000H</v>
          </cell>
          <cell r="D188" t="str">
            <v>PB 엘보</v>
          </cell>
          <cell r="E188" t="str">
            <v>15A</v>
          </cell>
          <cell r="F188" t="str">
            <v>EA</v>
          </cell>
          <cell r="G188">
            <v>0</v>
          </cell>
          <cell r="H188">
            <v>3843</v>
          </cell>
          <cell r="J188">
            <v>3843</v>
          </cell>
          <cell r="L188">
            <v>394</v>
          </cell>
          <cell r="N188">
            <v>1514142</v>
          </cell>
          <cell r="R188" t="b">
            <v>0</v>
          </cell>
        </row>
        <row r="189">
          <cell r="A189" t="str">
            <v>AJSB</v>
          </cell>
          <cell r="B189">
            <v>1100</v>
          </cell>
          <cell r="C189" t="str">
            <v>MPBF0S0H</v>
          </cell>
          <cell r="D189" t="str">
            <v>PB 수전엘보</v>
          </cell>
          <cell r="E189" t="str">
            <v>15A</v>
          </cell>
          <cell r="F189" t="str">
            <v>EA</v>
          </cell>
          <cell r="G189">
            <v>0</v>
          </cell>
          <cell r="H189">
            <v>915</v>
          </cell>
          <cell r="J189">
            <v>915</v>
          </cell>
          <cell r="L189">
            <v>1381</v>
          </cell>
          <cell r="N189">
            <v>1263615</v>
          </cell>
          <cell r="R189" t="b">
            <v>0</v>
          </cell>
        </row>
        <row r="190">
          <cell r="A190" t="str">
            <v>AJSB</v>
          </cell>
          <cell r="B190">
            <v>1200</v>
          </cell>
          <cell r="C190" t="str">
            <v>MPBF100H</v>
          </cell>
          <cell r="D190" t="str">
            <v>PB 정 티</v>
          </cell>
          <cell r="E190" t="str">
            <v>15A</v>
          </cell>
          <cell r="F190" t="str">
            <v>EA</v>
          </cell>
          <cell r="G190">
            <v>0</v>
          </cell>
          <cell r="H190">
            <v>1830</v>
          </cell>
          <cell r="J190">
            <v>1830</v>
          </cell>
          <cell r="L190">
            <v>683</v>
          </cell>
          <cell r="N190">
            <v>1249890</v>
          </cell>
          <cell r="R190" t="b">
            <v>0</v>
          </cell>
        </row>
        <row r="191">
          <cell r="A191" t="str">
            <v>AJSB</v>
          </cell>
          <cell r="B191">
            <v>1300</v>
          </cell>
          <cell r="C191" t="str">
            <v>MPBF6M0H</v>
          </cell>
          <cell r="D191" t="str">
            <v>PB 밸브소켓(M)</v>
          </cell>
          <cell r="E191" t="str">
            <v>15A</v>
          </cell>
          <cell r="F191" t="str">
            <v>EA</v>
          </cell>
          <cell r="G191">
            <v>0</v>
          </cell>
          <cell r="H191">
            <v>732</v>
          </cell>
          <cell r="J191">
            <v>732</v>
          </cell>
          <cell r="L191">
            <v>732</v>
          </cell>
          <cell r="N191">
            <v>535824</v>
          </cell>
          <cell r="R191" t="b">
            <v>0</v>
          </cell>
        </row>
        <row r="192">
          <cell r="A192" t="str">
            <v>AJSB</v>
          </cell>
          <cell r="B192">
            <v>1400</v>
          </cell>
          <cell r="C192" t="str">
            <v>MPBFR00H</v>
          </cell>
          <cell r="D192" t="str">
            <v>PB 에어챔버</v>
          </cell>
          <cell r="E192" t="str">
            <v>15A</v>
          </cell>
          <cell r="F192" t="str">
            <v>EA</v>
          </cell>
          <cell r="G192">
            <v>0</v>
          </cell>
          <cell r="H192">
            <v>366</v>
          </cell>
          <cell r="J192">
            <v>366</v>
          </cell>
          <cell r="L192">
            <v>234</v>
          </cell>
          <cell r="N192">
            <v>85644</v>
          </cell>
          <cell r="R192" t="b">
            <v>0</v>
          </cell>
        </row>
        <row r="193">
          <cell r="A193" t="str">
            <v>AJSB</v>
          </cell>
          <cell r="B193">
            <v>1500</v>
          </cell>
          <cell r="C193" t="str">
            <v>MPBFTBLA</v>
          </cell>
          <cell r="D193" t="str">
            <v>PB용 세면기 브라켓</v>
          </cell>
          <cell r="E193" t="str">
            <v>150</v>
          </cell>
          <cell r="F193" t="str">
            <v>EA</v>
          </cell>
          <cell r="G193">
            <v>0</v>
          </cell>
          <cell r="H193">
            <v>183</v>
          </cell>
          <cell r="J193">
            <v>183</v>
          </cell>
          <cell r="L193">
            <v>195</v>
          </cell>
          <cell r="N193">
            <v>35685</v>
          </cell>
          <cell r="R193" t="b">
            <v>0</v>
          </cell>
        </row>
        <row r="194">
          <cell r="A194" t="str">
            <v>AJSB</v>
          </cell>
          <cell r="B194">
            <v>1600</v>
          </cell>
          <cell r="C194" t="str">
            <v>MPBFTBSH</v>
          </cell>
          <cell r="D194" t="str">
            <v>PB용 샤워 브라켓</v>
          </cell>
          <cell r="E194" t="str">
            <v>200</v>
          </cell>
          <cell r="F194" t="str">
            <v>EA</v>
          </cell>
          <cell r="G194">
            <v>0</v>
          </cell>
          <cell r="H194">
            <v>183</v>
          </cell>
          <cell r="J194">
            <v>183</v>
          </cell>
          <cell r="L194">
            <v>225</v>
          </cell>
          <cell r="N194">
            <v>41175</v>
          </cell>
          <cell r="R194" t="b">
            <v>0</v>
          </cell>
        </row>
        <row r="195">
          <cell r="A195" t="str">
            <v>AJSB</v>
          </cell>
          <cell r="B195">
            <v>1700</v>
          </cell>
          <cell r="C195" t="str">
            <v>MPBFTBSI</v>
          </cell>
          <cell r="D195" t="str">
            <v>PB용 씽크 브라켓</v>
          </cell>
          <cell r="E195" t="str">
            <v>200</v>
          </cell>
          <cell r="F195" t="str">
            <v>EA</v>
          </cell>
          <cell r="G195">
            <v>0</v>
          </cell>
          <cell r="H195">
            <v>183</v>
          </cell>
          <cell r="J195">
            <v>183</v>
          </cell>
          <cell r="L195">
            <v>225</v>
          </cell>
          <cell r="N195">
            <v>41175</v>
          </cell>
          <cell r="R195" t="b">
            <v>0</v>
          </cell>
        </row>
        <row r="196">
          <cell r="A196" t="str">
            <v>AJSB</v>
          </cell>
          <cell r="B196">
            <v>1800</v>
          </cell>
          <cell r="C196" t="str">
            <v>MPFGUP1H</v>
          </cell>
          <cell r="D196" t="str">
            <v>PVC 프러그</v>
          </cell>
          <cell r="E196" t="str">
            <v>15D</v>
          </cell>
          <cell r="F196" t="str">
            <v>EA</v>
          </cell>
          <cell r="G196">
            <v>0</v>
          </cell>
          <cell r="H196">
            <v>1647</v>
          </cell>
          <cell r="J196">
            <v>1647</v>
          </cell>
          <cell r="L196">
            <v>100</v>
          </cell>
          <cell r="N196">
            <v>164700</v>
          </cell>
          <cell r="R196" t="b">
            <v>0</v>
          </cell>
        </row>
        <row r="197">
          <cell r="A197" t="str">
            <v>AJSB</v>
          </cell>
          <cell r="B197">
            <v>1900</v>
          </cell>
          <cell r="C197" t="str">
            <v>MVLMAC0H</v>
          </cell>
          <cell r="D197" t="str">
            <v>급수계량기</v>
          </cell>
          <cell r="E197" t="str">
            <v>15A</v>
          </cell>
          <cell r="F197" t="str">
            <v>EA</v>
          </cell>
          <cell r="G197">
            <v>0</v>
          </cell>
          <cell r="H197">
            <v>183</v>
          </cell>
          <cell r="J197">
            <v>183</v>
          </cell>
          <cell r="L197">
            <v>9900</v>
          </cell>
          <cell r="N197">
            <v>1811700</v>
          </cell>
          <cell r="R197" t="b">
            <v>0</v>
          </cell>
        </row>
        <row r="198">
          <cell r="A198" t="str">
            <v>AJSB</v>
          </cell>
          <cell r="B198">
            <v>2000</v>
          </cell>
          <cell r="C198" t="str">
            <v>MLFH9900</v>
          </cell>
          <cell r="D198" t="str">
            <v>관붙이앵글발브(씽크용)</v>
          </cell>
          <cell r="E198" t="str">
            <v>AB-022</v>
          </cell>
          <cell r="F198" t="str">
            <v>EA</v>
          </cell>
          <cell r="G198">
            <v>0</v>
          </cell>
          <cell r="H198">
            <v>366</v>
          </cell>
          <cell r="J198">
            <v>366</v>
          </cell>
          <cell r="L198">
            <v>3100</v>
          </cell>
          <cell r="N198">
            <v>1134600</v>
          </cell>
          <cell r="R198" t="b">
            <v>0</v>
          </cell>
        </row>
        <row r="199">
          <cell r="A199" t="str">
            <v>AJSB</v>
          </cell>
          <cell r="B199">
            <v>2100</v>
          </cell>
          <cell r="C199" t="str">
            <v>MDRKAFC1</v>
          </cell>
          <cell r="D199" t="str">
            <v>천정 배기휀</v>
          </cell>
          <cell r="E199" t="str">
            <v>170*170*100D</v>
          </cell>
          <cell r="F199" t="str">
            <v>SET</v>
          </cell>
          <cell r="G199">
            <v>0</v>
          </cell>
          <cell r="H199">
            <v>183</v>
          </cell>
          <cell r="J199">
            <v>183</v>
          </cell>
          <cell r="L199">
            <v>12000</v>
          </cell>
          <cell r="N199">
            <v>2196000</v>
          </cell>
          <cell r="R199" t="b">
            <v>0</v>
          </cell>
        </row>
        <row r="200">
          <cell r="A200" t="str">
            <v>AJSB</v>
          </cell>
          <cell r="B200">
            <v>2200</v>
          </cell>
          <cell r="C200" t="str">
            <v>MDRBBA4A</v>
          </cell>
          <cell r="D200" t="str">
            <v>플렉시블 덕트호스(G/W,25T</v>
          </cell>
          <cell r="E200" t="str">
            <v>100D*1M</v>
          </cell>
          <cell r="F200" t="str">
            <v>EA</v>
          </cell>
          <cell r="G200">
            <v>0</v>
          </cell>
          <cell r="H200">
            <v>549</v>
          </cell>
          <cell r="J200">
            <v>549</v>
          </cell>
          <cell r="L200">
            <v>2200</v>
          </cell>
          <cell r="N200">
            <v>1207800</v>
          </cell>
          <cell r="R200" t="b">
            <v>0</v>
          </cell>
        </row>
        <row r="201">
          <cell r="A201" t="str">
            <v>AJSB</v>
          </cell>
          <cell r="B201">
            <v>2300</v>
          </cell>
          <cell r="C201" t="str">
            <v>MDRRFD4C</v>
          </cell>
          <cell r="D201" t="str">
            <v>화이어댐퍼,아파트(W/FUSE)</v>
          </cell>
          <cell r="E201" t="str">
            <v>100D*300L</v>
          </cell>
          <cell r="F201" t="str">
            <v>EA</v>
          </cell>
          <cell r="G201">
            <v>0</v>
          </cell>
          <cell r="H201">
            <v>366</v>
          </cell>
          <cell r="J201">
            <v>366</v>
          </cell>
          <cell r="L201">
            <v>3000</v>
          </cell>
          <cell r="N201">
            <v>1098000</v>
          </cell>
          <cell r="R201" t="b">
            <v>0</v>
          </cell>
        </row>
        <row r="202">
          <cell r="A202" t="str">
            <v>AJSB</v>
          </cell>
          <cell r="B202">
            <v>2400</v>
          </cell>
          <cell r="C202" t="str">
            <v>MGAAS30H</v>
          </cell>
          <cell r="D202" t="str">
            <v>SUS 주름관(급수,급탕)</v>
          </cell>
          <cell r="E202" t="str">
            <v>15D*300L</v>
          </cell>
          <cell r="F202" t="str">
            <v>EA</v>
          </cell>
          <cell r="G202">
            <v>0</v>
          </cell>
          <cell r="H202">
            <v>366</v>
          </cell>
          <cell r="J202">
            <v>366</v>
          </cell>
          <cell r="L202">
            <v>1200</v>
          </cell>
          <cell r="N202">
            <v>439200</v>
          </cell>
          <cell r="R202" t="b">
            <v>0</v>
          </cell>
        </row>
        <row r="203">
          <cell r="A203" t="str">
            <v>AJSB</v>
          </cell>
          <cell r="B203">
            <v>2500</v>
          </cell>
          <cell r="C203" t="str">
            <v>MXAPA002</v>
          </cell>
          <cell r="D203" t="str">
            <v>열선(동파방지,센서부착형)</v>
          </cell>
          <cell r="E203" t="str">
            <v>1.5M</v>
          </cell>
          <cell r="F203" t="str">
            <v>SET</v>
          </cell>
          <cell r="G203">
            <v>0</v>
          </cell>
          <cell r="H203">
            <v>366</v>
          </cell>
          <cell r="J203">
            <v>366</v>
          </cell>
          <cell r="L203">
            <v>11000</v>
          </cell>
          <cell r="N203">
            <v>4026000</v>
          </cell>
          <cell r="R203" t="b">
            <v>0</v>
          </cell>
        </row>
        <row r="204">
          <cell r="A204" t="str">
            <v>AJSB</v>
          </cell>
          <cell r="B204">
            <v>2600</v>
          </cell>
          <cell r="C204" t="str">
            <v>MPFGCAA1</v>
          </cell>
          <cell r="D204" t="str">
            <v>방수형스리브(개별보일러)</v>
          </cell>
          <cell r="E204" t="str">
            <v>15D</v>
          </cell>
          <cell r="F204" t="str">
            <v>EA</v>
          </cell>
          <cell r="G204">
            <v>0</v>
          </cell>
          <cell r="H204">
            <v>366</v>
          </cell>
          <cell r="J204">
            <v>366</v>
          </cell>
          <cell r="L204">
            <v>2125</v>
          </cell>
          <cell r="N204">
            <v>777750</v>
          </cell>
          <cell r="R204" t="b">
            <v>0</v>
          </cell>
        </row>
        <row r="205">
          <cell r="A205" t="str">
            <v>AJSB</v>
          </cell>
          <cell r="B205">
            <v>2700</v>
          </cell>
          <cell r="C205" t="str">
            <v>BQARWCOA</v>
          </cell>
          <cell r="D205" t="str">
            <v>급수입상관 주위배관(동관)</v>
          </cell>
          <cell r="E205" t="str">
            <v>15A</v>
          </cell>
          <cell r="F205" t="str">
            <v>SET</v>
          </cell>
          <cell r="H205">
            <v>183</v>
          </cell>
          <cell r="J205">
            <v>183</v>
          </cell>
          <cell r="L205">
            <v>9389</v>
          </cell>
          <cell r="N205">
            <v>1718187</v>
          </cell>
          <cell r="R205" t="b">
            <v>0</v>
          </cell>
        </row>
        <row r="206">
          <cell r="A206" t="str">
            <v>AJSB</v>
          </cell>
          <cell r="B206">
            <v>2800</v>
          </cell>
          <cell r="C206" t="str">
            <v>BHASSL0H</v>
          </cell>
          <cell r="D206" t="str">
            <v>파이프스리브 설치</v>
          </cell>
          <cell r="E206" t="str">
            <v>15A</v>
          </cell>
          <cell r="F206" t="str">
            <v>EA</v>
          </cell>
          <cell r="H206">
            <v>366</v>
          </cell>
          <cell r="J206">
            <v>366</v>
          </cell>
          <cell r="L206">
            <v>707</v>
          </cell>
          <cell r="N206">
            <v>258762</v>
          </cell>
          <cell r="R206" t="b">
            <v>0</v>
          </cell>
        </row>
        <row r="207">
          <cell r="A207" t="str">
            <v>AJSB</v>
          </cell>
          <cell r="B207">
            <v>750000</v>
          </cell>
          <cell r="C207" t="str">
            <v>S34004A</v>
          </cell>
          <cell r="D207" t="str">
            <v>플렉시블 덕트 접합</v>
          </cell>
          <cell r="E207" t="str">
            <v>100D</v>
          </cell>
          <cell r="F207" t="str">
            <v>EA</v>
          </cell>
          <cell r="H207">
            <v>549</v>
          </cell>
          <cell r="J207">
            <v>549</v>
          </cell>
          <cell r="L207">
            <v>676</v>
          </cell>
          <cell r="N207">
            <v>371124</v>
          </cell>
        </row>
        <row r="208">
          <cell r="A208" t="str">
            <v>AJSB</v>
          </cell>
          <cell r="B208">
            <v>750000</v>
          </cell>
          <cell r="C208" t="str">
            <v>S20000H</v>
          </cell>
          <cell r="D208" t="str">
            <v>동관용접,BRAZING</v>
          </cell>
          <cell r="E208" t="str">
            <v>1/2B</v>
          </cell>
          <cell r="F208" t="str">
            <v>JNT</v>
          </cell>
          <cell r="H208">
            <v>732</v>
          </cell>
          <cell r="J208">
            <v>732</v>
          </cell>
          <cell r="L208">
            <v>65</v>
          </cell>
          <cell r="N208">
            <v>47580</v>
          </cell>
        </row>
        <row r="209">
          <cell r="A209" t="str">
            <v>AJSB</v>
          </cell>
          <cell r="B209">
            <v>750000</v>
          </cell>
          <cell r="C209" t="str">
            <v>S22A102</v>
          </cell>
          <cell r="D209" t="str">
            <v>PB관 접합,엘보</v>
          </cell>
          <cell r="E209" t="str">
            <v>15D</v>
          </cell>
          <cell r="F209" t="str">
            <v>EA</v>
          </cell>
          <cell r="H209">
            <v>3843</v>
          </cell>
          <cell r="J209">
            <v>3843</v>
          </cell>
          <cell r="L209">
            <v>104</v>
          </cell>
          <cell r="N209">
            <v>399672</v>
          </cell>
        </row>
        <row r="210">
          <cell r="A210" t="str">
            <v>AJSB</v>
          </cell>
          <cell r="B210">
            <v>750000</v>
          </cell>
          <cell r="C210" t="str">
            <v>S22A302</v>
          </cell>
          <cell r="D210" t="str">
            <v>PB관 접합,밸브 소켓</v>
          </cell>
          <cell r="E210" t="str">
            <v>15D</v>
          </cell>
          <cell r="F210" t="str">
            <v>EA</v>
          </cell>
          <cell r="H210">
            <v>2013</v>
          </cell>
          <cell r="J210">
            <v>2013</v>
          </cell>
          <cell r="L210">
            <v>52</v>
          </cell>
          <cell r="N210">
            <v>104676</v>
          </cell>
        </row>
        <row r="211">
          <cell r="A211" t="str">
            <v>AJSB</v>
          </cell>
          <cell r="B211">
            <v>750000</v>
          </cell>
          <cell r="C211" t="str">
            <v>S22A202</v>
          </cell>
          <cell r="D211" t="str">
            <v>PB관 접합,티</v>
          </cell>
          <cell r="E211" t="str">
            <v>15D</v>
          </cell>
          <cell r="F211" t="str">
            <v>EA</v>
          </cell>
          <cell r="H211">
            <v>1830</v>
          </cell>
          <cell r="J211">
            <v>1830</v>
          </cell>
          <cell r="L211">
            <v>156</v>
          </cell>
          <cell r="N211">
            <v>285480</v>
          </cell>
        </row>
        <row r="212">
          <cell r="A212" t="str">
            <v>AJSB</v>
          </cell>
          <cell r="B212">
            <v>810000</v>
          </cell>
          <cell r="C212" t="str">
            <v>OMISC03</v>
          </cell>
          <cell r="D212" t="str">
            <v>잡자재비</v>
          </cell>
          <cell r="E212" t="str">
            <v>관의 (3)％</v>
          </cell>
          <cell r="F212" t="str">
            <v>L/S</v>
          </cell>
          <cell r="H212">
            <v>1</v>
          </cell>
          <cell r="J212">
            <v>1</v>
          </cell>
          <cell r="L212">
            <v>143872</v>
          </cell>
          <cell r="N212">
            <v>143872</v>
          </cell>
        </row>
        <row r="213">
          <cell r="A213" t="str">
            <v>AJSB</v>
          </cell>
          <cell r="B213">
            <v>850000</v>
          </cell>
          <cell r="C213" t="str">
            <v>LSPWKR</v>
          </cell>
          <cell r="D213" t="str">
            <v>특별인부</v>
          </cell>
          <cell r="F213" t="str">
            <v>M/D</v>
          </cell>
          <cell r="H213">
            <v>0.3</v>
          </cell>
          <cell r="J213">
            <v>0.3</v>
          </cell>
          <cell r="L213">
            <v>31200</v>
          </cell>
          <cell r="N213">
            <v>9360</v>
          </cell>
        </row>
        <row r="214">
          <cell r="A214" t="str">
            <v>AJSB</v>
          </cell>
          <cell r="B214">
            <v>850000</v>
          </cell>
          <cell r="C214" t="str">
            <v>LWELDG</v>
          </cell>
          <cell r="D214" t="str">
            <v>용접공(일반)</v>
          </cell>
          <cell r="F214" t="str">
            <v>M/D</v>
          </cell>
          <cell r="H214">
            <v>44.4</v>
          </cell>
          <cell r="J214">
            <v>44.4</v>
          </cell>
          <cell r="L214">
            <v>39500</v>
          </cell>
          <cell r="N214">
            <v>1753800</v>
          </cell>
        </row>
        <row r="215">
          <cell r="A215" t="str">
            <v>AJSB</v>
          </cell>
          <cell r="B215">
            <v>850000</v>
          </cell>
          <cell r="C215" t="str">
            <v>LINSUL</v>
          </cell>
          <cell r="D215" t="str">
            <v>보온공</v>
          </cell>
          <cell r="F215" t="str">
            <v>M/D</v>
          </cell>
          <cell r="H215">
            <v>138.19999999999999</v>
          </cell>
          <cell r="J215">
            <v>138.19999999999999</v>
          </cell>
          <cell r="L215">
            <v>30900</v>
          </cell>
          <cell r="N215">
            <v>4270380</v>
          </cell>
        </row>
        <row r="216">
          <cell r="A216" t="str">
            <v>AJSB</v>
          </cell>
          <cell r="B216">
            <v>850000</v>
          </cell>
          <cell r="C216" t="str">
            <v>LPIPEG</v>
          </cell>
          <cell r="D216" t="str">
            <v>배관공</v>
          </cell>
          <cell r="F216" t="str">
            <v>M/D</v>
          </cell>
          <cell r="H216">
            <v>133.6</v>
          </cell>
          <cell r="J216">
            <v>133.6</v>
          </cell>
          <cell r="L216">
            <v>34400</v>
          </cell>
          <cell r="N216">
            <v>4595840</v>
          </cell>
        </row>
        <row r="217">
          <cell r="A217" t="str">
            <v>AJSB</v>
          </cell>
          <cell r="B217">
            <v>850000</v>
          </cell>
          <cell r="C217" t="str">
            <v>LDUCTR</v>
          </cell>
          <cell r="D217" t="str">
            <v>덕트공</v>
          </cell>
          <cell r="F217" t="str">
            <v>M/D</v>
          </cell>
          <cell r="H217">
            <v>71.599999999999994</v>
          </cell>
          <cell r="J217">
            <v>71.599999999999994</v>
          </cell>
          <cell r="L217">
            <v>31400</v>
          </cell>
          <cell r="N217">
            <v>2248240</v>
          </cell>
        </row>
        <row r="218">
          <cell r="A218" t="str">
            <v>AJSB</v>
          </cell>
          <cell r="B218">
            <v>850000</v>
          </cell>
          <cell r="C218" t="str">
            <v>LMILLW</v>
          </cell>
          <cell r="D218" t="str">
            <v>기계설치공</v>
          </cell>
          <cell r="F218" t="str">
            <v>M/D</v>
          </cell>
          <cell r="H218">
            <v>26.8</v>
          </cell>
          <cell r="J218">
            <v>26.8</v>
          </cell>
          <cell r="L218">
            <v>34000</v>
          </cell>
          <cell r="N218">
            <v>911200</v>
          </cell>
        </row>
        <row r="219">
          <cell r="A219" t="str">
            <v>AJSB</v>
          </cell>
          <cell r="B219">
            <v>850000</v>
          </cell>
          <cell r="C219" t="str">
            <v>LPLUMR</v>
          </cell>
          <cell r="D219" t="str">
            <v>위생공</v>
          </cell>
          <cell r="F219" t="str">
            <v>M/D</v>
          </cell>
          <cell r="H219">
            <v>22.4</v>
          </cell>
          <cell r="J219">
            <v>22.4</v>
          </cell>
          <cell r="L219">
            <v>33900</v>
          </cell>
          <cell r="N219">
            <v>759360</v>
          </cell>
        </row>
        <row r="220">
          <cell r="A220" t="str">
            <v>AJSB</v>
          </cell>
          <cell r="B220">
            <v>850000</v>
          </cell>
          <cell r="C220" t="str">
            <v>LHELPR</v>
          </cell>
          <cell r="D220" t="str">
            <v>보통인부</v>
          </cell>
          <cell r="F220" t="str">
            <v>M/D</v>
          </cell>
          <cell r="H220">
            <v>114.7</v>
          </cell>
          <cell r="J220">
            <v>114.7</v>
          </cell>
          <cell r="L220">
            <v>22300</v>
          </cell>
          <cell r="N220">
            <v>2557810</v>
          </cell>
        </row>
        <row r="221">
          <cell r="A221" t="str">
            <v>AJSB</v>
          </cell>
          <cell r="B221">
            <v>900000</v>
          </cell>
          <cell r="C221" t="str">
            <v>CAMTLP0</v>
          </cell>
          <cell r="D221" t="str">
            <v>APT 급수급탕 콘크리트깨기</v>
          </cell>
          <cell r="F221" t="str">
            <v>M</v>
          </cell>
          <cell r="H221">
            <v>1427.4</v>
          </cell>
          <cell r="J221">
            <v>1427.4</v>
          </cell>
          <cell r="L221">
            <v>1056</v>
          </cell>
          <cell r="N221">
            <v>1507334</v>
          </cell>
          <cell r="R221" t="b">
            <v>0</v>
          </cell>
        </row>
        <row r="222">
          <cell r="A222" t="str">
            <v>AJSB</v>
          </cell>
          <cell r="B222">
            <v>900000</v>
          </cell>
          <cell r="C222" t="str">
            <v>CAMTLP1</v>
          </cell>
          <cell r="D222" t="str">
            <v>APT 급수급탕 조적깨기</v>
          </cell>
          <cell r="F222" t="str">
            <v>M</v>
          </cell>
          <cell r="H222">
            <v>786.9</v>
          </cell>
          <cell r="J222">
            <v>786.9</v>
          </cell>
          <cell r="L222">
            <v>528</v>
          </cell>
          <cell r="N222">
            <v>415483</v>
          </cell>
          <cell r="R222" t="b">
            <v>0</v>
          </cell>
        </row>
        <row r="223">
          <cell r="A223" t="str">
            <v>AJSB</v>
          </cell>
          <cell r="B223">
            <v>900000</v>
          </cell>
          <cell r="C223" t="str">
            <v>CAMTLP2</v>
          </cell>
          <cell r="D223" t="str">
            <v>APT 급수급탕 몰탈보양</v>
          </cell>
          <cell r="F223" t="str">
            <v>M</v>
          </cell>
          <cell r="H223">
            <v>8582.7000000000007</v>
          </cell>
          <cell r="J223">
            <v>8582.7000000000007</v>
          </cell>
          <cell r="L223">
            <v>150</v>
          </cell>
          <cell r="N223">
            <v>1287405</v>
          </cell>
          <cell r="R223" t="b">
            <v>0</v>
          </cell>
        </row>
        <row r="224">
          <cell r="A224" t="str">
            <v>AJSB</v>
          </cell>
          <cell r="B224">
            <v>950000</v>
          </cell>
          <cell r="C224" t="str">
            <v>OMISC05</v>
          </cell>
          <cell r="D224" t="str">
            <v>도기소운반비</v>
          </cell>
          <cell r="E224" t="str">
            <v>위생공의 (5)％</v>
          </cell>
          <cell r="F224" t="str">
            <v>L/S</v>
          </cell>
          <cell r="H224">
            <v>1</v>
          </cell>
          <cell r="J224">
            <v>1</v>
          </cell>
          <cell r="L224">
            <v>37968</v>
          </cell>
          <cell r="N224">
            <v>37968</v>
          </cell>
        </row>
        <row r="225">
          <cell r="A225" t="str">
            <v>AJSB</v>
          </cell>
          <cell r="B225">
            <v>990000</v>
          </cell>
          <cell r="C225" t="str">
            <v>OMISC06</v>
          </cell>
          <cell r="D225" t="str">
            <v>공구손료</v>
          </cell>
          <cell r="E225" t="str">
            <v>인건비의 (3)％</v>
          </cell>
          <cell r="F225" t="str">
            <v>L/S</v>
          </cell>
          <cell r="H225">
            <v>1</v>
          </cell>
          <cell r="J225">
            <v>1</v>
          </cell>
          <cell r="L225">
            <v>513820</v>
          </cell>
          <cell r="N225">
            <v>513820</v>
          </cell>
        </row>
        <row r="226">
          <cell r="A226" t="str">
            <v>AJSD</v>
          </cell>
          <cell r="B226">
            <v>0</v>
          </cell>
          <cell r="C226" t="str">
            <v>WAAJSD</v>
          </cell>
          <cell r="D226" t="str">
            <v>5-3.세대 오,배수 배관공사(대가)</v>
          </cell>
        </row>
        <row r="227">
          <cell r="A227" t="str">
            <v>AJSD</v>
          </cell>
          <cell r="B227">
            <v>100</v>
          </cell>
          <cell r="C227" t="str">
            <v>MCNC14AA</v>
          </cell>
          <cell r="D227" t="str">
            <v>주철관(NO HUB)</v>
          </cell>
          <cell r="E227" t="str">
            <v>100D*1500L</v>
          </cell>
          <cell r="F227" t="str">
            <v>EA</v>
          </cell>
          <cell r="G227">
            <v>0</v>
          </cell>
          <cell r="H227">
            <v>178</v>
          </cell>
          <cell r="J227">
            <v>178</v>
          </cell>
          <cell r="L227">
            <v>10336</v>
          </cell>
          <cell r="N227">
            <v>1839808</v>
          </cell>
          <cell r="R227" t="b">
            <v>0</v>
          </cell>
        </row>
        <row r="228">
          <cell r="A228" t="str">
            <v>AJSD</v>
          </cell>
          <cell r="B228">
            <v>200</v>
          </cell>
          <cell r="C228" t="str">
            <v>MPF1201D</v>
          </cell>
          <cell r="D228" t="str">
            <v>PVC 파이프(VG2)</v>
          </cell>
          <cell r="E228" t="str">
            <v>35D</v>
          </cell>
          <cell r="F228" t="str">
            <v>M</v>
          </cell>
          <cell r="G228">
            <v>5</v>
          </cell>
          <cell r="H228">
            <v>178</v>
          </cell>
          <cell r="J228">
            <v>186.9</v>
          </cell>
          <cell r="L228">
            <v>554</v>
          </cell>
          <cell r="N228">
            <v>103543</v>
          </cell>
          <cell r="R228" t="b">
            <v>1</v>
          </cell>
        </row>
        <row r="229">
          <cell r="A229" t="str">
            <v>AJSD</v>
          </cell>
          <cell r="B229">
            <v>300</v>
          </cell>
          <cell r="C229" t="str">
            <v>MPF1202A</v>
          </cell>
          <cell r="D229" t="str">
            <v>PVC 파이프(VG2)</v>
          </cell>
          <cell r="E229" t="str">
            <v>50D</v>
          </cell>
          <cell r="F229" t="str">
            <v>M</v>
          </cell>
          <cell r="G229">
            <v>5</v>
          </cell>
          <cell r="H229">
            <v>747.6</v>
          </cell>
          <cell r="J229">
            <v>785</v>
          </cell>
          <cell r="L229">
            <v>768</v>
          </cell>
          <cell r="N229">
            <v>602880</v>
          </cell>
          <cell r="R229" t="b">
            <v>1</v>
          </cell>
        </row>
        <row r="230">
          <cell r="A230" t="str">
            <v>AJSD</v>
          </cell>
          <cell r="B230">
            <v>400</v>
          </cell>
          <cell r="C230" t="str">
            <v>MPF1204A</v>
          </cell>
          <cell r="D230" t="str">
            <v>PVC 파이프(VG2)</v>
          </cell>
          <cell r="E230" t="str">
            <v>100D</v>
          </cell>
          <cell r="F230" t="str">
            <v>M</v>
          </cell>
          <cell r="G230">
            <v>5</v>
          </cell>
          <cell r="H230">
            <v>35.6</v>
          </cell>
          <cell r="J230">
            <v>37.4</v>
          </cell>
          <cell r="L230">
            <v>2439</v>
          </cell>
          <cell r="N230">
            <v>91219</v>
          </cell>
          <cell r="R230" t="b">
            <v>1</v>
          </cell>
        </row>
        <row r="231">
          <cell r="A231" t="str">
            <v>AJSD</v>
          </cell>
          <cell r="B231">
            <v>500</v>
          </cell>
          <cell r="C231" t="str">
            <v>BIPA221D</v>
          </cell>
          <cell r="D231" t="str">
            <v>관보온 은폐,유리솜 2</v>
          </cell>
          <cell r="E231" t="str">
            <v>25T* 32A</v>
          </cell>
          <cell r="F231" t="str">
            <v>M</v>
          </cell>
          <cell r="H231">
            <v>71.2</v>
          </cell>
          <cell r="J231">
            <v>71.2</v>
          </cell>
          <cell r="L231">
            <v>1230</v>
          </cell>
          <cell r="N231">
            <v>87576</v>
          </cell>
          <cell r="R231" t="b">
            <v>0</v>
          </cell>
        </row>
        <row r="232">
          <cell r="A232" t="str">
            <v>AJSD</v>
          </cell>
          <cell r="B232">
            <v>600</v>
          </cell>
          <cell r="C232" t="str">
            <v>BIPA222A</v>
          </cell>
          <cell r="D232" t="str">
            <v>관보온 은폐,유리솜 2</v>
          </cell>
          <cell r="E232" t="str">
            <v>25T* 50A</v>
          </cell>
          <cell r="F232" t="str">
            <v>M</v>
          </cell>
          <cell r="H232">
            <v>587.4</v>
          </cell>
          <cell r="J232">
            <v>587.4</v>
          </cell>
          <cell r="L232">
            <v>1546</v>
          </cell>
          <cell r="N232">
            <v>908120</v>
          </cell>
          <cell r="R232" t="b">
            <v>0</v>
          </cell>
        </row>
        <row r="233">
          <cell r="A233" t="str">
            <v>AJSD</v>
          </cell>
          <cell r="B233">
            <v>700</v>
          </cell>
          <cell r="C233" t="str">
            <v>MCNF4B4A</v>
          </cell>
          <cell r="D233" t="str">
            <v>45도 곡관(CI),NO HUB</v>
          </cell>
          <cell r="E233" t="str">
            <v>100D</v>
          </cell>
          <cell r="F233" t="str">
            <v>EA</v>
          </cell>
          <cell r="G233">
            <v>0</v>
          </cell>
          <cell r="H233">
            <v>178</v>
          </cell>
          <cell r="J233">
            <v>178</v>
          </cell>
          <cell r="L233">
            <v>1088</v>
          </cell>
          <cell r="N233">
            <v>193664</v>
          </cell>
          <cell r="R233" t="b">
            <v>0</v>
          </cell>
        </row>
        <row r="234">
          <cell r="A234" t="str">
            <v>AJSD</v>
          </cell>
          <cell r="B234">
            <v>800</v>
          </cell>
          <cell r="C234" t="str">
            <v>MCNF9B4A</v>
          </cell>
          <cell r="D234" t="str">
            <v>90도 단곡관(CI),NO HUB</v>
          </cell>
          <cell r="E234" t="str">
            <v>100D</v>
          </cell>
          <cell r="F234" t="str">
            <v>EA</v>
          </cell>
          <cell r="G234">
            <v>0</v>
          </cell>
          <cell r="H234">
            <v>178</v>
          </cell>
          <cell r="J234">
            <v>178</v>
          </cell>
          <cell r="L234">
            <v>2368</v>
          </cell>
          <cell r="N234">
            <v>421504</v>
          </cell>
          <cell r="R234" t="b">
            <v>0</v>
          </cell>
        </row>
        <row r="235">
          <cell r="A235" t="str">
            <v>AJSD</v>
          </cell>
          <cell r="B235">
            <v>900</v>
          </cell>
          <cell r="C235" t="str">
            <v>MPFDN01D</v>
          </cell>
          <cell r="D235" t="str">
            <v>PVC 45도 곡관(DRF)</v>
          </cell>
          <cell r="E235" t="str">
            <v>35D</v>
          </cell>
          <cell r="F235" t="str">
            <v>EA</v>
          </cell>
          <cell r="G235">
            <v>0</v>
          </cell>
          <cell r="H235">
            <v>178</v>
          </cell>
          <cell r="J235">
            <v>178</v>
          </cell>
          <cell r="L235">
            <v>561</v>
          </cell>
          <cell r="N235">
            <v>99858</v>
          </cell>
          <cell r="R235" t="b">
            <v>0</v>
          </cell>
        </row>
        <row r="236">
          <cell r="A236" t="str">
            <v>AJSD</v>
          </cell>
          <cell r="B236">
            <v>1000</v>
          </cell>
          <cell r="C236" t="str">
            <v>MPFDN02A</v>
          </cell>
          <cell r="D236" t="str">
            <v>PVC 45도 곡관(DRF)</v>
          </cell>
          <cell r="E236" t="str">
            <v>50D</v>
          </cell>
          <cell r="F236" t="str">
            <v>EA</v>
          </cell>
          <cell r="G236">
            <v>0</v>
          </cell>
          <cell r="H236">
            <v>534</v>
          </cell>
          <cell r="J236">
            <v>534</v>
          </cell>
          <cell r="L236">
            <v>946</v>
          </cell>
          <cell r="N236">
            <v>505164</v>
          </cell>
          <cell r="R236" t="b">
            <v>0</v>
          </cell>
        </row>
        <row r="237">
          <cell r="A237" t="str">
            <v>AJSD</v>
          </cell>
          <cell r="B237">
            <v>1100</v>
          </cell>
          <cell r="C237" t="str">
            <v>MPFFD42A</v>
          </cell>
          <cell r="D237" t="str">
            <v>PVC 45도 곡관(DTS)</v>
          </cell>
          <cell r="E237" t="str">
            <v>50D</v>
          </cell>
          <cell r="F237" t="str">
            <v>EA</v>
          </cell>
          <cell r="G237">
            <v>0</v>
          </cell>
          <cell r="H237">
            <v>712</v>
          </cell>
          <cell r="J237">
            <v>712</v>
          </cell>
          <cell r="L237">
            <v>283</v>
          </cell>
          <cell r="N237">
            <v>201496</v>
          </cell>
          <cell r="R237" t="b">
            <v>0</v>
          </cell>
        </row>
        <row r="238">
          <cell r="A238" t="str">
            <v>AJSD</v>
          </cell>
          <cell r="B238">
            <v>1200</v>
          </cell>
          <cell r="C238" t="str">
            <v>MPFDO01D</v>
          </cell>
          <cell r="D238" t="str">
            <v>PVC 90도 곡관(DRF)</v>
          </cell>
          <cell r="E238" t="str">
            <v>35D</v>
          </cell>
          <cell r="F238" t="str">
            <v>EA</v>
          </cell>
          <cell r="G238">
            <v>0</v>
          </cell>
          <cell r="H238">
            <v>356</v>
          </cell>
          <cell r="J238">
            <v>356</v>
          </cell>
          <cell r="L238">
            <v>619</v>
          </cell>
          <cell r="N238">
            <v>220364</v>
          </cell>
          <cell r="R238" t="b">
            <v>0</v>
          </cell>
        </row>
        <row r="239">
          <cell r="A239" t="str">
            <v>AJSD</v>
          </cell>
          <cell r="B239">
            <v>1300</v>
          </cell>
          <cell r="C239" t="str">
            <v>MPFDO02A</v>
          </cell>
          <cell r="D239" t="str">
            <v>PVC 90도 곡관(DRF)</v>
          </cell>
          <cell r="E239" t="str">
            <v>50D</v>
          </cell>
          <cell r="F239" t="str">
            <v>EA</v>
          </cell>
          <cell r="G239">
            <v>0</v>
          </cell>
          <cell r="H239">
            <v>534</v>
          </cell>
          <cell r="J239">
            <v>534</v>
          </cell>
          <cell r="L239">
            <v>1070</v>
          </cell>
          <cell r="N239">
            <v>571380</v>
          </cell>
          <cell r="R239" t="b">
            <v>0</v>
          </cell>
        </row>
        <row r="240">
          <cell r="A240" t="str">
            <v>AJSD</v>
          </cell>
          <cell r="B240">
            <v>1400</v>
          </cell>
          <cell r="C240" t="str">
            <v>MPFDP51D</v>
          </cell>
          <cell r="D240" t="str">
            <v>PVC Y관(DRF)</v>
          </cell>
          <cell r="E240" t="str">
            <v>50D* 35D</v>
          </cell>
          <cell r="F240" t="str">
            <v>EA</v>
          </cell>
          <cell r="G240">
            <v>0</v>
          </cell>
          <cell r="H240">
            <v>178</v>
          </cell>
          <cell r="J240">
            <v>178</v>
          </cell>
          <cell r="L240">
            <v>1340</v>
          </cell>
          <cell r="N240">
            <v>238520</v>
          </cell>
          <cell r="R240" t="b">
            <v>0</v>
          </cell>
        </row>
        <row r="241">
          <cell r="A241" t="str">
            <v>AJSD</v>
          </cell>
          <cell r="B241">
            <v>1500</v>
          </cell>
          <cell r="C241" t="str">
            <v>MPFDP52A</v>
          </cell>
          <cell r="D241" t="str">
            <v>PVC Y관(DRF)</v>
          </cell>
          <cell r="E241" t="str">
            <v>50D* 50D</v>
          </cell>
          <cell r="F241" t="str">
            <v>EA</v>
          </cell>
          <cell r="G241">
            <v>0</v>
          </cell>
          <cell r="H241">
            <v>178</v>
          </cell>
          <cell r="J241">
            <v>178</v>
          </cell>
          <cell r="L241">
            <v>1705</v>
          </cell>
          <cell r="N241">
            <v>303490</v>
          </cell>
          <cell r="R241" t="b">
            <v>0</v>
          </cell>
        </row>
        <row r="242">
          <cell r="A242" t="str">
            <v>AJSD</v>
          </cell>
          <cell r="B242">
            <v>1600</v>
          </cell>
          <cell r="C242" t="str">
            <v>MPFDU02A</v>
          </cell>
          <cell r="D242" t="str">
            <v>PVC C-Y-A형(DRF)</v>
          </cell>
          <cell r="E242" t="str">
            <v>50D* 50D</v>
          </cell>
          <cell r="F242" t="str">
            <v>EA</v>
          </cell>
          <cell r="G242">
            <v>0</v>
          </cell>
          <cell r="H242">
            <v>178</v>
          </cell>
          <cell r="J242">
            <v>178</v>
          </cell>
          <cell r="L242">
            <v>2402</v>
          </cell>
          <cell r="N242">
            <v>427556</v>
          </cell>
          <cell r="R242" t="b">
            <v>0</v>
          </cell>
        </row>
        <row r="243">
          <cell r="A243" t="str">
            <v>AJSD</v>
          </cell>
          <cell r="B243">
            <v>1700</v>
          </cell>
          <cell r="C243" t="str">
            <v>MPFDT02A</v>
          </cell>
          <cell r="D243" t="str">
            <v>PVC P 트랩(DRF)</v>
          </cell>
          <cell r="E243" t="str">
            <v>50D</v>
          </cell>
          <cell r="F243" t="str">
            <v>EA</v>
          </cell>
          <cell r="G243">
            <v>0</v>
          </cell>
          <cell r="H243">
            <v>356</v>
          </cell>
          <cell r="J243">
            <v>356</v>
          </cell>
          <cell r="L243">
            <v>2751</v>
          </cell>
          <cell r="N243">
            <v>979356</v>
          </cell>
          <cell r="R243" t="b">
            <v>0</v>
          </cell>
        </row>
        <row r="244">
          <cell r="A244" t="str">
            <v>AJSD</v>
          </cell>
          <cell r="B244">
            <v>1800</v>
          </cell>
          <cell r="C244" t="str">
            <v>MPF1102A</v>
          </cell>
          <cell r="D244" t="str">
            <v>PVC 파이프(VG1)</v>
          </cell>
          <cell r="E244" t="str">
            <v>50D</v>
          </cell>
          <cell r="F244" t="str">
            <v>M</v>
          </cell>
          <cell r="G244">
            <v>5</v>
          </cell>
          <cell r="H244">
            <v>1192.5999999999999</v>
          </cell>
          <cell r="J244">
            <v>1252.2</v>
          </cell>
          <cell r="L244">
            <v>1619</v>
          </cell>
          <cell r="N244">
            <v>2027312</v>
          </cell>
          <cell r="R244" t="b">
            <v>1</v>
          </cell>
        </row>
        <row r="245">
          <cell r="A245" t="str">
            <v>AJSD</v>
          </cell>
          <cell r="B245">
            <v>1900</v>
          </cell>
          <cell r="C245" t="str">
            <v>MAAH100I</v>
          </cell>
          <cell r="D245" t="str">
            <v>가요전선관(PVC)</v>
          </cell>
          <cell r="E245" t="str">
            <v>22C</v>
          </cell>
          <cell r="F245" t="str">
            <v>M</v>
          </cell>
          <cell r="G245">
            <v>0</v>
          </cell>
          <cell r="H245">
            <v>676.4</v>
          </cell>
          <cell r="J245">
            <v>676.4</v>
          </cell>
          <cell r="L245">
            <v>140</v>
          </cell>
          <cell r="N245">
            <v>94696</v>
          </cell>
          <cell r="R245" t="b">
            <v>1</v>
          </cell>
        </row>
        <row r="246">
          <cell r="A246" t="str">
            <v>AJSD</v>
          </cell>
          <cell r="B246">
            <v>1901</v>
          </cell>
          <cell r="C246" t="str">
            <v>OMISC07</v>
          </cell>
          <cell r="D246" t="str">
            <v>전선관 부속</v>
          </cell>
          <cell r="E246" t="str">
            <v>전선관의 (20)％</v>
          </cell>
          <cell r="F246" t="str">
            <v>L/S</v>
          </cell>
          <cell r="H246">
            <v>1</v>
          </cell>
          <cell r="J246">
            <v>1</v>
          </cell>
          <cell r="L246">
            <v>18939</v>
          </cell>
          <cell r="N246">
            <v>18939</v>
          </cell>
        </row>
        <row r="247">
          <cell r="A247" t="str">
            <v>AJSD</v>
          </cell>
          <cell r="B247">
            <v>2000</v>
          </cell>
          <cell r="C247" t="str">
            <v>MAAM003A</v>
          </cell>
          <cell r="D247" t="str">
            <v>풀박스(W/COVER)</v>
          </cell>
          <cell r="E247" t="str">
            <v>150*150*100</v>
          </cell>
          <cell r="F247" t="str">
            <v>EA</v>
          </cell>
          <cell r="G247">
            <v>0</v>
          </cell>
          <cell r="H247">
            <v>178</v>
          </cell>
          <cell r="J247">
            <v>178</v>
          </cell>
          <cell r="L247">
            <v>3400</v>
          </cell>
          <cell r="N247">
            <v>605200</v>
          </cell>
          <cell r="R247" t="b">
            <v>0</v>
          </cell>
        </row>
        <row r="248">
          <cell r="A248" t="str">
            <v>AJSD</v>
          </cell>
          <cell r="B248">
            <v>2100</v>
          </cell>
          <cell r="C248" t="str">
            <v>MPFGFD2G</v>
          </cell>
          <cell r="D248" t="str">
            <v>바닥드레인(편심)</v>
          </cell>
          <cell r="E248" t="str">
            <v>■200, 50D</v>
          </cell>
          <cell r="F248" t="str">
            <v>EA</v>
          </cell>
          <cell r="G248">
            <v>0</v>
          </cell>
          <cell r="H248">
            <v>178</v>
          </cell>
          <cell r="J248">
            <v>178</v>
          </cell>
          <cell r="L248">
            <v>14400</v>
          </cell>
          <cell r="N248">
            <v>2563200</v>
          </cell>
          <cell r="R248" t="b">
            <v>0</v>
          </cell>
        </row>
        <row r="249">
          <cell r="A249" t="str">
            <v>AJSD</v>
          </cell>
          <cell r="B249">
            <v>2200</v>
          </cell>
          <cell r="C249" t="str">
            <v>MPFGFW2C</v>
          </cell>
          <cell r="D249" t="str">
            <v>바닥드레인(세탁실)</v>
          </cell>
          <cell r="E249" t="str">
            <v>■200, 50D</v>
          </cell>
          <cell r="F249" t="str">
            <v>EA</v>
          </cell>
          <cell r="G249">
            <v>0</v>
          </cell>
          <cell r="H249">
            <v>178</v>
          </cell>
          <cell r="J249">
            <v>178</v>
          </cell>
          <cell r="L249">
            <v>14000</v>
          </cell>
          <cell r="N249">
            <v>2492000</v>
          </cell>
          <cell r="R249" t="b">
            <v>0</v>
          </cell>
        </row>
        <row r="250">
          <cell r="A250" t="str">
            <v>AJSD</v>
          </cell>
          <cell r="B250">
            <v>2300</v>
          </cell>
          <cell r="C250" t="str">
            <v>MPFGGL1D</v>
          </cell>
          <cell r="D250" t="str">
            <v>세면기 배수구 가스켓</v>
          </cell>
          <cell r="E250" t="str">
            <v>35D</v>
          </cell>
          <cell r="F250" t="str">
            <v>EA</v>
          </cell>
          <cell r="G250">
            <v>0</v>
          </cell>
          <cell r="H250">
            <v>178</v>
          </cell>
          <cell r="J250">
            <v>178</v>
          </cell>
          <cell r="L250">
            <v>250</v>
          </cell>
          <cell r="N250">
            <v>44500</v>
          </cell>
          <cell r="R250" t="b">
            <v>0</v>
          </cell>
        </row>
        <row r="251">
          <cell r="A251" t="str">
            <v>AJSD</v>
          </cell>
          <cell r="B251">
            <v>2400</v>
          </cell>
          <cell r="C251" t="str">
            <v>MPFGSL1D</v>
          </cell>
          <cell r="D251" t="str">
            <v>PVC 세면기 스리브</v>
          </cell>
          <cell r="E251" t="str">
            <v>35D</v>
          </cell>
          <cell r="F251" t="str">
            <v>EA</v>
          </cell>
          <cell r="G251">
            <v>0</v>
          </cell>
          <cell r="H251">
            <v>178</v>
          </cell>
          <cell r="J251">
            <v>178</v>
          </cell>
          <cell r="L251">
            <v>720</v>
          </cell>
          <cell r="N251">
            <v>128160</v>
          </cell>
          <cell r="R251" t="b">
            <v>0</v>
          </cell>
        </row>
        <row r="252">
          <cell r="A252" t="str">
            <v>AJSD</v>
          </cell>
          <cell r="B252">
            <v>2500</v>
          </cell>
          <cell r="C252" t="str">
            <v>MPFGSB2A</v>
          </cell>
          <cell r="D252" t="str">
            <v>PVC 욕조 스리브</v>
          </cell>
          <cell r="E252" t="str">
            <v>50D</v>
          </cell>
          <cell r="F252" t="str">
            <v>EA</v>
          </cell>
          <cell r="G252">
            <v>0</v>
          </cell>
          <cell r="H252">
            <v>178</v>
          </cell>
          <cell r="J252">
            <v>178</v>
          </cell>
          <cell r="L252">
            <v>800</v>
          </cell>
          <cell r="N252">
            <v>142400</v>
          </cell>
          <cell r="R252" t="b">
            <v>0</v>
          </cell>
        </row>
        <row r="253">
          <cell r="A253" t="str">
            <v>AJSD</v>
          </cell>
          <cell r="B253">
            <v>2600</v>
          </cell>
          <cell r="C253" t="str">
            <v>MPFGSR4A</v>
          </cell>
          <cell r="D253" t="str">
            <v>PVC 양변기 스리브,RR</v>
          </cell>
          <cell r="E253" t="str">
            <v>100D</v>
          </cell>
          <cell r="F253" t="str">
            <v>EA</v>
          </cell>
          <cell r="G253">
            <v>0</v>
          </cell>
          <cell r="H253">
            <v>178</v>
          </cell>
          <cell r="J253">
            <v>178</v>
          </cell>
          <cell r="L253">
            <v>1630</v>
          </cell>
          <cell r="N253">
            <v>290140</v>
          </cell>
          <cell r="R253" t="b">
            <v>0</v>
          </cell>
        </row>
        <row r="254">
          <cell r="A254" t="str">
            <v>AJSD</v>
          </cell>
          <cell r="B254">
            <v>2700</v>
          </cell>
          <cell r="C254" t="str">
            <v>MPFGVS2A</v>
          </cell>
          <cell r="D254" t="str">
            <v>PVC 밸브소켓(DTS)</v>
          </cell>
          <cell r="E254" t="str">
            <v>50D</v>
          </cell>
          <cell r="F254" t="str">
            <v>EA</v>
          </cell>
          <cell r="G254">
            <v>0</v>
          </cell>
          <cell r="H254">
            <v>178</v>
          </cell>
          <cell r="J254">
            <v>178</v>
          </cell>
          <cell r="L254">
            <v>587</v>
          </cell>
          <cell r="N254">
            <v>104486</v>
          </cell>
          <cell r="R254" t="b">
            <v>0</v>
          </cell>
        </row>
        <row r="255">
          <cell r="A255" t="str">
            <v>AJSD</v>
          </cell>
          <cell r="B255">
            <v>2800</v>
          </cell>
          <cell r="C255" t="str">
            <v>BHAA001D</v>
          </cell>
          <cell r="D255" t="str">
            <v>파이프행거 설치</v>
          </cell>
          <cell r="E255" t="str">
            <v>32A</v>
          </cell>
          <cell r="F255" t="str">
            <v>EA</v>
          </cell>
          <cell r="H255">
            <v>178</v>
          </cell>
          <cell r="J255">
            <v>178</v>
          </cell>
          <cell r="L255">
            <v>560</v>
          </cell>
          <cell r="N255">
            <v>99680</v>
          </cell>
          <cell r="R255" t="b">
            <v>0</v>
          </cell>
        </row>
        <row r="256">
          <cell r="A256" t="str">
            <v>AJSD</v>
          </cell>
          <cell r="B256">
            <v>2900</v>
          </cell>
          <cell r="C256" t="str">
            <v>BHAA002A</v>
          </cell>
          <cell r="D256" t="str">
            <v>파이프행거 설치</v>
          </cell>
          <cell r="E256" t="str">
            <v>50A</v>
          </cell>
          <cell r="F256" t="str">
            <v>EA</v>
          </cell>
          <cell r="H256">
            <v>890</v>
          </cell>
          <cell r="J256">
            <v>890</v>
          </cell>
          <cell r="L256">
            <v>696</v>
          </cell>
          <cell r="N256">
            <v>619440</v>
          </cell>
          <cell r="R256" t="b">
            <v>0</v>
          </cell>
        </row>
        <row r="257">
          <cell r="A257" t="str">
            <v>AJSD</v>
          </cell>
          <cell r="B257">
            <v>3000</v>
          </cell>
          <cell r="C257" t="str">
            <v>BHAA004A</v>
          </cell>
          <cell r="D257" t="str">
            <v>파이프행거 설치</v>
          </cell>
          <cell r="E257" t="str">
            <v>100A</v>
          </cell>
          <cell r="F257" t="str">
            <v>EA</v>
          </cell>
          <cell r="H257">
            <v>534</v>
          </cell>
          <cell r="J257">
            <v>534</v>
          </cell>
          <cell r="L257">
            <v>1291</v>
          </cell>
          <cell r="N257">
            <v>689394</v>
          </cell>
          <cell r="R257" t="b">
            <v>0</v>
          </cell>
        </row>
        <row r="258">
          <cell r="A258" t="str">
            <v>AJSD</v>
          </cell>
          <cell r="B258">
            <v>3100</v>
          </cell>
          <cell r="C258" t="str">
            <v>BHASSL2A</v>
          </cell>
          <cell r="D258" t="str">
            <v>파이프스리브 설치</v>
          </cell>
          <cell r="E258" t="str">
            <v>50A</v>
          </cell>
          <cell r="F258" t="str">
            <v>EA</v>
          </cell>
          <cell r="H258">
            <v>178</v>
          </cell>
          <cell r="J258">
            <v>178</v>
          </cell>
          <cell r="L258">
            <v>2567</v>
          </cell>
          <cell r="N258">
            <v>456926</v>
          </cell>
          <cell r="R258" t="b">
            <v>0</v>
          </cell>
        </row>
        <row r="259">
          <cell r="A259" t="str">
            <v>AJSD</v>
          </cell>
          <cell r="B259">
            <v>750000</v>
          </cell>
          <cell r="C259" t="str">
            <v>S22N04A</v>
          </cell>
          <cell r="D259" t="str">
            <v>주철관접합(N/H)</v>
          </cell>
          <cell r="E259" t="str">
            <v>100D</v>
          </cell>
          <cell r="F259" t="str">
            <v>JNT</v>
          </cell>
          <cell r="H259">
            <v>890</v>
          </cell>
          <cell r="J259">
            <v>890</v>
          </cell>
          <cell r="L259">
            <v>2163</v>
          </cell>
          <cell r="N259">
            <v>1925070</v>
          </cell>
        </row>
        <row r="260">
          <cell r="A260" t="str">
            <v>AJSD</v>
          </cell>
          <cell r="B260">
            <v>810000</v>
          </cell>
          <cell r="C260" t="str">
            <v>OMISC03</v>
          </cell>
          <cell r="D260" t="str">
            <v>잡자재비</v>
          </cell>
          <cell r="E260" t="str">
            <v>관의 (3)％</v>
          </cell>
          <cell r="F260" t="str">
            <v>L/S</v>
          </cell>
          <cell r="H260">
            <v>1</v>
          </cell>
          <cell r="J260">
            <v>1</v>
          </cell>
          <cell r="L260">
            <v>87959</v>
          </cell>
          <cell r="N260">
            <v>87959</v>
          </cell>
        </row>
        <row r="261">
          <cell r="A261" t="str">
            <v>AJSD</v>
          </cell>
          <cell r="B261">
            <v>850000</v>
          </cell>
          <cell r="C261" t="str">
            <v>LPAINT</v>
          </cell>
          <cell r="D261" t="str">
            <v>도장공</v>
          </cell>
          <cell r="F261" t="str">
            <v>M/D</v>
          </cell>
          <cell r="H261">
            <v>1.6</v>
          </cell>
          <cell r="J261">
            <v>1.6</v>
          </cell>
          <cell r="L261">
            <v>38200</v>
          </cell>
          <cell r="N261">
            <v>61120</v>
          </cell>
        </row>
        <row r="262">
          <cell r="A262" t="str">
            <v>AJSD</v>
          </cell>
          <cell r="B262">
            <v>850000</v>
          </cell>
          <cell r="C262" t="str">
            <v>LSPWKR</v>
          </cell>
          <cell r="D262" t="str">
            <v>특별인부</v>
          </cell>
          <cell r="F262" t="str">
            <v>M/D</v>
          </cell>
          <cell r="H262">
            <v>0.2</v>
          </cell>
          <cell r="J262">
            <v>0.2</v>
          </cell>
          <cell r="L262">
            <v>31200</v>
          </cell>
          <cell r="N262">
            <v>6240</v>
          </cell>
        </row>
        <row r="263">
          <cell r="A263" t="str">
            <v>AJSD</v>
          </cell>
          <cell r="B263">
            <v>850000</v>
          </cell>
          <cell r="C263" t="str">
            <v>LWELDG</v>
          </cell>
          <cell r="D263" t="str">
            <v>용접공(일반)</v>
          </cell>
          <cell r="F263" t="str">
            <v>M/D</v>
          </cell>
          <cell r="H263">
            <v>0.4</v>
          </cell>
          <cell r="J263">
            <v>0.4</v>
          </cell>
          <cell r="L263">
            <v>39500</v>
          </cell>
          <cell r="N263">
            <v>15800</v>
          </cell>
        </row>
        <row r="264">
          <cell r="A264" t="str">
            <v>AJSD</v>
          </cell>
          <cell r="B264">
            <v>850000</v>
          </cell>
          <cell r="C264" t="str">
            <v>LINSUL</v>
          </cell>
          <cell r="D264" t="str">
            <v>보온공</v>
          </cell>
          <cell r="F264" t="str">
            <v>M/D</v>
          </cell>
          <cell r="H264">
            <v>19.2</v>
          </cell>
          <cell r="J264">
            <v>19.2</v>
          </cell>
          <cell r="L264">
            <v>30900</v>
          </cell>
          <cell r="N264">
            <v>593280</v>
          </cell>
        </row>
        <row r="265">
          <cell r="A265" t="str">
            <v>AJSD</v>
          </cell>
          <cell r="B265">
            <v>850000</v>
          </cell>
          <cell r="C265" t="str">
            <v>LINTEL</v>
          </cell>
          <cell r="D265" t="str">
            <v>내선전공</v>
          </cell>
          <cell r="F265" t="str">
            <v>M/D</v>
          </cell>
          <cell r="H265">
            <v>49.2</v>
          </cell>
          <cell r="J265">
            <v>49.2</v>
          </cell>
          <cell r="L265">
            <v>36400</v>
          </cell>
          <cell r="N265">
            <v>1790880</v>
          </cell>
        </row>
        <row r="266">
          <cell r="A266" t="str">
            <v>AJSD</v>
          </cell>
          <cell r="B266">
            <v>850000</v>
          </cell>
          <cell r="C266" t="str">
            <v>LHELPR</v>
          </cell>
          <cell r="D266" t="str">
            <v>보통인부</v>
          </cell>
          <cell r="F266" t="str">
            <v>M/D</v>
          </cell>
          <cell r="H266">
            <v>67.900000000000006</v>
          </cell>
          <cell r="J266">
            <v>67.900000000000006</v>
          </cell>
          <cell r="L266">
            <v>22300</v>
          </cell>
          <cell r="N266">
            <v>1514170</v>
          </cell>
        </row>
        <row r="267">
          <cell r="A267" t="str">
            <v>AJSD</v>
          </cell>
          <cell r="B267">
            <v>850000</v>
          </cell>
          <cell r="C267" t="str">
            <v>LPIPEG</v>
          </cell>
          <cell r="D267" t="str">
            <v>배관공</v>
          </cell>
          <cell r="F267" t="str">
            <v>M/D</v>
          </cell>
          <cell r="H267">
            <v>165.9</v>
          </cell>
          <cell r="J267">
            <v>165.9</v>
          </cell>
          <cell r="L267">
            <v>34400</v>
          </cell>
          <cell r="N267">
            <v>5706960</v>
          </cell>
        </row>
        <row r="268">
          <cell r="A268" t="str">
            <v>AJSD</v>
          </cell>
          <cell r="B268">
            <v>900000</v>
          </cell>
          <cell r="C268" t="str">
            <v>CAMTLP5</v>
          </cell>
          <cell r="D268" t="str">
            <v>APT씽크배수몰탈보양(PVC)</v>
          </cell>
          <cell r="E268" t="str">
            <v>50A</v>
          </cell>
          <cell r="F268" t="str">
            <v>M</v>
          </cell>
          <cell r="H268">
            <v>1192.5999999999999</v>
          </cell>
          <cell r="J268">
            <v>1192.5999999999999</v>
          </cell>
          <cell r="L268">
            <v>892</v>
          </cell>
          <cell r="N268">
            <v>1063799</v>
          </cell>
          <cell r="R268" t="b">
            <v>0</v>
          </cell>
        </row>
        <row r="269">
          <cell r="A269" t="str">
            <v>AJSD</v>
          </cell>
          <cell r="B269">
            <v>990000</v>
          </cell>
          <cell r="C269" t="str">
            <v>OMISC06</v>
          </cell>
          <cell r="D269" t="str">
            <v>공구손료</v>
          </cell>
          <cell r="E269" t="str">
            <v>인건비의 (3)％</v>
          </cell>
          <cell r="F269" t="str">
            <v>L/S</v>
          </cell>
          <cell r="H269">
            <v>1</v>
          </cell>
          <cell r="J269">
            <v>1</v>
          </cell>
          <cell r="L269">
            <v>290751</v>
          </cell>
          <cell r="N269">
            <v>290751</v>
          </cell>
        </row>
        <row r="270">
          <cell r="A270" t="str">
            <v>AJSR</v>
          </cell>
          <cell r="B270">
            <v>0</v>
          </cell>
          <cell r="C270" t="str">
            <v>WAAJSR</v>
          </cell>
          <cell r="D270" t="str">
            <v>5-4.입상횡주 급수급탕배관공사(대가)</v>
          </cell>
        </row>
        <row r="271">
          <cell r="A271" t="str">
            <v>AJSR</v>
          </cell>
          <cell r="B271">
            <v>100</v>
          </cell>
          <cell r="C271" t="str">
            <v>MPC0000V</v>
          </cell>
          <cell r="D271" t="str">
            <v>PPC 코일</v>
          </cell>
          <cell r="E271" t="str">
            <v>15D</v>
          </cell>
          <cell r="F271" t="str">
            <v>M</v>
          </cell>
          <cell r="G271">
            <v>5</v>
          </cell>
          <cell r="H271">
            <v>462.8</v>
          </cell>
          <cell r="J271">
            <v>485.9</v>
          </cell>
          <cell r="L271">
            <v>190</v>
          </cell>
          <cell r="N271">
            <v>92321</v>
          </cell>
          <cell r="R271" t="b">
            <v>1</v>
          </cell>
        </row>
        <row r="272">
          <cell r="A272" t="str">
            <v>AJSR</v>
          </cell>
          <cell r="B272">
            <v>200</v>
          </cell>
          <cell r="C272" t="str">
            <v>MP10102A</v>
          </cell>
          <cell r="D272" t="str">
            <v>배관용 탄소강관(SPP)</v>
          </cell>
          <cell r="E272" t="str">
            <v>50A</v>
          </cell>
          <cell r="F272" t="str">
            <v>M</v>
          </cell>
          <cell r="G272">
            <v>5</v>
          </cell>
          <cell r="H272">
            <v>2</v>
          </cell>
          <cell r="J272">
            <v>2.1</v>
          </cell>
          <cell r="L272">
            <v>3055</v>
          </cell>
          <cell r="N272">
            <v>6416</v>
          </cell>
          <cell r="R272" t="b">
            <v>1</v>
          </cell>
        </row>
        <row r="273">
          <cell r="A273" t="str">
            <v>AJSR</v>
          </cell>
          <cell r="B273">
            <v>300</v>
          </cell>
          <cell r="C273" t="str">
            <v>MP10105A</v>
          </cell>
          <cell r="D273" t="str">
            <v>배관용 탄소강관(SPP)</v>
          </cell>
          <cell r="E273" t="str">
            <v>125A</v>
          </cell>
          <cell r="F273" t="str">
            <v>M</v>
          </cell>
          <cell r="G273">
            <v>5</v>
          </cell>
          <cell r="H273">
            <v>16.100000000000001</v>
          </cell>
          <cell r="J273">
            <v>16.899999999999999</v>
          </cell>
          <cell r="L273">
            <v>9526</v>
          </cell>
          <cell r="N273">
            <v>160989</v>
          </cell>
          <cell r="R273" t="b">
            <v>1</v>
          </cell>
        </row>
        <row r="274">
          <cell r="A274" t="str">
            <v>AJSR</v>
          </cell>
          <cell r="B274">
            <v>301</v>
          </cell>
          <cell r="C274" t="str">
            <v>OMIPMP10</v>
          </cell>
          <cell r="D274" t="str">
            <v>관 부속</v>
          </cell>
          <cell r="E274" t="str">
            <v>관의 (25)％</v>
          </cell>
          <cell r="F274" t="str">
            <v>L/S</v>
          </cell>
          <cell r="H274">
            <v>1</v>
          </cell>
          <cell r="J274">
            <v>1</v>
          </cell>
          <cell r="L274">
            <v>41863</v>
          </cell>
          <cell r="N274">
            <v>41863</v>
          </cell>
        </row>
        <row r="275">
          <cell r="A275" t="str">
            <v>AJSR</v>
          </cell>
          <cell r="B275">
            <v>302</v>
          </cell>
          <cell r="C275" t="str">
            <v>OMIHMP10</v>
          </cell>
          <cell r="D275" t="str">
            <v>행거 및 용접봉</v>
          </cell>
          <cell r="E275" t="str">
            <v>관의 (15)％</v>
          </cell>
          <cell r="F275" t="str">
            <v>L/S</v>
          </cell>
          <cell r="H275">
            <v>1</v>
          </cell>
          <cell r="J275">
            <v>1</v>
          </cell>
          <cell r="L275">
            <v>25118</v>
          </cell>
          <cell r="N275">
            <v>25118</v>
          </cell>
        </row>
        <row r="276">
          <cell r="A276" t="str">
            <v>AJSR</v>
          </cell>
          <cell r="B276">
            <v>400</v>
          </cell>
          <cell r="C276" t="str">
            <v>MPA0000H</v>
          </cell>
          <cell r="D276" t="str">
            <v>동관(L형)</v>
          </cell>
          <cell r="E276" t="str">
            <v>1/2B  , 15.88</v>
          </cell>
          <cell r="F276" t="str">
            <v>M</v>
          </cell>
          <cell r="G276">
            <v>5</v>
          </cell>
          <cell r="H276">
            <v>58</v>
          </cell>
          <cell r="J276">
            <v>60.9</v>
          </cell>
          <cell r="L276">
            <v>1235</v>
          </cell>
          <cell r="N276">
            <v>75212</v>
          </cell>
          <cell r="R276" t="b">
            <v>1</v>
          </cell>
        </row>
        <row r="277">
          <cell r="A277" t="str">
            <v>AJSR</v>
          </cell>
          <cell r="B277">
            <v>500</v>
          </cell>
          <cell r="C277" t="str">
            <v>MPA0000T</v>
          </cell>
          <cell r="D277" t="str">
            <v>동관(L형)</v>
          </cell>
          <cell r="E277" t="str">
            <v>3/4B  , 22.22</v>
          </cell>
          <cell r="F277" t="str">
            <v>M</v>
          </cell>
          <cell r="G277">
            <v>5</v>
          </cell>
          <cell r="H277">
            <v>28.6</v>
          </cell>
          <cell r="J277">
            <v>30</v>
          </cell>
          <cell r="L277">
            <v>1957</v>
          </cell>
          <cell r="N277">
            <v>58710</v>
          </cell>
          <cell r="R277" t="b">
            <v>1</v>
          </cell>
        </row>
        <row r="278">
          <cell r="A278" t="str">
            <v>AJSR</v>
          </cell>
          <cell r="B278">
            <v>600</v>
          </cell>
          <cell r="C278" t="str">
            <v>MPA0001A</v>
          </cell>
          <cell r="D278" t="str">
            <v>동관(L형)</v>
          </cell>
          <cell r="E278" t="str">
            <v>1B    , 28.58</v>
          </cell>
          <cell r="F278" t="str">
            <v>M</v>
          </cell>
          <cell r="G278">
            <v>5</v>
          </cell>
          <cell r="H278">
            <v>192.2</v>
          </cell>
          <cell r="J278">
            <v>201.8</v>
          </cell>
          <cell r="L278">
            <v>2823</v>
          </cell>
          <cell r="N278">
            <v>569681</v>
          </cell>
          <cell r="R278" t="b">
            <v>1</v>
          </cell>
        </row>
        <row r="279">
          <cell r="A279" t="str">
            <v>AJSR</v>
          </cell>
          <cell r="B279">
            <v>700</v>
          </cell>
          <cell r="C279" t="str">
            <v>MPA0001D</v>
          </cell>
          <cell r="D279" t="str">
            <v>동관(L형)</v>
          </cell>
          <cell r="E279" t="str">
            <v>1-1/4B, 34.92</v>
          </cell>
          <cell r="F279" t="str">
            <v>M</v>
          </cell>
          <cell r="G279">
            <v>5</v>
          </cell>
          <cell r="H279">
            <v>101.4</v>
          </cell>
          <cell r="J279">
            <v>106.5</v>
          </cell>
          <cell r="L279">
            <v>3826</v>
          </cell>
          <cell r="N279">
            <v>407469</v>
          </cell>
          <cell r="R279" t="b">
            <v>1</v>
          </cell>
        </row>
        <row r="280">
          <cell r="A280" t="str">
            <v>AJSR</v>
          </cell>
          <cell r="B280">
            <v>800</v>
          </cell>
          <cell r="C280" t="str">
            <v>MPA0001H</v>
          </cell>
          <cell r="D280" t="str">
            <v>동관(L형)</v>
          </cell>
          <cell r="E280" t="str">
            <v>1-1/2B, 41.28</v>
          </cell>
          <cell r="F280" t="str">
            <v>M</v>
          </cell>
          <cell r="G280">
            <v>5</v>
          </cell>
          <cell r="H280">
            <v>101.4</v>
          </cell>
          <cell r="J280">
            <v>106.5</v>
          </cell>
          <cell r="L280">
            <v>4927</v>
          </cell>
          <cell r="N280">
            <v>524726</v>
          </cell>
          <cell r="R280" t="b">
            <v>1</v>
          </cell>
        </row>
        <row r="281">
          <cell r="A281" t="str">
            <v>AJSR</v>
          </cell>
          <cell r="B281">
            <v>900</v>
          </cell>
          <cell r="C281" t="str">
            <v>MPA0002A</v>
          </cell>
          <cell r="D281" t="str">
            <v>동관(L형)</v>
          </cell>
          <cell r="E281" t="str">
            <v>2B    , 53.98</v>
          </cell>
          <cell r="F281" t="str">
            <v>M</v>
          </cell>
          <cell r="G281">
            <v>5</v>
          </cell>
          <cell r="H281">
            <v>221.3</v>
          </cell>
          <cell r="J281">
            <v>232.4</v>
          </cell>
          <cell r="L281">
            <v>7564</v>
          </cell>
          <cell r="N281">
            <v>1757874</v>
          </cell>
          <cell r="R281" t="b">
            <v>1</v>
          </cell>
        </row>
        <row r="282">
          <cell r="A282" t="str">
            <v>AJSR</v>
          </cell>
          <cell r="B282">
            <v>1000</v>
          </cell>
          <cell r="C282" t="str">
            <v>MPA0002H</v>
          </cell>
          <cell r="D282" t="str">
            <v>동관(L형)</v>
          </cell>
          <cell r="E282" t="str">
            <v>2-1/2B, 66.68</v>
          </cell>
          <cell r="F282" t="str">
            <v>M</v>
          </cell>
          <cell r="G282">
            <v>5</v>
          </cell>
          <cell r="H282">
            <v>85.9</v>
          </cell>
          <cell r="J282">
            <v>90.2</v>
          </cell>
          <cell r="L282">
            <v>10694</v>
          </cell>
          <cell r="N282">
            <v>964599</v>
          </cell>
          <cell r="R282" t="b">
            <v>1</v>
          </cell>
        </row>
        <row r="283">
          <cell r="A283" t="str">
            <v>AJSR</v>
          </cell>
          <cell r="B283">
            <v>1001</v>
          </cell>
          <cell r="C283" t="str">
            <v>OMIPMPA0</v>
          </cell>
          <cell r="D283" t="str">
            <v>관 부속</v>
          </cell>
          <cell r="E283" t="str">
            <v>관의 (25)％</v>
          </cell>
          <cell r="F283" t="str">
            <v>L/S</v>
          </cell>
          <cell r="H283">
            <v>1</v>
          </cell>
          <cell r="J283">
            <v>1</v>
          </cell>
          <cell r="L283">
            <v>1089443</v>
          </cell>
          <cell r="N283">
            <v>1089443</v>
          </cell>
        </row>
        <row r="284">
          <cell r="A284" t="str">
            <v>AJSR</v>
          </cell>
          <cell r="B284">
            <v>1002</v>
          </cell>
          <cell r="C284" t="str">
            <v>OMIHMPA0</v>
          </cell>
          <cell r="D284" t="str">
            <v>행거 및 용접봉</v>
          </cell>
          <cell r="E284" t="str">
            <v>관의 (15)％</v>
          </cell>
          <cell r="F284" t="str">
            <v>L/S</v>
          </cell>
          <cell r="H284">
            <v>1</v>
          </cell>
          <cell r="J284">
            <v>1</v>
          </cell>
          <cell r="L284">
            <v>653666</v>
          </cell>
          <cell r="N284">
            <v>653666</v>
          </cell>
        </row>
        <row r="285">
          <cell r="A285" t="str">
            <v>AJSR</v>
          </cell>
          <cell r="B285">
            <v>1100</v>
          </cell>
          <cell r="C285" t="str">
            <v>MPI2003A</v>
          </cell>
          <cell r="D285" t="str">
            <v>스텐레스 관(SCH#10),용접</v>
          </cell>
          <cell r="E285" t="str">
            <v>80A</v>
          </cell>
          <cell r="F285" t="str">
            <v>M</v>
          </cell>
          <cell r="G285">
            <v>5</v>
          </cell>
          <cell r="H285">
            <v>45.3</v>
          </cell>
          <cell r="J285">
            <v>47.6</v>
          </cell>
          <cell r="L285">
            <v>16086</v>
          </cell>
          <cell r="N285">
            <v>765694</v>
          </cell>
          <cell r="R285" t="b">
            <v>1</v>
          </cell>
        </row>
        <row r="286">
          <cell r="A286" t="str">
            <v>AJSR</v>
          </cell>
          <cell r="B286">
            <v>1200</v>
          </cell>
          <cell r="C286" t="str">
            <v>MPI2004A</v>
          </cell>
          <cell r="D286" t="str">
            <v>스텐레스 관(SCH#10),용접</v>
          </cell>
          <cell r="E286" t="str">
            <v>100A</v>
          </cell>
          <cell r="F286" t="str">
            <v>M</v>
          </cell>
          <cell r="G286">
            <v>5</v>
          </cell>
          <cell r="H286">
            <v>62.1</v>
          </cell>
          <cell r="J286">
            <v>65.2</v>
          </cell>
          <cell r="L286">
            <v>20794</v>
          </cell>
          <cell r="N286">
            <v>1355769</v>
          </cell>
          <cell r="R286" t="b">
            <v>1</v>
          </cell>
        </row>
        <row r="287">
          <cell r="A287" t="str">
            <v>AJSR</v>
          </cell>
          <cell r="B287">
            <v>1300</v>
          </cell>
          <cell r="C287" t="str">
            <v>MPI2006A</v>
          </cell>
          <cell r="D287" t="str">
            <v>스텐레스 관(SCH#10),용접</v>
          </cell>
          <cell r="E287" t="str">
            <v>150A</v>
          </cell>
          <cell r="F287" t="str">
            <v>M</v>
          </cell>
          <cell r="G287">
            <v>5</v>
          </cell>
          <cell r="H287">
            <v>23.7</v>
          </cell>
          <cell r="J287">
            <v>24.9</v>
          </cell>
          <cell r="L287">
            <v>34259</v>
          </cell>
          <cell r="N287">
            <v>853049</v>
          </cell>
          <cell r="R287" t="b">
            <v>1</v>
          </cell>
        </row>
        <row r="288">
          <cell r="A288" t="str">
            <v>AJSR</v>
          </cell>
          <cell r="B288">
            <v>1301</v>
          </cell>
          <cell r="C288" t="str">
            <v>OMIPMPI2</v>
          </cell>
          <cell r="D288" t="str">
            <v>관 부속</v>
          </cell>
          <cell r="E288" t="str">
            <v>관의 (25)％</v>
          </cell>
          <cell r="F288" t="str">
            <v>L/S</v>
          </cell>
          <cell r="H288">
            <v>1</v>
          </cell>
          <cell r="J288">
            <v>1</v>
          </cell>
          <cell r="L288">
            <v>743385</v>
          </cell>
          <cell r="N288">
            <v>743385</v>
          </cell>
        </row>
        <row r="289">
          <cell r="A289" t="str">
            <v>AJSR</v>
          </cell>
          <cell r="B289">
            <v>1302</v>
          </cell>
          <cell r="C289" t="str">
            <v>OMIHMPI2</v>
          </cell>
          <cell r="D289" t="str">
            <v>행거 및 용접봉</v>
          </cell>
          <cell r="E289" t="str">
            <v>관의 (15)％</v>
          </cell>
          <cell r="F289" t="str">
            <v>L/S</v>
          </cell>
          <cell r="H289">
            <v>1</v>
          </cell>
          <cell r="J289">
            <v>1</v>
          </cell>
          <cell r="L289">
            <v>446031</v>
          </cell>
          <cell r="N289">
            <v>446031</v>
          </cell>
        </row>
        <row r="290">
          <cell r="A290" t="str">
            <v>AJSR</v>
          </cell>
          <cell r="B290">
            <v>1400</v>
          </cell>
          <cell r="C290" t="str">
            <v>BIPP121A</v>
          </cell>
          <cell r="D290" t="str">
            <v>관보온 은폐,유리솜(동관)</v>
          </cell>
          <cell r="E290" t="str">
            <v>25T* 1"</v>
          </cell>
          <cell r="F290" t="str">
            <v>M</v>
          </cell>
          <cell r="H290">
            <v>192.2</v>
          </cell>
          <cell r="J290">
            <v>192.2</v>
          </cell>
          <cell r="L290">
            <v>800</v>
          </cell>
          <cell r="N290">
            <v>153760</v>
          </cell>
          <cell r="R290" t="b">
            <v>0</v>
          </cell>
        </row>
        <row r="291">
          <cell r="A291" t="str">
            <v>AJSR</v>
          </cell>
          <cell r="B291">
            <v>1500</v>
          </cell>
          <cell r="C291" t="str">
            <v>BIPP120H</v>
          </cell>
          <cell r="D291" t="str">
            <v>관보온 은폐,유리솜(동관)</v>
          </cell>
          <cell r="E291" t="str">
            <v>25T* 1/2"</v>
          </cell>
          <cell r="F291" t="str">
            <v>M</v>
          </cell>
          <cell r="H291">
            <v>58</v>
          </cell>
          <cell r="J291">
            <v>58</v>
          </cell>
          <cell r="L291">
            <v>725</v>
          </cell>
          <cell r="N291">
            <v>42050</v>
          </cell>
          <cell r="R291" t="b">
            <v>0</v>
          </cell>
        </row>
        <row r="292">
          <cell r="A292" t="str">
            <v>AJSR</v>
          </cell>
          <cell r="B292">
            <v>1600</v>
          </cell>
          <cell r="C292" t="str">
            <v>BIPP121D</v>
          </cell>
          <cell r="D292" t="str">
            <v>관보온 은폐,유리솜(동관)</v>
          </cell>
          <cell r="E292" t="str">
            <v>25T* 1 1/4"</v>
          </cell>
          <cell r="F292" t="str">
            <v>M</v>
          </cell>
          <cell r="H292">
            <v>101.4</v>
          </cell>
          <cell r="J292">
            <v>101.4</v>
          </cell>
          <cell r="L292">
            <v>894</v>
          </cell>
          <cell r="N292">
            <v>90652</v>
          </cell>
          <cell r="R292" t="b">
            <v>0</v>
          </cell>
        </row>
        <row r="293">
          <cell r="A293" t="str">
            <v>AJSR</v>
          </cell>
          <cell r="B293">
            <v>1700</v>
          </cell>
          <cell r="C293" t="str">
            <v>BIPP121H</v>
          </cell>
          <cell r="D293" t="str">
            <v>관보온 은폐,유리솜(동관)</v>
          </cell>
          <cell r="E293" t="str">
            <v>25T* 1 1/2"</v>
          </cell>
          <cell r="F293" t="str">
            <v>M</v>
          </cell>
          <cell r="H293">
            <v>101.4</v>
          </cell>
          <cell r="J293">
            <v>101.4</v>
          </cell>
          <cell r="L293">
            <v>1012</v>
          </cell>
          <cell r="N293">
            <v>102617</v>
          </cell>
          <cell r="R293" t="b">
            <v>0</v>
          </cell>
        </row>
        <row r="294">
          <cell r="A294" t="str">
            <v>AJSR</v>
          </cell>
          <cell r="B294">
            <v>1800</v>
          </cell>
          <cell r="C294" t="str">
            <v>BIPP122A</v>
          </cell>
          <cell r="D294" t="str">
            <v>관보온 은폐,유리솜(동관)</v>
          </cell>
          <cell r="E294" t="str">
            <v>25T* 2"</v>
          </cell>
          <cell r="F294" t="str">
            <v>M</v>
          </cell>
          <cell r="H294">
            <v>221.3</v>
          </cell>
          <cell r="J294">
            <v>221.3</v>
          </cell>
          <cell r="L294">
            <v>1094</v>
          </cell>
          <cell r="N294">
            <v>242102</v>
          </cell>
          <cell r="R294" t="b">
            <v>0</v>
          </cell>
        </row>
        <row r="295">
          <cell r="A295" t="str">
            <v>AJSR</v>
          </cell>
          <cell r="B295">
            <v>1900</v>
          </cell>
          <cell r="C295" t="str">
            <v>BIPP122H</v>
          </cell>
          <cell r="D295" t="str">
            <v>관보온 은폐,유리솜(동관)</v>
          </cell>
          <cell r="E295" t="str">
            <v>25T* 2 1/2"</v>
          </cell>
          <cell r="F295" t="str">
            <v>M</v>
          </cell>
          <cell r="H295">
            <v>85.9</v>
          </cell>
          <cell r="J295">
            <v>85.9</v>
          </cell>
          <cell r="L295">
            <v>1262</v>
          </cell>
          <cell r="N295">
            <v>108406</v>
          </cell>
          <cell r="R295" t="b">
            <v>0</v>
          </cell>
        </row>
        <row r="296">
          <cell r="A296" t="str">
            <v>AJSR</v>
          </cell>
          <cell r="B296">
            <v>2000</v>
          </cell>
          <cell r="C296" t="str">
            <v>BIPA243A</v>
          </cell>
          <cell r="D296" t="str">
            <v>관보온 은폐,유리솜 2</v>
          </cell>
          <cell r="E296" t="str">
            <v>40T* 80A</v>
          </cell>
          <cell r="F296" t="str">
            <v>M</v>
          </cell>
          <cell r="H296">
            <v>45.3</v>
          </cell>
          <cell r="J296">
            <v>45.3</v>
          </cell>
          <cell r="L296">
            <v>3141</v>
          </cell>
          <cell r="N296">
            <v>142287</v>
          </cell>
          <cell r="R296" t="b">
            <v>0</v>
          </cell>
        </row>
        <row r="297">
          <cell r="A297" t="str">
            <v>AJSR</v>
          </cell>
          <cell r="B297">
            <v>2100</v>
          </cell>
          <cell r="C297" t="str">
            <v>BIPA244A</v>
          </cell>
          <cell r="D297" t="str">
            <v>관보온 은폐,유리솜 2</v>
          </cell>
          <cell r="E297" t="str">
            <v>40T*100A</v>
          </cell>
          <cell r="F297" t="str">
            <v>M</v>
          </cell>
          <cell r="H297">
            <v>62.1</v>
          </cell>
          <cell r="J297">
            <v>62.1</v>
          </cell>
          <cell r="L297">
            <v>3744</v>
          </cell>
          <cell r="N297">
            <v>232502</v>
          </cell>
          <cell r="R297" t="b">
            <v>0</v>
          </cell>
        </row>
        <row r="298">
          <cell r="A298" t="str">
            <v>AJSR</v>
          </cell>
          <cell r="B298">
            <v>2200</v>
          </cell>
          <cell r="C298" t="str">
            <v>BIPA246A</v>
          </cell>
          <cell r="D298" t="str">
            <v>관보온 은폐,유리솜 2</v>
          </cell>
          <cell r="E298" t="str">
            <v>40T*150A</v>
          </cell>
          <cell r="F298" t="str">
            <v>M</v>
          </cell>
          <cell r="H298">
            <v>23.7</v>
          </cell>
          <cell r="J298">
            <v>23.7</v>
          </cell>
          <cell r="L298">
            <v>4971</v>
          </cell>
          <cell r="N298">
            <v>117813</v>
          </cell>
          <cell r="R298" t="b">
            <v>0</v>
          </cell>
        </row>
        <row r="299">
          <cell r="A299" t="str">
            <v>AJSR</v>
          </cell>
          <cell r="B299">
            <v>2300</v>
          </cell>
          <cell r="C299" t="str">
            <v>MVAA110H</v>
          </cell>
          <cell r="D299" t="str">
            <v>게이트밸브(청동)</v>
          </cell>
          <cell r="E299" t="str">
            <v>10K  15A</v>
          </cell>
          <cell r="F299" t="str">
            <v>EA</v>
          </cell>
          <cell r="G299">
            <v>0</v>
          </cell>
          <cell r="H299">
            <v>6</v>
          </cell>
          <cell r="J299">
            <v>6</v>
          </cell>
          <cell r="L299">
            <v>3673</v>
          </cell>
          <cell r="N299">
            <v>22038</v>
          </cell>
          <cell r="R299" t="b">
            <v>0</v>
          </cell>
        </row>
        <row r="300">
          <cell r="A300" t="str">
            <v>AJSR</v>
          </cell>
          <cell r="B300">
            <v>2400</v>
          </cell>
          <cell r="C300" t="str">
            <v>MVAA111A</v>
          </cell>
          <cell r="D300" t="str">
            <v>게이트밸브(청동)</v>
          </cell>
          <cell r="E300" t="str">
            <v>10K  25A</v>
          </cell>
          <cell r="F300" t="str">
            <v>EA</v>
          </cell>
          <cell r="G300">
            <v>0</v>
          </cell>
          <cell r="H300">
            <v>13</v>
          </cell>
          <cell r="J300">
            <v>13</v>
          </cell>
          <cell r="L300">
            <v>8052</v>
          </cell>
          <cell r="N300">
            <v>104676</v>
          </cell>
          <cell r="R300" t="b">
            <v>0</v>
          </cell>
        </row>
        <row r="301">
          <cell r="A301" t="str">
            <v>AJSR</v>
          </cell>
          <cell r="B301">
            <v>2500</v>
          </cell>
          <cell r="C301" t="str">
            <v>MVAA112A</v>
          </cell>
          <cell r="D301" t="str">
            <v>게이트밸브(청동)</v>
          </cell>
          <cell r="E301" t="str">
            <v>10K  50A</v>
          </cell>
          <cell r="F301" t="str">
            <v>EA</v>
          </cell>
          <cell r="G301">
            <v>0</v>
          </cell>
          <cell r="H301">
            <v>15</v>
          </cell>
          <cell r="J301">
            <v>15</v>
          </cell>
          <cell r="L301">
            <v>23665</v>
          </cell>
          <cell r="N301">
            <v>354975</v>
          </cell>
          <cell r="R301" t="b">
            <v>0</v>
          </cell>
        </row>
        <row r="302">
          <cell r="A302" t="str">
            <v>AJSR</v>
          </cell>
          <cell r="B302">
            <v>2600</v>
          </cell>
          <cell r="C302" t="str">
            <v>MVAB213A</v>
          </cell>
          <cell r="D302" t="str">
            <v>게이트밸브(주철)</v>
          </cell>
          <cell r="E302" t="str">
            <v>10K  80A</v>
          </cell>
          <cell r="F302" t="str">
            <v>EA</v>
          </cell>
          <cell r="G302">
            <v>0</v>
          </cell>
          <cell r="H302">
            <v>1</v>
          </cell>
          <cell r="J302">
            <v>1</v>
          </cell>
          <cell r="L302">
            <v>48750</v>
          </cell>
          <cell r="N302">
            <v>48750</v>
          </cell>
          <cell r="R302" t="b">
            <v>0</v>
          </cell>
        </row>
        <row r="303">
          <cell r="A303" t="str">
            <v>AJSR</v>
          </cell>
          <cell r="B303">
            <v>2700</v>
          </cell>
          <cell r="C303" t="str">
            <v>MVAO110T</v>
          </cell>
          <cell r="D303" t="str">
            <v>볼밸브(황동)</v>
          </cell>
          <cell r="E303" t="str">
            <v>10K  20A</v>
          </cell>
          <cell r="F303" t="str">
            <v>EA</v>
          </cell>
          <cell r="G303">
            <v>0</v>
          </cell>
          <cell r="H303">
            <v>27</v>
          </cell>
          <cell r="J303">
            <v>27</v>
          </cell>
          <cell r="L303">
            <v>2450</v>
          </cell>
          <cell r="N303">
            <v>66150</v>
          </cell>
          <cell r="R303" t="b">
            <v>0</v>
          </cell>
        </row>
        <row r="304">
          <cell r="A304" t="str">
            <v>AJSR</v>
          </cell>
          <cell r="B304">
            <v>2800</v>
          </cell>
          <cell r="C304" t="str">
            <v>MVAUA12H</v>
          </cell>
          <cell r="D304" t="str">
            <v>버터플라이밸브(레버식)</v>
          </cell>
          <cell r="E304" t="str">
            <v>10K  65A</v>
          </cell>
          <cell r="F304" t="str">
            <v>EA</v>
          </cell>
          <cell r="G304">
            <v>0</v>
          </cell>
          <cell r="H304">
            <v>5</v>
          </cell>
          <cell r="J304">
            <v>5</v>
          </cell>
          <cell r="L304">
            <v>29932</v>
          </cell>
          <cell r="N304">
            <v>149660</v>
          </cell>
          <cell r="R304" t="b">
            <v>0</v>
          </cell>
        </row>
        <row r="305">
          <cell r="A305" t="str">
            <v>AJSR</v>
          </cell>
          <cell r="B305">
            <v>2900</v>
          </cell>
          <cell r="C305" t="str">
            <v>MVAUA13A</v>
          </cell>
          <cell r="D305" t="str">
            <v>버터플라이밸브(레버식)</v>
          </cell>
          <cell r="E305" t="str">
            <v>10K  80A</v>
          </cell>
          <cell r="F305" t="str">
            <v>EA</v>
          </cell>
          <cell r="G305">
            <v>0</v>
          </cell>
          <cell r="H305">
            <v>2</v>
          </cell>
          <cell r="J305">
            <v>2</v>
          </cell>
          <cell r="L305">
            <v>31200</v>
          </cell>
          <cell r="N305">
            <v>62400</v>
          </cell>
          <cell r="R305" t="b">
            <v>0</v>
          </cell>
        </row>
        <row r="306">
          <cell r="A306" t="str">
            <v>AJSR</v>
          </cell>
          <cell r="B306">
            <v>3000</v>
          </cell>
          <cell r="C306" t="str">
            <v>MVAWB16A</v>
          </cell>
          <cell r="D306" t="str">
            <v>버터플라이밸브(기어식)</v>
          </cell>
          <cell r="E306" t="str">
            <v>10K 150A</v>
          </cell>
          <cell r="F306" t="str">
            <v>EA</v>
          </cell>
          <cell r="G306">
            <v>0</v>
          </cell>
          <cell r="H306">
            <v>2</v>
          </cell>
          <cell r="J306">
            <v>2</v>
          </cell>
          <cell r="L306">
            <v>91800</v>
          </cell>
          <cell r="N306">
            <v>183600</v>
          </cell>
          <cell r="R306" t="b">
            <v>0</v>
          </cell>
        </row>
        <row r="307">
          <cell r="A307" t="str">
            <v>AJSR</v>
          </cell>
          <cell r="B307">
            <v>3100</v>
          </cell>
          <cell r="C307" t="str">
            <v>MVBB212H</v>
          </cell>
          <cell r="D307" t="str">
            <v>체크밸브(주철,스윙)</v>
          </cell>
          <cell r="E307" t="str">
            <v>10K  65A</v>
          </cell>
          <cell r="F307" t="str">
            <v>EA</v>
          </cell>
          <cell r="G307">
            <v>0</v>
          </cell>
          <cell r="H307">
            <v>2</v>
          </cell>
          <cell r="J307">
            <v>2</v>
          </cell>
          <cell r="L307">
            <v>46200</v>
          </cell>
          <cell r="N307">
            <v>92400</v>
          </cell>
          <cell r="R307" t="b">
            <v>0</v>
          </cell>
        </row>
        <row r="308">
          <cell r="A308" t="str">
            <v>AJSR</v>
          </cell>
          <cell r="B308">
            <v>3200</v>
          </cell>
          <cell r="C308" t="str">
            <v>MVBL216A</v>
          </cell>
          <cell r="D308" t="str">
            <v>스트레나(주철,후렌지)</v>
          </cell>
          <cell r="E308" t="str">
            <v>10K 150A</v>
          </cell>
          <cell r="F308" t="str">
            <v>EA</v>
          </cell>
          <cell r="G308">
            <v>0</v>
          </cell>
          <cell r="H308">
            <v>2</v>
          </cell>
          <cell r="J308">
            <v>2</v>
          </cell>
          <cell r="L308">
            <v>115500</v>
          </cell>
          <cell r="N308">
            <v>231000</v>
          </cell>
          <cell r="R308" t="b">
            <v>0</v>
          </cell>
        </row>
        <row r="309">
          <cell r="A309" t="str">
            <v>AJSR</v>
          </cell>
          <cell r="B309">
            <v>3300</v>
          </cell>
          <cell r="C309" t="str">
            <v>MFEHPW3A</v>
          </cell>
          <cell r="D309" t="str">
            <v>수충격방지기,소화용</v>
          </cell>
          <cell r="E309" t="str">
            <v>80A*10K</v>
          </cell>
          <cell r="F309" t="str">
            <v>EA</v>
          </cell>
          <cell r="G309">
            <v>0</v>
          </cell>
          <cell r="H309">
            <v>1</v>
          </cell>
          <cell r="J309">
            <v>1</v>
          </cell>
          <cell r="L309">
            <v>61000</v>
          </cell>
          <cell r="N309">
            <v>61000</v>
          </cell>
          <cell r="R309" t="b">
            <v>0</v>
          </cell>
        </row>
        <row r="310">
          <cell r="A310" t="str">
            <v>AJSR</v>
          </cell>
          <cell r="B310">
            <v>3400</v>
          </cell>
          <cell r="C310" t="str">
            <v>MLFH128A</v>
          </cell>
          <cell r="D310" t="str">
            <v>커플링붙이가로꼭지 15</v>
          </cell>
          <cell r="E310" t="str">
            <v>FS-128A</v>
          </cell>
          <cell r="F310" t="str">
            <v>EA</v>
          </cell>
          <cell r="G310">
            <v>0</v>
          </cell>
          <cell r="H310">
            <v>6</v>
          </cell>
          <cell r="J310">
            <v>6</v>
          </cell>
          <cell r="L310">
            <v>4000</v>
          </cell>
          <cell r="N310">
            <v>24000</v>
          </cell>
          <cell r="R310" t="b">
            <v>0</v>
          </cell>
        </row>
        <row r="311">
          <cell r="A311" t="str">
            <v>AJSR</v>
          </cell>
          <cell r="B311">
            <v>3500</v>
          </cell>
          <cell r="C311" t="str">
            <v>MVLMBU80</v>
          </cell>
          <cell r="D311" t="str">
            <v>옥외급수전함(W/COVER SUS)</v>
          </cell>
          <cell r="E311" t="str">
            <v>200*300</v>
          </cell>
          <cell r="F311" t="str">
            <v>EA</v>
          </cell>
          <cell r="G311">
            <v>0</v>
          </cell>
          <cell r="H311">
            <v>3</v>
          </cell>
          <cell r="J311">
            <v>3</v>
          </cell>
          <cell r="L311">
            <v>10000</v>
          </cell>
          <cell r="N311">
            <v>30000</v>
          </cell>
          <cell r="R311" t="b">
            <v>0</v>
          </cell>
        </row>
        <row r="312">
          <cell r="A312" t="str">
            <v>AJSR</v>
          </cell>
          <cell r="B312">
            <v>3600</v>
          </cell>
          <cell r="C312" t="str">
            <v>MVLMBS60</v>
          </cell>
          <cell r="D312" t="str">
            <v>계량기 함(STL1.6 보온포)</v>
          </cell>
          <cell r="E312" t="str">
            <v>420X520</v>
          </cell>
          <cell r="F312" t="str">
            <v>SET</v>
          </cell>
          <cell r="G312">
            <v>0</v>
          </cell>
          <cell r="H312">
            <v>183</v>
          </cell>
          <cell r="J312">
            <v>183</v>
          </cell>
          <cell r="L312">
            <v>20000</v>
          </cell>
          <cell r="N312">
            <v>3660000</v>
          </cell>
          <cell r="R312" t="b">
            <v>0</v>
          </cell>
        </row>
        <row r="313">
          <cell r="A313" t="str">
            <v>AJSR</v>
          </cell>
          <cell r="B313">
            <v>3700</v>
          </cell>
          <cell r="C313" t="str">
            <v>MXAPA001</v>
          </cell>
          <cell r="D313" t="str">
            <v>열선(동파방지,센서부착형)</v>
          </cell>
          <cell r="E313" t="str">
            <v>1.0M</v>
          </cell>
          <cell r="F313" t="str">
            <v>SET</v>
          </cell>
          <cell r="G313">
            <v>0</v>
          </cell>
          <cell r="H313">
            <v>183</v>
          </cell>
          <cell r="J313">
            <v>183</v>
          </cell>
          <cell r="L313">
            <v>9500</v>
          </cell>
          <cell r="N313">
            <v>1738500</v>
          </cell>
          <cell r="R313" t="b">
            <v>0</v>
          </cell>
        </row>
        <row r="314">
          <cell r="A314" t="str">
            <v>AJSR</v>
          </cell>
          <cell r="B314">
            <v>3800</v>
          </cell>
          <cell r="C314" t="str">
            <v>MPZA203A</v>
          </cell>
          <cell r="D314" t="str">
            <v>고정식커플링</v>
          </cell>
          <cell r="E314" t="str">
            <v>80A</v>
          </cell>
          <cell r="F314" t="str">
            <v>EA</v>
          </cell>
          <cell r="G314">
            <v>0</v>
          </cell>
          <cell r="H314">
            <v>17</v>
          </cell>
          <cell r="J314">
            <v>17</v>
          </cell>
          <cell r="L314">
            <v>18960</v>
          </cell>
          <cell r="N314">
            <v>322320</v>
          </cell>
          <cell r="R314" t="b">
            <v>0</v>
          </cell>
        </row>
        <row r="315">
          <cell r="A315" t="str">
            <v>AJSR</v>
          </cell>
          <cell r="B315">
            <v>3900</v>
          </cell>
          <cell r="C315" t="str">
            <v>MPZA204A</v>
          </cell>
          <cell r="D315" t="str">
            <v>고정식커플링</v>
          </cell>
          <cell r="E315" t="str">
            <v>100A</v>
          </cell>
          <cell r="F315" t="str">
            <v>EA</v>
          </cell>
          <cell r="G315">
            <v>0</v>
          </cell>
          <cell r="H315">
            <v>21</v>
          </cell>
          <cell r="J315">
            <v>21</v>
          </cell>
          <cell r="L315">
            <v>26800</v>
          </cell>
          <cell r="N315">
            <v>562800</v>
          </cell>
          <cell r="R315" t="b">
            <v>0</v>
          </cell>
        </row>
        <row r="316">
          <cell r="A316" t="str">
            <v>AJSR</v>
          </cell>
          <cell r="B316">
            <v>4000</v>
          </cell>
          <cell r="C316" t="str">
            <v>MPZA206A</v>
          </cell>
          <cell r="D316" t="str">
            <v>고정식커플링</v>
          </cell>
          <cell r="E316" t="str">
            <v>150A</v>
          </cell>
          <cell r="F316" t="str">
            <v>EA</v>
          </cell>
          <cell r="G316">
            <v>0</v>
          </cell>
          <cell r="H316">
            <v>8</v>
          </cell>
          <cell r="J316">
            <v>8</v>
          </cell>
          <cell r="L316">
            <v>46480</v>
          </cell>
          <cell r="N316">
            <v>371840</v>
          </cell>
          <cell r="R316" t="b">
            <v>0</v>
          </cell>
        </row>
        <row r="317">
          <cell r="A317" t="str">
            <v>AJSR</v>
          </cell>
          <cell r="B317">
            <v>4100</v>
          </cell>
          <cell r="C317" t="str">
            <v>MVCFCGP1</v>
          </cell>
          <cell r="D317" t="str">
            <v>압력계</v>
          </cell>
          <cell r="F317" t="str">
            <v>SET</v>
          </cell>
          <cell r="G317">
            <v>0</v>
          </cell>
          <cell r="H317">
            <v>2</v>
          </cell>
          <cell r="J317">
            <v>2</v>
          </cell>
          <cell r="L317">
            <v>8300</v>
          </cell>
          <cell r="N317">
            <v>16600</v>
          </cell>
          <cell r="R317" t="b">
            <v>0</v>
          </cell>
        </row>
        <row r="318">
          <cell r="A318" t="str">
            <v>AJSR</v>
          </cell>
          <cell r="B318">
            <v>4200</v>
          </cell>
          <cell r="C318" t="str">
            <v>MVLWF13A</v>
          </cell>
          <cell r="D318" t="str">
            <v>정수위밸,전자볼탑형,YAW-2</v>
          </cell>
          <cell r="E318" t="str">
            <v>10K  80A</v>
          </cell>
          <cell r="F318" t="str">
            <v>EA</v>
          </cell>
          <cell r="G318">
            <v>0</v>
          </cell>
          <cell r="H318">
            <v>1</v>
          </cell>
          <cell r="J318">
            <v>1</v>
          </cell>
          <cell r="L318">
            <v>862500</v>
          </cell>
          <cell r="N318">
            <v>862500</v>
          </cell>
          <cell r="R318" t="b">
            <v>0</v>
          </cell>
        </row>
        <row r="319">
          <cell r="A319" t="str">
            <v>AJSR</v>
          </cell>
          <cell r="B319">
            <v>4300</v>
          </cell>
          <cell r="C319" t="str">
            <v>MVCG001H</v>
          </cell>
          <cell r="D319" t="str">
            <v>볼탑밸브(피스텍,SUS볼)</v>
          </cell>
          <cell r="E319" t="str">
            <v>80A</v>
          </cell>
          <cell r="F319" t="str">
            <v>EA</v>
          </cell>
          <cell r="G319">
            <v>0</v>
          </cell>
          <cell r="H319">
            <v>2</v>
          </cell>
          <cell r="J319">
            <v>2</v>
          </cell>
          <cell r="L319">
            <v>492240</v>
          </cell>
          <cell r="N319">
            <v>984480</v>
          </cell>
          <cell r="R319" t="b">
            <v>0</v>
          </cell>
        </row>
        <row r="320">
          <cell r="A320" t="str">
            <v>AJSR</v>
          </cell>
          <cell r="B320">
            <v>4400</v>
          </cell>
          <cell r="C320" t="str">
            <v>B2AW3A3A</v>
          </cell>
          <cell r="D320" t="str">
            <v>2방변장치,SU WELD,10K 1</v>
          </cell>
          <cell r="E320" t="str">
            <v>80A*CV* 80A</v>
          </cell>
          <cell r="F320" t="str">
            <v>SET</v>
          </cell>
          <cell r="H320">
            <v>1</v>
          </cell>
          <cell r="J320">
            <v>1</v>
          </cell>
          <cell r="L320">
            <v>536180</v>
          </cell>
          <cell r="N320">
            <v>536180</v>
          </cell>
          <cell r="R320" t="b">
            <v>0</v>
          </cell>
        </row>
        <row r="321">
          <cell r="A321" t="str">
            <v>AJSR</v>
          </cell>
          <cell r="B321">
            <v>4500</v>
          </cell>
          <cell r="C321" t="str">
            <v>MP6M105A</v>
          </cell>
          <cell r="D321" t="str">
            <v>맹 후렌지,KS</v>
          </cell>
          <cell r="E321" t="str">
            <v>10K 125A</v>
          </cell>
          <cell r="F321" t="str">
            <v>EA</v>
          </cell>
          <cell r="G321">
            <v>0</v>
          </cell>
          <cell r="H321">
            <v>1</v>
          </cell>
          <cell r="J321">
            <v>1</v>
          </cell>
          <cell r="L321">
            <v>7454</v>
          </cell>
          <cell r="N321">
            <v>7454</v>
          </cell>
          <cell r="R321" t="b">
            <v>0</v>
          </cell>
        </row>
        <row r="322">
          <cell r="A322" t="str">
            <v>AJSR</v>
          </cell>
          <cell r="B322">
            <v>4600</v>
          </cell>
          <cell r="C322" t="str">
            <v>BFBA103A</v>
          </cell>
          <cell r="D322" t="str">
            <v>스틸 후렌지 접합,SO</v>
          </cell>
          <cell r="E322" t="str">
            <v>10K  80A</v>
          </cell>
          <cell r="F322" t="str">
            <v>JNT</v>
          </cell>
          <cell r="H322">
            <v>2</v>
          </cell>
          <cell r="J322">
            <v>2</v>
          </cell>
          <cell r="L322">
            <v>4293</v>
          </cell>
          <cell r="N322">
            <v>8586</v>
          </cell>
          <cell r="R322" t="b">
            <v>0</v>
          </cell>
        </row>
        <row r="323">
          <cell r="A323" t="str">
            <v>AJSR</v>
          </cell>
          <cell r="B323">
            <v>4700</v>
          </cell>
          <cell r="C323" t="str">
            <v>BFBA105A</v>
          </cell>
          <cell r="D323" t="str">
            <v>스틸 후렌지 접합,SO</v>
          </cell>
          <cell r="E323" t="str">
            <v>10K 125A</v>
          </cell>
          <cell r="F323" t="str">
            <v>JNT</v>
          </cell>
          <cell r="H323">
            <v>1</v>
          </cell>
          <cell r="J323">
            <v>1</v>
          </cell>
          <cell r="L323">
            <v>7075</v>
          </cell>
          <cell r="N323">
            <v>7075</v>
          </cell>
          <cell r="R323" t="b">
            <v>0</v>
          </cell>
        </row>
        <row r="324">
          <cell r="A324" t="str">
            <v>AJSR</v>
          </cell>
          <cell r="B324">
            <v>4800</v>
          </cell>
          <cell r="C324" t="str">
            <v>BFCC102H</v>
          </cell>
          <cell r="D324" t="str">
            <v>동 후렌지 접합,절연-B</v>
          </cell>
          <cell r="E324" t="str">
            <v>10K  65A</v>
          </cell>
          <cell r="F324" t="str">
            <v>JNT</v>
          </cell>
          <cell r="H324">
            <v>14</v>
          </cell>
          <cell r="J324">
            <v>14</v>
          </cell>
          <cell r="L324">
            <v>11073</v>
          </cell>
          <cell r="N324">
            <v>155022</v>
          </cell>
          <cell r="R324" t="b">
            <v>0</v>
          </cell>
        </row>
        <row r="325">
          <cell r="A325" t="str">
            <v>AJSR</v>
          </cell>
          <cell r="B325">
            <v>4900</v>
          </cell>
          <cell r="C325" t="str">
            <v>MPWHB16A</v>
          </cell>
          <cell r="D325" t="str">
            <v>스텐레스 맹 후렌지</v>
          </cell>
          <cell r="E325" t="str">
            <v>10K 150A</v>
          </cell>
          <cell r="F325" t="str">
            <v>EA</v>
          </cell>
          <cell r="G325">
            <v>0</v>
          </cell>
          <cell r="H325">
            <v>1</v>
          </cell>
          <cell r="J325">
            <v>1</v>
          </cell>
          <cell r="L325">
            <v>28050</v>
          </cell>
          <cell r="N325">
            <v>28050</v>
          </cell>
          <cell r="R325" t="b">
            <v>0</v>
          </cell>
        </row>
        <row r="326">
          <cell r="A326" t="str">
            <v>AJSR</v>
          </cell>
          <cell r="B326">
            <v>5000</v>
          </cell>
          <cell r="C326" t="str">
            <v>BFSWI13A</v>
          </cell>
          <cell r="D326" t="str">
            <v>스텐레스 절연후렌지접합</v>
          </cell>
          <cell r="E326" t="str">
            <v>10K  80A</v>
          </cell>
          <cell r="F326" t="str">
            <v>JNT</v>
          </cell>
          <cell r="H326">
            <v>6</v>
          </cell>
          <cell r="J326">
            <v>6</v>
          </cell>
          <cell r="L326">
            <v>12862</v>
          </cell>
          <cell r="N326">
            <v>77172</v>
          </cell>
          <cell r="R326" t="b">
            <v>0</v>
          </cell>
        </row>
        <row r="327">
          <cell r="A327" t="str">
            <v>AJSR</v>
          </cell>
          <cell r="B327">
            <v>5100</v>
          </cell>
          <cell r="C327" t="str">
            <v>BFSWI16A</v>
          </cell>
          <cell r="D327" t="str">
            <v>스텐레스 절연후렌지접합</v>
          </cell>
          <cell r="E327" t="str">
            <v>10K 150A</v>
          </cell>
          <cell r="F327" t="str">
            <v>JNT</v>
          </cell>
          <cell r="H327">
            <v>9</v>
          </cell>
          <cell r="J327">
            <v>9</v>
          </cell>
          <cell r="L327">
            <v>37003</v>
          </cell>
          <cell r="N327">
            <v>333027</v>
          </cell>
          <cell r="R327" t="b">
            <v>0</v>
          </cell>
        </row>
        <row r="328">
          <cell r="A328" t="str">
            <v>AJSR</v>
          </cell>
          <cell r="B328">
            <v>5200</v>
          </cell>
          <cell r="C328" t="str">
            <v>BIV1002H</v>
          </cell>
          <cell r="D328" t="str">
            <v>밸브보온 1</v>
          </cell>
          <cell r="E328" t="str">
            <v>10K  65A</v>
          </cell>
          <cell r="F328" t="str">
            <v>EA</v>
          </cell>
          <cell r="H328">
            <v>2</v>
          </cell>
          <cell r="J328">
            <v>2</v>
          </cell>
          <cell r="L328">
            <v>17000</v>
          </cell>
          <cell r="N328">
            <v>34000</v>
          </cell>
          <cell r="R328" t="b">
            <v>0</v>
          </cell>
        </row>
        <row r="329">
          <cell r="A329" t="str">
            <v>AJSR</v>
          </cell>
          <cell r="B329">
            <v>5300</v>
          </cell>
          <cell r="C329" t="str">
            <v>BIV1003A</v>
          </cell>
          <cell r="D329" t="str">
            <v>밸브보온 1</v>
          </cell>
          <cell r="E329" t="str">
            <v>10K  80A</v>
          </cell>
          <cell r="F329" t="str">
            <v>EA</v>
          </cell>
          <cell r="H329">
            <v>1</v>
          </cell>
          <cell r="J329">
            <v>1</v>
          </cell>
          <cell r="L329">
            <v>20000</v>
          </cell>
          <cell r="N329">
            <v>20000</v>
          </cell>
          <cell r="R329" t="b">
            <v>0</v>
          </cell>
        </row>
        <row r="330">
          <cell r="A330" t="str">
            <v>AJSR</v>
          </cell>
          <cell r="B330">
            <v>5400</v>
          </cell>
          <cell r="C330" t="str">
            <v>BIV1006A</v>
          </cell>
          <cell r="D330" t="str">
            <v>밸브보온 1</v>
          </cell>
          <cell r="E330" t="str">
            <v>10K 150A</v>
          </cell>
          <cell r="F330" t="str">
            <v>EA</v>
          </cell>
          <cell r="H330">
            <v>2</v>
          </cell>
          <cell r="J330">
            <v>2</v>
          </cell>
          <cell r="L330">
            <v>39000</v>
          </cell>
          <cell r="N330">
            <v>78000</v>
          </cell>
          <cell r="R330" t="b">
            <v>0</v>
          </cell>
        </row>
        <row r="331">
          <cell r="A331" t="str">
            <v>AJSR</v>
          </cell>
          <cell r="B331">
            <v>5500</v>
          </cell>
          <cell r="C331" t="str">
            <v>BIV3002H</v>
          </cell>
          <cell r="D331" t="str">
            <v>밸브보온(버터플라이)</v>
          </cell>
          <cell r="E331" t="str">
            <v>65A</v>
          </cell>
          <cell r="F331" t="str">
            <v>EA</v>
          </cell>
          <cell r="H331">
            <v>5</v>
          </cell>
          <cell r="J331">
            <v>5</v>
          </cell>
          <cell r="L331">
            <v>8000</v>
          </cell>
          <cell r="N331">
            <v>40000</v>
          </cell>
          <cell r="R331" t="b">
            <v>0</v>
          </cell>
        </row>
        <row r="332">
          <cell r="A332" t="str">
            <v>AJSR</v>
          </cell>
          <cell r="B332">
            <v>5600</v>
          </cell>
          <cell r="C332" t="str">
            <v>BIV3003A</v>
          </cell>
          <cell r="D332" t="str">
            <v>밸브보온(버터플라이)</v>
          </cell>
          <cell r="E332" t="str">
            <v>80A</v>
          </cell>
          <cell r="F332" t="str">
            <v>EA</v>
          </cell>
          <cell r="H332">
            <v>2</v>
          </cell>
          <cell r="J332">
            <v>2</v>
          </cell>
          <cell r="L332">
            <v>9500</v>
          </cell>
          <cell r="N332">
            <v>19000</v>
          </cell>
          <cell r="R332" t="b">
            <v>0</v>
          </cell>
        </row>
        <row r="333">
          <cell r="A333" t="str">
            <v>AJSR</v>
          </cell>
          <cell r="B333">
            <v>5700</v>
          </cell>
          <cell r="C333" t="str">
            <v>BIV3006A</v>
          </cell>
          <cell r="D333" t="str">
            <v>밸브보온(버터플라이)</v>
          </cell>
          <cell r="E333" t="str">
            <v>150A</v>
          </cell>
          <cell r="F333" t="str">
            <v>EA</v>
          </cell>
          <cell r="H333">
            <v>2</v>
          </cell>
          <cell r="J333">
            <v>2</v>
          </cell>
          <cell r="L333">
            <v>18000</v>
          </cell>
          <cell r="N333">
            <v>36000</v>
          </cell>
          <cell r="R333" t="b">
            <v>0</v>
          </cell>
        </row>
        <row r="334">
          <cell r="A334" t="str">
            <v>AJSR</v>
          </cell>
          <cell r="B334">
            <v>5800</v>
          </cell>
          <cell r="C334" t="str">
            <v>BPACSP2A</v>
          </cell>
          <cell r="D334" t="str">
            <v>백강관 도장,색페인트</v>
          </cell>
          <cell r="E334" t="str">
            <v>2 COAT* 50A</v>
          </cell>
          <cell r="F334" t="str">
            <v>M</v>
          </cell>
          <cell r="H334">
            <v>2</v>
          </cell>
          <cell r="J334">
            <v>2</v>
          </cell>
          <cell r="L334">
            <v>226</v>
          </cell>
          <cell r="N334">
            <v>452</v>
          </cell>
          <cell r="R334" t="b">
            <v>0</v>
          </cell>
        </row>
        <row r="335">
          <cell r="A335" t="str">
            <v>AJSR</v>
          </cell>
          <cell r="B335">
            <v>5900</v>
          </cell>
          <cell r="C335" t="str">
            <v>BPACSP5A</v>
          </cell>
          <cell r="D335" t="str">
            <v>백강관 도장,색페인트</v>
          </cell>
          <cell r="E335" t="str">
            <v>2 COAT*125A</v>
          </cell>
          <cell r="F335" t="str">
            <v>M</v>
          </cell>
          <cell r="H335">
            <v>16.100000000000001</v>
          </cell>
          <cell r="J335">
            <v>16.100000000000001</v>
          </cell>
          <cell r="L335">
            <v>523</v>
          </cell>
          <cell r="N335">
            <v>8420</v>
          </cell>
          <cell r="R335" t="b">
            <v>0</v>
          </cell>
        </row>
        <row r="336">
          <cell r="A336" t="str">
            <v>AJSR</v>
          </cell>
          <cell r="B336">
            <v>6000</v>
          </cell>
          <cell r="C336" t="str">
            <v>BHASSL2H</v>
          </cell>
          <cell r="D336" t="str">
            <v>파이프스리브 설치</v>
          </cell>
          <cell r="E336" t="str">
            <v>65A</v>
          </cell>
          <cell r="F336" t="str">
            <v>EA</v>
          </cell>
          <cell r="H336">
            <v>2</v>
          </cell>
          <cell r="J336">
            <v>2</v>
          </cell>
          <cell r="L336">
            <v>4912</v>
          </cell>
          <cell r="N336">
            <v>9824</v>
          </cell>
          <cell r="R336" t="b">
            <v>0</v>
          </cell>
        </row>
        <row r="337">
          <cell r="A337" t="str">
            <v>AJSR</v>
          </cell>
          <cell r="B337">
            <v>6100</v>
          </cell>
          <cell r="C337" t="str">
            <v>BHASSL4A</v>
          </cell>
          <cell r="D337" t="str">
            <v>파이프스리브 설치</v>
          </cell>
          <cell r="E337" t="str">
            <v>100A</v>
          </cell>
          <cell r="F337" t="str">
            <v>EA</v>
          </cell>
          <cell r="H337">
            <v>1</v>
          </cell>
          <cell r="J337">
            <v>1</v>
          </cell>
          <cell r="L337">
            <v>9623</v>
          </cell>
          <cell r="N337">
            <v>9623</v>
          </cell>
          <cell r="R337" t="b">
            <v>0</v>
          </cell>
        </row>
        <row r="338">
          <cell r="A338" t="str">
            <v>AJSR</v>
          </cell>
          <cell r="B338">
            <v>6200</v>
          </cell>
          <cell r="C338" t="str">
            <v>BHASSL5A</v>
          </cell>
          <cell r="D338" t="str">
            <v>파이프스리브 설치</v>
          </cell>
          <cell r="E338" t="str">
            <v>125A</v>
          </cell>
          <cell r="F338" t="str">
            <v>EA</v>
          </cell>
          <cell r="H338">
            <v>1</v>
          </cell>
          <cell r="J338">
            <v>1</v>
          </cell>
          <cell r="L338">
            <v>16932</v>
          </cell>
          <cell r="N338">
            <v>16932</v>
          </cell>
          <cell r="R338" t="b">
            <v>0</v>
          </cell>
        </row>
        <row r="339">
          <cell r="A339" t="str">
            <v>AJSR</v>
          </cell>
          <cell r="B339">
            <v>6300</v>
          </cell>
          <cell r="C339" t="str">
            <v>BHASSL6A</v>
          </cell>
          <cell r="D339" t="str">
            <v>파이프스리브 설치</v>
          </cell>
          <cell r="E339" t="str">
            <v>150A</v>
          </cell>
          <cell r="F339" t="str">
            <v>EA</v>
          </cell>
          <cell r="H339">
            <v>1</v>
          </cell>
          <cell r="J339">
            <v>1</v>
          </cell>
          <cell r="L339">
            <v>21745</v>
          </cell>
          <cell r="N339">
            <v>21745</v>
          </cell>
          <cell r="R339" t="b">
            <v>0</v>
          </cell>
        </row>
        <row r="340">
          <cell r="A340" t="str">
            <v>AJSR</v>
          </cell>
          <cell r="B340">
            <v>6400</v>
          </cell>
          <cell r="C340" t="str">
            <v>BHATSL0H</v>
          </cell>
          <cell r="D340" t="str">
            <v>입상관스리브 설치</v>
          </cell>
          <cell r="E340" t="str">
            <v>15A</v>
          </cell>
          <cell r="F340" t="str">
            <v>EA</v>
          </cell>
          <cell r="H340">
            <v>152</v>
          </cell>
          <cell r="J340">
            <v>152</v>
          </cell>
          <cell r="L340">
            <v>521</v>
          </cell>
          <cell r="N340">
            <v>79192</v>
          </cell>
          <cell r="R340" t="b">
            <v>0</v>
          </cell>
        </row>
        <row r="341">
          <cell r="A341" t="str">
            <v>AJSR</v>
          </cell>
          <cell r="B341">
            <v>6500</v>
          </cell>
          <cell r="C341" t="str">
            <v>BHATSL1A</v>
          </cell>
          <cell r="D341" t="str">
            <v>입상관스리브 설치</v>
          </cell>
          <cell r="E341" t="str">
            <v>25A</v>
          </cell>
          <cell r="F341" t="str">
            <v>EA</v>
          </cell>
          <cell r="H341">
            <v>83</v>
          </cell>
          <cell r="J341">
            <v>83</v>
          </cell>
          <cell r="L341">
            <v>723</v>
          </cell>
          <cell r="N341">
            <v>60009</v>
          </cell>
          <cell r="R341" t="b">
            <v>0</v>
          </cell>
        </row>
        <row r="342">
          <cell r="A342" t="str">
            <v>AJSR</v>
          </cell>
          <cell r="B342">
            <v>6600</v>
          </cell>
          <cell r="C342" t="str">
            <v>BHATSL1D</v>
          </cell>
          <cell r="D342" t="str">
            <v>입상관스리브 설치</v>
          </cell>
          <cell r="E342" t="str">
            <v>32A</v>
          </cell>
          <cell r="F342" t="str">
            <v>EA</v>
          </cell>
          <cell r="H342">
            <v>39</v>
          </cell>
          <cell r="J342">
            <v>39</v>
          </cell>
          <cell r="L342">
            <v>991</v>
          </cell>
          <cell r="N342">
            <v>38649</v>
          </cell>
          <cell r="R342" t="b">
            <v>0</v>
          </cell>
        </row>
        <row r="343">
          <cell r="A343" t="str">
            <v>AJSR</v>
          </cell>
          <cell r="B343">
            <v>6700</v>
          </cell>
          <cell r="C343" t="str">
            <v>BHATSL1H</v>
          </cell>
          <cell r="D343" t="str">
            <v>입상관스리브 설치</v>
          </cell>
          <cell r="E343" t="str">
            <v>40A</v>
          </cell>
          <cell r="F343" t="str">
            <v>EA</v>
          </cell>
          <cell r="H343">
            <v>39</v>
          </cell>
          <cell r="J343">
            <v>39</v>
          </cell>
          <cell r="L343">
            <v>1265</v>
          </cell>
          <cell r="N343">
            <v>49335</v>
          </cell>
          <cell r="R343" t="b">
            <v>0</v>
          </cell>
        </row>
        <row r="344">
          <cell r="A344" t="str">
            <v>AJSR</v>
          </cell>
          <cell r="B344">
            <v>6800</v>
          </cell>
          <cell r="C344" t="str">
            <v>BHATSL2A</v>
          </cell>
          <cell r="D344" t="str">
            <v>입상관스리브 설치</v>
          </cell>
          <cell r="E344" t="str">
            <v>50A</v>
          </cell>
          <cell r="F344" t="str">
            <v>EA</v>
          </cell>
          <cell r="H344">
            <v>95</v>
          </cell>
          <cell r="J344">
            <v>95</v>
          </cell>
          <cell r="L344">
            <v>1600</v>
          </cell>
          <cell r="N344">
            <v>152000</v>
          </cell>
          <cell r="R344" t="b">
            <v>0</v>
          </cell>
        </row>
        <row r="345">
          <cell r="A345" t="str">
            <v>AJSR</v>
          </cell>
          <cell r="B345">
            <v>6900</v>
          </cell>
          <cell r="C345" t="str">
            <v>BHATSL2H</v>
          </cell>
          <cell r="D345" t="str">
            <v>입상관스리브 설치</v>
          </cell>
          <cell r="E345" t="str">
            <v>65A</v>
          </cell>
          <cell r="F345" t="str">
            <v>EA</v>
          </cell>
          <cell r="H345">
            <v>6</v>
          </cell>
          <cell r="J345">
            <v>6</v>
          </cell>
          <cell r="L345">
            <v>2279</v>
          </cell>
          <cell r="N345">
            <v>13674</v>
          </cell>
          <cell r="R345" t="b">
            <v>0</v>
          </cell>
        </row>
        <row r="346">
          <cell r="A346" t="str">
            <v>AJSR</v>
          </cell>
          <cell r="B346">
            <v>7000</v>
          </cell>
          <cell r="C346" t="str">
            <v>BHATSL3A</v>
          </cell>
          <cell r="D346" t="str">
            <v>입상관스리브 설치</v>
          </cell>
          <cell r="E346" t="str">
            <v>80A</v>
          </cell>
          <cell r="F346" t="str">
            <v>EA</v>
          </cell>
          <cell r="H346">
            <v>15</v>
          </cell>
          <cell r="J346">
            <v>15</v>
          </cell>
          <cell r="L346">
            <v>3091</v>
          </cell>
          <cell r="N346">
            <v>46365</v>
          </cell>
          <cell r="R346" t="b">
            <v>0</v>
          </cell>
        </row>
        <row r="347">
          <cell r="A347" t="str">
            <v>AJSR</v>
          </cell>
          <cell r="B347">
            <v>7100</v>
          </cell>
          <cell r="C347" t="str">
            <v>BHATSL4A</v>
          </cell>
          <cell r="D347" t="str">
            <v>입상관스리브 설치</v>
          </cell>
          <cell r="E347" t="str">
            <v>100A</v>
          </cell>
          <cell r="F347" t="str">
            <v>EA</v>
          </cell>
          <cell r="H347">
            <v>3</v>
          </cell>
          <cell r="J347">
            <v>3</v>
          </cell>
          <cell r="L347">
            <v>3680</v>
          </cell>
          <cell r="N347">
            <v>11040</v>
          </cell>
          <cell r="R347" t="b">
            <v>0</v>
          </cell>
        </row>
        <row r="348">
          <cell r="A348" t="str">
            <v>AJSR</v>
          </cell>
          <cell r="B348">
            <v>7200</v>
          </cell>
          <cell r="C348" t="str">
            <v>BHATSL6A</v>
          </cell>
          <cell r="D348" t="str">
            <v>입상관스리브 설치</v>
          </cell>
          <cell r="E348" t="str">
            <v>150A</v>
          </cell>
          <cell r="F348" t="str">
            <v>EA</v>
          </cell>
          <cell r="H348">
            <v>3</v>
          </cell>
          <cell r="J348">
            <v>3</v>
          </cell>
          <cell r="L348">
            <v>8175</v>
          </cell>
          <cell r="N348">
            <v>24525</v>
          </cell>
          <cell r="R348" t="b">
            <v>0</v>
          </cell>
        </row>
        <row r="349">
          <cell r="A349" t="str">
            <v>AJSR</v>
          </cell>
          <cell r="B349">
            <v>7300</v>
          </cell>
          <cell r="C349" t="str">
            <v>BXAAA015</v>
          </cell>
          <cell r="D349" t="str">
            <v>강관스리브(지수판)</v>
          </cell>
          <cell r="E349" t="str">
            <v>15A</v>
          </cell>
          <cell r="F349" t="str">
            <v>M</v>
          </cell>
          <cell r="H349">
            <v>3</v>
          </cell>
          <cell r="J349">
            <v>3</v>
          </cell>
          <cell r="L349">
            <v>772</v>
          </cell>
          <cell r="N349">
            <v>2316</v>
          </cell>
          <cell r="R349" t="b">
            <v>0</v>
          </cell>
        </row>
        <row r="350">
          <cell r="A350" t="str">
            <v>AJSR</v>
          </cell>
          <cell r="B350">
            <v>750000</v>
          </cell>
          <cell r="C350" t="str">
            <v>S20000H</v>
          </cell>
          <cell r="D350" t="str">
            <v>동관용접,BRAZING</v>
          </cell>
          <cell r="E350" t="str">
            <v>1/2B</v>
          </cell>
          <cell r="F350" t="str">
            <v>JNT</v>
          </cell>
          <cell r="H350">
            <v>116</v>
          </cell>
          <cell r="J350">
            <v>116</v>
          </cell>
          <cell r="L350">
            <v>65</v>
          </cell>
          <cell r="N350">
            <v>7540</v>
          </cell>
        </row>
        <row r="351">
          <cell r="A351" t="str">
            <v>AJSR</v>
          </cell>
          <cell r="B351">
            <v>750000</v>
          </cell>
          <cell r="C351" t="str">
            <v>S20000T</v>
          </cell>
          <cell r="D351" t="str">
            <v>동관용접,BRAZING</v>
          </cell>
          <cell r="E351" t="str">
            <v>3/4B</v>
          </cell>
          <cell r="F351" t="str">
            <v>JNT</v>
          </cell>
          <cell r="H351">
            <v>57.2</v>
          </cell>
          <cell r="J351">
            <v>57.2</v>
          </cell>
          <cell r="L351">
            <v>137</v>
          </cell>
          <cell r="N351">
            <v>7836</v>
          </cell>
        </row>
        <row r="352">
          <cell r="A352" t="str">
            <v>AJSR</v>
          </cell>
          <cell r="B352">
            <v>750000</v>
          </cell>
          <cell r="C352" t="str">
            <v>S20001A</v>
          </cell>
          <cell r="D352" t="str">
            <v>동관용접,BRAZING</v>
          </cell>
          <cell r="E352" t="str">
            <v>1B</v>
          </cell>
          <cell r="F352" t="str">
            <v>JNT</v>
          </cell>
          <cell r="H352">
            <v>384.4</v>
          </cell>
          <cell r="J352">
            <v>384.4</v>
          </cell>
          <cell r="L352">
            <v>192</v>
          </cell>
          <cell r="N352">
            <v>73805</v>
          </cell>
        </row>
        <row r="353">
          <cell r="A353" t="str">
            <v>AJSR</v>
          </cell>
          <cell r="B353">
            <v>750000</v>
          </cell>
          <cell r="C353" t="str">
            <v>S20001D</v>
          </cell>
          <cell r="D353" t="str">
            <v>동관용접,BRAZING</v>
          </cell>
          <cell r="E353" t="str">
            <v>1-1/4B</v>
          </cell>
          <cell r="F353" t="str">
            <v>JNT</v>
          </cell>
          <cell r="H353">
            <v>202.8</v>
          </cell>
          <cell r="J353">
            <v>202.8</v>
          </cell>
          <cell r="L353">
            <v>258</v>
          </cell>
          <cell r="N353">
            <v>52322</v>
          </cell>
        </row>
        <row r="354">
          <cell r="A354" t="str">
            <v>AJSR</v>
          </cell>
          <cell r="B354">
            <v>750000</v>
          </cell>
          <cell r="C354" t="str">
            <v>S20001H</v>
          </cell>
          <cell r="D354" t="str">
            <v>동관용접,BRAZING</v>
          </cell>
          <cell r="E354" t="str">
            <v>1-1/2B</v>
          </cell>
          <cell r="F354" t="str">
            <v>JNT</v>
          </cell>
          <cell r="H354">
            <v>202.8</v>
          </cell>
          <cell r="J354">
            <v>202.8</v>
          </cell>
          <cell r="L354">
            <v>339</v>
          </cell>
          <cell r="N354">
            <v>68749</v>
          </cell>
        </row>
        <row r="355">
          <cell r="A355" t="str">
            <v>AJSR</v>
          </cell>
          <cell r="B355">
            <v>750000</v>
          </cell>
          <cell r="C355" t="str">
            <v>S20002A</v>
          </cell>
          <cell r="D355" t="str">
            <v>동관용접,BRAZING</v>
          </cell>
          <cell r="E355" t="str">
            <v>2B</v>
          </cell>
          <cell r="F355" t="str">
            <v>JNT</v>
          </cell>
          <cell r="H355">
            <v>442.6</v>
          </cell>
          <cell r="J355">
            <v>442.6</v>
          </cell>
          <cell r="L355">
            <v>505</v>
          </cell>
          <cell r="N355">
            <v>223513</v>
          </cell>
        </row>
        <row r="356">
          <cell r="A356" t="str">
            <v>AJSR</v>
          </cell>
          <cell r="B356">
            <v>750000</v>
          </cell>
          <cell r="C356" t="str">
            <v>S20002H</v>
          </cell>
          <cell r="D356" t="str">
            <v>동관용접,BRAZING</v>
          </cell>
          <cell r="E356" t="str">
            <v>2-1/2B</v>
          </cell>
          <cell r="F356" t="str">
            <v>JNT</v>
          </cell>
          <cell r="H356">
            <v>171.8</v>
          </cell>
          <cell r="J356">
            <v>171.8</v>
          </cell>
          <cell r="L356">
            <v>673</v>
          </cell>
          <cell r="N356">
            <v>115621</v>
          </cell>
        </row>
        <row r="357">
          <cell r="A357" t="str">
            <v>AJSR</v>
          </cell>
          <cell r="B357">
            <v>750000</v>
          </cell>
          <cell r="C357" t="str">
            <v>S22200H</v>
          </cell>
          <cell r="D357" t="str">
            <v>PPC 코일배관 부자재</v>
          </cell>
          <cell r="E357" t="str">
            <v>15A- 20A</v>
          </cell>
          <cell r="F357" t="str">
            <v>M</v>
          </cell>
          <cell r="H357">
            <v>462.8</v>
          </cell>
          <cell r="J357">
            <v>462.8</v>
          </cell>
          <cell r="L357">
            <v>67</v>
          </cell>
          <cell r="N357">
            <v>31008</v>
          </cell>
        </row>
        <row r="358">
          <cell r="A358" t="str">
            <v>AJSR</v>
          </cell>
          <cell r="B358">
            <v>750000</v>
          </cell>
          <cell r="C358" t="str">
            <v>S19003A</v>
          </cell>
          <cell r="D358" t="str">
            <v>스텐레스강관 용접</v>
          </cell>
          <cell r="E358" t="str">
            <v>80A</v>
          </cell>
          <cell r="F358" t="str">
            <v>JNT</v>
          </cell>
          <cell r="H358">
            <v>23</v>
          </cell>
          <cell r="J358">
            <v>23</v>
          </cell>
          <cell r="L358">
            <v>2959</v>
          </cell>
          <cell r="N358">
            <v>68057</v>
          </cell>
        </row>
        <row r="359">
          <cell r="A359" t="str">
            <v>AJSR</v>
          </cell>
          <cell r="B359">
            <v>750000</v>
          </cell>
          <cell r="C359" t="str">
            <v>S19004A</v>
          </cell>
          <cell r="D359" t="str">
            <v>스텐레스강관 용접</v>
          </cell>
          <cell r="E359" t="str">
            <v>100A</v>
          </cell>
          <cell r="F359" t="str">
            <v>JNT</v>
          </cell>
          <cell r="H359">
            <v>31</v>
          </cell>
          <cell r="J359">
            <v>31</v>
          </cell>
          <cell r="L359">
            <v>4684</v>
          </cell>
          <cell r="N359">
            <v>145204</v>
          </cell>
        </row>
        <row r="360">
          <cell r="A360" t="str">
            <v>AJSR</v>
          </cell>
          <cell r="B360">
            <v>750000</v>
          </cell>
          <cell r="C360" t="str">
            <v>S19006A</v>
          </cell>
          <cell r="D360" t="str">
            <v>스텐레스강관 용접</v>
          </cell>
          <cell r="E360" t="str">
            <v>150A</v>
          </cell>
          <cell r="F360" t="str">
            <v>JNT</v>
          </cell>
          <cell r="H360">
            <v>12</v>
          </cell>
          <cell r="J360">
            <v>12</v>
          </cell>
          <cell r="L360">
            <v>8709</v>
          </cell>
          <cell r="N360">
            <v>104508</v>
          </cell>
        </row>
        <row r="361">
          <cell r="A361" t="str">
            <v>AJSR</v>
          </cell>
          <cell r="B361">
            <v>810000</v>
          </cell>
          <cell r="C361" t="str">
            <v>OMISC03</v>
          </cell>
          <cell r="D361" t="str">
            <v>잡자재비</v>
          </cell>
          <cell r="E361" t="str">
            <v>관의 (3)％</v>
          </cell>
          <cell r="F361" t="str">
            <v>L/S</v>
          </cell>
          <cell r="H361">
            <v>1</v>
          </cell>
          <cell r="J361">
            <v>1</v>
          </cell>
          <cell r="L361">
            <v>228277</v>
          </cell>
          <cell r="N361">
            <v>228277</v>
          </cell>
        </row>
        <row r="362">
          <cell r="A362" t="str">
            <v>AJSR</v>
          </cell>
          <cell r="B362">
            <v>850000</v>
          </cell>
          <cell r="C362" t="str">
            <v>LHELPR</v>
          </cell>
          <cell r="D362" t="str">
            <v>보통인부</v>
          </cell>
          <cell r="F362" t="str">
            <v>M/D</v>
          </cell>
          <cell r="H362">
            <v>20.8</v>
          </cell>
          <cell r="J362">
            <v>20.8</v>
          </cell>
          <cell r="L362">
            <v>22300</v>
          </cell>
          <cell r="N362">
            <v>463840</v>
          </cell>
        </row>
        <row r="363">
          <cell r="A363" t="str">
            <v>AJSR</v>
          </cell>
          <cell r="B363">
            <v>850000</v>
          </cell>
          <cell r="C363" t="str">
            <v>LINSUL</v>
          </cell>
          <cell r="D363" t="str">
            <v>보온공</v>
          </cell>
          <cell r="F363" t="str">
            <v>M/D</v>
          </cell>
          <cell r="H363">
            <v>31.8</v>
          </cell>
          <cell r="J363">
            <v>31.8</v>
          </cell>
          <cell r="L363">
            <v>30900</v>
          </cell>
          <cell r="N363">
            <v>982620</v>
          </cell>
        </row>
        <row r="364">
          <cell r="A364" t="str">
            <v>AJSR</v>
          </cell>
          <cell r="B364">
            <v>850000</v>
          </cell>
          <cell r="C364" t="str">
            <v>LPIPEG</v>
          </cell>
          <cell r="D364" t="str">
            <v>배관공</v>
          </cell>
          <cell r="F364" t="str">
            <v>M/D</v>
          </cell>
          <cell r="H364">
            <v>30.5</v>
          </cell>
          <cell r="J364">
            <v>30.5</v>
          </cell>
          <cell r="L364">
            <v>34400</v>
          </cell>
          <cell r="N364">
            <v>1049200</v>
          </cell>
        </row>
        <row r="365">
          <cell r="A365" t="str">
            <v>AJSR</v>
          </cell>
          <cell r="B365">
            <v>850000</v>
          </cell>
          <cell r="C365" t="str">
            <v>LSPWKR</v>
          </cell>
          <cell r="D365" t="str">
            <v>특별인부</v>
          </cell>
          <cell r="F365" t="str">
            <v>M/D</v>
          </cell>
          <cell r="H365">
            <v>1.8</v>
          </cell>
          <cell r="J365">
            <v>1.8</v>
          </cell>
          <cell r="L365">
            <v>31200</v>
          </cell>
          <cell r="N365">
            <v>56160</v>
          </cell>
        </row>
        <row r="366">
          <cell r="A366" t="str">
            <v>AJSR</v>
          </cell>
          <cell r="B366">
            <v>850000</v>
          </cell>
          <cell r="C366" t="str">
            <v>LWELDG</v>
          </cell>
          <cell r="D366" t="str">
            <v>용접공(일반)</v>
          </cell>
          <cell r="F366" t="str">
            <v>M/D</v>
          </cell>
          <cell r="H366">
            <v>27.7</v>
          </cell>
          <cell r="J366">
            <v>27.7</v>
          </cell>
          <cell r="L366">
            <v>39500</v>
          </cell>
          <cell r="N366">
            <v>1094150</v>
          </cell>
        </row>
        <row r="367">
          <cell r="A367" t="str">
            <v>AJSR</v>
          </cell>
          <cell r="B367">
            <v>850000</v>
          </cell>
          <cell r="C367" t="str">
            <v>LPAINT</v>
          </cell>
          <cell r="D367" t="str">
            <v>도장공</v>
          </cell>
          <cell r="F367" t="str">
            <v>M/D</v>
          </cell>
          <cell r="H367">
            <v>0.5</v>
          </cell>
          <cell r="J367">
            <v>0.5</v>
          </cell>
          <cell r="L367">
            <v>38200</v>
          </cell>
          <cell r="N367">
            <v>19100</v>
          </cell>
        </row>
        <row r="368">
          <cell r="A368" t="str">
            <v>AJSR</v>
          </cell>
          <cell r="B368">
            <v>850000</v>
          </cell>
          <cell r="C368" t="str">
            <v>LPLUMR</v>
          </cell>
          <cell r="D368" t="str">
            <v>위생공</v>
          </cell>
          <cell r="F368" t="str">
            <v>M/D</v>
          </cell>
          <cell r="H368">
            <v>0.4</v>
          </cell>
          <cell r="J368">
            <v>0.4</v>
          </cell>
          <cell r="L368">
            <v>33900</v>
          </cell>
          <cell r="N368">
            <v>13560</v>
          </cell>
        </row>
        <row r="369">
          <cell r="A369" t="str">
            <v>AJSR</v>
          </cell>
          <cell r="B369">
            <v>950000</v>
          </cell>
          <cell r="C369" t="str">
            <v>OMISC05</v>
          </cell>
          <cell r="D369" t="str">
            <v>도기소운반비</v>
          </cell>
          <cell r="E369" t="str">
            <v>위생공의 (5)％</v>
          </cell>
          <cell r="F369" t="str">
            <v>L/S</v>
          </cell>
          <cell r="H369">
            <v>1</v>
          </cell>
          <cell r="J369">
            <v>1</v>
          </cell>
          <cell r="L369">
            <v>678</v>
          </cell>
          <cell r="N369">
            <v>678</v>
          </cell>
        </row>
        <row r="370">
          <cell r="A370" t="str">
            <v>AJSR</v>
          </cell>
          <cell r="B370">
            <v>990000</v>
          </cell>
          <cell r="C370" t="str">
            <v>OMISC06</v>
          </cell>
          <cell r="D370" t="str">
            <v>공구손료</v>
          </cell>
          <cell r="E370" t="str">
            <v>인건비의 (3)％</v>
          </cell>
          <cell r="F370" t="str">
            <v>L/S</v>
          </cell>
          <cell r="H370">
            <v>1</v>
          </cell>
          <cell r="J370">
            <v>1</v>
          </cell>
          <cell r="L370">
            <v>110692</v>
          </cell>
          <cell r="N370">
            <v>110692</v>
          </cell>
        </row>
        <row r="371">
          <cell r="A371" t="str">
            <v>AJSS</v>
          </cell>
          <cell r="B371">
            <v>0</v>
          </cell>
          <cell r="C371" t="str">
            <v>WAAJSS</v>
          </cell>
          <cell r="D371" t="str">
            <v>5-5.입상횡주 오,배수배관공사(대가)</v>
          </cell>
        </row>
        <row r="372">
          <cell r="A372" t="str">
            <v>AJSS</v>
          </cell>
          <cell r="B372">
            <v>100</v>
          </cell>
          <cell r="C372" t="str">
            <v>MP10102A</v>
          </cell>
          <cell r="D372" t="str">
            <v>배관용 탄소강관(SPP)</v>
          </cell>
          <cell r="E372" t="str">
            <v>50A</v>
          </cell>
          <cell r="F372" t="str">
            <v>M</v>
          </cell>
          <cell r="G372">
            <v>5</v>
          </cell>
          <cell r="H372">
            <v>19.5</v>
          </cell>
          <cell r="J372">
            <v>20.5</v>
          </cell>
          <cell r="L372">
            <v>3055</v>
          </cell>
          <cell r="N372">
            <v>62628</v>
          </cell>
          <cell r="R372" t="b">
            <v>1</v>
          </cell>
        </row>
        <row r="373">
          <cell r="A373" t="str">
            <v>AJSS</v>
          </cell>
          <cell r="B373">
            <v>101</v>
          </cell>
          <cell r="C373" t="str">
            <v>OMIPMP10</v>
          </cell>
          <cell r="D373" t="str">
            <v>관 부속</v>
          </cell>
          <cell r="E373" t="str">
            <v>관의 (10)％</v>
          </cell>
          <cell r="F373" t="str">
            <v>L/S</v>
          </cell>
          <cell r="H373">
            <v>1</v>
          </cell>
          <cell r="J373">
            <v>1</v>
          </cell>
          <cell r="L373">
            <v>6255</v>
          </cell>
          <cell r="N373">
            <v>6255</v>
          </cell>
        </row>
        <row r="374">
          <cell r="A374" t="str">
            <v>AJSS</v>
          </cell>
          <cell r="B374">
            <v>102</v>
          </cell>
          <cell r="C374" t="str">
            <v>OMIHMP10</v>
          </cell>
          <cell r="D374" t="str">
            <v>행거 및 용접봉</v>
          </cell>
          <cell r="E374" t="str">
            <v>관의 (15)％</v>
          </cell>
          <cell r="F374" t="str">
            <v>L/S</v>
          </cell>
          <cell r="H374">
            <v>1</v>
          </cell>
          <cell r="J374">
            <v>1</v>
          </cell>
          <cell r="L374">
            <v>9383</v>
          </cell>
          <cell r="N374">
            <v>9383</v>
          </cell>
        </row>
        <row r="375">
          <cell r="A375" t="str">
            <v>AJSS</v>
          </cell>
          <cell r="B375">
            <v>200</v>
          </cell>
          <cell r="C375" t="str">
            <v>MPF1201D</v>
          </cell>
          <cell r="D375" t="str">
            <v>PVC 파이프(VG2)</v>
          </cell>
          <cell r="E375" t="str">
            <v>35D</v>
          </cell>
          <cell r="F375" t="str">
            <v>M</v>
          </cell>
          <cell r="G375">
            <v>5</v>
          </cell>
          <cell r="H375">
            <v>2.5</v>
          </cell>
          <cell r="J375">
            <v>2.6</v>
          </cell>
          <cell r="L375">
            <v>554</v>
          </cell>
          <cell r="N375">
            <v>1440</v>
          </cell>
          <cell r="R375" t="b">
            <v>1</v>
          </cell>
        </row>
        <row r="376">
          <cell r="A376" t="str">
            <v>AJSS</v>
          </cell>
          <cell r="B376">
            <v>300</v>
          </cell>
          <cell r="C376" t="str">
            <v>MPF1202A</v>
          </cell>
          <cell r="D376" t="str">
            <v>PVC 파이프(VG2)</v>
          </cell>
          <cell r="E376" t="str">
            <v>50D</v>
          </cell>
          <cell r="F376" t="str">
            <v>M</v>
          </cell>
          <cell r="G376">
            <v>5</v>
          </cell>
          <cell r="H376">
            <v>202.8</v>
          </cell>
          <cell r="J376">
            <v>212.9</v>
          </cell>
          <cell r="L376">
            <v>768</v>
          </cell>
          <cell r="N376">
            <v>163507</v>
          </cell>
          <cell r="R376" t="b">
            <v>1</v>
          </cell>
        </row>
        <row r="377">
          <cell r="A377" t="str">
            <v>AJSS</v>
          </cell>
          <cell r="B377">
            <v>400</v>
          </cell>
          <cell r="C377" t="str">
            <v>MPF0304A</v>
          </cell>
          <cell r="D377" t="str">
            <v>PVC 파이프(SPIN)</v>
          </cell>
          <cell r="E377" t="str">
            <v>100D</v>
          </cell>
          <cell r="F377" t="str">
            <v>M</v>
          </cell>
          <cell r="G377">
            <v>5</v>
          </cell>
          <cell r="H377">
            <v>2223</v>
          </cell>
          <cell r="J377">
            <v>2334.1999999999998</v>
          </cell>
          <cell r="L377">
            <v>2439</v>
          </cell>
          <cell r="N377">
            <v>5693114</v>
          </cell>
          <cell r="R377" t="b">
            <v>1</v>
          </cell>
        </row>
        <row r="378">
          <cell r="A378" t="str">
            <v>AJSS</v>
          </cell>
          <cell r="B378">
            <v>402</v>
          </cell>
          <cell r="C378" t="str">
            <v>OMIHMPF0</v>
          </cell>
          <cell r="D378" t="str">
            <v>행거 및 용접봉</v>
          </cell>
          <cell r="E378" t="str">
            <v>관의 (15)％</v>
          </cell>
          <cell r="F378" t="str">
            <v>L/S</v>
          </cell>
          <cell r="H378">
            <v>1</v>
          </cell>
          <cell r="J378">
            <v>1</v>
          </cell>
          <cell r="L378">
            <v>853949</v>
          </cell>
          <cell r="N378">
            <v>853949</v>
          </cell>
        </row>
        <row r="379">
          <cell r="A379" t="str">
            <v>AJSS</v>
          </cell>
          <cell r="B379">
            <v>500</v>
          </cell>
          <cell r="C379" t="str">
            <v>MCNC12AA</v>
          </cell>
          <cell r="D379" t="str">
            <v>주철관(NO HUB)</v>
          </cell>
          <cell r="E379" t="str">
            <v>50D*1500L</v>
          </cell>
          <cell r="F379" t="str">
            <v>EA</v>
          </cell>
          <cell r="G379">
            <v>0</v>
          </cell>
          <cell r="H379">
            <v>15</v>
          </cell>
          <cell r="J379">
            <v>15</v>
          </cell>
          <cell r="L379">
            <v>5376</v>
          </cell>
          <cell r="N379">
            <v>80640</v>
          </cell>
          <cell r="R379" t="b">
            <v>0</v>
          </cell>
        </row>
        <row r="380">
          <cell r="A380" t="str">
            <v>AJSS</v>
          </cell>
          <cell r="B380">
            <v>600</v>
          </cell>
          <cell r="C380" t="str">
            <v>MCNC14AA</v>
          </cell>
          <cell r="D380" t="str">
            <v>주철관(NO HUB)</v>
          </cell>
          <cell r="E380" t="str">
            <v>100D*1500L</v>
          </cell>
          <cell r="F380" t="str">
            <v>EA</v>
          </cell>
          <cell r="G380">
            <v>0</v>
          </cell>
          <cell r="H380">
            <v>22</v>
          </cell>
          <cell r="J380">
            <v>22</v>
          </cell>
          <cell r="L380">
            <v>10336</v>
          </cell>
          <cell r="N380">
            <v>227392</v>
          </cell>
          <cell r="R380" t="b">
            <v>0</v>
          </cell>
        </row>
        <row r="381">
          <cell r="A381" t="str">
            <v>AJSS</v>
          </cell>
          <cell r="B381">
            <v>700</v>
          </cell>
          <cell r="C381" t="str">
            <v>MCNC14AB</v>
          </cell>
          <cell r="D381" t="str">
            <v>주철관(NO HUB)</v>
          </cell>
          <cell r="E381" t="str">
            <v>100D*3000L</v>
          </cell>
          <cell r="F381" t="str">
            <v>EA</v>
          </cell>
          <cell r="G381">
            <v>0</v>
          </cell>
          <cell r="H381">
            <v>87</v>
          </cell>
          <cell r="J381">
            <v>87</v>
          </cell>
          <cell r="L381">
            <v>21504</v>
          </cell>
          <cell r="N381">
            <v>1870848</v>
          </cell>
          <cell r="R381" t="b">
            <v>0</v>
          </cell>
        </row>
        <row r="382">
          <cell r="A382" t="str">
            <v>AJSS</v>
          </cell>
          <cell r="B382">
            <v>800</v>
          </cell>
          <cell r="C382" t="str">
            <v>MCNC15AA</v>
          </cell>
          <cell r="D382" t="str">
            <v>주철관(NO HUB)</v>
          </cell>
          <cell r="E382" t="str">
            <v>125D*1500L</v>
          </cell>
          <cell r="F382" t="str">
            <v>EA</v>
          </cell>
          <cell r="G382">
            <v>0</v>
          </cell>
          <cell r="H382">
            <v>35</v>
          </cell>
          <cell r="J382">
            <v>35</v>
          </cell>
          <cell r="L382">
            <v>12864</v>
          </cell>
          <cell r="N382">
            <v>450240</v>
          </cell>
          <cell r="R382" t="b">
            <v>0</v>
          </cell>
        </row>
        <row r="383">
          <cell r="A383" t="str">
            <v>AJSS</v>
          </cell>
          <cell r="B383">
            <v>900</v>
          </cell>
          <cell r="C383" t="str">
            <v>MCNC15AB</v>
          </cell>
          <cell r="D383" t="str">
            <v>주철관(NO HUB)</v>
          </cell>
          <cell r="E383" t="str">
            <v>125D*3000L</v>
          </cell>
          <cell r="F383" t="str">
            <v>EA</v>
          </cell>
          <cell r="G383">
            <v>0</v>
          </cell>
          <cell r="H383">
            <v>20</v>
          </cell>
          <cell r="J383">
            <v>20</v>
          </cell>
          <cell r="L383">
            <v>26880</v>
          </cell>
          <cell r="N383">
            <v>537600</v>
          </cell>
          <cell r="R383" t="b">
            <v>0</v>
          </cell>
        </row>
        <row r="384">
          <cell r="A384" t="str">
            <v>AJSS</v>
          </cell>
          <cell r="B384">
            <v>1000</v>
          </cell>
          <cell r="C384" t="str">
            <v>MCNC16AB</v>
          </cell>
          <cell r="D384" t="str">
            <v>주철관(NO HUB)</v>
          </cell>
          <cell r="E384" t="str">
            <v>150D*3000L</v>
          </cell>
          <cell r="F384" t="str">
            <v>EA</v>
          </cell>
          <cell r="G384">
            <v>0</v>
          </cell>
          <cell r="H384">
            <v>63</v>
          </cell>
          <cell r="J384">
            <v>63</v>
          </cell>
          <cell r="L384">
            <v>31680</v>
          </cell>
          <cell r="N384">
            <v>1995840</v>
          </cell>
          <cell r="R384" t="b">
            <v>0</v>
          </cell>
        </row>
        <row r="385">
          <cell r="A385" t="str">
            <v>AJSS</v>
          </cell>
          <cell r="B385">
            <v>1100</v>
          </cell>
          <cell r="C385" t="str">
            <v>MCNC18AB</v>
          </cell>
          <cell r="D385" t="str">
            <v>주철관(NO HUB)</v>
          </cell>
          <cell r="E385" t="str">
            <v>200D*3000L</v>
          </cell>
          <cell r="F385" t="str">
            <v>EA</v>
          </cell>
          <cell r="G385">
            <v>0</v>
          </cell>
          <cell r="H385">
            <v>62</v>
          </cell>
          <cell r="J385">
            <v>62</v>
          </cell>
          <cell r="L385">
            <v>49600</v>
          </cell>
          <cell r="N385">
            <v>3075200</v>
          </cell>
          <cell r="R385" t="b">
            <v>0</v>
          </cell>
        </row>
        <row r="386">
          <cell r="A386" t="str">
            <v>AJSS</v>
          </cell>
          <cell r="B386">
            <v>1102</v>
          </cell>
          <cell r="C386" t="str">
            <v>OMIHMCNC</v>
          </cell>
          <cell r="D386" t="str">
            <v>행거 및 용접봉</v>
          </cell>
          <cell r="E386" t="str">
            <v>관의 (15)％</v>
          </cell>
          <cell r="F386" t="str">
            <v>L/S</v>
          </cell>
          <cell r="H386">
            <v>1</v>
          </cell>
          <cell r="J386">
            <v>1</v>
          </cell>
          <cell r="L386">
            <v>1235664</v>
          </cell>
          <cell r="N386">
            <v>1235664</v>
          </cell>
        </row>
        <row r="387">
          <cell r="A387" t="str">
            <v>AJSS</v>
          </cell>
          <cell r="B387">
            <v>1200</v>
          </cell>
          <cell r="C387" t="str">
            <v>BIPY1A0A</v>
          </cell>
          <cell r="D387" t="str">
            <v>관보온 노출,유리솜,IPP</v>
          </cell>
          <cell r="E387" t="str">
            <v>25T*100A</v>
          </cell>
          <cell r="F387" t="str">
            <v>M</v>
          </cell>
          <cell r="H387">
            <v>65.2</v>
          </cell>
          <cell r="J387">
            <v>65.2</v>
          </cell>
          <cell r="L387">
            <v>3621</v>
          </cell>
          <cell r="N387">
            <v>236089</v>
          </cell>
          <cell r="R387" t="b">
            <v>0</v>
          </cell>
        </row>
        <row r="388">
          <cell r="A388" t="str">
            <v>AJSS</v>
          </cell>
          <cell r="B388">
            <v>1300</v>
          </cell>
          <cell r="C388" t="str">
            <v>MCNF4B2A</v>
          </cell>
          <cell r="D388" t="str">
            <v>45도 곡관(CI),NO HUB</v>
          </cell>
          <cell r="E388" t="str">
            <v>50D</v>
          </cell>
          <cell r="F388" t="str">
            <v>EA</v>
          </cell>
          <cell r="G388">
            <v>0</v>
          </cell>
          <cell r="H388">
            <v>41</v>
          </cell>
          <cell r="J388">
            <v>41</v>
          </cell>
          <cell r="L388">
            <v>448</v>
          </cell>
          <cell r="N388">
            <v>18368</v>
          </cell>
          <cell r="R388" t="b">
            <v>0</v>
          </cell>
        </row>
        <row r="389">
          <cell r="A389" t="str">
            <v>AJSS</v>
          </cell>
          <cell r="B389">
            <v>1400</v>
          </cell>
          <cell r="C389" t="str">
            <v>MCNF4B4A</v>
          </cell>
          <cell r="D389" t="str">
            <v>45도 곡관(CI),NO HUB</v>
          </cell>
          <cell r="E389" t="str">
            <v>100D</v>
          </cell>
          <cell r="F389" t="str">
            <v>EA</v>
          </cell>
          <cell r="G389">
            <v>0</v>
          </cell>
          <cell r="H389">
            <v>125</v>
          </cell>
          <cell r="J389">
            <v>125</v>
          </cell>
          <cell r="L389">
            <v>1088</v>
          </cell>
          <cell r="N389">
            <v>136000</v>
          </cell>
          <cell r="R389" t="b">
            <v>0</v>
          </cell>
        </row>
        <row r="390">
          <cell r="A390" t="str">
            <v>AJSS</v>
          </cell>
          <cell r="B390">
            <v>1500</v>
          </cell>
          <cell r="C390" t="str">
            <v>MCNF4B5A</v>
          </cell>
          <cell r="D390" t="str">
            <v>45도 곡관(CI),NO HUB</v>
          </cell>
          <cell r="E390" t="str">
            <v>125D</v>
          </cell>
          <cell r="F390" t="str">
            <v>EA</v>
          </cell>
          <cell r="G390">
            <v>0</v>
          </cell>
          <cell r="H390">
            <v>73</v>
          </cell>
          <cell r="J390">
            <v>73</v>
          </cell>
          <cell r="L390">
            <v>1888</v>
          </cell>
          <cell r="N390">
            <v>137824</v>
          </cell>
          <cell r="R390" t="b">
            <v>0</v>
          </cell>
        </row>
        <row r="391">
          <cell r="A391" t="str">
            <v>AJSS</v>
          </cell>
          <cell r="B391">
            <v>1600</v>
          </cell>
          <cell r="C391" t="str">
            <v>MCNF4B6A</v>
          </cell>
          <cell r="D391" t="str">
            <v>45도 곡관(CI),NO HUB</v>
          </cell>
          <cell r="E391" t="str">
            <v>150D</v>
          </cell>
          <cell r="F391" t="str">
            <v>EA</v>
          </cell>
          <cell r="G391">
            <v>0</v>
          </cell>
          <cell r="H391">
            <v>10</v>
          </cell>
          <cell r="J391">
            <v>10</v>
          </cell>
          <cell r="L391">
            <v>2688</v>
          </cell>
          <cell r="N391">
            <v>26880</v>
          </cell>
          <cell r="R391" t="b">
            <v>0</v>
          </cell>
        </row>
        <row r="392">
          <cell r="A392" t="str">
            <v>AJSS</v>
          </cell>
          <cell r="B392">
            <v>1700</v>
          </cell>
          <cell r="C392" t="str">
            <v>MCNF4B8A</v>
          </cell>
          <cell r="D392" t="str">
            <v>45도 곡관(CI),NO HUB</v>
          </cell>
          <cell r="E392" t="str">
            <v>200D</v>
          </cell>
          <cell r="F392" t="str">
            <v>EA</v>
          </cell>
          <cell r="G392">
            <v>0</v>
          </cell>
          <cell r="H392">
            <v>14</v>
          </cell>
          <cell r="J392">
            <v>14</v>
          </cell>
          <cell r="L392">
            <v>4672</v>
          </cell>
          <cell r="N392">
            <v>65408</v>
          </cell>
          <cell r="R392" t="b">
            <v>0</v>
          </cell>
        </row>
        <row r="393">
          <cell r="A393" t="str">
            <v>AJSS</v>
          </cell>
          <cell r="B393">
            <v>1800</v>
          </cell>
          <cell r="C393" t="str">
            <v>MCNF9B2A</v>
          </cell>
          <cell r="D393" t="str">
            <v>90도 단곡관(CI),NO HUB</v>
          </cell>
          <cell r="E393" t="str">
            <v>50D</v>
          </cell>
          <cell r="F393" t="str">
            <v>EA</v>
          </cell>
          <cell r="G393">
            <v>0</v>
          </cell>
          <cell r="H393">
            <v>14</v>
          </cell>
          <cell r="J393">
            <v>14</v>
          </cell>
          <cell r="L393">
            <v>896</v>
          </cell>
          <cell r="N393">
            <v>12544</v>
          </cell>
          <cell r="R393" t="b">
            <v>0</v>
          </cell>
        </row>
        <row r="394">
          <cell r="A394" t="str">
            <v>AJSS</v>
          </cell>
          <cell r="B394">
            <v>1900</v>
          </cell>
          <cell r="C394" t="str">
            <v>MCNF9B4A</v>
          </cell>
          <cell r="D394" t="str">
            <v>90도 단곡관(CI),NO HUB</v>
          </cell>
          <cell r="E394" t="str">
            <v>100D</v>
          </cell>
          <cell r="F394" t="str">
            <v>EA</v>
          </cell>
          <cell r="G394">
            <v>0</v>
          </cell>
          <cell r="H394">
            <v>5</v>
          </cell>
          <cell r="J394">
            <v>5</v>
          </cell>
          <cell r="L394">
            <v>2368</v>
          </cell>
          <cell r="N394">
            <v>11840</v>
          </cell>
          <cell r="R394" t="b">
            <v>0</v>
          </cell>
        </row>
        <row r="395">
          <cell r="A395" t="str">
            <v>AJSS</v>
          </cell>
          <cell r="B395">
            <v>2000</v>
          </cell>
          <cell r="C395" t="str">
            <v>MCNFA2A2</v>
          </cell>
          <cell r="D395" t="str">
            <v>Y관 (CI),NO HUB</v>
          </cell>
          <cell r="E395" t="str">
            <v>50D* 50D</v>
          </cell>
          <cell r="F395" t="str">
            <v>EA</v>
          </cell>
          <cell r="G395">
            <v>0</v>
          </cell>
          <cell r="H395">
            <v>23</v>
          </cell>
          <cell r="J395">
            <v>23</v>
          </cell>
          <cell r="L395">
            <v>672</v>
          </cell>
          <cell r="N395">
            <v>15456</v>
          </cell>
          <cell r="R395" t="b">
            <v>0</v>
          </cell>
        </row>
        <row r="396">
          <cell r="A396" t="str">
            <v>AJSS</v>
          </cell>
          <cell r="B396">
            <v>2100</v>
          </cell>
          <cell r="C396" t="str">
            <v>MCNFA4A2</v>
          </cell>
          <cell r="D396" t="str">
            <v>Y관 (CI),NO HUB</v>
          </cell>
          <cell r="E396" t="str">
            <v>100D* 50D</v>
          </cell>
          <cell r="F396" t="str">
            <v>EA</v>
          </cell>
          <cell r="G396">
            <v>0</v>
          </cell>
          <cell r="H396">
            <v>9</v>
          </cell>
          <cell r="J396">
            <v>9</v>
          </cell>
          <cell r="L396">
            <v>1440</v>
          </cell>
          <cell r="N396">
            <v>12960</v>
          </cell>
          <cell r="R396" t="b">
            <v>0</v>
          </cell>
        </row>
        <row r="397">
          <cell r="A397" t="str">
            <v>AJSS</v>
          </cell>
          <cell r="B397">
            <v>2200</v>
          </cell>
          <cell r="C397" t="str">
            <v>MCNFA4A4</v>
          </cell>
          <cell r="D397" t="str">
            <v>Y관 (CI),NO HUB</v>
          </cell>
          <cell r="E397" t="str">
            <v>100D*100D</v>
          </cell>
          <cell r="F397" t="str">
            <v>EA</v>
          </cell>
          <cell r="G397">
            <v>0</v>
          </cell>
          <cell r="H397">
            <v>32</v>
          </cell>
          <cell r="J397">
            <v>32</v>
          </cell>
          <cell r="L397">
            <v>2368</v>
          </cell>
          <cell r="N397">
            <v>75776</v>
          </cell>
          <cell r="R397" t="b">
            <v>0</v>
          </cell>
        </row>
        <row r="398">
          <cell r="A398" t="str">
            <v>AJSS</v>
          </cell>
          <cell r="B398">
            <v>2300</v>
          </cell>
          <cell r="C398" t="str">
            <v>MCNFA5A5</v>
          </cell>
          <cell r="D398" t="str">
            <v>Y관 (CI),NO HUB</v>
          </cell>
          <cell r="E398" t="str">
            <v>125D*125D</v>
          </cell>
          <cell r="F398" t="str">
            <v>EA</v>
          </cell>
          <cell r="G398">
            <v>0</v>
          </cell>
          <cell r="H398">
            <v>30</v>
          </cell>
          <cell r="J398">
            <v>30</v>
          </cell>
          <cell r="L398">
            <v>4064</v>
          </cell>
          <cell r="N398">
            <v>121920</v>
          </cell>
          <cell r="R398" t="b">
            <v>0</v>
          </cell>
        </row>
        <row r="399">
          <cell r="A399" t="str">
            <v>AJSS</v>
          </cell>
          <cell r="B399">
            <v>2400</v>
          </cell>
          <cell r="C399" t="str">
            <v>MCNFA6A2</v>
          </cell>
          <cell r="D399" t="str">
            <v>Y관 (CI),NO HUB</v>
          </cell>
          <cell r="E399" t="str">
            <v>150D* 50D</v>
          </cell>
          <cell r="F399" t="str">
            <v>EA</v>
          </cell>
          <cell r="G399">
            <v>0</v>
          </cell>
          <cell r="H399">
            <v>16</v>
          </cell>
          <cell r="J399">
            <v>16</v>
          </cell>
          <cell r="L399">
            <v>2688</v>
          </cell>
          <cell r="N399">
            <v>43008</v>
          </cell>
          <cell r="R399" t="b">
            <v>0</v>
          </cell>
        </row>
        <row r="400">
          <cell r="A400" t="str">
            <v>AJSS</v>
          </cell>
          <cell r="B400">
            <v>2500</v>
          </cell>
          <cell r="C400" t="str">
            <v>MCNFA6A4</v>
          </cell>
          <cell r="D400" t="str">
            <v>Y관 (CI),NO HUB</v>
          </cell>
          <cell r="E400" t="str">
            <v>150D*100D</v>
          </cell>
          <cell r="F400" t="str">
            <v>EA</v>
          </cell>
          <cell r="G400">
            <v>0</v>
          </cell>
          <cell r="H400">
            <v>56</v>
          </cell>
          <cell r="J400">
            <v>56</v>
          </cell>
          <cell r="L400">
            <v>4736</v>
          </cell>
          <cell r="N400">
            <v>265216</v>
          </cell>
          <cell r="R400" t="b">
            <v>0</v>
          </cell>
        </row>
        <row r="401">
          <cell r="A401" t="str">
            <v>AJSS</v>
          </cell>
          <cell r="B401">
            <v>2600</v>
          </cell>
          <cell r="C401" t="str">
            <v>MCNFA6A6</v>
          </cell>
          <cell r="D401" t="str">
            <v>Y관 (CI),NO HUB</v>
          </cell>
          <cell r="E401" t="str">
            <v>150D*150D</v>
          </cell>
          <cell r="F401" t="str">
            <v>EA</v>
          </cell>
          <cell r="G401">
            <v>0</v>
          </cell>
          <cell r="H401">
            <v>10</v>
          </cell>
          <cell r="J401">
            <v>10</v>
          </cell>
          <cell r="L401">
            <v>6560</v>
          </cell>
          <cell r="N401">
            <v>65600</v>
          </cell>
          <cell r="R401" t="b">
            <v>0</v>
          </cell>
        </row>
        <row r="402">
          <cell r="A402" t="str">
            <v>AJSS</v>
          </cell>
          <cell r="B402">
            <v>2700</v>
          </cell>
          <cell r="C402" t="str">
            <v>MCNFA8A5</v>
          </cell>
          <cell r="D402" t="str">
            <v>Y관 (CI),NO HUB</v>
          </cell>
          <cell r="E402" t="str">
            <v>200D*125D</v>
          </cell>
          <cell r="F402" t="str">
            <v>EA</v>
          </cell>
          <cell r="G402">
            <v>0</v>
          </cell>
          <cell r="H402">
            <v>45</v>
          </cell>
          <cell r="J402">
            <v>45</v>
          </cell>
          <cell r="L402">
            <v>7776</v>
          </cell>
          <cell r="N402">
            <v>349920</v>
          </cell>
          <cell r="R402" t="b">
            <v>0</v>
          </cell>
        </row>
        <row r="403">
          <cell r="A403" t="str">
            <v>AJSS</v>
          </cell>
          <cell r="B403">
            <v>2800</v>
          </cell>
          <cell r="C403" t="str">
            <v>MCNFA8A8</v>
          </cell>
          <cell r="D403" t="str">
            <v>Y관 (CI),NO HUB</v>
          </cell>
          <cell r="E403" t="str">
            <v>200D*200D</v>
          </cell>
          <cell r="F403" t="str">
            <v>EA</v>
          </cell>
          <cell r="G403">
            <v>0</v>
          </cell>
          <cell r="H403">
            <v>14</v>
          </cell>
          <cell r="J403">
            <v>14</v>
          </cell>
          <cell r="L403">
            <v>12512</v>
          </cell>
          <cell r="N403">
            <v>175168</v>
          </cell>
          <cell r="R403" t="b">
            <v>0</v>
          </cell>
        </row>
        <row r="404">
          <cell r="A404" t="str">
            <v>AJSS</v>
          </cell>
          <cell r="B404">
            <v>2900</v>
          </cell>
          <cell r="C404" t="str">
            <v>MCNFO2A2</v>
          </cell>
          <cell r="D404" t="str">
            <v>배수 T관(CI),NO HUB</v>
          </cell>
          <cell r="E404" t="str">
            <v>50D* 50D</v>
          </cell>
          <cell r="F404" t="str">
            <v>EA</v>
          </cell>
          <cell r="G404">
            <v>0</v>
          </cell>
          <cell r="H404">
            <v>5</v>
          </cell>
          <cell r="J404">
            <v>5</v>
          </cell>
          <cell r="L404">
            <v>768</v>
          </cell>
          <cell r="N404">
            <v>3840</v>
          </cell>
          <cell r="R404" t="b">
            <v>0</v>
          </cell>
        </row>
        <row r="405">
          <cell r="A405" t="str">
            <v>AJSS</v>
          </cell>
          <cell r="B405">
            <v>3000</v>
          </cell>
          <cell r="C405" t="str">
            <v>MCNFO4A2</v>
          </cell>
          <cell r="D405" t="str">
            <v>배수 T관(CI),NO HUB</v>
          </cell>
          <cell r="E405" t="str">
            <v>100D* 50D</v>
          </cell>
          <cell r="F405" t="str">
            <v>EA</v>
          </cell>
          <cell r="G405">
            <v>0</v>
          </cell>
          <cell r="H405">
            <v>5</v>
          </cell>
          <cell r="J405">
            <v>5</v>
          </cell>
          <cell r="L405">
            <v>1440</v>
          </cell>
          <cell r="N405">
            <v>7200</v>
          </cell>
          <cell r="R405" t="b">
            <v>0</v>
          </cell>
        </row>
        <row r="406">
          <cell r="A406" t="str">
            <v>AJSS</v>
          </cell>
          <cell r="B406">
            <v>3100</v>
          </cell>
          <cell r="C406" t="str">
            <v>MCNFTP2A</v>
          </cell>
          <cell r="D406" t="str">
            <v>P-트랩 (CI),NO HUB</v>
          </cell>
          <cell r="E406" t="str">
            <v>50D</v>
          </cell>
          <cell r="F406" t="str">
            <v>EA</v>
          </cell>
          <cell r="G406">
            <v>0</v>
          </cell>
          <cell r="H406">
            <v>10</v>
          </cell>
          <cell r="J406">
            <v>10</v>
          </cell>
          <cell r="L406">
            <v>1088</v>
          </cell>
          <cell r="N406">
            <v>10880</v>
          </cell>
          <cell r="R406" t="b">
            <v>0</v>
          </cell>
        </row>
        <row r="407">
          <cell r="A407" t="str">
            <v>AJSS</v>
          </cell>
          <cell r="B407">
            <v>3200</v>
          </cell>
          <cell r="C407" t="str">
            <v>MCNFZO2A</v>
          </cell>
          <cell r="D407" t="str">
            <v>소제구(CI),NO HUB</v>
          </cell>
          <cell r="E407" t="str">
            <v>50D</v>
          </cell>
          <cell r="F407" t="str">
            <v>EA</v>
          </cell>
          <cell r="G407">
            <v>0</v>
          </cell>
          <cell r="H407">
            <v>10</v>
          </cell>
          <cell r="J407">
            <v>10</v>
          </cell>
          <cell r="L407">
            <v>480</v>
          </cell>
          <cell r="N407">
            <v>4800</v>
          </cell>
          <cell r="R407" t="b">
            <v>0</v>
          </cell>
        </row>
        <row r="408">
          <cell r="A408" t="str">
            <v>AJSS</v>
          </cell>
          <cell r="B408">
            <v>3300</v>
          </cell>
          <cell r="C408" t="str">
            <v>MCNFZO4A</v>
          </cell>
          <cell r="D408" t="str">
            <v>소제구(CI),NO HUB</v>
          </cell>
          <cell r="E408" t="str">
            <v>100D</v>
          </cell>
          <cell r="F408" t="str">
            <v>EA</v>
          </cell>
          <cell r="G408">
            <v>0</v>
          </cell>
          <cell r="H408">
            <v>29</v>
          </cell>
          <cell r="J408">
            <v>29</v>
          </cell>
          <cell r="L408">
            <v>928</v>
          </cell>
          <cell r="N408">
            <v>26912</v>
          </cell>
          <cell r="R408" t="b">
            <v>0</v>
          </cell>
        </row>
        <row r="409">
          <cell r="A409" t="str">
            <v>AJSS</v>
          </cell>
          <cell r="B409">
            <v>3400</v>
          </cell>
          <cell r="C409" t="str">
            <v>MCNFZO5A</v>
          </cell>
          <cell r="D409" t="str">
            <v>소제구(CI),NO HUB</v>
          </cell>
          <cell r="E409" t="str">
            <v>125D</v>
          </cell>
          <cell r="F409" t="str">
            <v>EA</v>
          </cell>
          <cell r="G409">
            <v>0</v>
          </cell>
          <cell r="H409">
            <v>30</v>
          </cell>
          <cell r="J409">
            <v>30</v>
          </cell>
          <cell r="L409">
            <v>1184</v>
          </cell>
          <cell r="N409">
            <v>35520</v>
          </cell>
          <cell r="R409" t="b">
            <v>0</v>
          </cell>
        </row>
        <row r="410">
          <cell r="A410" t="str">
            <v>AJSS</v>
          </cell>
          <cell r="B410">
            <v>3500</v>
          </cell>
          <cell r="C410" t="str">
            <v>MCNFZO6A</v>
          </cell>
          <cell r="D410" t="str">
            <v>소제구(CI),NO HUB</v>
          </cell>
          <cell r="E410" t="str">
            <v>150D</v>
          </cell>
          <cell r="F410" t="str">
            <v>EA</v>
          </cell>
          <cell r="G410">
            <v>0</v>
          </cell>
          <cell r="H410">
            <v>14</v>
          </cell>
          <cell r="J410">
            <v>14</v>
          </cell>
          <cell r="L410">
            <v>1632</v>
          </cell>
          <cell r="N410">
            <v>22848</v>
          </cell>
          <cell r="R410" t="b">
            <v>0</v>
          </cell>
        </row>
        <row r="411">
          <cell r="A411" t="str">
            <v>AJSS</v>
          </cell>
          <cell r="B411">
            <v>3600</v>
          </cell>
          <cell r="C411" t="str">
            <v>MCNFZO8A</v>
          </cell>
          <cell r="D411" t="str">
            <v>소제구(CI),NO HUB</v>
          </cell>
          <cell r="E411" t="str">
            <v>200D</v>
          </cell>
          <cell r="F411" t="str">
            <v>EA</v>
          </cell>
          <cell r="G411">
            <v>0</v>
          </cell>
          <cell r="H411">
            <v>18</v>
          </cell>
          <cell r="J411">
            <v>18</v>
          </cell>
          <cell r="L411">
            <v>2928</v>
          </cell>
          <cell r="N411">
            <v>52704</v>
          </cell>
          <cell r="R411" t="b">
            <v>0</v>
          </cell>
        </row>
        <row r="412">
          <cell r="A412" t="str">
            <v>AJSS</v>
          </cell>
          <cell r="B412">
            <v>3700</v>
          </cell>
          <cell r="C412" t="str">
            <v>BP1G0S04</v>
          </cell>
          <cell r="D412" t="str">
            <v>U-트랩(CI), NO HUB</v>
          </cell>
          <cell r="E412" t="str">
            <v>125D</v>
          </cell>
          <cell r="F412" t="str">
            <v>EA</v>
          </cell>
          <cell r="H412">
            <v>9</v>
          </cell>
          <cell r="J412">
            <v>9</v>
          </cell>
          <cell r="L412">
            <v>37804</v>
          </cell>
          <cell r="N412">
            <v>340236</v>
          </cell>
          <cell r="R412" t="b">
            <v>0</v>
          </cell>
        </row>
        <row r="413">
          <cell r="A413" t="str">
            <v>AJSS</v>
          </cell>
          <cell r="B413">
            <v>3800</v>
          </cell>
          <cell r="C413" t="str">
            <v>MCXCA4C4</v>
          </cell>
          <cell r="D413" t="str">
            <v>주철 섹스티아벤드 90,SBC</v>
          </cell>
          <cell r="E413" t="str">
            <v>100A*100A</v>
          </cell>
          <cell r="F413" t="str">
            <v>EA</v>
          </cell>
          <cell r="G413">
            <v>0</v>
          </cell>
          <cell r="H413">
            <v>63</v>
          </cell>
          <cell r="J413">
            <v>63</v>
          </cell>
          <cell r="L413">
            <v>17250</v>
          </cell>
          <cell r="N413">
            <v>1086750</v>
          </cell>
          <cell r="R413" t="b">
            <v>0</v>
          </cell>
        </row>
        <row r="414">
          <cell r="A414" t="str">
            <v>AJSS</v>
          </cell>
          <cell r="B414">
            <v>3900</v>
          </cell>
          <cell r="C414" t="str">
            <v>MCXCA4C5</v>
          </cell>
          <cell r="D414" t="str">
            <v>주철 섹스티아벤드 90,SBC</v>
          </cell>
          <cell r="E414" t="str">
            <v>100A*125A</v>
          </cell>
          <cell r="F414" t="str">
            <v>EA</v>
          </cell>
          <cell r="G414">
            <v>0</v>
          </cell>
          <cell r="H414">
            <v>49</v>
          </cell>
          <cell r="J414">
            <v>49</v>
          </cell>
          <cell r="L414">
            <v>20250</v>
          </cell>
          <cell r="N414">
            <v>992250</v>
          </cell>
          <cell r="R414" t="b">
            <v>0</v>
          </cell>
        </row>
        <row r="415">
          <cell r="A415" t="str">
            <v>AJSS</v>
          </cell>
          <cell r="B415">
            <v>4000</v>
          </cell>
          <cell r="C415" t="str">
            <v>MCXCVS2A</v>
          </cell>
          <cell r="D415" t="str">
            <v>거품방지기</v>
          </cell>
          <cell r="E415" t="str">
            <v>50A</v>
          </cell>
          <cell r="F415" t="str">
            <v>EA</v>
          </cell>
          <cell r="G415">
            <v>0</v>
          </cell>
          <cell r="H415">
            <v>5</v>
          </cell>
          <cell r="J415">
            <v>5</v>
          </cell>
          <cell r="L415">
            <v>5000</v>
          </cell>
          <cell r="N415">
            <v>25000</v>
          </cell>
          <cell r="R415" t="b">
            <v>0</v>
          </cell>
        </row>
        <row r="416">
          <cell r="A416" t="str">
            <v>AJSS</v>
          </cell>
          <cell r="B416">
            <v>4100</v>
          </cell>
          <cell r="C416" t="str">
            <v>MMINCP2A</v>
          </cell>
          <cell r="D416" t="str">
            <v>NO HUB 배수용 커플링</v>
          </cell>
          <cell r="E416" t="str">
            <v>50D</v>
          </cell>
          <cell r="F416" t="str">
            <v>EA</v>
          </cell>
          <cell r="G416">
            <v>0</v>
          </cell>
          <cell r="H416">
            <v>10</v>
          </cell>
          <cell r="J416">
            <v>10</v>
          </cell>
          <cell r="L416">
            <v>1590</v>
          </cell>
          <cell r="N416">
            <v>15900</v>
          </cell>
          <cell r="R416" t="b">
            <v>0</v>
          </cell>
        </row>
        <row r="417">
          <cell r="A417" t="str">
            <v>AJSS</v>
          </cell>
          <cell r="B417">
            <v>4200</v>
          </cell>
          <cell r="C417" t="str">
            <v>MCXDS42A</v>
          </cell>
          <cell r="D417" t="str">
            <v>PVC DRF-X(S형)</v>
          </cell>
          <cell r="E417" t="str">
            <v>100A* 50A</v>
          </cell>
          <cell r="F417" t="str">
            <v>EA</v>
          </cell>
          <cell r="G417">
            <v>0</v>
          </cell>
          <cell r="H417">
            <v>430</v>
          </cell>
          <cell r="J417">
            <v>430</v>
          </cell>
          <cell r="L417">
            <v>5642</v>
          </cell>
          <cell r="N417">
            <v>2426060</v>
          </cell>
          <cell r="R417" t="b">
            <v>0</v>
          </cell>
        </row>
        <row r="418">
          <cell r="A418" t="str">
            <v>AJSS</v>
          </cell>
          <cell r="B418">
            <v>4300</v>
          </cell>
          <cell r="C418" t="str">
            <v>MCXDS44A</v>
          </cell>
          <cell r="D418" t="str">
            <v>PVC DRF-X(S형)</v>
          </cell>
          <cell r="E418" t="str">
            <v>100A*100A</v>
          </cell>
          <cell r="F418" t="str">
            <v>EA</v>
          </cell>
          <cell r="G418">
            <v>0</v>
          </cell>
          <cell r="H418">
            <v>178</v>
          </cell>
          <cell r="J418">
            <v>178</v>
          </cell>
          <cell r="L418">
            <v>5873</v>
          </cell>
          <cell r="N418">
            <v>1045394</v>
          </cell>
          <cell r="R418" t="b">
            <v>0</v>
          </cell>
        </row>
        <row r="419">
          <cell r="A419" t="str">
            <v>AJSS</v>
          </cell>
          <cell r="B419">
            <v>4400</v>
          </cell>
          <cell r="C419" t="str">
            <v>MCXDT42A</v>
          </cell>
          <cell r="D419" t="str">
            <v>PVC DRF-X(TW형)</v>
          </cell>
          <cell r="E419" t="str">
            <v>100A* 50A</v>
          </cell>
          <cell r="F419" t="str">
            <v>EA</v>
          </cell>
          <cell r="G419">
            <v>0</v>
          </cell>
          <cell r="H419">
            <v>107</v>
          </cell>
          <cell r="J419">
            <v>107</v>
          </cell>
          <cell r="L419">
            <v>6585</v>
          </cell>
          <cell r="N419">
            <v>704595</v>
          </cell>
          <cell r="R419" t="b">
            <v>0</v>
          </cell>
        </row>
        <row r="420">
          <cell r="A420" t="str">
            <v>AJSS</v>
          </cell>
          <cell r="B420">
            <v>4500</v>
          </cell>
          <cell r="C420" t="str">
            <v>MPFFD42A</v>
          </cell>
          <cell r="D420" t="str">
            <v>PVC 45도 곡관(DTS)</v>
          </cell>
          <cell r="E420" t="str">
            <v>50D</v>
          </cell>
          <cell r="F420" t="str">
            <v>EA</v>
          </cell>
          <cell r="G420">
            <v>0</v>
          </cell>
          <cell r="H420">
            <v>20</v>
          </cell>
          <cell r="J420">
            <v>20</v>
          </cell>
          <cell r="L420">
            <v>283</v>
          </cell>
          <cell r="N420">
            <v>5660</v>
          </cell>
          <cell r="R420" t="b">
            <v>0</v>
          </cell>
        </row>
        <row r="421">
          <cell r="A421" t="str">
            <v>AJSS</v>
          </cell>
          <cell r="B421">
            <v>4600</v>
          </cell>
          <cell r="C421" t="str">
            <v>MPFDN04A</v>
          </cell>
          <cell r="D421" t="str">
            <v>PVC 45도 곡관(DRF)</v>
          </cell>
          <cell r="E421" t="str">
            <v>100D</v>
          </cell>
          <cell r="F421" t="str">
            <v>EA</v>
          </cell>
          <cell r="G421">
            <v>0</v>
          </cell>
          <cell r="H421">
            <v>13</v>
          </cell>
          <cell r="J421">
            <v>13</v>
          </cell>
          <cell r="L421">
            <v>2825</v>
          </cell>
          <cell r="N421">
            <v>36725</v>
          </cell>
          <cell r="R421" t="b">
            <v>0</v>
          </cell>
        </row>
        <row r="422">
          <cell r="A422" t="str">
            <v>AJSS</v>
          </cell>
          <cell r="B422">
            <v>4700</v>
          </cell>
          <cell r="C422" t="str">
            <v>MPFDO01D</v>
          </cell>
          <cell r="D422" t="str">
            <v>PVC 90도 곡관(DRF)</v>
          </cell>
          <cell r="E422" t="str">
            <v>35D</v>
          </cell>
          <cell r="F422" t="str">
            <v>EA</v>
          </cell>
          <cell r="G422">
            <v>0</v>
          </cell>
          <cell r="H422">
            <v>5</v>
          </cell>
          <cell r="J422">
            <v>5</v>
          </cell>
          <cell r="L422">
            <v>619</v>
          </cell>
          <cell r="N422">
            <v>3095</v>
          </cell>
          <cell r="R422" t="b">
            <v>0</v>
          </cell>
        </row>
        <row r="423">
          <cell r="A423" t="str">
            <v>AJSS</v>
          </cell>
          <cell r="B423">
            <v>4800</v>
          </cell>
          <cell r="C423" t="str">
            <v>MPFDO02A</v>
          </cell>
          <cell r="D423" t="str">
            <v>PVC 90도 곡관(DRF)</v>
          </cell>
          <cell r="E423" t="str">
            <v>50D</v>
          </cell>
          <cell r="F423" t="str">
            <v>EA</v>
          </cell>
          <cell r="G423">
            <v>0</v>
          </cell>
          <cell r="H423">
            <v>156</v>
          </cell>
          <cell r="J423">
            <v>156</v>
          </cell>
          <cell r="L423">
            <v>1070</v>
          </cell>
          <cell r="N423">
            <v>166920</v>
          </cell>
          <cell r="R423" t="b">
            <v>0</v>
          </cell>
        </row>
        <row r="424">
          <cell r="A424" t="str">
            <v>AJSS</v>
          </cell>
          <cell r="B424">
            <v>4900</v>
          </cell>
          <cell r="C424" t="str">
            <v>MPFDPA4A</v>
          </cell>
          <cell r="D424" t="str">
            <v>PVC Y관(DRF)</v>
          </cell>
          <cell r="E424" t="str">
            <v>100D*100D</v>
          </cell>
          <cell r="F424" t="str">
            <v>EA</v>
          </cell>
          <cell r="G424">
            <v>0</v>
          </cell>
          <cell r="H424">
            <v>13</v>
          </cell>
          <cell r="J424">
            <v>13</v>
          </cell>
          <cell r="L424">
            <v>4864</v>
          </cell>
          <cell r="N424">
            <v>63232</v>
          </cell>
          <cell r="R424" t="b">
            <v>0</v>
          </cell>
        </row>
        <row r="425">
          <cell r="A425" t="str">
            <v>AJSS</v>
          </cell>
          <cell r="B425">
            <v>5000</v>
          </cell>
          <cell r="C425" t="str">
            <v>MPFFW04A</v>
          </cell>
          <cell r="D425" t="str">
            <v>PVC V.T.R.</v>
          </cell>
          <cell r="E425" t="str">
            <v>100D</v>
          </cell>
          <cell r="F425" t="str">
            <v>EA</v>
          </cell>
          <cell r="G425">
            <v>0</v>
          </cell>
          <cell r="H425">
            <v>39</v>
          </cell>
          <cell r="J425">
            <v>39</v>
          </cell>
          <cell r="L425">
            <v>10000</v>
          </cell>
          <cell r="N425">
            <v>390000</v>
          </cell>
          <cell r="R425" t="b">
            <v>0</v>
          </cell>
        </row>
        <row r="426">
          <cell r="A426" t="str">
            <v>AJSS</v>
          </cell>
          <cell r="B426">
            <v>5100</v>
          </cell>
          <cell r="C426" t="str">
            <v>MPF1102A</v>
          </cell>
          <cell r="D426" t="str">
            <v>PVC 파이프(VG1)</v>
          </cell>
          <cell r="E426" t="str">
            <v>50D</v>
          </cell>
          <cell r="F426" t="str">
            <v>M</v>
          </cell>
          <cell r="G426">
            <v>5</v>
          </cell>
          <cell r="H426">
            <v>33.5</v>
          </cell>
          <cell r="J426">
            <v>35.200000000000003</v>
          </cell>
          <cell r="L426">
            <v>1619</v>
          </cell>
          <cell r="N426">
            <v>56989</v>
          </cell>
          <cell r="R426" t="b">
            <v>1</v>
          </cell>
        </row>
        <row r="427">
          <cell r="A427" t="str">
            <v>AJSS</v>
          </cell>
          <cell r="B427">
            <v>5102</v>
          </cell>
          <cell r="C427" t="str">
            <v>OMIHMPF1</v>
          </cell>
          <cell r="D427" t="str">
            <v>행거 및 용접봉</v>
          </cell>
          <cell r="E427" t="str">
            <v>관의 (15)％</v>
          </cell>
          <cell r="F427" t="str">
            <v>L/S</v>
          </cell>
          <cell r="H427">
            <v>1</v>
          </cell>
          <cell r="J427">
            <v>1</v>
          </cell>
          <cell r="L427">
            <v>33291</v>
          </cell>
          <cell r="N427">
            <v>33291</v>
          </cell>
        </row>
        <row r="428">
          <cell r="A428" t="str">
            <v>AJSS</v>
          </cell>
          <cell r="B428">
            <v>5200</v>
          </cell>
          <cell r="C428" t="str">
            <v>MAAH100I</v>
          </cell>
          <cell r="D428" t="str">
            <v>가요전선관(PVC)</v>
          </cell>
          <cell r="E428" t="str">
            <v>22C</v>
          </cell>
          <cell r="F428" t="str">
            <v>M</v>
          </cell>
          <cell r="G428">
            <v>0</v>
          </cell>
          <cell r="H428">
            <v>19</v>
          </cell>
          <cell r="J428">
            <v>19</v>
          </cell>
          <cell r="L428">
            <v>140</v>
          </cell>
          <cell r="N428">
            <v>2660</v>
          </cell>
          <cell r="R428" t="b">
            <v>1</v>
          </cell>
        </row>
        <row r="429">
          <cell r="A429" t="str">
            <v>AJSS</v>
          </cell>
          <cell r="B429">
            <v>5201</v>
          </cell>
          <cell r="C429" t="str">
            <v>OMISC07</v>
          </cell>
          <cell r="D429" t="str">
            <v>전선관 부속</v>
          </cell>
          <cell r="E429" t="str">
            <v>전선관의 (20)％</v>
          </cell>
          <cell r="F429" t="str">
            <v>L/S</v>
          </cell>
          <cell r="H429">
            <v>1</v>
          </cell>
          <cell r="J429">
            <v>1</v>
          </cell>
          <cell r="L429">
            <v>532</v>
          </cell>
          <cell r="N429">
            <v>532</v>
          </cell>
        </row>
        <row r="430">
          <cell r="A430" t="str">
            <v>AJSS</v>
          </cell>
          <cell r="B430">
            <v>5300</v>
          </cell>
          <cell r="C430" t="str">
            <v>MAAM003A</v>
          </cell>
          <cell r="D430" t="str">
            <v>풀박스(W/COVER)</v>
          </cell>
          <cell r="E430" t="str">
            <v>150*150*100</v>
          </cell>
          <cell r="F430" t="str">
            <v>EA</v>
          </cell>
          <cell r="G430">
            <v>0</v>
          </cell>
          <cell r="H430">
            <v>5</v>
          </cell>
          <cell r="J430">
            <v>5</v>
          </cell>
          <cell r="L430">
            <v>3400</v>
          </cell>
          <cell r="N430">
            <v>17000</v>
          </cell>
          <cell r="R430" t="b">
            <v>0</v>
          </cell>
        </row>
        <row r="431">
          <cell r="A431" t="str">
            <v>AJSS</v>
          </cell>
          <cell r="B431">
            <v>5400</v>
          </cell>
          <cell r="C431" t="str">
            <v>MPFGFD2G</v>
          </cell>
          <cell r="D431" t="str">
            <v>바닥드레인(편심)</v>
          </cell>
          <cell r="E431" t="str">
            <v>■200, 50D</v>
          </cell>
          <cell r="F431" t="str">
            <v>EA</v>
          </cell>
          <cell r="G431">
            <v>0</v>
          </cell>
          <cell r="H431">
            <v>5</v>
          </cell>
          <cell r="J431">
            <v>5</v>
          </cell>
          <cell r="L431">
            <v>14400</v>
          </cell>
          <cell r="N431">
            <v>72000</v>
          </cell>
          <cell r="R431" t="b">
            <v>0</v>
          </cell>
        </row>
        <row r="432">
          <cell r="A432" t="str">
            <v>AJSS</v>
          </cell>
          <cell r="B432">
            <v>5500</v>
          </cell>
          <cell r="C432" t="str">
            <v>MPFGFW2C</v>
          </cell>
          <cell r="D432" t="str">
            <v>바닥드레인(세탁실)</v>
          </cell>
          <cell r="E432" t="str">
            <v>■200, 50D</v>
          </cell>
          <cell r="F432" t="str">
            <v>EA</v>
          </cell>
          <cell r="G432">
            <v>0</v>
          </cell>
          <cell r="H432">
            <v>5</v>
          </cell>
          <cell r="J432">
            <v>5</v>
          </cell>
          <cell r="L432">
            <v>14000</v>
          </cell>
          <cell r="N432">
            <v>70000</v>
          </cell>
          <cell r="R432" t="b">
            <v>0</v>
          </cell>
        </row>
        <row r="433">
          <cell r="A433" t="str">
            <v>AJSS</v>
          </cell>
          <cell r="B433">
            <v>5600</v>
          </cell>
          <cell r="C433" t="str">
            <v>MPFGGL1D</v>
          </cell>
          <cell r="D433" t="str">
            <v>세면기 배수구 가스켓</v>
          </cell>
          <cell r="E433" t="str">
            <v>35D</v>
          </cell>
          <cell r="F433" t="str">
            <v>EA</v>
          </cell>
          <cell r="G433">
            <v>0</v>
          </cell>
          <cell r="H433">
            <v>5</v>
          </cell>
          <cell r="J433">
            <v>5</v>
          </cell>
          <cell r="L433">
            <v>250</v>
          </cell>
          <cell r="N433">
            <v>1250</v>
          </cell>
          <cell r="R433" t="b">
            <v>0</v>
          </cell>
        </row>
        <row r="434">
          <cell r="A434" t="str">
            <v>AJSS</v>
          </cell>
          <cell r="B434">
            <v>5700</v>
          </cell>
          <cell r="C434" t="str">
            <v>MPFGSB2A</v>
          </cell>
          <cell r="D434" t="str">
            <v>PVC 욕조 스리브</v>
          </cell>
          <cell r="E434" t="str">
            <v>50D</v>
          </cell>
          <cell r="F434" t="str">
            <v>EA</v>
          </cell>
          <cell r="G434">
            <v>0</v>
          </cell>
          <cell r="H434">
            <v>5</v>
          </cell>
          <cell r="J434">
            <v>5</v>
          </cell>
          <cell r="L434">
            <v>800</v>
          </cell>
          <cell r="N434">
            <v>4000</v>
          </cell>
          <cell r="R434" t="b">
            <v>0</v>
          </cell>
        </row>
        <row r="435">
          <cell r="A435" t="str">
            <v>AJSS</v>
          </cell>
          <cell r="B435">
            <v>5800</v>
          </cell>
          <cell r="C435" t="str">
            <v>MPFGSL1D</v>
          </cell>
          <cell r="D435" t="str">
            <v>PVC 세면기 스리브</v>
          </cell>
          <cell r="E435" t="str">
            <v>35D</v>
          </cell>
          <cell r="F435" t="str">
            <v>EA</v>
          </cell>
          <cell r="G435">
            <v>0</v>
          </cell>
          <cell r="H435">
            <v>5</v>
          </cell>
          <cell r="J435">
            <v>5</v>
          </cell>
          <cell r="L435">
            <v>720</v>
          </cell>
          <cell r="N435">
            <v>3600</v>
          </cell>
          <cell r="R435" t="b">
            <v>0</v>
          </cell>
        </row>
        <row r="436">
          <cell r="A436" t="str">
            <v>AJSS</v>
          </cell>
          <cell r="B436">
            <v>5900</v>
          </cell>
          <cell r="C436" t="str">
            <v>MPFGSR4A</v>
          </cell>
          <cell r="D436" t="str">
            <v>PVC 양변기 스리브,RR</v>
          </cell>
          <cell r="E436" t="str">
            <v>100D</v>
          </cell>
          <cell r="F436" t="str">
            <v>EA</v>
          </cell>
          <cell r="G436">
            <v>0</v>
          </cell>
          <cell r="H436">
            <v>5</v>
          </cell>
          <cell r="J436">
            <v>5</v>
          </cell>
          <cell r="L436">
            <v>1630</v>
          </cell>
          <cell r="N436">
            <v>8150</v>
          </cell>
          <cell r="R436" t="b">
            <v>0</v>
          </cell>
        </row>
        <row r="437">
          <cell r="A437" t="str">
            <v>AJSS</v>
          </cell>
          <cell r="B437">
            <v>6000</v>
          </cell>
          <cell r="C437" t="str">
            <v>MPFGVS2A</v>
          </cell>
          <cell r="D437" t="str">
            <v>PVC 밸브소켓(DTS)</v>
          </cell>
          <cell r="E437" t="str">
            <v>50D</v>
          </cell>
          <cell r="F437" t="str">
            <v>EA</v>
          </cell>
          <cell r="G437">
            <v>0</v>
          </cell>
          <cell r="H437">
            <v>5</v>
          </cell>
          <cell r="J437">
            <v>5</v>
          </cell>
          <cell r="L437">
            <v>587</v>
          </cell>
          <cell r="N437">
            <v>2935</v>
          </cell>
          <cell r="R437" t="b">
            <v>0</v>
          </cell>
        </row>
        <row r="438">
          <cell r="A438" t="str">
            <v>AJSS</v>
          </cell>
          <cell r="B438">
            <v>6100</v>
          </cell>
          <cell r="C438" t="str">
            <v>MEFNAAEA</v>
          </cell>
          <cell r="D438" t="str">
            <v>무동력 흡출기,아파트,AL</v>
          </cell>
          <cell r="E438" t="str">
            <v>450D</v>
          </cell>
          <cell r="F438" t="str">
            <v>EA</v>
          </cell>
          <cell r="G438">
            <v>0</v>
          </cell>
          <cell r="H438">
            <v>6</v>
          </cell>
          <cell r="J438">
            <v>6</v>
          </cell>
          <cell r="L438">
            <v>47000</v>
          </cell>
          <cell r="N438">
            <v>282000</v>
          </cell>
          <cell r="R438" t="b">
            <v>0</v>
          </cell>
        </row>
        <row r="439">
          <cell r="A439" t="str">
            <v>AJSS</v>
          </cell>
          <cell r="B439">
            <v>6200</v>
          </cell>
          <cell r="C439" t="str">
            <v>MEFNAAHA</v>
          </cell>
          <cell r="D439" t="str">
            <v>무동력 흡출기,아파트,AL</v>
          </cell>
          <cell r="E439" t="str">
            <v>600D</v>
          </cell>
          <cell r="F439" t="str">
            <v>EA</v>
          </cell>
          <cell r="G439">
            <v>0</v>
          </cell>
          <cell r="H439">
            <v>11</v>
          </cell>
          <cell r="J439">
            <v>11</v>
          </cell>
          <cell r="L439">
            <v>63000</v>
          </cell>
          <cell r="N439">
            <v>693000</v>
          </cell>
          <cell r="R439" t="b">
            <v>0</v>
          </cell>
        </row>
        <row r="440">
          <cell r="A440" t="str">
            <v>AJSS</v>
          </cell>
          <cell r="B440">
            <v>6300</v>
          </cell>
          <cell r="C440" t="str">
            <v>MEFNFSIN</v>
          </cell>
          <cell r="D440" t="str">
            <v>무동력 흡출기 가대</v>
          </cell>
          <cell r="F440" t="str">
            <v>EA</v>
          </cell>
          <cell r="G440">
            <v>0</v>
          </cell>
          <cell r="H440">
            <v>17</v>
          </cell>
          <cell r="J440">
            <v>17</v>
          </cell>
          <cell r="L440">
            <v>10000</v>
          </cell>
          <cell r="N440">
            <v>170000</v>
          </cell>
          <cell r="R440" t="b">
            <v>0</v>
          </cell>
        </row>
        <row r="441">
          <cell r="A441" t="str">
            <v>AJSS</v>
          </cell>
          <cell r="B441">
            <v>6400</v>
          </cell>
          <cell r="C441" t="str">
            <v>MFEHPS4A</v>
          </cell>
          <cell r="D441" t="str">
            <v>동망,소화용</v>
          </cell>
          <cell r="E441" t="str">
            <v>100A</v>
          </cell>
          <cell r="F441" t="str">
            <v>EA</v>
          </cell>
          <cell r="G441">
            <v>0</v>
          </cell>
          <cell r="H441">
            <v>39</v>
          </cell>
          <cell r="J441">
            <v>39</v>
          </cell>
          <cell r="L441">
            <v>10000</v>
          </cell>
          <cell r="N441">
            <v>390000</v>
          </cell>
          <cell r="R441" t="b">
            <v>0</v>
          </cell>
        </row>
        <row r="442">
          <cell r="A442" t="str">
            <v>AJSS</v>
          </cell>
          <cell r="B442">
            <v>6500</v>
          </cell>
          <cell r="C442" t="str">
            <v>BHASSL2A</v>
          </cell>
          <cell r="D442" t="str">
            <v>파이프스리브 설치</v>
          </cell>
          <cell r="E442" t="str">
            <v>50A</v>
          </cell>
          <cell r="F442" t="str">
            <v>EA</v>
          </cell>
          <cell r="H442">
            <v>5</v>
          </cell>
          <cell r="J442">
            <v>5</v>
          </cell>
          <cell r="L442">
            <v>2567</v>
          </cell>
          <cell r="N442">
            <v>12835</v>
          </cell>
          <cell r="R442" t="b">
            <v>0</v>
          </cell>
        </row>
        <row r="443">
          <cell r="A443" t="str">
            <v>AJSS</v>
          </cell>
          <cell r="B443">
            <v>6600</v>
          </cell>
          <cell r="C443" t="str">
            <v>BHASSL4A</v>
          </cell>
          <cell r="D443" t="str">
            <v>파이프스리브 설치</v>
          </cell>
          <cell r="E443" t="str">
            <v>100A</v>
          </cell>
          <cell r="F443" t="str">
            <v>EA</v>
          </cell>
          <cell r="H443">
            <v>8</v>
          </cell>
          <cell r="J443">
            <v>8</v>
          </cell>
          <cell r="L443">
            <v>9623</v>
          </cell>
          <cell r="N443">
            <v>76984</v>
          </cell>
          <cell r="R443" t="b">
            <v>0</v>
          </cell>
        </row>
        <row r="444">
          <cell r="A444" t="str">
            <v>AJSS</v>
          </cell>
          <cell r="B444">
            <v>6700</v>
          </cell>
          <cell r="C444" t="str">
            <v>BHASSL5A</v>
          </cell>
          <cell r="D444" t="str">
            <v>파이프스리브 설치</v>
          </cell>
          <cell r="E444" t="str">
            <v>125A</v>
          </cell>
          <cell r="F444" t="str">
            <v>EA</v>
          </cell>
          <cell r="H444">
            <v>8</v>
          </cell>
          <cell r="J444">
            <v>8</v>
          </cell>
          <cell r="L444">
            <v>16932</v>
          </cell>
          <cell r="N444">
            <v>135456</v>
          </cell>
          <cell r="R444" t="b">
            <v>0</v>
          </cell>
        </row>
        <row r="445">
          <cell r="A445" t="str">
            <v>AJSS</v>
          </cell>
          <cell r="B445">
            <v>6800</v>
          </cell>
          <cell r="C445" t="str">
            <v>BHASSL6A</v>
          </cell>
          <cell r="D445" t="str">
            <v>파이프스리브 설치</v>
          </cell>
          <cell r="E445" t="str">
            <v>150A</v>
          </cell>
          <cell r="F445" t="str">
            <v>EA</v>
          </cell>
          <cell r="H445">
            <v>30</v>
          </cell>
          <cell r="J445">
            <v>30</v>
          </cell>
          <cell r="L445">
            <v>21745</v>
          </cell>
          <cell r="N445">
            <v>652350</v>
          </cell>
          <cell r="R445" t="b">
            <v>0</v>
          </cell>
        </row>
        <row r="446">
          <cell r="A446" t="str">
            <v>AJSS</v>
          </cell>
          <cell r="B446">
            <v>6900</v>
          </cell>
          <cell r="C446" t="str">
            <v>BHASSL8A</v>
          </cell>
          <cell r="D446" t="str">
            <v>파이프스리브 설치</v>
          </cell>
          <cell r="E446" t="str">
            <v>200A</v>
          </cell>
          <cell r="F446" t="str">
            <v>EA</v>
          </cell>
          <cell r="H446">
            <v>30</v>
          </cell>
          <cell r="J446">
            <v>30</v>
          </cell>
          <cell r="L446">
            <v>39959</v>
          </cell>
          <cell r="N446">
            <v>1198770</v>
          </cell>
          <cell r="R446" t="b">
            <v>0</v>
          </cell>
        </row>
        <row r="447">
          <cell r="A447" t="str">
            <v>AJSS</v>
          </cell>
          <cell r="B447">
            <v>7000</v>
          </cell>
          <cell r="C447" t="str">
            <v>BHATSL2A</v>
          </cell>
          <cell r="D447" t="str">
            <v>입상관스리브 설치</v>
          </cell>
          <cell r="E447" t="str">
            <v>50A</v>
          </cell>
          <cell r="F447" t="str">
            <v>EA</v>
          </cell>
          <cell r="H447">
            <v>78</v>
          </cell>
          <cell r="J447">
            <v>78</v>
          </cell>
          <cell r="L447">
            <v>1600</v>
          </cell>
          <cell r="N447">
            <v>124800</v>
          </cell>
          <cell r="R447" t="b">
            <v>0</v>
          </cell>
        </row>
        <row r="448">
          <cell r="A448" t="str">
            <v>AJSS</v>
          </cell>
          <cell r="B448">
            <v>7100</v>
          </cell>
          <cell r="C448" t="str">
            <v>BHATSL4A</v>
          </cell>
          <cell r="D448" t="str">
            <v>입상관스리브 설치</v>
          </cell>
          <cell r="E448" t="str">
            <v>100A</v>
          </cell>
          <cell r="F448" t="str">
            <v>EA</v>
          </cell>
          <cell r="H448">
            <v>959</v>
          </cell>
          <cell r="J448">
            <v>959</v>
          </cell>
          <cell r="L448">
            <v>3680</v>
          </cell>
          <cell r="N448">
            <v>3529120</v>
          </cell>
          <cell r="R448" t="b">
            <v>0</v>
          </cell>
        </row>
        <row r="449">
          <cell r="A449" t="str">
            <v>AJSS</v>
          </cell>
          <cell r="B449">
            <v>7200</v>
          </cell>
          <cell r="C449" t="str">
            <v>BHAQA2H6</v>
          </cell>
          <cell r="D449" t="str">
            <v>잡철물제작,앵글</v>
          </cell>
          <cell r="E449" t="str">
            <v>65*65*6T</v>
          </cell>
          <cell r="F449" t="str">
            <v>KG</v>
          </cell>
          <cell r="H449">
            <v>5124</v>
          </cell>
          <cell r="J449">
            <v>5124</v>
          </cell>
          <cell r="L449">
            <v>432</v>
          </cell>
          <cell r="N449">
            <v>2213568</v>
          </cell>
          <cell r="R449" t="b">
            <v>0</v>
          </cell>
        </row>
        <row r="450">
          <cell r="A450" t="str">
            <v>AJSS</v>
          </cell>
          <cell r="B450">
            <v>7300</v>
          </cell>
          <cell r="C450" t="str">
            <v>MHATSA1A</v>
          </cell>
          <cell r="D450" t="str">
            <v>앙카플레이트</v>
          </cell>
          <cell r="E450" t="str">
            <v>9T*200*200</v>
          </cell>
          <cell r="F450" t="str">
            <v>EA</v>
          </cell>
          <cell r="G450">
            <v>0</v>
          </cell>
          <cell r="H450">
            <v>366</v>
          </cell>
          <cell r="J450">
            <v>366</v>
          </cell>
          <cell r="L450">
            <v>3600</v>
          </cell>
          <cell r="N450">
            <v>1317600</v>
          </cell>
          <cell r="R450" t="b">
            <v>0</v>
          </cell>
        </row>
        <row r="451">
          <cell r="A451" t="str">
            <v>AJSS</v>
          </cell>
          <cell r="B451">
            <v>750000</v>
          </cell>
          <cell r="C451" t="str">
            <v>S22N02A</v>
          </cell>
          <cell r="D451" t="str">
            <v>주철관접합(N/H)</v>
          </cell>
          <cell r="E451" t="str">
            <v>50D</v>
          </cell>
          <cell r="F451" t="str">
            <v>JNT</v>
          </cell>
          <cell r="H451">
            <v>269</v>
          </cell>
          <cell r="J451">
            <v>269</v>
          </cell>
          <cell r="L451">
            <v>1592</v>
          </cell>
          <cell r="N451">
            <v>428248</v>
          </cell>
        </row>
        <row r="452">
          <cell r="A452" t="str">
            <v>AJSS</v>
          </cell>
          <cell r="B452">
            <v>750000</v>
          </cell>
          <cell r="C452" t="str">
            <v>S22N04A</v>
          </cell>
          <cell r="D452" t="str">
            <v>주철관접합(N/H)</v>
          </cell>
          <cell r="E452" t="str">
            <v>100D</v>
          </cell>
          <cell r="F452" t="str">
            <v>JNT</v>
          </cell>
          <cell r="H452">
            <v>578</v>
          </cell>
          <cell r="J452">
            <v>578</v>
          </cell>
          <cell r="L452">
            <v>2163</v>
          </cell>
          <cell r="N452">
            <v>1250214</v>
          </cell>
        </row>
        <row r="453">
          <cell r="A453" t="str">
            <v>AJSS</v>
          </cell>
          <cell r="B453">
            <v>750000</v>
          </cell>
          <cell r="C453" t="str">
            <v>S22N05A</v>
          </cell>
          <cell r="D453" t="str">
            <v>주철관접합(N/H)</v>
          </cell>
          <cell r="E453" t="str">
            <v>125D</v>
          </cell>
          <cell r="F453" t="str">
            <v>JNT</v>
          </cell>
          <cell r="H453">
            <v>366</v>
          </cell>
          <cell r="J453">
            <v>366</v>
          </cell>
          <cell r="L453">
            <v>5074</v>
          </cell>
          <cell r="N453">
            <v>1857084</v>
          </cell>
        </row>
        <row r="454">
          <cell r="A454" t="str">
            <v>AJSS</v>
          </cell>
          <cell r="B454">
            <v>750000</v>
          </cell>
          <cell r="C454" t="str">
            <v>S22N06A</v>
          </cell>
          <cell r="D454" t="str">
            <v>주철관접합(N/H)</v>
          </cell>
          <cell r="E454" t="str">
            <v>150D</v>
          </cell>
          <cell r="F454" t="str">
            <v>JNT</v>
          </cell>
          <cell r="H454">
            <v>271</v>
          </cell>
          <cell r="J454">
            <v>271</v>
          </cell>
          <cell r="L454">
            <v>5344</v>
          </cell>
          <cell r="N454">
            <v>1448224</v>
          </cell>
        </row>
        <row r="455">
          <cell r="A455" t="str">
            <v>AJSS</v>
          </cell>
          <cell r="B455">
            <v>750000</v>
          </cell>
          <cell r="C455" t="str">
            <v>S22N08A</v>
          </cell>
          <cell r="D455" t="str">
            <v>주철관접합(N/H)</v>
          </cell>
          <cell r="E455" t="str">
            <v>200D</v>
          </cell>
          <cell r="F455" t="str">
            <v>JNT</v>
          </cell>
          <cell r="H455">
            <v>240</v>
          </cell>
          <cell r="J455">
            <v>240</v>
          </cell>
          <cell r="L455">
            <v>9155</v>
          </cell>
          <cell r="N455">
            <v>2197200</v>
          </cell>
        </row>
        <row r="456">
          <cell r="A456" t="str">
            <v>AJSS</v>
          </cell>
          <cell r="B456">
            <v>750000</v>
          </cell>
          <cell r="C456" t="str">
            <v>S22H04A</v>
          </cell>
          <cell r="D456" t="str">
            <v>주철관접합(HUB)</v>
          </cell>
          <cell r="E456" t="str">
            <v>100D</v>
          </cell>
          <cell r="F456" t="str">
            <v>JNT</v>
          </cell>
          <cell r="H456">
            <v>112</v>
          </cell>
          <cell r="J456">
            <v>112</v>
          </cell>
          <cell r="L456">
            <v>1106</v>
          </cell>
          <cell r="N456">
            <v>123872</v>
          </cell>
        </row>
        <row r="457">
          <cell r="A457" t="str">
            <v>AJSS</v>
          </cell>
          <cell r="B457">
            <v>810000</v>
          </cell>
          <cell r="C457" t="str">
            <v>OMISC03</v>
          </cell>
          <cell r="D457" t="str">
            <v>잡자재비</v>
          </cell>
          <cell r="E457" t="str">
            <v>관의 (3)％</v>
          </cell>
          <cell r="F457" t="str">
            <v>L/S</v>
          </cell>
          <cell r="H457">
            <v>1</v>
          </cell>
          <cell r="J457">
            <v>1</v>
          </cell>
          <cell r="L457">
            <v>180070</v>
          </cell>
          <cell r="N457">
            <v>180070</v>
          </cell>
        </row>
        <row r="458">
          <cell r="A458" t="str">
            <v>AJSS</v>
          </cell>
          <cell r="B458">
            <v>850000</v>
          </cell>
          <cell r="C458" t="str">
            <v>LHELPR</v>
          </cell>
          <cell r="D458" t="str">
            <v>보통인부</v>
          </cell>
          <cell r="F458" t="str">
            <v>M/D</v>
          </cell>
          <cell r="H458">
            <v>150.69999999999999</v>
          </cell>
          <cell r="J458">
            <v>150.69999999999999</v>
          </cell>
          <cell r="L458">
            <v>22300</v>
          </cell>
          <cell r="N458">
            <v>3360610</v>
          </cell>
        </row>
        <row r="459">
          <cell r="A459" t="str">
            <v>AJSS</v>
          </cell>
          <cell r="B459">
            <v>850000</v>
          </cell>
          <cell r="C459" t="str">
            <v>LIRONW</v>
          </cell>
          <cell r="D459" t="str">
            <v>철공</v>
          </cell>
          <cell r="F459" t="str">
            <v>M/D</v>
          </cell>
          <cell r="H459">
            <v>47.1</v>
          </cell>
          <cell r="J459">
            <v>47.1</v>
          </cell>
          <cell r="L459">
            <v>35500</v>
          </cell>
          <cell r="N459">
            <v>1672050</v>
          </cell>
        </row>
        <row r="460">
          <cell r="A460" t="str">
            <v>AJSS</v>
          </cell>
          <cell r="B460">
            <v>850000</v>
          </cell>
          <cell r="C460" t="str">
            <v>LPAINT</v>
          </cell>
          <cell r="D460" t="str">
            <v>도장공</v>
          </cell>
          <cell r="F460" t="str">
            <v>M/D</v>
          </cell>
          <cell r="H460">
            <v>9.1999999999999993</v>
          </cell>
          <cell r="J460">
            <v>9.1999999999999993</v>
          </cell>
          <cell r="L460">
            <v>38200</v>
          </cell>
          <cell r="N460">
            <v>351440</v>
          </cell>
        </row>
        <row r="461">
          <cell r="A461" t="str">
            <v>AJSS</v>
          </cell>
          <cell r="B461">
            <v>850000</v>
          </cell>
          <cell r="C461" t="str">
            <v>LSPWKR</v>
          </cell>
          <cell r="D461" t="str">
            <v>특별인부</v>
          </cell>
          <cell r="F461" t="str">
            <v>M/D</v>
          </cell>
          <cell r="H461">
            <v>4.4000000000000004</v>
          </cell>
          <cell r="J461">
            <v>4.4000000000000004</v>
          </cell>
          <cell r="L461">
            <v>31200</v>
          </cell>
          <cell r="N461">
            <v>137280</v>
          </cell>
        </row>
        <row r="462">
          <cell r="A462" t="str">
            <v>AJSS</v>
          </cell>
          <cell r="B462">
            <v>850000</v>
          </cell>
          <cell r="C462" t="str">
            <v>LWELDG</v>
          </cell>
          <cell r="D462" t="str">
            <v>용접공(일반)</v>
          </cell>
          <cell r="F462" t="str">
            <v>M/D</v>
          </cell>
          <cell r="H462">
            <v>11.9</v>
          </cell>
          <cell r="J462">
            <v>11.9</v>
          </cell>
          <cell r="L462">
            <v>39500</v>
          </cell>
          <cell r="N462">
            <v>470050</v>
          </cell>
        </row>
        <row r="463">
          <cell r="A463" t="str">
            <v>AJSS</v>
          </cell>
          <cell r="B463">
            <v>850000</v>
          </cell>
          <cell r="C463" t="str">
            <v>LINSUL</v>
          </cell>
          <cell r="D463" t="str">
            <v>보온공</v>
          </cell>
          <cell r="F463" t="str">
            <v>M/D</v>
          </cell>
          <cell r="H463">
            <v>3.3</v>
          </cell>
          <cell r="J463">
            <v>3.3</v>
          </cell>
          <cell r="L463">
            <v>30900</v>
          </cell>
          <cell r="N463">
            <v>101970</v>
          </cell>
        </row>
        <row r="464">
          <cell r="A464" t="str">
            <v>AJSS</v>
          </cell>
          <cell r="B464">
            <v>850000</v>
          </cell>
          <cell r="C464" t="str">
            <v>LINTEL</v>
          </cell>
          <cell r="D464" t="str">
            <v>내선전공</v>
          </cell>
          <cell r="F464" t="str">
            <v>M/D</v>
          </cell>
          <cell r="H464">
            <v>1.4</v>
          </cell>
          <cell r="J464">
            <v>1.4</v>
          </cell>
          <cell r="L464">
            <v>36400</v>
          </cell>
          <cell r="N464">
            <v>50960</v>
          </cell>
        </row>
        <row r="465">
          <cell r="A465" t="str">
            <v>AJSS</v>
          </cell>
          <cell r="B465">
            <v>850000</v>
          </cell>
          <cell r="C465" t="str">
            <v>LPIPEG</v>
          </cell>
          <cell r="D465" t="str">
            <v>배관공</v>
          </cell>
          <cell r="F465" t="str">
            <v>M/D</v>
          </cell>
          <cell r="H465">
            <v>322.2</v>
          </cell>
          <cell r="J465">
            <v>322.2</v>
          </cell>
          <cell r="L465">
            <v>34400</v>
          </cell>
          <cell r="N465">
            <v>11083680</v>
          </cell>
        </row>
        <row r="466">
          <cell r="A466" t="str">
            <v>AJSS</v>
          </cell>
          <cell r="B466">
            <v>900000</v>
          </cell>
          <cell r="C466" t="str">
            <v>CAMTLP5</v>
          </cell>
          <cell r="D466" t="str">
            <v>APT씽크배수몰탈보양(PVC)</v>
          </cell>
          <cell r="E466" t="str">
            <v>50A</v>
          </cell>
          <cell r="F466" t="str">
            <v>M</v>
          </cell>
          <cell r="H466">
            <v>33.5</v>
          </cell>
          <cell r="J466">
            <v>33.5</v>
          </cell>
          <cell r="L466">
            <v>892</v>
          </cell>
          <cell r="N466">
            <v>29882</v>
          </cell>
          <cell r="R466" t="b">
            <v>0</v>
          </cell>
        </row>
        <row r="467">
          <cell r="A467" t="str">
            <v>AJSS</v>
          </cell>
          <cell r="B467">
            <v>990000</v>
          </cell>
          <cell r="C467" t="str">
            <v>OMISC06</v>
          </cell>
          <cell r="D467" t="str">
            <v>공구손료</v>
          </cell>
          <cell r="E467" t="str">
            <v>인건비의 (3)％</v>
          </cell>
          <cell r="F467" t="str">
            <v>L/S</v>
          </cell>
          <cell r="H467">
            <v>1</v>
          </cell>
          <cell r="J467">
            <v>1</v>
          </cell>
          <cell r="L467">
            <v>517078</v>
          </cell>
          <cell r="N467">
            <v>517078</v>
          </cell>
        </row>
        <row r="468">
          <cell r="A468" t="str">
            <v>AJST</v>
          </cell>
          <cell r="B468">
            <v>100</v>
          </cell>
          <cell r="C468" t="str">
            <v>MPF0304A</v>
          </cell>
          <cell r="D468" t="str">
            <v>PVC 파이프(SPIN)</v>
          </cell>
          <cell r="E468" t="str">
            <v>100D</v>
          </cell>
          <cell r="F468" t="str">
            <v>M</v>
          </cell>
          <cell r="G468">
            <v>5</v>
          </cell>
          <cell r="H468">
            <v>761.6</v>
          </cell>
          <cell r="J468">
            <v>799.7</v>
          </cell>
          <cell r="L468">
            <v>2439</v>
          </cell>
          <cell r="N468">
            <v>1950468</v>
          </cell>
          <cell r="R468" t="b">
            <v>1</v>
          </cell>
        </row>
        <row r="469">
          <cell r="A469" t="str">
            <v>AJST</v>
          </cell>
          <cell r="B469">
            <v>102</v>
          </cell>
          <cell r="C469" t="str">
            <v>OMIHMPF0</v>
          </cell>
          <cell r="D469" t="str">
            <v>행거 및 용접봉</v>
          </cell>
          <cell r="E469" t="str">
            <v>관의 (15)％</v>
          </cell>
          <cell r="F469" t="str">
            <v>L/S</v>
          </cell>
          <cell r="H469">
            <v>1</v>
          </cell>
          <cell r="J469">
            <v>1</v>
          </cell>
          <cell r="L469">
            <v>292563</v>
          </cell>
          <cell r="N469">
            <v>292563</v>
          </cell>
        </row>
        <row r="470">
          <cell r="A470" t="str">
            <v>AJST</v>
          </cell>
          <cell r="B470">
            <v>200</v>
          </cell>
          <cell r="C470" t="str">
            <v>MPFGDAB2</v>
          </cell>
          <cell r="D470" t="str">
            <v>발코니드레인</v>
          </cell>
          <cell r="E470" t="str">
            <v>100D* 135</v>
          </cell>
          <cell r="F470" t="str">
            <v>EA</v>
          </cell>
          <cell r="G470">
            <v>0</v>
          </cell>
          <cell r="H470">
            <v>286</v>
          </cell>
          <cell r="J470">
            <v>286</v>
          </cell>
          <cell r="L470">
            <v>2500</v>
          </cell>
          <cell r="N470">
            <v>715000</v>
          </cell>
          <cell r="R470" t="b">
            <v>0</v>
          </cell>
        </row>
        <row r="471">
          <cell r="A471" t="str">
            <v>AJST</v>
          </cell>
          <cell r="B471">
            <v>300</v>
          </cell>
          <cell r="C471" t="str">
            <v>TMYYS004</v>
          </cell>
          <cell r="D471" t="str">
            <v>루프드레인(HM-RD 6100)</v>
          </cell>
          <cell r="E471" t="str">
            <v>D100</v>
          </cell>
          <cell r="F471" t="str">
            <v>EA</v>
          </cell>
          <cell r="G471">
            <v>0</v>
          </cell>
          <cell r="H471">
            <v>20</v>
          </cell>
          <cell r="J471">
            <v>20</v>
          </cell>
          <cell r="L471">
            <v>9900</v>
          </cell>
          <cell r="N471">
            <v>198000</v>
          </cell>
          <cell r="R471" t="b">
            <v>0</v>
          </cell>
        </row>
        <row r="472">
          <cell r="A472" t="str">
            <v>AJST</v>
          </cell>
          <cell r="B472">
            <v>400</v>
          </cell>
          <cell r="C472" t="str">
            <v>BHATSL4A</v>
          </cell>
          <cell r="D472" t="str">
            <v>입상관스리브 설치</v>
          </cell>
          <cell r="E472" t="str">
            <v>100A</v>
          </cell>
          <cell r="F472" t="str">
            <v>EA</v>
          </cell>
          <cell r="H472">
            <v>20</v>
          </cell>
          <cell r="J472">
            <v>20</v>
          </cell>
          <cell r="L472">
            <v>3680</v>
          </cell>
          <cell r="N472">
            <v>73600</v>
          </cell>
          <cell r="R472" t="b">
            <v>0</v>
          </cell>
        </row>
        <row r="473">
          <cell r="A473" t="str">
            <v>AJST</v>
          </cell>
          <cell r="B473">
            <v>810000</v>
          </cell>
          <cell r="C473" t="str">
            <v>OMISC03</v>
          </cell>
          <cell r="D473" t="str">
            <v>잡자재비</v>
          </cell>
          <cell r="E473" t="str">
            <v>관의 (3)％</v>
          </cell>
          <cell r="F473" t="str">
            <v>L/S</v>
          </cell>
          <cell r="H473">
            <v>1</v>
          </cell>
          <cell r="J473">
            <v>1</v>
          </cell>
          <cell r="L473">
            <v>59369</v>
          </cell>
          <cell r="N473">
            <v>59369</v>
          </cell>
        </row>
        <row r="474">
          <cell r="A474" t="str">
            <v>AJST</v>
          </cell>
          <cell r="B474">
            <v>850000</v>
          </cell>
          <cell r="C474" t="str">
            <v>LSPWKR</v>
          </cell>
          <cell r="D474" t="str">
            <v>특별인부</v>
          </cell>
          <cell r="F474" t="str">
            <v>M/D</v>
          </cell>
          <cell r="H474">
            <v>0.5</v>
          </cell>
          <cell r="J474">
            <v>0.5</v>
          </cell>
          <cell r="L474">
            <v>31200</v>
          </cell>
          <cell r="N474">
            <v>15600</v>
          </cell>
        </row>
        <row r="475">
          <cell r="A475" t="str">
            <v>AJST</v>
          </cell>
          <cell r="B475">
            <v>850000</v>
          </cell>
          <cell r="C475" t="str">
            <v>LWELDG</v>
          </cell>
          <cell r="D475" t="str">
            <v>용접공(일반)</v>
          </cell>
          <cell r="F475" t="str">
            <v>M/D</v>
          </cell>
          <cell r="H475">
            <v>1.2</v>
          </cell>
          <cell r="J475">
            <v>1.2</v>
          </cell>
          <cell r="L475">
            <v>39500</v>
          </cell>
          <cell r="N475">
            <v>47400</v>
          </cell>
        </row>
        <row r="476">
          <cell r="A476" t="str">
            <v>AJST</v>
          </cell>
          <cell r="B476">
            <v>850000</v>
          </cell>
          <cell r="C476" t="str">
            <v>LHELPR</v>
          </cell>
          <cell r="D476" t="str">
            <v>보통인부</v>
          </cell>
          <cell r="F476" t="str">
            <v>M/D</v>
          </cell>
          <cell r="H476">
            <v>25.7</v>
          </cell>
          <cell r="J476">
            <v>25.7</v>
          </cell>
          <cell r="L476">
            <v>22300</v>
          </cell>
          <cell r="N476">
            <v>573110</v>
          </cell>
        </row>
        <row r="477">
          <cell r="A477" t="str">
            <v>AJST</v>
          </cell>
          <cell r="B477">
            <v>850000</v>
          </cell>
          <cell r="C477" t="str">
            <v>LPIPEG</v>
          </cell>
          <cell r="D477" t="str">
            <v>배관공</v>
          </cell>
          <cell r="F477" t="str">
            <v>M/D</v>
          </cell>
          <cell r="H477">
            <v>24.4</v>
          </cell>
          <cell r="J477">
            <v>24.4</v>
          </cell>
          <cell r="L477">
            <v>34400</v>
          </cell>
          <cell r="N477">
            <v>839360</v>
          </cell>
        </row>
        <row r="478">
          <cell r="A478" t="str">
            <v>AJST</v>
          </cell>
          <cell r="B478">
            <v>990000</v>
          </cell>
          <cell r="C478" t="str">
            <v>OMISC06</v>
          </cell>
          <cell r="D478" t="str">
            <v>공구손료</v>
          </cell>
          <cell r="E478" t="str">
            <v>인건비의 (3)％</v>
          </cell>
          <cell r="F478" t="str">
            <v>L/S</v>
          </cell>
          <cell r="H478">
            <v>1</v>
          </cell>
          <cell r="J478">
            <v>1</v>
          </cell>
          <cell r="L478">
            <v>44530</v>
          </cell>
          <cell r="N478">
            <v>44530</v>
          </cell>
        </row>
        <row r="479">
          <cell r="A479" t="str">
            <v>AJST</v>
          </cell>
          <cell r="C479" t="str">
            <v>WAAJSS</v>
          </cell>
          <cell r="D479" t="str">
            <v>5-6.우수배관공사</v>
          </cell>
        </row>
        <row r="480">
          <cell r="A480" t="str">
            <v>AL</v>
          </cell>
          <cell r="B480">
            <v>0</v>
          </cell>
          <cell r="C480" t="str">
            <v>WAAL</v>
          </cell>
          <cell r="D480" t="str">
            <v>6.지하주차장 배관공사</v>
          </cell>
        </row>
        <row r="481">
          <cell r="A481" t="str">
            <v>ALA1</v>
          </cell>
          <cell r="B481">
            <v>0</v>
          </cell>
          <cell r="C481" t="str">
            <v>WAALP</v>
          </cell>
          <cell r="D481" t="str">
            <v>6-1. 지하주차장 급수급탕배관공사</v>
          </cell>
        </row>
        <row r="482">
          <cell r="A482" t="str">
            <v>ALA1</v>
          </cell>
          <cell r="B482">
            <v>100</v>
          </cell>
          <cell r="C482" t="str">
            <v>MPA4000T</v>
          </cell>
          <cell r="D482" t="str">
            <v>동관(L형)</v>
          </cell>
          <cell r="E482" t="str">
            <v>3/4B  , 22.22</v>
          </cell>
          <cell r="F482" t="str">
            <v>M</v>
          </cell>
          <cell r="G482">
            <v>5</v>
          </cell>
          <cell r="H482">
            <v>7</v>
          </cell>
          <cell r="J482">
            <v>7.4</v>
          </cell>
          <cell r="L482">
            <v>1957</v>
          </cell>
          <cell r="N482">
            <v>14482</v>
          </cell>
          <cell r="R482" t="b">
            <v>1</v>
          </cell>
        </row>
        <row r="483">
          <cell r="A483" t="str">
            <v>ALA1</v>
          </cell>
          <cell r="B483">
            <v>101</v>
          </cell>
          <cell r="C483" t="str">
            <v>OMIPMPA4</v>
          </cell>
          <cell r="D483" t="str">
            <v>관 부속</v>
          </cell>
          <cell r="E483" t="str">
            <v>관의 (10)％</v>
          </cell>
          <cell r="F483" t="str">
            <v>L/S</v>
          </cell>
          <cell r="H483">
            <v>1</v>
          </cell>
          <cell r="J483">
            <v>1</v>
          </cell>
          <cell r="L483">
            <v>1438</v>
          </cell>
          <cell r="N483">
            <v>1438</v>
          </cell>
        </row>
        <row r="484">
          <cell r="A484" t="str">
            <v>ALA1</v>
          </cell>
          <cell r="B484">
            <v>102</v>
          </cell>
          <cell r="C484" t="str">
            <v>OMIHMPA4</v>
          </cell>
          <cell r="D484" t="str">
            <v>행거 및 용접봉</v>
          </cell>
          <cell r="E484" t="str">
            <v>관의 (10)％</v>
          </cell>
          <cell r="F484" t="str">
            <v>L/S</v>
          </cell>
          <cell r="H484">
            <v>1</v>
          </cell>
          <cell r="J484">
            <v>1</v>
          </cell>
          <cell r="L484">
            <v>1438</v>
          </cell>
          <cell r="N484">
            <v>1438</v>
          </cell>
        </row>
        <row r="485">
          <cell r="A485" t="str">
            <v>ALA1</v>
          </cell>
          <cell r="B485">
            <v>200</v>
          </cell>
          <cell r="C485" t="str">
            <v>MPH2003A</v>
          </cell>
          <cell r="D485" t="str">
            <v>스텐레스 관(SCH#10),용접</v>
          </cell>
          <cell r="E485" t="str">
            <v>80A</v>
          </cell>
          <cell r="F485" t="str">
            <v>M</v>
          </cell>
          <cell r="G485">
            <v>5</v>
          </cell>
          <cell r="H485">
            <v>37.799999999999997</v>
          </cell>
          <cell r="J485">
            <v>39.700000000000003</v>
          </cell>
          <cell r="L485">
            <v>16086</v>
          </cell>
          <cell r="N485">
            <v>638614</v>
          </cell>
          <cell r="R485" t="b">
            <v>1</v>
          </cell>
        </row>
        <row r="486">
          <cell r="A486" t="str">
            <v>ALA1</v>
          </cell>
          <cell r="B486">
            <v>300</v>
          </cell>
          <cell r="C486" t="str">
            <v>MPH2005A</v>
          </cell>
          <cell r="D486" t="str">
            <v>스텐레스 관(SCH#10),용접</v>
          </cell>
          <cell r="E486" t="str">
            <v>125A</v>
          </cell>
          <cell r="F486" t="str">
            <v>M</v>
          </cell>
          <cell r="G486">
            <v>5</v>
          </cell>
          <cell r="H486">
            <v>85</v>
          </cell>
          <cell r="J486">
            <v>89.3</v>
          </cell>
          <cell r="L486">
            <v>28881</v>
          </cell>
          <cell r="N486">
            <v>2579073</v>
          </cell>
          <cell r="R486" t="b">
            <v>1</v>
          </cell>
        </row>
        <row r="487">
          <cell r="A487" t="str">
            <v>ALA1</v>
          </cell>
          <cell r="B487">
            <v>301</v>
          </cell>
          <cell r="C487" t="str">
            <v>OMIPMPH2</v>
          </cell>
          <cell r="D487" t="str">
            <v>관 부속</v>
          </cell>
          <cell r="E487" t="str">
            <v>관의 (10)％</v>
          </cell>
          <cell r="F487" t="str">
            <v>L/S</v>
          </cell>
          <cell r="H487">
            <v>1</v>
          </cell>
          <cell r="J487">
            <v>1</v>
          </cell>
          <cell r="L487">
            <v>321608</v>
          </cell>
          <cell r="N487">
            <v>321608</v>
          </cell>
        </row>
        <row r="488">
          <cell r="A488" t="str">
            <v>ALA1</v>
          </cell>
          <cell r="B488">
            <v>302</v>
          </cell>
          <cell r="C488" t="str">
            <v>OMIHMPH2</v>
          </cell>
          <cell r="D488" t="str">
            <v>행거 및 용접봉</v>
          </cell>
          <cell r="E488" t="str">
            <v>관의 (10)％</v>
          </cell>
          <cell r="F488" t="str">
            <v>L/S</v>
          </cell>
          <cell r="H488">
            <v>1</v>
          </cell>
          <cell r="J488">
            <v>1</v>
          </cell>
          <cell r="L488">
            <v>321608</v>
          </cell>
          <cell r="N488">
            <v>321608</v>
          </cell>
        </row>
        <row r="489">
          <cell r="A489" t="str">
            <v>ALA1</v>
          </cell>
          <cell r="B489">
            <v>500</v>
          </cell>
          <cell r="C489" t="str">
            <v>BIPY120A</v>
          </cell>
          <cell r="D489" t="str">
            <v>관보온 노출,유리솜,IPP</v>
          </cell>
          <cell r="E489" t="str">
            <v>25T*20A</v>
          </cell>
          <cell r="F489" t="str">
            <v>M</v>
          </cell>
          <cell r="H489">
            <v>7</v>
          </cell>
          <cell r="J489">
            <v>7</v>
          </cell>
          <cell r="L489">
            <v>1469</v>
          </cell>
          <cell r="N489">
            <v>10283</v>
          </cell>
          <cell r="R489" t="b">
            <v>0</v>
          </cell>
        </row>
        <row r="490">
          <cell r="A490" t="str">
            <v>ALA1</v>
          </cell>
          <cell r="B490">
            <v>600</v>
          </cell>
          <cell r="C490" t="str">
            <v>BIPY574A</v>
          </cell>
          <cell r="D490" t="str">
            <v>관보온 노출,유리솜,IPP</v>
          </cell>
          <cell r="E490" t="str">
            <v>75T*80A</v>
          </cell>
          <cell r="F490" t="str">
            <v>M</v>
          </cell>
          <cell r="H490">
            <v>37.799999999999997</v>
          </cell>
          <cell r="J490">
            <v>37.799999999999997</v>
          </cell>
          <cell r="L490">
            <v>8240</v>
          </cell>
          <cell r="N490">
            <v>311472</v>
          </cell>
          <cell r="R490" t="b">
            <v>0</v>
          </cell>
        </row>
        <row r="491">
          <cell r="A491" t="str">
            <v>ALA1</v>
          </cell>
          <cell r="B491">
            <v>700</v>
          </cell>
          <cell r="C491" t="str">
            <v>BIPY576A</v>
          </cell>
          <cell r="D491" t="str">
            <v>관보온 노출,유리솜,IPP</v>
          </cell>
          <cell r="E491" t="str">
            <v>75T*125A</v>
          </cell>
          <cell r="F491" t="str">
            <v>M</v>
          </cell>
          <cell r="H491">
            <v>88.5</v>
          </cell>
          <cell r="J491">
            <v>88.5</v>
          </cell>
          <cell r="L491">
            <v>11129</v>
          </cell>
          <cell r="N491">
            <v>984917</v>
          </cell>
          <cell r="R491" t="b">
            <v>0</v>
          </cell>
        </row>
        <row r="492">
          <cell r="A492" t="str">
            <v>ALA1</v>
          </cell>
          <cell r="B492">
            <v>800</v>
          </cell>
          <cell r="C492" t="str">
            <v>MPZA203A</v>
          </cell>
          <cell r="D492" t="str">
            <v>고정식커플링</v>
          </cell>
          <cell r="E492" t="str">
            <v>80A</v>
          </cell>
          <cell r="F492" t="str">
            <v>EA</v>
          </cell>
          <cell r="G492">
            <v>0</v>
          </cell>
          <cell r="H492">
            <v>14</v>
          </cell>
          <cell r="J492">
            <v>14</v>
          </cell>
          <cell r="L492">
            <v>18960</v>
          </cell>
          <cell r="N492">
            <v>265440</v>
          </cell>
          <cell r="R492" t="b">
            <v>0</v>
          </cell>
        </row>
        <row r="493">
          <cell r="A493" t="str">
            <v>ALA1</v>
          </cell>
          <cell r="B493">
            <v>900</v>
          </cell>
          <cell r="C493" t="str">
            <v>MPZA205A</v>
          </cell>
          <cell r="D493" t="str">
            <v>고정식커플링</v>
          </cell>
          <cell r="E493" t="str">
            <v>125A</v>
          </cell>
          <cell r="F493" t="str">
            <v>EA</v>
          </cell>
          <cell r="G493">
            <v>0</v>
          </cell>
          <cell r="H493">
            <v>28</v>
          </cell>
          <cell r="J493">
            <v>28</v>
          </cell>
          <cell r="L493">
            <v>34880</v>
          </cell>
          <cell r="N493">
            <v>976640</v>
          </cell>
          <cell r="R493" t="b">
            <v>0</v>
          </cell>
        </row>
        <row r="494">
          <cell r="A494" t="str">
            <v>ALA1</v>
          </cell>
          <cell r="B494">
            <v>1000</v>
          </cell>
          <cell r="C494" t="str">
            <v>MXAPA006</v>
          </cell>
          <cell r="D494" t="str">
            <v>열선(동파방지,센서부착형)</v>
          </cell>
          <cell r="E494" t="str">
            <v>5.0M이상</v>
          </cell>
          <cell r="F494" t="str">
            <v>M</v>
          </cell>
          <cell r="G494">
            <v>0</v>
          </cell>
          <cell r="H494">
            <v>23</v>
          </cell>
          <cell r="J494">
            <v>23</v>
          </cell>
          <cell r="L494">
            <v>5500</v>
          </cell>
          <cell r="N494">
            <v>126500</v>
          </cell>
          <cell r="R494" t="b">
            <v>0</v>
          </cell>
        </row>
        <row r="495">
          <cell r="A495" t="str">
            <v>ALA1</v>
          </cell>
          <cell r="B495">
            <v>1100</v>
          </cell>
          <cell r="C495" t="str">
            <v>BHATSL3A</v>
          </cell>
          <cell r="D495" t="str">
            <v>입상관스리브 설치</v>
          </cell>
          <cell r="E495" t="str">
            <v>80A</v>
          </cell>
          <cell r="F495" t="str">
            <v>EA</v>
          </cell>
          <cell r="H495">
            <v>1</v>
          </cell>
          <cell r="J495">
            <v>1</v>
          </cell>
          <cell r="L495">
            <v>3091</v>
          </cell>
          <cell r="N495">
            <v>3091</v>
          </cell>
          <cell r="R495" t="b">
            <v>0</v>
          </cell>
        </row>
        <row r="496">
          <cell r="A496" t="str">
            <v>ALA1</v>
          </cell>
          <cell r="B496">
            <v>1200</v>
          </cell>
          <cell r="C496" t="str">
            <v>BHATSL5A</v>
          </cell>
          <cell r="D496" t="str">
            <v>입상관스리브 설치</v>
          </cell>
          <cell r="E496" t="str">
            <v>125A</v>
          </cell>
          <cell r="F496" t="str">
            <v>EA</v>
          </cell>
          <cell r="H496">
            <v>1</v>
          </cell>
          <cell r="J496">
            <v>1</v>
          </cell>
          <cell r="L496">
            <v>5904</v>
          </cell>
          <cell r="N496">
            <v>5904</v>
          </cell>
          <cell r="R496" t="b">
            <v>0</v>
          </cell>
        </row>
        <row r="497">
          <cell r="A497" t="str">
            <v>ALA1</v>
          </cell>
          <cell r="B497">
            <v>1300</v>
          </cell>
          <cell r="C497" t="str">
            <v>BXAAA125</v>
          </cell>
          <cell r="D497" t="str">
            <v>강관스리브(지수판)</v>
          </cell>
          <cell r="E497" t="str">
            <v>125A</v>
          </cell>
          <cell r="F497" t="str">
            <v>개소</v>
          </cell>
          <cell r="H497">
            <v>1</v>
          </cell>
          <cell r="J497">
            <v>1</v>
          </cell>
          <cell r="L497">
            <v>35477</v>
          </cell>
          <cell r="N497">
            <v>35477</v>
          </cell>
          <cell r="R497" t="b">
            <v>0</v>
          </cell>
        </row>
        <row r="498">
          <cell r="A498" t="str">
            <v>ALA1</v>
          </cell>
          <cell r="B498">
            <v>750000</v>
          </cell>
          <cell r="C498" t="str">
            <v>S20000T</v>
          </cell>
          <cell r="D498" t="str">
            <v>동관용접,BRAZING</v>
          </cell>
          <cell r="E498" t="str">
            <v>3/4B</v>
          </cell>
          <cell r="F498" t="str">
            <v>JNT</v>
          </cell>
          <cell r="H498">
            <v>14</v>
          </cell>
          <cell r="J498">
            <v>14</v>
          </cell>
          <cell r="L498">
            <v>137</v>
          </cell>
          <cell r="N498">
            <v>1918</v>
          </cell>
        </row>
        <row r="499">
          <cell r="A499" t="str">
            <v>ALA1</v>
          </cell>
          <cell r="B499">
            <v>810000</v>
          </cell>
          <cell r="C499" t="str">
            <v>OMISC03</v>
          </cell>
          <cell r="D499" t="str">
            <v>잡자재비</v>
          </cell>
          <cell r="E499" t="str">
            <v>관의 (3)％</v>
          </cell>
          <cell r="F499" t="str">
            <v>L/S</v>
          </cell>
          <cell r="H499">
            <v>1</v>
          </cell>
          <cell r="J499">
            <v>1</v>
          </cell>
          <cell r="L499">
            <v>97097</v>
          </cell>
          <cell r="N499">
            <v>97097</v>
          </cell>
        </row>
        <row r="500">
          <cell r="A500" t="str">
            <v>ALA1</v>
          </cell>
          <cell r="B500">
            <v>850000</v>
          </cell>
          <cell r="C500" t="str">
            <v>LWELDG</v>
          </cell>
          <cell r="D500" t="str">
            <v>용접공(일반)</v>
          </cell>
          <cell r="F500" t="str">
            <v>M/D</v>
          </cell>
          <cell r="H500">
            <v>27.3</v>
          </cell>
          <cell r="J500">
            <v>27.3</v>
          </cell>
          <cell r="L500">
            <v>39500</v>
          </cell>
          <cell r="N500">
            <v>1078350</v>
          </cell>
        </row>
        <row r="501">
          <cell r="A501" t="str">
            <v>ALA1</v>
          </cell>
          <cell r="B501">
            <v>850000</v>
          </cell>
          <cell r="C501" t="str">
            <v>LINSUL</v>
          </cell>
          <cell r="D501" t="str">
            <v>보온공</v>
          </cell>
          <cell r="F501" t="str">
            <v>M/D</v>
          </cell>
          <cell r="H501">
            <v>18.600000000000001</v>
          </cell>
          <cell r="J501">
            <v>18.600000000000001</v>
          </cell>
          <cell r="L501">
            <v>30900</v>
          </cell>
          <cell r="N501">
            <v>574740</v>
          </cell>
        </row>
        <row r="502">
          <cell r="A502" t="str">
            <v>ALA1</v>
          </cell>
          <cell r="B502">
            <v>850000</v>
          </cell>
          <cell r="C502" t="str">
            <v>LHELPR</v>
          </cell>
          <cell r="D502" t="str">
            <v>보통인부</v>
          </cell>
          <cell r="F502" t="str">
            <v>M/D</v>
          </cell>
          <cell r="H502">
            <v>8.4</v>
          </cell>
          <cell r="J502">
            <v>8.4</v>
          </cell>
          <cell r="L502">
            <v>22300</v>
          </cell>
          <cell r="N502">
            <v>187320</v>
          </cell>
        </row>
        <row r="503">
          <cell r="A503" t="str">
            <v>ALA1</v>
          </cell>
          <cell r="B503">
            <v>850000</v>
          </cell>
          <cell r="C503" t="str">
            <v>LPIPEG</v>
          </cell>
          <cell r="D503" t="str">
            <v>배관공</v>
          </cell>
          <cell r="F503" t="str">
            <v>M/D</v>
          </cell>
          <cell r="H503">
            <v>8.4</v>
          </cell>
          <cell r="J503">
            <v>8.4</v>
          </cell>
          <cell r="L503">
            <v>34400</v>
          </cell>
          <cell r="N503">
            <v>288960</v>
          </cell>
        </row>
        <row r="504">
          <cell r="A504" t="str">
            <v>ALA1</v>
          </cell>
          <cell r="B504">
            <v>990000</v>
          </cell>
          <cell r="C504" t="str">
            <v>OMISC06</v>
          </cell>
          <cell r="D504" t="str">
            <v>공구손료</v>
          </cell>
          <cell r="E504" t="str">
            <v>인건비의 (3)％</v>
          </cell>
          <cell r="F504" t="str">
            <v>L/S</v>
          </cell>
          <cell r="H504">
            <v>1</v>
          </cell>
          <cell r="J504">
            <v>1</v>
          </cell>
          <cell r="L504">
            <v>64630</v>
          </cell>
          <cell r="N504">
            <v>64630</v>
          </cell>
        </row>
        <row r="505">
          <cell r="A505" t="str">
            <v>ALA2</v>
          </cell>
          <cell r="B505">
            <v>0</v>
          </cell>
          <cell r="C505" t="str">
            <v>WAALP</v>
          </cell>
          <cell r="D505" t="str">
            <v>6-2. 지하주차장 오,배수배관공사</v>
          </cell>
        </row>
        <row r="506">
          <cell r="A506" t="str">
            <v>ALA2</v>
          </cell>
          <cell r="B506">
            <v>100</v>
          </cell>
          <cell r="C506" t="str">
            <v>MP10100H</v>
          </cell>
          <cell r="D506" t="str">
            <v>배관용 탄소강관(SPP)</v>
          </cell>
          <cell r="E506" t="str">
            <v>15A</v>
          </cell>
          <cell r="F506" t="str">
            <v>M</v>
          </cell>
          <cell r="G506">
            <v>5</v>
          </cell>
          <cell r="H506">
            <v>2</v>
          </cell>
          <cell r="J506">
            <v>2.1</v>
          </cell>
          <cell r="L506">
            <v>897</v>
          </cell>
          <cell r="N506">
            <v>1884</v>
          </cell>
          <cell r="R506" t="b">
            <v>1</v>
          </cell>
        </row>
        <row r="507">
          <cell r="A507" t="str">
            <v>ALA2</v>
          </cell>
          <cell r="B507">
            <v>200</v>
          </cell>
          <cell r="C507" t="str">
            <v>MP10102H</v>
          </cell>
          <cell r="D507" t="str">
            <v>배관용 탄소강관(SPP)</v>
          </cell>
          <cell r="E507" t="str">
            <v>65A</v>
          </cell>
          <cell r="F507" t="str">
            <v>M</v>
          </cell>
          <cell r="G507">
            <v>5</v>
          </cell>
          <cell r="H507">
            <v>19.3</v>
          </cell>
          <cell r="J507">
            <v>20.3</v>
          </cell>
          <cell r="L507">
            <v>3898</v>
          </cell>
          <cell r="N507">
            <v>79129</v>
          </cell>
          <cell r="R507" t="b">
            <v>1</v>
          </cell>
        </row>
        <row r="508">
          <cell r="A508" t="str">
            <v>ALA2</v>
          </cell>
          <cell r="B508">
            <v>300</v>
          </cell>
          <cell r="C508" t="str">
            <v>MP10104A</v>
          </cell>
          <cell r="D508" t="str">
            <v>배관용 탄소강관(SPP)</v>
          </cell>
          <cell r="E508" t="str">
            <v>100A</v>
          </cell>
          <cell r="F508" t="str">
            <v>M</v>
          </cell>
          <cell r="G508">
            <v>5</v>
          </cell>
          <cell r="H508">
            <v>14.6</v>
          </cell>
          <cell r="J508">
            <v>15.3</v>
          </cell>
          <cell r="L508">
            <v>7025</v>
          </cell>
          <cell r="N508">
            <v>107483</v>
          </cell>
          <cell r="R508" t="b">
            <v>1</v>
          </cell>
        </row>
        <row r="509">
          <cell r="A509" t="str">
            <v>ALA2</v>
          </cell>
          <cell r="B509">
            <v>301</v>
          </cell>
          <cell r="C509" t="str">
            <v>OMIPMP10</v>
          </cell>
          <cell r="D509" t="str">
            <v>관 부속</v>
          </cell>
          <cell r="E509" t="str">
            <v>관의 (10)％</v>
          </cell>
          <cell r="F509" t="str">
            <v>L/S</v>
          </cell>
          <cell r="H509">
            <v>1</v>
          </cell>
          <cell r="J509">
            <v>1</v>
          </cell>
          <cell r="L509">
            <v>18856</v>
          </cell>
          <cell r="N509">
            <v>18856</v>
          </cell>
        </row>
        <row r="510">
          <cell r="A510" t="str">
            <v>ALA2</v>
          </cell>
          <cell r="B510">
            <v>302</v>
          </cell>
          <cell r="C510" t="str">
            <v>OMIHMP10</v>
          </cell>
          <cell r="D510" t="str">
            <v>행거 및 용접봉</v>
          </cell>
          <cell r="E510" t="str">
            <v>관의 (10)％</v>
          </cell>
          <cell r="F510" t="str">
            <v>L/S</v>
          </cell>
          <cell r="H510">
            <v>1</v>
          </cell>
          <cell r="J510">
            <v>1</v>
          </cell>
          <cell r="L510">
            <v>18856</v>
          </cell>
          <cell r="N510">
            <v>18856</v>
          </cell>
        </row>
        <row r="511">
          <cell r="A511" t="str">
            <v>ALA2</v>
          </cell>
          <cell r="B511">
            <v>400</v>
          </cell>
          <cell r="C511" t="str">
            <v>MCHC26A8</v>
          </cell>
          <cell r="D511" t="str">
            <v>배수용주철관(2종),HUB</v>
          </cell>
          <cell r="E511" t="str">
            <v>150D* 800L</v>
          </cell>
          <cell r="F511" t="str">
            <v>EA</v>
          </cell>
          <cell r="G511">
            <v>0</v>
          </cell>
          <cell r="H511">
            <v>2</v>
          </cell>
          <cell r="J511">
            <v>2</v>
          </cell>
          <cell r="L511">
            <v>12105</v>
          </cell>
          <cell r="N511">
            <v>24210</v>
          </cell>
          <cell r="R511" t="b">
            <v>0</v>
          </cell>
        </row>
        <row r="512">
          <cell r="A512" t="str">
            <v>ALA2</v>
          </cell>
          <cell r="B512">
            <v>500</v>
          </cell>
          <cell r="C512" t="str">
            <v>MCHC26AB</v>
          </cell>
          <cell r="D512" t="str">
            <v>배수용주철관(2종),HUB</v>
          </cell>
          <cell r="E512" t="str">
            <v>150D*1600L</v>
          </cell>
          <cell r="F512" t="str">
            <v>EA</v>
          </cell>
          <cell r="G512">
            <v>0</v>
          </cell>
          <cell r="H512">
            <v>4</v>
          </cell>
          <cell r="J512">
            <v>4</v>
          </cell>
          <cell r="L512">
            <v>21105</v>
          </cell>
          <cell r="N512">
            <v>84420</v>
          </cell>
          <cell r="R512" t="b">
            <v>0</v>
          </cell>
        </row>
        <row r="513">
          <cell r="A513" t="str">
            <v>ALA2</v>
          </cell>
          <cell r="B513">
            <v>600</v>
          </cell>
          <cell r="C513" t="str">
            <v>MCHC28A8</v>
          </cell>
          <cell r="D513" t="str">
            <v>배수용주철관(2종),HUB</v>
          </cell>
          <cell r="E513" t="str">
            <v>200D* 800L</v>
          </cell>
          <cell r="F513" t="str">
            <v>EA</v>
          </cell>
          <cell r="G513">
            <v>0</v>
          </cell>
          <cell r="H513">
            <v>2</v>
          </cell>
          <cell r="J513">
            <v>2</v>
          </cell>
          <cell r="L513">
            <v>21015</v>
          </cell>
          <cell r="N513">
            <v>42030</v>
          </cell>
          <cell r="R513" t="b">
            <v>0</v>
          </cell>
        </row>
        <row r="514">
          <cell r="A514" t="str">
            <v>ALA2</v>
          </cell>
          <cell r="B514">
            <v>700</v>
          </cell>
          <cell r="C514" t="str">
            <v>MCHC28AB</v>
          </cell>
          <cell r="D514" t="str">
            <v>배수용주철관(2종),HUB</v>
          </cell>
          <cell r="E514" t="str">
            <v>200D*1600L</v>
          </cell>
          <cell r="F514" t="str">
            <v>EA</v>
          </cell>
          <cell r="G514">
            <v>0</v>
          </cell>
          <cell r="H514">
            <v>4</v>
          </cell>
          <cell r="J514">
            <v>4</v>
          </cell>
          <cell r="L514">
            <v>36900</v>
          </cell>
          <cell r="N514">
            <v>147600</v>
          </cell>
          <cell r="R514" t="b">
            <v>0</v>
          </cell>
        </row>
        <row r="515">
          <cell r="A515" t="str">
            <v>ALA2</v>
          </cell>
          <cell r="B515">
            <v>702</v>
          </cell>
          <cell r="C515" t="str">
            <v>OMIHMCHC</v>
          </cell>
          <cell r="D515" t="str">
            <v>행거 및 용접봉</v>
          </cell>
          <cell r="E515" t="str">
            <v>관의 (10)％</v>
          </cell>
          <cell r="F515" t="str">
            <v>L/S</v>
          </cell>
          <cell r="H515">
            <v>1</v>
          </cell>
          <cell r="J515">
            <v>1</v>
          </cell>
          <cell r="L515">
            <v>29826</v>
          </cell>
          <cell r="N515">
            <v>29826</v>
          </cell>
        </row>
        <row r="516">
          <cell r="A516" t="str">
            <v>ALA2</v>
          </cell>
          <cell r="B516">
            <v>800</v>
          </cell>
          <cell r="C516" t="str">
            <v>MCNC13AB</v>
          </cell>
          <cell r="D516" t="str">
            <v>주철관(NO HUB)</v>
          </cell>
          <cell r="E516" t="str">
            <v>75D*3000L</v>
          </cell>
          <cell r="F516" t="str">
            <v>EA</v>
          </cell>
          <cell r="G516">
            <v>0</v>
          </cell>
          <cell r="H516">
            <v>5</v>
          </cell>
          <cell r="J516">
            <v>5</v>
          </cell>
          <cell r="L516">
            <v>15552</v>
          </cell>
          <cell r="N516">
            <v>77760</v>
          </cell>
          <cell r="R516" t="b">
            <v>0</v>
          </cell>
        </row>
        <row r="517">
          <cell r="A517" t="str">
            <v>ALA2</v>
          </cell>
          <cell r="B517">
            <v>900</v>
          </cell>
          <cell r="C517" t="str">
            <v>MCNC14AB</v>
          </cell>
          <cell r="D517" t="str">
            <v>주철관(NO HUB)</v>
          </cell>
          <cell r="E517" t="str">
            <v>100D*3000L</v>
          </cell>
          <cell r="F517" t="str">
            <v>EA</v>
          </cell>
          <cell r="G517">
            <v>0</v>
          </cell>
          <cell r="H517">
            <v>5</v>
          </cell>
          <cell r="J517">
            <v>5</v>
          </cell>
          <cell r="L517">
            <v>21504</v>
          </cell>
          <cell r="N517">
            <v>107520</v>
          </cell>
          <cell r="R517" t="b">
            <v>0</v>
          </cell>
        </row>
        <row r="518">
          <cell r="A518" t="str">
            <v>ALA2</v>
          </cell>
          <cell r="B518">
            <v>1000</v>
          </cell>
          <cell r="C518" t="str">
            <v>MCNC16AB</v>
          </cell>
          <cell r="D518" t="str">
            <v>주철관(NO HUB)</v>
          </cell>
          <cell r="E518" t="str">
            <v>150D*3000L</v>
          </cell>
          <cell r="F518" t="str">
            <v>EA</v>
          </cell>
          <cell r="G518">
            <v>0</v>
          </cell>
          <cell r="H518">
            <v>26</v>
          </cell>
          <cell r="J518">
            <v>26</v>
          </cell>
          <cell r="L518">
            <v>31680</v>
          </cell>
          <cell r="N518">
            <v>823680</v>
          </cell>
          <cell r="R518" t="b">
            <v>0</v>
          </cell>
        </row>
        <row r="519">
          <cell r="A519" t="str">
            <v>ALA2</v>
          </cell>
          <cell r="B519">
            <v>1100</v>
          </cell>
          <cell r="C519" t="str">
            <v>MCNC18AB</v>
          </cell>
          <cell r="D519" t="str">
            <v>주철관(NO HUB)</v>
          </cell>
          <cell r="E519" t="str">
            <v>200D*3000L</v>
          </cell>
          <cell r="F519" t="str">
            <v>EA</v>
          </cell>
          <cell r="G519">
            <v>0</v>
          </cell>
          <cell r="H519">
            <v>25</v>
          </cell>
          <cell r="J519">
            <v>25</v>
          </cell>
          <cell r="L519">
            <v>49600</v>
          </cell>
          <cell r="N519">
            <v>1240000</v>
          </cell>
          <cell r="R519" t="b">
            <v>0</v>
          </cell>
        </row>
        <row r="520">
          <cell r="A520" t="str">
            <v>ALA2</v>
          </cell>
          <cell r="B520">
            <v>1102</v>
          </cell>
          <cell r="C520" t="str">
            <v>OMIHMCNC</v>
          </cell>
          <cell r="D520" t="str">
            <v>행거 및 용접봉</v>
          </cell>
          <cell r="E520" t="str">
            <v>관의 (10)％</v>
          </cell>
          <cell r="F520" t="str">
            <v>L/S</v>
          </cell>
          <cell r="H520">
            <v>1</v>
          </cell>
          <cell r="J520">
            <v>1</v>
          </cell>
          <cell r="L520">
            <v>224896</v>
          </cell>
          <cell r="N520">
            <v>224896</v>
          </cell>
        </row>
        <row r="521">
          <cell r="A521" t="str">
            <v>ALA2</v>
          </cell>
          <cell r="B521">
            <v>1200</v>
          </cell>
          <cell r="C521" t="str">
            <v>MCHF4B6A</v>
          </cell>
          <cell r="D521" t="str">
            <v>45도 곡관(CI),HUB</v>
          </cell>
          <cell r="E521" t="str">
            <v>150D</v>
          </cell>
          <cell r="F521" t="str">
            <v>EA</v>
          </cell>
          <cell r="G521">
            <v>0</v>
          </cell>
          <cell r="H521">
            <v>2</v>
          </cell>
          <cell r="J521">
            <v>2</v>
          </cell>
          <cell r="L521">
            <v>7560</v>
          </cell>
          <cell r="N521">
            <v>15120</v>
          </cell>
          <cell r="R521" t="b">
            <v>0</v>
          </cell>
        </row>
        <row r="522">
          <cell r="A522" t="str">
            <v>ALA2</v>
          </cell>
          <cell r="B522">
            <v>1300</v>
          </cell>
          <cell r="C522" t="str">
            <v>MCHF4B8A</v>
          </cell>
          <cell r="D522" t="str">
            <v>45도 곡관(CI),HUB</v>
          </cell>
          <cell r="E522" t="str">
            <v>200D</v>
          </cell>
          <cell r="F522" t="str">
            <v>EA</v>
          </cell>
          <cell r="G522">
            <v>0</v>
          </cell>
          <cell r="H522">
            <v>2</v>
          </cell>
          <cell r="J522">
            <v>2</v>
          </cell>
          <cell r="L522">
            <v>12555</v>
          </cell>
          <cell r="N522">
            <v>25110</v>
          </cell>
          <cell r="R522" t="b">
            <v>0</v>
          </cell>
        </row>
        <row r="523">
          <cell r="A523" t="str">
            <v>ALA2</v>
          </cell>
          <cell r="B523">
            <v>1400</v>
          </cell>
          <cell r="C523" t="str">
            <v>MCNF4B3A</v>
          </cell>
          <cell r="D523" t="str">
            <v>45도 곡관(CI),NO HUB</v>
          </cell>
          <cell r="E523" t="str">
            <v>75D</v>
          </cell>
          <cell r="F523" t="str">
            <v>EA</v>
          </cell>
          <cell r="G523">
            <v>0</v>
          </cell>
          <cell r="H523">
            <v>1</v>
          </cell>
          <cell r="J523">
            <v>1</v>
          </cell>
          <cell r="L523">
            <v>736</v>
          </cell>
          <cell r="N523">
            <v>736</v>
          </cell>
          <cell r="R523" t="b">
            <v>0</v>
          </cell>
        </row>
        <row r="524">
          <cell r="A524" t="str">
            <v>ALA2</v>
          </cell>
          <cell r="B524">
            <v>1500</v>
          </cell>
          <cell r="C524" t="str">
            <v>MCNF4B4A</v>
          </cell>
          <cell r="D524" t="str">
            <v>45도 곡관(CI),NO HUB</v>
          </cell>
          <cell r="E524" t="str">
            <v>100D</v>
          </cell>
          <cell r="F524" t="str">
            <v>EA</v>
          </cell>
          <cell r="G524">
            <v>0</v>
          </cell>
          <cell r="H524">
            <v>3</v>
          </cell>
          <cell r="J524">
            <v>3</v>
          </cell>
          <cell r="L524">
            <v>1088</v>
          </cell>
          <cell r="N524">
            <v>3264</v>
          </cell>
          <cell r="R524" t="b">
            <v>0</v>
          </cell>
        </row>
        <row r="525">
          <cell r="A525" t="str">
            <v>ALA2</v>
          </cell>
          <cell r="B525">
            <v>1600</v>
          </cell>
          <cell r="C525" t="str">
            <v>MCNF4B6A</v>
          </cell>
          <cell r="D525" t="str">
            <v>45도 곡관(CI),NO HUB</v>
          </cell>
          <cell r="E525" t="str">
            <v>150D</v>
          </cell>
          <cell r="F525" t="str">
            <v>EA</v>
          </cell>
          <cell r="G525">
            <v>0</v>
          </cell>
          <cell r="H525">
            <v>10</v>
          </cell>
          <cell r="J525">
            <v>10</v>
          </cell>
          <cell r="L525">
            <v>2688</v>
          </cell>
          <cell r="N525">
            <v>26880</v>
          </cell>
          <cell r="R525" t="b">
            <v>0</v>
          </cell>
        </row>
        <row r="526">
          <cell r="A526" t="str">
            <v>ALA2</v>
          </cell>
          <cell r="B526">
            <v>1700</v>
          </cell>
          <cell r="C526" t="str">
            <v>MCNF4B8A</v>
          </cell>
          <cell r="D526" t="str">
            <v>45도 곡관(CI),NO HUB</v>
          </cell>
          <cell r="E526" t="str">
            <v>200D</v>
          </cell>
          <cell r="F526" t="str">
            <v>EA</v>
          </cell>
          <cell r="G526">
            <v>0</v>
          </cell>
          <cell r="H526">
            <v>6</v>
          </cell>
          <cell r="J526">
            <v>6</v>
          </cell>
          <cell r="L526">
            <v>4672</v>
          </cell>
          <cell r="N526">
            <v>28032</v>
          </cell>
          <cell r="R526" t="b">
            <v>0</v>
          </cell>
        </row>
        <row r="527">
          <cell r="A527" t="str">
            <v>ALA2</v>
          </cell>
          <cell r="B527">
            <v>1800</v>
          </cell>
          <cell r="C527" t="str">
            <v>MCNFA3A3</v>
          </cell>
          <cell r="D527" t="str">
            <v>Y관 (CI),NO HUB</v>
          </cell>
          <cell r="E527" t="str">
            <v>75D* 75D</v>
          </cell>
          <cell r="F527" t="str">
            <v>EA</v>
          </cell>
          <cell r="G527">
            <v>0</v>
          </cell>
          <cell r="H527">
            <v>1</v>
          </cell>
          <cell r="J527">
            <v>1</v>
          </cell>
          <cell r="L527">
            <v>1312</v>
          </cell>
          <cell r="N527">
            <v>1312</v>
          </cell>
          <cell r="R527" t="b">
            <v>0</v>
          </cell>
        </row>
        <row r="528">
          <cell r="A528" t="str">
            <v>ALA2</v>
          </cell>
          <cell r="B528">
            <v>1900</v>
          </cell>
          <cell r="C528" t="str">
            <v>MCNFA4A4</v>
          </cell>
          <cell r="D528" t="str">
            <v>Y관 (CI),NO HUB</v>
          </cell>
          <cell r="E528" t="str">
            <v>100D*100D</v>
          </cell>
          <cell r="F528" t="str">
            <v>EA</v>
          </cell>
          <cell r="G528">
            <v>0</v>
          </cell>
          <cell r="H528">
            <v>1</v>
          </cell>
          <cell r="J528">
            <v>1</v>
          </cell>
          <cell r="L528">
            <v>2368</v>
          </cell>
          <cell r="N528">
            <v>2368</v>
          </cell>
          <cell r="R528" t="b">
            <v>0</v>
          </cell>
        </row>
        <row r="529">
          <cell r="A529" t="str">
            <v>ALA2</v>
          </cell>
          <cell r="B529">
            <v>2000</v>
          </cell>
          <cell r="C529" t="str">
            <v>MCNFA6A6</v>
          </cell>
          <cell r="D529" t="str">
            <v>Y관 (CI),NO HUB</v>
          </cell>
          <cell r="E529" t="str">
            <v>150D*150D</v>
          </cell>
          <cell r="F529" t="str">
            <v>EA</v>
          </cell>
          <cell r="G529">
            <v>0</v>
          </cell>
          <cell r="H529">
            <v>2</v>
          </cell>
          <cell r="J529">
            <v>2</v>
          </cell>
          <cell r="L529">
            <v>6560</v>
          </cell>
          <cell r="N529">
            <v>13120</v>
          </cell>
          <cell r="R529" t="b">
            <v>0</v>
          </cell>
        </row>
        <row r="530">
          <cell r="A530" t="str">
            <v>ALA2</v>
          </cell>
          <cell r="B530">
            <v>2100</v>
          </cell>
          <cell r="C530" t="str">
            <v>MCNFA8A4</v>
          </cell>
          <cell r="D530" t="str">
            <v>Y관 (CI),NO HUB</v>
          </cell>
          <cell r="E530" t="str">
            <v>200D*100D</v>
          </cell>
          <cell r="F530" t="str">
            <v>EA</v>
          </cell>
          <cell r="G530">
            <v>0</v>
          </cell>
          <cell r="H530">
            <v>2</v>
          </cell>
          <cell r="J530">
            <v>2</v>
          </cell>
          <cell r="L530">
            <v>6496</v>
          </cell>
          <cell r="N530">
            <v>12992</v>
          </cell>
          <cell r="R530" t="b">
            <v>0</v>
          </cell>
        </row>
        <row r="531">
          <cell r="A531" t="str">
            <v>ALA2</v>
          </cell>
          <cell r="B531">
            <v>2200</v>
          </cell>
          <cell r="C531" t="str">
            <v>MCNFA8A8</v>
          </cell>
          <cell r="D531" t="str">
            <v>Y관 (CI),NO HUB</v>
          </cell>
          <cell r="E531" t="str">
            <v>200D*200D</v>
          </cell>
          <cell r="F531" t="str">
            <v>EA</v>
          </cell>
          <cell r="G531">
            <v>0</v>
          </cell>
          <cell r="H531">
            <v>2</v>
          </cell>
          <cell r="J531">
            <v>2</v>
          </cell>
          <cell r="L531">
            <v>12512</v>
          </cell>
          <cell r="N531">
            <v>25024</v>
          </cell>
          <cell r="R531" t="b">
            <v>0</v>
          </cell>
        </row>
        <row r="532">
          <cell r="A532" t="str">
            <v>ALA2</v>
          </cell>
          <cell r="B532">
            <v>2300</v>
          </cell>
          <cell r="C532" t="str">
            <v>MCNFR4A3</v>
          </cell>
          <cell r="D532" t="str">
            <v>확대관(CI),NO HUB</v>
          </cell>
          <cell r="E532" t="str">
            <v>100D* 75D</v>
          </cell>
          <cell r="F532" t="str">
            <v>EA</v>
          </cell>
          <cell r="G532">
            <v>0</v>
          </cell>
          <cell r="H532">
            <v>1</v>
          </cell>
          <cell r="J532">
            <v>1</v>
          </cell>
          <cell r="L532">
            <v>640</v>
          </cell>
          <cell r="N532">
            <v>640</v>
          </cell>
          <cell r="R532" t="b">
            <v>0</v>
          </cell>
        </row>
        <row r="533">
          <cell r="A533" t="str">
            <v>ALA2</v>
          </cell>
          <cell r="B533">
            <v>2400</v>
          </cell>
          <cell r="C533" t="str">
            <v>MCNFZO3A</v>
          </cell>
          <cell r="D533" t="str">
            <v>소제구(CI),NO HUB</v>
          </cell>
          <cell r="E533" t="str">
            <v>75D</v>
          </cell>
          <cell r="F533" t="str">
            <v>EA</v>
          </cell>
          <cell r="G533">
            <v>0</v>
          </cell>
          <cell r="H533">
            <v>1</v>
          </cell>
          <cell r="J533">
            <v>1</v>
          </cell>
          <cell r="L533">
            <v>704</v>
          </cell>
          <cell r="N533">
            <v>704</v>
          </cell>
          <cell r="R533" t="b">
            <v>0</v>
          </cell>
        </row>
        <row r="534">
          <cell r="A534" t="str">
            <v>ALA2</v>
          </cell>
          <cell r="B534">
            <v>2500</v>
          </cell>
          <cell r="C534" t="str">
            <v>MCNFZO4A</v>
          </cell>
          <cell r="D534" t="str">
            <v>소제구(CI),NO HUB</v>
          </cell>
          <cell r="E534" t="str">
            <v>100D</v>
          </cell>
          <cell r="F534" t="str">
            <v>EA</v>
          </cell>
          <cell r="G534">
            <v>0</v>
          </cell>
          <cell r="H534">
            <v>1</v>
          </cell>
          <cell r="J534">
            <v>1</v>
          </cell>
          <cell r="L534">
            <v>928</v>
          </cell>
          <cell r="N534">
            <v>928</v>
          </cell>
          <cell r="R534" t="b">
            <v>0</v>
          </cell>
        </row>
        <row r="535">
          <cell r="A535" t="str">
            <v>ALA2</v>
          </cell>
          <cell r="B535">
            <v>2600</v>
          </cell>
          <cell r="C535" t="str">
            <v>MCNFZO6A</v>
          </cell>
          <cell r="D535" t="str">
            <v>소제구(CI),NO HUB</v>
          </cell>
          <cell r="E535" t="str">
            <v>150D</v>
          </cell>
          <cell r="F535" t="str">
            <v>EA</v>
          </cell>
          <cell r="G535">
            <v>0</v>
          </cell>
          <cell r="H535">
            <v>2</v>
          </cell>
          <cell r="J535">
            <v>2</v>
          </cell>
          <cell r="L535">
            <v>1632</v>
          </cell>
          <cell r="N535">
            <v>3264</v>
          </cell>
          <cell r="R535" t="b">
            <v>0</v>
          </cell>
        </row>
        <row r="536">
          <cell r="A536" t="str">
            <v>ALA2</v>
          </cell>
          <cell r="B536">
            <v>2700</v>
          </cell>
          <cell r="C536" t="str">
            <v>MCNFZO8A</v>
          </cell>
          <cell r="D536" t="str">
            <v>소제구(CI),NO HUB</v>
          </cell>
          <cell r="E536" t="str">
            <v>200D</v>
          </cell>
          <cell r="F536" t="str">
            <v>EA</v>
          </cell>
          <cell r="G536">
            <v>0</v>
          </cell>
          <cell r="H536">
            <v>2</v>
          </cell>
          <cell r="J536">
            <v>2</v>
          </cell>
          <cell r="L536">
            <v>2928</v>
          </cell>
          <cell r="N536">
            <v>5856</v>
          </cell>
          <cell r="R536" t="b">
            <v>0</v>
          </cell>
        </row>
        <row r="537">
          <cell r="A537" t="str">
            <v>ALA2</v>
          </cell>
          <cell r="B537">
            <v>2800</v>
          </cell>
          <cell r="C537" t="str">
            <v>MVAB212H</v>
          </cell>
          <cell r="D537" t="str">
            <v>게이트밸브(주철)</v>
          </cell>
          <cell r="E537" t="str">
            <v>10K  65A</v>
          </cell>
          <cell r="F537" t="str">
            <v>EA</v>
          </cell>
          <cell r="G537">
            <v>0</v>
          </cell>
          <cell r="H537">
            <v>2</v>
          </cell>
          <cell r="J537">
            <v>2</v>
          </cell>
          <cell r="L537">
            <v>40300</v>
          </cell>
          <cell r="N537">
            <v>80600</v>
          </cell>
          <cell r="R537" t="b">
            <v>0</v>
          </cell>
        </row>
        <row r="538">
          <cell r="A538" t="str">
            <v>ALA2</v>
          </cell>
          <cell r="B538">
            <v>2900</v>
          </cell>
          <cell r="C538" t="str">
            <v>MVAO110H</v>
          </cell>
          <cell r="D538" t="str">
            <v>볼밸브(황동)</v>
          </cell>
          <cell r="E538" t="str">
            <v>10K  15A</v>
          </cell>
          <cell r="F538" t="str">
            <v>EA</v>
          </cell>
          <cell r="G538">
            <v>0</v>
          </cell>
          <cell r="H538">
            <v>2</v>
          </cell>
          <cell r="J538">
            <v>2</v>
          </cell>
          <cell r="L538">
            <v>1890</v>
          </cell>
          <cell r="N538">
            <v>3780</v>
          </cell>
          <cell r="R538" t="b">
            <v>0</v>
          </cell>
        </row>
        <row r="539">
          <cell r="A539" t="str">
            <v>ALA2</v>
          </cell>
          <cell r="B539">
            <v>3000</v>
          </cell>
          <cell r="C539" t="str">
            <v>MVBDB12H</v>
          </cell>
          <cell r="D539" t="str">
            <v>체크밸브(주철,스모렌스키)</v>
          </cell>
          <cell r="E539" t="str">
            <v>10K  65A</v>
          </cell>
          <cell r="F539" t="str">
            <v>EA</v>
          </cell>
          <cell r="G539">
            <v>0</v>
          </cell>
          <cell r="H539">
            <v>2</v>
          </cell>
          <cell r="J539">
            <v>2</v>
          </cell>
          <cell r="L539">
            <v>56000</v>
          </cell>
          <cell r="N539">
            <v>112000</v>
          </cell>
          <cell r="R539" t="b">
            <v>0</v>
          </cell>
        </row>
        <row r="540">
          <cell r="A540" t="str">
            <v>ALA2</v>
          </cell>
          <cell r="B540">
            <v>3100</v>
          </cell>
          <cell r="C540" t="str">
            <v>MVCFCGP1</v>
          </cell>
          <cell r="D540" t="str">
            <v>압력계</v>
          </cell>
          <cell r="F540" t="str">
            <v>SET</v>
          </cell>
          <cell r="G540">
            <v>0</v>
          </cell>
          <cell r="H540">
            <v>2</v>
          </cell>
          <cell r="J540">
            <v>2</v>
          </cell>
          <cell r="L540">
            <v>8300</v>
          </cell>
          <cell r="N540">
            <v>16600</v>
          </cell>
          <cell r="R540" t="b">
            <v>0</v>
          </cell>
        </row>
        <row r="541">
          <cell r="A541" t="str">
            <v>ALA2</v>
          </cell>
          <cell r="B541">
            <v>3200</v>
          </cell>
          <cell r="C541" t="str">
            <v>BFBA102H</v>
          </cell>
          <cell r="D541" t="str">
            <v>스틸 후렌지 접합,SO</v>
          </cell>
          <cell r="E541" t="str">
            <v>10K  65A</v>
          </cell>
          <cell r="F541" t="str">
            <v>JNT</v>
          </cell>
          <cell r="H541">
            <v>8</v>
          </cell>
          <cell r="J541">
            <v>8</v>
          </cell>
          <cell r="L541">
            <v>3329</v>
          </cell>
          <cell r="N541">
            <v>26632</v>
          </cell>
          <cell r="R541" t="b">
            <v>0</v>
          </cell>
        </row>
        <row r="542">
          <cell r="A542" t="str">
            <v>ALA2</v>
          </cell>
          <cell r="B542">
            <v>3300</v>
          </cell>
          <cell r="C542" t="str">
            <v>BPACSP0H</v>
          </cell>
          <cell r="D542" t="str">
            <v>백강관 도장,색페인트</v>
          </cell>
          <cell r="E542" t="str">
            <v>2 COAT* 15A</v>
          </cell>
          <cell r="F542" t="str">
            <v>M</v>
          </cell>
          <cell r="H542">
            <v>2</v>
          </cell>
          <cell r="J542">
            <v>2</v>
          </cell>
          <cell r="L542">
            <v>81</v>
          </cell>
          <cell r="N542">
            <v>162</v>
          </cell>
          <cell r="R542" t="b">
            <v>0</v>
          </cell>
        </row>
        <row r="543">
          <cell r="A543" t="str">
            <v>ALA2</v>
          </cell>
          <cell r="B543">
            <v>3400</v>
          </cell>
          <cell r="C543" t="str">
            <v>BPACSP2H</v>
          </cell>
          <cell r="D543" t="str">
            <v>백강관 도장,색페인트</v>
          </cell>
          <cell r="E543" t="str">
            <v>2 COAT* 65A</v>
          </cell>
          <cell r="F543" t="str">
            <v>M</v>
          </cell>
          <cell r="H543">
            <v>19.3</v>
          </cell>
          <cell r="J543">
            <v>19.3</v>
          </cell>
          <cell r="L543">
            <v>285</v>
          </cell>
          <cell r="N543">
            <v>5501</v>
          </cell>
          <cell r="R543" t="b">
            <v>0</v>
          </cell>
        </row>
        <row r="544">
          <cell r="A544" t="str">
            <v>ALA2</v>
          </cell>
          <cell r="B544">
            <v>3500</v>
          </cell>
          <cell r="C544" t="str">
            <v>BPACSP4A</v>
          </cell>
          <cell r="D544" t="str">
            <v>백강관 도장,색페인트</v>
          </cell>
          <cell r="E544" t="str">
            <v>2 COAT*100A</v>
          </cell>
          <cell r="F544" t="str">
            <v>M</v>
          </cell>
          <cell r="H544">
            <v>14.6</v>
          </cell>
          <cell r="J544">
            <v>14.6</v>
          </cell>
          <cell r="L544">
            <v>426</v>
          </cell>
          <cell r="N544">
            <v>6220</v>
          </cell>
          <cell r="R544" t="b">
            <v>0</v>
          </cell>
        </row>
        <row r="545">
          <cell r="A545" t="str">
            <v>ALA2</v>
          </cell>
          <cell r="B545">
            <v>3600</v>
          </cell>
          <cell r="C545" t="str">
            <v>BHATSL2H</v>
          </cell>
          <cell r="D545" t="str">
            <v>입상관스리브 설치</v>
          </cell>
          <cell r="E545" t="str">
            <v>65A</v>
          </cell>
          <cell r="F545" t="str">
            <v>EA</v>
          </cell>
          <cell r="H545">
            <v>1</v>
          </cell>
          <cell r="J545">
            <v>1</v>
          </cell>
          <cell r="L545">
            <v>2279</v>
          </cell>
          <cell r="N545">
            <v>2279</v>
          </cell>
          <cell r="R545" t="b">
            <v>0</v>
          </cell>
        </row>
        <row r="546">
          <cell r="A546" t="str">
            <v>ALA2</v>
          </cell>
          <cell r="B546">
            <v>3700</v>
          </cell>
          <cell r="C546" t="str">
            <v>BHATSL4A</v>
          </cell>
          <cell r="D546" t="str">
            <v>입상관스리브 설치</v>
          </cell>
          <cell r="E546" t="str">
            <v>100A</v>
          </cell>
          <cell r="F546" t="str">
            <v>EA</v>
          </cell>
          <cell r="H546">
            <v>1</v>
          </cell>
          <cell r="J546">
            <v>1</v>
          </cell>
          <cell r="L546">
            <v>3680</v>
          </cell>
          <cell r="N546">
            <v>3680</v>
          </cell>
          <cell r="R546" t="b">
            <v>0</v>
          </cell>
        </row>
        <row r="547">
          <cell r="A547" t="str">
            <v>ALA2</v>
          </cell>
          <cell r="B547">
            <v>3800</v>
          </cell>
          <cell r="C547" t="str">
            <v>BXAAA065</v>
          </cell>
          <cell r="D547" t="str">
            <v>강관스리브(지수판)</v>
          </cell>
          <cell r="E547" t="str">
            <v>65A</v>
          </cell>
          <cell r="F547" t="str">
            <v>개소</v>
          </cell>
          <cell r="H547">
            <v>1</v>
          </cell>
          <cell r="J547">
            <v>1</v>
          </cell>
          <cell r="L547">
            <v>8371</v>
          </cell>
          <cell r="N547">
            <v>8371</v>
          </cell>
          <cell r="R547" t="b">
            <v>0</v>
          </cell>
        </row>
        <row r="548">
          <cell r="A548" t="str">
            <v>ALA2</v>
          </cell>
          <cell r="B548">
            <v>3900</v>
          </cell>
          <cell r="C548" t="str">
            <v>BXAAA100</v>
          </cell>
          <cell r="D548" t="str">
            <v>강관스리브(지수판)</v>
          </cell>
          <cell r="E548" t="str">
            <v>100A</v>
          </cell>
          <cell r="F548" t="str">
            <v>개소</v>
          </cell>
          <cell r="H548">
            <v>2</v>
          </cell>
          <cell r="J548">
            <v>2</v>
          </cell>
          <cell r="L548">
            <v>17425</v>
          </cell>
          <cell r="N548">
            <v>34850</v>
          </cell>
          <cell r="R548" t="b">
            <v>0</v>
          </cell>
        </row>
        <row r="549">
          <cell r="A549" t="str">
            <v>ALA2</v>
          </cell>
          <cell r="B549">
            <v>4000</v>
          </cell>
          <cell r="C549" t="str">
            <v>BXAAA150</v>
          </cell>
          <cell r="D549" t="str">
            <v>강관스리브(지수판)</v>
          </cell>
          <cell r="E549" t="str">
            <v>150A</v>
          </cell>
          <cell r="F549" t="str">
            <v>개소</v>
          </cell>
          <cell r="H549">
            <v>4</v>
          </cell>
          <cell r="J549">
            <v>4</v>
          </cell>
          <cell r="L549">
            <v>58877</v>
          </cell>
          <cell r="N549">
            <v>235508</v>
          </cell>
          <cell r="R549" t="b">
            <v>0</v>
          </cell>
        </row>
        <row r="550">
          <cell r="A550" t="str">
            <v>ALA2</v>
          </cell>
          <cell r="B550">
            <v>4100</v>
          </cell>
          <cell r="C550" t="str">
            <v>BXAAA200</v>
          </cell>
          <cell r="D550" t="str">
            <v>강관스리브(지수판)</v>
          </cell>
          <cell r="E550" t="str">
            <v>200A</v>
          </cell>
          <cell r="F550" t="str">
            <v>개소</v>
          </cell>
          <cell r="H550">
            <v>4</v>
          </cell>
          <cell r="J550">
            <v>4</v>
          </cell>
          <cell r="L550">
            <v>72994</v>
          </cell>
          <cell r="N550">
            <v>291976</v>
          </cell>
          <cell r="R550" t="b">
            <v>0</v>
          </cell>
        </row>
        <row r="551">
          <cell r="A551" t="str">
            <v>ALA2</v>
          </cell>
          <cell r="B551">
            <v>750000</v>
          </cell>
          <cell r="C551" t="str">
            <v>S22H06A</v>
          </cell>
          <cell r="D551" t="str">
            <v>주철관접합(HUB)</v>
          </cell>
          <cell r="E551" t="str">
            <v>150D</v>
          </cell>
          <cell r="F551" t="str">
            <v>JNT</v>
          </cell>
          <cell r="H551">
            <v>8</v>
          </cell>
          <cell r="J551">
            <v>8</v>
          </cell>
          <cell r="L551">
            <v>1557</v>
          </cell>
          <cell r="N551">
            <v>12456</v>
          </cell>
        </row>
        <row r="552">
          <cell r="A552" t="str">
            <v>ALA2</v>
          </cell>
          <cell r="B552">
            <v>750000</v>
          </cell>
          <cell r="C552" t="str">
            <v>S22H08A</v>
          </cell>
          <cell r="D552" t="str">
            <v>주철관접합(HUB)</v>
          </cell>
          <cell r="E552" t="str">
            <v>200D</v>
          </cell>
          <cell r="F552" t="str">
            <v>JNT</v>
          </cell>
          <cell r="H552">
            <v>8</v>
          </cell>
          <cell r="J552">
            <v>8</v>
          </cell>
          <cell r="L552">
            <v>2258</v>
          </cell>
          <cell r="N552">
            <v>18064</v>
          </cell>
        </row>
        <row r="553">
          <cell r="A553" t="str">
            <v>ALA2</v>
          </cell>
          <cell r="B553">
            <v>750000</v>
          </cell>
          <cell r="C553" t="str">
            <v>S22N03A</v>
          </cell>
          <cell r="D553" t="str">
            <v>주철관접합(N/H)</v>
          </cell>
          <cell r="E553" t="str">
            <v>75D</v>
          </cell>
          <cell r="F553" t="str">
            <v>JNT</v>
          </cell>
          <cell r="H553">
            <v>12</v>
          </cell>
          <cell r="J553">
            <v>12</v>
          </cell>
          <cell r="L553">
            <v>1833</v>
          </cell>
          <cell r="N553">
            <v>21996</v>
          </cell>
        </row>
        <row r="554">
          <cell r="A554" t="str">
            <v>ALA2</v>
          </cell>
          <cell r="B554">
            <v>750000</v>
          </cell>
          <cell r="C554" t="str">
            <v>S22N04A</v>
          </cell>
          <cell r="D554" t="str">
            <v>주철관접합(N/H)</v>
          </cell>
          <cell r="E554" t="str">
            <v>100D</v>
          </cell>
          <cell r="F554" t="str">
            <v>JNT</v>
          </cell>
          <cell r="H554">
            <v>18</v>
          </cell>
          <cell r="J554">
            <v>18</v>
          </cell>
          <cell r="L554">
            <v>2163</v>
          </cell>
          <cell r="N554">
            <v>38934</v>
          </cell>
        </row>
        <row r="555">
          <cell r="A555" t="str">
            <v>ALA2</v>
          </cell>
          <cell r="B555">
            <v>750000</v>
          </cell>
          <cell r="C555" t="str">
            <v>S22N06A</v>
          </cell>
          <cell r="D555" t="str">
            <v>주철관접합(N/H)</v>
          </cell>
          <cell r="E555" t="str">
            <v>150D</v>
          </cell>
          <cell r="F555" t="str">
            <v>JNT</v>
          </cell>
          <cell r="H555">
            <v>54</v>
          </cell>
          <cell r="J555">
            <v>54</v>
          </cell>
          <cell r="L555">
            <v>5344</v>
          </cell>
          <cell r="N555">
            <v>288576</v>
          </cell>
        </row>
        <row r="556">
          <cell r="A556" t="str">
            <v>ALA2</v>
          </cell>
          <cell r="B556">
            <v>750000</v>
          </cell>
          <cell r="C556" t="str">
            <v>S22N08A</v>
          </cell>
          <cell r="D556" t="str">
            <v>주철관접합(N/H)</v>
          </cell>
          <cell r="E556" t="str">
            <v>200D</v>
          </cell>
          <cell r="F556" t="str">
            <v>JNT</v>
          </cell>
          <cell r="H556">
            <v>49</v>
          </cell>
          <cell r="J556">
            <v>49</v>
          </cell>
          <cell r="L556">
            <v>9155</v>
          </cell>
          <cell r="N556">
            <v>448595</v>
          </cell>
        </row>
        <row r="557">
          <cell r="A557" t="str">
            <v>ALA2</v>
          </cell>
          <cell r="B557">
            <v>810000</v>
          </cell>
          <cell r="C557" t="str">
            <v>OMISC03</v>
          </cell>
          <cell r="D557" t="str">
            <v>잡자재비</v>
          </cell>
          <cell r="E557" t="str">
            <v>관의 (3)％</v>
          </cell>
          <cell r="F557" t="str">
            <v>L/S</v>
          </cell>
          <cell r="H557">
            <v>1</v>
          </cell>
          <cell r="J557">
            <v>1</v>
          </cell>
          <cell r="L557">
            <v>5720</v>
          </cell>
          <cell r="N557">
            <v>5720</v>
          </cell>
        </row>
        <row r="558">
          <cell r="A558" t="str">
            <v>ALA2</v>
          </cell>
          <cell r="B558">
            <v>850000</v>
          </cell>
          <cell r="C558" t="str">
            <v>LSPWKR</v>
          </cell>
          <cell r="D558" t="str">
            <v>특별인부</v>
          </cell>
          <cell r="F558" t="str">
            <v>M/D</v>
          </cell>
          <cell r="H558">
            <v>0.1</v>
          </cell>
          <cell r="J558">
            <v>0.1</v>
          </cell>
          <cell r="L558">
            <v>31200</v>
          </cell>
          <cell r="N558">
            <v>3120</v>
          </cell>
        </row>
        <row r="559">
          <cell r="A559" t="str">
            <v>ALA2</v>
          </cell>
          <cell r="B559">
            <v>850000</v>
          </cell>
          <cell r="C559" t="str">
            <v>LWELDG</v>
          </cell>
          <cell r="D559" t="str">
            <v>용접공(일반)</v>
          </cell>
          <cell r="F559" t="str">
            <v>M/D</v>
          </cell>
          <cell r="H559">
            <v>0.1</v>
          </cell>
          <cell r="J559">
            <v>0.1</v>
          </cell>
          <cell r="L559">
            <v>39500</v>
          </cell>
          <cell r="N559">
            <v>3950</v>
          </cell>
        </row>
        <row r="560">
          <cell r="A560" t="str">
            <v>ALA2</v>
          </cell>
          <cell r="B560">
            <v>850000</v>
          </cell>
          <cell r="C560" t="str">
            <v>LPAINT</v>
          </cell>
          <cell r="D560" t="str">
            <v>도장공</v>
          </cell>
          <cell r="F560" t="str">
            <v>M/D</v>
          </cell>
          <cell r="H560">
            <v>0.6</v>
          </cell>
          <cell r="J560">
            <v>0.6</v>
          </cell>
          <cell r="L560">
            <v>38200</v>
          </cell>
          <cell r="N560">
            <v>22920</v>
          </cell>
        </row>
        <row r="561">
          <cell r="A561" t="str">
            <v>ALA2</v>
          </cell>
          <cell r="B561">
            <v>850000</v>
          </cell>
          <cell r="C561" t="str">
            <v>LHELPR</v>
          </cell>
          <cell r="D561" t="str">
            <v>보통인부</v>
          </cell>
          <cell r="F561" t="str">
            <v>M/D</v>
          </cell>
          <cell r="H561">
            <v>8.5</v>
          </cell>
          <cell r="J561">
            <v>8.5</v>
          </cell>
          <cell r="L561">
            <v>22300</v>
          </cell>
          <cell r="N561">
            <v>189550</v>
          </cell>
        </row>
        <row r="562">
          <cell r="A562" t="str">
            <v>ALA2</v>
          </cell>
          <cell r="B562">
            <v>850000</v>
          </cell>
          <cell r="C562" t="str">
            <v>LIRONW</v>
          </cell>
          <cell r="D562" t="str">
            <v>철공</v>
          </cell>
          <cell r="F562" t="str">
            <v>M/D</v>
          </cell>
          <cell r="H562">
            <v>0.3</v>
          </cell>
          <cell r="J562">
            <v>0.3</v>
          </cell>
          <cell r="L562">
            <v>35500</v>
          </cell>
          <cell r="N562">
            <v>10650</v>
          </cell>
        </row>
        <row r="563">
          <cell r="A563" t="str">
            <v>ALA2</v>
          </cell>
          <cell r="B563">
            <v>850000</v>
          </cell>
          <cell r="C563" t="str">
            <v>LPIPEG</v>
          </cell>
          <cell r="D563" t="str">
            <v>배관공</v>
          </cell>
          <cell r="F563" t="str">
            <v>M/D</v>
          </cell>
          <cell r="H563">
            <v>22.8</v>
          </cell>
          <cell r="J563">
            <v>22.8</v>
          </cell>
          <cell r="L563">
            <v>34400</v>
          </cell>
          <cell r="N563">
            <v>784320</v>
          </cell>
        </row>
        <row r="564">
          <cell r="A564" t="str">
            <v>ALA2</v>
          </cell>
          <cell r="B564">
            <v>990000</v>
          </cell>
          <cell r="C564" t="str">
            <v>OMISC06</v>
          </cell>
          <cell r="D564" t="str">
            <v>공구손료</v>
          </cell>
          <cell r="E564" t="str">
            <v>인건비의 (3)％</v>
          </cell>
          <cell r="F564" t="str">
            <v>L/S</v>
          </cell>
          <cell r="H564">
            <v>1</v>
          </cell>
          <cell r="J564">
            <v>1</v>
          </cell>
          <cell r="L564">
            <v>30490</v>
          </cell>
          <cell r="N564">
            <v>30490</v>
          </cell>
        </row>
        <row r="565">
          <cell r="A565" t="str">
            <v>ALA3</v>
          </cell>
          <cell r="B565">
            <v>0</v>
          </cell>
          <cell r="C565" t="str">
            <v>WAALT</v>
          </cell>
          <cell r="D565" t="str">
            <v>6-3. 지하주차장 닥트설치공사</v>
          </cell>
        </row>
        <row r="566">
          <cell r="A566" t="str">
            <v>ALA3</v>
          </cell>
          <cell r="B566">
            <v>100</v>
          </cell>
          <cell r="C566" t="str">
            <v>BDGAM006</v>
          </cell>
          <cell r="D566" t="str">
            <v>기계식덕트 제작</v>
          </cell>
          <cell r="E566" t="str">
            <v>#24(0.6T)</v>
          </cell>
          <cell r="F566" t="str">
            <v>M2</v>
          </cell>
          <cell r="H566">
            <v>12.8</v>
          </cell>
          <cell r="J566">
            <v>12.8</v>
          </cell>
          <cell r="L566">
            <v>8805</v>
          </cell>
          <cell r="N566">
            <v>112704</v>
          </cell>
          <cell r="R566" t="b">
            <v>0</v>
          </cell>
        </row>
        <row r="567">
          <cell r="A567" t="str">
            <v>ALA3</v>
          </cell>
          <cell r="B567">
            <v>200</v>
          </cell>
          <cell r="C567" t="str">
            <v>BDGAM008</v>
          </cell>
          <cell r="D567" t="str">
            <v>기계식덕트 제작</v>
          </cell>
          <cell r="E567" t="str">
            <v>#22(0.8T)</v>
          </cell>
          <cell r="F567" t="str">
            <v>M2</v>
          </cell>
          <cell r="H567">
            <v>15.6</v>
          </cell>
          <cell r="J567">
            <v>15.6</v>
          </cell>
          <cell r="L567">
            <v>9570</v>
          </cell>
          <cell r="N567">
            <v>149292</v>
          </cell>
          <cell r="R567" t="b">
            <v>0</v>
          </cell>
        </row>
        <row r="568">
          <cell r="A568" t="str">
            <v>ALA3</v>
          </cell>
          <cell r="B568">
            <v>300</v>
          </cell>
          <cell r="C568" t="str">
            <v>BPACDU02</v>
          </cell>
          <cell r="D568" t="str">
            <v>덕트 도장</v>
          </cell>
          <cell r="E568" t="str">
            <v>2 COAT</v>
          </cell>
          <cell r="F568" t="str">
            <v>M2</v>
          </cell>
          <cell r="H568">
            <v>28.4</v>
          </cell>
          <cell r="J568">
            <v>28.4</v>
          </cell>
          <cell r="L568">
            <v>415</v>
          </cell>
          <cell r="N568">
            <v>11786</v>
          </cell>
        </row>
        <row r="569">
          <cell r="A569" t="str">
            <v>ALA3</v>
          </cell>
          <cell r="B569">
            <v>400</v>
          </cell>
          <cell r="C569" t="str">
            <v>MDXDX201</v>
          </cell>
          <cell r="D569" t="str">
            <v>루버,알루미늄</v>
          </cell>
          <cell r="E569" t="str">
            <v>1000*1000</v>
          </cell>
          <cell r="F569" t="str">
            <v>EA</v>
          </cell>
          <cell r="G569">
            <v>0</v>
          </cell>
          <cell r="H569">
            <v>8</v>
          </cell>
          <cell r="J569">
            <v>8</v>
          </cell>
          <cell r="L569">
            <v>90000</v>
          </cell>
          <cell r="N569">
            <v>720000</v>
          </cell>
          <cell r="R569" t="b">
            <v>0</v>
          </cell>
        </row>
        <row r="570">
          <cell r="A570" t="str">
            <v>ALA3</v>
          </cell>
          <cell r="B570">
            <v>500</v>
          </cell>
          <cell r="C570" t="str">
            <v>MDXGXA12</v>
          </cell>
          <cell r="D570" t="str">
            <v>화이어 댐퍼</v>
          </cell>
          <cell r="E570" t="str">
            <v>1000*1000</v>
          </cell>
          <cell r="F570" t="str">
            <v>EA</v>
          </cell>
          <cell r="G570">
            <v>0</v>
          </cell>
          <cell r="H570">
            <v>4</v>
          </cell>
          <cell r="J570">
            <v>4</v>
          </cell>
          <cell r="L570">
            <v>70000</v>
          </cell>
          <cell r="N570">
            <v>280000</v>
          </cell>
          <cell r="R570" t="b">
            <v>0</v>
          </cell>
        </row>
        <row r="571">
          <cell r="A571" t="str">
            <v>ALA3</v>
          </cell>
          <cell r="B571">
            <v>600</v>
          </cell>
          <cell r="C571" t="str">
            <v>MDXKX105</v>
          </cell>
          <cell r="D571" t="str">
            <v>소음챔버</v>
          </cell>
          <cell r="E571" t="str">
            <v>1200*1000*  700</v>
          </cell>
          <cell r="F571" t="str">
            <v>EA</v>
          </cell>
          <cell r="G571">
            <v>0</v>
          </cell>
          <cell r="H571">
            <v>4</v>
          </cell>
          <cell r="J571">
            <v>4</v>
          </cell>
          <cell r="L571">
            <v>438400</v>
          </cell>
          <cell r="N571">
            <v>1753600</v>
          </cell>
          <cell r="R571" t="b">
            <v>0</v>
          </cell>
        </row>
        <row r="572">
          <cell r="A572" t="str">
            <v>ALA3</v>
          </cell>
          <cell r="B572">
            <v>700</v>
          </cell>
          <cell r="C572" t="str">
            <v>MDRCCNVA</v>
          </cell>
          <cell r="D572" t="str">
            <v>캔버스</v>
          </cell>
          <cell r="F572" t="str">
            <v>M2</v>
          </cell>
          <cell r="G572">
            <v>0</v>
          </cell>
          <cell r="H572">
            <v>2.4</v>
          </cell>
          <cell r="J572">
            <v>2.4</v>
          </cell>
          <cell r="L572">
            <v>4500</v>
          </cell>
          <cell r="N572">
            <v>10800</v>
          </cell>
          <cell r="R572" t="b">
            <v>0</v>
          </cell>
        </row>
        <row r="573">
          <cell r="A573" t="str">
            <v>ALA3</v>
          </cell>
          <cell r="B573">
            <v>800</v>
          </cell>
          <cell r="C573" t="str">
            <v>MDRNCOME</v>
          </cell>
          <cell r="D573" t="str">
            <v>동망</v>
          </cell>
          <cell r="F573" t="str">
            <v>M2</v>
          </cell>
          <cell r="G573">
            <v>0</v>
          </cell>
          <cell r="H573">
            <v>5.2</v>
          </cell>
          <cell r="J573">
            <v>5.2</v>
          </cell>
          <cell r="L573">
            <v>2500</v>
          </cell>
          <cell r="N573">
            <v>13000</v>
          </cell>
          <cell r="R573" t="b">
            <v>0</v>
          </cell>
        </row>
        <row r="574">
          <cell r="A574" t="str">
            <v>ALA3</v>
          </cell>
          <cell r="B574">
            <v>900</v>
          </cell>
          <cell r="C574" t="str">
            <v>MDRRAC33</v>
          </cell>
          <cell r="D574" t="str">
            <v>점검구</v>
          </cell>
          <cell r="E574" t="str">
            <v>300*300</v>
          </cell>
          <cell r="F574" t="str">
            <v>EA</v>
          </cell>
          <cell r="G574">
            <v>0</v>
          </cell>
          <cell r="H574">
            <v>4</v>
          </cell>
          <cell r="J574">
            <v>4</v>
          </cell>
          <cell r="L574">
            <v>7000</v>
          </cell>
          <cell r="N574">
            <v>28000</v>
          </cell>
          <cell r="R574" t="b">
            <v>0</v>
          </cell>
        </row>
        <row r="575">
          <cell r="A575" t="str">
            <v>ALA3</v>
          </cell>
          <cell r="B575">
            <v>1000</v>
          </cell>
          <cell r="C575" t="str">
            <v>MDRRFDFU</v>
          </cell>
          <cell r="D575" t="str">
            <v>휴즈,화이어 댐퍼</v>
          </cell>
          <cell r="E575" t="str">
            <v>72˚C</v>
          </cell>
          <cell r="F575" t="str">
            <v>EA</v>
          </cell>
          <cell r="G575">
            <v>0</v>
          </cell>
          <cell r="H575">
            <v>4</v>
          </cell>
          <cell r="J575">
            <v>4</v>
          </cell>
          <cell r="L575">
            <v>1000</v>
          </cell>
          <cell r="N575">
            <v>4000</v>
          </cell>
          <cell r="R575" t="b">
            <v>0</v>
          </cell>
        </row>
        <row r="576">
          <cell r="A576" t="str">
            <v>ALA3</v>
          </cell>
          <cell r="B576">
            <v>810000</v>
          </cell>
          <cell r="C576" t="str">
            <v>OMISC03</v>
          </cell>
          <cell r="D576" t="str">
            <v>잡자재비</v>
          </cell>
          <cell r="E576" t="str">
            <v>관의 (3)％</v>
          </cell>
          <cell r="F576" t="str">
            <v>L/S</v>
          </cell>
          <cell r="H576">
            <v>1</v>
          </cell>
          <cell r="J576">
            <v>1</v>
          </cell>
          <cell r="L576">
            <v>818</v>
          </cell>
          <cell r="N576">
            <v>818</v>
          </cell>
        </row>
        <row r="577">
          <cell r="A577" t="str">
            <v>ALA3</v>
          </cell>
          <cell r="B577">
            <v>850000</v>
          </cell>
          <cell r="C577" t="str">
            <v>LDUCTM</v>
          </cell>
          <cell r="D577" t="str">
            <v>덕트공(기계닥트 설치)</v>
          </cell>
          <cell r="F577" t="str">
            <v>M/D</v>
          </cell>
          <cell r="H577">
            <v>4.2</v>
          </cell>
          <cell r="J577">
            <v>4.2</v>
          </cell>
          <cell r="L577">
            <v>31400</v>
          </cell>
          <cell r="N577">
            <v>131880</v>
          </cell>
        </row>
        <row r="578">
          <cell r="A578" t="str">
            <v>ALA3</v>
          </cell>
          <cell r="B578">
            <v>850000</v>
          </cell>
          <cell r="C578" t="str">
            <v>LPAINT</v>
          </cell>
          <cell r="D578" t="str">
            <v>도장공</v>
          </cell>
          <cell r="F578" t="str">
            <v>M/D</v>
          </cell>
          <cell r="H578">
            <v>0.9</v>
          </cell>
          <cell r="J578">
            <v>0.9</v>
          </cell>
          <cell r="L578">
            <v>38200</v>
          </cell>
          <cell r="N578">
            <v>34380</v>
          </cell>
        </row>
        <row r="579">
          <cell r="A579" t="str">
            <v>ALA3</v>
          </cell>
          <cell r="B579">
            <v>850000</v>
          </cell>
          <cell r="C579" t="str">
            <v>LDUCTR</v>
          </cell>
          <cell r="D579" t="str">
            <v>덕트공</v>
          </cell>
          <cell r="F579" t="str">
            <v>M/D</v>
          </cell>
          <cell r="H579">
            <v>10</v>
          </cell>
          <cell r="J579">
            <v>10</v>
          </cell>
          <cell r="L579">
            <v>31400</v>
          </cell>
          <cell r="N579">
            <v>314000</v>
          </cell>
        </row>
        <row r="580">
          <cell r="A580" t="str">
            <v>ALA3</v>
          </cell>
          <cell r="B580">
            <v>990000</v>
          </cell>
          <cell r="C580" t="str">
            <v>OMISC06</v>
          </cell>
          <cell r="D580" t="str">
            <v>공구손료</v>
          </cell>
          <cell r="E580" t="str">
            <v>인건비의 (3)％</v>
          </cell>
          <cell r="F580" t="str">
            <v>L/S</v>
          </cell>
          <cell r="H580">
            <v>1</v>
          </cell>
          <cell r="J580">
            <v>1</v>
          </cell>
          <cell r="L580">
            <v>14740</v>
          </cell>
          <cell r="N580">
            <v>14740</v>
          </cell>
        </row>
        <row r="581">
          <cell r="A581" t="str">
            <v>AN</v>
          </cell>
          <cell r="B581">
            <v>0</v>
          </cell>
          <cell r="C581" t="str">
            <v>WAAN</v>
          </cell>
          <cell r="D581" t="str">
            <v>7. 소화설비공사</v>
          </cell>
        </row>
        <row r="582">
          <cell r="A582" t="str">
            <v>ANAA</v>
          </cell>
          <cell r="B582">
            <v>0</v>
          </cell>
          <cell r="C582" t="str">
            <v>WAANMF</v>
          </cell>
          <cell r="D582" t="str">
            <v>7-1. 소화 장비설치공사</v>
          </cell>
        </row>
        <row r="583">
          <cell r="A583" t="str">
            <v>ANAA</v>
          </cell>
          <cell r="B583">
            <v>100</v>
          </cell>
          <cell r="C583" t="str">
            <v>MEPEX801</v>
          </cell>
          <cell r="D583" t="str">
            <v>FP-1 스프링클러주펌프</v>
          </cell>
          <cell r="E583" t="str">
            <v>800LPM*60M*20HP</v>
          </cell>
          <cell r="F583" t="str">
            <v>SET</v>
          </cell>
          <cell r="G583">
            <v>0</v>
          </cell>
          <cell r="H583">
            <v>1</v>
          </cell>
          <cell r="J583">
            <v>1</v>
          </cell>
          <cell r="L583">
            <v>1987000</v>
          </cell>
          <cell r="N583">
            <v>1987000</v>
          </cell>
          <cell r="R583" t="b">
            <v>0</v>
          </cell>
        </row>
        <row r="584">
          <cell r="A584" t="str">
            <v>ANAA</v>
          </cell>
          <cell r="B584">
            <v>200</v>
          </cell>
          <cell r="C584" t="str">
            <v>MEPIX301</v>
          </cell>
          <cell r="D584" t="str">
            <v>FP-2 스프링클러충압펌프</v>
          </cell>
          <cell r="E584" t="str">
            <v>60LPM*60M*3HP</v>
          </cell>
          <cell r="F584" t="str">
            <v>SET</v>
          </cell>
          <cell r="G584">
            <v>0</v>
          </cell>
          <cell r="H584">
            <v>1</v>
          </cell>
          <cell r="J584">
            <v>1</v>
          </cell>
          <cell r="L584">
            <v>617000</v>
          </cell>
          <cell r="N584">
            <v>617000</v>
          </cell>
          <cell r="R584" t="b">
            <v>0</v>
          </cell>
        </row>
        <row r="585">
          <cell r="A585" t="str">
            <v>ANAA</v>
          </cell>
          <cell r="B585">
            <v>300</v>
          </cell>
          <cell r="C585" t="str">
            <v>MEPEX601</v>
          </cell>
          <cell r="D585" t="str">
            <v>FP-3 옥내소화전주펌프</v>
          </cell>
          <cell r="E585" t="str">
            <v>260LPM*75M*10HP</v>
          </cell>
          <cell r="F585" t="str">
            <v>SET</v>
          </cell>
          <cell r="G585">
            <v>0</v>
          </cell>
          <cell r="H585">
            <v>1</v>
          </cell>
          <cell r="J585">
            <v>1</v>
          </cell>
          <cell r="L585">
            <v>1460000</v>
          </cell>
          <cell r="N585">
            <v>1460000</v>
          </cell>
          <cell r="R585" t="b">
            <v>0</v>
          </cell>
        </row>
        <row r="586">
          <cell r="A586" t="str">
            <v>ANAA</v>
          </cell>
          <cell r="B586">
            <v>400</v>
          </cell>
          <cell r="C586" t="str">
            <v>MEPIX401</v>
          </cell>
          <cell r="D586" t="str">
            <v>FP-4 옥내소화전충압펌프</v>
          </cell>
          <cell r="E586" t="str">
            <v>60LPM*75M*5HP</v>
          </cell>
          <cell r="F586" t="str">
            <v>SET</v>
          </cell>
          <cell r="G586">
            <v>0</v>
          </cell>
          <cell r="H586">
            <v>1</v>
          </cell>
          <cell r="J586">
            <v>1</v>
          </cell>
          <cell r="L586">
            <v>676000</v>
          </cell>
          <cell r="N586">
            <v>676000</v>
          </cell>
          <cell r="R586" t="b">
            <v>0</v>
          </cell>
        </row>
        <row r="587">
          <cell r="A587" t="str">
            <v>ANAA</v>
          </cell>
          <cell r="B587">
            <v>500</v>
          </cell>
          <cell r="C587" t="str">
            <v>MFEHPT10</v>
          </cell>
          <cell r="D587" t="str">
            <v>압력탱크,소화용</v>
          </cell>
          <cell r="E587" t="str">
            <v>100LIT</v>
          </cell>
          <cell r="F587" t="str">
            <v>EA</v>
          </cell>
          <cell r="G587">
            <v>0</v>
          </cell>
          <cell r="H587">
            <v>2</v>
          </cell>
          <cell r="J587">
            <v>2</v>
          </cell>
          <cell r="L587">
            <v>130000</v>
          </cell>
          <cell r="N587">
            <v>260000</v>
          </cell>
          <cell r="R587" t="b">
            <v>0</v>
          </cell>
        </row>
        <row r="588">
          <cell r="A588" t="str">
            <v>ANAA</v>
          </cell>
          <cell r="B588">
            <v>600</v>
          </cell>
          <cell r="C588" t="str">
            <v>MEPV0022</v>
          </cell>
          <cell r="D588" t="str">
            <v>펌프방진가대</v>
          </cell>
          <cell r="E588" t="str">
            <v>2.20KW</v>
          </cell>
          <cell r="F588" t="str">
            <v>SET</v>
          </cell>
          <cell r="G588">
            <v>0</v>
          </cell>
          <cell r="H588">
            <v>1</v>
          </cell>
          <cell r="J588">
            <v>1</v>
          </cell>
          <cell r="L588">
            <v>156000</v>
          </cell>
          <cell r="N588">
            <v>156000</v>
          </cell>
          <cell r="R588" t="b">
            <v>0</v>
          </cell>
        </row>
        <row r="589">
          <cell r="A589" t="str">
            <v>ANAA</v>
          </cell>
          <cell r="B589">
            <v>700</v>
          </cell>
          <cell r="C589" t="str">
            <v>MEPV0037</v>
          </cell>
          <cell r="D589" t="str">
            <v>펌프방진가대</v>
          </cell>
          <cell r="E589" t="str">
            <v>3.70KW</v>
          </cell>
          <cell r="F589" t="str">
            <v>SET</v>
          </cell>
          <cell r="G589">
            <v>0</v>
          </cell>
          <cell r="H589">
            <v>1</v>
          </cell>
          <cell r="J589">
            <v>1</v>
          </cell>
          <cell r="L589">
            <v>171500</v>
          </cell>
          <cell r="N589">
            <v>171500</v>
          </cell>
          <cell r="R589" t="b">
            <v>0</v>
          </cell>
        </row>
        <row r="590">
          <cell r="A590" t="str">
            <v>ANAA</v>
          </cell>
          <cell r="B590">
            <v>800</v>
          </cell>
          <cell r="C590" t="str">
            <v>MEPV0075</v>
          </cell>
          <cell r="D590" t="str">
            <v>펌프방진가대</v>
          </cell>
          <cell r="E590" t="str">
            <v>7.50KW</v>
          </cell>
          <cell r="F590" t="str">
            <v>SET</v>
          </cell>
          <cell r="G590">
            <v>0</v>
          </cell>
          <cell r="H590">
            <v>1</v>
          </cell>
          <cell r="J590">
            <v>1</v>
          </cell>
          <cell r="L590">
            <v>206000</v>
          </cell>
          <cell r="N590">
            <v>206000</v>
          </cell>
          <cell r="R590" t="b">
            <v>0</v>
          </cell>
        </row>
        <row r="591">
          <cell r="A591" t="str">
            <v>ANAA</v>
          </cell>
          <cell r="B591">
            <v>900</v>
          </cell>
          <cell r="C591" t="str">
            <v>MEPV0150</v>
          </cell>
          <cell r="D591" t="str">
            <v>펌프방진가대</v>
          </cell>
          <cell r="E591" t="str">
            <v>15.00KW</v>
          </cell>
          <cell r="F591" t="str">
            <v>SET</v>
          </cell>
          <cell r="G591">
            <v>0</v>
          </cell>
          <cell r="H591">
            <v>1</v>
          </cell>
          <cell r="J591">
            <v>1</v>
          </cell>
          <cell r="L591">
            <v>240000</v>
          </cell>
          <cell r="N591">
            <v>240000</v>
          </cell>
          <cell r="R591" t="b">
            <v>0</v>
          </cell>
        </row>
        <row r="592">
          <cell r="A592" t="str">
            <v>ANAA</v>
          </cell>
          <cell r="B592">
            <v>810000</v>
          </cell>
          <cell r="C592" t="str">
            <v>OMISC03</v>
          </cell>
          <cell r="D592" t="str">
            <v>잡자재비</v>
          </cell>
          <cell r="E592" t="str">
            <v>관의 (3)％</v>
          </cell>
          <cell r="F592" t="str">
            <v>L/S</v>
          </cell>
          <cell r="H592">
            <v>1</v>
          </cell>
          <cell r="J592">
            <v>1</v>
          </cell>
          <cell r="L592">
            <v>500</v>
          </cell>
          <cell r="N592">
            <v>500</v>
          </cell>
        </row>
        <row r="593">
          <cell r="A593" t="str">
            <v>ANAA</v>
          </cell>
          <cell r="B593">
            <v>850000</v>
          </cell>
          <cell r="C593" t="str">
            <v>LHELPR</v>
          </cell>
          <cell r="D593" t="str">
            <v>보통인부</v>
          </cell>
          <cell r="F593" t="str">
            <v>M/D</v>
          </cell>
          <cell r="H593">
            <v>2.1</v>
          </cell>
          <cell r="J593">
            <v>2.1</v>
          </cell>
          <cell r="L593">
            <v>22300</v>
          </cell>
          <cell r="N593">
            <v>46830</v>
          </cell>
        </row>
        <row r="594">
          <cell r="A594" t="str">
            <v>ANAA</v>
          </cell>
          <cell r="B594">
            <v>850000</v>
          </cell>
          <cell r="C594" t="str">
            <v>LMILLW</v>
          </cell>
          <cell r="D594" t="str">
            <v>기계설치공</v>
          </cell>
          <cell r="F594" t="str">
            <v>M/D</v>
          </cell>
          <cell r="H594">
            <v>4.8</v>
          </cell>
          <cell r="J594">
            <v>4.8</v>
          </cell>
          <cell r="L594">
            <v>34000</v>
          </cell>
          <cell r="N594">
            <v>163200</v>
          </cell>
        </row>
        <row r="595">
          <cell r="A595" t="str">
            <v>ANAA</v>
          </cell>
          <cell r="B595">
            <v>850000</v>
          </cell>
          <cell r="C595" t="str">
            <v>LPIPEG</v>
          </cell>
          <cell r="D595" t="str">
            <v>배관공</v>
          </cell>
          <cell r="F595" t="str">
            <v>M/D</v>
          </cell>
          <cell r="H595">
            <v>1.6</v>
          </cell>
          <cell r="J595">
            <v>1.6</v>
          </cell>
          <cell r="L595">
            <v>34400</v>
          </cell>
          <cell r="N595">
            <v>55040</v>
          </cell>
        </row>
        <row r="596">
          <cell r="A596" t="str">
            <v>ANAA</v>
          </cell>
          <cell r="B596">
            <v>900000</v>
          </cell>
          <cell r="C596" t="str">
            <v>CAMTEF1</v>
          </cell>
          <cell r="D596" t="str">
            <v>방진가대 CONC타설</v>
          </cell>
          <cell r="F596" t="str">
            <v>개소</v>
          </cell>
          <cell r="H596">
            <v>4</v>
          </cell>
          <cell r="J596">
            <v>4</v>
          </cell>
          <cell r="L596">
            <v>26390</v>
          </cell>
          <cell r="N596">
            <v>105560</v>
          </cell>
          <cell r="R596" t="b">
            <v>0</v>
          </cell>
        </row>
        <row r="597">
          <cell r="A597" t="str">
            <v>ANAA</v>
          </cell>
          <cell r="B597">
            <v>990000</v>
          </cell>
          <cell r="C597" t="str">
            <v>OMISC06</v>
          </cell>
          <cell r="D597" t="str">
            <v>공구손료</v>
          </cell>
          <cell r="E597" t="str">
            <v>인건비의 (3)％</v>
          </cell>
          <cell r="F597" t="str">
            <v>L/S</v>
          </cell>
          <cell r="H597">
            <v>1</v>
          </cell>
          <cell r="J597">
            <v>1</v>
          </cell>
          <cell r="L597">
            <v>8370</v>
          </cell>
          <cell r="N597">
            <v>8370</v>
          </cell>
        </row>
        <row r="598">
          <cell r="A598" t="str">
            <v>ANAB</v>
          </cell>
          <cell r="B598">
            <v>0</v>
          </cell>
          <cell r="C598" t="str">
            <v>WAANAF</v>
          </cell>
          <cell r="D598" t="str">
            <v>7-2. 옥외 소화배관공사</v>
          </cell>
        </row>
        <row r="599">
          <cell r="A599" t="str">
            <v>ANAB</v>
          </cell>
          <cell r="B599">
            <v>100</v>
          </cell>
          <cell r="C599" t="str">
            <v>MP40E04A</v>
          </cell>
          <cell r="D599" t="str">
            <v>백강관,#40,ERW</v>
          </cell>
          <cell r="E599" t="str">
            <v>100A</v>
          </cell>
          <cell r="F599" t="str">
            <v>M</v>
          </cell>
          <cell r="G599">
            <v>5</v>
          </cell>
          <cell r="H599">
            <v>5</v>
          </cell>
          <cell r="J599">
            <v>5.3</v>
          </cell>
          <cell r="L599">
            <v>11344</v>
          </cell>
          <cell r="N599">
            <v>60123</v>
          </cell>
          <cell r="R599" t="b">
            <v>1</v>
          </cell>
        </row>
        <row r="600">
          <cell r="A600" t="str">
            <v>ANAB</v>
          </cell>
          <cell r="B600">
            <v>101</v>
          </cell>
          <cell r="C600" t="str">
            <v>OMIPMP40</v>
          </cell>
          <cell r="D600" t="str">
            <v>관 부속</v>
          </cell>
          <cell r="E600" t="str">
            <v>관의 (5)％</v>
          </cell>
          <cell r="F600" t="str">
            <v>L/S</v>
          </cell>
          <cell r="H600">
            <v>1</v>
          </cell>
          <cell r="J600">
            <v>1</v>
          </cell>
          <cell r="L600">
            <v>2978</v>
          </cell>
          <cell r="N600">
            <v>2978</v>
          </cell>
        </row>
        <row r="601">
          <cell r="A601" t="str">
            <v>ANAB</v>
          </cell>
          <cell r="B601">
            <v>102</v>
          </cell>
          <cell r="C601" t="str">
            <v>OMIHMP40</v>
          </cell>
          <cell r="D601" t="str">
            <v>행거 및 용접봉</v>
          </cell>
          <cell r="E601" t="str">
            <v>관의 (10)％</v>
          </cell>
          <cell r="F601" t="str">
            <v>L/S</v>
          </cell>
          <cell r="H601">
            <v>1</v>
          </cell>
          <cell r="J601">
            <v>1</v>
          </cell>
          <cell r="L601">
            <v>5956</v>
          </cell>
          <cell r="N601">
            <v>5956</v>
          </cell>
        </row>
        <row r="602">
          <cell r="A602" t="str">
            <v>ANAB</v>
          </cell>
          <cell r="B602">
            <v>200</v>
          </cell>
          <cell r="C602" t="str">
            <v>MCUA100B</v>
          </cell>
          <cell r="D602" t="str">
            <v>주철관(KP/J),수도용</v>
          </cell>
          <cell r="E602" t="str">
            <v>100A*5000L</v>
          </cell>
          <cell r="F602" t="str">
            <v>EA</v>
          </cell>
          <cell r="G602">
            <v>0</v>
          </cell>
          <cell r="H602">
            <v>3</v>
          </cell>
          <cell r="J602">
            <v>3</v>
          </cell>
          <cell r="L602">
            <v>59780</v>
          </cell>
          <cell r="N602">
            <v>179340</v>
          </cell>
          <cell r="R602" t="b">
            <v>0</v>
          </cell>
        </row>
        <row r="603">
          <cell r="A603" t="str">
            <v>ANAB</v>
          </cell>
          <cell r="B603">
            <v>300</v>
          </cell>
          <cell r="C603" t="str">
            <v>MCUB404A</v>
          </cell>
          <cell r="D603" t="str">
            <v>KP 플랜지소켓관</v>
          </cell>
          <cell r="E603" t="str">
            <v>100A</v>
          </cell>
          <cell r="F603" t="str">
            <v>EA</v>
          </cell>
          <cell r="G603">
            <v>0</v>
          </cell>
          <cell r="H603">
            <v>2</v>
          </cell>
          <cell r="J603">
            <v>2</v>
          </cell>
          <cell r="L603">
            <v>12450</v>
          </cell>
          <cell r="N603">
            <v>24900</v>
          </cell>
          <cell r="R603" t="b">
            <v>0</v>
          </cell>
        </row>
        <row r="604">
          <cell r="A604" t="str">
            <v>ANAB</v>
          </cell>
          <cell r="B604">
            <v>400</v>
          </cell>
          <cell r="C604" t="str">
            <v>MCUB604A</v>
          </cell>
          <cell r="D604" t="str">
            <v>KP 90°소켓곡관</v>
          </cell>
          <cell r="E604" t="str">
            <v>100A</v>
          </cell>
          <cell r="F604" t="str">
            <v>EA</v>
          </cell>
          <cell r="G604">
            <v>0</v>
          </cell>
          <cell r="H604">
            <v>1</v>
          </cell>
          <cell r="J604">
            <v>1</v>
          </cell>
          <cell r="L604">
            <v>17830</v>
          </cell>
          <cell r="N604">
            <v>17830</v>
          </cell>
          <cell r="R604" t="b">
            <v>0</v>
          </cell>
        </row>
        <row r="605">
          <cell r="A605" t="str">
            <v>ANAB</v>
          </cell>
          <cell r="B605">
            <v>500</v>
          </cell>
          <cell r="C605" t="str">
            <v>TMYYS009</v>
          </cell>
          <cell r="D605" t="str">
            <v>KP 소켓 티형관</v>
          </cell>
          <cell r="E605" t="str">
            <v>125A*100A</v>
          </cell>
          <cell r="F605" t="str">
            <v>EA</v>
          </cell>
          <cell r="G605">
            <v>0</v>
          </cell>
          <cell r="H605">
            <v>1</v>
          </cell>
          <cell r="J605">
            <v>1</v>
          </cell>
          <cell r="L605">
            <v>31120</v>
          </cell>
          <cell r="N605">
            <v>31120</v>
          </cell>
          <cell r="R605" t="b">
            <v>0</v>
          </cell>
        </row>
        <row r="606">
          <cell r="A606" t="str">
            <v>ANAB</v>
          </cell>
          <cell r="B606">
            <v>600</v>
          </cell>
          <cell r="C606" t="str">
            <v>MFEHOAD0</v>
          </cell>
          <cell r="D606" t="str">
            <v>지상 소화전</v>
          </cell>
          <cell r="F606" t="str">
            <v>EA</v>
          </cell>
          <cell r="G606">
            <v>0</v>
          </cell>
          <cell r="H606">
            <v>1</v>
          </cell>
          <cell r="J606">
            <v>1</v>
          </cell>
          <cell r="L606">
            <v>200000</v>
          </cell>
          <cell r="N606">
            <v>200000</v>
          </cell>
          <cell r="R606" t="b">
            <v>0</v>
          </cell>
        </row>
        <row r="607">
          <cell r="A607" t="str">
            <v>ANAB</v>
          </cell>
          <cell r="B607">
            <v>700</v>
          </cell>
          <cell r="C607" t="str">
            <v>MVBU214A</v>
          </cell>
          <cell r="D607" t="str">
            <v>제수변(수직형)</v>
          </cell>
          <cell r="E607" t="str">
            <v>10K 100A</v>
          </cell>
          <cell r="F607" t="str">
            <v>EA</v>
          </cell>
          <cell r="G607">
            <v>0</v>
          </cell>
          <cell r="H607">
            <v>1</v>
          </cell>
          <cell r="J607">
            <v>1</v>
          </cell>
          <cell r="L607">
            <v>80000</v>
          </cell>
          <cell r="N607">
            <v>80000</v>
          </cell>
          <cell r="R607" t="b">
            <v>0</v>
          </cell>
        </row>
        <row r="608">
          <cell r="A608" t="str">
            <v>ANAB</v>
          </cell>
          <cell r="B608">
            <v>800</v>
          </cell>
          <cell r="C608" t="str">
            <v>MP0AWT03</v>
          </cell>
          <cell r="D608" t="str">
            <v>배관매설 표시비닐테프</v>
          </cell>
          <cell r="E608" t="str">
            <v>400W</v>
          </cell>
          <cell r="F608" t="str">
            <v>M</v>
          </cell>
          <cell r="G608">
            <v>0</v>
          </cell>
          <cell r="H608">
            <v>15</v>
          </cell>
          <cell r="J608">
            <v>15</v>
          </cell>
          <cell r="L608">
            <v>140</v>
          </cell>
          <cell r="N608">
            <v>2100</v>
          </cell>
          <cell r="R608" t="b">
            <v>0</v>
          </cell>
        </row>
        <row r="609">
          <cell r="A609" t="str">
            <v>ANAB</v>
          </cell>
          <cell r="B609">
            <v>900</v>
          </cell>
          <cell r="C609" t="str">
            <v>MP0ASD01</v>
          </cell>
          <cell r="D609" t="str">
            <v>모래</v>
          </cell>
          <cell r="F609" t="str">
            <v>M3</v>
          </cell>
          <cell r="G609">
            <v>0</v>
          </cell>
          <cell r="H609">
            <v>4.8</v>
          </cell>
          <cell r="J609">
            <v>4.8</v>
          </cell>
          <cell r="L609">
            <v>13500</v>
          </cell>
          <cell r="N609">
            <v>64800</v>
          </cell>
          <cell r="R609" t="b">
            <v>0</v>
          </cell>
        </row>
        <row r="610">
          <cell r="A610" t="str">
            <v>ANAB</v>
          </cell>
          <cell r="B610">
            <v>750000</v>
          </cell>
          <cell r="C610" t="str">
            <v>S22S10B</v>
          </cell>
          <cell r="D610" t="str">
            <v>주철관접합(KP-JOINT)</v>
          </cell>
          <cell r="E610" t="str">
            <v>100A</v>
          </cell>
          <cell r="F610" t="str">
            <v>EA</v>
          </cell>
          <cell r="H610">
            <v>6</v>
          </cell>
          <cell r="J610">
            <v>6</v>
          </cell>
          <cell r="L610">
            <v>7330</v>
          </cell>
          <cell r="N610">
            <v>43980</v>
          </cell>
        </row>
        <row r="611">
          <cell r="A611" t="str">
            <v>ANAB</v>
          </cell>
          <cell r="B611">
            <v>750000</v>
          </cell>
          <cell r="C611" t="str">
            <v>S22S20C</v>
          </cell>
          <cell r="D611" t="str">
            <v>주철접합티형관(KP-JOINT)</v>
          </cell>
          <cell r="E611" t="str">
            <v>100A*100A</v>
          </cell>
          <cell r="F611" t="str">
            <v>JOIN</v>
          </cell>
          <cell r="H611">
            <v>1</v>
          </cell>
          <cell r="J611">
            <v>1</v>
          </cell>
          <cell r="L611">
            <v>14660</v>
          </cell>
          <cell r="N611">
            <v>14660</v>
          </cell>
        </row>
        <row r="612">
          <cell r="A612" t="str">
            <v>ANAB</v>
          </cell>
          <cell r="B612">
            <v>810000</v>
          </cell>
          <cell r="C612" t="str">
            <v>OMISC03</v>
          </cell>
          <cell r="D612" t="str">
            <v>잡자재비</v>
          </cell>
          <cell r="E612" t="str">
            <v>관의 (3)％</v>
          </cell>
          <cell r="F612" t="str">
            <v>L/S</v>
          </cell>
          <cell r="H612">
            <v>1</v>
          </cell>
          <cell r="J612">
            <v>1</v>
          </cell>
          <cell r="L612">
            <v>2213</v>
          </cell>
          <cell r="N612">
            <v>2213</v>
          </cell>
        </row>
        <row r="613">
          <cell r="A613" t="str">
            <v>ANAB</v>
          </cell>
          <cell r="B613">
            <v>850000</v>
          </cell>
          <cell r="C613" t="str">
            <v>LHELPR</v>
          </cell>
          <cell r="D613" t="str">
            <v>보통인부</v>
          </cell>
          <cell r="F613" t="str">
            <v>M/D</v>
          </cell>
          <cell r="H613">
            <v>0.3</v>
          </cell>
          <cell r="J613">
            <v>0.3</v>
          </cell>
          <cell r="L613">
            <v>22300</v>
          </cell>
          <cell r="N613">
            <v>6690</v>
          </cell>
        </row>
        <row r="614">
          <cell r="A614" t="str">
            <v>ANAB</v>
          </cell>
          <cell r="B614">
            <v>850000</v>
          </cell>
          <cell r="C614" t="str">
            <v>LPIPEG</v>
          </cell>
          <cell r="D614" t="str">
            <v>배관공</v>
          </cell>
          <cell r="F614" t="str">
            <v>M/D</v>
          </cell>
          <cell r="H614">
            <v>1.6</v>
          </cell>
          <cell r="J614">
            <v>1.6</v>
          </cell>
          <cell r="L614">
            <v>34400</v>
          </cell>
          <cell r="N614">
            <v>55040</v>
          </cell>
        </row>
        <row r="615">
          <cell r="A615" t="str">
            <v>ANAB</v>
          </cell>
          <cell r="B615">
            <v>900000</v>
          </cell>
          <cell r="C615" t="str">
            <v>CAMTEF0</v>
          </cell>
          <cell r="D615" t="str">
            <v>터파기및되메우기(줄파기)</v>
          </cell>
          <cell r="F615" t="str">
            <v>M3</v>
          </cell>
          <cell r="H615">
            <v>21.6</v>
          </cell>
          <cell r="J615">
            <v>21.6</v>
          </cell>
          <cell r="L615">
            <v>5000</v>
          </cell>
          <cell r="N615">
            <v>108000</v>
          </cell>
          <cell r="R615" t="b">
            <v>0</v>
          </cell>
        </row>
        <row r="616">
          <cell r="A616" t="str">
            <v>ANAB</v>
          </cell>
          <cell r="B616">
            <v>990000</v>
          </cell>
          <cell r="C616" t="str">
            <v>OMISC06</v>
          </cell>
          <cell r="D616" t="str">
            <v>공구손료</v>
          </cell>
          <cell r="E616" t="str">
            <v>인건비의 (3)％</v>
          </cell>
          <cell r="F616" t="str">
            <v>L/S</v>
          </cell>
          <cell r="H616">
            <v>1</v>
          </cell>
          <cell r="J616">
            <v>1</v>
          </cell>
          <cell r="L616">
            <v>3270</v>
          </cell>
          <cell r="N616">
            <v>3270</v>
          </cell>
        </row>
        <row r="617">
          <cell r="A617" t="str">
            <v>ANAC</v>
          </cell>
          <cell r="B617">
            <v>0</v>
          </cell>
          <cell r="C617" t="str">
            <v>WAANMF</v>
          </cell>
          <cell r="D617" t="str">
            <v>7-3. 기계실 소화배관공사</v>
          </cell>
        </row>
        <row r="618">
          <cell r="A618" t="str">
            <v>ANAC</v>
          </cell>
          <cell r="B618">
            <v>100</v>
          </cell>
          <cell r="C618" t="str">
            <v>MP40E00T</v>
          </cell>
          <cell r="D618" t="str">
            <v>백강관,#40,ERW</v>
          </cell>
          <cell r="E618" t="str">
            <v>20A</v>
          </cell>
          <cell r="F618" t="str">
            <v>M</v>
          </cell>
          <cell r="G618">
            <v>5</v>
          </cell>
          <cell r="H618">
            <v>1</v>
          </cell>
          <cell r="J618">
            <v>1.1000000000000001</v>
          </cell>
          <cell r="L618">
            <v>1307</v>
          </cell>
          <cell r="N618">
            <v>1438</v>
          </cell>
          <cell r="R618" t="b">
            <v>1</v>
          </cell>
        </row>
        <row r="619">
          <cell r="A619" t="str">
            <v>ANAC</v>
          </cell>
          <cell r="B619">
            <v>200</v>
          </cell>
          <cell r="C619" t="str">
            <v>MP40E01A</v>
          </cell>
          <cell r="D619" t="str">
            <v>백강관,#40,ERW</v>
          </cell>
          <cell r="E619" t="str">
            <v>25A</v>
          </cell>
          <cell r="F619" t="str">
            <v>M</v>
          </cell>
          <cell r="G619">
            <v>5</v>
          </cell>
          <cell r="H619">
            <v>11.6</v>
          </cell>
          <cell r="J619">
            <v>12.2</v>
          </cell>
          <cell r="L619">
            <v>1811</v>
          </cell>
          <cell r="N619">
            <v>22094</v>
          </cell>
          <cell r="R619" t="b">
            <v>1</v>
          </cell>
        </row>
        <row r="620">
          <cell r="A620" t="str">
            <v>ANAC</v>
          </cell>
          <cell r="B620">
            <v>300</v>
          </cell>
          <cell r="C620" t="str">
            <v>MP40E02A</v>
          </cell>
          <cell r="D620" t="str">
            <v>백강관,#40,ERW</v>
          </cell>
          <cell r="E620" t="str">
            <v>50A</v>
          </cell>
          <cell r="F620" t="str">
            <v>M</v>
          </cell>
          <cell r="G620">
            <v>5</v>
          </cell>
          <cell r="H620">
            <v>10.9</v>
          </cell>
          <cell r="J620">
            <v>11.4</v>
          </cell>
          <cell r="L620">
            <v>3864</v>
          </cell>
          <cell r="N620">
            <v>44050</v>
          </cell>
          <cell r="R620" t="b">
            <v>1</v>
          </cell>
        </row>
        <row r="621">
          <cell r="A621" t="str">
            <v>ANAC</v>
          </cell>
          <cell r="B621">
            <v>400</v>
          </cell>
          <cell r="C621" t="str">
            <v>MP40E04A</v>
          </cell>
          <cell r="D621" t="str">
            <v>백강관,#40,ERW</v>
          </cell>
          <cell r="E621" t="str">
            <v>100A</v>
          </cell>
          <cell r="F621" t="str">
            <v>M</v>
          </cell>
          <cell r="G621">
            <v>5</v>
          </cell>
          <cell r="H621">
            <v>17.8</v>
          </cell>
          <cell r="J621">
            <v>18.7</v>
          </cell>
          <cell r="L621">
            <v>11344</v>
          </cell>
          <cell r="N621">
            <v>212133</v>
          </cell>
          <cell r="R621" t="b">
            <v>1</v>
          </cell>
        </row>
        <row r="622">
          <cell r="A622" t="str">
            <v>ANAC</v>
          </cell>
          <cell r="B622">
            <v>500</v>
          </cell>
          <cell r="C622" t="str">
            <v>MP40E06A</v>
          </cell>
          <cell r="D622" t="str">
            <v>백강관,#40,ERW</v>
          </cell>
          <cell r="E622" t="str">
            <v>150A</v>
          </cell>
          <cell r="F622" t="str">
            <v>M</v>
          </cell>
          <cell r="G622">
            <v>5</v>
          </cell>
          <cell r="H622">
            <v>33.700000000000003</v>
          </cell>
          <cell r="J622">
            <v>35.4</v>
          </cell>
          <cell r="L622">
            <v>19730</v>
          </cell>
          <cell r="N622">
            <v>698442</v>
          </cell>
          <cell r="R622" t="b">
            <v>1</v>
          </cell>
        </row>
        <row r="623">
          <cell r="A623" t="str">
            <v>ANAC</v>
          </cell>
          <cell r="B623">
            <v>600</v>
          </cell>
          <cell r="C623" t="str">
            <v>MP40E08A</v>
          </cell>
          <cell r="D623" t="str">
            <v>백강관,#40,ERW</v>
          </cell>
          <cell r="E623" t="str">
            <v>200A</v>
          </cell>
          <cell r="F623" t="str">
            <v>M</v>
          </cell>
          <cell r="G623">
            <v>5</v>
          </cell>
          <cell r="H623">
            <v>12.7</v>
          </cell>
          <cell r="J623">
            <v>13.3</v>
          </cell>
          <cell r="L623">
            <v>29819</v>
          </cell>
          <cell r="N623">
            <v>396593</v>
          </cell>
          <cell r="R623" t="b">
            <v>1</v>
          </cell>
        </row>
        <row r="624">
          <cell r="A624" t="str">
            <v>ANAC</v>
          </cell>
          <cell r="B624">
            <v>601</v>
          </cell>
          <cell r="C624" t="str">
            <v>OMIPMP40</v>
          </cell>
          <cell r="D624" t="str">
            <v>관 부속</v>
          </cell>
          <cell r="E624" t="str">
            <v>관의 (45)％</v>
          </cell>
          <cell r="F624" t="str">
            <v>L/S</v>
          </cell>
          <cell r="H624">
            <v>1</v>
          </cell>
          <cell r="J624">
            <v>1</v>
          </cell>
          <cell r="L624">
            <v>618956</v>
          </cell>
          <cell r="N624">
            <v>618956</v>
          </cell>
        </row>
        <row r="625">
          <cell r="A625" t="str">
            <v>ANAC</v>
          </cell>
          <cell r="B625">
            <v>602</v>
          </cell>
          <cell r="C625" t="str">
            <v>OMIHMP40</v>
          </cell>
          <cell r="D625" t="str">
            <v>행거 및 용접봉</v>
          </cell>
          <cell r="E625" t="str">
            <v>관의 (20)％</v>
          </cell>
          <cell r="F625" t="str">
            <v>L/S</v>
          </cell>
          <cell r="H625">
            <v>1</v>
          </cell>
          <cell r="J625">
            <v>1</v>
          </cell>
          <cell r="L625">
            <v>275091</v>
          </cell>
          <cell r="N625">
            <v>275091</v>
          </cell>
        </row>
        <row r="626">
          <cell r="A626" t="str">
            <v>ANAC</v>
          </cell>
          <cell r="B626">
            <v>700</v>
          </cell>
          <cell r="C626" t="str">
            <v>BIPY125A</v>
          </cell>
          <cell r="D626" t="str">
            <v>관보온 노출,유리솜,IPP</v>
          </cell>
          <cell r="E626" t="str">
            <v>25T* 25A</v>
          </cell>
          <cell r="F626" t="str">
            <v>M</v>
          </cell>
          <cell r="H626">
            <v>11.6</v>
          </cell>
          <cell r="J626">
            <v>11.6</v>
          </cell>
          <cell r="L626">
            <v>1542</v>
          </cell>
          <cell r="N626">
            <v>17887</v>
          </cell>
          <cell r="R626" t="b">
            <v>0</v>
          </cell>
        </row>
        <row r="627">
          <cell r="A627" t="str">
            <v>ANAC</v>
          </cell>
          <cell r="B627">
            <v>800</v>
          </cell>
          <cell r="C627" t="str">
            <v>BIPY150A</v>
          </cell>
          <cell r="D627" t="str">
            <v>관보온 노출,유리솜,IPP</v>
          </cell>
          <cell r="E627" t="str">
            <v>25T*50A</v>
          </cell>
          <cell r="F627" t="str">
            <v>M</v>
          </cell>
          <cell r="H627">
            <v>10.9</v>
          </cell>
          <cell r="J627">
            <v>10.9</v>
          </cell>
          <cell r="L627">
            <v>2268</v>
          </cell>
          <cell r="N627">
            <v>24721</v>
          </cell>
          <cell r="R627" t="b">
            <v>0</v>
          </cell>
        </row>
        <row r="628">
          <cell r="A628" t="str">
            <v>ANAC</v>
          </cell>
          <cell r="B628">
            <v>900</v>
          </cell>
          <cell r="C628" t="str">
            <v>BIPY2A0A</v>
          </cell>
          <cell r="D628" t="str">
            <v>관보온 노출,유리솜,IPP</v>
          </cell>
          <cell r="E628" t="str">
            <v>40T*100A</v>
          </cell>
          <cell r="F628" t="str">
            <v>M</v>
          </cell>
          <cell r="H628">
            <v>17.8</v>
          </cell>
          <cell r="J628">
            <v>17.8</v>
          </cell>
          <cell r="L628">
            <v>5554</v>
          </cell>
          <cell r="N628">
            <v>98861</v>
          </cell>
          <cell r="R628" t="b">
            <v>0</v>
          </cell>
        </row>
        <row r="629">
          <cell r="A629" t="str">
            <v>ANAC</v>
          </cell>
          <cell r="B629">
            <v>1000</v>
          </cell>
          <cell r="C629" t="str">
            <v>BIPY2C0A</v>
          </cell>
          <cell r="D629" t="str">
            <v>관보온 노출,유리솜,IPP</v>
          </cell>
          <cell r="E629" t="str">
            <v>40T*150A</v>
          </cell>
          <cell r="F629" t="str">
            <v>M</v>
          </cell>
          <cell r="H629">
            <v>33.700000000000003</v>
          </cell>
          <cell r="J629">
            <v>33.700000000000003</v>
          </cell>
          <cell r="L629">
            <v>7712</v>
          </cell>
          <cell r="N629">
            <v>259894</v>
          </cell>
          <cell r="R629" t="b">
            <v>0</v>
          </cell>
        </row>
        <row r="630">
          <cell r="A630" t="str">
            <v>ANAC</v>
          </cell>
          <cell r="B630">
            <v>1100</v>
          </cell>
          <cell r="C630" t="str">
            <v>BIPY2E0A</v>
          </cell>
          <cell r="D630" t="str">
            <v>관보온 노출,유리솜,IPP</v>
          </cell>
          <cell r="E630" t="str">
            <v>40T*200A</v>
          </cell>
          <cell r="F630" t="str">
            <v>M</v>
          </cell>
          <cell r="H630">
            <v>12.7</v>
          </cell>
          <cell r="J630">
            <v>12.7</v>
          </cell>
          <cell r="L630">
            <v>9082</v>
          </cell>
          <cell r="N630">
            <v>115341</v>
          </cell>
          <cell r="R630" t="b">
            <v>0</v>
          </cell>
        </row>
        <row r="631">
          <cell r="A631" t="str">
            <v>ANAC</v>
          </cell>
          <cell r="B631">
            <v>1200</v>
          </cell>
          <cell r="C631" t="str">
            <v>MVAA111A</v>
          </cell>
          <cell r="D631" t="str">
            <v>게이트밸브(청동)</v>
          </cell>
          <cell r="E631" t="str">
            <v>10K  25A</v>
          </cell>
          <cell r="F631" t="str">
            <v>EA</v>
          </cell>
          <cell r="G631">
            <v>0</v>
          </cell>
          <cell r="H631">
            <v>4</v>
          </cell>
          <cell r="J631">
            <v>4</v>
          </cell>
          <cell r="L631">
            <v>8052</v>
          </cell>
          <cell r="N631">
            <v>32208</v>
          </cell>
          <cell r="R631" t="b">
            <v>0</v>
          </cell>
        </row>
        <row r="632">
          <cell r="A632" t="str">
            <v>ANAC</v>
          </cell>
          <cell r="B632">
            <v>1300</v>
          </cell>
          <cell r="C632" t="str">
            <v>MVAA112A</v>
          </cell>
          <cell r="D632" t="str">
            <v>게이트밸브(청동)</v>
          </cell>
          <cell r="E632" t="str">
            <v>10K  50A</v>
          </cell>
          <cell r="F632" t="str">
            <v>EA</v>
          </cell>
          <cell r="G632">
            <v>0</v>
          </cell>
          <cell r="H632">
            <v>1</v>
          </cell>
          <cell r="J632">
            <v>1</v>
          </cell>
          <cell r="L632">
            <v>23665</v>
          </cell>
          <cell r="N632">
            <v>23665</v>
          </cell>
          <cell r="R632" t="b">
            <v>0</v>
          </cell>
        </row>
        <row r="633">
          <cell r="A633" t="str">
            <v>ANAC</v>
          </cell>
          <cell r="B633">
            <v>1400</v>
          </cell>
          <cell r="C633" t="str">
            <v>TMYYS010</v>
          </cell>
          <cell r="D633" t="str">
            <v>게이트밸브(바깥나사)</v>
          </cell>
          <cell r="E633" t="str">
            <v>10K  40A</v>
          </cell>
          <cell r="F633" t="str">
            <v>EA</v>
          </cell>
          <cell r="G633">
            <v>0</v>
          </cell>
          <cell r="H633">
            <v>2</v>
          </cell>
          <cell r="J633">
            <v>2</v>
          </cell>
          <cell r="L633">
            <v>45000</v>
          </cell>
          <cell r="N633">
            <v>90000</v>
          </cell>
          <cell r="R633" t="b">
            <v>0</v>
          </cell>
        </row>
        <row r="634">
          <cell r="A634" t="str">
            <v>ANAC</v>
          </cell>
          <cell r="B634">
            <v>1500</v>
          </cell>
          <cell r="C634" t="str">
            <v>MVAF412A</v>
          </cell>
          <cell r="D634" t="str">
            <v>게이트밸브(바깥나사)</v>
          </cell>
          <cell r="E634" t="str">
            <v>10K  50A</v>
          </cell>
          <cell r="F634" t="str">
            <v>EA</v>
          </cell>
          <cell r="G634">
            <v>0</v>
          </cell>
          <cell r="H634">
            <v>4</v>
          </cell>
          <cell r="J634">
            <v>4</v>
          </cell>
          <cell r="L634">
            <v>49400</v>
          </cell>
          <cell r="N634">
            <v>197600</v>
          </cell>
          <cell r="R634" t="b">
            <v>0</v>
          </cell>
        </row>
        <row r="635">
          <cell r="A635" t="str">
            <v>ANAC</v>
          </cell>
          <cell r="B635">
            <v>1600</v>
          </cell>
          <cell r="C635" t="str">
            <v>MVAF414A</v>
          </cell>
          <cell r="D635" t="str">
            <v>게이트밸브(바깥나사)</v>
          </cell>
          <cell r="E635" t="str">
            <v>10K 100A</v>
          </cell>
          <cell r="F635" t="str">
            <v>EA</v>
          </cell>
          <cell r="G635">
            <v>0</v>
          </cell>
          <cell r="H635">
            <v>3</v>
          </cell>
          <cell r="J635">
            <v>3</v>
          </cell>
          <cell r="L635">
            <v>78000</v>
          </cell>
          <cell r="N635">
            <v>234000</v>
          </cell>
          <cell r="R635" t="b">
            <v>0</v>
          </cell>
        </row>
        <row r="636">
          <cell r="A636" t="str">
            <v>ANAC</v>
          </cell>
          <cell r="B636">
            <v>1700</v>
          </cell>
          <cell r="C636" t="str">
            <v>MVAF416A</v>
          </cell>
          <cell r="D636" t="str">
            <v>게이트밸브(바깥나사)</v>
          </cell>
          <cell r="E636" t="str">
            <v>10K 150A</v>
          </cell>
          <cell r="F636" t="str">
            <v>EA</v>
          </cell>
          <cell r="G636">
            <v>0</v>
          </cell>
          <cell r="H636">
            <v>5</v>
          </cell>
          <cell r="J636">
            <v>5</v>
          </cell>
          <cell r="L636">
            <v>143000</v>
          </cell>
          <cell r="N636">
            <v>715000</v>
          </cell>
          <cell r="R636" t="b">
            <v>0</v>
          </cell>
        </row>
        <row r="637">
          <cell r="A637" t="str">
            <v>ANAC</v>
          </cell>
          <cell r="B637">
            <v>1800</v>
          </cell>
          <cell r="C637" t="str">
            <v>MVAF418A</v>
          </cell>
          <cell r="D637" t="str">
            <v>게이트밸브(바깥나사)</v>
          </cell>
          <cell r="E637" t="str">
            <v>10K 200A</v>
          </cell>
          <cell r="F637" t="str">
            <v>EA</v>
          </cell>
          <cell r="G637">
            <v>0</v>
          </cell>
          <cell r="H637">
            <v>1</v>
          </cell>
          <cell r="J637">
            <v>1</v>
          </cell>
          <cell r="L637">
            <v>227500</v>
          </cell>
          <cell r="N637">
            <v>227500</v>
          </cell>
          <cell r="R637" t="b">
            <v>0</v>
          </cell>
        </row>
        <row r="638">
          <cell r="A638" t="str">
            <v>ANAC</v>
          </cell>
          <cell r="B638">
            <v>1900</v>
          </cell>
          <cell r="C638" t="str">
            <v>MVAJ214A</v>
          </cell>
          <cell r="D638" t="str">
            <v>글로브밸브(주철)</v>
          </cell>
          <cell r="E638" t="str">
            <v>10K 100A</v>
          </cell>
          <cell r="F638" t="str">
            <v>EA</v>
          </cell>
          <cell r="G638">
            <v>0</v>
          </cell>
          <cell r="H638">
            <v>1</v>
          </cell>
          <cell r="J638">
            <v>1</v>
          </cell>
          <cell r="L638">
            <v>104000</v>
          </cell>
          <cell r="N638">
            <v>104000</v>
          </cell>
          <cell r="R638" t="b">
            <v>0</v>
          </cell>
        </row>
        <row r="639">
          <cell r="A639" t="str">
            <v>ANAC</v>
          </cell>
          <cell r="B639">
            <v>2000</v>
          </cell>
          <cell r="C639" t="str">
            <v>MVAJ216A</v>
          </cell>
          <cell r="D639" t="str">
            <v>글로브밸브(주철)</v>
          </cell>
          <cell r="E639" t="str">
            <v>10K 150A</v>
          </cell>
          <cell r="F639" t="str">
            <v>EA</v>
          </cell>
          <cell r="G639">
            <v>0</v>
          </cell>
          <cell r="H639">
            <v>1</v>
          </cell>
          <cell r="J639">
            <v>1</v>
          </cell>
          <cell r="L639">
            <v>214500</v>
          </cell>
          <cell r="N639">
            <v>214500</v>
          </cell>
          <cell r="R639" t="b">
            <v>0</v>
          </cell>
        </row>
        <row r="640">
          <cell r="A640" t="str">
            <v>ANAC</v>
          </cell>
          <cell r="B640">
            <v>2100</v>
          </cell>
          <cell r="C640" t="str">
            <v>MVAO110T</v>
          </cell>
          <cell r="D640" t="str">
            <v>볼밸브(황동)</v>
          </cell>
          <cell r="E640" t="str">
            <v>10K  20A</v>
          </cell>
          <cell r="F640" t="str">
            <v>EA</v>
          </cell>
          <cell r="G640">
            <v>0</v>
          </cell>
          <cell r="H640">
            <v>2</v>
          </cell>
          <cell r="J640">
            <v>2</v>
          </cell>
          <cell r="L640">
            <v>2450</v>
          </cell>
          <cell r="N640">
            <v>4900</v>
          </cell>
          <cell r="R640" t="b">
            <v>0</v>
          </cell>
        </row>
        <row r="641">
          <cell r="A641" t="str">
            <v>ANAC</v>
          </cell>
          <cell r="B641">
            <v>2200</v>
          </cell>
          <cell r="C641" t="str">
            <v>MVBDB12A</v>
          </cell>
          <cell r="D641" t="str">
            <v>체크밸브(주철,스모렌스키)</v>
          </cell>
          <cell r="E641" t="str">
            <v>10K  50A</v>
          </cell>
          <cell r="F641" t="str">
            <v>EA</v>
          </cell>
          <cell r="G641">
            <v>0</v>
          </cell>
          <cell r="H641">
            <v>2</v>
          </cell>
          <cell r="J641">
            <v>2</v>
          </cell>
          <cell r="L641">
            <v>49000</v>
          </cell>
          <cell r="N641">
            <v>98000</v>
          </cell>
          <cell r="R641" t="b">
            <v>0</v>
          </cell>
        </row>
        <row r="642">
          <cell r="A642" t="str">
            <v>ANAC</v>
          </cell>
          <cell r="B642">
            <v>2300</v>
          </cell>
          <cell r="C642" t="str">
            <v>MVBDB14A</v>
          </cell>
          <cell r="D642" t="str">
            <v>체크밸브(주철,스모렌스키)</v>
          </cell>
          <cell r="E642" t="str">
            <v>10K 100A</v>
          </cell>
          <cell r="F642" t="str">
            <v>EA</v>
          </cell>
          <cell r="G642">
            <v>0</v>
          </cell>
          <cell r="H642">
            <v>1</v>
          </cell>
          <cell r="J642">
            <v>1</v>
          </cell>
          <cell r="L642">
            <v>77000</v>
          </cell>
          <cell r="N642">
            <v>77000</v>
          </cell>
          <cell r="R642" t="b">
            <v>0</v>
          </cell>
        </row>
        <row r="643">
          <cell r="A643" t="str">
            <v>ANAC</v>
          </cell>
          <cell r="B643">
            <v>2400</v>
          </cell>
          <cell r="C643" t="str">
            <v>MVBDB16A</v>
          </cell>
          <cell r="D643" t="str">
            <v>체크밸브(주철,스모렌스키)</v>
          </cell>
          <cell r="E643" t="str">
            <v>10K 150A</v>
          </cell>
          <cell r="F643" t="str">
            <v>EA</v>
          </cell>
          <cell r="G643">
            <v>0</v>
          </cell>
          <cell r="H643">
            <v>1</v>
          </cell>
          <cell r="J643">
            <v>1</v>
          </cell>
          <cell r="L643">
            <v>210000</v>
          </cell>
          <cell r="N643">
            <v>210000</v>
          </cell>
          <cell r="R643" t="b">
            <v>0</v>
          </cell>
        </row>
        <row r="644">
          <cell r="A644" t="str">
            <v>ANAC</v>
          </cell>
          <cell r="B644">
            <v>2500</v>
          </cell>
          <cell r="C644" t="str">
            <v>MVBJ112A</v>
          </cell>
          <cell r="D644" t="str">
            <v>스트레나(청동,나사)</v>
          </cell>
          <cell r="E644" t="str">
            <v>10K  50A</v>
          </cell>
          <cell r="F644" t="str">
            <v>EA</v>
          </cell>
          <cell r="G644">
            <v>0</v>
          </cell>
          <cell r="H644">
            <v>2</v>
          </cell>
          <cell r="J644">
            <v>2</v>
          </cell>
          <cell r="L644">
            <v>24500</v>
          </cell>
          <cell r="N644">
            <v>49000</v>
          </cell>
          <cell r="R644" t="b">
            <v>0</v>
          </cell>
        </row>
        <row r="645">
          <cell r="A645" t="str">
            <v>ANAC</v>
          </cell>
          <cell r="B645">
            <v>2600</v>
          </cell>
          <cell r="C645" t="str">
            <v>MVBL214A</v>
          </cell>
          <cell r="D645" t="str">
            <v>스트레나(주철,후렌지)</v>
          </cell>
          <cell r="E645" t="str">
            <v>10K 100A</v>
          </cell>
          <cell r="F645" t="str">
            <v>EA</v>
          </cell>
          <cell r="G645">
            <v>0</v>
          </cell>
          <cell r="H645">
            <v>1</v>
          </cell>
          <cell r="J645">
            <v>1</v>
          </cell>
          <cell r="L645">
            <v>56000</v>
          </cell>
          <cell r="N645">
            <v>56000</v>
          </cell>
          <cell r="R645" t="b">
            <v>0</v>
          </cell>
        </row>
        <row r="646">
          <cell r="A646" t="str">
            <v>ANAC</v>
          </cell>
          <cell r="B646">
            <v>2700</v>
          </cell>
          <cell r="C646" t="str">
            <v>MVBL216A</v>
          </cell>
          <cell r="D646" t="str">
            <v>스트레나(주철,후렌지)</v>
          </cell>
          <cell r="E646" t="str">
            <v>10K 150A</v>
          </cell>
          <cell r="F646" t="str">
            <v>EA</v>
          </cell>
          <cell r="G646">
            <v>0</v>
          </cell>
          <cell r="H646">
            <v>1</v>
          </cell>
          <cell r="J646">
            <v>1</v>
          </cell>
          <cell r="L646">
            <v>115500</v>
          </cell>
          <cell r="N646">
            <v>115500</v>
          </cell>
          <cell r="R646" t="b">
            <v>0</v>
          </cell>
        </row>
        <row r="647">
          <cell r="A647" t="str">
            <v>ANAC</v>
          </cell>
          <cell r="B647">
            <v>2800</v>
          </cell>
          <cell r="C647" t="str">
            <v>MVCCA11A</v>
          </cell>
          <cell r="D647" t="str">
            <v>안전밸브(저양정식)</v>
          </cell>
          <cell r="E647" t="str">
            <v>10K  25A</v>
          </cell>
          <cell r="F647" t="str">
            <v>EA</v>
          </cell>
          <cell r="G647">
            <v>0</v>
          </cell>
          <cell r="H647">
            <v>4</v>
          </cell>
          <cell r="J647">
            <v>4</v>
          </cell>
          <cell r="L647">
            <v>35700</v>
          </cell>
          <cell r="N647">
            <v>142800</v>
          </cell>
          <cell r="R647" t="b">
            <v>0</v>
          </cell>
        </row>
        <row r="648">
          <cell r="A648" t="str">
            <v>ANAC</v>
          </cell>
          <cell r="B648">
            <v>2900</v>
          </cell>
          <cell r="C648" t="str">
            <v>MVCFCGP1</v>
          </cell>
          <cell r="D648" t="str">
            <v>압력계</v>
          </cell>
          <cell r="F648" t="str">
            <v>SET</v>
          </cell>
          <cell r="G648">
            <v>0</v>
          </cell>
          <cell r="H648">
            <v>6</v>
          </cell>
          <cell r="J648">
            <v>6</v>
          </cell>
          <cell r="L648">
            <v>8300</v>
          </cell>
          <cell r="N648">
            <v>49800</v>
          </cell>
          <cell r="R648" t="b">
            <v>0</v>
          </cell>
        </row>
        <row r="649">
          <cell r="A649" t="str">
            <v>ANAC</v>
          </cell>
          <cell r="B649">
            <v>3000</v>
          </cell>
          <cell r="C649" t="str">
            <v>MVFFS12A</v>
          </cell>
          <cell r="D649" t="str">
            <v>플렉시블 코넥터(SUS)</v>
          </cell>
          <cell r="E649" t="str">
            <v>10k  50A</v>
          </cell>
          <cell r="F649" t="str">
            <v>EA</v>
          </cell>
          <cell r="G649">
            <v>0</v>
          </cell>
          <cell r="H649">
            <v>2</v>
          </cell>
          <cell r="J649">
            <v>2</v>
          </cell>
          <cell r="L649">
            <v>38500</v>
          </cell>
          <cell r="N649">
            <v>77000</v>
          </cell>
          <cell r="R649" t="b">
            <v>0</v>
          </cell>
        </row>
        <row r="650">
          <cell r="A650" t="str">
            <v>ANAC</v>
          </cell>
          <cell r="B650">
            <v>3100</v>
          </cell>
          <cell r="C650" t="str">
            <v>MVFFS14A</v>
          </cell>
          <cell r="D650" t="str">
            <v>플렉시블 코넥터(SUS)</v>
          </cell>
          <cell r="E650" t="str">
            <v>10k 100A</v>
          </cell>
          <cell r="F650" t="str">
            <v>EA</v>
          </cell>
          <cell r="G650">
            <v>0</v>
          </cell>
          <cell r="H650">
            <v>2</v>
          </cell>
          <cell r="J650">
            <v>2</v>
          </cell>
          <cell r="L650">
            <v>64400</v>
          </cell>
          <cell r="N650">
            <v>128800</v>
          </cell>
          <cell r="R650" t="b">
            <v>0</v>
          </cell>
        </row>
        <row r="651">
          <cell r="A651" t="str">
            <v>ANAC</v>
          </cell>
          <cell r="B651">
            <v>3200</v>
          </cell>
          <cell r="C651" t="str">
            <v>MVFFS16A</v>
          </cell>
          <cell r="D651" t="str">
            <v>플렉시블 코넥터(SUS)</v>
          </cell>
          <cell r="E651" t="str">
            <v>10k 150A</v>
          </cell>
          <cell r="F651" t="str">
            <v>EA</v>
          </cell>
          <cell r="G651">
            <v>0</v>
          </cell>
          <cell r="H651">
            <v>2</v>
          </cell>
          <cell r="J651">
            <v>2</v>
          </cell>
          <cell r="L651">
            <v>109900</v>
          </cell>
          <cell r="N651">
            <v>219800</v>
          </cell>
          <cell r="R651" t="b">
            <v>0</v>
          </cell>
        </row>
        <row r="652">
          <cell r="A652" t="str">
            <v>ANAC</v>
          </cell>
          <cell r="B652">
            <v>3300</v>
          </cell>
          <cell r="C652" t="str">
            <v>MFEHPI4A</v>
          </cell>
          <cell r="D652" t="str">
            <v>순간유량계(대흥)</v>
          </cell>
          <cell r="E652" t="str">
            <v>100A</v>
          </cell>
          <cell r="F652" t="str">
            <v>EA</v>
          </cell>
          <cell r="G652">
            <v>0</v>
          </cell>
          <cell r="H652">
            <v>1</v>
          </cell>
          <cell r="J652">
            <v>1</v>
          </cell>
          <cell r="L652">
            <v>58000</v>
          </cell>
          <cell r="N652">
            <v>58000</v>
          </cell>
          <cell r="R652" t="b">
            <v>0</v>
          </cell>
        </row>
        <row r="653">
          <cell r="A653" t="str">
            <v>ANAC</v>
          </cell>
          <cell r="B653">
            <v>3400</v>
          </cell>
          <cell r="C653" t="str">
            <v>MFEHPI6A</v>
          </cell>
          <cell r="D653" t="str">
            <v>순간유량계(대흥)</v>
          </cell>
          <cell r="E653" t="str">
            <v>150A</v>
          </cell>
          <cell r="F653" t="str">
            <v>EA</v>
          </cell>
          <cell r="G653">
            <v>0</v>
          </cell>
          <cell r="H653">
            <v>1</v>
          </cell>
          <cell r="J653">
            <v>1</v>
          </cell>
          <cell r="L653">
            <v>70000</v>
          </cell>
          <cell r="N653">
            <v>70000</v>
          </cell>
          <cell r="R653" t="b">
            <v>0</v>
          </cell>
        </row>
        <row r="654">
          <cell r="A654" t="str">
            <v>ANAC</v>
          </cell>
          <cell r="B654">
            <v>3500</v>
          </cell>
          <cell r="C654" t="str">
            <v>MFEHPS8A</v>
          </cell>
          <cell r="D654" t="str">
            <v>동망,소화용</v>
          </cell>
          <cell r="E654" t="str">
            <v>200A</v>
          </cell>
          <cell r="F654" t="str">
            <v>EA</v>
          </cell>
          <cell r="G654">
            <v>0</v>
          </cell>
          <cell r="H654">
            <v>1</v>
          </cell>
          <cell r="J654">
            <v>1</v>
          </cell>
          <cell r="L654">
            <v>20000</v>
          </cell>
          <cell r="N654">
            <v>20000</v>
          </cell>
          <cell r="R654" t="b">
            <v>0</v>
          </cell>
        </row>
        <row r="655">
          <cell r="A655" t="str">
            <v>ANAC</v>
          </cell>
          <cell r="B655">
            <v>3600</v>
          </cell>
          <cell r="C655" t="str">
            <v>MFEHPW4A</v>
          </cell>
          <cell r="D655" t="str">
            <v>수충격방지기,소화용</v>
          </cell>
          <cell r="E655" t="str">
            <v>100A*10K</v>
          </cell>
          <cell r="F655" t="str">
            <v>EA</v>
          </cell>
          <cell r="G655">
            <v>0</v>
          </cell>
          <cell r="H655">
            <v>1</v>
          </cell>
          <cell r="J655">
            <v>1</v>
          </cell>
          <cell r="L655">
            <v>64000</v>
          </cell>
          <cell r="N655">
            <v>64000</v>
          </cell>
          <cell r="R655" t="b">
            <v>0</v>
          </cell>
        </row>
        <row r="656">
          <cell r="A656" t="str">
            <v>ANAC</v>
          </cell>
          <cell r="B656">
            <v>3700</v>
          </cell>
          <cell r="C656" t="str">
            <v>MFEHPW6A</v>
          </cell>
          <cell r="D656" t="str">
            <v>수충격방지기,소화용</v>
          </cell>
          <cell r="E656" t="str">
            <v>150A*10K</v>
          </cell>
          <cell r="F656" t="str">
            <v>EA</v>
          </cell>
          <cell r="G656">
            <v>0</v>
          </cell>
          <cell r="H656">
            <v>2</v>
          </cell>
          <cell r="J656">
            <v>2</v>
          </cell>
          <cell r="L656">
            <v>80000</v>
          </cell>
          <cell r="N656">
            <v>160000</v>
          </cell>
          <cell r="R656" t="b">
            <v>0</v>
          </cell>
        </row>
        <row r="657">
          <cell r="A657" t="str">
            <v>ANAC</v>
          </cell>
          <cell r="B657">
            <v>3800</v>
          </cell>
          <cell r="C657" t="str">
            <v>MFESVP6A</v>
          </cell>
          <cell r="D657" t="str">
            <v>프리액션 밸브</v>
          </cell>
          <cell r="E657" t="str">
            <v>150A</v>
          </cell>
          <cell r="F657" t="str">
            <v>EA</v>
          </cell>
          <cell r="G657">
            <v>0</v>
          </cell>
          <cell r="H657">
            <v>1</v>
          </cell>
          <cell r="J657">
            <v>1</v>
          </cell>
          <cell r="L657">
            <v>450000</v>
          </cell>
          <cell r="N657">
            <v>450000</v>
          </cell>
          <cell r="R657" t="b">
            <v>0</v>
          </cell>
        </row>
        <row r="658">
          <cell r="A658" t="str">
            <v>ANAC</v>
          </cell>
          <cell r="B658">
            <v>3900</v>
          </cell>
          <cell r="C658" t="str">
            <v>MFESVR02</v>
          </cell>
          <cell r="D658" t="str">
            <v>템퍼스위치(W/브라켓)</v>
          </cell>
          <cell r="F658" t="str">
            <v>EA</v>
          </cell>
          <cell r="G658">
            <v>0</v>
          </cell>
          <cell r="H658">
            <v>13</v>
          </cell>
          <cell r="J658">
            <v>13</v>
          </cell>
          <cell r="L658">
            <v>50000</v>
          </cell>
          <cell r="N658">
            <v>650000</v>
          </cell>
          <cell r="R658" t="b">
            <v>0</v>
          </cell>
        </row>
        <row r="659">
          <cell r="A659" t="str">
            <v>ANAC</v>
          </cell>
          <cell r="B659">
            <v>4000</v>
          </cell>
          <cell r="C659" t="str">
            <v>MXAPA005</v>
          </cell>
          <cell r="D659" t="str">
            <v>열선(동파방지,센서부착형)</v>
          </cell>
          <cell r="E659" t="str">
            <v>5.0M</v>
          </cell>
          <cell r="F659" t="str">
            <v>SET</v>
          </cell>
          <cell r="G659">
            <v>0</v>
          </cell>
          <cell r="H659">
            <v>1</v>
          </cell>
          <cell r="J659">
            <v>1</v>
          </cell>
          <cell r="L659">
            <v>20900</v>
          </cell>
          <cell r="N659">
            <v>20900</v>
          </cell>
          <cell r="R659" t="b">
            <v>0</v>
          </cell>
        </row>
        <row r="660">
          <cell r="A660" t="str">
            <v>ANAC</v>
          </cell>
          <cell r="B660">
            <v>4100</v>
          </cell>
          <cell r="C660" t="str">
            <v>BIV1004A</v>
          </cell>
          <cell r="D660" t="str">
            <v>밸브보온 1</v>
          </cell>
          <cell r="E660" t="str">
            <v>10K 100A</v>
          </cell>
          <cell r="F660" t="str">
            <v>EA</v>
          </cell>
          <cell r="H660">
            <v>7</v>
          </cell>
          <cell r="J660">
            <v>7</v>
          </cell>
          <cell r="L660">
            <v>25000</v>
          </cell>
          <cell r="N660">
            <v>175000</v>
          </cell>
          <cell r="R660" t="b">
            <v>0</v>
          </cell>
        </row>
        <row r="661">
          <cell r="A661" t="str">
            <v>ANAC</v>
          </cell>
          <cell r="B661">
            <v>4200</v>
          </cell>
          <cell r="C661" t="str">
            <v>BIV1006A</v>
          </cell>
          <cell r="D661" t="str">
            <v>밸브보온 1</v>
          </cell>
          <cell r="E661" t="str">
            <v>10K 150A</v>
          </cell>
          <cell r="F661" t="str">
            <v>EA</v>
          </cell>
          <cell r="H661">
            <v>8</v>
          </cell>
          <cell r="J661">
            <v>8</v>
          </cell>
          <cell r="L661">
            <v>39000</v>
          </cell>
          <cell r="N661">
            <v>312000</v>
          </cell>
          <cell r="R661" t="b">
            <v>0</v>
          </cell>
        </row>
        <row r="662">
          <cell r="A662" t="str">
            <v>ANAC</v>
          </cell>
          <cell r="B662">
            <v>4300</v>
          </cell>
          <cell r="C662" t="str">
            <v>BIV1008A</v>
          </cell>
          <cell r="D662" t="str">
            <v>밸브보온 1</v>
          </cell>
          <cell r="E662" t="str">
            <v>10K 200A</v>
          </cell>
          <cell r="F662" t="str">
            <v>EA</v>
          </cell>
          <cell r="H662">
            <v>1</v>
          </cell>
          <cell r="J662">
            <v>1</v>
          </cell>
          <cell r="L662">
            <v>46000</v>
          </cell>
          <cell r="N662">
            <v>46000</v>
          </cell>
          <cell r="R662" t="b">
            <v>0</v>
          </cell>
        </row>
        <row r="663">
          <cell r="A663" t="str">
            <v>ANAC</v>
          </cell>
          <cell r="B663">
            <v>4400</v>
          </cell>
          <cell r="C663" t="str">
            <v>BFBA102A</v>
          </cell>
          <cell r="D663" t="str">
            <v>스틸 후렌지 접합,SO</v>
          </cell>
          <cell r="E663" t="str">
            <v>10K  50A</v>
          </cell>
          <cell r="F663" t="str">
            <v>JNT</v>
          </cell>
          <cell r="H663">
            <v>8</v>
          </cell>
          <cell r="J663">
            <v>8</v>
          </cell>
          <cell r="L663">
            <v>2801</v>
          </cell>
          <cell r="N663">
            <v>22408</v>
          </cell>
          <cell r="R663" t="b">
            <v>0</v>
          </cell>
        </row>
        <row r="664">
          <cell r="A664" t="str">
            <v>ANAC</v>
          </cell>
          <cell r="B664">
            <v>4500</v>
          </cell>
          <cell r="C664" t="str">
            <v>BFBA104A</v>
          </cell>
          <cell r="D664" t="str">
            <v>스틸 후렌지 접합,SO</v>
          </cell>
          <cell r="E664" t="str">
            <v>10K 100A</v>
          </cell>
          <cell r="F664" t="str">
            <v>JNT</v>
          </cell>
          <cell r="H664">
            <v>17</v>
          </cell>
          <cell r="J664">
            <v>17</v>
          </cell>
          <cell r="L664">
            <v>4846</v>
          </cell>
          <cell r="N664">
            <v>82382</v>
          </cell>
          <cell r="R664" t="b">
            <v>0</v>
          </cell>
        </row>
        <row r="665">
          <cell r="A665" t="str">
            <v>ANAC</v>
          </cell>
          <cell r="B665">
            <v>4600</v>
          </cell>
          <cell r="C665" t="str">
            <v>BFBA106A</v>
          </cell>
          <cell r="D665" t="str">
            <v>스틸 후렌지 접합,SO</v>
          </cell>
          <cell r="E665" t="str">
            <v>10K 150A</v>
          </cell>
          <cell r="F665" t="str">
            <v>JNT</v>
          </cell>
          <cell r="H665">
            <v>24</v>
          </cell>
          <cell r="J665">
            <v>24</v>
          </cell>
          <cell r="L665">
            <v>10794</v>
          </cell>
          <cell r="N665">
            <v>259056</v>
          </cell>
          <cell r="R665" t="b">
            <v>0</v>
          </cell>
        </row>
        <row r="666">
          <cell r="A666" t="str">
            <v>ANAC</v>
          </cell>
          <cell r="B666">
            <v>4700</v>
          </cell>
          <cell r="C666" t="str">
            <v>BFBA108A</v>
          </cell>
          <cell r="D666" t="str">
            <v>스틸 후렌지 접합,SO</v>
          </cell>
          <cell r="E666" t="str">
            <v>10K 200A</v>
          </cell>
          <cell r="F666" t="str">
            <v>JNT</v>
          </cell>
          <cell r="H666">
            <v>3</v>
          </cell>
          <cell r="J666">
            <v>3</v>
          </cell>
          <cell r="L666">
            <v>14774</v>
          </cell>
          <cell r="N666">
            <v>44322</v>
          </cell>
          <cell r="R666" t="b">
            <v>0</v>
          </cell>
        </row>
        <row r="667">
          <cell r="A667" t="str">
            <v>ANAC</v>
          </cell>
          <cell r="B667">
            <v>4800</v>
          </cell>
          <cell r="C667" t="str">
            <v>BPACSP1A</v>
          </cell>
          <cell r="D667" t="str">
            <v>백강관 도장,색페인트</v>
          </cell>
          <cell r="E667" t="str">
            <v>2 COAT* 25A</v>
          </cell>
          <cell r="F667" t="str">
            <v>M</v>
          </cell>
          <cell r="H667">
            <v>4</v>
          </cell>
          <cell r="J667">
            <v>4</v>
          </cell>
          <cell r="L667">
            <v>127</v>
          </cell>
          <cell r="N667">
            <v>508</v>
          </cell>
          <cell r="R667" t="b">
            <v>0</v>
          </cell>
        </row>
        <row r="668">
          <cell r="A668" t="str">
            <v>ANAC</v>
          </cell>
          <cell r="B668">
            <v>4900</v>
          </cell>
          <cell r="C668" t="str">
            <v>BPACSP2A</v>
          </cell>
          <cell r="D668" t="str">
            <v>백강관 도장,색페인트</v>
          </cell>
          <cell r="E668" t="str">
            <v>2 COAT* 50A</v>
          </cell>
          <cell r="F668" t="str">
            <v>M</v>
          </cell>
          <cell r="H668">
            <v>1.5</v>
          </cell>
          <cell r="J668">
            <v>1.5</v>
          </cell>
          <cell r="L668">
            <v>226</v>
          </cell>
          <cell r="N668">
            <v>339</v>
          </cell>
          <cell r="R668" t="b">
            <v>0</v>
          </cell>
        </row>
        <row r="669">
          <cell r="A669" t="str">
            <v>ANAC</v>
          </cell>
          <cell r="B669">
            <v>5000</v>
          </cell>
          <cell r="C669" t="str">
            <v>BPACSP4A</v>
          </cell>
          <cell r="D669" t="str">
            <v>백강관 도장,색페인트</v>
          </cell>
          <cell r="E669" t="str">
            <v>2 COAT*100A</v>
          </cell>
          <cell r="F669" t="str">
            <v>M</v>
          </cell>
          <cell r="H669">
            <v>4</v>
          </cell>
          <cell r="J669">
            <v>4</v>
          </cell>
          <cell r="L669">
            <v>426</v>
          </cell>
          <cell r="N669">
            <v>1704</v>
          </cell>
          <cell r="R669" t="b">
            <v>0</v>
          </cell>
        </row>
        <row r="670">
          <cell r="A670" t="str">
            <v>ANAC</v>
          </cell>
          <cell r="B670">
            <v>5100</v>
          </cell>
          <cell r="C670" t="str">
            <v>BPACSP6A</v>
          </cell>
          <cell r="D670" t="str">
            <v>백강관 도장,색페인트</v>
          </cell>
          <cell r="E670" t="str">
            <v>2 COAT*150A</v>
          </cell>
          <cell r="F670" t="str">
            <v>M</v>
          </cell>
          <cell r="H670">
            <v>9</v>
          </cell>
          <cell r="J670">
            <v>9</v>
          </cell>
          <cell r="L670">
            <v>617</v>
          </cell>
          <cell r="N670">
            <v>5553</v>
          </cell>
          <cell r="R670" t="b">
            <v>0</v>
          </cell>
        </row>
        <row r="671">
          <cell r="A671" t="str">
            <v>ANAC</v>
          </cell>
          <cell r="B671">
            <v>5200</v>
          </cell>
          <cell r="C671" t="str">
            <v>BHASSL4A</v>
          </cell>
          <cell r="D671" t="str">
            <v>파이프스리브 설치</v>
          </cell>
          <cell r="E671" t="str">
            <v>100A</v>
          </cell>
          <cell r="F671" t="str">
            <v>EA</v>
          </cell>
          <cell r="H671">
            <v>1</v>
          </cell>
          <cell r="J671">
            <v>1</v>
          </cell>
          <cell r="L671">
            <v>9623</v>
          </cell>
          <cell r="N671">
            <v>9623</v>
          </cell>
          <cell r="R671" t="b">
            <v>0</v>
          </cell>
        </row>
        <row r="672">
          <cell r="A672" t="str">
            <v>ANAC</v>
          </cell>
          <cell r="B672">
            <v>5300</v>
          </cell>
          <cell r="C672" t="str">
            <v>BHASSL6A</v>
          </cell>
          <cell r="D672" t="str">
            <v>파이프스리브 설치</v>
          </cell>
          <cell r="E672" t="str">
            <v>150A</v>
          </cell>
          <cell r="F672" t="str">
            <v>EA</v>
          </cell>
          <cell r="H672">
            <v>1</v>
          </cell>
          <cell r="J672">
            <v>1</v>
          </cell>
          <cell r="L672">
            <v>21745</v>
          </cell>
          <cell r="N672">
            <v>21745</v>
          </cell>
          <cell r="R672" t="b">
            <v>0</v>
          </cell>
        </row>
        <row r="673">
          <cell r="A673" t="str">
            <v>ANAC</v>
          </cell>
          <cell r="B673">
            <v>5400</v>
          </cell>
          <cell r="C673" t="str">
            <v>BHASSL8A</v>
          </cell>
          <cell r="D673" t="str">
            <v>파이프스리브 설치</v>
          </cell>
          <cell r="E673" t="str">
            <v>200A</v>
          </cell>
          <cell r="F673" t="str">
            <v>EA</v>
          </cell>
          <cell r="H673">
            <v>1</v>
          </cell>
          <cell r="J673">
            <v>1</v>
          </cell>
          <cell r="L673">
            <v>39959</v>
          </cell>
          <cell r="N673">
            <v>39959</v>
          </cell>
          <cell r="R673" t="b">
            <v>0</v>
          </cell>
        </row>
        <row r="674">
          <cell r="A674" t="str">
            <v>ANAC</v>
          </cell>
          <cell r="B674">
            <v>5500</v>
          </cell>
          <cell r="C674" t="str">
            <v>BXAAA200</v>
          </cell>
          <cell r="D674" t="str">
            <v>강관스리브(지수판)</v>
          </cell>
          <cell r="E674" t="str">
            <v>200A</v>
          </cell>
          <cell r="F674" t="str">
            <v>개소</v>
          </cell>
          <cell r="H674">
            <v>1</v>
          </cell>
          <cell r="J674">
            <v>1</v>
          </cell>
          <cell r="L674">
            <v>72994</v>
          </cell>
          <cell r="N674">
            <v>72994</v>
          </cell>
          <cell r="R674" t="b">
            <v>0</v>
          </cell>
        </row>
        <row r="675">
          <cell r="A675" t="str">
            <v>ANAC</v>
          </cell>
          <cell r="B675">
            <v>810000</v>
          </cell>
          <cell r="C675" t="str">
            <v>OMISC03</v>
          </cell>
          <cell r="D675" t="str">
            <v>잡자재비</v>
          </cell>
          <cell r="E675" t="str">
            <v>관의 (3)％</v>
          </cell>
          <cell r="F675" t="str">
            <v>L/S</v>
          </cell>
          <cell r="H675">
            <v>1</v>
          </cell>
          <cell r="J675">
            <v>1</v>
          </cell>
          <cell r="L675">
            <v>41933</v>
          </cell>
          <cell r="N675">
            <v>41933</v>
          </cell>
        </row>
        <row r="676">
          <cell r="A676" t="str">
            <v>ANAC</v>
          </cell>
          <cell r="B676">
            <v>850000</v>
          </cell>
          <cell r="C676" t="str">
            <v>LSPWKR</v>
          </cell>
          <cell r="D676" t="str">
            <v>특별인부</v>
          </cell>
          <cell r="F676" t="str">
            <v>M/D</v>
          </cell>
          <cell r="H676">
            <v>1.7</v>
          </cell>
          <cell r="J676">
            <v>1.7</v>
          </cell>
          <cell r="L676">
            <v>31200</v>
          </cell>
          <cell r="N676">
            <v>53040</v>
          </cell>
        </row>
        <row r="677">
          <cell r="A677" t="str">
            <v>ANAC</v>
          </cell>
          <cell r="B677">
            <v>850000</v>
          </cell>
          <cell r="C677" t="str">
            <v>LINSUL</v>
          </cell>
          <cell r="D677" t="str">
            <v>보온공</v>
          </cell>
          <cell r="F677" t="str">
            <v>M/D</v>
          </cell>
          <cell r="H677">
            <v>7.8</v>
          </cell>
          <cell r="J677">
            <v>7.8</v>
          </cell>
          <cell r="L677">
            <v>30900</v>
          </cell>
          <cell r="N677">
            <v>241020</v>
          </cell>
        </row>
        <row r="678">
          <cell r="A678" t="str">
            <v>ANAC</v>
          </cell>
          <cell r="B678">
            <v>850000</v>
          </cell>
          <cell r="C678" t="str">
            <v>LPAINT</v>
          </cell>
          <cell r="D678" t="str">
            <v>도장공</v>
          </cell>
          <cell r="F678" t="str">
            <v>M/D</v>
          </cell>
          <cell r="H678">
            <v>0.4</v>
          </cell>
          <cell r="J678">
            <v>0.4</v>
          </cell>
          <cell r="L678">
            <v>38200</v>
          </cell>
          <cell r="N678">
            <v>15280</v>
          </cell>
        </row>
        <row r="679">
          <cell r="A679" t="str">
            <v>ANAC</v>
          </cell>
          <cell r="B679">
            <v>850000</v>
          </cell>
          <cell r="C679" t="str">
            <v>LHELPR</v>
          </cell>
          <cell r="D679" t="str">
            <v>보통인부</v>
          </cell>
          <cell r="F679" t="str">
            <v>M/D</v>
          </cell>
          <cell r="H679">
            <v>7.3</v>
          </cell>
          <cell r="J679">
            <v>7.3</v>
          </cell>
          <cell r="L679">
            <v>22300</v>
          </cell>
          <cell r="N679">
            <v>162790</v>
          </cell>
        </row>
        <row r="680">
          <cell r="A680" t="str">
            <v>ANAC</v>
          </cell>
          <cell r="B680">
            <v>850000</v>
          </cell>
          <cell r="C680" t="str">
            <v>LPIPEG</v>
          </cell>
          <cell r="D680" t="str">
            <v>배관공</v>
          </cell>
          <cell r="F680" t="str">
            <v>M/D</v>
          </cell>
          <cell r="H680">
            <v>32.299999999999997</v>
          </cell>
          <cell r="J680">
            <v>32.299999999999997</v>
          </cell>
          <cell r="L680">
            <v>34400</v>
          </cell>
          <cell r="N680">
            <v>1111120</v>
          </cell>
        </row>
        <row r="681">
          <cell r="A681" t="str">
            <v>ANAC</v>
          </cell>
          <cell r="B681">
            <v>990000</v>
          </cell>
          <cell r="C681" t="str">
            <v>OMISC06</v>
          </cell>
          <cell r="D681" t="str">
            <v>공구손료</v>
          </cell>
          <cell r="E681" t="str">
            <v>인건비의 (3)％</v>
          </cell>
          <cell r="F681" t="str">
            <v>L/S</v>
          </cell>
          <cell r="H681">
            <v>1</v>
          </cell>
          <cell r="J681">
            <v>1</v>
          </cell>
          <cell r="L681">
            <v>47750</v>
          </cell>
          <cell r="N681">
            <v>47750</v>
          </cell>
        </row>
        <row r="682">
          <cell r="A682" t="str">
            <v>ANAD</v>
          </cell>
          <cell r="B682">
            <v>0</v>
          </cell>
          <cell r="C682" t="str">
            <v>WAANSR</v>
          </cell>
          <cell r="D682" t="str">
            <v>7-4. 옥내소화전 배관공사</v>
          </cell>
        </row>
        <row r="683">
          <cell r="A683" t="str">
            <v>ANAD</v>
          </cell>
          <cell r="B683">
            <v>100</v>
          </cell>
          <cell r="C683" t="str">
            <v>MP40E00T</v>
          </cell>
          <cell r="D683" t="str">
            <v>백강관,#40,ERW</v>
          </cell>
          <cell r="E683" t="str">
            <v>20A</v>
          </cell>
          <cell r="F683" t="str">
            <v>M</v>
          </cell>
          <cell r="G683">
            <v>5</v>
          </cell>
          <cell r="H683">
            <v>4.5999999999999996</v>
          </cell>
          <cell r="J683">
            <v>4.8</v>
          </cell>
          <cell r="L683">
            <v>1307</v>
          </cell>
          <cell r="N683">
            <v>6274</v>
          </cell>
          <cell r="R683" t="b">
            <v>1</v>
          </cell>
        </row>
        <row r="684">
          <cell r="A684" t="str">
            <v>ANAD</v>
          </cell>
          <cell r="B684">
            <v>200</v>
          </cell>
          <cell r="C684" t="str">
            <v>MP40E01H</v>
          </cell>
          <cell r="D684" t="str">
            <v>백강관,#40,ERW</v>
          </cell>
          <cell r="E684" t="str">
            <v>40A</v>
          </cell>
          <cell r="F684" t="str">
            <v>M</v>
          </cell>
          <cell r="G684">
            <v>5</v>
          </cell>
          <cell r="H684">
            <v>15</v>
          </cell>
          <cell r="J684">
            <v>15.8</v>
          </cell>
          <cell r="L684">
            <v>2890</v>
          </cell>
          <cell r="N684">
            <v>45662</v>
          </cell>
          <cell r="R684" t="b">
            <v>1</v>
          </cell>
        </row>
        <row r="685">
          <cell r="A685" t="str">
            <v>ANAD</v>
          </cell>
          <cell r="B685">
            <v>300</v>
          </cell>
          <cell r="C685" t="str">
            <v>MP40E02H</v>
          </cell>
          <cell r="D685" t="str">
            <v>백강관,#40,ERW</v>
          </cell>
          <cell r="E685" t="str">
            <v>65A</v>
          </cell>
          <cell r="F685" t="str">
            <v>M</v>
          </cell>
          <cell r="G685">
            <v>5</v>
          </cell>
          <cell r="H685">
            <v>26.2</v>
          </cell>
          <cell r="J685">
            <v>27.5</v>
          </cell>
          <cell r="L685">
            <v>6369</v>
          </cell>
          <cell r="N685">
            <v>175148</v>
          </cell>
          <cell r="R685" t="b">
            <v>1</v>
          </cell>
        </row>
        <row r="686">
          <cell r="A686" t="str">
            <v>ANAD</v>
          </cell>
          <cell r="B686">
            <v>400</v>
          </cell>
          <cell r="C686" t="str">
            <v>MP40E04A</v>
          </cell>
          <cell r="D686" t="str">
            <v>백강관,#40,ERW</v>
          </cell>
          <cell r="E686" t="str">
            <v>100A</v>
          </cell>
          <cell r="F686" t="str">
            <v>M</v>
          </cell>
          <cell r="G686">
            <v>5</v>
          </cell>
          <cell r="H686">
            <v>125.9</v>
          </cell>
          <cell r="J686">
            <v>132.19999999999999</v>
          </cell>
          <cell r="L686">
            <v>11344</v>
          </cell>
          <cell r="N686">
            <v>1499677</v>
          </cell>
          <cell r="R686" t="b">
            <v>1</v>
          </cell>
        </row>
        <row r="687">
          <cell r="A687" t="str">
            <v>ANAD</v>
          </cell>
          <cell r="B687">
            <v>401</v>
          </cell>
          <cell r="C687" t="str">
            <v>OMIPMP40</v>
          </cell>
          <cell r="D687" t="str">
            <v>관 부속</v>
          </cell>
          <cell r="E687" t="str">
            <v>관의 (25)％</v>
          </cell>
          <cell r="F687" t="str">
            <v>L/S</v>
          </cell>
          <cell r="H687">
            <v>1</v>
          </cell>
          <cell r="J687">
            <v>1</v>
          </cell>
          <cell r="L687">
            <v>431665</v>
          </cell>
          <cell r="N687">
            <v>431665</v>
          </cell>
        </row>
        <row r="688">
          <cell r="A688" t="str">
            <v>ANAD</v>
          </cell>
          <cell r="B688">
            <v>402</v>
          </cell>
          <cell r="C688" t="str">
            <v>OMIHMP40</v>
          </cell>
          <cell r="D688" t="str">
            <v>행거 및 용접봉</v>
          </cell>
          <cell r="E688" t="str">
            <v>관의 (15)％</v>
          </cell>
          <cell r="F688" t="str">
            <v>L/S</v>
          </cell>
          <cell r="H688">
            <v>1</v>
          </cell>
          <cell r="J688">
            <v>1</v>
          </cell>
          <cell r="L688">
            <v>259000</v>
          </cell>
          <cell r="N688">
            <v>259000</v>
          </cell>
        </row>
        <row r="689">
          <cell r="A689" t="str">
            <v>ANAD</v>
          </cell>
          <cell r="B689">
            <v>500</v>
          </cell>
          <cell r="C689" t="str">
            <v>BIPA221H</v>
          </cell>
          <cell r="D689" t="str">
            <v>관보온 은폐,유리솜 2</v>
          </cell>
          <cell r="E689" t="str">
            <v>25T* 40A</v>
          </cell>
          <cell r="F689" t="str">
            <v>M</v>
          </cell>
          <cell r="H689">
            <v>15</v>
          </cell>
          <cell r="J689">
            <v>15</v>
          </cell>
          <cell r="L689">
            <v>1325</v>
          </cell>
          <cell r="N689">
            <v>19875</v>
          </cell>
          <cell r="R689" t="b">
            <v>0</v>
          </cell>
        </row>
        <row r="690">
          <cell r="A690" t="str">
            <v>ANAD</v>
          </cell>
          <cell r="B690">
            <v>600</v>
          </cell>
          <cell r="C690" t="str">
            <v>BIPA222H</v>
          </cell>
          <cell r="D690" t="str">
            <v>관보온 은폐,유리솜 2</v>
          </cell>
          <cell r="E690" t="str">
            <v>25T* 65A</v>
          </cell>
          <cell r="F690" t="str">
            <v>M</v>
          </cell>
          <cell r="H690">
            <v>13</v>
          </cell>
          <cell r="J690">
            <v>13</v>
          </cell>
          <cell r="L690">
            <v>1715</v>
          </cell>
          <cell r="N690">
            <v>22295</v>
          </cell>
          <cell r="R690" t="b">
            <v>0</v>
          </cell>
        </row>
        <row r="691">
          <cell r="A691" t="str">
            <v>ANAD</v>
          </cell>
          <cell r="B691">
            <v>700</v>
          </cell>
          <cell r="C691" t="str">
            <v>BIPA244A</v>
          </cell>
          <cell r="D691" t="str">
            <v>관보온 은폐,유리솜 2</v>
          </cell>
          <cell r="E691" t="str">
            <v>40T*100A</v>
          </cell>
          <cell r="F691" t="str">
            <v>M</v>
          </cell>
          <cell r="H691">
            <v>98.3</v>
          </cell>
          <cell r="J691">
            <v>98.3</v>
          </cell>
          <cell r="L691">
            <v>3744</v>
          </cell>
          <cell r="N691">
            <v>368035</v>
          </cell>
          <cell r="R691" t="b">
            <v>0</v>
          </cell>
        </row>
        <row r="692">
          <cell r="A692" t="str">
            <v>ANAD</v>
          </cell>
          <cell r="B692">
            <v>800</v>
          </cell>
          <cell r="C692" t="str">
            <v>BIPY265A</v>
          </cell>
          <cell r="D692" t="str">
            <v>관보온 노출,유리솜,IPP</v>
          </cell>
          <cell r="E692" t="str">
            <v>40T*65A</v>
          </cell>
          <cell r="F692" t="str">
            <v>M</v>
          </cell>
          <cell r="H692">
            <v>13.2</v>
          </cell>
          <cell r="J692">
            <v>13.2</v>
          </cell>
          <cell r="L692">
            <v>4091</v>
          </cell>
          <cell r="N692">
            <v>54001</v>
          </cell>
          <cell r="R692" t="b">
            <v>0</v>
          </cell>
        </row>
        <row r="693">
          <cell r="A693" t="str">
            <v>ANAD</v>
          </cell>
          <cell r="B693">
            <v>900</v>
          </cell>
          <cell r="C693" t="str">
            <v>BIPY2A0A</v>
          </cell>
          <cell r="D693" t="str">
            <v>관보온 노출,유리솜,IPP</v>
          </cell>
          <cell r="E693" t="str">
            <v>40T*100A</v>
          </cell>
          <cell r="F693" t="str">
            <v>M</v>
          </cell>
          <cell r="H693">
            <v>22.6</v>
          </cell>
          <cell r="J693">
            <v>22.6</v>
          </cell>
          <cell r="L693">
            <v>5554</v>
          </cell>
          <cell r="N693">
            <v>125520</v>
          </cell>
          <cell r="R693" t="b">
            <v>0</v>
          </cell>
        </row>
        <row r="694">
          <cell r="A694" t="str">
            <v>ANAD</v>
          </cell>
          <cell r="B694">
            <v>1000</v>
          </cell>
          <cell r="C694" t="str">
            <v>MVAA110T</v>
          </cell>
          <cell r="D694" t="str">
            <v>게이트밸브(청동)</v>
          </cell>
          <cell r="E694" t="str">
            <v>10K  20A</v>
          </cell>
          <cell r="F694" t="str">
            <v>EA</v>
          </cell>
          <cell r="G694">
            <v>0</v>
          </cell>
          <cell r="H694">
            <v>2</v>
          </cell>
          <cell r="J694">
            <v>2</v>
          </cell>
          <cell r="L694">
            <v>5274</v>
          </cell>
          <cell r="N694">
            <v>10548</v>
          </cell>
          <cell r="R694" t="b">
            <v>0</v>
          </cell>
        </row>
        <row r="695">
          <cell r="A695" t="str">
            <v>ANAD</v>
          </cell>
          <cell r="B695">
            <v>1100</v>
          </cell>
          <cell r="C695" t="str">
            <v>MVAF414A</v>
          </cell>
          <cell r="D695" t="str">
            <v>게이트밸브(바깥나사)</v>
          </cell>
          <cell r="E695" t="str">
            <v>10K 100A</v>
          </cell>
          <cell r="F695" t="str">
            <v>EA</v>
          </cell>
          <cell r="G695">
            <v>0</v>
          </cell>
          <cell r="H695">
            <v>2</v>
          </cell>
          <cell r="J695">
            <v>2</v>
          </cell>
          <cell r="L695">
            <v>78000</v>
          </cell>
          <cell r="N695">
            <v>156000</v>
          </cell>
          <cell r="R695" t="b">
            <v>0</v>
          </cell>
        </row>
        <row r="696">
          <cell r="A696" t="str">
            <v>ANAD</v>
          </cell>
          <cell r="B696">
            <v>1200</v>
          </cell>
          <cell r="C696" t="str">
            <v>MVBDB14A</v>
          </cell>
          <cell r="D696" t="str">
            <v>체크밸브(주철,스모렌스키)</v>
          </cell>
          <cell r="E696" t="str">
            <v>10K 100A</v>
          </cell>
          <cell r="F696" t="str">
            <v>EA</v>
          </cell>
          <cell r="G696">
            <v>0</v>
          </cell>
          <cell r="H696">
            <v>2</v>
          </cell>
          <cell r="J696">
            <v>2</v>
          </cell>
          <cell r="L696">
            <v>77000</v>
          </cell>
          <cell r="N696">
            <v>154000</v>
          </cell>
          <cell r="R696" t="b">
            <v>0</v>
          </cell>
        </row>
        <row r="697">
          <cell r="A697" t="str">
            <v>ANAD</v>
          </cell>
          <cell r="B697">
            <v>1300</v>
          </cell>
          <cell r="C697" t="str">
            <v>MFEHCSS0</v>
          </cell>
          <cell r="D697" t="str">
            <v>옥내소화전함</v>
          </cell>
          <cell r="E697" t="str">
            <v>SUS 1.5T</v>
          </cell>
          <cell r="F697" t="str">
            <v>EA</v>
          </cell>
          <cell r="G697">
            <v>0</v>
          </cell>
          <cell r="H697">
            <v>32</v>
          </cell>
          <cell r="J697">
            <v>32</v>
          </cell>
          <cell r="L697">
            <v>200000</v>
          </cell>
          <cell r="N697">
            <v>6400000</v>
          </cell>
          <cell r="R697" t="b">
            <v>0</v>
          </cell>
        </row>
        <row r="698">
          <cell r="A698" t="str">
            <v>ANAD</v>
          </cell>
          <cell r="B698">
            <v>1400</v>
          </cell>
          <cell r="C698" t="str">
            <v>MFEHHBSS</v>
          </cell>
          <cell r="D698" t="str">
            <v>방수구기구함</v>
          </cell>
          <cell r="E698" t="str">
            <v>SUS 1.5T</v>
          </cell>
          <cell r="F698" t="str">
            <v>EA</v>
          </cell>
          <cell r="G698">
            <v>0</v>
          </cell>
          <cell r="H698">
            <v>7</v>
          </cell>
          <cell r="J698">
            <v>7</v>
          </cell>
          <cell r="L698">
            <v>200000</v>
          </cell>
          <cell r="N698">
            <v>1400000</v>
          </cell>
          <cell r="R698" t="b">
            <v>0</v>
          </cell>
        </row>
        <row r="699">
          <cell r="A699" t="str">
            <v>ANAD</v>
          </cell>
          <cell r="B699">
            <v>1500</v>
          </cell>
          <cell r="C699" t="str">
            <v>MFEHH01H</v>
          </cell>
          <cell r="D699" t="str">
            <v>소방호스</v>
          </cell>
          <cell r="E699" t="str">
            <v>40A*15M(단일피)</v>
          </cell>
          <cell r="F699" t="str">
            <v>EA</v>
          </cell>
          <cell r="G699">
            <v>0</v>
          </cell>
          <cell r="H699">
            <v>60</v>
          </cell>
          <cell r="J699">
            <v>60</v>
          </cell>
          <cell r="L699">
            <v>22000</v>
          </cell>
          <cell r="N699">
            <v>1320000</v>
          </cell>
          <cell r="R699" t="b">
            <v>0</v>
          </cell>
        </row>
        <row r="700">
          <cell r="A700" t="str">
            <v>ANAD</v>
          </cell>
          <cell r="B700">
            <v>1600</v>
          </cell>
          <cell r="C700" t="str">
            <v>MFEHH02H</v>
          </cell>
          <cell r="D700" t="str">
            <v>소방호스</v>
          </cell>
          <cell r="E700" t="str">
            <v>65A*15M(단일피)</v>
          </cell>
          <cell r="F700" t="str">
            <v>EA</v>
          </cell>
          <cell r="G700">
            <v>0</v>
          </cell>
          <cell r="H700">
            <v>14</v>
          </cell>
          <cell r="J700">
            <v>14</v>
          </cell>
          <cell r="L700">
            <v>45000</v>
          </cell>
          <cell r="N700">
            <v>630000</v>
          </cell>
          <cell r="R700" t="b">
            <v>0</v>
          </cell>
        </row>
        <row r="701">
          <cell r="A701" t="str">
            <v>ANAD</v>
          </cell>
          <cell r="B701">
            <v>1700</v>
          </cell>
          <cell r="C701" t="str">
            <v>MFEHHV1H</v>
          </cell>
          <cell r="D701" t="str">
            <v>앵글밸브,소화전용</v>
          </cell>
          <cell r="E701" t="str">
            <v>40A</v>
          </cell>
          <cell r="F701" t="str">
            <v>EA</v>
          </cell>
          <cell r="G701">
            <v>0</v>
          </cell>
          <cell r="H701">
            <v>30</v>
          </cell>
          <cell r="J701">
            <v>30</v>
          </cell>
          <cell r="L701">
            <v>9000</v>
          </cell>
          <cell r="N701">
            <v>270000</v>
          </cell>
          <cell r="R701" t="b">
            <v>0</v>
          </cell>
        </row>
        <row r="702">
          <cell r="A702" t="str">
            <v>ANAD</v>
          </cell>
          <cell r="B702">
            <v>1800</v>
          </cell>
          <cell r="C702" t="str">
            <v>MFEHHV2H</v>
          </cell>
          <cell r="D702" t="str">
            <v>앵글밸브,소화전용</v>
          </cell>
          <cell r="E702" t="str">
            <v>65A</v>
          </cell>
          <cell r="F702" t="str">
            <v>EA</v>
          </cell>
          <cell r="G702">
            <v>0</v>
          </cell>
          <cell r="H702">
            <v>15</v>
          </cell>
          <cell r="J702">
            <v>15</v>
          </cell>
          <cell r="L702">
            <v>20000</v>
          </cell>
          <cell r="N702">
            <v>300000</v>
          </cell>
          <cell r="R702" t="b">
            <v>0</v>
          </cell>
        </row>
        <row r="703">
          <cell r="A703" t="str">
            <v>ANAD</v>
          </cell>
          <cell r="B703">
            <v>1900</v>
          </cell>
          <cell r="C703" t="str">
            <v>MFEHNS1H</v>
          </cell>
          <cell r="D703" t="str">
            <v>관창,방사형</v>
          </cell>
          <cell r="E703" t="str">
            <v>40A</v>
          </cell>
          <cell r="F703" t="str">
            <v>EA</v>
          </cell>
          <cell r="G703">
            <v>0</v>
          </cell>
          <cell r="H703">
            <v>30</v>
          </cell>
          <cell r="J703">
            <v>30</v>
          </cell>
          <cell r="L703">
            <v>8000</v>
          </cell>
          <cell r="N703">
            <v>240000</v>
          </cell>
          <cell r="R703" t="b">
            <v>0</v>
          </cell>
        </row>
        <row r="704">
          <cell r="A704" t="str">
            <v>ANAD</v>
          </cell>
          <cell r="B704">
            <v>2000</v>
          </cell>
          <cell r="C704" t="str">
            <v>MFEHNS2H</v>
          </cell>
          <cell r="D704" t="str">
            <v>관창,방사형</v>
          </cell>
          <cell r="E704" t="str">
            <v>65A</v>
          </cell>
          <cell r="F704" t="str">
            <v>EA</v>
          </cell>
          <cell r="G704">
            <v>0</v>
          </cell>
          <cell r="H704">
            <v>7</v>
          </cell>
          <cell r="J704">
            <v>7</v>
          </cell>
          <cell r="L704">
            <v>12000</v>
          </cell>
          <cell r="N704">
            <v>84000</v>
          </cell>
          <cell r="R704" t="b">
            <v>0</v>
          </cell>
        </row>
        <row r="705">
          <cell r="A705" t="str">
            <v>ANAD</v>
          </cell>
          <cell r="B705">
            <v>2100</v>
          </cell>
          <cell r="C705" t="str">
            <v>MFEHPW4A</v>
          </cell>
          <cell r="D705" t="str">
            <v>수충격방지기,소화용</v>
          </cell>
          <cell r="E705" t="str">
            <v>100A*10K</v>
          </cell>
          <cell r="F705" t="str">
            <v>EA</v>
          </cell>
          <cell r="G705">
            <v>0</v>
          </cell>
          <cell r="H705">
            <v>2</v>
          </cell>
          <cell r="J705">
            <v>2</v>
          </cell>
          <cell r="L705">
            <v>64000</v>
          </cell>
          <cell r="N705">
            <v>128000</v>
          </cell>
          <cell r="R705" t="b">
            <v>0</v>
          </cell>
        </row>
        <row r="706">
          <cell r="A706" t="str">
            <v>ANAD</v>
          </cell>
          <cell r="B706">
            <v>2200</v>
          </cell>
          <cell r="C706" t="str">
            <v>MFEHSI0T</v>
          </cell>
          <cell r="D706" t="str">
            <v>자동배수장치</v>
          </cell>
          <cell r="E706" t="str">
            <v>20A</v>
          </cell>
          <cell r="F706" t="str">
            <v>EA</v>
          </cell>
          <cell r="G706">
            <v>0</v>
          </cell>
          <cell r="H706">
            <v>1</v>
          </cell>
          <cell r="J706">
            <v>1</v>
          </cell>
          <cell r="L706">
            <v>5000</v>
          </cell>
          <cell r="N706">
            <v>5000</v>
          </cell>
          <cell r="R706" t="b">
            <v>0</v>
          </cell>
        </row>
        <row r="707">
          <cell r="A707" t="str">
            <v>ANAD</v>
          </cell>
          <cell r="B707">
            <v>2300</v>
          </cell>
          <cell r="C707" t="str">
            <v>MFEHSID0</v>
          </cell>
          <cell r="D707" t="str">
            <v>연결송수구</v>
          </cell>
          <cell r="E707" t="str">
            <v>100A*65A*65A</v>
          </cell>
          <cell r="F707" t="str">
            <v>EA</v>
          </cell>
          <cell r="G707">
            <v>0</v>
          </cell>
          <cell r="H707">
            <v>2</v>
          </cell>
          <cell r="J707">
            <v>2</v>
          </cell>
          <cell r="L707">
            <v>66000</v>
          </cell>
          <cell r="N707">
            <v>132000</v>
          </cell>
          <cell r="R707" t="b">
            <v>0</v>
          </cell>
        </row>
        <row r="708">
          <cell r="A708" t="str">
            <v>ANAD</v>
          </cell>
          <cell r="B708">
            <v>2400</v>
          </cell>
          <cell r="C708" t="str">
            <v>MFESVR02</v>
          </cell>
          <cell r="D708" t="str">
            <v>템퍼스위치(W/브라켓)</v>
          </cell>
          <cell r="F708" t="str">
            <v>EA</v>
          </cell>
          <cell r="G708">
            <v>0</v>
          </cell>
          <cell r="H708">
            <v>2</v>
          </cell>
          <cell r="J708">
            <v>2</v>
          </cell>
          <cell r="L708">
            <v>50000</v>
          </cell>
          <cell r="N708">
            <v>100000</v>
          </cell>
          <cell r="R708" t="b">
            <v>0</v>
          </cell>
        </row>
        <row r="709">
          <cell r="A709" t="str">
            <v>ANAD</v>
          </cell>
          <cell r="B709">
            <v>2500</v>
          </cell>
          <cell r="C709" t="str">
            <v>MXAPA006</v>
          </cell>
          <cell r="D709" t="str">
            <v>열선(동파방지,센서부착형)</v>
          </cell>
          <cell r="E709" t="str">
            <v>5.0M이상</v>
          </cell>
          <cell r="F709" t="str">
            <v>M</v>
          </cell>
          <cell r="G709">
            <v>0</v>
          </cell>
          <cell r="H709">
            <v>126.9</v>
          </cell>
          <cell r="J709">
            <v>126.9</v>
          </cell>
          <cell r="L709">
            <v>5500</v>
          </cell>
          <cell r="N709">
            <v>697950</v>
          </cell>
          <cell r="R709" t="b">
            <v>0</v>
          </cell>
        </row>
        <row r="710">
          <cell r="A710" t="str">
            <v>ANAD</v>
          </cell>
          <cell r="B710">
            <v>2600</v>
          </cell>
          <cell r="C710" t="str">
            <v>MFEXAB2H</v>
          </cell>
          <cell r="D710" t="str">
            <v>소화기(ABC-DRY CHEMICAL)</v>
          </cell>
          <cell r="E710" t="str">
            <v>2.5KG</v>
          </cell>
          <cell r="F710" t="str">
            <v>EA</v>
          </cell>
          <cell r="G710">
            <v>0</v>
          </cell>
          <cell r="H710">
            <v>30</v>
          </cell>
          <cell r="J710">
            <v>30</v>
          </cell>
          <cell r="L710">
            <v>13200</v>
          </cell>
          <cell r="N710">
            <v>396000</v>
          </cell>
          <cell r="R710" t="b">
            <v>0</v>
          </cell>
        </row>
        <row r="711">
          <cell r="A711" t="str">
            <v>ANAD</v>
          </cell>
          <cell r="B711">
            <v>2700</v>
          </cell>
          <cell r="C711" t="str">
            <v>MFEXAB3H</v>
          </cell>
          <cell r="D711" t="str">
            <v>소화기(ABC-DRY CHEMICAL)</v>
          </cell>
          <cell r="E711" t="str">
            <v>3.3KG</v>
          </cell>
          <cell r="F711" t="str">
            <v>EA</v>
          </cell>
          <cell r="G711">
            <v>0</v>
          </cell>
          <cell r="H711">
            <v>2</v>
          </cell>
          <cell r="J711">
            <v>2</v>
          </cell>
          <cell r="L711">
            <v>13000</v>
          </cell>
          <cell r="N711">
            <v>26000</v>
          </cell>
          <cell r="R711" t="b">
            <v>0</v>
          </cell>
        </row>
        <row r="712">
          <cell r="A712" t="str">
            <v>ANAD</v>
          </cell>
          <cell r="B712">
            <v>2800</v>
          </cell>
          <cell r="C712" t="str">
            <v>MFEXABM0</v>
          </cell>
          <cell r="D712" t="str">
            <v>소화기받침대</v>
          </cell>
          <cell r="F712" t="str">
            <v>EA</v>
          </cell>
          <cell r="G712">
            <v>0</v>
          </cell>
          <cell r="H712">
            <v>32</v>
          </cell>
          <cell r="J712">
            <v>32</v>
          </cell>
          <cell r="L712">
            <v>2000</v>
          </cell>
          <cell r="N712">
            <v>64000</v>
          </cell>
          <cell r="R712" t="b">
            <v>0</v>
          </cell>
        </row>
        <row r="713">
          <cell r="A713" t="str">
            <v>ANAD</v>
          </cell>
          <cell r="B713">
            <v>2900</v>
          </cell>
          <cell r="C713" t="str">
            <v>MFEXAE4H</v>
          </cell>
          <cell r="D713" t="str">
            <v>자동식소화기(ABC급)</v>
          </cell>
          <cell r="E713" t="str">
            <v>2.5KG</v>
          </cell>
          <cell r="F713" t="str">
            <v>EA</v>
          </cell>
          <cell r="G713">
            <v>0</v>
          </cell>
          <cell r="H713">
            <v>126</v>
          </cell>
          <cell r="J713">
            <v>126</v>
          </cell>
          <cell r="L713">
            <v>200000</v>
          </cell>
          <cell r="N713">
            <v>25200000</v>
          </cell>
          <cell r="R713" t="b">
            <v>0</v>
          </cell>
        </row>
        <row r="714">
          <cell r="A714" t="str">
            <v>ANAD</v>
          </cell>
          <cell r="B714">
            <v>3000</v>
          </cell>
          <cell r="C714" t="str">
            <v>MFEXAE3H</v>
          </cell>
          <cell r="D714" t="str">
            <v>자동확산소화기</v>
          </cell>
          <cell r="E714" t="str">
            <v>3.3KG</v>
          </cell>
          <cell r="F714" t="str">
            <v>EA</v>
          </cell>
          <cell r="G714">
            <v>0</v>
          </cell>
          <cell r="H714">
            <v>183</v>
          </cell>
          <cell r="J714">
            <v>183</v>
          </cell>
          <cell r="L714">
            <v>30000</v>
          </cell>
          <cell r="N714">
            <v>5490000</v>
          </cell>
          <cell r="R714" t="b">
            <v>0</v>
          </cell>
        </row>
        <row r="715">
          <cell r="A715" t="str">
            <v>ANAD</v>
          </cell>
          <cell r="B715">
            <v>3100</v>
          </cell>
          <cell r="C715" t="str">
            <v>MP6M104A</v>
          </cell>
          <cell r="D715" t="str">
            <v>맹 후렌지,KS</v>
          </cell>
          <cell r="E715" t="str">
            <v>10K 100A</v>
          </cell>
          <cell r="F715" t="str">
            <v>EA</v>
          </cell>
          <cell r="G715">
            <v>0</v>
          </cell>
          <cell r="H715">
            <v>1</v>
          </cell>
          <cell r="J715">
            <v>1</v>
          </cell>
          <cell r="L715">
            <v>5567</v>
          </cell>
          <cell r="N715">
            <v>5567</v>
          </cell>
          <cell r="R715" t="b">
            <v>0</v>
          </cell>
        </row>
        <row r="716">
          <cell r="A716" t="str">
            <v>ANAD</v>
          </cell>
          <cell r="B716">
            <v>3200</v>
          </cell>
          <cell r="C716" t="str">
            <v>BFBA104A</v>
          </cell>
          <cell r="D716" t="str">
            <v>스틸 후렌지 접합,SO</v>
          </cell>
          <cell r="E716" t="str">
            <v>10K 100A</v>
          </cell>
          <cell r="F716" t="str">
            <v>JNT</v>
          </cell>
          <cell r="H716">
            <v>11</v>
          </cell>
          <cell r="J716">
            <v>11</v>
          </cell>
          <cell r="L716">
            <v>4846</v>
          </cell>
          <cell r="N716">
            <v>53306</v>
          </cell>
          <cell r="R716" t="b">
            <v>0</v>
          </cell>
        </row>
        <row r="717">
          <cell r="A717" t="str">
            <v>ANAD</v>
          </cell>
          <cell r="B717">
            <v>3300</v>
          </cell>
          <cell r="C717" t="str">
            <v>BIV1004A</v>
          </cell>
          <cell r="D717" t="str">
            <v>밸브보온 1</v>
          </cell>
          <cell r="E717" t="str">
            <v>10K 100A</v>
          </cell>
          <cell r="F717" t="str">
            <v>EA</v>
          </cell>
          <cell r="H717">
            <v>1</v>
          </cell>
          <cell r="J717">
            <v>1</v>
          </cell>
          <cell r="L717">
            <v>25000</v>
          </cell>
          <cell r="N717">
            <v>25000</v>
          </cell>
          <cell r="R717" t="b">
            <v>0</v>
          </cell>
        </row>
        <row r="718">
          <cell r="A718" t="str">
            <v>ANAD</v>
          </cell>
          <cell r="B718">
            <v>3400</v>
          </cell>
          <cell r="C718" t="str">
            <v>BPACSP0T</v>
          </cell>
          <cell r="D718" t="str">
            <v>백강관 도장,색페인트</v>
          </cell>
          <cell r="E718" t="str">
            <v>2 COAT* 20A</v>
          </cell>
          <cell r="F718" t="str">
            <v>M</v>
          </cell>
          <cell r="H718">
            <v>4.5999999999999996</v>
          </cell>
          <cell r="J718">
            <v>4.5999999999999996</v>
          </cell>
          <cell r="L718">
            <v>101</v>
          </cell>
          <cell r="N718">
            <v>465</v>
          </cell>
          <cell r="R718" t="b">
            <v>0</v>
          </cell>
        </row>
        <row r="719">
          <cell r="A719" t="str">
            <v>ANAD</v>
          </cell>
          <cell r="B719">
            <v>3500</v>
          </cell>
          <cell r="C719" t="str">
            <v>BPACSP4A</v>
          </cell>
          <cell r="D719" t="str">
            <v>백강관 도장,색페인트</v>
          </cell>
          <cell r="E719" t="str">
            <v>2 COAT*100A</v>
          </cell>
          <cell r="F719" t="str">
            <v>M</v>
          </cell>
          <cell r="H719">
            <v>5</v>
          </cell>
          <cell r="J719">
            <v>5</v>
          </cell>
          <cell r="L719">
            <v>426</v>
          </cell>
          <cell r="N719">
            <v>2130</v>
          </cell>
          <cell r="R719" t="b">
            <v>0</v>
          </cell>
        </row>
        <row r="720">
          <cell r="A720" t="str">
            <v>ANAD</v>
          </cell>
          <cell r="B720">
            <v>3600</v>
          </cell>
          <cell r="C720" t="str">
            <v>BHATSL4A</v>
          </cell>
          <cell r="D720" t="str">
            <v>입상관스리브 설치</v>
          </cell>
          <cell r="E720" t="str">
            <v>100A</v>
          </cell>
          <cell r="F720" t="str">
            <v>EA</v>
          </cell>
          <cell r="H720">
            <v>33</v>
          </cell>
          <cell r="J720">
            <v>33</v>
          </cell>
          <cell r="L720">
            <v>3680</v>
          </cell>
          <cell r="N720">
            <v>121440</v>
          </cell>
          <cell r="R720" t="b">
            <v>0</v>
          </cell>
        </row>
        <row r="721">
          <cell r="A721" t="str">
            <v>ANAD</v>
          </cell>
          <cell r="B721">
            <v>3700</v>
          </cell>
          <cell r="C721" t="str">
            <v>BXAAA100</v>
          </cell>
          <cell r="D721" t="str">
            <v>강관스리브(지수판)</v>
          </cell>
          <cell r="E721" t="str">
            <v>100A</v>
          </cell>
          <cell r="F721" t="str">
            <v>개소</v>
          </cell>
          <cell r="H721">
            <v>2</v>
          </cell>
          <cell r="J721">
            <v>2</v>
          </cell>
          <cell r="L721">
            <v>17425</v>
          </cell>
          <cell r="N721">
            <v>34850</v>
          </cell>
          <cell r="R721" t="b">
            <v>0</v>
          </cell>
        </row>
        <row r="722">
          <cell r="A722" t="str">
            <v>ANAD</v>
          </cell>
          <cell r="B722">
            <v>810000</v>
          </cell>
          <cell r="C722" t="str">
            <v>OMISC03</v>
          </cell>
          <cell r="D722" t="str">
            <v>잡자재비</v>
          </cell>
          <cell r="E722" t="str">
            <v>관의 (3)％</v>
          </cell>
          <cell r="F722" t="str">
            <v>L/S</v>
          </cell>
          <cell r="H722">
            <v>1</v>
          </cell>
          <cell r="J722">
            <v>1</v>
          </cell>
          <cell r="L722">
            <v>52592</v>
          </cell>
          <cell r="N722">
            <v>52592</v>
          </cell>
        </row>
        <row r="723">
          <cell r="A723" t="str">
            <v>ANAD</v>
          </cell>
          <cell r="B723">
            <v>850000</v>
          </cell>
          <cell r="C723" t="str">
            <v>LSPWKR</v>
          </cell>
          <cell r="D723" t="str">
            <v>특별인부</v>
          </cell>
          <cell r="F723" t="str">
            <v>M/D</v>
          </cell>
          <cell r="H723">
            <v>0.2</v>
          </cell>
          <cell r="J723">
            <v>0.2</v>
          </cell>
          <cell r="L723">
            <v>31200</v>
          </cell>
          <cell r="N723">
            <v>6240</v>
          </cell>
        </row>
        <row r="724">
          <cell r="A724" t="str">
            <v>ANAD</v>
          </cell>
          <cell r="B724">
            <v>850000</v>
          </cell>
          <cell r="C724" t="str">
            <v>LWELDG</v>
          </cell>
          <cell r="D724" t="str">
            <v>용접공(일반)</v>
          </cell>
          <cell r="F724" t="str">
            <v>M/D</v>
          </cell>
          <cell r="H724">
            <v>0.2</v>
          </cell>
          <cell r="J724">
            <v>0.2</v>
          </cell>
          <cell r="L724">
            <v>39500</v>
          </cell>
          <cell r="N724">
            <v>7900</v>
          </cell>
        </row>
        <row r="725">
          <cell r="A725" t="str">
            <v>ANAD</v>
          </cell>
          <cell r="B725">
            <v>850000</v>
          </cell>
          <cell r="C725" t="str">
            <v>LINSUL</v>
          </cell>
          <cell r="D725" t="str">
            <v>보온공</v>
          </cell>
          <cell r="F725" t="str">
            <v>M/D</v>
          </cell>
          <cell r="H725">
            <v>9.1</v>
          </cell>
          <cell r="J725">
            <v>9.1</v>
          </cell>
          <cell r="L725">
            <v>30900</v>
          </cell>
          <cell r="N725">
            <v>281190</v>
          </cell>
        </row>
        <row r="726">
          <cell r="A726" t="str">
            <v>ANAD</v>
          </cell>
          <cell r="B726">
            <v>850000</v>
          </cell>
          <cell r="C726" t="str">
            <v>LPAINT</v>
          </cell>
          <cell r="D726" t="str">
            <v>도장공</v>
          </cell>
          <cell r="F726" t="str">
            <v>M/D</v>
          </cell>
          <cell r="H726">
            <v>0.1</v>
          </cell>
          <cell r="J726">
            <v>0.1</v>
          </cell>
          <cell r="L726">
            <v>38200</v>
          </cell>
          <cell r="N726">
            <v>3820</v>
          </cell>
        </row>
        <row r="727">
          <cell r="A727" t="str">
            <v>ANAD</v>
          </cell>
          <cell r="B727">
            <v>850000</v>
          </cell>
          <cell r="C727" t="str">
            <v>LHELPR</v>
          </cell>
          <cell r="D727" t="str">
            <v>보통인부</v>
          </cell>
          <cell r="F727" t="str">
            <v>M/D</v>
          </cell>
          <cell r="H727">
            <v>15.5</v>
          </cell>
          <cell r="J727">
            <v>15.5</v>
          </cell>
          <cell r="L727">
            <v>22300</v>
          </cell>
          <cell r="N727">
            <v>345650</v>
          </cell>
        </row>
        <row r="728">
          <cell r="A728" t="str">
            <v>ANAD</v>
          </cell>
          <cell r="B728">
            <v>850000</v>
          </cell>
          <cell r="C728" t="str">
            <v>LPIPEG</v>
          </cell>
          <cell r="D728" t="str">
            <v>배관공</v>
          </cell>
          <cell r="F728" t="str">
            <v>M/D</v>
          </cell>
          <cell r="H728">
            <v>50.9</v>
          </cell>
          <cell r="J728">
            <v>50.9</v>
          </cell>
          <cell r="L728">
            <v>34400</v>
          </cell>
          <cell r="N728">
            <v>1750960</v>
          </cell>
        </row>
        <row r="729">
          <cell r="A729" t="str">
            <v>ANAD</v>
          </cell>
          <cell r="B729">
            <v>850000</v>
          </cell>
          <cell r="C729" t="str">
            <v>LMILLW</v>
          </cell>
          <cell r="D729" t="str">
            <v>기계설치공</v>
          </cell>
          <cell r="F729" t="str">
            <v>M/D</v>
          </cell>
          <cell r="H729">
            <v>7.6</v>
          </cell>
          <cell r="J729">
            <v>7.6</v>
          </cell>
          <cell r="L729">
            <v>34000</v>
          </cell>
          <cell r="N729">
            <v>258400</v>
          </cell>
        </row>
        <row r="730">
          <cell r="A730" t="str">
            <v>ANAD</v>
          </cell>
          <cell r="B730">
            <v>990000</v>
          </cell>
          <cell r="C730" t="str">
            <v>OMISC06</v>
          </cell>
          <cell r="D730" t="str">
            <v>공구손료</v>
          </cell>
          <cell r="E730" t="str">
            <v>인건비의 (3)％</v>
          </cell>
          <cell r="F730" t="str">
            <v>L/S</v>
          </cell>
          <cell r="H730">
            <v>1</v>
          </cell>
          <cell r="J730">
            <v>1</v>
          </cell>
          <cell r="L730">
            <v>79840</v>
          </cell>
          <cell r="N730">
            <v>79840</v>
          </cell>
        </row>
        <row r="731">
          <cell r="A731" t="str">
            <v>ANAE</v>
          </cell>
          <cell r="B731">
            <v>0</v>
          </cell>
          <cell r="C731" t="str">
            <v>WAANSR1</v>
          </cell>
          <cell r="D731" t="str">
            <v>7-5. 스프링 클러배관공사</v>
          </cell>
        </row>
        <row r="732">
          <cell r="A732" t="str">
            <v>ANAE</v>
          </cell>
          <cell r="B732">
            <v>100</v>
          </cell>
          <cell r="C732" t="str">
            <v>MP40E00T</v>
          </cell>
          <cell r="D732" t="str">
            <v>백강관,#40,ERW</v>
          </cell>
          <cell r="E732" t="str">
            <v>20A</v>
          </cell>
          <cell r="F732" t="str">
            <v>M</v>
          </cell>
          <cell r="G732">
            <v>5</v>
          </cell>
          <cell r="H732">
            <v>2.2999999999999998</v>
          </cell>
          <cell r="J732">
            <v>2.4</v>
          </cell>
          <cell r="L732">
            <v>1307</v>
          </cell>
          <cell r="N732">
            <v>3137</v>
          </cell>
          <cell r="R732" t="b">
            <v>1</v>
          </cell>
        </row>
        <row r="733">
          <cell r="A733" t="str">
            <v>ANAE</v>
          </cell>
          <cell r="B733">
            <v>200</v>
          </cell>
          <cell r="C733" t="str">
            <v>MP40E04A</v>
          </cell>
          <cell r="D733" t="str">
            <v>백강관,#40,ERW</v>
          </cell>
          <cell r="E733" t="str">
            <v>100A</v>
          </cell>
          <cell r="F733" t="str">
            <v>M</v>
          </cell>
          <cell r="G733">
            <v>5</v>
          </cell>
          <cell r="H733">
            <v>2.5</v>
          </cell>
          <cell r="J733">
            <v>2.6</v>
          </cell>
          <cell r="L733">
            <v>11344</v>
          </cell>
          <cell r="N733">
            <v>29494</v>
          </cell>
          <cell r="R733" t="b">
            <v>1</v>
          </cell>
        </row>
        <row r="734">
          <cell r="A734" t="str">
            <v>ANAE</v>
          </cell>
          <cell r="B734">
            <v>300</v>
          </cell>
          <cell r="C734" t="str">
            <v>MP40E06A</v>
          </cell>
          <cell r="D734" t="str">
            <v>백강관,#40,ERW</v>
          </cell>
          <cell r="E734" t="str">
            <v>150A</v>
          </cell>
          <cell r="F734" t="str">
            <v>M</v>
          </cell>
          <cell r="G734">
            <v>5</v>
          </cell>
          <cell r="H734">
            <v>65.3</v>
          </cell>
          <cell r="J734">
            <v>68.599999999999994</v>
          </cell>
          <cell r="L734">
            <v>19730</v>
          </cell>
          <cell r="N734">
            <v>1353478</v>
          </cell>
          <cell r="R734" t="b">
            <v>1</v>
          </cell>
        </row>
        <row r="735">
          <cell r="A735" t="str">
            <v>ANAE</v>
          </cell>
          <cell r="B735">
            <v>301</v>
          </cell>
          <cell r="C735" t="str">
            <v>OMIPMP40</v>
          </cell>
          <cell r="D735" t="str">
            <v>관 부속</v>
          </cell>
          <cell r="E735" t="str">
            <v>관의 (25)％</v>
          </cell>
          <cell r="F735" t="str">
            <v>L/S</v>
          </cell>
          <cell r="H735">
            <v>1</v>
          </cell>
          <cell r="J735">
            <v>1</v>
          </cell>
          <cell r="L735">
            <v>346431</v>
          </cell>
          <cell r="N735">
            <v>346431</v>
          </cell>
        </row>
        <row r="736">
          <cell r="A736" t="str">
            <v>ANAE</v>
          </cell>
          <cell r="B736">
            <v>302</v>
          </cell>
          <cell r="C736" t="str">
            <v>OMIHMP40</v>
          </cell>
          <cell r="D736" t="str">
            <v>행거 및 용접봉</v>
          </cell>
          <cell r="E736" t="str">
            <v>관의 (15)％</v>
          </cell>
          <cell r="F736" t="str">
            <v>L/S</v>
          </cell>
          <cell r="H736">
            <v>1</v>
          </cell>
          <cell r="J736">
            <v>1</v>
          </cell>
          <cell r="L736">
            <v>207858</v>
          </cell>
          <cell r="N736">
            <v>207858</v>
          </cell>
        </row>
        <row r="737">
          <cell r="A737" t="str">
            <v>ANAE</v>
          </cell>
          <cell r="B737">
            <v>400</v>
          </cell>
          <cell r="C737" t="str">
            <v>BIPA246A</v>
          </cell>
          <cell r="D737" t="str">
            <v>관보온 은폐,유리솜 2</v>
          </cell>
          <cell r="E737" t="str">
            <v>40T*150A</v>
          </cell>
          <cell r="F737" t="str">
            <v>M</v>
          </cell>
          <cell r="H737">
            <v>64.3</v>
          </cell>
          <cell r="J737">
            <v>64.3</v>
          </cell>
          <cell r="L737">
            <v>4971</v>
          </cell>
          <cell r="N737">
            <v>319635</v>
          </cell>
          <cell r="R737" t="b">
            <v>0</v>
          </cell>
        </row>
        <row r="738">
          <cell r="A738" t="str">
            <v>ANAE</v>
          </cell>
          <cell r="B738">
            <v>500</v>
          </cell>
          <cell r="C738" t="str">
            <v>BIPY2C0A</v>
          </cell>
          <cell r="D738" t="str">
            <v>관보온 노출,유리솜,IPP</v>
          </cell>
          <cell r="E738" t="str">
            <v>40T*150A</v>
          </cell>
          <cell r="F738" t="str">
            <v>M</v>
          </cell>
          <cell r="H738">
            <v>1</v>
          </cell>
          <cell r="J738">
            <v>1</v>
          </cell>
          <cell r="L738">
            <v>7712</v>
          </cell>
          <cell r="N738">
            <v>7712</v>
          </cell>
          <cell r="R738" t="b">
            <v>0</v>
          </cell>
        </row>
        <row r="739">
          <cell r="A739" t="str">
            <v>ANAE</v>
          </cell>
          <cell r="B739">
            <v>600</v>
          </cell>
          <cell r="C739" t="str">
            <v>MVAF416A</v>
          </cell>
          <cell r="D739" t="str">
            <v>게이트밸브(바깥나사)</v>
          </cell>
          <cell r="E739" t="str">
            <v>10K 150A</v>
          </cell>
          <cell r="F739" t="str">
            <v>EA</v>
          </cell>
          <cell r="G739">
            <v>0</v>
          </cell>
          <cell r="H739">
            <v>2</v>
          </cell>
          <cell r="J739">
            <v>2</v>
          </cell>
          <cell r="L739">
            <v>143000</v>
          </cell>
          <cell r="N739">
            <v>286000</v>
          </cell>
          <cell r="R739" t="b">
            <v>0</v>
          </cell>
        </row>
        <row r="740">
          <cell r="A740" t="str">
            <v>ANAE</v>
          </cell>
          <cell r="B740">
            <v>700</v>
          </cell>
          <cell r="C740" t="str">
            <v>MVBDB16A</v>
          </cell>
          <cell r="D740" t="str">
            <v>체크밸브(주철,스모렌스키)</v>
          </cell>
          <cell r="E740" t="str">
            <v>10K 150A</v>
          </cell>
          <cell r="F740" t="str">
            <v>EA</v>
          </cell>
          <cell r="G740">
            <v>0</v>
          </cell>
          <cell r="H740">
            <v>1</v>
          </cell>
          <cell r="J740">
            <v>1</v>
          </cell>
          <cell r="L740">
            <v>210000</v>
          </cell>
          <cell r="N740">
            <v>210000</v>
          </cell>
          <cell r="R740" t="b">
            <v>0</v>
          </cell>
        </row>
        <row r="741">
          <cell r="A741" t="str">
            <v>ANAE</v>
          </cell>
          <cell r="B741">
            <v>800</v>
          </cell>
          <cell r="C741" t="str">
            <v>MFEHPW6A</v>
          </cell>
          <cell r="D741" t="str">
            <v>수충격방지기,소화용</v>
          </cell>
          <cell r="E741" t="str">
            <v>150A*10K</v>
          </cell>
          <cell r="F741" t="str">
            <v>EA</v>
          </cell>
          <cell r="G741">
            <v>0</v>
          </cell>
          <cell r="H741">
            <v>1</v>
          </cell>
          <cell r="J741">
            <v>1</v>
          </cell>
          <cell r="L741">
            <v>80000</v>
          </cell>
          <cell r="N741">
            <v>80000</v>
          </cell>
          <cell r="R741" t="b">
            <v>0</v>
          </cell>
        </row>
        <row r="742">
          <cell r="A742" t="str">
            <v>ANAE</v>
          </cell>
          <cell r="B742">
            <v>900</v>
          </cell>
          <cell r="C742" t="str">
            <v>MFESVR02</v>
          </cell>
          <cell r="D742" t="str">
            <v>템퍼스위치(W/브라켓)</v>
          </cell>
          <cell r="F742" t="str">
            <v>EA</v>
          </cell>
          <cell r="G742">
            <v>0</v>
          </cell>
          <cell r="H742">
            <v>2</v>
          </cell>
          <cell r="J742">
            <v>2</v>
          </cell>
          <cell r="L742">
            <v>50000</v>
          </cell>
          <cell r="N742">
            <v>100000</v>
          </cell>
          <cell r="R742" t="b">
            <v>0</v>
          </cell>
        </row>
        <row r="743">
          <cell r="A743" t="str">
            <v>ANAE</v>
          </cell>
          <cell r="B743">
            <v>1000</v>
          </cell>
          <cell r="C743" t="str">
            <v>MFEHSID0</v>
          </cell>
          <cell r="D743" t="str">
            <v>연결송수구</v>
          </cell>
          <cell r="E743" t="str">
            <v>100A*65A*65A</v>
          </cell>
          <cell r="F743" t="str">
            <v>EA</v>
          </cell>
          <cell r="G743">
            <v>0</v>
          </cell>
          <cell r="H743">
            <v>1</v>
          </cell>
          <cell r="J743">
            <v>1</v>
          </cell>
          <cell r="L743">
            <v>66000</v>
          </cell>
          <cell r="N743">
            <v>66000</v>
          </cell>
          <cell r="R743" t="b">
            <v>0</v>
          </cell>
        </row>
        <row r="744">
          <cell r="A744" t="str">
            <v>ANAE</v>
          </cell>
          <cell r="B744">
            <v>1100</v>
          </cell>
          <cell r="C744" t="str">
            <v>MXAPA006</v>
          </cell>
          <cell r="D744" t="str">
            <v>열선(동파방지,센서부착형)</v>
          </cell>
          <cell r="E744" t="str">
            <v>5.0M이상</v>
          </cell>
          <cell r="F744" t="str">
            <v>M</v>
          </cell>
          <cell r="G744">
            <v>0</v>
          </cell>
          <cell r="H744">
            <v>64.900000000000006</v>
          </cell>
          <cell r="J744">
            <v>64.900000000000006</v>
          </cell>
          <cell r="L744">
            <v>5500</v>
          </cell>
          <cell r="N744">
            <v>356950</v>
          </cell>
          <cell r="R744" t="b">
            <v>0</v>
          </cell>
        </row>
        <row r="745">
          <cell r="A745" t="str">
            <v>ANAE</v>
          </cell>
          <cell r="B745">
            <v>1200</v>
          </cell>
          <cell r="C745" t="str">
            <v>MP6M106A</v>
          </cell>
          <cell r="D745" t="str">
            <v>맹 후렌지,KS</v>
          </cell>
          <cell r="E745" t="str">
            <v>10K 150A</v>
          </cell>
          <cell r="F745" t="str">
            <v>EA</v>
          </cell>
          <cell r="G745">
            <v>0</v>
          </cell>
          <cell r="H745">
            <v>1</v>
          </cell>
          <cell r="J745">
            <v>1</v>
          </cell>
          <cell r="L745">
            <v>10251</v>
          </cell>
          <cell r="N745">
            <v>10251</v>
          </cell>
          <cell r="R745" t="b">
            <v>0</v>
          </cell>
        </row>
        <row r="746">
          <cell r="A746" t="str">
            <v>ANAE</v>
          </cell>
          <cell r="B746">
            <v>1300</v>
          </cell>
          <cell r="C746" t="str">
            <v>BFBA106A</v>
          </cell>
          <cell r="D746" t="str">
            <v>스틸 후렌지 접합,SO</v>
          </cell>
          <cell r="E746" t="str">
            <v>10K 150A</v>
          </cell>
          <cell r="F746" t="str">
            <v>JNT</v>
          </cell>
          <cell r="H746">
            <v>8</v>
          </cell>
          <cell r="J746">
            <v>8</v>
          </cell>
          <cell r="L746">
            <v>10794</v>
          </cell>
          <cell r="N746">
            <v>86352</v>
          </cell>
          <cell r="R746" t="b">
            <v>0</v>
          </cell>
        </row>
        <row r="747">
          <cell r="A747" t="str">
            <v>ANAE</v>
          </cell>
          <cell r="B747">
            <v>1400</v>
          </cell>
          <cell r="C747" t="str">
            <v>BPACSP0T</v>
          </cell>
          <cell r="D747" t="str">
            <v>백강관 도장,색페인트</v>
          </cell>
          <cell r="E747" t="str">
            <v>2 COAT* 20A</v>
          </cell>
          <cell r="F747" t="str">
            <v>M</v>
          </cell>
          <cell r="H747">
            <v>2.2999999999999998</v>
          </cell>
          <cell r="J747">
            <v>2.2999999999999998</v>
          </cell>
          <cell r="L747">
            <v>101</v>
          </cell>
          <cell r="N747">
            <v>232</v>
          </cell>
          <cell r="R747" t="b">
            <v>0</v>
          </cell>
        </row>
        <row r="748">
          <cell r="A748" t="str">
            <v>ANAE</v>
          </cell>
          <cell r="B748">
            <v>1500</v>
          </cell>
          <cell r="C748" t="str">
            <v>BPACSP4A</v>
          </cell>
          <cell r="D748" t="str">
            <v>백강관 도장,색페인트</v>
          </cell>
          <cell r="E748" t="str">
            <v>2 COAT*100A</v>
          </cell>
          <cell r="F748" t="str">
            <v>M</v>
          </cell>
          <cell r="H748">
            <v>2.5</v>
          </cell>
          <cell r="J748">
            <v>2.5</v>
          </cell>
          <cell r="L748">
            <v>426</v>
          </cell>
          <cell r="N748">
            <v>1065</v>
          </cell>
          <cell r="R748" t="b">
            <v>0</v>
          </cell>
        </row>
        <row r="749">
          <cell r="A749" t="str">
            <v>ANAE</v>
          </cell>
          <cell r="B749">
            <v>1600</v>
          </cell>
          <cell r="C749" t="str">
            <v>BHATSL6A</v>
          </cell>
          <cell r="D749" t="str">
            <v>입상관스리브 설치</v>
          </cell>
          <cell r="E749" t="str">
            <v>150A</v>
          </cell>
          <cell r="F749" t="str">
            <v>EA</v>
          </cell>
          <cell r="H749">
            <v>18</v>
          </cell>
          <cell r="J749">
            <v>18</v>
          </cell>
          <cell r="L749">
            <v>8175</v>
          </cell>
          <cell r="N749">
            <v>147150</v>
          </cell>
          <cell r="R749" t="b">
            <v>0</v>
          </cell>
        </row>
        <row r="750">
          <cell r="A750" t="str">
            <v>ANAE</v>
          </cell>
          <cell r="B750">
            <v>1700</v>
          </cell>
          <cell r="C750" t="str">
            <v>BXAAA100</v>
          </cell>
          <cell r="D750" t="str">
            <v>강관스리브(지수판)</v>
          </cell>
          <cell r="E750" t="str">
            <v>100A</v>
          </cell>
          <cell r="F750" t="str">
            <v>개소</v>
          </cell>
          <cell r="H750">
            <v>1</v>
          </cell>
          <cell r="J750">
            <v>1</v>
          </cell>
          <cell r="L750">
            <v>17425</v>
          </cell>
          <cell r="N750">
            <v>17425</v>
          </cell>
          <cell r="R750" t="b">
            <v>0</v>
          </cell>
        </row>
        <row r="751">
          <cell r="A751" t="str">
            <v>ANAE</v>
          </cell>
          <cell r="B751">
            <v>810000</v>
          </cell>
          <cell r="C751" t="str">
            <v>OMISC03</v>
          </cell>
          <cell r="D751" t="str">
            <v>잡자재비</v>
          </cell>
          <cell r="E751" t="str">
            <v>관의 (3)％</v>
          </cell>
          <cell r="F751" t="str">
            <v>L/S</v>
          </cell>
          <cell r="H751">
            <v>1</v>
          </cell>
          <cell r="J751">
            <v>1</v>
          </cell>
          <cell r="L751">
            <v>41830</v>
          </cell>
          <cell r="N751">
            <v>41830</v>
          </cell>
        </row>
        <row r="752">
          <cell r="A752" t="str">
            <v>ANAE</v>
          </cell>
          <cell r="B752">
            <v>850000</v>
          </cell>
          <cell r="C752" t="str">
            <v>LSPWKR</v>
          </cell>
          <cell r="D752" t="str">
            <v>특별인부</v>
          </cell>
          <cell r="F752" t="str">
            <v>M/D</v>
          </cell>
          <cell r="H752">
            <v>0.1</v>
          </cell>
          <cell r="J752">
            <v>0.1</v>
          </cell>
          <cell r="L752">
            <v>31200</v>
          </cell>
          <cell r="N752">
            <v>3120</v>
          </cell>
        </row>
        <row r="753">
          <cell r="A753" t="str">
            <v>ANAE</v>
          </cell>
          <cell r="B753">
            <v>850000</v>
          </cell>
          <cell r="C753" t="str">
            <v>LWELDG</v>
          </cell>
          <cell r="D753" t="str">
            <v>용접공(일반)</v>
          </cell>
          <cell r="F753" t="str">
            <v>M/D</v>
          </cell>
          <cell r="H753">
            <v>0.2</v>
          </cell>
          <cell r="J753">
            <v>0.2</v>
          </cell>
          <cell r="L753">
            <v>39500</v>
          </cell>
          <cell r="N753">
            <v>7900</v>
          </cell>
        </row>
        <row r="754">
          <cell r="A754" t="str">
            <v>ANAE</v>
          </cell>
          <cell r="B754">
            <v>850000</v>
          </cell>
          <cell r="C754" t="str">
            <v>LINSUL</v>
          </cell>
          <cell r="D754" t="str">
            <v>보온공</v>
          </cell>
          <cell r="F754" t="str">
            <v>M/D</v>
          </cell>
          <cell r="H754">
            <v>6</v>
          </cell>
          <cell r="J754">
            <v>6</v>
          </cell>
          <cell r="L754">
            <v>30900</v>
          </cell>
          <cell r="N754">
            <v>185400</v>
          </cell>
        </row>
        <row r="755">
          <cell r="A755" t="str">
            <v>ANAE</v>
          </cell>
          <cell r="B755">
            <v>850000</v>
          </cell>
          <cell r="C755" t="str">
            <v>LPAINT</v>
          </cell>
          <cell r="D755" t="str">
            <v>도장공</v>
          </cell>
          <cell r="F755" t="str">
            <v>M/D</v>
          </cell>
          <cell r="H755">
            <v>0.1</v>
          </cell>
          <cell r="J755">
            <v>0.1</v>
          </cell>
          <cell r="L755">
            <v>38200</v>
          </cell>
          <cell r="N755">
            <v>3820</v>
          </cell>
        </row>
        <row r="756">
          <cell r="A756" t="str">
            <v>ANAE</v>
          </cell>
          <cell r="B756">
            <v>850000</v>
          </cell>
          <cell r="C756" t="str">
            <v>LHELPR</v>
          </cell>
          <cell r="D756" t="str">
            <v>보통인부</v>
          </cell>
          <cell r="F756" t="str">
            <v>M/D</v>
          </cell>
          <cell r="H756">
            <v>5.5</v>
          </cell>
          <cell r="J756">
            <v>5.5</v>
          </cell>
          <cell r="L756">
            <v>22300</v>
          </cell>
          <cell r="N756">
            <v>122650</v>
          </cell>
        </row>
        <row r="757">
          <cell r="A757" t="str">
            <v>ANAE</v>
          </cell>
          <cell r="B757">
            <v>850000</v>
          </cell>
          <cell r="C757" t="str">
            <v>LPIPEG</v>
          </cell>
          <cell r="D757" t="str">
            <v>배관공</v>
          </cell>
          <cell r="F757" t="str">
            <v>M/D</v>
          </cell>
          <cell r="H757">
            <v>21.5</v>
          </cell>
          <cell r="J757">
            <v>21.5</v>
          </cell>
          <cell r="L757">
            <v>34400</v>
          </cell>
          <cell r="N757">
            <v>739600</v>
          </cell>
        </row>
        <row r="758">
          <cell r="A758" t="str">
            <v>ANAE</v>
          </cell>
          <cell r="B758">
            <v>990000</v>
          </cell>
          <cell r="C758" t="str">
            <v>OMISC06</v>
          </cell>
          <cell r="D758" t="str">
            <v>공구손료</v>
          </cell>
          <cell r="E758" t="str">
            <v>인건비의 (3)％</v>
          </cell>
          <cell r="F758" t="str">
            <v>L/S</v>
          </cell>
          <cell r="H758">
            <v>1</v>
          </cell>
          <cell r="J758">
            <v>1</v>
          </cell>
          <cell r="L758">
            <v>32510</v>
          </cell>
          <cell r="N758">
            <v>32510</v>
          </cell>
        </row>
        <row r="759">
          <cell r="A759" t="str">
            <v>ANAG</v>
          </cell>
          <cell r="B759">
            <v>0</v>
          </cell>
          <cell r="C759" t="str">
            <v>WAANUH</v>
          </cell>
          <cell r="D759" t="str">
            <v>7-6. 지하주차장 옥내소화배관공사</v>
          </cell>
        </row>
        <row r="760">
          <cell r="A760" t="str">
            <v>ANAG</v>
          </cell>
          <cell r="B760">
            <v>100</v>
          </cell>
          <cell r="C760" t="str">
            <v>MP40E02H</v>
          </cell>
          <cell r="D760" t="str">
            <v>백강관,#40,ERW</v>
          </cell>
          <cell r="E760" t="str">
            <v>65A</v>
          </cell>
          <cell r="F760" t="str">
            <v>M</v>
          </cell>
          <cell r="G760">
            <v>5</v>
          </cell>
          <cell r="H760">
            <v>128.80000000000001</v>
          </cell>
          <cell r="J760">
            <v>135.19999999999999</v>
          </cell>
          <cell r="L760">
            <v>6369</v>
          </cell>
          <cell r="N760">
            <v>861089</v>
          </cell>
          <cell r="R760" t="b">
            <v>1</v>
          </cell>
        </row>
        <row r="761">
          <cell r="A761" t="str">
            <v>ANAG</v>
          </cell>
          <cell r="B761">
            <v>200</v>
          </cell>
          <cell r="C761" t="str">
            <v>MP40E04A</v>
          </cell>
          <cell r="D761" t="str">
            <v>백강관,#40,ERW</v>
          </cell>
          <cell r="E761" t="str">
            <v>100A</v>
          </cell>
          <cell r="F761" t="str">
            <v>M</v>
          </cell>
          <cell r="G761">
            <v>5</v>
          </cell>
          <cell r="H761">
            <v>106.6</v>
          </cell>
          <cell r="J761">
            <v>111.9</v>
          </cell>
          <cell r="L761">
            <v>11344</v>
          </cell>
          <cell r="N761">
            <v>1269394</v>
          </cell>
          <cell r="R761" t="b">
            <v>1</v>
          </cell>
        </row>
        <row r="762">
          <cell r="A762" t="str">
            <v>ANAG</v>
          </cell>
          <cell r="B762">
            <v>201</v>
          </cell>
          <cell r="C762" t="str">
            <v>OMIPMP40</v>
          </cell>
          <cell r="D762" t="str">
            <v>관 부속</v>
          </cell>
          <cell r="E762" t="str">
            <v>관의 (10)％</v>
          </cell>
          <cell r="F762" t="str">
            <v>L/S</v>
          </cell>
          <cell r="H762">
            <v>1</v>
          </cell>
          <cell r="J762">
            <v>1</v>
          </cell>
          <cell r="L762">
            <v>213107</v>
          </cell>
          <cell r="N762">
            <v>213107</v>
          </cell>
        </row>
        <row r="763">
          <cell r="A763" t="str">
            <v>ANAG</v>
          </cell>
          <cell r="B763">
            <v>202</v>
          </cell>
          <cell r="C763" t="str">
            <v>OMIHMP40</v>
          </cell>
          <cell r="D763" t="str">
            <v>행거 및 용접봉</v>
          </cell>
          <cell r="E763" t="str">
            <v>관의 (10)％</v>
          </cell>
          <cell r="F763" t="str">
            <v>L/S</v>
          </cell>
          <cell r="H763">
            <v>1</v>
          </cell>
          <cell r="J763">
            <v>1</v>
          </cell>
          <cell r="L763">
            <v>213107</v>
          </cell>
          <cell r="N763">
            <v>213107</v>
          </cell>
        </row>
        <row r="764">
          <cell r="A764" t="str">
            <v>ANAG</v>
          </cell>
          <cell r="B764">
            <v>300</v>
          </cell>
          <cell r="C764" t="str">
            <v>BIPY165A</v>
          </cell>
          <cell r="D764" t="str">
            <v>관보온 노출,유리솜,IPP</v>
          </cell>
          <cell r="E764" t="str">
            <v>25T*65A</v>
          </cell>
          <cell r="F764" t="str">
            <v>M</v>
          </cell>
          <cell r="H764">
            <v>128.80000000000001</v>
          </cell>
          <cell r="J764">
            <v>128.80000000000001</v>
          </cell>
          <cell r="L764">
            <v>2623</v>
          </cell>
          <cell r="N764">
            <v>337842</v>
          </cell>
          <cell r="R764" t="b">
            <v>0</v>
          </cell>
        </row>
        <row r="765">
          <cell r="A765" t="str">
            <v>ANAG</v>
          </cell>
          <cell r="B765">
            <v>400</v>
          </cell>
          <cell r="C765" t="str">
            <v>BIPY2A0A</v>
          </cell>
          <cell r="D765" t="str">
            <v>관보온 노출,유리솜,IPP</v>
          </cell>
          <cell r="E765" t="str">
            <v>40T*100A</v>
          </cell>
          <cell r="F765" t="str">
            <v>M</v>
          </cell>
          <cell r="H765">
            <v>106.6</v>
          </cell>
          <cell r="J765">
            <v>106.6</v>
          </cell>
          <cell r="L765">
            <v>5554</v>
          </cell>
          <cell r="N765">
            <v>592056</v>
          </cell>
          <cell r="R765" t="b">
            <v>0</v>
          </cell>
        </row>
        <row r="766">
          <cell r="A766" t="str">
            <v>ANAG</v>
          </cell>
          <cell r="B766">
            <v>500</v>
          </cell>
          <cell r="C766" t="str">
            <v>MVBDB14A</v>
          </cell>
          <cell r="D766" t="str">
            <v>체크밸브(주철,스모렌스키)</v>
          </cell>
          <cell r="E766" t="str">
            <v>10K 100A</v>
          </cell>
          <cell r="F766" t="str">
            <v>EA</v>
          </cell>
          <cell r="G766">
            <v>0</v>
          </cell>
          <cell r="H766">
            <v>1</v>
          </cell>
          <cell r="J766">
            <v>1</v>
          </cell>
          <cell r="L766">
            <v>77000</v>
          </cell>
          <cell r="N766">
            <v>77000</v>
          </cell>
          <cell r="R766" t="b">
            <v>0</v>
          </cell>
        </row>
        <row r="767">
          <cell r="A767" t="str">
            <v>ANAG</v>
          </cell>
          <cell r="B767">
            <v>600</v>
          </cell>
          <cell r="C767" t="str">
            <v>MFEHCSS0</v>
          </cell>
          <cell r="D767" t="str">
            <v>옥내소화전함</v>
          </cell>
          <cell r="E767" t="str">
            <v>SUS 1.5T</v>
          </cell>
          <cell r="F767" t="str">
            <v>EA</v>
          </cell>
          <cell r="G767">
            <v>0</v>
          </cell>
          <cell r="H767">
            <v>8</v>
          </cell>
          <cell r="J767">
            <v>8</v>
          </cell>
          <cell r="L767">
            <v>200000</v>
          </cell>
          <cell r="N767">
            <v>1600000</v>
          </cell>
          <cell r="R767" t="b">
            <v>0</v>
          </cell>
        </row>
        <row r="768">
          <cell r="A768" t="str">
            <v>ANAG</v>
          </cell>
          <cell r="B768">
            <v>700</v>
          </cell>
          <cell r="C768" t="str">
            <v>MFEHHBSS</v>
          </cell>
          <cell r="D768" t="str">
            <v>방수구기구함</v>
          </cell>
          <cell r="E768" t="str">
            <v>SUS 1.5T</v>
          </cell>
          <cell r="F768" t="str">
            <v>EA</v>
          </cell>
          <cell r="G768">
            <v>0</v>
          </cell>
          <cell r="H768">
            <v>8</v>
          </cell>
          <cell r="J768">
            <v>8</v>
          </cell>
          <cell r="L768">
            <v>200000</v>
          </cell>
          <cell r="N768">
            <v>1600000</v>
          </cell>
          <cell r="R768" t="b">
            <v>0</v>
          </cell>
        </row>
        <row r="769">
          <cell r="A769" t="str">
            <v>ANAG</v>
          </cell>
          <cell r="B769">
            <v>800</v>
          </cell>
          <cell r="C769" t="str">
            <v>MFEHH02H</v>
          </cell>
          <cell r="D769" t="str">
            <v>소방호스</v>
          </cell>
          <cell r="E769" t="str">
            <v>65A*15M(단일피)</v>
          </cell>
          <cell r="F769" t="str">
            <v>EA</v>
          </cell>
          <cell r="G769">
            <v>0</v>
          </cell>
          <cell r="H769">
            <v>16</v>
          </cell>
          <cell r="J769">
            <v>16</v>
          </cell>
          <cell r="L769">
            <v>45000</v>
          </cell>
          <cell r="N769">
            <v>720000</v>
          </cell>
          <cell r="R769" t="b">
            <v>0</v>
          </cell>
        </row>
        <row r="770">
          <cell r="A770" t="str">
            <v>ANAG</v>
          </cell>
          <cell r="B770">
            <v>900</v>
          </cell>
          <cell r="C770" t="str">
            <v>MFEHNS2H</v>
          </cell>
          <cell r="D770" t="str">
            <v>관창,방사형</v>
          </cell>
          <cell r="E770" t="str">
            <v>65A</v>
          </cell>
          <cell r="F770" t="str">
            <v>EA</v>
          </cell>
          <cell r="G770">
            <v>0</v>
          </cell>
          <cell r="H770">
            <v>8</v>
          </cell>
          <cell r="J770">
            <v>8</v>
          </cell>
          <cell r="L770">
            <v>12000</v>
          </cell>
          <cell r="N770">
            <v>96000</v>
          </cell>
          <cell r="R770" t="b">
            <v>0</v>
          </cell>
        </row>
        <row r="771">
          <cell r="A771" t="str">
            <v>ANAG</v>
          </cell>
          <cell r="B771">
            <v>1000</v>
          </cell>
          <cell r="C771" t="str">
            <v>MFEHHV2H</v>
          </cell>
          <cell r="D771" t="str">
            <v>앵글밸브,소화전용</v>
          </cell>
          <cell r="E771" t="str">
            <v>65A</v>
          </cell>
          <cell r="F771" t="str">
            <v>EA</v>
          </cell>
          <cell r="G771">
            <v>0</v>
          </cell>
          <cell r="H771">
            <v>8</v>
          </cell>
          <cell r="J771">
            <v>8</v>
          </cell>
          <cell r="L771">
            <v>20000</v>
          </cell>
          <cell r="N771">
            <v>160000</v>
          </cell>
          <cell r="R771" t="b">
            <v>0</v>
          </cell>
        </row>
        <row r="772">
          <cell r="A772" t="str">
            <v>ANAG</v>
          </cell>
          <cell r="B772">
            <v>1100</v>
          </cell>
          <cell r="C772" t="str">
            <v>MFEHSI0T</v>
          </cell>
          <cell r="D772" t="str">
            <v>자동배수장치</v>
          </cell>
          <cell r="E772" t="str">
            <v>20A</v>
          </cell>
          <cell r="F772" t="str">
            <v>EA</v>
          </cell>
          <cell r="G772">
            <v>0</v>
          </cell>
          <cell r="H772">
            <v>1</v>
          </cell>
          <cell r="J772">
            <v>1</v>
          </cell>
          <cell r="L772">
            <v>5000</v>
          </cell>
          <cell r="N772">
            <v>5000</v>
          </cell>
          <cell r="R772" t="b">
            <v>0</v>
          </cell>
        </row>
        <row r="773">
          <cell r="A773" t="str">
            <v>ANAG</v>
          </cell>
          <cell r="B773">
            <v>1200</v>
          </cell>
          <cell r="C773" t="str">
            <v>MFEXAB3H</v>
          </cell>
          <cell r="D773" t="str">
            <v>소화기(ABC-DRY CHEMICAL)</v>
          </cell>
          <cell r="E773" t="str">
            <v>3.3KG</v>
          </cell>
          <cell r="F773" t="str">
            <v>EA</v>
          </cell>
          <cell r="G773">
            <v>0</v>
          </cell>
          <cell r="H773">
            <v>8</v>
          </cell>
          <cell r="J773">
            <v>8</v>
          </cell>
          <cell r="L773">
            <v>13000</v>
          </cell>
          <cell r="N773">
            <v>104000</v>
          </cell>
          <cell r="R773" t="b">
            <v>0</v>
          </cell>
        </row>
        <row r="774">
          <cell r="A774" t="str">
            <v>ANAG</v>
          </cell>
          <cell r="B774">
            <v>1300</v>
          </cell>
          <cell r="C774" t="str">
            <v>MFEXABM0</v>
          </cell>
          <cell r="D774" t="str">
            <v>소화기받침대</v>
          </cell>
          <cell r="F774" t="str">
            <v>EA</v>
          </cell>
          <cell r="G774">
            <v>0</v>
          </cell>
          <cell r="H774">
            <v>8</v>
          </cell>
          <cell r="J774">
            <v>8</v>
          </cell>
          <cell r="L774">
            <v>2000</v>
          </cell>
          <cell r="N774">
            <v>16000</v>
          </cell>
          <cell r="R774" t="b">
            <v>0</v>
          </cell>
        </row>
        <row r="775">
          <cell r="A775" t="str">
            <v>ANAG</v>
          </cell>
          <cell r="B775">
            <v>1400</v>
          </cell>
          <cell r="C775" t="str">
            <v>BIV1004A</v>
          </cell>
          <cell r="D775" t="str">
            <v>밸브보온 1</v>
          </cell>
          <cell r="E775" t="str">
            <v>10K 100A</v>
          </cell>
          <cell r="F775" t="str">
            <v>EA</v>
          </cell>
          <cell r="H775">
            <v>1</v>
          </cell>
          <cell r="J775">
            <v>1</v>
          </cell>
          <cell r="L775">
            <v>25000</v>
          </cell>
          <cell r="N775">
            <v>25000</v>
          </cell>
          <cell r="R775" t="b">
            <v>0</v>
          </cell>
        </row>
        <row r="776">
          <cell r="A776" t="str">
            <v>ANAG</v>
          </cell>
          <cell r="B776">
            <v>1500</v>
          </cell>
          <cell r="C776" t="str">
            <v>BFBA104A</v>
          </cell>
          <cell r="D776" t="str">
            <v>스틸 후렌지 접합,SO</v>
          </cell>
          <cell r="E776" t="str">
            <v>10K 100A</v>
          </cell>
          <cell r="F776" t="str">
            <v>JNT</v>
          </cell>
          <cell r="H776">
            <v>2</v>
          </cell>
          <cell r="J776">
            <v>2</v>
          </cell>
          <cell r="L776">
            <v>4846</v>
          </cell>
          <cell r="N776">
            <v>9692</v>
          </cell>
          <cell r="R776" t="b">
            <v>0</v>
          </cell>
        </row>
        <row r="777">
          <cell r="A777" t="str">
            <v>ANAG</v>
          </cell>
          <cell r="B777">
            <v>1600</v>
          </cell>
          <cell r="C777" t="str">
            <v>BHASSL4A</v>
          </cell>
          <cell r="D777" t="str">
            <v>파이프스리브 설치</v>
          </cell>
          <cell r="E777" t="str">
            <v>100A</v>
          </cell>
          <cell r="F777" t="str">
            <v>EA</v>
          </cell>
          <cell r="H777">
            <v>1</v>
          </cell>
          <cell r="J777">
            <v>1</v>
          </cell>
          <cell r="L777">
            <v>9623</v>
          </cell>
          <cell r="N777">
            <v>9623</v>
          </cell>
          <cell r="R777" t="b">
            <v>0</v>
          </cell>
        </row>
        <row r="778">
          <cell r="A778" t="str">
            <v>ANAG</v>
          </cell>
          <cell r="B778">
            <v>1700</v>
          </cell>
          <cell r="C778" t="str">
            <v>BHATSL4A</v>
          </cell>
          <cell r="D778" t="str">
            <v>입상관스리브 설치</v>
          </cell>
          <cell r="E778" t="str">
            <v>100A</v>
          </cell>
          <cell r="F778" t="str">
            <v>EA</v>
          </cell>
          <cell r="H778">
            <v>1</v>
          </cell>
          <cell r="J778">
            <v>1</v>
          </cell>
          <cell r="L778">
            <v>3680</v>
          </cell>
          <cell r="N778">
            <v>3680</v>
          </cell>
          <cell r="R778" t="b">
            <v>0</v>
          </cell>
        </row>
        <row r="779">
          <cell r="A779" t="str">
            <v>ANAG</v>
          </cell>
          <cell r="B779">
            <v>810000</v>
          </cell>
          <cell r="C779" t="str">
            <v>OMISC03</v>
          </cell>
          <cell r="D779" t="str">
            <v>잡자재비</v>
          </cell>
          <cell r="E779" t="str">
            <v>관의 (3)％</v>
          </cell>
          <cell r="F779" t="str">
            <v>L/S</v>
          </cell>
          <cell r="H779">
            <v>1</v>
          </cell>
          <cell r="J779">
            <v>1</v>
          </cell>
          <cell r="L779">
            <v>64410</v>
          </cell>
          <cell r="N779">
            <v>64410</v>
          </cell>
        </row>
        <row r="780">
          <cell r="A780" t="str">
            <v>ANAG</v>
          </cell>
          <cell r="B780">
            <v>850000</v>
          </cell>
          <cell r="C780" t="str">
            <v>LSPWKR</v>
          </cell>
          <cell r="D780" t="str">
            <v>특별인부</v>
          </cell>
          <cell r="F780" t="str">
            <v>M/D</v>
          </cell>
          <cell r="H780">
            <v>0.1</v>
          </cell>
          <cell r="J780">
            <v>0.1</v>
          </cell>
          <cell r="L780">
            <v>31200</v>
          </cell>
          <cell r="N780">
            <v>3120</v>
          </cell>
        </row>
        <row r="781">
          <cell r="A781" t="str">
            <v>ANAG</v>
          </cell>
          <cell r="B781">
            <v>850000</v>
          </cell>
          <cell r="C781" t="str">
            <v>LINSUL</v>
          </cell>
          <cell r="D781" t="str">
            <v>보온공</v>
          </cell>
          <cell r="F781" t="str">
            <v>M/D</v>
          </cell>
          <cell r="H781">
            <v>11.4</v>
          </cell>
          <cell r="J781">
            <v>11.4</v>
          </cell>
          <cell r="L781">
            <v>30900</v>
          </cell>
          <cell r="N781">
            <v>352260</v>
          </cell>
        </row>
        <row r="782">
          <cell r="A782" t="str">
            <v>ANAG</v>
          </cell>
          <cell r="B782">
            <v>850000</v>
          </cell>
          <cell r="C782" t="str">
            <v>LPIPEG</v>
          </cell>
          <cell r="D782" t="str">
            <v>배관공</v>
          </cell>
          <cell r="F782" t="str">
            <v>M/D</v>
          </cell>
          <cell r="H782">
            <v>47.4</v>
          </cell>
          <cell r="J782">
            <v>47.4</v>
          </cell>
          <cell r="L782">
            <v>34400</v>
          </cell>
          <cell r="N782">
            <v>1630560</v>
          </cell>
        </row>
        <row r="783">
          <cell r="A783" t="str">
            <v>ANAG</v>
          </cell>
          <cell r="B783">
            <v>850000</v>
          </cell>
          <cell r="C783" t="str">
            <v>LHELPR</v>
          </cell>
          <cell r="D783" t="str">
            <v>보통인부</v>
          </cell>
          <cell r="F783" t="str">
            <v>M/D</v>
          </cell>
          <cell r="H783">
            <v>10.199999999999999</v>
          </cell>
          <cell r="J783">
            <v>10.199999999999999</v>
          </cell>
          <cell r="L783">
            <v>22300</v>
          </cell>
          <cell r="N783">
            <v>227460</v>
          </cell>
        </row>
        <row r="784">
          <cell r="A784" t="str">
            <v>ANAG</v>
          </cell>
          <cell r="B784">
            <v>990000</v>
          </cell>
          <cell r="C784" t="str">
            <v>OMISC06</v>
          </cell>
          <cell r="D784" t="str">
            <v>공구손료</v>
          </cell>
          <cell r="E784" t="str">
            <v>인건비의 (3)％</v>
          </cell>
          <cell r="F784" t="str">
            <v>L/S</v>
          </cell>
          <cell r="H784">
            <v>1</v>
          </cell>
          <cell r="J784">
            <v>1</v>
          </cell>
          <cell r="L784">
            <v>66600</v>
          </cell>
          <cell r="N784">
            <v>66600</v>
          </cell>
        </row>
        <row r="785">
          <cell r="A785" t="str">
            <v>ANAH</v>
          </cell>
          <cell r="B785">
            <v>0</v>
          </cell>
          <cell r="C785" t="str">
            <v>WAANUS</v>
          </cell>
          <cell r="D785" t="str">
            <v>7-7. 지하주차장 스프링클러배관공사</v>
          </cell>
        </row>
        <row r="786">
          <cell r="A786" t="str">
            <v>ANAH</v>
          </cell>
          <cell r="B786">
            <v>100</v>
          </cell>
          <cell r="C786" t="str">
            <v>MP40E01A</v>
          </cell>
          <cell r="D786" t="str">
            <v>백강관,#40,ERW</v>
          </cell>
          <cell r="E786" t="str">
            <v>25A</v>
          </cell>
          <cell r="F786" t="str">
            <v>M</v>
          </cell>
          <cell r="G786">
            <v>5</v>
          </cell>
          <cell r="H786">
            <v>1119.5</v>
          </cell>
          <cell r="J786">
            <v>1175.5</v>
          </cell>
          <cell r="L786">
            <v>1811</v>
          </cell>
          <cell r="N786">
            <v>2128831</v>
          </cell>
          <cell r="R786" t="b">
            <v>1</v>
          </cell>
        </row>
        <row r="787">
          <cell r="A787" t="str">
            <v>ANAH</v>
          </cell>
          <cell r="B787">
            <v>200</v>
          </cell>
          <cell r="C787" t="str">
            <v>MP40E01D</v>
          </cell>
          <cell r="D787" t="str">
            <v>백강관,#40,ERW</v>
          </cell>
          <cell r="E787" t="str">
            <v>32A</v>
          </cell>
          <cell r="F787" t="str">
            <v>M</v>
          </cell>
          <cell r="G787">
            <v>5</v>
          </cell>
          <cell r="H787">
            <v>386.8</v>
          </cell>
          <cell r="J787">
            <v>406.1</v>
          </cell>
          <cell r="L787">
            <v>2391</v>
          </cell>
          <cell r="N787">
            <v>970985</v>
          </cell>
          <cell r="R787" t="b">
            <v>1</v>
          </cell>
        </row>
        <row r="788">
          <cell r="A788" t="str">
            <v>ANAH</v>
          </cell>
          <cell r="B788">
            <v>300</v>
          </cell>
          <cell r="C788" t="str">
            <v>MP40E01H</v>
          </cell>
          <cell r="D788" t="str">
            <v>백강관,#40,ERW</v>
          </cell>
          <cell r="E788" t="str">
            <v>40A</v>
          </cell>
          <cell r="F788" t="str">
            <v>M</v>
          </cell>
          <cell r="G788">
            <v>5</v>
          </cell>
          <cell r="H788">
            <v>457.1</v>
          </cell>
          <cell r="J788">
            <v>480</v>
          </cell>
          <cell r="L788">
            <v>2890</v>
          </cell>
          <cell r="N788">
            <v>1387200</v>
          </cell>
          <cell r="R788" t="b">
            <v>1</v>
          </cell>
        </row>
        <row r="789">
          <cell r="A789" t="str">
            <v>ANAH</v>
          </cell>
          <cell r="B789">
            <v>400</v>
          </cell>
          <cell r="C789" t="str">
            <v>MP40E02A</v>
          </cell>
          <cell r="D789" t="str">
            <v>백강관,#40,ERW</v>
          </cell>
          <cell r="E789" t="str">
            <v>50A</v>
          </cell>
          <cell r="F789" t="str">
            <v>M</v>
          </cell>
          <cell r="G789">
            <v>5</v>
          </cell>
          <cell r="H789">
            <v>166.5</v>
          </cell>
          <cell r="J789">
            <v>174.8</v>
          </cell>
          <cell r="L789">
            <v>3864</v>
          </cell>
          <cell r="N789">
            <v>675427</v>
          </cell>
          <cell r="R789" t="b">
            <v>1</v>
          </cell>
        </row>
        <row r="790">
          <cell r="A790" t="str">
            <v>ANAH</v>
          </cell>
          <cell r="B790">
            <v>500</v>
          </cell>
          <cell r="C790" t="str">
            <v>MP40E02H</v>
          </cell>
          <cell r="D790" t="str">
            <v>백강관,#40,ERW</v>
          </cell>
          <cell r="E790" t="str">
            <v>65A</v>
          </cell>
          <cell r="F790" t="str">
            <v>M</v>
          </cell>
          <cell r="G790">
            <v>5</v>
          </cell>
          <cell r="H790">
            <v>53.3</v>
          </cell>
          <cell r="J790">
            <v>56</v>
          </cell>
          <cell r="L790">
            <v>6369</v>
          </cell>
          <cell r="N790">
            <v>356664</v>
          </cell>
          <cell r="R790" t="b">
            <v>1</v>
          </cell>
        </row>
        <row r="791">
          <cell r="A791" t="str">
            <v>ANAH</v>
          </cell>
          <cell r="B791">
            <v>600</v>
          </cell>
          <cell r="C791" t="str">
            <v>MP40E03A</v>
          </cell>
          <cell r="D791" t="str">
            <v>백강관,#40,ERW</v>
          </cell>
          <cell r="E791" t="str">
            <v>80A</v>
          </cell>
          <cell r="F791" t="str">
            <v>M</v>
          </cell>
          <cell r="G791">
            <v>5</v>
          </cell>
          <cell r="H791">
            <v>27.9</v>
          </cell>
          <cell r="J791">
            <v>29.3</v>
          </cell>
          <cell r="L791">
            <v>7934</v>
          </cell>
          <cell r="N791">
            <v>232466</v>
          </cell>
          <cell r="R791" t="b">
            <v>1</v>
          </cell>
        </row>
        <row r="792">
          <cell r="A792" t="str">
            <v>ANAH</v>
          </cell>
          <cell r="B792">
            <v>700</v>
          </cell>
          <cell r="C792" t="str">
            <v>MP40E04A</v>
          </cell>
          <cell r="D792" t="str">
            <v>백강관,#40,ERW</v>
          </cell>
          <cell r="E792" t="str">
            <v>100A</v>
          </cell>
          <cell r="F792" t="str">
            <v>M</v>
          </cell>
          <cell r="G792">
            <v>5</v>
          </cell>
          <cell r="H792">
            <v>63</v>
          </cell>
          <cell r="J792">
            <v>66.2</v>
          </cell>
          <cell r="L792">
            <v>11344</v>
          </cell>
          <cell r="N792">
            <v>750973</v>
          </cell>
          <cell r="R792" t="b">
            <v>1</v>
          </cell>
        </row>
        <row r="793">
          <cell r="A793" t="str">
            <v>ANAH</v>
          </cell>
          <cell r="B793">
            <v>800</v>
          </cell>
          <cell r="C793" t="str">
            <v>MP40E05A</v>
          </cell>
          <cell r="D793" t="str">
            <v>백강관,#40,ERW</v>
          </cell>
          <cell r="E793" t="str">
            <v>125A</v>
          </cell>
          <cell r="F793" t="str">
            <v>M</v>
          </cell>
          <cell r="G793">
            <v>5</v>
          </cell>
          <cell r="H793">
            <v>142.6</v>
          </cell>
          <cell r="J793">
            <v>149.69999999999999</v>
          </cell>
          <cell r="L793">
            <v>15467</v>
          </cell>
          <cell r="N793">
            <v>2315410</v>
          </cell>
          <cell r="R793" t="b">
            <v>1</v>
          </cell>
        </row>
        <row r="794">
          <cell r="A794" t="str">
            <v>ANAH</v>
          </cell>
          <cell r="B794">
            <v>900</v>
          </cell>
          <cell r="C794" t="str">
            <v>MP40E06A</v>
          </cell>
          <cell r="D794" t="str">
            <v>백강관,#40,ERW</v>
          </cell>
          <cell r="E794" t="str">
            <v>150A</v>
          </cell>
          <cell r="F794" t="str">
            <v>M</v>
          </cell>
          <cell r="G794">
            <v>5</v>
          </cell>
          <cell r="H794">
            <v>94.3</v>
          </cell>
          <cell r="J794">
            <v>99</v>
          </cell>
          <cell r="L794">
            <v>19730</v>
          </cell>
          <cell r="N794">
            <v>1953270</v>
          </cell>
          <cell r="R794" t="b">
            <v>1</v>
          </cell>
        </row>
        <row r="795">
          <cell r="A795" t="str">
            <v>ANAH</v>
          </cell>
          <cell r="B795">
            <v>901</v>
          </cell>
          <cell r="C795" t="str">
            <v>OMIPMP40</v>
          </cell>
          <cell r="D795" t="str">
            <v>관 부속</v>
          </cell>
          <cell r="E795" t="str">
            <v>관의 (45)％</v>
          </cell>
          <cell r="F795" t="str">
            <v>L/S</v>
          </cell>
          <cell r="H795">
            <v>1</v>
          </cell>
          <cell r="J795">
            <v>1</v>
          </cell>
          <cell r="L795">
            <v>4847027</v>
          </cell>
          <cell r="N795">
            <v>4847027</v>
          </cell>
        </row>
        <row r="796">
          <cell r="A796" t="str">
            <v>ANAH</v>
          </cell>
          <cell r="B796">
            <v>902</v>
          </cell>
          <cell r="C796" t="str">
            <v>OMIHMP40</v>
          </cell>
          <cell r="D796" t="str">
            <v>행거 및 용접봉</v>
          </cell>
          <cell r="E796" t="str">
            <v>관의 (15)％</v>
          </cell>
          <cell r="F796" t="str">
            <v>L/S</v>
          </cell>
          <cell r="H796">
            <v>1</v>
          </cell>
          <cell r="J796">
            <v>1</v>
          </cell>
          <cell r="L796">
            <v>1615676</v>
          </cell>
          <cell r="N796">
            <v>1615676</v>
          </cell>
        </row>
        <row r="797">
          <cell r="A797" t="str">
            <v>ANAH</v>
          </cell>
          <cell r="B797">
            <v>1000</v>
          </cell>
          <cell r="C797" t="str">
            <v>BIPY2A0A</v>
          </cell>
          <cell r="D797" t="str">
            <v>관보온 노출,유리솜,IPP</v>
          </cell>
          <cell r="E797" t="str">
            <v>40T*100A</v>
          </cell>
          <cell r="F797" t="str">
            <v>M</v>
          </cell>
          <cell r="H797">
            <v>19</v>
          </cell>
          <cell r="J797">
            <v>19</v>
          </cell>
          <cell r="L797">
            <v>5554</v>
          </cell>
          <cell r="N797">
            <v>105526</v>
          </cell>
          <cell r="R797" t="b">
            <v>0</v>
          </cell>
        </row>
        <row r="798">
          <cell r="A798" t="str">
            <v>ANAH</v>
          </cell>
          <cell r="B798">
            <v>1100</v>
          </cell>
          <cell r="C798" t="str">
            <v>BIPY2C0A</v>
          </cell>
          <cell r="D798" t="str">
            <v>관보온 노출,유리솜,IPP</v>
          </cell>
          <cell r="E798" t="str">
            <v>40T*150A</v>
          </cell>
          <cell r="F798" t="str">
            <v>M</v>
          </cell>
          <cell r="H798">
            <v>57.6</v>
          </cell>
          <cell r="J798">
            <v>57.6</v>
          </cell>
          <cell r="L798">
            <v>7712</v>
          </cell>
          <cell r="N798">
            <v>444211</v>
          </cell>
          <cell r="R798" t="b">
            <v>0</v>
          </cell>
        </row>
        <row r="799">
          <cell r="A799" t="str">
            <v>ANAH</v>
          </cell>
          <cell r="B799">
            <v>1200</v>
          </cell>
          <cell r="C799" t="str">
            <v>MVAA110T</v>
          </cell>
          <cell r="D799" t="str">
            <v>게이트밸브(청동)</v>
          </cell>
          <cell r="E799" t="str">
            <v>10K  20A</v>
          </cell>
          <cell r="F799" t="str">
            <v>EA</v>
          </cell>
          <cell r="G799">
            <v>0</v>
          </cell>
          <cell r="H799">
            <v>1</v>
          </cell>
          <cell r="J799">
            <v>1</v>
          </cell>
          <cell r="L799">
            <v>5274</v>
          </cell>
          <cell r="N799">
            <v>5274</v>
          </cell>
          <cell r="R799" t="b">
            <v>0</v>
          </cell>
        </row>
        <row r="800">
          <cell r="A800" t="str">
            <v>ANAH</v>
          </cell>
          <cell r="B800">
            <v>1300</v>
          </cell>
          <cell r="C800" t="str">
            <v>MVAA112A</v>
          </cell>
          <cell r="D800" t="str">
            <v>게이트밸브(청동)</v>
          </cell>
          <cell r="E800" t="str">
            <v>10K  50A</v>
          </cell>
          <cell r="F800" t="str">
            <v>EA</v>
          </cell>
          <cell r="G800">
            <v>0</v>
          </cell>
          <cell r="H800">
            <v>1</v>
          </cell>
          <cell r="J800">
            <v>1</v>
          </cell>
          <cell r="L800">
            <v>23665</v>
          </cell>
          <cell r="N800">
            <v>23665</v>
          </cell>
          <cell r="R800" t="b">
            <v>0</v>
          </cell>
        </row>
        <row r="801">
          <cell r="A801" t="str">
            <v>ANAH</v>
          </cell>
          <cell r="B801">
            <v>1400</v>
          </cell>
          <cell r="C801" t="str">
            <v>MVAF416A</v>
          </cell>
          <cell r="D801" t="str">
            <v>게이트밸브(바깥나사)</v>
          </cell>
          <cell r="E801" t="str">
            <v>10K 150A</v>
          </cell>
          <cell r="F801" t="str">
            <v>EA</v>
          </cell>
          <cell r="G801">
            <v>0</v>
          </cell>
          <cell r="H801">
            <v>2</v>
          </cell>
          <cell r="J801">
            <v>2</v>
          </cell>
          <cell r="L801">
            <v>143000</v>
          </cell>
          <cell r="N801">
            <v>286000</v>
          </cell>
          <cell r="R801" t="b">
            <v>0</v>
          </cell>
        </row>
        <row r="802">
          <cell r="A802" t="str">
            <v>ANAH</v>
          </cell>
          <cell r="B802">
            <v>1500</v>
          </cell>
          <cell r="C802" t="str">
            <v>MVBDB14A</v>
          </cell>
          <cell r="D802" t="str">
            <v>체크밸브(주철,스모렌스키)</v>
          </cell>
          <cell r="E802" t="str">
            <v>10K 100A</v>
          </cell>
          <cell r="F802" t="str">
            <v>EA</v>
          </cell>
          <cell r="G802">
            <v>0</v>
          </cell>
          <cell r="H802">
            <v>1</v>
          </cell>
          <cell r="J802">
            <v>1</v>
          </cell>
          <cell r="L802">
            <v>77000</v>
          </cell>
          <cell r="N802">
            <v>77000</v>
          </cell>
          <cell r="R802" t="b">
            <v>0</v>
          </cell>
        </row>
        <row r="803">
          <cell r="A803" t="str">
            <v>ANAH</v>
          </cell>
          <cell r="B803">
            <v>1600</v>
          </cell>
          <cell r="C803" t="str">
            <v>MFEHHV3H</v>
          </cell>
          <cell r="D803" t="str">
            <v>앵글밸브,퇴수용</v>
          </cell>
          <cell r="E803" t="str">
            <v>40A</v>
          </cell>
          <cell r="F803" t="str">
            <v>EA</v>
          </cell>
          <cell r="G803">
            <v>0</v>
          </cell>
          <cell r="H803">
            <v>4</v>
          </cell>
          <cell r="J803">
            <v>4</v>
          </cell>
          <cell r="L803">
            <v>9000</v>
          </cell>
          <cell r="N803">
            <v>36000</v>
          </cell>
          <cell r="R803" t="b">
            <v>0</v>
          </cell>
        </row>
        <row r="804">
          <cell r="A804" t="str">
            <v>ANAH</v>
          </cell>
          <cell r="B804">
            <v>1700</v>
          </cell>
          <cell r="C804" t="str">
            <v>MFEHPW2H</v>
          </cell>
          <cell r="D804" t="str">
            <v>수충격방지기,소화용</v>
          </cell>
          <cell r="E804" t="str">
            <v>65A*10K</v>
          </cell>
          <cell r="F804" t="str">
            <v>EA</v>
          </cell>
          <cell r="G804">
            <v>0</v>
          </cell>
          <cell r="H804">
            <v>4</v>
          </cell>
          <cell r="J804">
            <v>4</v>
          </cell>
          <cell r="L804">
            <v>48000</v>
          </cell>
          <cell r="N804">
            <v>192000</v>
          </cell>
          <cell r="R804" t="b">
            <v>0</v>
          </cell>
        </row>
        <row r="805">
          <cell r="A805" t="str">
            <v>ANAH</v>
          </cell>
          <cell r="B805">
            <v>1800</v>
          </cell>
          <cell r="C805" t="str">
            <v>MFEHPW6A</v>
          </cell>
          <cell r="D805" t="str">
            <v>수충격방지기,소화용</v>
          </cell>
          <cell r="E805" t="str">
            <v>150A*10K</v>
          </cell>
          <cell r="F805" t="str">
            <v>EA</v>
          </cell>
          <cell r="G805">
            <v>0</v>
          </cell>
          <cell r="H805">
            <v>1</v>
          </cell>
          <cell r="J805">
            <v>1</v>
          </cell>
          <cell r="L805">
            <v>80000</v>
          </cell>
          <cell r="N805">
            <v>80000</v>
          </cell>
          <cell r="R805" t="b">
            <v>0</v>
          </cell>
        </row>
        <row r="806">
          <cell r="A806" t="str">
            <v>ANAH</v>
          </cell>
          <cell r="B806">
            <v>1900</v>
          </cell>
          <cell r="C806" t="str">
            <v>MFESHU07</v>
          </cell>
          <cell r="D806" t="str">
            <v>스프링클러헤드,폐쇄,상향</v>
          </cell>
          <cell r="E806" t="str">
            <v>72˚C</v>
          </cell>
          <cell r="F806" t="str">
            <v>EA</v>
          </cell>
          <cell r="G806">
            <v>0</v>
          </cell>
          <cell r="H806">
            <v>716</v>
          </cell>
          <cell r="J806">
            <v>716</v>
          </cell>
          <cell r="L806">
            <v>2400</v>
          </cell>
          <cell r="N806">
            <v>1718400</v>
          </cell>
          <cell r="R806" t="b">
            <v>0</v>
          </cell>
        </row>
        <row r="807">
          <cell r="A807" t="str">
            <v>ANAH</v>
          </cell>
          <cell r="B807">
            <v>2000</v>
          </cell>
          <cell r="C807" t="str">
            <v>MFESVP6A</v>
          </cell>
          <cell r="D807" t="str">
            <v>프리액션 밸브</v>
          </cell>
          <cell r="E807" t="str">
            <v>150A</v>
          </cell>
          <cell r="F807" t="str">
            <v>EA</v>
          </cell>
          <cell r="G807">
            <v>0</v>
          </cell>
          <cell r="H807">
            <v>1</v>
          </cell>
          <cell r="J807">
            <v>1</v>
          </cell>
          <cell r="L807">
            <v>450000</v>
          </cell>
          <cell r="N807">
            <v>450000</v>
          </cell>
          <cell r="R807" t="b">
            <v>0</v>
          </cell>
        </row>
        <row r="808">
          <cell r="A808" t="str">
            <v>ANAH</v>
          </cell>
          <cell r="B808">
            <v>2100</v>
          </cell>
          <cell r="C808" t="str">
            <v>MFESVR02</v>
          </cell>
          <cell r="D808" t="str">
            <v>템퍼스위치(W/브라켓)</v>
          </cell>
          <cell r="F808" t="str">
            <v>EA</v>
          </cell>
          <cell r="G808">
            <v>0</v>
          </cell>
          <cell r="H808">
            <v>2</v>
          </cell>
          <cell r="J808">
            <v>2</v>
          </cell>
          <cell r="L808">
            <v>50000</v>
          </cell>
          <cell r="N808">
            <v>100000</v>
          </cell>
          <cell r="R808" t="b">
            <v>0</v>
          </cell>
        </row>
        <row r="809">
          <cell r="A809" t="str">
            <v>ANAH</v>
          </cell>
          <cell r="B809">
            <v>2200</v>
          </cell>
          <cell r="C809" t="str">
            <v>MXAPA005</v>
          </cell>
          <cell r="D809" t="str">
            <v>열선(동파방지,센서부착형)</v>
          </cell>
          <cell r="E809" t="str">
            <v>5.0M</v>
          </cell>
          <cell r="F809" t="str">
            <v>SET</v>
          </cell>
          <cell r="G809">
            <v>0</v>
          </cell>
          <cell r="H809">
            <v>33</v>
          </cell>
          <cell r="J809">
            <v>33</v>
          </cell>
          <cell r="L809">
            <v>20900</v>
          </cell>
          <cell r="N809">
            <v>689700</v>
          </cell>
          <cell r="R809" t="b">
            <v>0</v>
          </cell>
        </row>
        <row r="810">
          <cell r="A810" t="str">
            <v>ANAH</v>
          </cell>
          <cell r="B810">
            <v>2300</v>
          </cell>
          <cell r="C810" t="str">
            <v>MFEHSI0T</v>
          </cell>
          <cell r="D810" t="str">
            <v>자동배수장치</v>
          </cell>
          <cell r="E810" t="str">
            <v>20A</v>
          </cell>
          <cell r="F810" t="str">
            <v>EA</v>
          </cell>
          <cell r="G810">
            <v>0</v>
          </cell>
          <cell r="H810">
            <v>1</v>
          </cell>
          <cell r="J810">
            <v>1</v>
          </cell>
          <cell r="L810">
            <v>5000</v>
          </cell>
          <cell r="N810">
            <v>5000</v>
          </cell>
          <cell r="R810" t="b">
            <v>0</v>
          </cell>
        </row>
        <row r="811">
          <cell r="A811" t="str">
            <v>ANAH</v>
          </cell>
          <cell r="B811">
            <v>2400</v>
          </cell>
          <cell r="C811" t="str">
            <v>BIV1004A</v>
          </cell>
          <cell r="D811" t="str">
            <v>밸브보온 1</v>
          </cell>
          <cell r="E811" t="str">
            <v>10K 100A</v>
          </cell>
          <cell r="F811" t="str">
            <v>EA</v>
          </cell>
          <cell r="H811">
            <v>1</v>
          </cell>
          <cell r="J811">
            <v>1</v>
          </cell>
          <cell r="L811">
            <v>25000</v>
          </cell>
          <cell r="N811">
            <v>25000</v>
          </cell>
          <cell r="R811" t="b">
            <v>0</v>
          </cell>
        </row>
        <row r="812">
          <cell r="A812" t="str">
            <v>ANAH</v>
          </cell>
          <cell r="B812">
            <v>2500</v>
          </cell>
          <cell r="C812" t="str">
            <v>BIV1006A</v>
          </cell>
          <cell r="D812" t="str">
            <v>밸브보온 1</v>
          </cell>
          <cell r="E812" t="str">
            <v>10K 150A</v>
          </cell>
          <cell r="F812" t="str">
            <v>EA</v>
          </cell>
          <cell r="H812">
            <v>1</v>
          </cell>
          <cell r="J812">
            <v>1</v>
          </cell>
          <cell r="L812">
            <v>39000</v>
          </cell>
          <cell r="N812">
            <v>39000</v>
          </cell>
          <cell r="R812" t="b">
            <v>0</v>
          </cell>
        </row>
        <row r="813">
          <cell r="A813" t="str">
            <v>ANAH</v>
          </cell>
          <cell r="B813">
            <v>2600</v>
          </cell>
          <cell r="C813" t="str">
            <v>BPACSP1A</v>
          </cell>
          <cell r="D813" t="str">
            <v>백강관 도장,색페인트</v>
          </cell>
          <cell r="E813" t="str">
            <v>2 COAT* 25A</v>
          </cell>
          <cell r="F813" t="str">
            <v>M</v>
          </cell>
          <cell r="H813">
            <v>1119.5</v>
          </cell>
          <cell r="J813">
            <v>1119.5</v>
          </cell>
          <cell r="L813">
            <v>127</v>
          </cell>
          <cell r="N813">
            <v>142177</v>
          </cell>
          <cell r="R813" t="b">
            <v>0</v>
          </cell>
        </row>
        <row r="814">
          <cell r="A814" t="str">
            <v>ANAH</v>
          </cell>
          <cell r="B814">
            <v>2700</v>
          </cell>
          <cell r="C814" t="str">
            <v>BPACSP1D</v>
          </cell>
          <cell r="D814" t="str">
            <v>백강관 도장,색페인트</v>
          </cell>
          <cell r="E814" t="str">
            <v>2 COAT* 32A</v>
          </cell>
          <cell r="F814" t="str">
            <v>M</v>
          </cell>
          <cell r="H814">
            <v>386.8</v>
          </cell>
          <cell r="J814">
            <v>386.8</v>
          </cell>
          <cell r="L814">
            <v>159</v>
          </cell>
          <cell r="N814">
            <v>61501</v>
          </cell>
          <cell r="R814" t="b">
            <v>0</v>
          </cell>
        </row>
        <row r="815">
          <cell r="A815" t="str">
            <v>ANAH</v>
          </cell>
          <cell r="B815">
            <v>2800</v>
          </cell>
          <cell r="C815" t="str">
            <v>BPACSP1H</v>
          </cell>
          <cell r="D815" t="str">
            <v>백강관 도장,색페인트</v>
          </cell>
          <cell r="E815" t="str">
            <v>2 COAT* 40A</v>
          </cell>
          <cell r="F815" t="str">
            <v>M</v>
          </cell>
          <cell r="H815">
            <v>457.1</v>
          </cell>
          <cell r="J815">
            <v>457.1</v>
          </cell>
          <cell r="L815">
            <v>182</v>
          </cell>
          <cell r="N815">
            <v>83192</v>
          </cell>
          <cell r="R815" t="b">
            <v>0</v>
          </cell>
        </row>
        <row r="816">
          <cell r="A816" t="str">
            <v>ANAH</v>
          </cell>
          <cell r="B816">
            <v>2900</v>
          </cell>
          <cell r="C816" t="str">
            <v>BPACSP2A</v>
          </cell>
          <cell r="D816" t="str">
            <v>백강관 도장,색페인트</v>
          </cell>
          <cell r="E816" t="str">
            <v>2 COAT* 50A</v>
          </cell>
          <cell r="F816" t="str">
            <v>M</v>
          </cell>
          <cell r="H816">
            <v>166.5</v>
          </cell>
          <cell r="J816">
            <v>166.5</v>
          </cell>
          <cell r="L816">
            <v>226</v>
          </cell>
          <cell r="N816">
            <v>37629</v>
          </cell>
          <cell r="R816" t="b">
            <v>0</v>
          </cell>
        </row>
        <row r="817">
          <cell r="A817" t="str">
            <v>ANAH</v>
          </cell>
          <cell r="B817">
            <v>3000</v>
          </cell>
          <cell r="C817" t="str">
            <v>BPACSP2H</v>
          </cell>
          <cell r="D817" t="str">
            <v>백강관 도장,색페인트</v>
          </cell>
          <cell r="E817" t="str">
            <v>2 COAT* 65A</v>
          </cell>
          <cell r="F817" t="str">
            <v>M</v>
          </cell>
          <cell r="H817">
            <v>53.3</v>
          </cell>
          <cell r="J817">
            <v>53.3</v>
          </cell>
          <cell r="L817">
            <v>285</v>
          </cell>
          <cell r="N817">
            <v>15191</v>
          </cell>
          <cell r="R817" t="b">
            <v>0</v>
          </cell>
        </row>
        <row r="818">
          <cell r="A818" t="str">
            <v>ANAH</v>
          </cell>
          <cell r="B818">
            <v>3100</v>
          </cell>
          <cell r="C818" t="str">
            <v>BPACSP3A</v>
          </cell>
          <cell r="D818" t="str">
            <v>백강관 도장,색페인트</v>
          </cell>
          <cell r="E818" t="str">
            <v>2 COAT* 80A</v>
          </cell>
          <cell r="F818" t="str">
            <v>M</v>
          </cell>
          <cell r="H818">
            <v>27.9</v>
          </cell>
          <cell r="J818">
            <v>27.9</v>
          </cell>
          <cell r="L818">
            <v>333</v>
          </cell>
          <cell r="N818">
            <v>9291</v>
          </cell>
          <cell r="R818" t="b">
            <v>0</v>
          </cell>
        </row>
        <row r="819">
          <cell r="A819" t="str">
            <v>ANAH</v>
          </cell>
          <cell r="B819">
            <v>3200</v>
          </cell>
          <cell r="C819" t="str">
            <v>BPACSP4A</v>
          </cell>
          <cell r="D819" t="str">
            <v>백강관 도장,색페인트</v>
          </cell>
          <cell r="E819" t="str">
            <v>2 COAT*100A</v>
          </cell>
          <cell r="F819" t="str">
            <v>M</v>
          </cell>
          <cell r="H819">
            <v>44</v>
          </cell>
          <cell r="J819">
            <v>44</v>
          </cell>
          <cell r="L819">
            <v>426</v>
          </cell>
          <cell r="N819">
            <v>18744</v>
          </cell>
          <cell r="R819" t="b">
            <v>0</v>
          </cell>
        </row>
        <row r="820">
          <cell r="A820" t="str">
            <v>ANAH</v>
          </cell>
          <cell r="B820">
            <v>3300</v>
          </cell>
          <cell r="C820" t="str">
            <v>BPACSP5A</v>
          </cell>
          <cell r="D820" t="str">
            <v>백강관 도장,색페인트</v>
          </cell>
          <cell r="E820" t="str">
            <v>2 COAT*125A</v>
          </cell>
          <cell r="F820" t="str">
            <v>M</v>
          </cell>
          <cell r="H820">
            <v>122.1</v>
          </cell>
          <cell r="J820">
            <v>122.1</v>
          </cell>
          <cell r="L820">
            <v>523</v>
          </cell>
          <cell r="N820">
            <v>63858</v>
          </cell>
          <cell r="R820" t="b">
            <v>0</v>
          </cell>
        </row>
        <row r="821">
          <cell r="A821" t="str">
            <v>ANAH</v>
          </cell>
          <cell r="B821">
            <v>3400</v>
          </cell>
          <cell r="C821" t="str">
            <v>BPACSP6A</v>
          </cell>
          <cell r="D821" t="str">
            <v>백강관 도장,색페인트</v>
          </cell>
          <cell r="E821" t="str">
            <v>2 COAT*150A</v>
          </cell>
          <cell r="F821" t="str">
            <v>M</v>
          </cell>
          <cell r="H821">
            <v>57.2</v>
          </cell>
          <cell r="J821">
            <v>57.2</v>
          </cell>
          <cell r="L821">
            <v>617</v>
          </cell>
          <cell r="N821">
            <v>35292</v>
          </cell>
          <cell r="R821" t="b">
            <v>0</v>
          </cell>
        </row>
        <row r="822">
          <cell r="A822" t="str">
            <v>ANAH</v>
          </cell>
          <cell r="B822">
            <v>3500</v>
          </cell>
          <cell r="C822" t="str">
            <v>BFBA102H</v>
          </cell>
          <cell r="D822" t="str">
            <v>스틸 후렌지 접합,SO</v>
          </cell>
          <cell r="E822" t="str">
            <v>10K  65A</v>
          </cell>
          <cell r="F822" t="str">
            <v>JNT</v>
          </cell>
          <cell r="H822">
            <v>4</v>
          </cell>
          <cell r="J822">
            <v>4</v>
          </cell>
          <cell r="L822">
            <v>3329</v>
          </cell>
          <cell r="N822">
            <v>13316</v>
          </cell>
          <cell r="R822" t="b">
            <v>0</v>
          </cell>
        </row>
        <row r="823">
          <cell r="A823" t="str">
            <v>ANAH</v>
          </cell>
          <cell r="B823">
            <v>3600</v>
          </cell>
          <cell r="C823" t="str">
            <v>BFBA104A</v>
          </cell>
          <cell r="D823" t="str">
            <v>스틸 후렌지 접합,SO</v>
          </cell>
          <cell r="E823" t="str">
            <v>10K 100A</v>
          </cell>
          <cell r="F823" t="str">
            <v>JNT</v>
          </cell>
          <cell r="H823">
            <v>2</v>
          </cell>
          <cell r="J823">
            <v>2</v>
          </cell>
          <cell r="L823">
            <v>4846</v>
          </cell>
          <cell r="N823">
            <v>9692</v>
          </cell>
          <cell r="R823" t="b">
            <v>0</v>
          </cell>
        </row>
        <row r="824">
          <cell r="A824" t="str">
            <v>ANAH</v>
          </cell>
          <cell r="B824">
            <v>3700</v>
          </cell>
          <cell r="C824" t="str">
            <v>BFBA106A</v>
          </cell>
          <cell r="D824" t="str">
            <v>스틸 후렌지 접합,SO</v>
          </cell>
          <cell r="E824" t="str">
            <v>10K 150A</v>
          </cell>
          <cell r="F824" t="str">
            <v>JNT</v>
          </cell>
          <cell r="H824">
            <v>3</v>
          </cell>
          <cell r="J824">
            <v>3</v>
          </cell>
          <cell r="L824">
            <v>10794</v>
          </cell>
          <cell r="N824">
            <v>32382</v>
          </cell>
          <cell r="R824" t="b">
            <v>0</v>
          </cell>
        </row>
        <row r="825">
          <cell r="A825" t="str">
            <v>ANAH</v>
          </cell>
          <cell r="B825">
            <v>3800</v>
          </cell>
          <cell r="C825" t="str">
            <v>BHASSL6A</v>
          </cell>
          <cell r="D825" t="str">
            <v>파이프스리브 설치</v>
          </cell>
          <cell r="E825" t="str">
            <v>150A</v>
          </cell>
          <cell r="F825" t="str">
            <v>EA</v>
          </cell>
          <cell r="H825">
            <v>2</v>
          </cell>
          <cell r="J825">
            <v>2</v>
          </cell>
          <cell r="L825">
            <v>21745</v>
          </cell>
          <cell r="N825">
            <v>43490</v>
          </cell>
          <cell r="R825" t="b">
            <v>0</v>
          </cell>
        </row>
        <row r="826">
          <cell r="A826" t="str">
            <v>ANAH</v>
          </cell>
          <cell r="B826">
            <v>3900</v>
          </cell>
          <cell r="C826" t="str">
            <v>BHATSL6A</v>
          </cell>
          <cell r="D826" t="str">
            <v>입상관스리브 설치</v>
          </cell>
          <cell r="E826" t="str">
            <v>150A</v>
          </cell>
          <cell r="F826" t="str">
            <v>EA</v>
          </cell>
          <cell r="H826">
            <v>1</v>
          </cell>
          <cell r="J826">
            <v>1</v>
          </cell>
          <cell r="L826">
            <v>8175</v>
          </cell>
          <cell r="N826">
            <v>8175</v>
          </cell>
          <cell r="R826" t="b">
            <v>0</v>
          </cell>
        </row>
        <row r="827">
          <cell r="A827" t="str">
            <v>ANAH</v>
          </cell>
          <cell r="B827">
            <v>810000</v>
          </cell>
          <cell r="C827" t="str">
            <v>OMISC03</v>
          </cell>
          <cell r="D827" t="str">
            <v>잡자재비</v>
          </cell>
          <cell r="E827" t="str">
            <v>관의 (3)％</v>
          </cell>
          <cell r="F827" t="str">
            <v>L/S</v>
          </cell>
          <cell r="H827">
            <v>1</v>
          </cell>
          <cell r="J827">
            <v>1</v>
          </cell>
          <cell r="L827">
            <v>323365</v>
          </cell>
          <cell r="N827">
            <v>323365</v>
          </cell>
        </row>
        <row r="828">
          <cell r="A828" t="str">
            <v>ANAH</v>
          </cell>
          <cell r="B828">
            <v>850000</v>
          </cell>
          <cell r="C828" t="str">
            <v>LSPWKR</v>
          </cell>
          <cell r="D828" t="str">
            <v>특별인부</v>
          </cell>
          <cell r="F828" t="str">
            <v>M/D</v>
          </cell>
          <cell r="H828">
            <v>0.2</v>
          </cell>
          <cell r="J828">
            <v>0.2</v>
          </cell>
          <cell r="L828">
            <v>31200</v>
          </cell>
          <cell r="N828">
            <v>6240</v>
          </cell>
        </row>
        <row r="829">
          <cell r="A829" t="str">
            <v>ANAH</v>
          </cell>
          <cell r="B829">
            <v>850000</v>
          </cell>
          <cell r="C829" t="str">
            <v>LINSUL</v>
          </cell>
          <cell r="D829" t="str">
            <v>보온공</v>
          </cell>
          <cell r="F829" t="str">
            <v>M/D</v>
          </cell>
          <cell r="H829">
            <v>6.6</v>
          </cell>
          <cell r="J829">
            <v>6.6</v>
          </cell>
          <cell r="L829">
            <v>30900</v>
          </cell>
          <cell r="N829">
            <v>203940</v>
          </cell>
        </row>
        <row r="830">
          <cell r="A830" t="str">
            <v>ANAH</v>
          </cell>
          <cell r="B830">
            <v>850000</v>
          </cell>
          <cell r="C830" t="str">
            <v>LPAINT</v>
          </cell>
          <cell r="D830" t="str">
            <v>도장공</v>
          </cell>
          <cell r="F830" t="str">
            <v>M/D</v>
          </cell>
          <cell r="H830">
            <v>24</v>
          </cell>
          <cell r="J830">
            <v>24</v>
          </cell>
          <cell r="L830">
            <v>38200</v>
          </cell>
          <cell r="N830">
            <v>916800</v>
          </cell>
        </row>
        <row r="831">
          <cell r="A831" t="str">
            <v>ANAH</v>
          </cell>
          <cell r="B831">
            <v>850000</v>
          </cell>
          <cell r="C831" t="str">
            <v>LPIPEG</v>
          </cell>
          <cell r="D831" t="str">
            <v>배관공</v>
          </cell>
          <cell r="F831" t="str">
            <v>M/D</v>
          </cell>
          <cell r="H831">
            <v>292.8</v>
          </cell>
          <cell r="J831">
            <v>292.8</v>
          </cell>
          <cell r="L831">
            <v>34400</v>
          </cell>
          <cell r="N831">
            <v>10072320</v>
          </cell>
        </row>
        <row r="832">
          <cell r="A832" t="str">
            <v>ANAH</v>
          </cell>
          <cell r="B832">
            <v>850000</v>
          </cell>
          <cell r="C832" t="str">
            <v>LHELPR</v>
          </cell>
          <cell r="D832" t="str">
            <v>보통인부</v>
          </cell>
          <cell r="F832" t="str">
            <v>M/D</v>
          </cell>
          <cell r="H832">
            <v>63.6</v>
          </cell>
          <cell r="J832">
            <v>63.6</v>
          </cell>
          <cell r="L832">
            <v>22300</v>
          </cell>
          <cell r="N832">
            <v>1418280</v>
          </cell>
        </row>
        <row r="833">
          <cell r="A833" t="str">
            <v>ANAH</v>
          </cell>
          <cell r="B833">
            <v>990000</v>
          </cell>
          <cell r="C833" t="str">
            <v>OMISC06</v>
          </cell>
          <cell r="D833" t="str">
            <v>공구손료</v>
          </cell>
          <cell r="E833" t="str">
            <v>인건비의 (3)％</v>
          </cell>
          <cell r="F833" t="str">
            <v>L/S</v>
          </cell>
          <cell r="H833">
            <v>1</v>
          </cell>
          <cell r="J833">
            <v>1</v>
          </cell>
          <cell r="L833">
            <v>379420</v>
          </cell>
          <cell r="N833">
            <v>379420</v>
          </cell>
        </row>
        <row r="834">
          <cell r="A834" t="str">
            <v>AP</v>
          </cell>
          <cell r="B834">
            <v>0</v>
          </cell>
          <cell r="C834" t="str">
            <v>WAB</v>
          </cell>
          <cell r="D834" t="str">
            <v>8. 관리사무소및노인정설비공사</v>
          </cell>
        </row>
        <row r="835">
          <cell r="A835" t="str">
            <v>AP1</v>
          </cell>
          <cell r="B835">
            <v>0</v>
          </cell>
          <cell r="C835" t="str">
            <v>WABD1</v>
          </cell>
          <cell r="D835" t="str">
            <v>8-1. 장비설치공사</v>
          </cell>
        </row>
        <row r="836">
          <cell r="A836" t="str">
            <v>AP1</v>
          </cell>
          <cell r="B836">
            <v>100</v>
          </cell>
          <cell r="C836" t="str">
            <v>TMSJI025</v>
          </cell>
          <cell r="D836" t="str">
            <v>B-1 가스보일러(F.F)</v>
          </cell>
          <cell r="E836" t="str">
            <v>13,000KCAL</v>
          </cell>
          <cell r="F836" t="str">
            <v>SET</v>
          </cell>
          <cell r="G836">
            <v>0</v>
          </cell>
          <cell r="H836">
            <v>1</v>
          </cell>
          <cell r="J836">
            <v>1</v>
          </cell>
          <cell r="L836">
            <v>310000</v>
          </cell>
          <cell r="N836">
            <v>310000</v>
          </cell>
          <cell r="R836" t="b">
            <v>0</v>
          </cell>
        </row>
        <row r="837">
          <cell r="A837" t="str">
            <v>AP1</v>
          </cell>
          <cell r="B837">
            <v>200</v>
          </cell>
          <cell r="C837" t="str">
            <v>TMYYS005</v>
          </cell>
          <cell r="D837" t="str">
            <v>P.A.C 에어콘</v>
          </cell>
          <cell r="E837" t="str">
            <v>7500KCAL/H</v>
          </cell>
          <cell r="F837" t="str">
            <v>SET</v>
          </cell>
          <cell r="G837">
            <v>0</v>
          </cell>
          <cell r="H837">
            <v>1</v>
          </cell>
          <cell r="J837">
            <v>1</v>
          </cell>
          <cell r="L837">
            <v>3000000</v>
          </cell>
          <cell r="N837">
            <v>3000000</v>
          </cell>
          <cell r="R837" t="b">
            <v>0</v>
          </cell>
        </row>
        <row r="838">
          <cell r="A838" t="str">
            <v>AP1</v>
          </cell>
          <cell r="B838">
            <v>810000</v>
          </cell>
          <cell r="C838" t="str">
            <v>OMISC03</v>
          </cell>
          <cell r="D838" t="str">
            <v>잡자재비</v>
          </cell>
          <cell r="E838" t="str">
            <v>관의 (3)％</v>
          </cell>
          <cell r="F838" t="str">
            <v>L/S</v>
          </cell>
          <cell r="H838">
            <v>1</v>
          </cell>
          <cell r="J838">
            <v>1</v>
          </cell>
          <cell r="L838">
            <v>0</v>
          </cell>
          <cell r="N838">
            <v>0</v>
          </cell>
        </row>
        <row r="839">
          <cell r="A839" t="str">
            <v>AP1</v>
          </cell>
          <cell r="B839">
            <v>990000</v>
          </cell>
          <cell r="C839" t="str">
            <v>OMISC06</v>
          </cell>
          <cell r="D839" t="str">
            <v>공구손료</v>
          </cell>
          <cell r="E839" t="str">
            <v>인건비의 (3)％</v>
          </cell>
          <cell r="F839" t="str">
            <v>L/S</v>
          </cell>
          <cell r="H839">
            <v>1</v>
          </cell>
          <cell r="J839">
            <v>1</v>
          </cell>
          <cell r="L839">
            <v>0</v>
          </cell>
          <cell r="N839">
            <v>0</v>
          </cell>
        </row>
        <row r="840">
          <cell r="A840" t="str">
            <v>AP2</v>
          </cell>
          <cell r="B840">
            <v>0</v>
          </cell>
          <cell r="C840" t="str">
            <v>WABD2</v>
          </cell>
          <cell r="D840" t="str">
            <v>8-2. 난방배관공사</v>
          </cell>
        </row>
        <row r="841">
          <cell r="A841" t="str">
            <v>AP2</v>
          </cell>
          <cell r="B841">
            <v>100</v>
          </cell>
          <cell r="C841" t="str">
            <v>MPA3001A</v>
          </cell>
          <cell r="D841" t="str">
            <v>동관(L형)</v>
          </cell>
          <cell r="E841" t="str">
            <v>1B    , 28.58</v>
          </cell>
          <cell r="F841" t="str">
            <v>M</v>
          </cell>
          <cell r="G841">
            <v>5</v>
          </cell>
          <cell r="H841">
            <v>2.4</v>
          </cell>
          <cell r="J841">
            <v>2.5</v>
          </cell>
          <cell r="L841">
            <v>2823</v>
          </cell>
          <cell r="N841">
            <v>7058</v>
          </cell>
          <cell r="R841" t="b">
            <v>1</v>
          </cell>
        </row>
        <row r="842">
          <cell r="A842" t="str">
            <v>AP2</v>
          </cell>
          <cell r="B842">
            <v>200</v>
          </cell>
          <cell r="C842" t="str">
            <v>MPC1000H</v>
          </cell>
          <cell r="D842" t="str">
            <v>PPC 파이프</v>
          </cell>
          <cell r="E842" t="str">
            <v>15D</v>
          </cell>
          <cell r="F842" t="str">
            <v>M</v>
          </cell>
          <cell r="G842">
            <v>5</v>
          </cell>
          <cell r="H842">
            <v>7.6</v>
          </cell>
          <cell r="J842">
            <v>8</v>
          </cell>
          <cell r="L842">
            <v>170</v>
          </cell>
          <cell r="N842">
            <v>1360</v>
          </cell>
          <cell r="R842" t="b">
            <v>1</v>
          </cell>
        </row>
        <row r="843">
          <cell r="A843" t="str">
            <v>AP2</v>
          </cell>
          <cell r="B843">
            <v>300</v>
          </cell>
          <cell r="C843" t="str">
            <v>MPC1000T</v>
          </cell>
          <cell r="D843" t="str">
            <v>PPC 파이프</v>
          </cell>
          <cell r="E843" t="str">
            <v>20D</v>
          </cell>
          <cell r="F843" t="str">
            <v>M</v>
          </cell>
          <cell r="G843">
            <v>5</v>
          </cell>
          <cell r="H843">
            <v>16.2</v>
          </cell>
          <cell r="J843">
            <v>17</v>
          </cell>
          <cell r="L843">
            <v>310</v>
          </cell>
          <cell r="N843">
            <v>5270</v>
          </cell>
          <cell r="R843" t="b">
            <v>1</v>
          </cell>
        </row>
        <row r="844">
          <cell r="A844" t="str">
            <v>AP2</v>
          </cell>
          <cell r="B844">
            <v>400</v>
          </cell>
          <cell r="C844" t="str">
            <v>MPC1001A</v>
          </cell>
          <cell r="D844" t="str">
            <v>PPC 파이프</v>
          </cell>
          <cell r="E844" t="str">
            <v>25D</v>
          </cell>
          <cell r="F844" t="str">
            <v>M</v>
          </cell>
          <cell r="G844">
            <v>5</v>
          </cell>
          <cell r="H844">
            <v>19.2</v>
          </cell>
          <cell r="J844">
            <v>20.2</v>
          </cell>
          <cell r="L844">
            <v>460</v>
          </cell>
          <cell r="N844">
            <v>9292</v>
          </cell>
          <cell r="R844" t="b">
            <v>1</v>
          </cell>
        </row>
        <row r="845">
          <cell r="A845" t="str">
            <v>AP2</v>
          </cell>
          <cell r="B845">
            <v>500</v>
          </cell>
          <cell r="C845" t="str">
            <v>BIPDC10H</v>
          </cell>
          <cell r="D845" t="str">
            <v>관보온,아티론,일반AL</v>
          </cell>
          <cell r="E845" t="str">
            <v>10T* 15A</v>
          </cell>
          <cell r="F845" t="str">
            <v>M</v>
          </cell>
          <cell r="H845">
            <v>7.6</v>
          </cell>
          <cell r="J845">
            <v>7.6</v>
          </cell>
          <cell r="L845">
            <v>335</v>
          </cell>
          <cell r="N845">
            <v>2546</v>
          </cell>
          <cell r="R845" t="b">
            <v>0</v>
          </cell>
        </row>
        <row r="846">
          <cell r="A846" t="str">
            <v>AP2</v>
          </cell>
          <cell r="B846">
            <v>600</v>
          </cell>
          <cell r="C846" t="str">
            <v>BIPDC10T</v>
          </cell>
          <cell r="D846" t="str">
            <v>관보온,아티론,일반AL</v>
          </cell>
          <cell r="E846" t="str">
            <v>10T* 20A</v>
          </cell>
          <cell r="F846" t="str">
            <v>M</v>
          </cell>
          <cell r="H846">
            <v>9.9</v>
          </cell>
          <cell r="J846">
            <v>9.9</v>
          </cell>
          <cell r="L846">
            <v>370</v>
          </cell>
          <cell r="N846">
            <v>3663</v>
          </cell>
          <cell r="R846" t="b">
            <v>0</v>
          </cell>
        </row>
        <row r="847">
          <cell r="A847" t="str">
            <v>AP2</v>
          </cell>
          <cell r="B847">
            <v>700</v>
          </cell>
          <cell r="C847" t="str">
            <v>BIPDC11A</v>
          </cell>
          <cell r="D847" t="str">
            <v>관보온,아티론,일반AL</v>
          </cell>
          <cell r="E847" t="str">
            <v>10T* 25A</v>
          </cell>
          <cell r="F847" t="str">
            <v>M</v>
          </cell>
          <cell r="H847">
            <v>19.2</v>
          </cell>
          <cell r="J847">
            <v>19.2</v>
          </cell>
          <cell r="L847">
            <v>405</v>
          </cell>
          <cell r="N847">
            <v>7776</v>
          </cell>
          <cell r="R847" t="b">
            <v>0</v>
          </cell>
        </row>
        <row r="848">
          <cell r="A848" t="str">
            <v>AP2</v>
          </cell>
          <cell r="B848">
            <v>800</v>
          </cell>
          <cell r="C848" t="str">
            <v>BIPA121A</v>
          </cell>
          <cell r="D848" t="str">
            <v>관보온 은폐,유리솜 1</v>
          </cell>
          <cell r="E848" t="str">
            <v>25T* 25A</v>
          </cell>
          <cell r="F848" t="str">
            <v>M</v>
          </cell>
          <cell r="H848">
            <v>3</v>
          </cell>
          <cell r="J848">
            <v>3</v>
          </cell>
          <cell r="L848">
            <v>1131</v>
          </cell>
          <cell r="N848">
            <v>3393</v>
          </cell>
          <cell r="R848" t="b">
            <v>0</v>
          </cell>
        </row>
        <row r="849">
          <cell r="A849" t="str">
            <v>AP2</v>
          </cell>
          <cell r="B849">
            <v>900</v>
          </cell>
          <cell r="C849" t="str">
            <v>MPAF0B1A</v>
          </cell>
          <cell r="D849" t="str">
            <v>동 엘보</v>
          </cell>
          <cell r="E849" t="str">
            <v>1B</v>
          </cell>
          <cell r="F849" t="str">
            <v>EA</v>
          </cell>
          <cell r="G849">
            <v>0</v>
          </cell>
          <cell r="H849">
            <v>2</v>
          </cell>
          <cell r="J849">
            <v>2</v>
          </cell>
          <cell r="L849">
            <v>529</v>
          </cell>
          <cell r="N849">
            <v>1058</v>
          </cell>
          <cell r="R849" t="b">
            <v>0</v>
          </cell>
        </row>
        <row r="850">
          <cell r="A850" t="str">
            <v>AP2</v>
          </cell>
          <cell r="B850">
            <v>1000</v>
          </cell>
          <cell r="C850" t="str">
            <v>MPAF3M1A</v>
          </cell>
          <cell r="D850" t="str">
            <v>황동 CXM 유니온</v>
          </cell>
          <cell r="E850" t="str">
            <v>1B</v>
          </cell>
          <cell r="F850" t="str">
            <v>EA</v>
          </cell>
          <cell r="G850">
            <v>0</v>
          </cell>
          <cell r="H850">
            <v>2</v>
          </cell>
          <cell r="J850">
            <v>2</v>
          </cell>
          <cell r="L850">
            <v>2145</v>
          </cell>
          <cell r="N850">
            <v>4290</v>
          </cell>
          <cell r="R850" t="b">
            <v>0</v>
          </cell>
        </row>
        <row r="851">
          <cell r="A851" t="str">
            <v>AP2</v>
          </cell>
          <cell r="B851">
            <v>1100</v>
          </cell>
          <cell r="C851" t="str">
            <v>MPAF4S1A</v>
          </cell>
          <cell r="D851" t="str">
            <v>황동 니플</v>
          </cell>
          <cell r="E851" t="str">
            <v>1B</v>
          </cell>
          <cell r="F851" t="str">
            <v>EA</v>
          </cell>
          <cell r="G851">
            <v>0</v>
          </cell>
          <cell r="H851">
            <v>5</v>
          </cell>
          <cell r="J851">
            <v>5</v>
          </cell>
          <cell r="L851">
            <v>762</v>
          </cell>
          <cell r="N851">
            <v>3810</v>
          </cell>
          <cell r="R851" t="b">
            <v>0</v>
          </cell>
        </row>
        <row r="852">
          <cell r="A852" t="str">
            <v>AP2</v>
          </cell>
          <cell r="B852">
            <v>1200</v>
          </cell>
          <cell r="C852" t="str">
            <v>MPAFFB1A</v>
          </cell>
          <cell r="D852" t="str">
            <v>황동 CXF 아답타</v>
          </cell>
          <cell r="E852" t="str">
            <v>1B</v>
          </cell>
          <cell r="F852" t="str">
            <v>EA</v>
          </cell>
          <cell r="G852">
            <v>0</v>
          </cell>
          <cell r="H852">
            <v>2</v>
          </cell>
          <cell r="J852">
            <v>2</v>
          </cell>
          <cell r="L852">
            <v>1534</v>
          </cell>
          <cell r="N852">
            <v>3068</v>
          </cell>
          <cell r="R852" t="b">
            <v>0</v>
          </cell>
        </row>
        <row r="853">
          <cell r="A853" t="str">
            <v>AP2</v>
          </cell>
          <cell r="B853">
            <v>1300</v>
          </cell>
          <cell r="C853" t="str">
            <v>MPCF000H</v>
          </cell>
          <cell r="D853" t="str">
            <v>PPC 엘보,90도</v>
          </cell>
          <cell r="E853" t="str">
            <v>15D</v>
          </cell>
          <cell r="F853" t="str">
            <v>EA</v>
          </cell>
          <cell r="G853">
            <v>0</v>
          </cell>
          <cell r="H853">
            <v>2</v>
          </cell>
          <cell r="J853">
            <v>2</v>
          </cell>
          <cell r="L853">
            <v>120</v>
          </cell>
          <cell r="N853">
            <v>240</v>
          </cell>
          <cell r="R853" t="b">
            <v>0</v>
          </cell>
        </row>
        <row r="854">
          <cell r="A854" t="str">
            <v>AP2</v>
          </cell>
          <cell r="B854">
            <v>1400</v>
          </cell>
          <cell r="C854" t="str">
            <v>MPCF000T</v>
          </cell>
          <cell r="D854" t="str">
            <v>PPC 엘보,90도</v>
          </cell>
          <cell r="E854" t="str">
            <v>20D</v>
          </cell>
          <cell r="F854" t="str">
            <v>EA</v>
          </cell>
          <cell r="G854">
            <v>0</v>
          </cell>
          <cell r="H854">
            <v>20</v>
          </cell>
          <cell r="J854">
            <v>20</v>
          </cell>
          <cell r="L854">
            <v>190</v>
          </cell>
          <cell r="N854">
            <v>3800</v>
          </cell>
          <cell r="R854" t="b">
            <v>0</v>
          </cell>
        </row>
        <row r="855">
          <cell r="A855" t="str">
            <v>AP2</v>
          </cell>
          <cell r="B855">
            <v>1500</v>
          </cell>
          <cell r="C855" t="str">
            <v>MPCF001A</v>
          </cell>
          <cell r="D855" t="str">
            <v>PPC 엘보,90도</v>
          </cell>
          <cell r="E855" t="str">
            <v>25D</v>
          </cell>
          <cell r="F855" t="str">
            <v>EA</v>
          </cell>
          <cell r="G855">
            <v>0</v>
          </cell>
          <cell r="H855">
            <v>6</v>
          </cell>
          <cell r="J855">
            <v>6</v>
          </cell>
          <cell r="L855">
            <v>320</v>
          </cell>
          <cell r="N855">
            <v>1920</v>
          </cell>
          <cell r="R855" t="b">
            <v>0</v>
          </cell>
        </row>
        <row r="856">
          <cell r="A856" t="str">
            <v>AP2</v>
          </cell>
          <cell r="B856">
            <v>1600</v>
          </cell>
          <cell r="C856" t="str">
            <v>MPCF100T</v>
          </cell>
          <cell r="D856" t="str">
            <v>PPC 티</v>
          </cell>
          <cell r="E856" t="str">
            <v>20D</v>
          </cell>
          <cell r="F856" t="str">
            <v>EA</v>
          </cell>
          <cell r="G856">
            <v>0</v>
          </cell>
          <cell r="H856">
            <v>2</v>
          </cell>
          <cell r="J856">
            <v>2</v>
          </cell>
          <cell r="L856">
            <v>210</v>
          </cell>
          <cell r="N856">
            <v>420</v>
          </cell>
          <cell r="R856" t="b">
            <v>0</v>
          </cell>
        </row>
        <row r="857">
          <cell r="A857" t="str">
            <v>AP2</v>
          </cell>
          <cell r="B857">
            <v>1700</v>
          </cell>
          <cell r="C857" t="str">
            <v>MPCF110H</v>
          </cell>
          <cell r="D857" t="str">
            <v>PPC 이경티</v>
          </cell>
          <cell r="E857" t="str">
            <v>20D*15D</v>
          </cell>
          <cell r="F857" t="str">
            <v>EA</v>
          </cell>
          <cell r="G857">
            <v>0</v>
          </cell>
          <cell r="H857">
            <v>1</v>
          </cell>
          <cell r="J857">
            <v>1</v>
          </cell>
          <cell r="L857">
            <v>380</v>
          </cell>
          <cell r="N857">
            <v>380</v>
          </cell>
          <cell r="R857" t="b">
            <v>0</v>
          </cell>
        </row>
        <row r="858">
          <cell r="A858" t="str">
            <v>AP2</v>
          </cell>
          <cell r="B858">
            <v>1800</v>
          </cell>
          <cell r="C858" t="str">
            <v>MPCF120H</v>
          </cell>
          <cell r="D858" t="str">
            <v>PPC 이경티</v>
          </cell>
          <cell r="E858" t="str">
            <v>25D*15D</v>
          </cell>
          <cell r="F858" t="str">
            <v>EA</v>
          </cell>
          <cell r="G858">
            <v>0</v>
          </cell>
          <cell r="H858">
            <v>1</v>
          </cell>
          <cell r="J858">
            <v>1</v>
          </cell>
          <cell r="L858">
            <v>400</v>
          </cell>
          <cell r="N858">
            <v>400</v>
          </cell>
          <cell r="R858" t="b">
            <v>0</v>
          </cell>
        </row>
        <row r="859">
          <cell r="A859" t="str">
            <v>AP2</v>
          </cell>
          <cell r="B859">
            <v>1900</v>
          </cell>
          <cell r="C859" t="str">
            <v>MPCF120T</v>
          </cell>
          <cell r="D859" t="str">
            <v>PPC 이경티</v>
          </cell>
          <cell r="E859" t="str">
            <v>25D*20D</v>
          </cell>
          <cell r="F859" t="str">
            <v>EA</v>
          </cell>
          <cell r="G859">
            <v>0</v>
          </cell>
          <cell r="H859">
            <v>3</v>
          </cell>
          <cell r="J859">
            <v>3</v>
          </cell>
          <cell r="L859">
            <v>410</v>
          </cell>
          <cell r="N859">
            <v>1230</v>
          </cell>
          <cell r="R859" t="b">
            <v>0</v>
          </cell>
        </row>
        <row r="860">
          <cell r="A860" t="str">
            <v>AP2</v>
          </cell>
          <cell r="B860">
            <v>2000</v>
          </cell>
          <cell r="C860" t="str">
            <v>MPCF220T</v>
          </cell>
          <cell r="D860" t="str">
            <v>PPC 레듀샤</v>
          </cell>
          <cell r="E860" t="str">
            <v>25D*20D</v>
          </cell>
          <cell r="F860" t="str">
            <v>EA</v>
          </cell>
          <cell r="G860">
            <v>0</v>
          </cell>
          <cell r="H860">
            <v>3</v>
          </cell>
          <cell r="J860">
            <v>3</v>
          </cell>
          <cell r="L860">
            <v>200</v>
          </cell>
          <cell r="N860">
            <v>600</v>
          </cell>
          <cell r="R860" t="b">
            <v>0</v>
          </cell>
        </row>
        <row r="861">
          <cell r="A861" t="str">
            <v>AP2</v>
          </cell>
          <cell r="B861">
            <v>2100</v>
          </cell>
          <cell r="C861" t="str">
            <v>MPCF6M1A</v>
          </cell>
          <cell r="D861" t="str">
            <v>PPC 트랜지션 소켓(M)</v>
          </cell>
          <cell r="E861" t="str">
            <v>25D</v>
          </cell>
          <cell r="F861" t="str">
            <v>EA</v>
          </cell>
          <cell r="G861">
            <v>0</v>
          </cell>
          <cell r="H861">
            <v>2</v>
          </cell>
          <cell r="J861">
            <v>2</v>
          </cell>
          <cell r="L861">
            <v>3600</v>
          </cell>
          <cell r="N861">
            <v>7200</v>
          </cell>
          <cell r="R861" t="b">
            <v>0</v>
          </cell>
        </row>
        <row r="862">
          <cell r="A862" t="str">
            <v>AP2</v>
          </cell>
          <cell r="B862">
            <v>2200</v>
          </cell>
          <cell r="C862" t="str">
            <v>MPCF700T</v>
          </cell>
          <cell r="D862" t="str">
            <v>PPC 캡</v>
          </cell>
          <cell r="E862" t="str">
            <v>20D</v>
          </cell>
          <cell r="F862" t="str">
            <v>EA</v>
          </cell>
          <cell r="G862">
            <v>0</v>
          </cell>
          <cell r="H862">
            <v>8</v>
          </cell>
          <cell r="J862">
            <v>8</v>
          </cell>
          <cell r="L862">
            <v>120</v>
          </cell>
          <cell r="N862">
            <v>960</v>
          </cell>
          <cell r="R862" t="b">
            <v>0</v>
          </cell>
        </row>
        <row r="863">
          <cell r="A863" t="str">
            <v>AP2</v>
          </cell>
          <cell r="B863">
            <v>2300</v>
          </cell>
          <cell r="C863" t="str">
            <v>MVAO111A</v>
          </cell>
          <cell r="D863" t="str">
            <v>볼밸브(황동)</v>
          </cell>
          <cell r="E863" t="str">
            <v>10K  25A</v>
          </cell>
          <cell r="F863" t="str">
            <v>EA</v>
          </cell>
          <cell r="G863">
            <v>0</v>
          </cell>
          <cell r="H863">
            <v>2</v>
          </cell>
          <cell r="J863">
            <v>2</v>
          </cell>
          <cell r="L863">
            <v>4340</v>
          </cell>
          <cell r="N863">
            <v>8680</v>
          </cell>
          <cell r="R863" t="b">
            <v>0</v>
          </cell>
        </row>
        <row r="864">
          <cell r="A864" t="str">
            <v>AP2</v>
          </cell>
          <cell r="B864">
            <v>2400</v>
          </cell>
          <cell r="C864" t="str">
            <v>MVBJ111A</v>
          </cell>
          <cell r="D864" t="str">
            <v>스트레나(청동,나사)</v>
          </cell>
          <cell r="E864" t="str">
            <v>10K  25A</v>
          </cell>
          <cell r="F864" t="str">
            <v>EA</v>
          </cell>
          <cell r="G864">
            <v>0</v>
          </cell>
          <cell r="H864">
            <v>1</v>
          </cell>
          <cell r="J864">
            <v>1</v>
          </cell>
          <cell r="L864">
            <v>12600</v>
          </cell>
          <cell r="N864">
            <v>12600</v>
          </cell>
          <cell r="R864" t="b">
            <v>0</v>
          </cell>
        </row>
        <row r="865">
          <cell r="A865" t="str">
            <v>AP2</v>
          </cell>
          <cell r="B865">
            <v>2500</v>
          </cell>
          <cell r="C865" t="str">
            <v>MRACAR65</v>
          </cell>
          <cell r="D865" t="str">
            <v>방열기 (AR-600),온수용</v>
          </cell>
          <cell r="E865" t="str">
            <v>5S</v>
          </cell>
          <cell r="F865" t="str">
            <v>EA</v>
          </cell>
          <cell r="G865">
            <v>0</v>
          </cell>
          <cell r="H865">
            <v>1</v>
          </cell>
          <cell r="J865">
            <v>1</v>
          </cell>
          <cell r="L865">
            <v>27500</v>
          </cell>
          <cell r="N865">
            <v>27500</v>
          </cell>
          <cell r="R865" t="b">
            <v>0</v>
          </cell>
        </row>
        <row r="866">
          <cell r="A866" t="str">
            <v>AP2</v>
          </cell>
          <cell r="B866">
            <v>2600</v>
          </cell>
          <cell r="C866" t="str">
            <v>MRACAR6A</v>
          </cell>
          <cell r="D866" t="str">
            <v>방열기 (AR-600),온수용</v>
          </cell>
          <cell r="E866" t="str">
            <v>10S</v>
          </cell>
          <cell r="F866" t="str">
            <v>EA</v>
          </cell>
          <cell r="G866">
            <v>0</v>
          </cell>
          <cell r="H866">
            <v>3</v>
          </cell>
          <cell r="J866">
            <v>3</v>
          </cell>
          <cell r="L866">
            <v>55000</v>
          </cell>
          <cell r="N866">
            <v>165000</v>
          </cell>
          <cell r="R866" t="b">
            <v>0</v>
          </cell>
        </row>
        <row r="867">
          <cell r="A867" t="str">
            <v>AP2</v>
          </cell>
          <cell r="B867">
            <v>2700</v>
          </cell>
          <cell r="C867" t="str">
            <v>MRAJAV0H</v>
          </cell>
          <cell r="D867" t="str">
            <v>앵글밸브,방열기용</v>
          </cell>
          <cell r="E867" t="str">
            <v>15A</v>
          </cell>
          <cell r="F867" t="str">
            <v>EA</v>
          </cell>
          <cell r="G867">
            <v>0</v>
          </cell>
          <cell r="H867">
            <v>1</v>
          </cell>
          <cell r="J867">
            <v>1</v>
          </cell>
          <cell r="L867">
            <v>2300</v>
          </cell>
          <cell r="N867">
            <v>2300</v>
          </cell>
          <cell r="R867" t="b">
            <v>0</v>
          </cell>
        </row>
        <row r="868">
          <cell r="A868" t="str">
            <v>AP2</v>
          </cell>
          <cell r="B868">
            <v>2800</v>
          </cell>
          <cell r="C868" t="str">
            <v>MRAJAV0T</v>
          </cell>
          <cell r="D868" t="str">
            <v>앵글밸브,방열기용</v>
          </cell>
          <cell r="E868" t="str">
            <v>20A</v>
          </cell>
          <cell r="F868" t="str">
            <v>EA</v>
          </cell>
          <cell r="G868">
            <v>0</v>
          </cell>
          <cell r="H868">
            <v>3</v>
          </cell>
          <cell r="J868">
            <v>3</v>
          </cell>
          <cell r="L868">
            <v>3740</v>
          </cell>
          <cell r="N868">
            <v>11220</v>
          </cell>
          <cell r="R868" t="b">
            <v>0</v>
          </cell>
        </row>
        <row r="869">
          <cell r="A869" t="str">
            <v>AP2</v>
          </cell>
          <cell r="B869">
            <v>2900</v>
          </cell>
          <cell r="C869" t="str">
            <v>MRAJBU0H</v>
          </cell>
          <cell r="D869" t="str">
            <v>유니온엘보,방열기용</v>
          </cell>
          <cell r="E869" t="str">
            <v>15A</v>
          </cell>
          <cell r="F869" t="str">
            <v>EA</v>
          </cell>
          <cell r="G869">
            <v>0</v>
          </cell>
          <cell r="H869">
            <v>1</v>
          </cell>
          <cell r="J869">
            <v>1</v>
          </cell>
          <cell r="L869">
            <v>1240</v>
          </cell>
          <cell r="N869">
            <v>1240</v>
          </cell>
          <cell r="R869" t="b">
            <v>0</v>
          </cell>
        </row>
        <row r="870">
          <cell r="A870" t="str">
            <v>AP2</v>
          </cell>
          <cell r="B870">
            <v>3000</v>
          </cell>
          <cell r="C870" t="str">
            <v>MRAJBU0T</v>
          </cell>
          <cell r="D870" t="str">
            <v>유니온엘보,방열기용</v>
          </cell>
          <cell r="E870" t="str">
            <v>20A</v>
          </cell>
          <cell r="F870" t="str">
            <v>EA</v>
          </cell>
          <cell r="G870">
            <v>0</v>
          </cell>
          <cell r="H870">
            <v>3</v>
          </cell>
          <cell r="J870">
            <v>3</v>
          </cell>
          <cell r="L870">
            <v>1840</v>
          </cell>
          <cell r="N870">
            <v>5520</v>
          </cell>
          <cell r="R870" t="b">
            <v>0</v>
          </cell>
        </row>
        <row r="871">
          <cell r="A871" t="str">
            <v>AP2</v>
          </cell>
          <cell r="B871">
            <v>3100</v>
          </cell>
          <cell r="C871" t="str">
            <v>MMIW4202</v>
          </cell>
          <cell r="D871" t="str">
            <v>활좌금</v>
          </cell>
          <cell r="E871" t="str">
            <v>20A</v>
          </cell>
          <cell r="F871" t="str">
            <v>EA</v>
          </cell>
          <cell r="G871">
            <v>0</v>
          </cell>
          <cell r="H871">
            <v>6</v>
          </cell>
          <cell r="J871">
            <v>6</v>
          </cell>
          <cell r="L871">
            <v>250</v>
          </cell>
          <cell r="N871">
            <v>1500</v>
          </cell>
          <cell r="R871" t="b">
            <v>0</v>
          </cell>
        </row>
        <row r="872">
          <cell r="A872" t="str">
            <v>AP2</v>
          </cell>
          <cell r="B872">
            <v>3200</v>
          </cell>
          <cell r="C872" t="str">
            <v>MGAAS31T</v>
          </cell>
          <cell r="D872" t="str">
            <v>SUS 주름관(난방)</v>
          </cell>
          <cell r="E872" t="str">
            <v>25D*300L</v>
          </cell>
          <cell r="F872" t="str">
            <v>EA</v>
          </cell>
          <cell r="G872">
            <v>0</v>
          </cell>
          <cell r="H872">
            <v>2</v>
          </cell>
          <cell r="J872">
            <v>2</v>
          </cell>
          <cell r="L872">
            <v>2600</v>
          </cell>
          <cell r="N872">
            <v>5200</v>
          </cell>
          <cell r="R872" t="b">
            <v>0</v>
          </cell>
        </row>
        <row r="873">
          <cell r="A873" t="str">
            <v>AP2</v>
          </cell>
          <cell r="B873">
            <v>3300</v>
          </cell>
          <cell r="C873" t="str">
            <v>MXAPA002</v>
          </cell>
          <cell r="D873" t="str">
            <v>열선(동파방지,센서부착형)</v>
          </cell>
          <cell r="E873" t="str">
            <v>1.5M</v>
          </cell>
          <cell r="F873" t="str">
            <v>SET</v>
          </cell>
          <cell r="G873">
            <v>0</v>
          </cell>
          <cell r="H873">
            <v>2</v>
          </cell>
          <cell r="J873">
            <v>2</v>
          </cell>
          <cell r="L873">
            <v>11000</v>
          </cell>
          <cell r="N873">
            <v>22000</v>
          </cell>
          <cell r="R873" t="b">
            <v>0</v>
          </cell>
        </row>
        <row r="874">
          <cell r="A874" t="str">
            <v>AP2</v>
          </cell>
          <cell r="B874">
            <v>3400</v>
          </cell>
          <cell r="C874" t="str">
            <v>MPFGCAA3</v>
          </cell>
          <cell r="D874" t="str">
            <v>방수형스리브(개별보일러)</v>
          </cell>
          <cell r="E874" t="str">
            <v>25D</v>
          </cell>
          <cell r="F874" t="str">
            <v>EA</v>
          </cell>
          <cell r="G874">
            <v>0</v>
          </cell>
          <cell r="H874">
            <v>2</v>
          </cell>
          <cell r="J874">
            <v>2</v>
          </cell>
          <cell r="L874">
            <v>2380</v>
          </cell>
          <cell r="N874">
            <v>4760</v>
          </cell>
          <cell r="R874" t="b">
            <v>0</v>
          </cell>
        </row>
        <row r="875">
          <cell r="A875" t="str">
            <v>AP2</v>
          </cell>
          <cell r="B875">
            <v>3500</v>
          </cell>
          <cell r="C875" t="str">
            <v>MPFGCAB1</v>
          </cell>
          <cell r="D875" t="str">
            <v>연도스리브(빗물방지)</v>
          </cell>
          <cell r="E875" t="str">
            <v>100D</v>
          </cell>
          <cell r="F875" t="str">
            <v>EA</v>
          </cell>
          <cell r="G875">
            <v>0</v>
          </cell>
          <cell r="H875">
            <v>1</v>
          </cell>
          <cell r="J875">
            <v>1</v>
          </cell>
          <cell r="L875">
            <v>1700</v>
          </cell>
          <cell r="N875">
            <v>1700</v>
          </cell>
          <cell r="R875" t="b">
            <v>0</v>
          </cell>
        </row>
        <row r="876">
          <cell r="A876" t="str">
            <v>AP2</v>
          </cell>
          <cell r="B876">
            <v>3600</v>
          </cell>
          <cell r="C876" t="str">
            <v>BQATPPCA</v>
          </cell>
          <cell r="D876" t="str">
            <v>방열기 주위배관(PP-C)</v>
          </cell>
          <cell r="E876" t="str">
            <v>15A</v>
          </cell>
          <cell r="F876" t="str">
            <v>SET</v>
          </cell>
          <cell r="H876">
            <v>1</v>
          </cell>
          <cell r="J876">
            <v>1</v>
          </cell>
          <cell r="L876">
            <v>6022</v>
          </cell>
          <cell r="N876">
            <v>6022</v>
          </cell>
          <cell r="R876" t="b">
            <v>0</v>
          </cell>
        </row>
        <row r="877">
          <cell r="A877" t="str">
            <v>AP2</v>
          </cell>
          <cell r="B877">
            <v>3700</v>
          </cell>
          <cell r="C877" t="str">
            <v>BQATPPCB</v>
          </cell>
          <cell r="D877" t="str">
            <v>방열기 주위배관(PP-C)</v>
          </cell>
          <cell r="E877" t="str">
            <v>20A</v>
          </cell>
          <cell r="F877" t="str">
            <v>SET</v>
          </cell>
          <cell r="H877">
            <v>3</v>
          </cell>
          <cell r="J877">
            <v>3</v>
          </cell>
          <cell r="L877">
            <v>6482</v>
          </cell>
          <cell r="N877">
            <v>19446</v>
          </cell>
          <cell r="R877" t="b">
            <v>0</v>
          </cell>
        </row>
        <row r="878">
          <cell r="A878" t="str">
            <v>AP2</v>
          </cell>
          <cell r="B878">
            <v>3800</v>
          </cell>
          <cell r="C878" t="str">
            <v>BHASSL0T</v>
          </cell>
          <cell r="D878" t="str">
            <v>파이프스리브 설치</v>
          </cell>
          <cell r="E878" t="str">
            <v>20A</v>
          </cell>
          <cell r="F878" t="str">
            <v>EA</v>
          </cell>
          <cell r="H878">
            <v>2</v>
          </cell>
          <cell r="J878">
            <v>2</v>
          </cell>
          <cell r="L878">
            <v>817</v>
          </cell>
          <cell r="N878">
            <v>1634</v>
          </cell>
          <cell r="R878" t="b">
            <v>0</v>
          </cell>
        </row>
        <row r="879">
          <cell r="A879" t="str">
            <v>AP2</v>
          </cell>
          <cell r="B879">
            <v>750000</v>
          </cell>
          <cell r="C879" t="str">
            <v>S20001A</v>
          </cell>
          <cell r="D879" t="str">
            <v>동관용접,BRAZING</v>
          </cell>
          <cell r="E879" t="str">
            <v>1B</v>
          </cell>
          <cell r="F879" t="str">
            <v>JNT</v>
          </cell>
          <cell r="H879">
            <v>8</v>
          </cell>
          <cell r="J879">
            <v>8</v>
          </cell>
          <cell r="L879">
            <v>192</v>
          </cell>
          <cell r="N879">
            <v>1536</v>
          </cell>
        </row>
        <row r="880">
          <cell r="A880" t="str">
            <v>AP2</v>
          </cell>
          <cell r="B880">
            <v>810000</v>
          </cell>
          <cell r="C880" t="str">
            <v>OMISC03</v>
          </cell>
          <cell r="D880" t="str">
            <v>잡자재비</v>
          </cell>
          <cell r="E880" t="str">
            <v>관의 (3)％</v>
          </cell>
          <cell r="F880" t="str">
            <v>L/S</v>
          </cell>
          <cell r="H880">
            <v>1</v>
          </cell>
          <cell r="J880">
            <v>1</v>
          </cell>
          <cell r="L880">
            <v>1408</v>
          </cell>
          <cell r="N880">
            <v>1408</v>
          </cell>
        </row>
        <row r="881">
          <cell r="A881" t="str">
            <v>AP2</v>
          </cell>
          <cell r="B881">
            <v>850000</v>
          </cell>
          <cell r="C881" t="str">
            <v>LWELDG</v>
          </cell>
          <cell r="D881" t="str">
            <v>용접공(일반)</v>
          </cell>
          <cell r="F881" t="str">
            <v>M/D</v>
          </cell>
          <cell r="H881">
            <v>0.2</v>
          </cell>
          <cell r="J881">
            <v>0.2</v>
          </cell>
          <cell r="L881">
            <v>39500</v>
          </cell>
          <cell r="N881">
            <v>7900</v>
          </cell>
        </row>
        <row r="882">
          <cell r="A882" t="str">
            <v>AP2</v>
          </cell>
          <cell r="B882">
            <v>850000</v>
          </cell>
          <cell r="C882" t="str">
            <v>LINSUL</v>
          </cell>
          <cell r="D882" t="str">
            <v>보온공</v>
          </cell>
          <cell r="F882" t="str">
            <v>M/D</v>
          </cell>
          <cell r="H882">
            <v>0.7</v>
          </cell>
          <cell r="J882">
            <v>0.7</v>
          </cell>
          <cell r="L882">
            <v>30900</v>
          </cell>
          <cell r="N882">
            <v>21630</v>
          </cell>
        </row>
        <row r="883">
          <cell r="A883" t="str">
            <v>AP2</v>
          </cell>
          <cell r="B883">
            <v>850000</v>
          </cell>
          <cell r="C883" t="str">
            <v>LHELPR</v>
          </cell>
          <cell r="D883" t="str">
            <v>보통인부</v>
          </cell>
          <cell r="F883" t="str">
            <v>M/D</v>
          </cell>
          <cell r="H883">
            <v>1.2</v>
          </cell>
          <cell r="J883">
            <v>1.2</v>
          </cell>
          <cell r="L883">
            <v>22300</v>
          </cell>
          <cell r="N883">
            <v>26760</v>
          </cell>
        </row>
        <row r="884">
          <cell r="A884" t="str">
            <v>AP2</v>
          </cell>
          <cell r="B884">
            <v>850000</v>
          </cell>
          <cell r="C884" t="str">
            <v>LPIPEG</v>
          </cell>
          <cell r="D884" t="str">
            <v>배관공</v>
          </cell>
          <cell r="F884" t="str">
            <v>M/D</v>
          </cell>
          <cell r="H884">
            <v>3.9</v>
          </cell>
          <cell r="J884">
            <v>3.9</v>
          </cell>
          <cell r="L884">
            <v>34400</v>
          </cell>
          <cell r="N884">
            <v>134160</v>
          </cell>
        </row>
        <row r="885">
          <cell r="A885" t="str">
            <v>AP2</v>
          </cell>
          <cell r="B885">
            <v>900000</v>
          </cell>
          <cell r="C885" t="str">
            <v>CAMTLP4</v>
          </cell>
          <cell r="D885" t="str">
            <v>APT난방주관몰탈보양(PPC)</v>
          </cell>
          <cell r="F885" t="str">
            <v>M</v>
          </cell>
          <cell r="H885">
            <v>36.700000000000003</v>
          </cell>
          <cell r="J885">
            <v>36.700000000000003</v>
          </cell>
          <cell r="L885">
            <v>299</v>
          </cell>
          <cell r="N885">
            <v>10973</v>
          </cell>
          <cell r="R885" t="b">
            <v>0</v>
          </cell>
        </row>
        <row r="886">
          <cell r="A886" t="str">
            <v>AP2</v>
          </cell>
          <cell r="B886">
            <v>990000</v>
          </cell>
          <cell r="C886" t="str">
            <v>OMISC06</v>
          </cell>
          <cell r="D886" t="str">
            <v>공구손료</v>
          </cell>
          <cell r="E886" t="str">
            <v>인건비의 (3)％</v>
          </cell>
          <cell r="F886" t="str">
            <v>L/S</v>
          </cell>
          <cell r="H886">
            <v>1</v>
          </cell>
          <cell r="J886">
            <v>1</v>
          </cell>
          <cell r="L886">
            <v>6577</v>
          </cell>
          <cell r="N886">
            <v>6577</v>
          </cell>
        </row>
        <row r="887">
          <cell r="A887" t="str">
            <v>AP3</v>
          </cell>
          <cell r="B887">
            <v>0</v>
          </cell>
          <cell r="C887" t="str">
            <v>WABD3</v>
          </cell>
          <cell r="D887" t="str">
            <v>8-3. 위생기구설치공사</v>
          </cell>
        </row>
        <row r="888">
          <cell r="A888" t="str">
            <v>AP3</v>
          </cell>
          <cell r="B888">
            <v>100</v>
          </cell>
          <cell r="C888" t="str">
            <v>BLBA312C</v>
          </cell>
          <cell r="D888" t="str">
            <v>양변기,절수식,일반칼라</v>
          </cell>
          <cell r="E888" t="str">
            <v>CC-312,</v>
          </cell>
          <cell r="F888" t="str">
            <v>SET</v>
          </cell>
          <cell r="H888">
            <v>1</v>
          </cell>
          <cell r="J888">
            <v>1</v>
          </cell>
          <cell r="L888">
            <v>81140</v>
          </cell>
          <cell r="N888">
            <v>81140</v>
          </cell>
          <cell r="R888" t="b">
            <v>0</v>
          </cell>
        </row>
        <row r="889">
          <cell r="A889" t="str">
            <v>AP3</v>
          </cell>
          <cell r="B889">
            <v>200</v>
          </cell>
          <cell r="C889" t="str">
            <v>TMYYS007</v>
          </cell>
          <cell r="D889" t="str">
            <v>세면기(듀라스톤)</v>
          </cell>
          <cell r="E889" t="str">
            <v>CL-506/WHITE</v>
          </cell>
          <cell r="F889" t="str">
            <v>SET</v>
          </cell>
          <cell r="G889">
            <v>0</v>
          </cell>
          <cell r="H889">
            <v>1</v>
          </cell>
          <cell r="J889">
            <v>1</v>
          </cell>
          <cell r="L889">
            <v>233500</v>
          </cell>
          <cell r="N889">
            <v>233500</v>
          </cell>
          <cell r="R889" t="b">
            <v>0</v>
          </cell>
        </row>
        <row r="890">
          <cell r="A890" t="str">
            <v>AP3</v>
          </cell>
          <cell r="B890">
            <v>300</v>
          </cell>
          <cell r="C890" t="str">
            <v>MLFA7100</v>
          </cell>
          <cell r="D890" t="str">
            <v>세면기수전,4"한개레버</v>
          </cell>
          <cell r="E890" t="str">
            <v>FL-710</v>
          </cell>
          <cell r="F890" t="str">
            <v>EA</v>
          </cell>
          <cell r="G890">
            <v>0</v>
          </cell>
          <cell r="H890">
            <v>1</v>
          </cell>
          <cell r="J890">
            <v>1</v>
          </cell>
          <cell r="L890">
            <v>24000</v>
          </cell>
          <cell r="N890">
            <v>24000</v>
          </cell>
          <cell r="R890" t="b">
            <v>0</v>
          </cell>
        </row>
        <row r="891">
          <cell r="A891" t="str">
            <v>AP3</v>
          </cell>
          <cell r="B891">
            <v>400</v>
          </cell>
          <cell r="C891" t="str">
            <v>BLBBN214</v>
          </cell>
          <cell r="D891" t="str">
            <v>세면기부속,수전제외</v>
          </cell>
          <cell r="E891" t="str">
            <v>FL-214,154,231</v>
          </cell>
          <cell r="F891" t="str">
            <v>EA</v>
          </cell>
          <cell r="H891">
            <v>1</v>
          </cell>
          <cell r="J891">
            <v>1</v>
          </cell>
          <cell r="L891">
            <v>18700</v>
          </cell>
          <cell r="N891">
            <v>18700</v>
          </cell>
          <cell r="R891" t="b">
            <v>0</v>
          </cell>
        </row>
        <row r="892">
          <cell r="A892" t="str">
            <v>AP3</v>
          </cell>
          <cell r="B892">
            <v>500</v>
          </cell>
          <cell r="C892" t="str">
            <v>MLFH711S</v>
          </cell>
          <cell r="D892" t="str">
            <v>싱크수전,한개레버</v>
          </cell>
          <cell r="E892" t="str">
            <v>FS-711H</v>
          </cell>
          <cell r="F892" t="str">
            <v>EA</v>
          </cell>
          <cell r="G892">
            <v>0</v>
          </cell>
          <cell r="H892">
            <v>1</v>
          </cell>
          <cell r="J892">
            <v>1</v>
          </cell>
          <cell r="L892">
            <v>34000</v>
          </cell>
          <cell r="N892">
            <v>34000</v>
          </cell>
          <cell r="R892" t="b">
            <v>0</v>
          </cell>
        </row>
        <row r="893">
          <cell r="A893" t="str">
            <v>AP3</v>
          </cell>
          <cell r="B893">
            <v>600</v>
          </cell>
          <cell r="C893" t="str">
            <v>MLFD60F5</v>
          </cell>
          <cell r="D893" t="str">
            <v>수건선반</v>
          </cell>
          <cell r="E893" t="str">
            <v>FB-800BG-2</v>
          </cell>
          <cell r="F893" t="str">
            <v>EA</v>
          </cell>
          <cell r="G893">
            <v>0</v>
          </cell>
          <cell r="H893">
            <v>1</v>
          </cell>
          <cell r="J893">
            <v>1</v>
          </cell>
          <cell r="L893">
            <v>22000</v>
          </cell>
          <cell r="N893">
            <v>22000</v>
          </cell>
          <cell r="R893" t="b">
            <v>0</v>
          </cell>
        </row>
        <row r="894">
          <cell r="A894" t="str">
            <v>AP3</v>
          </cell>
          <cell r="B894">
            <v>700</v>
          </cell>
          <cell r="C894" t="str">
            <v>MLFD60A6</v>
          </cell>
          <cell r="D894" t="str">
            <v>수건걸이</v>
          </cell>
          <cell r="E894" t="str">
            <v>FB-800AG</v>
          </cell>
          <cell r="F894" t="str">
            <v>EA</v>
          </cell>
          <cell r="G894">
            <v>0</v>
          </cell>
          <cell r="H894">
            <v>1</v>
          </cell>
          <cell r="J894">
            <v>1</v>
          </cell>
          <cell r="L894">
            <v>9500</v>
          </cell>
          <cell r="N894">
            <v>9500</v>
          </cell>
          <cell r="R894" t="b">
            <v>0</v>
          </cell>
        </row>
        <row r="895">
          <cell r="A895" t="str">
            <v>AP3</v>
          </cell>
          <cell r="B895">
            <v>800</v>
          </cell>
          <cell r="C895" t="str">
            <v>MLFD60C4</v>
          </cell>
          <cell r="D895" t="str">
            <v>휴지걸이</v>
          </cell>
          <cell r="E895" t="str">
            <v>FB-800CG</v>
          </cell>
          <cell r="F895" t="str">
            <v>EA</v>
          </cell>
          <cell r="G895">
            <v>0</v>
          </cell>
          <cell r="H895">
            <v>1</v>
          </cell>
          <cell r="J895">
            <v>1</v>
          </cell>
          <cell r="L895">
            <v>8500</v>
          </cell>
          <cell r="N895">
            <v>8500</v>
          </cell>
          <cell r="R895" t="b">
            <v>0</v>
          </cell>
        </row>
        <row r="896">
          <cell r="A896" t="str">
            <v>AP3</v>
          </cell>
          <cell r="B896">
            <v>900</v>
          </cell>
          <cell r="C896" t="str">
            <v>MLFD60D0</v>
          </cell>
          <cell r="D896" t="str">
            <v>비누갑</v>
          </cell>
          <cell r="E896" t="str">
            <v>FB-60D</v>
          </cell>
          <cell r="F896" t="str">
            <v>EA</v>
          </cell>
          <cell r="G896">
            <v>0</v>
          </cell>
          <cell r="H896">
            <v>1</v>
          </cell>
          <cell r="J896">
            <v>1</v>
          </cell>
          <cell r="L896">
            <v>2500</v>
          </cell>
          <cell r="N896">
            <v>2500</v>
          </cell>
          <cell r="R896" t="b">
            <v>0</v>
          </cell>
        </row>
        <row r="897">
          <cell r="A897" t="str">
            <v>AP3</v>
          </cell>
          <cell r="B897">
            <v>1000</v>
          </cell>
          <cell r="C897" t="str">
            <v>MLFH9900</v>
          </cell>
          <cell r="D897" t="str">
            <v>관붙이앵글발브(씽크용)</v>
          </cell>
          <cell r="E897" t="str">
            <v>AB-022</v>
          </cell>
          <cell r="F897" t="str">
            <v>EA</v>
          </cell>
          <cell r="G897">
            <v>0</v>
          </cell>
          <cell r="H897">
            <v>2</v>
          </cell>
          <cell r="J897">
            <v>2</v>
          </cell>
          <cell r="L897">
            <v>3100</v>
          </cell>
          <cell r="N897">
            <v>6200</v>
          </cell>
          <cell r="R897" t="b">
            <v>0</v>
          </cell>
        </row>
        <row r="898">
          <cell r="A898" t="str">
            <v>AP3</v>
          </cell>
          <cell r="B898">
            <v>1100</v>
          </cell>
          <cell r="C898" t="str">
            <v>TMKJH240</v>
          </cell>
          <cell r="D898" t="str">
            <v>렌지후드</v>
          </cell>
          <cell r="E898" t="str">
            <v>HDCL-650MD</v>
          </cell>
          <cell r="F898" t="str">
            <v>EA</v>
          </cell>
          <cell r="G898">
            <v>0</v>
          </cell>
          <cell r="H898">
            <v>1</v>
          </cell>
          <cell r="J898">
            <v>1</v>
          </cell>
          <cell r="L898">
            <v>95000</v>
          </cell>
          <cell r="N898">
            <v>95000</v>
          </cell>
          <cell r="R898" t="b">
            <v>0</v>
          </cell>
        </row>
        <row r="899">
          <cell r="A899" t="str">
            <v>AP3</v>
          </cell>
          <cell r="B899">
            <v>800000</v>
          </cell>
          <cell r="C899" t="str">
            <v>MXAP0000</v>
          </cell>
          <cell r="D899" t="str">
            <v>도기손료</v>
          </cell>
          <cell r="E899" t="str">
            <v>기구의 (3)％</v>
          </cell>
          <cell r="F899" t="str">
            <v>L/S</v>
          </cell>
          <cell r="G899">
            <v>0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3960</v>
          </cell>
          <cell r="N899">
            <v>3960</v>
          </cell>
        </row>
        <row r="900">
          <cell r="A900" t="str">
            <v>AP3</v>
          </cell>
          <cell r="B900">
            <v>810000</v>
          </cell>
          <cell r="C900" t="str">
            <v>OMISC03</v>
          </cell>
          <cell r="D900" t="str">
            <v>잡자재비</v>
          </cell>
          <cell r="E900" t="str">
            <v>관의 (3)％</v>
          </cell>
          <cell r="F900" t="str">
            <v>L/S</v>
          </cell>
          <cell r="H900">
            <v>1</v>
          </cell>
          <cell r="J900">
            <v>1</v>
          </cell>
          <cell r="L900">
            <v>0</v>
          </cell>
          <cell r="N900">
            <v>0</v>
          </cell>
        </row>
        <row r="901">
          <cell r="A901" t="str">
            <v>AP3</v>
          </cell>
          <cell r="B901">
            <v>850000</v>
          </cell>
          <cell r="C901" t="str">
            <v>LHELPR</v>
          </cell>
          <cell r="D901" t="str">
            <v>보통인부</v>
          </cell>
          <cell r="F901" t="str">
            <v>M/D</v>
          </cell>
          <cell r="H901">
            <v>0.1</v>
          </cell>
          <cell r="J901">
            <v>0.1</v>
          </cell>
          <cell r="L901">
            <v>22300</v>
          </cell>
          <cell r="N901">
            <v>2230</v>
          </cell>
        </row>
        <row r="902">
          <cell r="A902" t="str">
            <v>AP3</v>
          </cell>
          <cell r="B902">
            <v>850000</v>
          </cell>
          <cell r="C902" t="str">
            <v>LPLUMR</v>
          </cell>
          <cell r="D902" t="str">
            <v>위생공</v>
          </cell>
          <cell r="F902" t="str">
            <v>M/D</v>
          </cell>
          <cell r="H902">
            <v>1.1000000000000001</v>
          </cell>
          <cell r="J902">
            <v>1.1000000000000001</v>
          </cell>
          <cell r="L902">
            <v>33900</v>
          </cell>
          <cell r="N902">
            <v>37290</v>
          </cell>
        </row>
        <row r="903">
          <cell r="A903" t="str">
            <v>AP3</v>
          </cell>
          <cell r="B903">
            <v>950000</v>
          </cell>
          <cell r="C903" t="str">
            <v>OMISC05</v>
          </cell>
          <cell r="D903" t="str">
            <v>도기소운반비</v>
          </cell>
          <cell r="E903" t="str">
            <v>위생공의 (5)％</v>
          </cell>
          <cell r="F903" t="str">
            <v>L/S</v>
          </cell>
          <cell r="H903">
            <v>1</v>
          </cell>
          <cell r="J903">
            <v>1</v>
          </cell>
          <cell r="L903">
            <v>1865</v>
          </cell>
          <cell r="N903">
            <v>1865</v>
          </cell>
        </row>
        <row r="904">
          <cell r="A904" t="str">
            <v>AP3</v>
          </cell>
          <cell r="B904">
            <v>990000</v>
          </cell>
          <cell r="C904" t="str">
            <v>OMISC06</v>
          </cell>
          <cell r="D904" t="str">
            <v>공구손료</v>
          </cell>
          <cell r="E904" t="str">
            <v>인건비의 (3)％</v>
          </cell>
          <cell r="F904" t="str">
            <v>L/S</v>
          </cell>
          <cell r="H904">
            <v>1</v>
          </cell>
          <cell r="J904">
            <v>1</v>
          </cell>
          <cell r="L904">
            <v>1615</v>
          </cell>
          <cell r="N904">
            <v>1615</v>
          </cell>
        </row>
        <row r="905">
          <cell r="A905" t="str">
            <v>AP4</v>
          </cell>
          <cell r="B905">
            <v>0</v>
          </cell>
          <cell r="C905" t="str">
            <v>WABD4</v>
          </cell>
          <cell r="D905" t="str">
            <v>8-4. 급수 급탕배관공사</v>
          </cell>
        </row>
        <row r="906">
          <cell r="A906" t="str">
            <v>AP4</v>
          </cell>
          <cell r="B906">
            <v>100</v>
          </cell>
          <cell r="C906" t="str">
            <v>MPA0000T</v>
          </cell>
          <cell r="D906" t="str">
            <v>동관(L형)</v>
          </cell>
          <cell r="E906" t="str">
            <v>3/4B  , 22.22</v>
          </cell>
          <cell r="F906" t="str">
            <v>M</v>
          </cell>
          <cell r="G906">
            <v>5</v>
          </cell>
          <cell r="H906">
            <v>2</v>
          </cell>
          <cell r="J906">
            <v>2.1</v>
          </cell>
          <cell r="L906">
            <v>1957</v>
          </cell>
          <cell r="N906">
            <v>4110</v>
          </cell>
          <cell r="R906" t="b">
            <v>1</v>
          </cell>
        </row>
        <row r="907">
          <cell r="A907" t="str">
            <v>AP4</v>
          </cell>
          <cell r="B907">
            <v>101</v>
          </cell>
          <cell r="C907" t="str">
            <v>OMIPMPA0</v>
          </cell>
          <cell r="D907" t="str">
            <v>관 부속</v>
          </cell>
          <cell r="E907" t="str">
            <v>관의 (25)％</v>
          </cell>
          <cell r="F907" t="str">
            <v>L/S</v>
          </cell>
          <cell r="H907">
            <v>1</v>
          </cell>
          <cell r="J907">
            <v>1</v>
          </cell>
          <cell r="L907">
            <v>1027</v>
          </cell>
          <cell r="N907">
            <v>1027</v>
          </cell>
        </row>
        <row r="908">
          <cell r="A908" t="str">
            <v>AP4</v>
          </cell>
          <cell r="B908">
            <v>102</v>
          </cell>
          <cell r="C908" t="str">
            <v>OMIHMPA0</v>
          </cell>
          <cell r="D908" t="str">
            <v>행거 및 용접봉</v>
          </cell>
          <cell r="E908" t="str">
            <v>관의 (15)％</v>
          </cell>
          <cell r="F908" t="str">
            <v>L/S</v>
          </cell>
          <cell r="H908">
            <v>1</v>
          </cell>
          <cell r="J908">
            <v>1</v>
          </cell>
          <cell r="L908">
            <v>616</v>
          </cell>
          <cell r="N908">
            <v>616</v>
          </cell>
        </row>
        <row r="909">
          <cell r="A909" t="str">
            <v>AP4</v>
          </cell>
          <cell r="B909">
            <v>200</v>
          </cell>
          <cell r="C909" t="str">
            <v>MPA3000H</v>
          </cell>
          <cell r="D909" t="str">
            <v>동관(L형)</v>
          </cell>
          <cell r="E909" t="str">
            <v>1/2B  , 15.88</v>
          </cell>
          <cell r="F909" t="str">
            <v>M</v>
          </cell>
          <cell r="G909">
            <v>5</v>
          </cell>
          <cell r="H909">
            <v>2.4</v>
          </cell>
          <cell r="J909">
            <v>2.5</v>
          </cell>
          <cell r="L909">
            <v>1235</v>
          </cell>
          <cell r="N909">
            <v>3088</v>
          </cell>
          <cell r="R909" t="b">
            <v>1</v>
          </cell>
        </row>
        <row r="910">
          <cell r="A910" t="str">
            <v>AP4</v>
          </cell>
          <cell r="B910">
            <v>201</v>
          </cell>
          <cell r="C910" t="str">
            <v>OMIPMPA3</v>
          </cell>
          <cell r="D910" t="str">
            <v>관 부속</v>
          </cell>
          <cell r="E910" t="str">
            <v>관의 (25)％</v>
          </cell>
          <cell r="F910" t="str">
            <v>L/S</v>
          </cell>
          <cell r="H910">
            <v>1</v>
          </cell>
          <cell r="J910">
            <v>1</v>
          </cell>
          <cell r="L910">
            <v>778</v>
          </cell>
          <cell r="N910">
            <v>778</v>
          </cell>
        </row>
        <row r="911">
          <cell r="A911" t="str">
            <v>AP4</v>
          </cell>
          <cell r="B911">
            <v>202</v>
          </cell>
          <cell r="C911" t="str">
            <v>OMIHMPA3</v>
          </cell>
          <cell r="D911" t="str">
            <v>행거 및 용접봉</v>
          </cell>
          <cell r="E911" t="str">
            <v>관의 (15)％</v>
          </cell>
          <cell r="F911" t="str">
            <v>L/S</v>
          </cell>
          <cell r="H911">
            <v>1</v>
          </cell>
          <cell r="J911">
            <v>1</v>
          </cell>
          <cell r="L911">
            <v>467</v>
          </cell>
          <cell r="N911">
            <v>467</v>
          </cell>
        </row>
        <row r="912">
          <cell r="A912" t="str">
            <v>AP4</v>
          </cell>
          <cell r="B912">
            <v>300</v>
          </cell>
          <cell r="C912" t="str">
            <v>MPB2000H</v>
          </cell>
          <cell r="D912" t="str">
            <v>PB 파이프</v>
          </cell>
          <cell r="E912" t="str">
            <v>15A</v>
          </cell>
          <cell r="F912" t="str">
            <v>M</v>
          </cell>
          <cell r="G912">
            <v>5</v>
          </cell>
          <cell r="H912">
            <v>35.6</v>
          </cell>
          <cell r="J912">
            <v>37.4</v>
          </cell>
          <cell r="L912">
            <v>413</v>
          </cell>
          <cell r="N912">
            <v>15446</v>
          </cell>
          <cell r="R912" t="b">
            <v>1</v>
          </cell>
        </row>
        <row r="913">
          <cell r="A913" t="str">
            <v>AP4</v>
          </cell>
          <cell r="B913">
            <v>400</v>
          </cell>
          <cell r="C913" t="str">
            <v>BIPDC00H</v>
          </cell>
          <cell r="D913" t="str">
            <v>관보온,아티론,일반AL</v>
          </cell>
          <cell r="E913" t="str">
            <v>5T* 15A</v>
          </cell>
          <cell r="F913" t="str">
            <v>M</v>
          </cell>
          <cell r="H913">
            <v>35.6</v>
          </cell>
          <cell r="J913">
            <v>35.6</v>
          </cell>
          <cell r="L913">
            <v>209</v>
          </cell>
          <cell r="N913">
            <v>7440</v>
          </cell>
          <cell r="R913" t="b">
            <v>0</v>
          </cell>
        </row>
        <row r="914">
          <cell r="A914" t="str">
            <v>AP4</v>
          </cell>
          <cell r="B914">
            <v>500</v>
          </cell>
          <cell r="C914" t="str">
            <v>BIPA120H</v>
          </cell>
          <cell r="D914" t="str">
            <v>관보온 은폐,유리솜 1</v>
          </cell>
          <cell r="E914" t="str">
            <v>25T* 15A</v>
          </cell>
          <cell r="F914" t="str">
            <v>M</v>
          </cell>
          <cell r="H914">
            <v>3</v>
          </cell>
          <cell r="J914">
            <v>3</v>
          </cell>
          <cell r="L914">
            <v>927</v>
          </cell>
          <cell r="N914">
            <v>2781</v>
          </cell>
          <cell r="R914" t="b">
            <v>0</v>
          </cell>
        </row>
        <row r="915">
          <cell r="A915" t="str">
            <v>AP4</v>
          </cell>
          <cell r="B915">
            <v>600</v>
          </cell>
          <cell r="C915" t="str">
            <v>MPAF0B0H</v>
          </cell>
          <cell r="D915" t="str">
            <v>동 엘보</v>
          </cell>
          <cell r="E915" t="str">
            <v>1/2B</v>
          </cell>
          <cell r="F915" t="str">
            <v>EA</v>
          </cell>
          <cell r="G915">
            <v>0</v>
          </cell>
          <cell r="H915">
            <v>2</v>
          </cell>
          <cell r="J915">
            <v>2</v>
          </cell>
          <cell r="L915">
            <v>149</v>
          </cell>
          <cell r="N915">
            <v>298</v>
          </cell>
          <cell r="R915" t="b">
            <v>0</v>
          </cell>
        </row>
        <row r="916">
          <cell r="A916" t="str">
            <v>AP4</v>
          </cell>
          <cell r="B916">
            <v>700</v>
          </cell>
          <cell r="C916" t="str">
            <v>MPAF0S0H</v>
          </cell>
          <cell r="D916" t="str">
            <v>황동 수전 엘보</v>
          </cell>
          <cell r="E916" t="str">
            <v>1/2B</v>
          </cell>
          <cell r="F916" t="str">
            <v>EA</v>
          </cell>
          <cell r="G916">
            <v>0</v>
          </cell>
          <cell r="H916">
            <v>6</v>
          </cell>
          <cell r="J916">
            <v>6</v>
          </cell>
          <cell r="L916">
            <v>579</v>
          </cell>
          <cell r="N916">
            <v>3474</v>
          </cell>
          <cell r="R916" t="b">
            <v>0</v>
          </cell>
        </row>
        <row r="917">
          <cell r="A917" t="str">
            <v>AP4</v>
          </cell>
          <cell r="B917">
            <v>800</v>
          </cell>
          <cell r="C917" t="str">
            <v>MPAF3M0H</v>
          </cell>
          <cell r="D917" t="str">
            <v>황동 CXM 유니온</v>
          </cell>
          <cell r="E917" t="str">
            <v>1/2B</v>
          </cell>
          <cell r="F917" t="str">
            <v>EA</v>
          </cell>
          <cell r="G917">
            <v>0</v>
          </cell>
          <cell r="H917">
            <v>2</v>
          </cell>
          <cell r="J917">
            <v>2</v>
          </cell>
          <cell r="L917">
            <v>789</v>
          </cell>
          <cell r="N917">
            <v>1578</v>
          </cell>
          <cell r="R917" t="b">
            <v>0</v>
          </cell>
        </row>
        <row r="918">
          <cell r="A918" t="str">
            <v>AP4</v>
          </cell>
          <cell r="B918">
            <v>900</v>
          </cell>
          <cell r="C918" t="str">
            <v>MPAF4S0H</v>
          </cell>
          <cell r="D918" t="str">
            <v>황동 니플</v>
          </cell>
          <cell r="E918" t="str">
            <v>1/2B</v>
          </cell>
          <cell r="F918" t="str">
            <v>EA</v>
          </cell>
          <cell r="G918">
            <v>0</v>
          </cell>
          <cell r="H918">
            <v>4</v>
          </cell>
          <cell r="J918">
            <v>4</v>
          </cell>
          <cell r="L918">
            <v>253</v>
          </cell>
          <cell r="N918">
            <v>1012</v>
          </cell>
          <cell r="R918" t="b">
            <v>0</v>
          </cell>
        </row>
        <row r="919">
          <cell r="A919" t="str">
            <v>AP4</v>
          </cell>
          <cell r="B919">
            <v>1000</v>
          </cell>
          <cell r="C919" t="str">
            <v>MPAFMB0H</v>
          </cell>
          <cell r="D919" t="str">
            <v>황동 CXM 아답타</v>
          </cell>
          <cell r="E919" t="str">
            <v>1/2B</v>
          </cell>
          <cell r="F919" t="str">
            <v>EA</v>
          </cell>
          <cell r="G919">
            <v>0</v>
          </cell>
          <cell r="H919">
            <v>1</v>
          </cell>
          <cell r="J919">
            <v>1</v>
          </cell>
          <cell r="L919">
            <v>278</v>
          </cell>
          <cell r="N919">
            <v>278</v>
          </cell>
          <cell r="R919" t="b">
            <v>0</v>
          </cell>
        </row>
        <row r="920">
          <cell r="A920" t="str">
            <v>AP4</v>
          </cell>
          <cell r="B920">
            <v>1100</v>
          </cell>
          <cell r="C920" t="str">
            <v>MGAAS30H</v>
          </cell>
          <cell r="D920" t="str">
            <v>SUS 주름관(급수,급탕)</v>
          </cell>
          <cell r="E920" t="str">
            <v>15D*300L</v>
          </cell>
          <cell r="F920" t="str">
            <v>EA</v>
          </cell>
          <cell r="G920">
            <v>0</v>
          </cell>
          <cell r="H920">
            <v>2</v>
          </cell>
          <cell r="J920">
            <v>2</v>
          </cell>
          <cell r="L920">
            <v>1200</v>
          </cell>
          <cell r="N920">
            <v>2400</v>
          </cell>
          <cell r="R920" t="b">
            <v>0</v>
          </cell>
        </row>
        <row r="921">
          <cell r="A921" t="str">
            <v>AP4</v>
          </cell>
          <cell r="B921">
            <v>1200</v>
          </cell>
          <cell r="C921" t="str">
            <v>MPBF000H</v>
          </cell>
          <cell r="D921" t="str">
            <v>PB 엘보</v>
          </cell>
          <cell r="E921" t="str">
            <v>15A</v>
          </cell>
          <cell r="F921" t="str">
            <v>EA</v>
          </cell>
          <cell r="G921">
            <v>0</v>
          </cell>
          <cell r="H921">
            <v>17</v>
          </cell>
          <cell r="J921">
            <v>17</v>
          </cell>
          <cell r="L921">
            <v>394</v>
          </cell>
          <cell r="N921">
            <v>6698</v>
          </cell>
          <cell r="R921" t="b">
            <v>0</v>
          </cell>
        </row>
        <row r="922">
          <cell r="A922" t="str">
            <v>AP4</v>
          </cell>
          <cell r="B922">
            <v>1300</v>
          </cell>
          <cell r="C922" t="str">
            <v>MPBF0S0H</v>
          </cell>
          <cell r="D922" t="str">
            <v>PB 수전엘보</v>
          </cell>
          <cell r="E922" t="str">
            <v>15A</v>
          </cell>
          <cell r="F922" t="str">
            <v>EA</v>
          </cell>
          <cell r="G922">
            <v>0</v>
          </cell>
          <cell r="H922">
            <v>3</v>
          </cell>
          <cell r="J922">
            <v>3</v>
          </cell>
          <cell r="L922">
            <v>1381</v>
          </cell>
          <cell r="N922">
            <v>4143</v>
          </cell>
          <cell r="R922" t="b">
            <v>0</v>
          </cell>
        </row>
        <row r="923">
          <cell r="A923" t="str">
            <v>AP4</v>
          </cell>
          <cell r="B923">
            <v>1400</v>
          </cell>
          <cell r="C923" t="str">
            <v>MPBF100H</v>
          </cell>
          <cell r="D923" t="str">
            <v>PB 정 티</v>
          </cell>
          <cell r="E923" t="str">
            <v>15A</v>
          </cell>
          <cell r="F923" t="str">
            <v>EA</v>
          </cell>
          <cell r="G923">
            <v>0</v>
          </cell>
          <cell r="H923">
            <v>5</v>
          </cell>
          <cell r="J923">
            <v>5</v>
          </cell>
          <cell r="L923">
            <v>683</v>
          </cell>
          <cell r="N923">
            <v>3415</v>
          </cell>
          <cell r="R923" t="b">
            <v>0</v>
          </cell>
        </row>
        <row r="924">
          <cell r="A924" t="str">
            <v>AP4</v>
          </cell>
          <cell r="B924">
            <v>1500</v>
          </cell>
          <cell r="C924" t="str">
            <v>MPBF1S0H</v>
          </cell>
          <cell r="D924" t="str">
            <v>PB 수전티</v>
          </cell>
          <cell r="E924" t="str">
            <v>15A</v>
          </cell>
          <cell r="F924" t="str">
            <v>EA</v>
          </cell>
          <cell r="G924">
            <v>0</v>
          </cell>
          <cell r="H924">
            <v>2</v>
          </cell>
          <cell r="J924">
            <v>2</v>
          </cell>
          <cell r="L924">
            <v>1898</v>
          </cell>
          <cell r="N924">
            <v>3796</v>
          </cell>
          <cell r="R924" t="b">
            <v>0</v>
          </cell>
        </row>
        <row r="925">
          <cell r="A925" t="str">
            <v>AP4</v>
          </cell>
          <cell r="B925">
            <v>1600</v>
          </cell>
          <cell r="C925" t="str">
            <v>MPBF6M0H</v>
          </cell>
          <cell r="D925" t="str">
            <v>PB 밸브소켓(M)</v>
          </cell>
          <cell r="E925" t="str">
            <v>15A</v>
          </cell>
          <cell r="F925" t="str">
            <v>EA</v>
          </cell>
          <cell r="G925">
            <v>0</v>
          </cell>
          <cell r="H925">
            <v>5</v>
          </cell>
          <cell r="J925">
            <v>5</v>
          </cell>
          <cell r="L925">
            <v>732</v>
          </cell>
          <cell r="N925">
            <v>3660</v>
          </cell>
          <cell r="R925" t="b">
            <v>0</v>
          </cell>
        </row>
        <row r="926">
          <cell r="A926" t="str">
            <v>AP4</v>
          </cell>
          <cell r="B926">
            <v>1700</v>
          </cell>
          <cell r="C926" t="str">
            <v>MPBFR00H</v>
          </cell>
          <cell r="D926" t="str">
            <v>PB 에어챔버</v>
          </cell>
          <cell r="E926" t="str">
            <v>15A</v>
          </cell>
          <cell r="F926" t="str">
            <v>EA</v>
          </cell>
          <cell r="G926">
            <v>0</v>
          </cell>
          <cell r="H926">
            <v>4</v>
          </cell>
          <cell r="J926">
            <v>4</v>
          </cell>
          <cell r="L926">
            <v>234</v>
          </cell>
          <cell r="N926">
            <v>936</v>
          </cell>
          <cell r="R926" t="b">
            <v>0</v>
          </cell>
        </row>
        <row r="927">
          <cell r="A927" t="str">
            <v>AP4</v>
          </cell>
          <cell r="B927">
            <v>1800</v>
          </cell>
          <cell r="C927" t="str">
            <v>MPBFTBLA</v>
          </cell>
          <cell r="D927" t="str">
            <v>PB용 세면기 브라켓</v>
          </cell>
          <cell r="E927" t="str">
            <v>150</v>
          </cell>
          <cell r="F927" t="str">
            <v>EA</v>
          </cell>
          <cell r="G927">
            <v>0</v>
          </cell>
          <cell r="H927">
            <v>1</v>
          </cell>
          <cell r="J927">
            <v>1</v>
          </cell>
          <cell r="L927">
            <v>195</v>
          </cell>
          <cell r="N927">
            <v>195</v>
          </cell>
          <cell r="R927" t="b">
            <v>0</v>
          </cell>
        </row>
        <row r="928">
          <cell r="A928" t="str">
            <v>AP4</v>
          </cell>
          <cell r="B928">
            <v>1900</v>
          </cell>
          <cell r="C928" t="str">
            <v>MPBFTBSI</v>
          </cell>
          <cell r="D928" t="str">
            <v>PB용 씽크 브라켓</v>
          </cell>
          <cell r="E928" t="str">
            <v>200</v>
          </cell>
          <cell r="F928" t="str">
            <v>EA</v>
          </cell>
          <cell r="G928">
            <v>0</v>
          </cell>
          <cell r="H928">
            <v>1</v>
          </cell>
          <cell r="J928">
            <v>1</v>
          </cell>
          <cell r="L928">
            <v>225</v>
          </cell>
          <cell r="N928">
            <v>225</v>
          </cell>
          <cell r="R928" t="b">
            <v>0</v>
          </cell>
        </row>
        <row r="929">
          <cell r="A929" t="str">
            <v>AP4</v>
          </cell>
          <cell r="B929">
            <v>2000</v>
          </cell>
          <cell r="C929" t="str">
            <v>MPFGUN1H</v>
          </cell>
          <cell r="D929" t="str">
            <v>PVC 연결 유니온</v>
          </cell>
          <cell r="E929" t="str">
            <v>15D</v>
          </cell>
          <cell r="F929" t="str">
            <v>EA</v>
          </cell>
          <cell r="G929">
            <v>0</v>
          </cell>
          <cell r="H929">
            <v>1</v>
          </cell>
          <cell r="J929">
            <v>1</v>
          </cell>
          <cell r="L929">
            <v>900</v>
          </cell>
          <cell r="N929">
            <v>900</v>
          </cell>
          <cell r="R929" t="b">
            <v>0</v>
          </cell>
        </row>
        <row r="930">
          <cell r="A930" t="str">
            <v>AP4</v>
          </cell>
          <cell r="B930">
            <v>2100</v>
          </cell>
          <cell r="C930" t="str">
            <v>MPFGUP1H</v>
          </cell>
          <cell r="D930" t="str">
            <v>PVC 프러그</v>
          </cell>
          <cell r="E930" t="str">
            <v>15D</v>
          </cell>
          <cell r="F930" t="str">
            <v>EA</v>
          </cell>
          <cell r="G930">
            <v>0</v>
          </cell>
          <cell r="H930">
            <v>7</v>
          </cell>
          <cell r="J930">
            <v>7</v>
          </cell>
          <cell r="L930">
            <v>100</v>
          </cell>
          <cell r="N930">
            <v>700</v>
          </cell>
          <cell r="R930" t="b">
            <v>0</v>
          </cell>
        </row>
        <row r="931">
          <cell r="A931" t="str">
            <v>AP4</v>
          </cell>
          <cell r="B931">
            <v>2200</v>
          </cell>
          <cell r="C931" t="str">
            <v>MVAO110H</v>
          </cell>
          <cell r="D931" t="str">
            <v>볼밸브(황동)</v>
          </cell>
          <cell r="E931" t="str">
            <v>10K  15A</v>
          </cell>
          <cell r="F931" t="str">
            <v>EA</v>
          </cell>
          <cell r="G931">
            <v>0</v>
          </cell>
          <cell r="H931">
            <v>2</v>
          </cell>
          <cell r="J931">
            <v>2</v>
          </cell>
          <cell r="L931">
            <v>1890</v>
          </cell>
          <cell r="N931">
            <v>3780</v>
          </cell>
          <cell r="R931" t="b">
            <v>0</v>
          </cell>
        </row>
        <row r="932">
          <cell r="A932" t="str">
            <v>AP4</v>
          </cell>
          <cell r="B932">
            <v>2300</v>
          </cell>
          <cell r="C932" t="str">
            <v>MVLMAC0H</v>
          </cell>
          <cell r="D932" t="str">
            <v>급수계량기</v>
          </cell>
          <cell r="E932" t="str">
            <v>15A</v>
          </cell>
          <cell r="F932" t="str">
            <v>EA</v>
          </cell>
          <cell r="G932">
            <v>0</v>
          </cell>
          <cell r="H932">
            <v>1</v>
          </cell>
          <cell r="J932">
            <v>1</v>
          </cell>
          <cell r="L932">
            <v>9900</v>
          </cell>
          <cell r="N932">
            <v>9900</v>
          </cell>
          <cell r="R932" t="b">
            <v>0</v>
          </cell>
        </row>
        <row r="933">
          <cell r="A933" t="str">
            <v>AP4</v>
          </cell>
          <cell r="B933">
            <v>2400</v>
          </cell>
          <cell r="C933" t="str">
            <v>MVAO100H</v>
          </cell>
          <cell r="D933" t="str">
            <v>수도용 앵글발브</v>
          </cell>
          <cell r="E933" t="str">
            <v>10K  15A</v>
          </cell>
          <cell r="F933" t="str">
            <v>EA</v>
          </cell>
          <cell r="G933">
            <v>0</v>
          </cell>
          <cell r="H933">
            <v>1</v>
          </cell>
          <cell r="J933">
            <v>1</v>
          </cell>
          <cell r="L933">
            <v>1890</v>
          </cell>
          <cell r="N933">
            <v>1890</v>
          </cell>
          <cell r="R933" t="b">
            <v>0</v>
          </cell>
        </row>
        <row r="934">
          <cell r="A934" t="str">
            <v>AP4</v>
          </cell>
          <cell r="B934">
            <v>2500</v>
          </cell>
          <cell r="C934" t="str">
            <v>MDRKAFC1</v>
          </cell>
          <cell r="D934" t="str">
            <v>천정 배기휀</v>
          </cell>
          <cell r="E934" t="str">
            <v>170*170*100D</v>
          </cell>
          <cell r="F934" t="str">
            <v>SET</v>
          </cell>
          <cell r="G934">
            <v>0</v>
          </cell>
          <cell r="H934">
            <v>1</v>
          </cell>
          <cell r="J934">
            <v>1</v>
          </cell>
          <cell r="L934">
            <v>12000</v>
          </cell>
          <cell r="N934">
            <v>12000</v>
          </cell>
          <cell r="R934" t="b">
            <v>0</v>
          </cell>
        </row>
        <row r="935">
          <cell r="A935" t="str">
            <v>AP4</v>
          </cell>
          <cell r="B935">
            <v>2600</v>
          </cell>
          <cell r="C935" t="str">
            <v>MDRRFD4C</v>
          </cell>
          <cell r="D935" t="str">
            <v>화이어댐퍼,아파트(W/FUSE)</v>
          </cell>
          <cell r="E935" t="str">
            <v>100D*300L</v>
          </cell>
          <cell r="F935" t="str">
            <v>EA</v>
          </cell>
          <cell r="G935">
            <v>0</v>
          </cell>
          <cell r="H935">
            <v>2</v>
          </cell>
          <cell r="J935">
            <v>2</v>
          </cell>
          <cell r="L935">
            <v>3000</v>
          </cell>
          <cell r="N935">
            <v>6000</v>
          </cell>
          <cell r="R935" t="b">
            <v>0</v>
          </cell>
        </row>
        <row r="936">
          <cell r="A936" t="str">
            <v>AP4</v>
          </cell>
          <cell r="B936">
            <v>2700</v>
          </cell>
          <cell r="C936" t="str">
            <v>MDRBBA4A</v>
          </cell>
          <cell r="D936" t="str">
            <v>플렉시블 덕트호스(G/W,25T</v>
          </cell>
          <cell r="E936" t="str">
            <v>100D*1M</v>
          </cell>
          <cell r="F936" t="str">
            <v>EA</v>
          </cell>
          <cell r="G936">
            <v>0</v>
          </cell>
          <cell r="H936">
            <v>1</v>
          </cell>
          <cell r="J936">
            <v>1</v>
          </cell>
          <cell r="L936">
            <v>2200</v>
          </cell>
          <cell r="N936">
            <v>2200</v>
          </cell>
          <cell r="R936" t="b">
            <v>0</v>
          </cell>
        </row>
        <row r="937">
          <cell r="A937" t="str">
            <v>AP4</v>
          </cell>
          <cell r="B937">
            <v>2800</v>
          </cell>
          <cell r="C937" t="str">
            <v>MPFGCAA1</v>
          </cell>
          <cell r="D937" t="str">
            <v>방수형스리브(개별보일러)</v>
          </cell>
          <cell r="E937" t="str">
            <v>15D</v>
          </cell>
          <cell r="F937" t="str">
            <v>EA</v>
          </cell>
          <cell r="G937">
            <v>0</v>
          </cell>
          <cell r="H937">
            <v>2</v>
          </cell>
          <cell r="J937">
            <v>2</v>
          </cell>
          <cell r="L937">
            <v>2125</v>
          </cell>
          <cell r="N937">
            <v>4250</v>
          </cell>
          <cell r="R937" t="b">
            <v>0</v>
          </cell>
        </row>
        <row r="938">
          <cell r="A938" t="str">
            <v>AP4</v>
          </cell>
          <cell r="B938">
            <v>2900</v>
          </cell>
          <cell r="C938" t="str">
            <v>MXAPA002</v>
          </cell>
          <cell r="D938" t="str">
            <v>열선(동파방지,센서부착형)</v>
          </cell>
          <cell r="E938" t="str">
            <v>1.5M</v>
          </cell>
          <cell r="F938" t="str">
            <v>SET</v>
          </cell>
          <cell r="G938">
            <v>0</v>
          </cell>
          <cell r="H938">
            <v>2</v>
          </cell>
          <cell r="J938">
            <v>2</v>
          </cell>
          <cell r="L938">
            <v>11000</v>
          </cell>
          <cell r="N938">
            <v>22000</v>
          </cell>
          <cell r="R938" t="b">
            <v>0</v>
          </cell>
        </row>
        <row r="939">
          <cell r="A939" t="str">
            <v>AP4</v>
          </cell>
          <cell r="B939">
            <v>750000</v>
          </cell>
          <cell r="C939" t="str">
            <v>S34004A</v>
          </cell>
          <cell r="D939" t="str">
            <v>플렉시블 덕트 접합</v>
          </cell>
          <cell r="E939" t="str">
            <v>100D</v>
          </cell>
          <cell r="F939" t="str">
            <v>EA</v>
          </cell>
          <cell r="H939">
            <v>1</v>
          </cell>
          <cell r="J939">
            <v>1</v>
          </cell>
          <cell r="L939">
            <v>676</v>
          </cell>
          <cell r="N939">
            <v>676</v>
          </cell>
        </row>
        <row r="940">
          <cell r="A940" t="str">
            <v>AP4</v>
          </cell>
          <cell r="B940">
            <v>750000</v>
          </cell>
          <cell r="C940" t="str">
            <v>S20000T</v>
          </cell>
          <cell r="D940" t="str">
            <v>동관용접,BRAZING</v>
          </cell>
          <cell r="E940" t="str">
            <v>3/4B</v>
          </cell>
          <cell r="F940" t="str">
            <v>JNT</v>
          </cell>
          <cell r="H940">
            <v>4</v>
          </cell>
          <cell r="J940">
            <v>4</v>
          </cell>
          <cell r="L940">
            <v>137</v>
          </cell>
          <cell r="N940">
            <v>548</v>
          </cell>
        </row>
        <row r="941">
          <cell r="A941" t="str">
            <v>AP4</v>
          </cell>
          <cell r="B941">
            <v>750000</v>
          </cell>
          <cell r="C941" t="str">
            <v>S20000H</v>
          </cell>
          <cell r="D941" t="str">
            <v>동관용접,BRAZING</v>
          </cell>
          <cell r="E941" t="str">
            <v>1/2B</v>
          </cell>
          <cell r="F941" t="str">
            <v>JNT</v>
          </cell>
          <cell r="H941">
            <v>13</v>
          </cell>
          <cell r="J941">
            <v>13</v>
          </cell>
          <cell r="L941">
            <v>65</v>
          </cell>
          <cell r="N941">
            <v>845</v>
          </cell>
        </row>
        <row r="942">
          <cell r="A942" t="str">
            <v>AP4</v>
          </cell>
          <cell r="B942">
            <v>750000</v>
          </cell>
          <cell r="C942" t="str">
            <v>S22A102</v>
          </cell>
          <cell r="D942" t="str">
            <v>PB관 접합,엘보</v>
          </cell>
          <cell r="E942" t="str">
            <v>15D</v>
          </cell>
          <cell r="F942" t="str">
            <v>EA</v>
          </cell>
          <cell r="H942">
            <v>19</v>
          </cell>
          <cell r="J942">
            <v>19</v>
          </cell>
          <cell r="L942">
            <v>104</v>
          </cell>
          <cell r="N942">
            <v>1976</v>
          </cell>
        </row>
        <row r="943">
          <cell r="A943" t="str">
            <v>AP4</v>
          </cell>
          <cell r="B943">
            <v>750000</v>
          </cell>
          <cell r="C943" t="str">
            <v>S22A302</v>
          </cell>
          <cell r="D943" t="str">
            <v>PB관 접합,밸브 소켓</v>
          </cell>
          <cell r="E943" t="str">
            <v>15D</v>
          </cell>
          <cell r="F943" t="str">
            <v>EA</v>
          </cell>
          <cell r="H943">
            <v>12</v>
          </cell>
          <cell r="J943">
            <v>12</v>
          </cell>
          <cell r="L943">
            <v>52</v>
          </cell>
          <cell r="N943">
            <v>624</v>
          </cell>
        </row>
        <row r="944">
          <cell r="A944" t="str">
            <v>AP4</v>
          </cell>
          <cell r="B944">
            <v>750000</v>
          </cell>
          <cell r="C944" t="str">
            <v>S22A202</v>
          </cell>
          <cell r="D944" t="str">
            <v>PB관 접합,티</v>
          </cell>
          <cell r="E944" t="str">
            <v>15D</v>
          </cell>
          <cell r="F944" t="str">
            <v>EA</v>
          </cell>
          <cell r="H944">
            <v>5</v>
          </cell>
          <cell r="J944">
            <v>5</v>
          </cell>
          <cell r="L944">
            <v>156</v>
          </cell>
          <cell r="N944">
            <v>780</v>
          </cell>
        </row>
        <row r="945">
          <cell r="A945" t="str">
            <v>AP4</v>
          </cell>
          <cell r="B945">
            <v>810000</v>
          </cell>
          <cell r="C945" t="str">
            <v>OMISC03</v>
          </cell>
          <cell r="D945" t="str">
            <v>잡자재비</v>
          </cell>
          <cell r="E945" t="str">
            <v>관의 (3)％</v>
          </cell>
          <cell r="F945" t="str">
            <v>L/S</v>
          </cell>
          <cell r="H945">
            <v>1</v>
          </cell>
          <cell r="J945">
            <v>1</v>
          </cell>
          <cell r="L945">
            <v>1070</v>
          </cell>
          <cell r="N945">
            <v>1070</v>
          </cell>
        </row>
        <row r="946">
          <cell r="A946" t="str">
            <v>AP4</v>
          </cell>
          <cell r="B946">
            <v>850000</v>
          </cell>
          <cell r="C946" t="str">
            <v>LINSUL</v>
          </cell>
          <cell r="D946" t="str">
            <v>보온공</v>
          </cell>
          <cell r="F946" t="str">
            <v>M/D</v>
          </cell>
          <cell r="H946">
            <v>0.5</v>
          </cell>
          <cell r="J946">
            <v>0.5</v>
          </cell>
          <cell r="L946">
            <v>30900</v>
          </cell>
          <cell r="N946">
            <v>15450</v>
          </cell>
        </row>
        <row r="947">
          <cell r="A947" t="str">
            <v>AP4</v>
          </cell>
          <cell r="B947">
            <v>850000</v>
          </cell>
          <cell r="C947" t="str">
            <v>LDUCTR</v>
          </cell>
          <cell r="D947" t="str">
            <v>덕트공</v>
          </cell>
          <cell r="F947" t="str">
            <v>M/D</v>
          </cell>
          <cell r="H947">
            <v>0.4</v>
          </cell>
          <cell r="J947">
            <v>0.4</v>
          </cell>
          <cell r="L947">
            <v>31400</v>
          </cell>
          <cell r="N947">
            <v>12560</v>
          </cell>
        </row>
        <row r="948">
          <cell r="A948" t="str">
            <v>AP4</v>
          </cell>
          <cell r="B948">
            <v>850000</v>
          </cell>
          <cell r="C948" t="str">
            <v>LMILLW</v>
          </cell>
          <cell r="D948" t="str">
            <v>기계설치공</v>
          </cell>
          <cell r="F948" t="str">
            <v>M/D</v>
          </cell>
          <cell r="H948">
            <v>0.1</v>
          </cell>
          <cell r="J948">
            <v>0.1</v>
          </cell>
          <cell r="L948">
            <v>34000</v>
          </cell>
          <cell r="N948">
            <v>3400</v>
          </cell>
        </row>
        <row r="949">
          <cell r="A949" t="str">
            <v>AP4</v>
          </cell>
          <cell r="B949">
            <v>850000</v>
          </cell>
          <cell r="C949" t="str">
            <v>LHELPR</v>
          </cell>
          <cell r="D949" t="str">
            <v>보통인부</v>
          </cell>
          <cell r="F949" t="str">
            <v>M/D</v>
          </cell>
          <cell r="H949">
            <v>0.5</v>
          </cell>
          <cell r="J949">
            <v>0.5</v>
          </cell>
          <cell r="L949">
            <v>22300</v>
          </cell>
          <cell r="N949">
            <v>11150</v>
          </cell>
        </row>
        <row r="950">
          <cell r="A950" t="str">
            <v>AP4</v>
          </cell>
          <cell r="B950">
            <v>850000</v>
          </cell>
          <cell r="C950" t="str">
            <v>LPIPEG</v>
          </cell>
          <cell r="D950" t="str">
            <v>배관공</v>
          </cell>
          <cell r="F950" t="str">
            <v>M/D</v>
          </cell>
          <cell r="H950">
            <v>0.6</v>
          </cell>
          <cell r="J950">
            <v>0.6</v>
          </cell>
          <cell r="L950">
            <v>34400</v>
          </cell>
          <cell r="N950">
            <v>20640</v>
          </cell>
        </row>
        <row r="951">
          <cell r="A951" t="str">
            <v>AP4</v>
          </cell>
          <cell r="B951">
            <v>850000</v>
          </cell>
          <cell r="C951" t="str">
            <v>LWELDG</v>
          </cell>
          <cell r="D951" t="str">
            <v>용접공(일반)</v>
          </cell>
          <cell r="F951" t="str">
            <v>M/D</v>
          </cell>
          <cell r="H951">
            <v>0.2</v>
          </cell>
          <cell r="J951">
            <v>0.2</v>
          </cell>
          <cell r="L951">
            <v>39500</v>
          </cell>
          <cell r="N951">
            <v>7900</v>
          </cell>
        </row>
        <row r="952">
          <cell r="A952" t="str">
            <v>AP4</v>
          </cell>
          <cell r="B952">
            <v>900000</v>
          </cell>
          <cell r="C952" t="str">
            <v>CAMTLP0</v>
          </cell>
          <cell r="D952" t="str">
            <v>APT 급수급탕 콘크리트깨기</v>
          </cell>
          <cell r="F952" t="str">
            <v>M</v>
          </cell>
          <cell r="H952">
            <v>6.9</v>
          </cell>
          <cell r="J952">
            <v>6.9</v>
          </cell>
          <cell r="L952">
            <v>1056</v>
          </cell>
          <cell r="N952">
            <v>7286</v>
          </cell>
          <cell r="R952" t="b">
            <v>0</v>
          </cell>
        </row>
        <row r="953">
          <cell r="A953" t="str">
            <v>AP4</v>
          </cell>
          <cell r="B953">
            <v>900000</v>
          </cell>
          <cell r="C953" t="str">
            <v>CAMTLP1</v>
          </cell>
          <cell r="D953" t="str">
            <v>APT 급수급탕 조적깨기</v>
          </cell>
          <cell r="F953" t="str">
            <v>M</v>
          </cell>
          <cell r="H953">
            <v>2.2999999999999998</v>
          </cell>
          <cell r="J953">
            <v>2.2999999999999998</v>
          </cell>
          <cell r="L953">
            <v>528</v>
          </cell>
          <cell r="N953">
            <v>1214</v>
          </cell>
          <cell r="R953" t="b">
            <v>0</v>
          </cell>
        </row>
        <row r="954">
          <cell r="A954" t="str">
            <v>AP4</v>
          </cell>
          <cell r="B954">
            <v>900000</v>
          </cell>
          <cell r="C954" t="str">
            <v>CAMTLP2</v>
          </cell>
          <cell r="D954" t="str">
            <v>APT 급수급탕 몰탈보양</v>
          </cell>
          <cell r="F954" t="str">
            <v>M</v>
          </cell>
          <cell r="H954">
            <v>35.6</v>
          </cell>
          <cell r="J954">
            <v>35.6</v>
          </cell>
          <cell r="L954">
            <v>150</v>
          </cell>
          <cell r="N954">
            <v>5340</v>
          </cell>
          <cell r="R954" t="b">
            <v>0</v>
          </cell>
        </row>
        <row r="955">
          <cell r="A955" t="str">
            <v>AP4</v>
          </cell>
          <cell r="B955">
            <v>990000</v>
          </cell>
          <cell r="C955" t="str">
            <v>OMISC06</v>
          </cell>
          <cell r="D955" t="str">
            <v>공구손료</v>
          </cell>
          <cell r="E955" t="str">
            <v>인건비의 (3)％</v>
          </cell>
          <cell r="F955" t="str">
            <v>L/S</v>
          </cell>
          <cell r="H955">
            <v>1</v>
          </cell>
          <cell r="J955">
            <v>1</v>
          </cell>
          <cell r="L955">
            <v>3060</v>
          </cell>
          <cell r="N955">
            <v>3060</v>
          </cell>
        </row>
        <row r="956">
          <cell r="A956" t="str">
            <v>AP5</v>
          </cell>
          <cell r="B956">
            <v>0</v>
          </cell>
          <cell r="C956" t="str">
            <v>WABD5</v>
          </cell>
          <cell r="D956" t="str">
            <v>8-5.오,배수배관공사</v>
          </cell>
        </row>
        <row r="957">
          <cell r="A957" t="str">
            <v>AP5</v>
          </cell>
          <cell r="B957">
            <v>100</v>
          </cell>
          <cell r="C957" t="str">
            <v>MPF1201D</v>
          </cell>
          <cell r="D957" t="str">
            <v>PVC 파이프(VG2)</v>
          </cell>
          <cell r="E957" t="str">
            <v>35D</v>
          </cell>
          <cell r="F957" t="str">
            <v>M</v>
          </cell>
          <cell r="G957">
            <v>5</v>
          </cell>
          <cell r="H957">
            <v>0.5</v>
          </cell>
          <cell r="J957">
            <v>0.5</v>
          </cell>
          <cell r="L957">
            <v>554</v>
          </cell>
          <cell r="N957">
            <v>277</v>
          </cell>
          <cell r="R957" t="b">
            <v>1</v>
          </cell>
        </row>
        <row r="958">
          <cell r="A958" t="str">
            <v>AP5</v>
          </cell>
          <cell r="B958">
            <v>200</v>
          </cell>
          <cell r="C958" t="str">
            <v>MCNC12AA</v>
          </cell>
          <cell r="D958" t="str">
            <v>주철관(NO HUB)</v>
          </cell>
          <cell r="E958" t="str">
            <v>50D*1500L</v>
          </cell>
          <cell r="F958" t="str">
            <v>EA</v>
          </cell>
          <cell r="G958">
            <v>0</v>
          </cell>
          <cell r="H958">
            <v>2</v>
          </cell>
          <cell r="J958">
            <v>2</v>
          </cell>
          <cell r="L958">
            <v>5376</v>
          </cell>
          <cell r="N958">
            <v>10752</v>
          </cell>
          <cell r="R958" t="b">
            <v>0</v>
          </cell>
        </row>
        <row r="959">
          <cell r="A959" t="str">
            <v>AP5</v>
          </cell>
          <cell r="B959">
            <v>300</v>
          </cell>
          <cell r="C959" t="str">
            <v>MCNC14AA</v>
          </cell>
          <cell r="D959" t="str">
            <v>주철관(NO HUB)</v>
          </cell>
          <cell r="E959" t="str">
            <v>100D*1500L</v>
          </cell>
          <cell r="F959" t="str">
            <v>EA</v>
          </cell>
          <cell r="G959">
            <v>0</v>
          </cell>
          <cell r="H959">
            <v>2</v>
          </cell>
          <cell r="J959">
            <v>2</v>
          </cell>
          <cell r="L959">
            <v>10336</v>
          </cell>
          <cell r="N959">
            <v>20672</v>
          </cell>
          <cell r="R959" t="b">
            <v>0</v>
          </cell>
        </row>
        <row r="960">
          <cell r="A960" t="str">
            <v>AP5</v>
          </cell>
          <cell r="B960">
            <v>302</v>
          </cell>
          <cell r="C960" t="str">
            <v>OMIHMCNC</v>
          </cell>
          <cell r="D960" t="str">
            <v>행거 및 용접봉</v>
          </cell>
          <cell r="E960" t="str">
            <v>관의 (15)％</v>
          </cell>
          <cell r="F960" t="str">
            <v>L/S</v>
          </cell>
          <cell r="H960">
            <v>1</v>
          </cell>
          <cell r="J960">
            <v>1</v>
          </cell>
          <cell r="L960">
            <v>4714</v>
          </cell>
          <cell r="N960">
            <v>4714</v>
          </cell>
        </row>
        <row r="961">
          <cell r="A961" t="str">
            <v>AP5</v>
          </cell>
          <cell r="B961">
            <v>400</v>
          </cell>
          <cell r="C961" t="str">
            <v>MCNF4B2A</v>
          </cell>
          <cell r="D961" t="str">
            <v>45도 곡관(CI),NO HUB</v>
          </cell>
          <cell r="E961" t="str">
            <v>50D</v>
          </cell>
          <cell r="F961" t="str">
            <v>EA</v>
          </cell>
          <cell r="G961">
            <v>0</v>
          </cell>
          <cell r="H961">
            <v>2</v>
          </cell>
          <cell r="J961">
            <v>2</v>
          </cell>
          <cell r="L961">
            <v>448</v>
          </cell>
          <cell r="N961">
            <v>896</v>
          </cell>
          <cell r="R961" t="b">
            <v>0</v>
          </cell>
        </row>
        <row r="962">
          <cell r="A962" t="str">
            <v>AP5</v>
          </cell>
          <cell r="B962">
            <v>500</v>
          </cell>
          <cell r="C962" t="str">
            <v>MCNF4B4A</v>
          </cell>
          <cell r="D962" t="str">
            <v>45도 곡관(CI),NO HUB</v>
          </cell>
          <cell r="E962" t="str">
            <v>100D</v>
          </cell>
          <cell r="F962" t="str">
            <v>EA</v>
          </cell>
          <cell r="G962">
            <v>0</v>
          </cell>
          <cell r="H962">
            <v>2</v>
          </cell>
          <cell r="J962">
            <v>2</v>
          </cell>
          <cell r="L962">
            <v>1088</v>
          </cell>
          <cell r="N962">
            <v>2176</v>
          </cell>
          <cell r="R962" t="b">
            <v>0</v>
          </cell>
        </row>
        <row r="963">
          <cell r="A963" t="str">
            <v>AP5</v>
          </cell>
          <cell r="B963">
            <v>600</v>
          </cell>
          <cell r="C963" t="str">
            <v>MCNF9B2A</v>
          </cell>
          <cell r="D963" t="str">
            <v>90도 단곡관(CI),NO HUB</v>
          </cell>
          <cell r="E963" t="str">
            <v>50D</v>
          </cell>
          <cell r="F963" t="str">
            <v>EA</v>
          </cell>
          <cell r="G963">
            <v>0</v>
          </cell>
          <cell r="H963">
            <v>1</v>
          </cell>
          <cell r="J963">
            <v>1</v>
          </cell>
          <cell r="L963">
            <v>896</v>
          </cell>
          <cell r="N963">
            <v>896</v>
          </cell>
          <cell r="R963" t="b">
            <v>0</v>
          </cell>
        </row>
        <row r="964">
          <cell r="A964" t="str">
            <v>AP5</v>
          </cell>
          <cell r="B964">
            <v>700</v>
          </cell>
          <cell r="C964" t="str">
            <v>MCNF9B4A</v>
          </cell>
          <cell r="D964" t="str">
            <v>90도 단곡관(CI),NO HUB</v>
          </cell>
          <cell r="E964" t="str">
            <v>100D</v>
          </cell>
          <cell r="F964" t="str">
            <v>EA</v>
          </cell>
          <cell r="G964">
            <v>0</v>
          </cell>
          <cell r="H964">
            <v>1</v>
          </cell>
          <cell r="J964">
            <v>1</v>
          </cell>
          <cell r="L964">
            <v>2368</v>
          </cell>
          <cell r="N964">
            <v>2368</v>
          </cell>
          <cell r="R964" t="b">
            <v>0</v>
          </cell>
        </row>
        <row r="965">
          <cell r="A965" t="str">
            <v>AP5</v>
          </cell>
          <cell r="B965">
            <v>800</v>
          </cell>
          <cell r="C965" t="str">
            <v>MCNFA2A2</v>
          </cell>
          <cell r="D965" t="str">
            <v>Y관 (CI),NO HUB</v>
          </cell>
          <cell r="E965" t="str">
            <v>50D* 50D</v>
          </cell>
          <cell r="F965" t="str">
            <v>EA</v>
          </cell>
          <cell r="G965">
            <v>0</v>
          </cell>
          <cell r="H965">
            <v>2</v>
          </cell>
          <cell r="J965">
            <v>2</v>
          </cell>
          <cell r="L965">
            <v>672</v>
          </cell>
          <cell r="N965">
            <v>1344</v>
          </cell>
          <cell r="R965" t="b">
            <v>0</v>
          </cell>
        </row>
        <row r="966">
          <cell r="A966" t="str">
            <v>AP5</v>
          </cell>
          <cell r="B966">
            <v>900</v>
          </cell>
          <cell r="C966" t="str">
            <v>MCNFA4A4</v>
          </cell>
          <cell r="D966" t="str">
            <v>Y관 (CI),NO HUB</v>
          </cell>
          <cell r="E966" t="str">
            <v>100D*100D</v>
          </cell>
          <cell r="F966" t="str">
            <v>EA</v>
          </cell>
          <cell r="G966">
            <v>0</v>
          </cell>
          <cell r="H966">
            <v>1</v>
          </cell>
          <cell r="J966">
            <v>1</v>
          </cell>
          <cell r="L966">
            <v>2368</v>
          </cell>
          <cell r="N966">
            <v>2368</v>
          </cell>
          <cell r="R966" t="b">
            <v>0</v>
          </cell>
        </row>
        <row r="967">
          <cell r="A967" t="str">
            <v>AP5</v>
          </cell>
          <cell r="B967">
            <v>1000</v>
          </cell>
          <cell r="C967" t="str">
            <v>MCNFO2A2</v>
          </cell>
          <cell r="D967" t="str">
            <v>배수 T관(CI),NO HUB</v>
          </cell>
          <cell r="E967" t="str">
            <v>50D* 50D</v>
          </cell>
          <cell r="F967" t="str">
            <v>EA</v>
          </cell>
          <cell r="G967">
            <v>0</v>
          </cell>
          <cell r="H967">
            <v>1</v>
          </cell>
          <cell r="J967">
            <v>1</v>
          </cell>
          <cell r="L967">
            <v>768</v>
          </cell>
          <cell r="N967">
            <v>768</v>
          </cell>
          <cell r="R967" t="b">
            <v>0</v>
          </cell>
        </row>
        <row r="968">
          <cell r="A968" t="str">
            <v>AP5</v>
          </cell>
          <cell r="B968">
            <v>1100</v>
          </cell>
          <cell r="C968" t="str">
            <v>MCNFO4A2</v>
          </cell>
          <cell r="D968" t="str">
            <v>배수 T관(CI),NO HUB</v>
          </cell>
          <cell r="E968" t="str">
            <v>100D* 50D</v>
          </cell>
          <cell r="F968" t="str">
            <v>EA</v>
          </cell>
          <cell r="G968">
            <v>0</v>
          </cell>
          <cell r="H968">
            <v>1</v>
          </cell>
          <cell r="J968">
            <v>1</v>
          </cell>
          <cell r="L968">
            <v>1440</v>
          </cell>
          <cell r="N968">
            <v>1440</v>
          </cell>
          <cell r="R968" t="b">
            <v>0</v>
          </cell>
        </row>
        <row r="969">
          <cell r="A969" t="str">
            <v>AP5</v>
          </cell>
          <cell r="B969">
            <v>1200</v>
          </cell>
          <cell r="C969" t="str">
            <v>MCNFTP2A</v>
          </cell>
          <cell r="D969" t="str">
            <v>P-트랩 (CI),NO HUB</v>
          </cell>
          <cell r="E969" t="str">
            <v>50D</v>
          </cell>
          <cell r="F969" t="str">
            <v>EA</v>
          </cell>
          <cell r="G969">
            <v>0</v>
          </cell>
          <cell r="H969">
            <v>1</v>
          </cell>
          <cell r="J969">
            <v>1</v>
          </cell>
          <cell r="L969">
            <v>1088</v>
          </cell>
          <cell r="N969">
            <v>1088</v>
          </cell>
          <cell r="R969" t="b">
            <v>0</v>
          </cell>
        </row>
        <row r="970">
          <cell r="A970" t="str">
            <v>AP5</v>
          </cell>
          <cell r="B970">
            <v>1300</v>
          </cell>
          <cell r="C970" t="str">
            <v>MCNFZO2A</v>
          </cell>
          <cell r="D970" t="str">
            <v>소제구(CI),NO HUB</v>
          </cell>
          <cell r="E970" t="str">
            <v>50D</v>
          </cell>
          <cell r="F970" t="str">
            <v>EA</v>
          </cell>
          <cell r="G970">
            <v>0</v>
          </cell>
          <cell r="H970">
            <v>1</v>
          </cell>
          <cell r="J970">
            <v>1</v>
          </cell>
          <cell r="L970">
            <v>480</v>
          </cell>
          <cell r="N970">
            <v>480</v>
          </cell>
          <cell r="R970" t="b">
            <v>0</v>
          </cell>
        </row>
        <row r="971">
          <cell r="A971" t="str">
            <v>AP5</v>
          </cell>
          <cell r="B971">
            <v>1400</v>
          </cell>
          <cell r="C971" t="str">
            <v>MCNFZO4A</v>
          </cell>
          <cell r="D971" t="str">
            <v>소제구(CI),NO HUB</v>
          </cell>
          <cell r="E971" t="str">
            <v>100D</v>
          </cell>
          <cell r="F971" t="str">
            <v>EA</v>
          </cell>
          <cell r="G971">
            <v>0</v>
          </cell>
          <cell r="H971">
            <v>1</v>
          </cell>
          <cell r="J971">
            <v>1</v>
          </cell>
          <cell r="L971">
            <v>928</v>
          </cell>
          <cell r="N971">
            <v>928</v>
          </cell>
          <cell r="R971" t="b">
            <v>0</v>
          </cell>
        </row>
        <row r="972">
          <cell r="A972" t="str">
            <v>AP5</v>
          </cell>
          <cell r="B972">
            <v>1500</v>
          </cell>
          <cell r="C972" t="str">
            <v>MPFFD42A</v>
          </cell>
          <cell r="D972" t="str">
            <v>PVC 45도 곡관(DTS)</v>
          </cell>
          <cell r="E972" t="str">
            <v>50D</v>
          </cell>
          <cell r="F972" t="str">
            <v>EA</v>
          </cell>
          <cell r="G972">
            <v>0</v>
          </cell>
          <cell r="H972">
            <v>3</v>
          </cell>
          <cell r="J972">
            <v>3</v>
          </cell>
          <cell r="L972">
            <v>283</v>
          </cell>
          <cell r="N972">
            <v>849</v>
          </cell>
          <cell r="R972" t="b">
            <v>0</v>
          </cell>
        </row>
        <row r="973">
          <cell r="A973" t="str">
            <v>AP5</v>
          </cell>
          <cell r="B973">
            <v>1600</v>
          </cell>
          <cell r="C973" t="str">
            <v>MPFDO01D</v>
          </cell>
          <cell r="D973" t="str">
            <v>PVC 90도 곡관(DRF)</v>
          </cell>
          <cell r="E973" t="str">
            <v>35D</v>
          </cell>
          <cell r="F973" t="str">
            <v>EA</v>
          </cell>
          <cell r="G973">
            <v>0</v>
          </cell>
          <cell r="H973">
            <v>1</v>
          </cell>
          <cell r="J973">
            <v>1</v>
          </cell>
          <cell r="L973">
            <v>619</v>
          </cell>
          <cell r="N973">
            <v>619</v>
          </cell>
          <cell r="R973" t="b">
            <v>0</v>
          </cell>
        </row>
        <row r="974">
          <cell r="A974" t="str">
            <v>AP5</v>
          </cell>
          <cell r="B974">
            <v>1700</v>
          </cell>
          <cell r="C974" t="str">
            <v>MPF1102A</v>
          </cell>
          <cell r="D974" t="str">
            <v>PVC 파이프(VG1)</v>
          </cell>
          <cell r="E974" t="str">
            <v>50D</v>
          </cell>
          <cell r="F974" t="str">
            <v>M</v>
          </cell>
          <cell r="G974">
            <v>5</v>
          </cell>
          <cell r="H974">
            <v>2</v>
          </cell>
          <cell r="J974">
            <v>2.1</v>
          </cell>
          <cell r="L974">
            <v>1619</v>
          </cell>
          <cell r="N974">
            <v>3400</v>
          </cell>
          <cell r="R974" t="b">
            <v>1</v>
          </cell>
        </row>
        <row r="975">
          <cell r="A975" t="str">
            <v>AP5</v>
          </cell>
          <cell r="B975">
            <v>1702</v>
          </cell>
          <cell r="C975" t="str">
            <v>OMIHMPF1</v>
          </cell>
          <cell r="D975" t="str">
            <v>행거 및 용접봉</v>
          </cell>
          <cell r="E975" t="str">
            <v>관의 (15)％</v>
          </cell>
          <cell r="F975" t="str">
            <v>L/S</v>
          </cell>
          <cell r="H975">
            <v>1</v>
          </cell>
          <cell r="J975">
            <v>1</v>
          </cell>
          <cell r="L975">
            <v>554</v>
          </cell>
          <cell r="N975">
            <v>554</v>
          </cell>
        </row>
        <row r="976">
          <cell r="A976" t="str">
            <v>AP5</v>
          </cell>
          <cell r="B976">
            <v>1800</v>
          </cell>
          <cell r="C976" t="str">
            <v>MAAH100I</v>
          </cell>
          <cell r="D976" t="str">
            <v>가요전선관(PVC)</v>
          </cell>
          <cell r="E976" t="str">
            <v>22C</v>
          </cell>
          <cell r="F976" t="str">
            <v>M</v>
          </cell>
          <cell r="G976">
            <v>0</v>
          </cell>
          <cell r="H976">
            <v>1</v>
          </cell>
          <cell r="J976">
            <v>1</v>
          </cell>
          <cell r="L976">
            <v>140</v>
          </cell>
          <cell r="N976">
            <v>140</v>
          </cell>
          <cell r="R976" t="b">
            <v>1</v>
          </cell>
        </row>
        <row r="977">
          <cell r="A977" t="str">
            <v>AP5</v>
          </cell>
          <cell r="B977">
            <v>1801</v>
          </cell>
          <cell r="C977" t="str">
            <v>OMISC07</v>
          </cell>
          <cell r="D977" t="str">
            <v>전선관 부속</v>
          </cell>
          <cell r="E977" t="str">
            <v>전선관의 (20)％</v>
          </cell>
          <cell r="F977" t="str">
            <v>L/S</v>
          </cell>
          <cell r="H977">
            <v>1</v>
          </cell>
          <cell r="J977">
            <v>1</v>
          </cell>
          <cell r="L977">
            <v>28</v>
          </cell>
          <cell r="N977">
            <v>28</v>
          </cell>
        </row>
        <row r="978">
          <cell r="A978" t="str">
            <v>AP5</v>
          </cell>
          <cell r="B978">
            <v>1900</v>
          </cell>
          <cell r="C978" t="str">
            <v>MAAM003A</v>
          </cell>
          <cell r="D978" t="str">
            <v>풀박스(W/COVER)</v>
          </cell>
          <cell r="E978" t="str">
            <v>150*150*100</v>
          </cell>
          <cell r="F978" t="str">
            <v>EA</v>
          </cell>
          <cell r="G978">
            <v>0</v>
          </cell>
          <cell r="H978">
            <v>1</v>
          </cell>
          <cell r="J978">
            <v>1</v>
          </cell>
          <cell r="L978">
            <v>3400</v>
          </cell>
          <cell r="N978">
            <v>3400</v>
          </cell>
          <cell r="R978" t="b">
            <v>0</v>
          </cell>
        </row>
        <row r="979">
          <cell r="A979" t="str">
            <v>AP5</v>
          </cell>
          <cell r="B979">
            <v>2000</v>
          </cell>
          <cell r="C979" t="str">
            <v>MPFGFD2G</v>
          </cell>
          <cell r="D979" t="str">
            <v>바닥드레인(편심)</v>
          </cell>
          <cell r="E979" t="str">
            <v>■200, 50D</v>
          </cell>
          <cell r="F979" t="str">
            <v>EA</v>
          </cell>
          <cell r="G979">
            <v>0</v>
          </cell>
          <cell r="H979">
            <v>1</v>
          </cell>
          <cell r="J979">
            <v>1</v>
          </cell>
          <cell r="L979">
            <v>14400</v>
          </cell>
          <cell r="N979">
            <v>14400</v>
          </cell>
          <cell r="R979" t="b">
            <v>0</v>
          </cell>
        </row>
        <row r="980">
          <cell r="A980" t="str">
            <v>AP5</v>
          </cell>
          <cell r="B980">
            <v>2100</v>
          </cell>
          <cell r="C980" t="str">
            <v>MPFGGL1D</v>
          </cell>
          <cell r="D980" t="str">
            <v>세면기 배수구 가스켓</v>
          </cell>
          <cell r="E980" t="str">
            <v>35D</v>
          </cell>
          <cell r="F980" t="str">
            <v>EA</v>
          </cell>
          <cell r="G980">
            <v>0</v>
          </cell>
          <cell r="H980">
            <v>1</v>
          </cell>
          <cell r="J980">
            <v>1</v>
          </cell>
          <cell r="L980">
            <v>250</v>
          </cell>
          <cell r="N980">
            <v>250</v>
          </cell>
          <cell r="R980" t="b">
            <v>0</v>
          </cell>
        </row>
        <row r="981">
          <cell r="A981" t="str">
            <v>AP5</v>
          </cell>
          <cell r="B981">
            <v>2200</v>
          </cell>
          <cell r="C981" t="str">
            <v>MPFGSL1D</v>
          </cell>
          <cell r="D981" t="str">
            <v>PVC 세면기 스리브</v>
          </cell>
          <cell r="E981" t="str">
            <v>35D</v>
          </cell>
          <cell r="F981" t="str">
            <v>EA</v>
          </cell>
          <cell r="G981">
            <v>0</v>
          </cell>
          <cell r="H981">
            <v>1</v>
          </cell>
          <cell r="J981">
            <v>1</v>
          </cell>
          <cell r="L981">
            <v>720</v>
          </cell>
          <cell r="N981">
            <v>720</v>
          </cell>
          <cell r="R981" t="b">
            <v>0</v>
          </cell>
        </row>
        <row r="982">
          <cell r="A982" t="str">
            <v>AP5</v>
          </cell>
          <cell r="B982">
            <v>2300</v>
          </cell>
          <cell r="C982" t="str">
            <v>MPFGSR4A</v>
          </cell>
          <cell r="D982" t="str">
            <v>PVC 양변기 스리브,RR</v>
          </cell>
          <cell r="E982" t="str">
            <v>100D</v>
          </cell>
          <cell r="F982" t="str">
            <v>EA</v>
          </cell>
          <cell r="G982">
            <v>0</v>
          </cell>
          <cell r="H982">
            <v>1</v>
          </cell>
          <cell r="J982">
            <v>1</v>
          </cell>
          <cell r="L982">
            <v>1630</v>
          </cell>
          <cell r="N982">
            <v>1630</v>
          </cell>
          <cell r="R982" t="b">
            <v>0</v>
          </cell>
        </row>
        <row r="983">
          <cell r="A983" t="str">
            <v>AP5</v>
          </cell>
          <cell r="B983">
            <v>2400</v>
          </cell>
          <cell r="C983" t="str">
            <v>MPFGVS2A</v>
          </cell>
          <cell r="D983" t="str">
            <v>PVC 밸브소켓(DTS)</v>
          </cell>
          <cell r="E983" t="str">
            <v>50D</v>
          </cell>
          <cell r="F983" t="str">
            <v>EA</v>
          </cell>
          <cell r="G983">
            <v>0</v>
          </cell>
          <cell r="H983">
            <v>1</v>
          </cell>
          <cell r="J983">
            <v>1</v>
          </cell>
          <cell r="L983">
            <v>587</v>
          </cell>
          <cell r="N983">
            <v>587</v>
          </cell>
          <cell r="R983" t="b">
            <v>0</v>
          </cell>
        </row>
        <row r="984">
          <cell r="A984" t="str">
            <v>AP5</v>
          </cell>
          <cell r="B984">
            <v>2500</v>
          </cell>
          <cell r="C984" t="str">
            <v>BHASSL2A</v>
          </cell>
          <cell r="D984" t="str">
            <v>파이프스리브 설치</v>
          </cell>
          <cell r="E984" t="str">
            <v>50A</v>
          </cell>
          <cell r="F984" t="str">
            <v>EA</v>
          </cell>
          <cell r="H984">
            <v>1</v>
          </cell>
          <cell r="J984">
            <v>1</v>
          </cell>
          <cell r="L984">
            <v>2567</v>
          </cell>
          <cell r="N984">
            <v>2567</v>
          </cell>
          <cell r="R984" t="b">
            <v>0</v>
          </cell>
        </row>
        <row r="985">
          <cell r="A985" t="str">
            <v>AP5</v>
          </cell>
          <cell r="B985">
            <v>2600</v>
          </cell>
          <cell r="C985" t="str">
            <v>BHASSL4A</v>
          </cell>
          <cell r="D985" t="str">
            <v>파이프스리브 설치</v>
          </cell>
          <cell r="E985" t="str">
            <v>100A</v>
          </cell>
          <cell r="F985" t="str">
            <v>EA</v>
          </cell>
          <cell r="H985">
            <v>1</v>
          </cell>
          <cell r="J985">
            <v>1</v>
          </cell>
          <cell r="L985">
            <v>9623</v>
          </cell>
          <cell r="N985">
            <v>9623</v>
          </cell>
          <cell r="R985" t="b">
            <v>0</v>
          </cell>
        </row>
        <row r="986">
          <cell r="A986" t="str">
            <v>AP5</v>
          </cell>
          <cell r="B986">
            <v>2700</v>
          </cell>
          <cell r="C986" t="str">
            <v>BHASSL5A</v>
          </cell>
          <cell r="D986" t="str">
            <v>파이프스리브 설치</v>
          </cell>
          <cell r="E986" t="str">
            <v>125A</v>
          </cell>
          <cell r="F986" t="str">
            <v>EA</v>
          </cell>
          <cell r="H986">
            <v>1</v>
          </cell>
          <cell r="J986">
            <v>1</v>
          </cell>
          <cell r="L986">
            <v>16932</v>
          </cell>
          <cell r="N986">
            <v>16932</v>
          </cell>
          <cell r="R986" t="b">
            <v>0</v>
          </cell>
        </row>
        <row r="987">
          <cell r="A987" t="str">
            <v>AP5</v>
          </cell>
          <cell r="B987">
            <v>750000</v>
          </cell>
          <cell r="C987" t="str">
            <v>S22N02A</v>
          </cell>
          <cell r="D987" t="str">
            <v>주철관접합(N/H)</v>
          </cell>
          <cell r="E987" t="str">
            <v>50D</v>
          </cell>
          <cell r="F987" t="str">
            <v>JNT</v>
          </cell>
          <cell r="H987">
            <v>21</v>
          </cell>
          <cell r="J987">
            <v>21</v>
          </cell>
          <cell r="L987">
            <v>1592</v>
          </cell>
          <cell r="N987">
            <v>33432</v>
          </cell>
        </row>
        <row r="988">
          <cell r="A988" t="str">
            <v>AP5</v>
          </cell>
          <cell r="B988">
            <v>750000</v>
          </cell>
          <cell r="C988" t="str">
            <v>S22N04A</v>
          </cell>
          <cell r="D988" t="str">
            <v>주철관접합(N/H)</v>
          </cell>
          <cell r="E988" t="str">
            <v>100D</v>
          </cell>
          <cell r="F988" t="str">
            <v>JNT</v>
          </cell>
          <cell r="H988">
            <v>14</v>
          </cell>
          <cell r="J988">
            <v>14</v>
          </cell>
          <cell r="L988">
            <v>2163</v>
          </cell>
          <cell r="N988">
            <v>30282</v>
          </cell>
        </row>
        <row r="989">
          <cell r="A989" t="str">
            <v>AP5</v>
          </cell>
          <cell r="B989">
            <v>810000</v>
          </cell>
          <cell r="C989" t="str">
            <v>OMISC03</v>
          </cell>
          <cell r="D989" t="str">
            <v>잡자재비</v>
          </cell>
          <cell r="E989" t="str">
            <v>관의 (3)％</v>
          </cell>
          <cell r="F989" t="str">
            <v>L/S</v>
          </cell>
          <cell r="H989">
            <v>1</v>
          </cell>
          <cell r="J989">
            <v>1</v>
          </cell>
          <cell r="L989">
            <v>420</v>
          </cell>
          <cell r="N989">
            <v>420</v>
          </cell>
        </row>
        <row r="990">
          <cell r="A990" t="str">
            <v>AP5</v>
          </cell>
          <cell r="B990">
            <v>850000</v>
          </cell>
          <cell r="C990" t="str">
            <v>LINTEL</v>
          </cell>
          <cell r="D990" t="str">
            <v>내선전공</v>
          </cell>
          <cell r="F990" t="str">
            <v>M/D</v>
          </cell>
          <cell r="H990">
            <v>0.2</v>
          </cell>
          <cell r="J990">
            <v>0.2</v>
          </cell>
          <cell r="L990">
            <v>36400</v>
          </cell>
          <cell r="N990">
            <v>7280</v>
          </cell>
        </row>
        <row r="991">
          <cell r="A991" t="str">
            <v>AP5</v>
          </cell>
          <cell r="B991">
            <v>850000</v>
          </cell>
          <cell r="C991" t="str">
            <v>LHELPR</v>
          </cell>
          <cell r="D991" t="str">
            <v>보통인부</v>
          </cell>
          <cell r="F991" t="str">
            <v>M/D</v>
          </cell>
          <cell r="H991">
            <v>1</v>
          </cell>
          <cell r="J991">
            <v>1</v>
          </cell>
          <cell r="L991">
            <v>22300</v>
          </cell>
          <cell r="N991">
            <v>22300</v>
          </cell>
        </row>
        <row r="992">
          <cell r="A992" t="str">
            <v>AP5</v>
          </cell>
          <cell r="B992">
            <v>850000</v>
          </cell>
          <cell r="C992" t="str">
            <v>LPIPEG</v>
          </cell>
          <cell r="D992" t="str">
            <v>배관공</v>
          </cell>
          <cell r="F992" t="str">
            <v>M/D</v>
          </cell>
          <cell r="H992">
            <v>2.2000000000000002</v>
          </cell>
          <cell r="J992">
            <v>2.2000000000000002</v>
          </cell>
          <cell r="L992">
            <v>34400</v>
          </cell>
          <cell r="N992">
            <v>75680</v>
          </cell>
        </row>
        <row r="993">
          <cell r="A993" t="str">
            <v>AP5</v>
          </cell>
          <cell r="B993">
            <v>900000</v>
          </cell>
          <cell r="C993" t="str">
            <v>CAMTLP5</v>
          </cell>
          <cell r="D993" t="str">
            <v>APT씽크배수몰탈보양(PVC)</v>
          </cell>
          <cell r="E993" t="str">
            <v>50A</v>
          </cell>
          <cell r="F993" t="str">
            <v>M</v>
          </cell>
          <cell r="H993">
            <v>2</v>
          </cell>
          <cell r="J993">
            <v>2</v>
          </cell>
          <cell r="L993">
            <v>892</v>
          </cell>
          <cell r="N993">
            <v>1784</v>
          </cell>
          <cell r="R993" t="b">
            <v>0</v>
          </cell>
        </row>
        <row r="994">
          <cell r="A994" t="str">
            <v>AP5</v>
          </cell>
          <cell r="B994">
            <v>990000</v>
          </cell>
          <cell r="C994" t="str">
            <v>OMISC06</v>
          </cell>
          <cell r="D994" t="str">
            <v>공구손료</v>
          </cell>
          <cell r="E994" t="str">
            <v>인건비의 (3)％</v>
          </cell>
          <cell r="F994" t="str">
            <v>L/S</v>
          </cell>
          <cell r="H994">
            <v>1</v>
          </cell>
          <cell r="J994">
            <v>1</v>
          </cell>
          <cell r="L994">
            <v>3956</v>
          </cell>
          <cell r="N994">
            <v>3956</v>
          </cell>
        </row>
        <row r="995">
          <cell r="A995" t="str">
            <v>AP6</v>
          </cell>
          <cell r="B995">
            <v>100</v>
          </cell>
          <cell r="C995" t="str">
            <v>MFEXAE3H</v>
          </cell>
          <cell r="D995" t="str">
            <v>자동확산소화기</v>
          </cell>
          <cell r="E995" t="str">
            <v>3.3KG</v>
          </cell>
          <cell r="F995" t="str">
            <v>EA</v>
          </cell>
          <cell r="G995">
            <v>0</v>
          </cell>
          <cell r="H995">
            <v>1</v>
          </cell>
          <cell r="J995">
            <v>1</v>
          </cell>
          <cell r="L995">
            <v>30000</v>
          </cell>
          <cell r="N995">
            <v>30000</v>
          </cell>
          <cell r="R995" t="b">
            <v>0</v>
          </cell>
        </row>
        <row r="996">
          <cell r="A996" t="str">
            <v>AP6</v>
          </cell>
          <cell r="B996">
            <v>200</v>
          </cell>
          <cell r="C996" t="str">
            <v>MFEXAE4H</v>
          </cell>
          <cell r="D996" t="str">
            <v>자동식소화기(ABC급)</v>
          </cell>
          <cell r="E996" t="str">
            <v>2.5KG</v>
          </cell>
          <cell r="F996" t="str">
            <v>EA</v>
          </cell>
          <cell r="G996">
            <v>0</v>
          </cell>
          <cell r="H996">
            <v>1</v>
          </cell>
          <cell r="J996">
            <v>1</v>
          </cell>
          <cell r="L996">
            <v>200000</v>
          </cell>
          <cell r="N996">
            <v>200000</v>
          </cell>
          <cell r="R996" t="b">
            <v>0</v>
          </cell>
        </row>
        <row r="997">
          <cell r="A997" t="str">
            <v>AP6</v>
          </cell>
          <cell r="B997">
            <v>210</v>
          </cell>
          <cell r="C997" t="str">
            <v>MFEZ1CYM</v>
          </cell>
          <cell r="D997" t="str">
            <v>공기 안전매트(FAN형)</v>
          </cell>
          <cell r="E997" t="str">
            <v>15층 이하</v>
          </cell>
          <cell r="F997" t="str">
            <v>SET</v>
          </cell>
          <cell r="G997">
            <v>0</v>
          </cell>
          <cell r="H997">
            <v>1</v>
          </cell>
          <cell r="J997">
            <v>1</v>
          </cell>
          <cell r="L997">
            <v>3500000</v>
          </cell>
          <cell r="N997">
            <v>3500000</v>
          </cell>
          <cell r="R997" t="b">
            <v>0</v>
          </cell>
        </row>
        <row r="998">
          <cell r="A998" t="str">
            <v>AP6</v>
          </cell>
          <cell r="B998">
            <v>810000</v>
          </cell>
          <cell r="C998" t="str">
            <v>OMISC03</v>
          </cell>
          <cell r="D998" t="str">
            <v>잡자재비</v>
          </cell>
          <cell r="E998" t="str">
            <v>관의 (3)％</v>
          </cell>
          <cell r="F998" t="str">
            <v>L/S</v>
          </cell>
          <cell r="H998">
            <v>1</v>
          </cell>
          <cell r="J998">
            <v>1</v>
          </cell>
          <cell r="L998">
            <v>0</v>
          </cell>
          <cell r="N998">
            <v>0</v>
          </cell>
        </row>
        <row r="999">
          <cell r="A999" t="str">
            <v>AP6</v>
          </cell>
          <cell r="B999">
            <v>990000</v>
          </cell>
          <cell r="C999" t="str">
            <v>OMISC06</v>
          </cell>
          <cell r="D999" t="str">
            <v>공구손료</v>
          </cell>
          <cell r="E999" t="str">
            <v>인건비의 (3)％</v>
          </cell>
          <cell r="F999" t="str">
            <v>L/S</v>
          </cell>
          <cell r="H999">
            <v>1</v>
          </cell>
          <cell r="J999">
            <v>1</v>
          </cell>
          <cell r="L999">
            <v>0</v>
          </cell>
          <cell r="N999">
            <v>0</v>
          </cell>
        </row>
        <row r="1000">
          <cell r="A1000" t="str">
            <v>AP6</v>
          </cell>
          <cell r="C1000" t="str">
            <v>WAAT</v>
          </cell>
          <cell r="D1000" t="str">
            <v>8-6. 소화기설치공사</v>
          </cell>
        </row>
        <row r="1001">
          <cell r="A1001" t="str">
            <v>AQ</v>
          </cell>
          <cell r="B1001">
            <v>0</v>
          </cell>
          <cell r="C1001" t="str">
            <v>WAAT</v>
          </cell>
          <cell r="D1001" t="str">
            <v>9. 노인정설비공사</v>
          </cell>
        </row>
        <row r="1002">
          <cell r="A1002" t="str">
            <v>AQ1</v>
          </cell>
          <cell r="B1002">
            <v>0</v>
          </cell>
          <cell r="C1002" t="str">
            <v>WAAT</v>
          </cell>
          <cell r="D1002" t="str">
            <v>9-1. 장비설치공사</v>
          </cell>
        </row>
        <row r="1003">
          <cell r="A1003" t="str">
            <v>AQ1</v>
          </cell>
          <cell r="B1003">
            <v>100</v>
          </cell>
          <cell r="C1003" t="str">
            <v>TMSJI022</v>
          </cell>
          <cell r="D1003" t="str">
            <v>가스보일러(F.F)</v>
          </cell>
          <cell r="E1003" t="str">
            <v>20,000KCAL</v>
          </cell>
          <cell r="F1003" t="str">
            <v>SET</v>
          </cell>
          <cell r="G1003">
            <v>0</v>
          </cell>
          <cell r="H1003">
            <v>1</v>
          </cell>
          <cell r="J1003">
            <v>1</v>
          </cell>
          <cell r="L1003">
            <v>370000</v>
          </cell>
          <cell r="N1003">
            <v>370000</v>
          </cell>
          <cell r="R1003" t="b">
            <v>0</v>
          </cell>
        </row>
        <row r="1004">
          <cell r="A1004" t="str">
            <v>AQ1</v>
          </cell>
          <cell r="B1004">
            <v>810000</v>
          </cell>
          <cell r="C1004" t="str">
            <v>OMISC03</v>
          </cell>
          <cell r="D1004" t="str">
            <v>잡자재비</v>
          </cell>
          <cell r="E1004" t="str">
            <v>관의 (3)％</v>
          </cell>
          <cell r="F1004" t="str">
            <v>L/S</v>
          </cell>
          <cell r="H1004">
            <v>1</v>
          </cell>
          <cell r="J1004">
            <v>1</v>
          </cell>
          <cell r="L1004">
            <v>0</v>
          </cell>
          <cell r="N1004">
            <v>0</v>
          </cell>
        </row>
        <row r="1005">
          <cell r="A1005" t="str">
            <v>AQ1</v>
          </cell>
          <cell r="B1005">
            <v>990000</v>
          </cell>
          <cell r="C1005" t="str">
            <v>OMISC06</v>
          </cell>
          <cell r="D1005" t="str">
            <v>공구손료</v>
          </cell>
          <cell r="E1005" t="str">
            <v>인건비의 (3)％</v>
          </cell>
          <cell r="F1005" t="str">
            <v>L/S</v>
          </cell>
          <cell r="H1005">
            <v>1</v>
          </cell>
          <cell r="J1005">
            <v>1</v>
          </cell>
          <cell r="L1005">
            <v>0</v>
          </cell>
          <cell r="N1005">
            <v>0</v>
          </cell>
        </row>
        <row r="1006">
          <cell r="A1006" t="str">
            <v>AQ2</v>
          </cell>
          <cell r="B1006">
            <v>0</v>
          </cell>
          <cell r="C1006" t="str">
            <v>WAAT</v>
          </cell>
          <cell r="D1006" t="str">
            <v>9-2. 난방배관공사</v>
          </cell>
        </row>
        <row r="1007">
          <cell r="A1007" t="str">
            <v>AQ2</v>
          </cell>
          <cell r="B1007">
            <v>100</v>
          </cell>
          <cell r="C1007" t="str">
            <v>MPA3001A</v>
          </cell>
          <cell r="D1007" t="str">
            <v>동관(L형)</v>
          </cell>
          <cell r="E1007" t="str">
            <v>1B    , 28.58</v>
          </cell>
          <cell r="F1007" t="str">
            <v>M</v>
          </cell>
          <cell r="G1007">
            <v>5</v>
          </cell>
          <cell r="H1007">
            <v>2.4</v>
          </cell>
          <cell r="J1007">
            <v>2.5</v>
          </cell>
          <cell r="L1007">
            <v>2823</v>
          </cell>
          <cell r="N1007">
            <v>7058</v>
          </cell>
          <cell r="R1007" t="b">
            <v>1</v>
          </cell>
        </row>
        <row r="1008">
          <cell r="A1008" t="str">
            <v>AQ2</v>
          </cell>
          <cell r="B1008">
            <v>200</v>
          </cell>
          <cell r="C1008" t="str">
            <v>MPC0000V</v>
          </cell>
          <cell r="D1008" t="str">
            <v>PPC 코일</v>
          </cell>
          <cell r="E1008" t="str">
            <v>15D</v>
          </cell>
          <cell r="F1008" t="str">
            <v>M</v>
          </cell>
          <cell r="G1008">
            <v>5</v>
          </cell>
          <cell r="H1008">
            <v>235.7</v>
          </cell>
          <cell r="J1008">
            <v>247.5</v>
          </cell>
          <cell r="L1008">
            <v>190</v>
          </cell>
          <cell r="N1008">
            <v>47025</v>
          </cell>
          <cell r="R1008" t="b">
            <v>1</v>
          </cell>
        </row>
        <row r="1009">
          <cell r="A1009" t="str">
            <v>AQ2</v>
          </cell>
          <cell r="B1009">
            <v>300</v>
          </cell>
          <cell r="C1009" t="str">
            <v>MPC1001A</v>
          </cell>
          <cell r="D1009" t="str">
            <v>PPC 파이프</v>
          </cell>
          <cell r="E1009" t="str">
            <v>25D</v>
          </cell>
          <cell r="F1009" t="str">
            <v>M</v>
          </cell>
          <cell r="G1009">
            <v>5</v>
          </cell>
          <cell r="H1009">
            <v>19.5</v>
          </cell>
          <cell r="J1009">
            <v>20.5</v>
          </cell>
          <cell r="L1009">
            <v>460</v>
          </cell>
          <cell r="N1009">
            <v>9430</v>
          </cell>
          <cell r="R1009" t="b">
            <v>1</v>
          </cell>
        </row>
        <row r="1010">
          <cell r="A1010" t="str">
            <v>AQ2</v>
          </cell>
          <cell r="B1010">
            <v>400</v>
          </cell>
          <cell r="C1010" t="str">
            <v>BIPDC00H</v>
          </cell>
          <cell r="D1010" t="str">
            <v>관보온,아티론,일반AL</v>
          </cell>
          <cell r="E1010" t="str">
            <v>5T* 15A</v>
          </cell>
          <cell r="F1010" t="str">
            <v>M</v>
          </cell>
          <cell r="H1010">
            <v>5</v>
          </cell>
          <cell r="J1010">
            <v>5</v>
          </cell>
          <cell r="L1010">
            <v>209</v>
          </cell>
          <cell r="N1010">
            <v>1045</v>
          </cell>
          <cell r="R1010" t="b">
            <v>0</v>
          </cell>
        </row>
        <row r="1011">
          <cell r="A1011" t="str">
            <v>AQ2</v>
          </cell>
          <cell r="B1011">
            <v>500</v>
          </cell>
          <cell r="C1011" t="str">
            <v>BIPDC11A</v>
          </cell>
          <cell r="D1011" t="str">
            <v>관보온,아티론,일반AL</v>
          </cell>
          <cell r="E1011" t="str">
            <v>10T* 25A</v>
          </cell>
          <cell r="F1011" t="str">
            <v>M</v>
          </cell>
          <cell r="H1011">
            <v>19.5</v>
          </cell>
          <cell r="J1011">
            <v>19.5</v>
          </cell>
          <cell r="L1011">
            <v>405</v>
          </cell>
          <cell r="N1011">
            <v>7898</v>
          </cell>
          <cell r="R1011" t="b">
            <v>0</v>
          </cell>
        </row>
        <row r="1012">
          <cell r="A1012" t="str">
            <v>AQ2</v>
          </cell>
          <cell r="B1012">
            <v>600</v>
          </cell>
          <cell r="C1012" t="str">
            <v>BIPA121A</v>
          </cell>
          <cell r="D1012" t="str">
            <v>관보온 은폐,유리솜 1</v>
          </cell>
          <cell r="E1012" t="str">
            <v>25T* 25A</v>
          </cell>
          <cell r="F1012" t="str">
            <v>M</v>
          </cell>
          <cell r="H1012">
            <v>3</v>
          </cell>
          <cell r="J1012">
            <v>3</v>
          </cell>
          <cell r="L1012">
            <v>1131</v>
          </cell>
          <cell r="N1012">
            <v>3393</v>
          </cell>
          <cell r="R1012" t="b">
            <v>0</v>
          </cell>
        </row>
        <row r="1013">
          <cell r="A1013" t="str">
            <v>AQ2</v>
          </cell>
          <cell r="B1013">
            <v>700</v>
          </cell>
          <cell r="C1013" t="str">
            <v>MPAF0B1A</v>
          </cell>
          <cell r="D1013" t="str">
            <v>동 엘보</v>
          </cell>
          <cell r="E1013" t="str">
            <v>1B</v>
          </cell>
          <cell r="F1013" t="str">
            <v>EA</v>
          </cell>
          <cell r="G1013">
            <v>0</v>
          </cell>
          <cell r="H1013">
            <v>2</v>
          </cell>
          <cell r="J1013">
            <v>2</v>
          </cell>
          <cell r="L1013">
            <v>529</v>
          </cell>
          <cell r="N1013">
            <v>1058</v>
          </cell>
          <cell r="R1013" t="b">
            <v>0</v>
          </cell>
        </row>
        <row r="1014">
          <cell r="A1014" t="str">
            <v>AQ2</v>
          </cell>
          <cell r="B1014">
            <v>800</v>
          </cell>
          <cell r="C1014" t="str">
            <v>MPAF0D0H</v>
          </cell>
          <cell r="D1014" t="str">
            <v>황동 엘보(S*S)</v>
          </cell>
          <cell r="E1014" t="str">
            <v>1/2B</v>
          </cell>
          <cell r="F1014" t="str">
            <v>EA</v>
          </cell>
          <cell r="G1014">
            <v>0</v>
          </cell>
          <cell r="H1014">
            <v>1</v>
          </cell>
          <cell r="J1014">
            <v>1</v>
          </cell>
          <cell r="L1014">
            <v>655</v>
          </cell>
          <cell r="N1014">
            <v>655</v>
          </cell>
          <cell r="R1014" t="b">
            <v>0</v>
          </cell>
        </row>
        <row r="1015">
          <cell r="A1015" t="str">
            <v>AQ2</v>
          </cell>
          <cell r="B1015">
            <v>900</v>
          </cell>
          <cell r="C1015" t="str">
            <v>MPAF0D1A</v>
          </cell>
          <cell r="D1015" t="str">
            <v>황동 엘보(S*S)</v>
          </cell>
          <cell r="E1015" t="str">
            <v>1 B</v>
          </cell>
          <cell r="F1015" t="str">
            <v>EA</v>
          </cell>
          <cell r="G1015">
            <v>0</v>
          </cell>
          <cell r="H1015">
            <v>2</v>
          </cell>
          <cell r="J1015">
            <v>2</v>
          </cell>
          <cell r="L1015">
            <v>3064</v>
          </cell>
          <cell r="N1015">
            <v>6128</v>
          </cell>
          <cell r="R1015" t="b">
            <v>0</v>
          </cell>
        </row>
        <row r="1016">
          <cell r="A1016" t="str">
            <v>AQ2</v>
          </cell>
          <cell r="B1016">
            <v>1000</v>
          </cell>
          <cell r="C1016" t="str">
            <v>MPAF3M1A</v>
          </cell>
          <cell r="D1016" t="str">
            <v>황동 CXM 유니온</v>
          </cell>
          <cell r="E1016" t="str">
            <v>1B</v>
          </cell>
          <cell r="F1016" t="str">
            <v>EA</v>
          </cell>
          <cell r="G1016">
            <v>0</v>
          </cell>
          <cell r="H1016">
            <v>4</v>
          </cell>
          <cell r="J1016">
            <v>4</v>
          </cell>
          <cell r="L1016">
            <v>2145</v>
          </cell>
          <cell r="N1016">
            <v>8580</v>
          </cell>
          <cell r="R1016" t="b">
            <v>0</v>
          </cell>
        </row>
        <row r="1017">
          <cell r="A1017" t="str">
            <v>AQ2</v>
          </cell>
          <cell r="B1017">
            <v>1100</v>
          </cell>
          <cell r="C1017" t="str">
            <v>MPAF4S0H</v>
          </cell>
          <cell r="D1017" t="str">
            <v>황동 니플</v>
          </cell>
          <cell r="E1017" t="str">
            <v>1/2B</v>
          </cell>
          <cell r="F1017" t="str">
            <v>EA</v>
          </cell>
          <cell r="G1017">
            <v>0</v>
          </cell>
          <cell r="H1017">
            <v>3</v>
          </cell>
          <cell r="J1017">
            <v>3</v>
          </cell>
          <cell r="L1017">
            <v>253</v>
          </cell>
          <cell r="N1017">
            <v>759</v>
          </cell>
          <cell r="R1017" t="b">
            <v>0</v>
          </cell>
        </row>
        <row r="1018">
          <cell r="A1018" t="str">
            <v>AQ2</v>
          </cell>
          <cell r="B1018">
            <v>1200</v>
          </cell>
          <cell r="C1018" t="str">
            <v>MPAF4S1A</v>
          </cell>
          <cell r="D1018" t="str">
            <v>황동 니플</v>
          </cell>
          <cell r="E1018" t="str">
            <v>1B</v>
          </cell>
          <cell r="F1018" t="str">
            <v>EA</v>
          </cell>
          <cell r="G1018">
            <v>0</v>
          </cell>
          <cell r="H1018">
            <v>11</v>
          </cell>
          <cell r="J1018">
            <v>11</v>
          </cell>
          <cell r="L1018">
            <v>762</v>
          </cell>
          <cell r="N1018">
            <v>8382</v>
          </cell>
          <cell r="R1018" t="b">
            <v>0</v>
          </cell>
        </row>
        <row r="1019">
          <cell r="A1019" t="str">
            <v>AQ2</v>
          </cell>
          <cell r="B1019">
            <v>1300</v>
          </cell>
          <cell r="C1019" t="str">
            <v>MPAFFB1A</v>
          </cell>
          <cell r="D1019" t="str">
            <v>황동 CXF 아답타</v>
          </cell>
          <cell r="E1019" t="str">
            <v>1B</v>
          </cell>
          <cell r="F1019" t="str">
            <v>EA</v>
          </cell>
          <cell r="G1019">
            <v>0</v>
          </cell>
          <cell r="H1019">
            <v>2</v>
          </cell>
          <cell r="J1019">
            <v>2</v>
          </cell>
          <cell r="L1019">
            <v>1534</v>
          </cell>
          <cell r="N1019">
            <v>3068</v>
          </cell>
          <cell r="R1019" t="b">
            <v>0</v>
          </cell>
        </row>
        <row r="1020">
          <cell r="A1020" t="str">
            <v>AQ2</v>
          </cell>
          <cell r="B1020">
            <v>1400</v>
          </cell>
          <cell r="C1020" t="str">
            <v>MPCF000H</v>
          </cell>
          <cell r="D1020" t="str">
            <v>PPC 엘보,90도</v>
          </cell>
          <cell r="E1020" t="str">
            <v>15D</v>
          </cell>
          <cell r="F1020" t="str">
            <v>EA</v>
          </cell>
          <cell r="G1020">
            <v>0</v>
          </cell>
          <cell r="H1020">
            <v>2</v>
          </cell>
          <cell r="J1020">
            <v>2</v>
          </cell>
          <cell r="L1020">
            <v>120</v>
          </cell>
          <cell r="N1020">
            <v>240</v>
          </cell>
          <cell r="R1020" t="b">
            <v>0</v>
          </cell>
        </row>
        <row r="1021">
          <cell r="A1021" t="str">
            <v>AQ2</v>
          </cell>
          <cell r="B1021">
            <v>1500</v>
          </cell>
          <cell r="C1021" t="str">
            <v>MPCF001A</v>
          </cell>
          <cell r="D1021" t="str">
            <v>PPC 엘보,90도</v>
          </cell>
          <cell r="E1021" t="str">
            <v>25D</v>
          </cell>
          <cell r="F1021" t="str">
            <v>EA</v>
          </cell>
          <cell r="G1021">
            <v>0</v>
          </cell>
          <cell r="H1021">
            <v>6</v>
          </cell>
          <cell r="J1021">
            <v>6</v>
          </cell>
          <cell r="L1021">
            <v>320</v>
          </cell>
          <cell r="N1021">
            <v>1920</v>
          </cell>
          <cell r="R1021" t="b">
            <v>0</v>
          </cell>
        </row>
        <row r="1022">
          <cell r="A1022" t="str">
            <v>AQ2</v>
          </cell>
          <cell r="B1022">
            <v>1600</v>
          </cell>
          <cell r="C1022" t="str">
            <v>MPCF601A</v>
          </cell>
          <cell r="D1022" t="str">
            <v>PPC 소켓</v>
          </cell>
          <cell r="E1022" t="str">
            <v>25D</v>
          </cell>
          <cell r="F1022" t="str">
            <v>EA</v>
          </cell>
          <cell r="G1022">
            <v>0</v>
          </cell>
          <cell r="H1022">
            <v>2</v>
          </cell>
          <cell r="J1022">
            <v>2</v>
          </cell>
          <cell r="L1022">
            <v>190</v>
          </cell>
          <cell r="N1022">
            <v>380</v>
          </cell>
          <cell r="R1022" t="b">
            <v>0</v>
          </cell>
        </row>
        <row r="1023">
          <cell r="A1023" t="str">
            <v>AQ2</v>
          </cell>
          <cell r="B1023">
            <v>1700</v>
          </cell>
          <cell r="C1023" t="str">
            <v>MPCF6M1A</v>
          </cell>
          <cell r="D1023" t="str">
            <v>PPC 트랜지션 소켓(M)</v>
          </cell>
          <cell r="E1023" t="str">
            <v>25D</v>
          </cell>
          <cell r="F1023" t="str">
            <v>EA</v>
          </cell>
          <cell r="G1023">
            <v>0</v>
          </cell>
          <cell r="H1023">
            <v>4</v>
          </cell>
          <cell r="J1023">
            <v>4</v>
          </cell>
          <cell r="L1023">
            <v>3600</v>
          </cell>
          <cell r="N1023">
            <v>14400</v>
          </cell>
          <cell r="R1023" t="b">
            <v>0</v>
          </cell>
        </row>
        <row r="1024">
          <cell r="A1024" t="str">
            <v>AQ2</v>
          </cell>
          <cell r="B1024">
            <v>1800</v>
          </cell>
          <cell r="C1024" t="str">
            <v>MVAO110H</v>
          </cell>
          <cell r="D1024" t="str">
            <v>볼밸브(황동)</v>
          </cell>
          <cell r="E1024" t="str">
            <v>10K  15A</v>
          </cell>
          <cell r="F1024" t="str">
            <v>EA</v>
          </cell>
          <cell r="G1024">
            <v>0</v>
          </cell>
          <cell r="H1024">
            <v>1</v>
          </cell>
          <cell r="J1024">
            <v>1</v>
          </cell>
          <cell r="L1024">
            <v>1890</v>
          </cell>
          <cell r="N1024">
            <v>1890</v>
          </cell>
          <cell r="R1024" t="b">
            <v>0</v>
          </cell>
        </row>
        <row r="1025">
          <cell r="A1025" t="str">
            <v>AQ2</v>
          </cell>
          <cell r="B1025">
            <v>1900</v>
          </cell>
          <cell r="C1025" t="str">
            <v>MVAO111A</v>
          </cell>
          <cell r="D1025" t="str">
            <v>볼밸브(황동)</v>
          </cell>
          <cell r="E1025" t="str">
            <v>10K  25A</v>
          </cell>
          <cell r="F1025" t="str">
            <v>EA</v>
          </cell>
          <cell r="G1025">
            <v>0</v>
          </cell>
          <cell r="H1025">
            <v>4</v>
          </cell>
          <cell r="J1025">
            <v>4</v>
          </cell>
          <cell r="L1025">
            <v>4340</v>
          </cell>
          <cell r="N1025">
            <v>17360</v>
          </cell>
          <cell r="R1025" t="b">
            <v>0</v>
          </cell>
        </row>
        <row r="1026">
          <cell r="A1026" t="str">
            <v>AQ2</v>
          </cell>
          <cell r="B1026">
            <v>2000</v>
          </cell>
          <cell r="C1026" t="str">
            <v>MVBJ111A</v>
          </cell>
          <cell r="D1026" t="str">
            <v>스트레나(청동,나사)</v>
          </cell>
          <cell r="E1026" t="str">
            <v>10K  25A</v>
          </cell>
          <cell r="F1026" t="str">
            <v>EA</v>
          </cell>
          <cell r="G1026">
            <v>0</v>
          </cell>
          <cell r="H1026">
            <v>1</v>
          </cell>
          <cell r="J1026">
            <v>1</v>
          </cell>
          <cell r="L1026">
            <v>12600</v>
          </cell>
          <cell r="N1026">
            <v>12600</v>
          </cell>
          <cell r="R1026" t="b">
            <v>0</v>
          </cell>
        </row>
        <row r="1027">
          <cell r="A1027" t="str">
            <v>AQ2</v>
          </cell>
          <cell r="B1027">
            <v>2100</v>
          </cell>
          <cell r="C1027" t="str">
            <v>MRAKC005</v>
          </cell>
          <cell r="D1027" t="str">
            <v>온수분배기(청동)</v>
          </cell>
          <cell r="E1027" t="str">
            <v>5 ZONE*15A코일</v>
          </cell>
          <cell r="F1027" t="str">
            <v>EA</v>
          </cell>
          <cell r="G1027">
            <v>0</v>
          </cell>
          <cell r="H1027">
            <v>1</v>
          </cell>
          <cell r="J1027">
            <v>1</v>
          </cell>
          <cell r="L1027">
            <v>33500</v>
          </cell>
          <cell r="N1027">
            <v>33500</v>
          </cell>
          <cell r="R1027" t="b">
            <v>0</v>
          </cell>
        </row>
        <row r="1028">
          <cell r="A1028" t="str">
            <v>AQ2</v>
          </cell>
          <cell r="B1028">
            <v>2200</v>
          </cell>
          <cell r="C1028" t="str">
            <v>MRACBR6W</v>
          </cell>
          <cell r="D1028" t="str">
            <v>방열기(온수/동관삽입형)</v>
          </cell>
          <cell r="E1028" t="str">
            <v>5S</v>
          </cell>
          <cell r="F1028" t="str">
            <v>EA</v>
          </cell>
          <cell r="G1028">
            <v>0</v>
          </cell>
          <cell r="H1028">
            <v>2</v>
          </cell>
          <cell r="J1028">
            <v>2</v>
          </cell>
          <cell r="L1028">
            <v>31000</v>
          </cell>
          <cell r="N1028">
            <v>62000</v>
          </cell>
          <cell r="R1028" t="b">
            <v>0</v>
          </cell>
        </row>
        <row r="1029">
          <cell r="A1029" t="str">
            <v>AQ2</v>
          </cell>
          <cell r="B1029">
            <v>2300</v>
          </cell>
          <cell r="C1029" t="str">
            <v>MPC2000H</v>
          </cell>
          <cell r="D1029" t="str">
            <v>편사호스(W/밴드)</v>
          </cell>
          <cell r="E1029" t="str">
            <v>15D</v>
          </cell>
          <cell r="F1029" t="str">
            <v>M</v>
          </cell>
          <cell r="G1029">
            <v>0</v>
          </cell>
          <cell r="H1029">
            <v>1</v>
          </cell>
          <cell r="J1029">
            <v>1</v>
          </cell>
          <cell r="L1029">
            <v>600</v>
          </cell>
          <cell r="N1029">
            <v>600</v>
          </cell>
          <cell r="R1029" t="b">
            <v>0</v>
          </cell>
        </row>
        <row r="1030">
          <cell r="A1030" t="str">
            <v>AQ2</v>
          </cell>
          <cell r="B1030">
            <v>2400</v>
          </cell>
          <cell r="C1030" t="str">
            <v>MXAPA002</v>
          </cell>
          <cell r="D1030" t="str">
            <v>열선(동파방지,센서부착형)</v>
          </cell>
          <cell r="E1030" t="str">
            <v>1.5M</v>
          </cell>
          <cell r="F1030" t="str">
            <v>SET</v>
          </cell>
          <cell r="G1030">
            <v>0</v>
          </cell>
          <cell r="H1030">
            <v>2</v>
          </cell>
          <cell r="J1030">
            <v>2</v>
          </cell>
          <cell r="L1030">
            <v>11000</v>
          </cell>
          <cell r="N1030">
            <v>22000</v>
          </cell>
          <cell r="R1030" t="b">
            <v>0</v>
          </cell>
        </row>
        <row r="1031">
          <cell r="A1031" t="str">
            <v>AQ2</v>
          </cell>
          <cell r="B1031">
            <v>2500</v>
          </cell>
          <cell r="C1031" t="str">
            <v>MGAAS31T</v>
          </cell>
          <cell r="D1031" t="str">
            <v>SUS 주름관(난방)</v>
          </cell>
          <cell r="E1031" t="str">
            <v>25D*300L</v>
          </cell>
          <cell r="F1031" t="str">
            <v>EA</v>
          </cell>
          <cell r="G1031">
            <v>0</v>
          </cell>
          <cell r="H1031">
            <v>2</v>
          </cell>
          <cell r="J1031">
            <v>2</v>
          </cell>
          <cell r="L1031">
            <v>2600</v>
          </cell>
          <cell r="N1031">
            <v>5200</v>
          </cell>
          <cell r="R1031" t="b">
            <v>0</v>
          </cell>
        </row>
        <row r="1032">
          <cell r="A1032" t="str">
            <v>AQ2</v>
          </cell>
          <cell r="B1032">
            <v>2600</v>
          </cell>
          <cell r="C1032" t="str">
            <v>BQAHSHPB</v>
          </cell>
          <cell r="D1032" t="str">
            <v>온수분배기주위(개별,PP-C)</v>
          </cell>
          <cell r="E1032" t="str">
            <v>25A</v>
          </cell>
          <cell r="F1032" t="str">
            <v>SET</v>
          </cell>
          <cell r="H1032">
            <v>1</v>
          </cell>
          <cell r="J1032">
            <v>1</v>
          </cell>
          <cell r="L1032">
            <v>19061</v>
          </cell>
          <cell r="N1032">
            <v>19061</v>
          </cell>
          <cell r="R1032" t="b">
            <v>0</v>
          </cell>
        </row>
        <row r="1033">
          <cell r="A1033" t="str">
            <v>AQ2</v>
          </cell>
          <cell r="B1033">
            <v>2700</v>
          </cell>
          <cell r="C1033" t="str">
            <v>BQATPPCA</v>
          </cell>
          <cell r="D1033" t="str">
            <v>방열기 주위배관(PP-C)</v>
          </cell>
          <cell r="E1033" t="str">
            <v>15A</v>
          </cell>
          <cell r="F1033" t="str">
            <v>SET</v>
          </cell>
          <cell r="H1033">
            <v>2</v>
          </cell>
          <cell r="J1033">
            <v>2</v>
          </cell>
          <cell r="L1033">
            <v>6022</v>
          </cell>
          <cell r="N1033">
            <v>12044</v>
          </cell>
          <cell r="R1033" t="b">
            <v>0</v>
          </cell>
        </row>
        <row r="1034">
          <cell r="A1034" t="str">
            <v>AQ2</v>
          </cell>
          <cell r="B1034">
            <v>2800</v>
          </cell>
          <cell r="C1034" t="str">
            <v>MPFGCAA3</v>
          </cell>
          <cell r="D1034" t="str">
            <v>방수형스리브(개별보일러)</v>
          </cell>
          <cell r="E1034" t="str">
            <v>25D</v>
          </cell>
          <cell r="F1034" t="str">
            <v>EA</v>
          </cell>
          <cell r="G1034">
            <v>0</v>
          </cell>
          <cell r="H1034">
            <v>2</v>
          </cell>
          <cell r="J1034">
            <v>2</v>
          </cell>
          <cell r="L1034">
            <v>2380</v>
          </cell>
          <cell r="N1034">
            <v>4760</v>
          </cell>
          <cell r="R1034" t="b">
            <v>0</v>
          </cell>
        </row>
        <row r="1035">
          <cell r="A1035" t="str">
            <v>AQ2</v>
          </cell>
          <cell r="B1035">
            <v>2900</v>
          </cell>
          <cell r="C1035" t="str">
            <v>MPFGCAB1</v>
          </cell>
          <cell r="D1035" t="str">
            <v>연도스리브(빗물방지)</v>
          </cell>
          <cell r="E1035" t="str">
            <v>100D</v>
          </cell>
          <cell r="F1035" t="str">
            <v>EA</v>
          </cell>
          <cell r="G1035">
            <v>0</v>
          </cell>
          <cell r="H1035">
            <v>1</v>
          </cell>
          <cell r="J1035">
            <v>1</v>
          </cell>
          <cell r="L1035">
            <v>1700</v>
          </cell>
          <cell r="N1035">
            <v>1700</v>
          </cell>
          <cell r="R1035" t="b">
            <v>0</v>
          </cell>
        </row>
        <row r="1036">
          <cell r="A1036" t="str">
            <v>AQ2</v>
          </cell>
          <cell r="B1036">
            <v>750000</v>
          </cell>
          <cell r="C1036" t="str">
            <v>S20001A</v>
          </cell>
          <cell r="D1036" t="str">
            <v>동관용접,BRAZING</v>
          </cell>
          <cell r="E1036" t="str">
            <v>1B</v>
          </cell>
          <cell r="F1036" t="str">
            <v>JNT</v>
          </cell>
          <cell r="H1036">
            <v>10</v>
          </cell>
          <cell r="J1036">
            <v>10</v>
          </cell>
          <cell r="L1036">
            <v>192</v>
          </cell>
          <cell r="N1036">
            <v>1920</v>
          </cell>
        </row>
        <row r="1037">
          <cell r="A1037" t="str">
            <v>AQ2</v>
          </cell>
          <cell r="B1037">
            <v>750000</v>
          </cell>
          <cell r="C1037" t="str">
            <v>S22200H</v>
          </cell>
          <cell r="D1037" t="str">
            <v>PPC 코일배관 부자재</v>
          </cell>
          <cell r="E1037" t="str">
            <v>15A- 20A</v>
          </cell>
          <cell r="F1037" t="str">
            <v>M</v>
          </cell>
          <cell r="H1037">
            <v>235.7</v>
          </cell>
          <cell r="J1037">
            <v>235.7</v>
          </cell>
          <cell r="L1037">
            <v>67</v>
          </cell>
          <cell r="N1037">
            <v>15792</v>
          </cell>
        </row>
        <row r="1038">
          <cell r="A1038" t="str">
            <v>AQ2</v>
          </cell>
          <cell r="B1038">
            <v>810000</v>
          </cell>
          <cell r="C1038" t="str">
            <v>OMISC03</v>
          </cell>
          <cell r="D1038" t="str">
            <v>잡자재비</v>
          </cell>
          <cell r="E1038" t="str">
            <v>관의 (3)％</v>
          </cell>
          <cell r="F1038" t="str">
            <v>L/S</v>
          </cell>
          <cell r="H1038">
            <v>1</v>
          </cell>
          <cell r="J1038">
            <v>1</v>
          </cell>
          <cell r="L1038">
            <v>2154</v>
          </cell>
          <cell r="N1038">
            <v>2154</v>
          </cell>
        </row>
        <row r="1039">
          <cell r="A1039" t="str">
            <v>AQ2</v>
          </cell>
          <cell r="B1039">
            <v>850000</v>
          </cell>
          <cell r="C1039" t="str">
            <v>LINSUL</v>
          </cell>
          <cell r="D1039" t="str">
            <v>보온공</v>
          </cell>
          <cell r="F1039" t="str">
            <v>M/D</v>
          </cell>
          <cell r="H1039">
            <v>0.6</v>
          </cell>
          <cell r="J1039">
            <v>0.6</v>
          </cell>
          <cell r="L1039">
            <v>30900</v>
          </cell>
          <cell r="N1039">
            <v>18540</v>
          </cell>
        </row>
        <row r="1040">
          <cell r="A1040" t="str">
            <v>AQ2</v>
          </cell>
          <cell r="B1040">
            <v>850000</v>
          </cell>
          <cell r="C1040" t="str">
            <v>LHELPR</v>
          </cell>
          <cell r="D1040" t="str">
            <v>보통인부</v>
          </cell>
          <cell r="F1040" t="str">
            <v>M/D</v>
          </cell>
          <cell r="H1040">
            <v>1.7</v>
          </cell>
          <cell r="J1040">
            <v>1.7</v>
          </cell>
          <cell r="L1040">
            <v>22300</v>
          </cell>
          <cell r="N1040">
            <v>37910</v>
          </cell>
        </row>
        <row r="1041">
          <cell r="A1041" t="str">
            <v>AQ2</v>
          </cell>
          <cell r="B1041">
            <v>850000</v>
          </cell>
          <cell r="C1041" t="str">
            <v>LPIPEG</v>
          </cell>
          <cell r="D1041" t="str">
            <v>배관공</v>
          </cell>
          <cell r="F1041" t="str">
            <v>M/D</v>
          </cell>
          <cell r="H1041">
            <v>3.3</v>
          </cell>
          <cell r="J1041">
            <v>3.3</v>
          </cell>
          <cell r="L1041">
            <v>34400</v>
          </cell>
          <cell r="N1041">
            <v>113520</v>
          </cell>
        </row>
        <row r="1042">
          <cell r="A1042" t="str">
            <v>AQ2</v>
          </cell>
          <cell r="B1042">
            <v>850000</v>
          </cell>
          <cell r="C1042" t="str">
            <v>LWELDG</v>
          </cell>
          <cell r="D1042" t="str">
            <v>용접공(일반)</v>
          </cell>
          <cell r="F1042" t="str">
            <v>M/D</v>
          </cell>
          <cell r="H1042">
            <v>0.2</v>
          </cell>
          <cell r="J1042">
            <v>0.2</v>
          </cell>
          <cell r="L1042">
            <v>39500</v>
          </cell>
          <cell r="N1042">
            <v>7900</v>
          </cell>
        </row>
        <row r="1043">
          <cell r="A1043" t="str">
            <v>AQ2</v>
          </cell>
          <cell r="B1043">
            <v>900000</v>
          </cell>
          <cell r="C1043" t="str">
            <v>CAMTHC0</v>
          </cell>
          <cell r="D1043" t="str">
            <v>난방코일 불어내기</v>
          </cell>
          <cell r="E1043" t="str">
            <v>서울지역</v>
          </cell>
          <cell r="F1043" t="str">
            <v>M</v>
          </cell>
          <cell r="H1043">
            <v>235.7</v>
          </cell>
          <cell r="J1043">
            <v>235.7</v>
          </cell>
          <cell r="L1043">
            <v>16</v>
          </cell>
          <cell r="N1043">
            <v>3771</v>
          </cell>
          <cell r="R1043" t="b">
            <v>0</v>
          </cell>
        </row>
        <row r="1044">
          <cell r="A1044" t="str">
            <v>AQ2</v>
          </cell>
          <cell r="B1044">
            <v>900000</v>
          </cell>
          <cell r="C1044" t="str">
            <v>CAMTHF0</v>
          </cell>
          <cell r="D1044" t="str">
            <v>난방코일 세척</v>
          </cell>
          <cell r="E1044" t="str">
            <v>서울지역</v>
          </cell>
          <cell r="F1044" t="str">
            <v>M</v>
          </cell>
          <cell r="H1044">
            <v>235.7</v>
          </cell>
          <cell r="J1044">
            <v>235.7</v>
          </cell>
          <cell r="L1044">
            <v>32</v>
          </cell>
          <cell r="N1044">
            <v>7542</v>
          </cell>
          <cell r="R1044" t="b">
            <v>0</v>
          </cell>
        </row>
        <row r="1045">
          <cell r="A1045" t="str">
            <v>AQ2</v>
          </cell>
          <cell r="B1045">
            <v>900000</v>
          </cell>
          <cell r="C1045" t="str">
            <v>CAMTLP4</v>
          </cell>
          <cell r="D1045" t="str">
            <v>APT난방주관몰탈보양(PPC)</v>
          </cell>
          <cell r="F1045" t="str">
            <v>M</v>
          </cell>
          <cell r="H1045">
            <v>18.3</v>
          </cell>
          <cell r="J1045">
            <v>18.3</v>
          </cell>
          <cell r="L1045">
            <v>299</v>
          </cell>
          <cell r="N1045">
            <v>5472</v>
          </cell>
          <cell r="R1045" t="b">
            <v>0</v>
          </cell>
        </row>
        <row r="1046">
          <cell r="A1046" t="str">
            <v>AQ2</v>
          </cell>
          <cell r="B1046">
            <v>990000</v>
          </cell>
          <cell r="C1046" t="str">
            <v>OMISC06</v>
          </cell>
          <cell r="D1046" t="str">
            <v>공구손료</v>
          </cell>
          <cell r="E1046" t="str">
            <v>인건비의 (3)％</v>
          </cell>
          <cell r="F1046" t="str">
            <v>L/S</v>
          </cell>
          <cell r="H1046">
            <v>1</v>
          </cell>
          <cell r="J1046">
            <v>1</v>
          </cell>
          <cell r="L1046">
            <v>5345</v>
          </cell>
          <cell r="N1046">
            <v>5345</v>
          </cell>
        </row>
        <row r="1047">
          <cell r="A1047" t="str">
            <v>AQ3</v>
          </cell>
          <cell r="B1047">
            <v>0</v>
          </cell>
          <cell r="C1047" t="str">
            <v>WAAT</v>
          </cell>
          <cell r="D1047" t="str">
            <v>9-3. 위생기구설치공사</v>
          </cell>
        </row>
        <row r="1048">
          <cell r="A1048" t="str">
            <v>AQ3</v>
          </cell>
          <cell r="B1048">
            <v>100</v>
          </cell>
          <cell r="C1048" t="str">
            <v>BLBA312C</v>
          </cell>
          <cell r="D1048" t="str">
            <v>양변기,절수식,일반칼라</v>
          </cell>
          <cell r="E1048" t="str">
            <v>CC-312,</v>
          </cell>
          <cell r="F1048" t="str">
            <v>SET</v>
          </cell>
          <cell r="H1048">
            <v>2</v>
          </cell>
          <cell r="J1048">
            <v>2</v>
          </cell>
          <cell r="L1048">
            <v>81140</v>
          </cell>
          <cell r="N1048">
            <v>162280</v>
          </cell>
          <cell r="R1048" t="b">
            <v>0</v>
          </cell>
        </row>
        <row r="1049">
          <cell r="A1049" t="str">
            <v>AQ3</v>
          </cell>
          <cell r="B1049">
            <v>200</v>
          </cell>
          <cell r="C1049" t="str">
            <v>TMYYS007</v>
          </cell>
          <cell r="D1049" t="str">
            <v>세면기(듀라스톤)</v>
          </cell>
          <cell r="E1049" t="str">
            <v>CL-506/WHITE</v>
          </cell>
          <cell r="F1049" t="str">
            <v>SET</v>
          </cell>
          <cell r="G1049">
            <v>0</v>
          </cell>
          <cell r="H1049">
            <v>2</v>
          </cell>
          <cell r="J1049">
            <v>2</v>
          </cell>
          <cell r="L1049">
            <v>233500</v>
          </cell>
          <cell r="N1049">
            <v>467000</v>
          </cell>
          <cell r="R1049" t="b">
            <v>0</v>
          </cell>
        </row>
        <row r="1050">
          <cell r="A1050" t="str">
            <v>AQ3</v>
          </cell>
          <cell r="B1050">
            <v>300</v>
          </cell>
          <cell r="C1050" t="str">
            <v>MLFA7100</v>
          </cell>
          <cell r="D1050" t="str">
            <v>세면기수전,4"한개레버</v>
          </cell>
          <cell r="E1050" t="str">
            <v>FL-710</v>
          </cell>
          <cell r="F1050" t="str">
            <v>EA</v>
          </cell>
          <cell r="G1050">
            <v>0</v>
          </cell>
          <cell r="H1050">
            <v>2</v>
          </cell>
          <cell r="J1050">
            <v>2</v>
          </cell>
          <cell r="L1050">
            <v>24000</v>
          </cell>
          <cell r="N1050">
            <v>48000</v>
          </cell>
          <cell r="R1050" t="b">
            <v>0</v>
          </cell>
        </row>
        <row r="1051">
          <cell r="A1051" t="str">
            <v>AQ3</v>
          </cell>
          <cell r="B1051">
            <v>400</v>
          </cell>
          <cell r="C1051" t="str">
            <v>BLBBN214</v>
          </cell>
          <cell r="D1051" t="str">
            <v>세면기부속,수전제외</v>
          </cell>
          <cell r="E1051" t="str">
            <v>FL-214,154,231</v>
          </cell>
          <cell r="F1051" t="str">
            <v>EA</v>
          </cell>
          <cell r="H1051">
            <v>2</v>
          </cell>
          <cell r="J1051">
            <v>2</v>
          </cell>
          <cell r="L1051">
            <v>18700</v>
          </cell>
          <cell r="N1051">
            <v>37400</v>
          </cell>
          <cell r="R1051" t="b">
            <v>0</v>
          </cell>
        </row>
        <row r="1052">
          <cell r="A1052" t="str">
            <v>AQ3</v>
          </cell>
          <cell r="B1052">
            <v>500</v>
          </cell>
          <cell r="C1052" t="str">
            <v>MLFH711S</v>
          </cell>
          <cell r="D1052" t="str">
            <v>싱크수전,한개레버</v>
          </cell>
          <cell r="E1052" t="str">
            <v>FS-711H</v>
          </cell>
          <cell r="F1052" t="str">
            <v>EA</v>
          </cell>
          <cell r="G1052">
            <v>0</v>
          </cell>
          <cell r="H1052">
            <v>2</v>
          </cell>
          <cell r="J1052">
            <v>2</v>
          </cell>
          <cell r="L1052">
            <v>34000</v>
          </cell>
          <cell r="N1052">
            <v>68000</v>
          </cell>
          <cell r="R1052" t="b">
            <v>0</v>
          </cell>
        </row>
        <row r="1053">
          <cell r="A1053" t="str">
            <v>AQ3</v>
          </cell>
          <cell r="B1053">
            <v>600</v>
          </cell>
          <cell r="C1053" t="str">
            <v>MLFD60F5</v>
          </cell>
          <cell r="D1053" t="str">
            <v>수건선반</v>
          </cell>
          <cell r="E1053" t="str">
            <v>FB-800BG-2</v>
          </cell>
          <cell r="F1053" t="str">
            <v>EA</v>
          </cell>
          <cell r="G1053">
            <v>0</v>
          </cell>
          <cell r="H1053">
            <v>2</v>
          </cell>
          <cell r="J1053">
            <v>2</v>
          </cell>
          <cell r="L1053">
            <v>22000</v>
          </cell>
          <cell r="N1053">
            <v>44000</v>
          </cell>
          <cell r="R1053" t="b">
            <v>0</v>
          </cell>
        </row>
        <row r="1054">
          <cell r="A1054" t="str">
            <v>AQ3</v>
          </cell>
          <cell r="B1054">
            <v>700</v>
          </cell>
          <cell r="C1054" t="str">
            <v>MLFD60A6</v>
          </cell>
          <cell r="D1054" t="str">
            <v>수건걸이</v>
          </cell>
          <cell r="E1054" t="str">
            <v>FB-800AG</v>
          </cell>
          <cell r="F1054" t="str">
            <v>EA</v>
          </cell>
          <cell r="G1054">
            <v>0</v>
          </cell>
          <cell r="H1054">
            <v>2</v>
          </cell>
          <cell r="J1054">
            <v>2</v>
          </cell>
          <cell r="L1054">
            <v>9500</v>
          </cell>
          <cell r="N1054">
            <v>19000</v>
          </cell>
          <cell r="R1054" t="b">
            <v>0</v>
          </cell>
        </row>
        <row r="1055">
          <cell r="A1055" t="str">
            <v>AQ3</v>
          </cell>
          <cell r="B1055">
            <v>800</v>
          </cell>
          <cell r="C1055" t="str">
            <v>MLFD60C4</v>
          </cell>
          <cell r="D1055" t="str">
            <v>휴지걸이</v>
          </cell>
          <cell r="E1055" t="str">
            <v>FB-800CG</v>
          </cell>
          <cell r="F1055" t="str">
            <v>EA</v>
          </cell>
          <cell r="G1055">
            <v>0</v>
          </cell>
          <cell r="H1055">
            <v>2</v>
          </cell>
          <cell r="J1055">
            <v>2</v>
          </cell>
          <cell r="L1055">
            <v>8500</v>
          </cell>
          <cell r="N1055">
            <v>17000</v>
          </cell>
          <cell r="R1055" t="b">
            <v>0</v>
          </cell>
        </row>
        <row r="1056">
          <cell r="A1056" t="str">
            <v>AQ3</v>
          </cell>
          <cell r="B1056">
            <v>900</v>
          </cell>
          <cell r="C1056" t="str">
            <v>MLFD60D0</v>
          </cell>
          <cell r="D1056" t="str">
            <v>비누갑</v>
          </cell>
          <cell r="E1056" t="str">
            <v>FB-60D</v>
          </cell>
          <cell r="F1056" t="str">
            <v>EA</v>
          </cell>
          <cell r="G1056">
            <v>0</v>
          </cell>
          <cell r="H1056">
            <v>2</v>
          </cell>
          <cell r="J1056">
            <v>2</v>
          </cell>
          <cell r="L1056">
            <v>2500</v>
          </cell>
          <cell r="N1056">
            <v>5000</v>
          </cell>
          <cell r="R1056" t="b">
            <v>0</v>
          </cell>
        </row>
        <row r="1057">
          <cell r="A1057" t="str">
            <v>AQ3</v>
          </cell>
          <cell r="B1057">
            <v>1000</v>
          </cell>
          <cell r="C1057" t="str">
            <v>MLFH9900</v>
          </cell>
          <cell r="D1057" t="str">
            <v>관붙이앵글발브(씽크용)</v>
          </cell>
          <cell r="E1057" t="str">
            <v>AB-022</v>
          </cell>
          <cell r="F1057" t="str">
            <v>EA</v>
          </cell>
          <cell r="G1057">
            <v>0</v>
          </cell>
          <cell r="H1057">
            <v>4</v>
          </cell>
          <cell r="J1057">
            <v>4</v>
          </cell>
          <cell r="L1057">
            <v>3100</v>
          </cell>
          <cell r="N1057">
            <v>12400</v>
          </cell>
          <cell r="R1057" t="b">
            <v>0</v>
          </cell>
        </row>
        <row r="1058">
          <cell r="A1058" t="str">
            <v>AQ3</v>
          </cell>
          <cell r="B1058">
            <v>1100</v>
          </cell>
          <cell r="C1058" t="str">
            <v>TMYYS006</v>
          </cell>
          <cell r="D1058" t="str">
            <v>발코니 부동수전</v>
          </cell>
          <cell r="F1058" t="str">
            <v>EA</v>
          </cell>
          <cell r="G1058">
            <v>0</v>
          </cell>
          <cell r="H1058">
            <v>2</v>
          </cell>
          <cell r="J1058">
            <v>2</v>
          </cell>
          <cell r="L1058">
            <v>13500</v>
          </cell>
          <cell r="N1058">
            <v>27000</v>
          </cell>
          <cell r="R1058" t="b">
            <v>0</v>
          </cell>
        </row>
        <row r="1059">
          <cell r="A1059" t="str">
            <v>AQ3</v>
          </cell>
          <cell r="B1059">
            <v>1200</v>
          </cell>
          <cell r="C1059" t="str">
            <v>TMKJH240</v>
          </cell>
          <cell r="D1059" t="str">
            <v>렌지후드</v>
          </cell>
          <cell r="E1059" t="str">
            <v>HDCL-650MD</v>
          </cell>
          <cell r="F1059" t="str">
            <v>EA</v>
          </cell>
          <cell r="G1059">
            <v>0</v>
          </cell>
          <cell r="H1059">
            <v>2</v>
          </cell>
          <cell r="J1059">
            <v>2</v>
          </cell>
          <cell r="L1059">
            <v>95000</v>
          </cell>
          <cell r="N1059">
            <v>190000</v>
          </cell>
          <cell r="R1059" t="b">
            <v>0</v>
          </cell>
        </row>
        <row r="1060">
          <cell r="A1060" t="str">
            <v>AQ3</v>
          </cell>
          <cell r="B1060">
            <v>800000</v>
          </cell>
          <cell r="C1060" t="str">
            <v>MXAP0000</v>
          </cell>
          <cell r="D1060" t="str">
            <v>도기손료</v>
          </cell>
          <cell r="E1060" t="str">
            <v>기구의 (3)％</v>
          </cell>
          <cell r="F1060" t="str">
            <v>L/S</v>
          </cell>
          <cell r="G1060">
            <v>0</v>
          </cell>
          <cell r="H1060">
            <v>1</v>
          </cell>
          <cell r="I1060">
            <v>1</v>
          </cell>
          <cell r="J1060">
            <v>1</v>
          </cell>
          <cell r="K1060">
            <v>1</v>
          </cell>
          <cell r="L1060">
            <v>6920</v>
          </cell>
          <cell r="N1060">
            <v>6920</v>
          </cell>
        </row>
        <row r="1061">
          <cell r="A1061" t="str">
            <v>AQ3</v>
          </cell>
          <cell r="B1061">
            <v>810000</v>
          </cell>
          <cell r="C1061" t="str">
            <v>OMISC03</v>
          </cell>
          <cell r="D1061" t="str">
            <v>잡자재비</v>
          </cell>
          <cell r="E1061" t="str">
            <v>관의 (3)％</v>
          </cell>
          <cell r="F1061" t="str">
            <v>L/S</v>
          </cell>
          <cell r="H1061">
            <v>1</v>
          </cell>
          <cell r="J1061">
            <v>1</v>
          </cell>
          <cell r="L1061">
            <v>0</v>
          </cell>
          <cell r="N1061">
            <v>0</v>
          </cell>
        </row>
        <row r="1062">
          <cell r="A1062" t="str">
            <v>AQ3</v>
          </cell>
          <cell r="B1062">
            <v>850000</v>
          </cell>
          <cell r="C1062" t="str">
            <v>LHELPR</v>
          </cell>
          <cell r="D1062" t="str">
            <v>보통인부</v>
          </cell>
          <cell r="F1062" t="str">
            <v>M/D</v>
          </cell>
          <cell r="H1062">
            <v>0.2</v>
          </cell>
          <cell r="J1062">
            <v>0.2</v>
          </cell>
          <cell r="L1062">
            <v>22300</v>
          </cell>
          <cell r="N1062">
            <v>4460</v>
          </cell>
        </row>
        <row r="1063">
          <cell r="A1063" t="str">
            <v>AQ3</v>
          </cell>
          <cell r="B1063">
            <v>850000</v>
          </cell>
          <cell r="C1063" t="str">
            <v>LPLUMR</v>
          </cell>
          <cell r="D1063" t="str">
            <v>위생공</v>
          </cell>
          <cell r="F1063" t="str">
            <v>M/D</v>
          </cell>
          <cell r="H1063">
            <v>2.4</v>
          </cell>
          <cell r="J1063">
            <v>2.4</v>
          </cell>
          <cell r="L1063">
            <v>33900</v>
          </cell>
          <cell r="N1063">
            <v>81360</v>
          </cell>
        </row>
        <row r="1064">
          <cell r="A1064" t="str">
            <v>AQ3</v>
          </cell>
          <cell r="B1064">
            <v>950000</v>
          </cell>
          <cell r="C1064" t="str">
            <v>OMISC05</v>
          </cell>
          <cell r="D1064" t="str">
            <v>도기소운반비</v>
          </cell>
          <cell r="E1064" t="str">
            <v>위생공의 (5)％</v>
          </cell>
          <cell r="F1064" t="str">
            <v>L/S</v>
          </cell>
          <cell r="H1064">
            <v>1</v>
          </cell>
          <cell r="J1064">
            <v>1</v>
          </cell>
          <cell r="L1064">
            <v>4068</v>
          </cell>
          <cell r="N1064">
            <v>4068</v>
          </cell>
        </row>
        <row r="1065">
          <cell r="A1065" t="str">
            <v>AQ3</v>
          </cell>
          <cell r="B1065">
            <v>990000</v>
          </cell>
          <cell r="C1065" t="str">
            <v>OMISC06</v>
          </cell>
          <cell r="D1065" t="str">
            <v>공구손료</v>
          </cell>
          <cell r="E1065" t="str">
            <v>인건비의 (3)％</v>
          </cell>
          <cell r="F1065" t="str">
            <v>L/S</v>
          </cell>
          <cell r="H1065">
            <v>1</v>
          </cell>
          <cell r="J1065">
            <v>1</v>
          </cell>
          <cell r="L1065">
            <v>3112</v>
          </cell>
          <cell r="N1065">
            <v>3112</v>
          </cell>
        </row>
        <row r="1066">
          <cell r="A1066" t="str">
            <v>AQ4</v>
          </cell>
          <cell r="B1066">
            <v>0</v>
          </cell>
          <cell r="C1066" t="str">
            <v>WAAT</v>
          </cell>
          <cell r="D1066" t="str">
            <v>9-4. 급수급탕배관공사</v>
          </cell>
        </row>
        <row r="1067">
          <cell r="A1067" t="str">
            <v>AQ4</v>
          </cell>
          <cell r="B1067">
            <v>100</v>
          </cell>
          <cell r="C1067" t="str">
            <v>MPA3000T</v>
          </cell>
          <cell r="D1067" t="str">
            <v>동관(L형)</v>
          </cell>
          <cell r="E1067" t="str">
            <v>3/4B  , 22.22</v>
          </cell>
          <cell r="F1067" t="str">
            <v>M</v>
          </cell>
          <cell r="G1067">
            <v>5</v>
          </cell>
          <cell r="H1067">
            <v>4.4000000000000004</v>
          </cell>
          <cell r="J1067">
            <v>4.5999999999999996</v>
          </cell>
          <cell r="L1067">
            <v>1957</v>
          </cell>
          <cell r="N1067">
            <v>9002</v>
          </cell>
          <cell r="R1067" t="b">
            <v>1</v>
          </cell>
        </row>
        <row r="1068">
          <cell r="A1068" t="str">
            <v>AQ4</v>
          </cell>
          <cell r="B1068">
            <v>101</v>
          </cell>
          <cell r="C1068" t="str">
            <v>OMIPMPA3</v>
          </cell>
          <cell r="D1068" t="str">
            <v>관 부속</v>
          </cell>
          <cell r="E1068" t="str">
            <v>관의 (25)％</v>
          </cell>
          <cell r="F1068" t="str">
            <v>L/S</v>
          </cell>
          <cell r="H1068">
            <v>1</v>
          </cell>
          <cell r="J1068">
            <v>1</v>
          </cell>
          <cell r="L1068">
            <v>2260</v>
          </cell>
          <cell r="N1068">
            <v>2260</v>
          </cell>
        </row>
        <row r="1069">
          <cell r="A1069" t="str">
            <v>AQ4</v>
          </cell>
          <cell r="B1069">
            <v>102</v>
          </cell>
          <cell r="C1069" t="str">
            <v>OMIHMPA3</v>
          </cell>
          <cell r="D1069" t="str">
            <v>행거 및 용접봉</v>
          </cell>
          <cell r="E1069" t="str">
            <v>관의 (15)％</v>
          </cell>
          <cell r="F1069" t="str">
            <v>L/S</v>
          </cell>
          <cell r="H1069">
            <v>1</v>
          </cell>
          <cell r="J1069">
            <v>1</v>
          </cell>
          <cell r="L1069">
            <v>1356</v>
          </cell>
          <cell r="N1069">
            <v>1356</v>
          </cell>
        </row>
        <row r="1070">
          <cell r="A1070" t="str">
            <v>AQ4</v>
          </cell>
          <cell r="B1070">
            <v>200</v>
          </cell>
          <cell r="C1070" t="str">
            <v>MPB2000H</v>
          </cell>
          <cell r="D1070" t="str">
            <v>PB 파이프</v>
          </cell>
          <cell r="E1070" t="str">
            <v>15A</v>
          </cell>
          <cell r="F1070" t="str">
            <v>M</v>
          </cell>
          <cell r="G1070">
            <v>5</v>
          </cell>
          <cell r="H1070">
            <v>53.5</v>
          </cell>
          <cell r="J1070">
            <v>56.2</v>
          </cell>
          <cell r="L1070">
            <v>413</v>
          </cell>
          <cell r="N1070">
            <v>23211</v>
          </cell>
          <cell r="R1070" t="b">
            <v>1</v>
          </cell>
        </row>
        <row r="1071">
          <cell r="A1071" t="str">
            <v>AQ4</v>
          </cell>
          <cell r="B1071">
            <v>300</v>
          </cell>
          <cell r="C1071" t="str">
            <v>MPB2000T</v>
          </cell>
          <cell r="D1071" t="str">
            <v>PB 파이프</v>
          </cell>
          <cell r="E1071" t="str">
            <v>20A</v>
          </cell>
          <cell r="F1071" t="str">
            <v>M</v>
          </cell>
          <cell r="G1071">
            <v>5</v>
          </cell>
          <cell r="H1071">
            <v>21.7</v>
          </cell>
          <cell r="J1071">
            <v>22.8</v>
          </cell>
          <cell r="L1071">
            <v>699</v>
          </cell>
          <cell r="N1071">
            <v>15937</v>
          </cell>
          <cell r="R1071" t="b">
            <v>1</v>
          </cell>
        </row>
        <row r="1072">
          <cell r="A1072" t="str">
            <v>AQ4</v>
          </cell>
          <cell r="B1072">
            <v>400</v>
          </cell>
          <cell r="C1072" t="str">
            <v>BIPDC00H</v>
          </cell>
          <cell r="D1072" t="str">
            <v>관보온,아티론,일반AL</v>
          </cell>
          <cell r="E1072" t="str">
            <v>5T* 15A</v>
          </cell>
          <cell r="F1072" t="str">
            <v>M</v>
          </cell>
          <cell r="H1072">
            <v>53.5</v>
          </cell>
          <cell r="J1072">
            <v>53.5</v>
          </cell>
          <cell r="L1072">
            <v>209</v>
          </cell>
          <cell r="N1072">
            <v>11182</v>
          </cell>
          <cell r="R1072" t="b">
            <v>0</v>
          </cell>
        </row>
        <row r="1073">
          <cell r="A1073" t="str">
            <v>AQ4</v>
          </cell>
          <cell r="B1073">
            <v>500</v>
          </cell>
          <cell r="C1073" t="str">
            <v>BIPDC00T</v>
          </cell>
          <cell r="D1073" t="str">
            <v>관보온,아티론,일반AL</v>
          </cell>
          <cell r="E1073" t="str">
            <v>5T* 20A</v>
          </cell>
          <cell r="F1073" t="str">
            <v>M</v>
          </cell>
          <cell r="H1073">
            <v>21.7</v>
          </cell>
          <cell r="J1073">
            <v>21.7</v>
          </cell>
          <cell r="L1073">
            <v>233</v>
          </cell>
          <cell r="N1073">
            <v>5056</v>
          </cell>
          <cell r="R1073" t="b">
            <v>0</v>
          </cell>
        </row>
        <row r="1074">
          <cell r="A1074" t="str">
            <v>AQ4</v>
          </cell>
          <cell r="B1074">
            <v>600</v>
          </cell>
          <cell r="C1074" t="str">
            <v>BIPA120T</v>
          </cell>
          <cell r="D1074" t="str">
            <v>관보온 은폐,유리솜 1</v>
          </cell>
          <cell r="E1074" t="str">
            <v>25T* 20A</v>
          </cell>
          <cell r="F1074" t="str">
            <v>M</v>
          </cell>
          <cell r="H1074">
            <v>3</v>
          </cell>
          <cell r="J1074">
            <v>3</v>
          </cell>
          <cell r="L1074">
            <v>1017</v>
          </cell>
          <cell r="N1074">
            <v>3051</v>
          </cell>
          <cell r="R1074" t="b">
            <v>0</v>
          </cell>
        </row>
        <row r="1075">
          <cell r="A1075" t="str">
            <v>AQ4</v>
          </cell>
          <cell r="B1075">
            <v>700</v>
          </cell>
          <cell r="C1075" t="str">
            <v>MPAF0B0T</v>
          </cell>
          <cell r="D1075" t="str">
            <v>동 엘보</v>
          </cell>
          <cell r="E1075" t="str">
            <v>3/4B</v>
          </cell>
          <cell r="F1075" t="str">
            <v>EA</v>
          </cell>
          <cell r="G1075">
            <v>0</v>
          </cell>
          <cell r="H1075">
            <v>2</v>
          </cell>
          <cell r="J1075">
            <v>2</v>
          </cell>
          <cell r="L1075">
            <v>305</v>
          </cell>
          <cell r="N1075">
            <v>610</v>
          </cell>
          <cell r="R1075" t="b">
            <v>0</v>
          </cell>
        </row>
        <row r="1076">
          <cell r="A1076" t="str">
            <v>AQ4</v>
          </cell>
          <cell r="B1076">
            <v>800</v>
          </cell>
          <cell r="C1076" t="str">
            <v>MPAF0S0T</v>
          </cell>
          <cell r="D1076" t="str">
            <v>황동 수전 엘보</v>
          </cell>
          <cell r="E1076" t="str">
            <v>3/4B</v>
          </cell>
          <cell r="F1076" t="str">
            <v>EA</v>
          </cell>
          <cell r="G1076">
            <v>0</v>
          </cell>
          <cell r="H1076">
            <v>6</v>
          </cell>
          <cell r="J1076">
            <v>6</v>
          </cell>
          <cell r="L1076">
            <v>1539</v>
          </cell>
          <cell r="N1076">
            <v>9234</v>
          </cell>
          <cell r="R1076" t="b">
            <v>0</v>
          </cell>
        </row>
        <row r="1077">
          <cell r="A1077" t="str">
            <v>AQ4</v>
          </cell>
          <cell r="B1077">
            <v>900</v>
          </cell>
          <cell r="C1077" t="str">
            <v>MPAF3M0T</v>
          </cell>
          <cell r="D1077" t="str">
            <v>황동 CXM 유니온</v>
          </cell>
          <cell r="E1077" t="str">
            <v>3/4B</v>
          </cell>
          <cell r="F1077" t="str">
            <v>EA</v>
          </cell>
          <cell r="G1077">
            <v>0</v>
          </cell>
          <cell r="H1077">
            <v>2</v>
          </cell>
          <cell r="J1077">
            <v>2</v>
          </cell>
          <cell r="L1077">
            <v>1372</v>
          </cell>
          <cell r="N1077">
            <v>2744</v>
          </cell>
          <cell r="R1077" t="b">
            <v>0</v>
          </cell>
        </row>
        <row r="1078">
          <cell r="A1078" t="str">
            <v>AQ4</v>
          </cell>
          <cell r="B1078">
            <v>1000</v>
          </cell>
          <cell r="C1078" t="str">
            <v>MPAF4S0T</v>
          </cell>
          <cell r="D1078" t="str">
            <v>황동 니플</v>
          </cell>
          <cell r="E1078" t="str">
            <v>3/4B</v>
          </cell>
          <cell r="F1078" t="str">
            <v>EA</v>
          </cell>
          <cell r="G1078">
            <v>0</v>
          </cell>
          <cell r="H1078">
            <v>4</v>
          </cell>
          <cell r="J1078">
            <v>4</v>
          </cell>
          <cell r="L1078">
            <v>495</v>
          </cell>
          <cell r="N1078">
            <v>1980</v>
          </cell>
          <cell r="R1078" t="b">
            <v>0</v>
          </cell>
        </row>
        <row r="1079">
          <cell r="A1079" t="str">
            <v>AQ4</v>
          </cell>
          <cell r="B1079">
            <v>1100</v>
          </cell>
          <cell r="C1079" t="str">
            <v>MPAFMB0T</v>
          </cell>
          <cell r="D1079" t="str">
            <v>황동 CXM 아답타</v>
          </cell>
          <cell r="E1079" t="str">
            <v>3/4B</v>
          </cell>
          <cell r="F1079" t="str">
            <v>EA</v>
          </cell>
          <cell r="G1079">
            <v>0</v>
          </cell>
          <cell r="H1079">
            <v>1</v>
          </cell>
          <cell r="J1079">
            <v>1</v>
          </cell>
          <cell r="L1079">
            <v>544</v>
          </cell>
          <cell r="N1079">
            <v>544</v>
          </cell>
          <cell r="R1079" t="b">
            <v>0</v>
          </cell>
        </row>
        <row r="1080">
          <cell r="A1080" t="str">
            <v>AQ4</v>
          </cell>
          <cell r="B1080">
            <v>1200</v>
          </cell>
          <cell r="C1080" t="str">
            <v>MGAAS30T</v>
          </cell>
          <cell r="D1080" t="str">
            <v>SUS 주름관(난방)</v>
          </cell>
          <cell r="E1080" t="str">
            <v>20D*300L</v>
          </cell>
          <cell r="F1080" t="str">
            <v>EA</v>
          </cell>
          <cell r="G1080">
            <v>0</v>
          </cell>
          <cell r="H1080">
            <v>2</v>
          </cell>
          <cell r="J1080">
            <v>2</v>
          </cell>
          <cell r="L1080">
            <v>2400</v>
          </cell>
          <cell r="N1080">
            <v>4800</v>
          </cell>
          <cell r="R1080" t="b">
            <v>0</v>
          </cell>
        </row>
        <row r="1081">
          <cell r="A1081" t="str">
            <v>AQ4</v>
          </cell>
          <cell r="B1081">
            <v>1300</v>
          </cell>
          <cell r="C1081" t="str">
            <v>MPBF000H</v>
          </cell>
          <cell r="D1081" t="str">
            <v>PB 엘보</v>
          </cell>
          <cell r="E1081" t="str">
            <v>15A</v>
          </cell>
          <cell r="F1081" t="str">
            <v>EA</v>
          </cell>
          <cell r="G1081">
            <v>0</v>
          </cell>
          <cell r="H1081">
            <v>26</v>
          </cell>
          <cell r="J1081">
            <v>26</v>
          </cell>
          <cell r="L1081">
            <v>394</v>
          </cell>
          <cell r="N1081">
            <v>10244</v>
          </cell>
          <cell r="R1081" t="b">
            <v>0</v>
          </cell>
        </row>
        <row r="1082">
          <cell r="A1082" t="str">
            <v>AQ4</v>
          </cell>
          <cell r="B1082">
            <v>1400</v>
          </cell>
          <cell r="C1082" t="str">
            <v>MPBF000T</v>
          </cell>
          <cell r="D1082" t="str">
            <v>PB 엘보</v>
          </cell>
          <cell r="E1082" t="str">
            <v>20A</v>
          </cell>
          <cell r="F1082" t="str">
            <v>EA</v>
          </cell>
          <cell r="G1082">
            <v>0</v>
          </cell>
          <cell r="H1082">
            <v>5</v>
          </cell>
          <cell r="J1082">
            <v>5</v>
          </cell>
          <cell r="L1082">
            <v>533</v>
          </cell>
          <cell r="N1082">
            <v>2665</v>
          </cell>
          <cell r="R1082" t="b">
            <v>0</v>
          </cell>
        </row>
        <row r="1083">
          <cell r="A1083" t="str">
            <v>AQ4</v>
          </cell>
          <cell r="B1083">
            <v>1500</v>
          </cell>
          <cell r="C1083" t="str">
            <v>MPBF0S0H</v>
          </cell>
          <cell r="D1083" t="str">
            <v>PB 수전엘보</v>
          </cell>
          <cell r="E1083" t="str">
            <v>15A</v>
          </cell>
          <cell r="F1083" t="str">
            <v>EA</v>
          </cell>
          <cell r="G1083">
            <v>0</v>
          </cell>
          <cell r="H1083">
            <v>10</v>
          </cell>
          <cell r="J1083">
            <v>10</v>
          </cell>
          <cell r="L1083">
            <v>1381</v>
          </cell>
          <cell r="N1083">
            <v>13810</v>
          </cell>
          <cell r="R1083" t="b">
            <v>0</v>
          </cell>
        </row>
        <row r="1084">
          <cell r="A1084" t="str">
            <v>AQ4</v>
          </cell>
          <cell r="B1084">
            <v>1600</v>
          </cell>
          <cell r="C1084" t="str">
            <v>MPBF100H</v>
          </cell>
          <cell r="D1084" t="str">
            <v>PB 정 티</v>
          </cell>
          <cell r="E1084" t="str">
            <v>15A</v>
          </cell>
          <cell r="F1084" t="str">
            <v>EA</v>
          </cell>
          <cell r="G1084">
            <v>0</v>
          </cell>
          <cell r="H1084">
            <v>10</v>
          </cell>
          <cell r="J1084">
            <v>10</v>
          </cell>
          <cell r="L1084">
            <v>683</v>
          </cell>
          <cell r="N1084">
            <v>6830</v>
          </cell>
          <cell r="R1084" t="b">
            <v>0</v>
          </cell>
        </row>
        <row r="1085">
          <cell r="A1085" t="str">
            <v>AQ4</v>
          </cell>
          <cell r="B1085">
            <v>1700</v>
          </cell>
          <cell r="C1085" t="str">
            <v>MPBF100T</v>
          </cell>
          <cell r="D1085" t="str">
            <v>PB 정 티</v>
          </cell>
          <cell r="E1085" t="str">
            <v>20A</v>
          </cell>
          <cell r="F1085" t="str">
            <v>EA</v>
          </cell>
          <cell r="G1085">
            <v>0</v>
          </cell>
          <cell r="H1085">
            <v>1</v>
          </cell>
          <cell r="J1085">
            <v>1</v>
          </cell>
          <cell r="L1085">
            <v>865</v>
          </cell>
          <cell r="N1085">
            <v>865</v>
          </cell>
          <cell r="R1085" t="b">
            <v>0</v>
          </cell>
        </row>
        <row r="1086">
          <cell r="A1086" t="str">
            <v>AQ4</v>
          </cell>
          <cell r="B1086">
            <v>1800</v>
          </cell>
          <cell r="C1086" t="str">
            <v>MPBF1S0H</v>
          </cell>
          <cell r="D1086" t="str">
            <v>PB 수전티</v>
          </cell>
          <cell r="E1086" t="str">
            <v>15A</v>
          </cell>
          <cell r="F1086" t="str">
            <v>EA</v>
          </cell>
          <cell r="G1086">
            <v>0</v>
          </cell>
          <cell r="H1086">
            <v>2</v>
          </cell>
          <cell r="J1086">
            <v>2</v>
          </cell>
          <cell r="L1086">
            <v>1898</v>
          </cell>
          <cell r="N1086">
            <v>3796</v>
          </cell>
          <cell r="R1086" t="b">
            <v>0</v>
          </cell>
        </row>
        <row r="1087">
          <cell r="A1087" t="str">
            <v>AQ4</v>
          </cell>
          <cell r="B1087">
            <v>1900</v>
          </cell>
          <cell r="C1087" t="str">
            <v>MPBF6M0T</v>
          </cell>
          <cell r="D1087" t="str">
            <v>PB 밸브소켓(M)</v>
          </cell>
          <cell r="E1087" t="str">
            <v>20A</v>
          </cell>
          <cell r="F1087" t="str">
            <v>EA</v>
          </cell>
          <cell r="G1087">
            <v>0</v>
          </cell>
          <cell r="H1087">
            <v>5</v>
          </cell>
          <cell r="J1087">
            <v>5</v>
          </cell>
          <cell r="L1087">
            <v>1050</v>
          </cell>
          <cell r="N1087">
            <v>5250</v>
          </cell>
          <cell r="R1087" t="b">
            <v>0</v>
          </cell>
        </row>
        <row r="1088">
          <cell r="A1088" t="str">
            <v>AQ4</v>
          </cell>
          <cell r="B1088">
            <v>2000</v>
          </cell>
          <cell r="C1088" t="str">
            <v>MPBFB00T</v>
          </cell>
          <cell r="D1088" t="str">
            <v>PB ER 티</v>
          </cell>
          <cell r="E1088" t="str">
            <v>20A</v>
          </cell>
          <cell r="F1088" t="str">
            <v>EA</v>
          </cell>
          <cell r="G1088">
            <v>0</v>
          </cell>
          <cell r="H1088">
            <v>2</v>
          </cell>
          <cell r="J1088">
            <v>2</v>
          </cell>
          <cell r="L1088">
            <v>842</v>
          </cell>
          <cell r="N1088">
            <v>1684</v>
          </cell>
          <cell r="R1088" t="b">
            <v>0</v>
          </cell>
        </row>
        <row r="1089">
          <cell r="A1089" t="str">
            <v>AQ4</v>
          </cell>
          <cell r="B1089">
            <v>2100</v>
          </cell>
          <cell r="C1089" t="str">
            <v>MPBFO00T</v>
          </cell>
          <cell r="D1089" t="str">
            <v>PB BOR 티</v>
          </cell>
          <cell r="E1089" t="str">
            <v>20A</v>
          </cell>
          <cell r="F1089" t="str">
            <v>EA</v>
          </cell>
          <cell r="G1089">
            <v>0</v>
          </cell>
          <cell r="H1089">
            <v>2</v>
          </cell>
          <cell r="J1089">
            <v>2</v>
          </cell>
          <cell r="L1089">
            <v>1911</v>
          </cell>
          <cell r="N1089">
            <v>3822</v>
          </cell>
          <cell r="R1089" t="b">
            <v>0</v>
          </cell>
        </row>
        <row r="1090">
          <cell r="A1090" t="str">
            <v>AQ4</v>
          </cell>
          <cell r="B1090">
            <v>2200</v>
          </cell>
          <cell r="C1090" t="str">
            <v>MPBFR00H</v>
          </cell>
          <cell r="D1090" t="str">
            <v>PB 에어챔버</v>
          </cell>
          <cell r="E1090" t="str">
            <v>15A</v>
          </cell>
          <cell r="F1090" t="str">
            <v>EA</v>
          </cell>
          <cell r="G1090">
            <v>0</v>
          </cell>
          <cell r="H1090">
            <v>6</v>
          </cell>
          <cell r="J1090">
            <v>6</v>
          </cell>
          <cell r="L1090">
            <v>234</v>
          </cell>
          <cell r="N1090">
            <v>1404</v>
          </cell>
          <cell r="R1090" t="b">
            <v>0</v>
          </cell>
        </row>
        <row r="1091">
          <cell r="A1091" t="str">
            <v>AQ4</v>
          </cell>
          <cell r="B1091">
            <v>2300</v>
          </cell>
          <cell r="C1091" t="str">
            <v>MPBFTBLA</v>
          </cell>
          <cell r="D1091" t="str">
            <v>PB용 세면기 브라켓</v>
          </cell>
          <cell r="E1091" t="str">
            <v>150</v>
          </cell>
          <cell r="F1091" t="str">
            <v>EA</v>
          </cell>
          <cell r="G1091">
            <v>0</v>
          </cell>
          <cell r="H1091">
            <v>2</v>
          </cell>
          <cell r="J1091">
            <v>2</v>
          </cell>
          <cell r="L1091">
            <v>195</v>
          </cell>
          <cell r="N1091">
            <v>390</v>
          </cell>
          <cell r="R1091" t="b">
            <v>0</v>
          </cell>
        </row>
        <row r="1092">
          <cell r="A1092" t="str">
            <v>AQ4</v>
          </cell>
          <cell r="B1092">
            <v>2400</v>
          </cell>
          <cell r="C1092" t="str">
            <v>MPBFTBSI</v>
          </cell>
          <cell r="D1092" t="str">
            <v>PB용 씽크 브라켓</v>
          </cell>
          <cell r="E1092" t="str">
            <v>200</v>
          </cell>
          <cell r="F1092" t="str">
            <v>EA</v>
          </cell>
          <cell r="G1092">
            <v>0</v>
          </cell>
          <cell r="H1092">
            <v>2</v>
          </cell>
          <cell r="J1092">
            <v>2</v>
          </cell>
          <cell r="L1092">
            <v>225</v>
          </cell>
          <cell r="N1092">
            <v>450</v>
          </cell>
          <cell r="R1092" t="b">
            <v>0</v>
          </cell>
        </row>
        <row r="1093">
          <cell r="A1093" t="str">
            <v>AQ4</v>
          </cell>
          <cell r="B1093">
            <v>2500</v>
          </cell>
          <cell r="C1093" t="str">
            <v>MPFGUN1I</v>
          </cell>
          <cell r="D1093" t="str">
            <v>PVC 연결 유니온</v>
          </cell>
          <cell r="E1093" t="str">
            <v>20D</v>
          </cell>
          <cell r="F1093" t="str">
            <v>EA</v>
          </cell>
          <cell r="G1093">
            <v>0</v>
          </cell>
          <cell r="H1093">
            <v>1</v>
          </cell>
          <cell r="J1093">
            <v>1</v>
          </cell>
          <cell r="L1093">
            <v>1100</v>
          </cell>
          <cell r="N1093">
            <v>1100</v>
          </cell>
          <cell r="R1093" t="b">
            <v>0</v>
          </cell>
        </row>
        <row r="1094">
          <cell r="A1094" t="str">
            <v>AQ4</v>
          </cell>
          <cell r="B1094">
            <v>2600</v>
          </cell>
          <cell r="C1094" t="str">
            <v>MPFGUP1H</v>
          </cell>
          <cell r="D1094" t="str">
            <v>PVC 프러그</v>
          </cell>
          <cell r="E1094" t="str">
            <v>15D</v>
          </cell>
          <cell r="F1094" t="str">
            <v>EA</v>
          </cell>
          <cell r="G1094">
            <v>0</v>
          </cell>
          <cell r="H1094">
            <v>14</v>
          </cell>
          <cell r="J1094">
            <v>14</v>
          </cell>
          <cell r="L1094">
            <v>100</v>
          </cell>
          <cell r="N1094">
            <v>1400</v>
          </cell>
          <cell r="R1094" t="b">
            <v>0</v>
          </cell>
        </row>
        <row r="1095">
          <cell r="A1095" t="str">
            <v>AQ4</v>
          </cell>
          <cell r="B1095">
            <v>2700</v>
          </cell>
          <cell r="C1095" t="str">
            <v>MVAO110T</v>
          </cell>
          <cell r="D1095" t="str">
            <v>볼밸브(황동)</v>
          </cell>
          <cell r="E1095" t="str">
            <v>10K  20A</v>
          </cell>
          <cell r="F1095" t="str">
            <v>EA</v>
          </cell>
          <cell r="G1095">
            <v>0</v>
          </cell>
          <cell r="H1095">
            <v>2</v>
          </cell>
          <cell r="J1095">
            <v>2</v>
          </cell>
          <cell r="L1095">
            <v>2450</v>
          </cell>
          <cell r="N1095">
            <v>4900</v>
          </cell>
          <cell r="R1095" t="b">
            <v>0</v>
          </cell>
        </row>
        <row r="1096">
          <cell r="A1096" t="str">
            <v>AQ4</v>
          </cell>
          <cell r="B1096">
            <v>2800</v>
          </cell>
          <cell r="C1096" t="str">
            <v>MVLMAC0T</v>
          </cell>
          <cell r="D1096" t="str">
            <v>급수계량기</v>
          </cell>
          <cell r="E1096" t="str">
            <v>20A</v>
          </cell>
          <cell r="F1096" t="str">
            <v>EA</v>
          </cell>
          <cell r="G1096">
            <v>0</v>
          </cell>
          <cell r="H1096">
            <v>1</v>
          </cell>
          <cell r="J1096">
            <v>1</v>
          </cell>
          <cell r="L1096">
            <v>20700</v>
          </cell>
          <cell r="N1096">
            <v>20700</v>
          </cell>
          <cell r="R1096" t="b">
            <v>0</v>
          </cell>
        </row>
        <row r="1097">
          <cell r="A1097" t="str">
            <v>AQ4</v>
          </cell>
          <cell r="B1097">
            <v>2900</v>
          </cell>
          <cell r="C1097" t="str">
            <v>MVAO100I</v>
          </cell>
          <cell r="D1097" t="str">
            <v>수도용 앵글발브</v>
          </cell>
          <cell r="E1097" t="str">
            <v>10K  20A</v>
          </cell>
          <cell r="F1097" t="str">
            <v>EA</v>
          </cell>
          <cell r="G1097">
            <v>0</v>
          </cell>
          <cell r="H1097">
            <v>1</v>
          </cell>
          <cell r="J1097">
            <v>1</v>
          </cell>
          <cell r="L1097">
            <v>3530</v>
          </cell>
          <cell r="N1097">
            <v>3530</v>
          </cell>
          <cell r="R1097" t="b">
            <v>0</v>
          </cell>
        </row>
        <row r="1098">
          <cell r="A1098" t="str">
            <v>AQ4</v>
          </cell>
          <cell r="B1098">
            <v>3000</v>
          </cell>
          <cell r="C1098" t="str">
            <v>MDRKAFC1</v>
          </cell>
          <cell r="D1098" t="str">
            <v>천정 배기휀</v>
          </cell>
          <cell r="E1098" t="str">
            <v>170*170*100D</v>
          </cell>
          <cell r="F1098" t="str">
            <v>SET</v>
          </cell>
          <cell r="G1098">
            <v>0</v>
          </cell>
          <cell r="H1098">
            <v>2</v>
          </cell>
          <cell r="J1098">
            <v>2</v>
          </cell>
          <cell r="L1098">
            <v>12000</v>
          </cell>
          <cell r="N1098">
            <v>24000</v>
          </cell>
          <cell r="R1098" t="b">
            <v>0</v>
          </cell>
        </row>
        <row r="1099">
          <cell r="A1099" t="str">
            <v>AQ4</v>
          </cell>
          <cell r="B1099">
            <v>3100</v>
          </cell>
          <cell r="C1099" t="str">
            <v>MDRRFD4C</v>
          </cell>
          <cell r="D1099" t="str">
            <v>화이어댐퍼,아파트(W/FUSE)</v>
          </cell>
          <cell r="E1099" t="str">
            <v>100D*300L</v>
          </cell>
          <cell r="F1099" t="str">
            <v>EA</v>
          </cell>
          <cell r="G1099">
            <v>0</v>
          </cell>
          <cell r="H1099">
            <v>4</v>
          </cell>
          <cell r="J1099">
            <v>4</v>
          </cell>
          <cell r="L1099">
            <v>3000</v>
          </cell>
          <cell r="N1099">
            <v>12000</v>
          </cell>
          <cell r="R1099" t="b">
            <v>0</v>
          </cell>
        </row>
        <row r="1100">
          <cell r="A1100" t="str">
            <v>AQ4</v>
          </cell>
          <cell r="B1100">
            <v>3200</v>
          </cell>
          <cell r="C1100" t="str">
            <v>MDRBBA4A</v>
          </cell>
          <cell r="D1100" t="str">
            <v>플렉시블 덕트호스(G/W,25T</v>
          </cell>
          <cell r="E1100" t="str">
            <v>100D*1M</v>
          </cell>
          <cell r="F1100" t="str">
            <v>EA</v>
          </cell>
          <cell r="G1100">
            <v>0</v>
          </cell>
          <cell r="H1100">
            <v>4</v>
          </cell>
          <cell r="J1100">
            <v>4</v>
          </cell>
          <cell r="L1100">
            <v>2200</v>
          </cell>
          <cell r="N1100">
            <v>8800</v>
          </cell>
          <cell r="R1100" t="b">
            <v>0</v>
          </cell>
        </row>
        <row r="1101">
          <cell r="A1101" t="str">
            <v>AQ4</v>
          </cell>
          <cell r="B1101">
            <v>3300</v>
          </cell>
          <cell r="C1101" t="str">
            <v>MLBIPZ4A</v>
          </cell>
          <cell r="D1101" t="str">
            <v>밴트캡(STS,반달형)</v>
          </cell>
          <cell r="E1101" t="str">
            <v>100D*300L</v>
          </cell>
          <cell r="F1101" t="str">
            <v>EA</v>
          </cell>
          <cell r="G1101">
            <v>0</v>
          </cell>
          <cell r="H1101">
            <v>2</v>
          </cell>
          <cell r="J1101">
            <v>2</v>
          </cell>
          <cell r="L1101">
            <v>14000</v>
          </cell>
          <cell r="N1101">
            <v>28000</v>
          </cell>
          <cell r="R1101" t="b">
            <v>0</v>
          </cell>
        </row>
        <row r="1102">
          <cell r="A1102" t="str">
            <v>AQ4</v>
          </cell>
          <cell r="B1102">
            <v>3400</v>
          </cell>
          <cell r="C1102" t="str">
            <v>MXAPA002</v>
          </cell>
          <cell r="D1102" t="str">
            <v>열선(동파방지,센서부착형)</v>
          </cell>
          <cell r="E1102" t="str">
            <v>1.5M</v>
          </cell>
          <cell r="F1102" t="str">
            <v>SET</v>
          </cell>
          <cell r="G1102">
            <v>0</v>
          </cell>
          <cell r="H1102">
            <v>2</v>
          </cell>
          <cell r="J1102">
            <v>2</v>
          </cell>
          <cell r="L1102">
            <v>11000</v>
          </cell>
          <cell r="N1102">
            <v>22000</v>
          </cell>
          <cell r="R1102" t="b">
            <v>0</v>
          </cell>
        </row>
        <row r="1103">
          <cell r="A1103" t="str">
            <v>AQ4</v>
          </cell>
          <cell r="B1103">
            <v>3500</v>
          </cell>
          <cell r="C1103" t="str">
            <v>MPFGCAA2</v>
          </cell>
          <cell r="D1103" t="str">
            <v>방수형스리브(개별보일러)</v>
          </cell>
          <cell r="E1103" t="str">
            <v>20D</v>
          </cell>
          <cell r="F1103" t="str">
            <v>EA</v>
          </cell>
          <cell r="G1103">
            <v>0</v>
          </cell>
          <cell r="H1103">
            <v>4</v>
          </cell>
          <cell r="J1103">
            <v>4</v>
          </cell>
          <cell r="L1103">
            <v>2125</v>
          </cell>
          <cell r="N1103">
            <v>8500</v>
          </cell>
          <cell r="R1103" t="b">
            <v>0</v>
          </cell>
        </row>
        <row r="1104">
          <cell r="A1104" t="str">
            <v>AQ4</v>
          </cell>
          <cell r="B1104">
            <v>750000</v>
          </cell>
          <cell r="C1104" t="str">
            <v>S34004A</v>
          </cell>
          <cell r="D1104" t="str">
            <v>플렉시블 덕트 접합</v>
          </cell>
          <cell r="E1104" t="str">
            <v>100D</v>
          </cell>
          <cell r="F1104" t="str">
            <v>EA</v>
          </cell>
          <cell r="H1104">
            <v>4</v>
          </cell>
          <cell r="J1104">
            <v>4</v>
          </cell>
          <cell r="L1104">
            <v>676</v>
          </cell>
          <cell r="N1104">
            <v>2704</v>
          </cell>
        </row>
        <row r="1105">
          <cell r="A1105" t="str">
            <v>AQ4</v>
          </cell>
          <cell r="B1105">
            <v>750000</v>
          </cell>
          <cell r="C1105" t="str">
            <v>S20000T</v>
          </cell>
          <cell r="D1105" t="str">
            <v>동관용접,BRAZING</v>
          </cell>
          <cell r="E1105" t="str">
            <v>3/4B</v>
          </cell>
          <cell r="F1105" t="str">
            <v>JNT</v>
          </cell>
          <cell r="H1105">
            <v>13</v>
          </cell>
          <cell r="J1105">
            <v>13</v>
          </cell>
          <cell r="L1105">
            <v>137</v>
          </cell>
          <cell r="N1105">
            <v>1781</v>
          </cell>
        </row>
        <row r="1106">
          <cell r="A1106" t="str">
            <v>AQ4</v>
          </cell>
          <cell r="B1106">
            <v>750000</v>
          </cell>
          <cell r="C1106" t="str">
            <v>S22A102</v>
          </cell>
          <cell r="D1106" t="str">
            <v>PB관 접합,엘보</v>
          </cell>
          <cell r="E1106" t="str">
            <v>15D</v>
          </cell>
          <cell r="F1106" t="str">
            <v>EA</v>
          </cell>
          <cell r="H1106">
            <v>28</v>
          </cell>
          <cell r="J1106">
            <v>28</v>
          </cell>
          <cell r="L1106">
            <v>104</v>
          </cell>
          <cell r="N1106">
            <v>2912</v>
          </cell>
        </row>
        <row r="1107">
          <cell r="A1107" t="str">
            <v>AQ4</v>
          </cell>
          <cell r="B1107">
            <v>750000</v>
          </cell>
          <cell r="C1107" t="str">
            <v>S22A103</v>
          </cell>
          <cell r="D1107" t="str">
            <v>PB관 접합,엘보</v>
          </cell>
          <cell r="E1107" t="str">
            <v>20D</v>
          </cell>
          <cell r="F1107" t="str">
            <v>EA</v>
          </cell>
          <cell r="H1107">
            <v>5</v>
          </cell>
          <cell r="J1107">
            <v>5</v>
          </cell>
          <cell r="L1107">
            <v>158</v>
          </cell>
          <cell r="N1107">
            <v>790</v>
          </cell>
        </row>
        <row r="1108">
          <cell r="A1108" t="str">
            <v>AQ4</v>
          </cell>
          <cell r="B1108">
            <v>750000</v>
          </cell>
          <cell r="C1108" t="str">
            <v>S22A302</v>
          </cell>
          <cell r="D1108" t="str">
            <v>PB관 접합,밸브 소켓</v>
          </cell>
          <cell r="E1108" t="str">
            <v>15D</v>
          </cell>
          <cell r="F1108" t="str">
            <v>EA</v>
          </cell>
          <cell r="H1108">
            <v>16</v>
          </cell>
          <cell r="J1108">
            <v>16</v>
          </cell>
          <cell r="L1108">
            <v>52</v>
          </cell>
          <cell r="N1108">
            <v>832</v>
          </cell>
        </row>
        <row r="1109">
          <cell r="A1109" t="str">
            <v>AQ4</v>
          </cell>
          <cell r="B1109">
            <v>750000</v>
          </cell>
          <cell r="C1109" t="str">
            <v>S22A202</v>
          </cell>
          <cell r="D1109" t="str">
            <v>PB관 접합,티</v>
          </cell>
          <cell r="E1109" t="str">
            <v>15D</v>
          </cell>
          <cell r="F1109" t="str">
            <v>EA</v>
          </cell>
          <cell r="H1109">
            <v>10</v>
          </cell>
          <cell r="J1109">
            <v>10</v>
          </cell>
          <cell r="L1109">
            <v>156</v>
          </cell>
          <cell r="N1109">
            <v>1560</v>
          </cell>
        </row>
        <row r="1110">
          <cell r="A1110" t="str">
            <v>AQ4</v>
          </cell>
          <cell r="B1110">
            <v>750000</v>
          </cell>
          <cell r="C1110" t="str">
            <v>S22A203</v>
          </cell>
          <cell r="D1110" t="str">
            <v>PB관 접합,티</v>
          </cell>
          <cell r="E1110" t="str">
            <v>20D</v>
          </cell>
          <cell r="F1110" t="str">
            <v>EA</v>
          </cell>
          <cell r="H1110">
            <v>5</v>
          </cell>
          <cell r="J1110">
            <v>5</v>
          </cell>
          <cell r="L1110">
            <v>237</v>
          </cell>
          <cell r="N1110">
            <v>1185</v>
          </cell>
        </row>
        <row r="1111">
          <cell r="A1111" t="str">
            <v>AQ4</v>
          </cell>
          <cell r="B1111">
            <v>750000</v>
          </cell>
          <cell r="C1111" t="str">
            <v>S22A303</v>
          </cell>
          <cell r="D1111" t="str">
            <v>PB관 접합,밸브 소켓</v>
          </cell>
          <cell r="E1111" t="str">
            <v>20D</v>
          </cell>
          <cell r="F1111" t="str">
            <v>EA</v>
          </cell>
          <cell r="H1111">
            <v>5</v>
          </cell>
          <cell r="J1111">
            <v>5</v>
          </cell>
          <cell r="L1111">
            <v>79</v>
          </cell>
          <cell r="N1111">
            <v>395</v>
          </cell>
        </row>
        <row r="1112">
          <cell r="A1112" t="str">
            <v>AQ4</v>
          </cell>
          <cell r="B1112">
            <v>810000</v>
          </cell>
          <cell r="C1112" t="str">
            <v>OMISC03</v>
          </cell>
          <cell r="D1112" t="str">
            <v>잡자재비</v>
          </cell>
          <cell r="E1112" t="str">
            <v>관의 (3)％</v>
          </cell>
          <cell r="F1112" t="str">
            <v>L/S</v>
          </cell>
          <cell r="H1112">
            <v>1</v>
          </cell>
          <cell r="J1112">
            <v>1</v>
          </cell>
          <cell r="L1112">
            <v>1734</v>
          </cell>
          <cell r="N1112">
            <v>1734</v>
          </cell>
        </row>
        <row r="1113">
          <cell r="A1113" t="str">
            <v>AQ4</v>
          </cell>
          <cell r="B1113">
            <v>850000</v>
          </cell>
          <cell r="C1113" t="str">
            <v>LINSUL</v>
          </cell>
          <cell r="D1113" t="str">
            <v>보온공</v>
          </cell>
          <cell r="F1113" t="str">
            <v>M/D</v>
          </cell>
          <cell r="H1113">
            <v>1.1000000000000001</v>
          </cell>
          <cell r="J1113">
            <v>1.1000000000000001</v>
          </cell>
          <cell r="L1113">
            <v>30900</v>
          </cell>
          <cell r="N1113">
            <v>33990</v>
          </cell>
        </row>
        <row r="1114">
          <cell r="A1114" t="str">
            <v>AQ4</v>
          </cell>
          <cell r="B1114">
            <v>850000</v>
          </cell>
          <cell r="C1114" t="str">
            <v>LDUCTR</v>
          </cell>
          <cell r="D1114" t="str">
            <v>덕트공</v>
          </cell>
          <cell r="F1114" t="str">
            <v>M/D</v>
          </cell>
          <cell r="H1114">
            <v>0.7</v>
          </cell>
          <cell r="J1114">
            <v>0.7</v>
          </cell>
          <cell r="L1114">
            <v>31400</v>
          </cell>
          <cell r="N1114">
            <v>21980</v>
          </cell>
        </row>
        <row r="1115">
          <cell r="A1115" t="str">
            <v>AQ4</v>
          </cell>
          <cell r="B1115">
            <v>850000</v>
          </cell>
          <cell r="C1115" t="str">
            <v>LMILLW</v>
          </cell>
          <cell r="D1115" t="str">
            <v>기계설치공</v>
          </cell>
          <cell r="F1115" t="str">
            <v>M/D</v>
          </cell>
          <cell r="H1115">
            <v>0.3</v>
          </cell>
          <cell r="J1115">
            <v>0.3</v>
          </cell>
          <cell r="L1115">
            <v>34000</v>
          </cell>
          <cell r="N1115">
            <v>10200</v>
          </cell>
        </row>
        <row r="1116">
          <cell r="A1116" t="str">
            <v>AQ4</v>
          </cell>
          <cell r="B1116">
            <v>850000</v>
          </cell>
          <cell r="C1116" t="str">
            <v>LPLUMR</v>
          </cell>
          <cell r="D1116" t="str">
            <v>위생공</v>
          </cell>
          <cell r="F1116" t="str">
            <v>M/D</v>
          </cell>
          <cell r="H1116">
            <v>0.1</v>
          </cell>
          <cell r="J1116">
            <v>0.1</v>
          </cell>
          <cell r="L1116">
            <v>33900</v>
          </cell>
          <cell r="N1116">
            <v>3390</v>
          </cell>
        </row>
        <row r="1117">
          <cell r="A1117" t="str">
            <v>AQ4</v>
          </cell>
          <cell r="B1117">
            <v>850000</v>
          </cell>
          <cell r="C1117" t="str">
            <v>LHELPR</v>
          </cell>
          <cell r="D1117" t="str">
            <v>보통인부</v>
          </cell>
          <cell r="F1117" t="str">
            <v>M/D</v>
          </cell>
          <cell r="H1117">
            <v>1</v>
          </cell>
          <cell r="J1117">
            <v>1</v>
          </cell>
          <cell r="L1117">
            <v>22300</v>
          </cell>
          <cell r="N1117">
            <v>22300</v>
          </cell>
        </row>
        <row r="1118">
          <cell r="A1118" t="str">
            <v>AQ4</v>
          </cell>
          <cell r="B1118">
            <v>850000</v>
          </cell>
          <cell r="C1118" t="str">
            <v>LPIPEG</v>
          </cell>
          <cell r="D1118" t="str">
            <v>배관공</v>
          </cell>
          <cell r="F1118" t="str">
            <v>M/D</v>
          </cell>
          <cell r="H1118">
            <v>1.1000000000000001</v>
          </cell>
          <cell r="J1118">
            <v>1.1000000000000001</v>
          </cell>
          <cell r="L1118">
            <v>34400</v>
          </cell>
          <cell r="N1118">
            <v>37840</v>
          </cell>
        </row>
        <row r="1119">
          <cell r="A1119" t="str">
            <v>AQ4</v>
          </cell>
          <cell r="B1119">
            <v>850000</v>
          </cell>
          <cell r="C1119" t="str">
            <v>LWELDG</v>
          </cell>
          <cell r="D1119" t="str">
            <v>용접공(일반)</v>
          </cell>
          <cell r="F1119" t="str">
            <v>M/D</v>
          </cell>
          <cell r="H1119">
            <v>0.3</v>
          </cell>
          <cell r="J1119">
            <v>0.3</v>
          </cell>
          <cell r="L1119">
            <v>39500</v>
          </cell>
          <cell r="N1119">
            <v>11850</v>
          </cell>
        </row>
        <row r="1120">
          <cell r="A1120" t="str">
            <v>AQ4</v>
          </cell>
          <cell r="B1120">
            <v>900000</v>
          </cell>
          <cell r="C1120" t="str">
            <v>CAMTLP0</v>
          </cell>
          <cell r="D1120" t="str">
            <v>APT 급수급탕 콘크리트깨기</v>
          </cell>
          <cell r="F1120" t="str">
            <v>M</v>
          </cell>
          <cell r="H1120">
            <v>13.8</v>
          </cell>
          <cell r="J1120">
            <v>13.8</v>
          </cell>
          <cell r="L1120">
            <v>1056</v>
          </cell>
          <cell r="N1120">
            <v>14573</v>
          </cell>
          <cell r="R1120" t="b">
            <v>0</v>
          </cell>
        </row>
        <row r="1121">
          <cell r="A1121" t="str">
            <v>AQ4</v>
          </cell>
          <cell r="B1121">
            <v>900000</v>
          </cell>
          <cell r="C1121" t="str">
            <v>CAMTLP1</v>
          </cell>
          <cell r="D1121" t="str">
            <v>APT 급수급탕 조적깨기</v>
          </cell>
          <cell r="F1121" t="str">
            <v>M</v>
          </cell>
          <cell r="H1121">
            <v>7.4</v>
          </cell>
          <cell r="J1121">
            <v>7.4</v>
          </cell>
          <cell r="L1121">
            <v>528</v>
          </cell>
          <cell r="N1121">
            <v>3907</v>
          </cell>
          <cell r="R1121" t="b">
            <v>0</v>
          </cell>
        </row>
        <row r="1122">
          <cell r="A1122" t="str">
            <v>AQ4</v>
          </cell>
          <cell r="B1122">
            <v>900000</v>
          </cell>
          <cell r="C1122" t="str">
            <v>CAMTLP2</v>
          </cell>
          <cell r="D1122" t="str">
            <v>APT 급수급탕 몰탈보양</v>
          </cell>
          <cell r="F1122" t="str">
            <v>M</v>
          </cell>
          <cell r="H1122">
            <v>75.2</v>
          </cell>
          <cell r="J1122">
            <v>75.2</v>
          </cell>
          <cell r="L1122">
            <v>150</v>
          </cell>
          <cell r="N1122">
            <v>11280</v>
          </cell>
          <cell r="R1122" t="b">
            <v>0</v>
          </cell>
        </row>
        <row r="1123">
          <cell r="A1123" t="str">
            <v>AQ4</v>
          </cell>
          <cell r="B1123">
            <v>950000</v>
          </cell>
          <cell r="C1123" t="str">
            <v>OMISC05</v>
          </cell>
          <cell r="D1123" t="str">
            <v>도기소운반비</v>
          </cell>
          <cell r="E1123" t="str">
            <v>위생공의 (5)％</v>
          </cell>
          <cell r="F1123" t="str">
            <v>L/S</v>
          </cell>
          <cell r="H1123">
            <v>1</v>
          </cell>
          <cell r="J1123">
            <v>1</v>
          </cell>
          <cell r="L1123">
            <v>170</v>
          </cell>
          <cell r="N1123">
            <v>170</v>
          </cell>
        </row>
        <row r="1124">
          <cell r="A1124" t="str">
            <v>AQ4</v>
          </cell>
          <cell r="B1124">
            <v>990000</v>
          </cell>
          <cell r="C1124" t="str">
            <v>OMISC06</v>
          </cell>
          <cell r="D1124" t="str">
            <v>공구손료</v>
          </cell>
          <cell r="E1124" t="str">
            <v>인건비의 (3)％</v>
          </cell>
          <cell r="F1124" t="str">
            <v>L/S</v>
          </cell>
          <cell r="H1124">
            <v>1</v>
          </cell>
          <cell r="J1124">
            <v>1</v>
          </cell>
          <cell r="L1124">
            <v>4520</v>
          </cell>
          <cell r="N1124">
            <v>4520</v>
          </cell>
        </row>
        <row r="1125">
          <cell r="A1125" t="str">
            <v>AQ5</v>
          </cell>
          <cell r="B1125">
            <v>0</v>
          </cell>
          <cell r="C1125" t="str">
            <v>WAAT</v>
          </cell>
          <cell r="D1125" t="str">
            <v>9-5. 오배수배관공사</v>
          </cell>
        </row>
        <row r="1126">
          <cell r="A1126" t="str">
            <v>AQ5</v>
          </cell>
          <cell r="B1126">
            <v>100</v>
          </cell>
          <cell r="C1126" t="str">
            <v>MPF1201D</v>
          </cell>
          <cell r="D1126" t="str">
            <v>PVC 파이프(VG2)</v>
          </cell>
          <cell r="E1126" t="str">
            <v>35D</v>
          </cell>
          <cell r="F1126" t="str">
            <v>M</v>
          </cell>
          <cell r="G1126">
            <v>5</v>
          </cell>
          <cell r="H1126">
            <v>1</v>
          </cell>
          <cell r="J1126">
            <v>1.1000000000000001</v>
          </cell>
          <cell r="L1126">
            <v>554</v>
          </cell>
          <cell r="N1126">
            <v>609</v>
          </cell>
          <cell r="R1126" t="b">
            <v>1</v>
          </cell>
        </row>
        <row r="1127">
          <cell r="A1127" t="str">
            <v>AQ5</v>
          </cell>
          <cell r="B1127">
            <v>200</v>
          </cell>
          <cell r="C1127" t="str">
            <v>MCNC12AA</v>
          </cell>
          <cell r="D1127" t="str">
            <v>주철관(NO HUB)</v>
          </cell>
          <cell r="E1127" t="str">
            <v>50D*1500L</v>
          </cell>
          <cell r="F1127" t="str">
            <v>EA</v>
          </cell>
          <cell r="G1127">
            <v>0</v>
          </cell>
          <cell r="H1127">
            <v>7</v>
          </cell>
          <cell r="J1127">
            <v>7</v>
          </cell>
          <cell r="L1127">
            <v>5376</v>
          </cell>
          <cell r="N1127">
            <v>37632</v>
          </cell>
          <cell r="R1127" t="b">
            <v>0</v>
          </cell>
        </row>
        <row r="1128">
          <cell r="A1128" t="str">
            <v>AQ5</v>
          </cell>
          <cell r="B1128">
            <v>300</v>
          </cell>
          <cell r="C1128" t="str">
            <v>MCNC14AA</v>
          </cell>
          <cell r="D1128" t="str">
            <v>주철관(NO HUB)</v>
          </cell>
          <cell r="E1128" t="str">
            <v>100D*1500L</v>
          </cell>
          <cell r="F1128" t="str">
            <v>EA</v>
          </cell>
          <cell r="G1128">
            <v>0</v>
          </cell>
          <cell r="H1128">
            <v>6</v>
          </cell>
          <cell r="J1128">
            <v>6</v>
          </cell>
          <cell r="L1128">
            <v>10336</v>
          </cell>
          <cell r="N1128">
            <v>62016</v>
          </cell>
          <cell r="R1128" t="b">
            <v>0</v>
          </cell>
        </row>
        <row r="1129">
          <cell r="A1129" t="str">
            <v>AQ5</v>
          </cell>
          <cell r="B1129">
            <v>302</v>
          </cell>
          <cell r="C1129" t="str">
            <v>OMIHMCNC</v>
          </cell>
          <cell r="D1129" t="str">
            <v>행거 및 용접봉</v>
          </cell>
          <cell r="E1129" t="str">
            <v>관의 (15)％</v>
          </cell>
          <cell r="F1129" t="str">
            <v>L/S</v>
          </cell>
          <cell r="H1129">
            <v>1</v>
          </cell>
          <cell r="J1129">
            <v>1</v>
          </cell>
          <cell r="L1129">
            <v>14947</v>
          </cell>
          <cell r="N1129">
            <v>14947</v>
          </cell>
        </row>
        <row r="1130">
          <cell r="A1130" t="str">
            <v>AQ5</v>
          </cell>
          <cell r="B1130">
            <v>400</v>
          </cell>
          <cell r="C1130" t="str">
            <v>MCNF4B2A</v>
          </cell>
          <cell r="D1130" t="str">
            <v>45도 곡관(CI),NO HUB</v>
          </cell>
          <cell r="E1130" t="str">
            <v>50D</v>
          </cell>
          <cell r="F1130" t="str">
            <v>EA</v>
          </cell>
          <cell r="G1130">
            <v>0</v>
          </cell>
          <cell r="H1130">
            <v>6</v>
          </cell>
          <cell r="J1130">
            <v>6</v>
          </cell>
          <cell r="L1130">
            <v>448</v>
          </cell>
          <cell r="N1130">
            <v>2688</v>
          </cell>
          <cell r="R1130" t="b">
            <v>0</v>
          </cell>
        </row>
        <row r="1131">
          <cell r="A1131" t="str">
            <v>AQ5</v>
          </cell>
          <cell r="B1131">
            <v>500</v>
          </cell>
          <cell r="C1131" t="str">
            <v>MCNF4B4A</v>
          </cell>
          <cell r="D1131" t="str">
            <v>45도 곡관(CI),NO HUB</v>
          </cell>
          <cell r="E1131" t="str">
            <v>100D</v>
          </cell>
          <cell r="F1131" t="str">
            <v>EA</v>
          </cell>
          <cell r="G1131">
            <v>0</v>
          </cell>
          <cell r="H1131">
            <v>4</v>
          </cell>
          <cell r="J1131">
            <v>4</v>
          </cell>
          <cell r="L1131">
            <v>1088</v>
          </cell>
          <cell r="N1131">
            <v>4352</v>
          </cell>
          <cell r="R1131" t="b">
            <v>0</v>
          </cell>
        </row>
        <row r="1132">
          <cell r="A1132" t="str">
            <v>AQ5</v>
          </cell>
          <cell r="B1132">
            <v>600</v>
          </cell>
          <cell r="C1132" t="str">
            <v>MCNF9B2A</v>
          </cell>
          <cell r="D1132" t="str">
            <v>90도 단곡관(CI),NO HUB</v>
          </cell>
          <cell r="E1132" t="str">
            <v>50D</v>
          </cell>
          <cell r="F1132" t="str">
            <v>EA</v>
          </cell>
          <cell r="G1132">
            <v>0</v>
          </cell>
          <cell r="H1132">
            <v>6</v>
          </cell>
          <cell r="J1132">
            <v>6</v>
          </cell>
          <cell r="L1132">
            <v>896</v>
          </cell>
          <cell r="N1132">
            <v>5376</v>
          </cell>
          <cell r="R1132" t="b">
            <v>0</v>
          </cell>
        </row>
        <row r="1133">
          <cell r="A1133" t="str">
            <v>AQ5</v>
          </cell>
          <cell r="B1133">
            <v>700</v>
          </cell>
          <cell r="C1133" t="str">
            <v>MCNF9B4A</v>
          </cell>
          <cell r="D1133" t="str">
            <v>90도 단곡관(CI),NO HUB</v>
          </cell>
          <cell r="E1133" t="str">
            <v>100D</v>
          </cell>
          <cell r="F1133" t="str">
            <v>EA</v>
          </cell>
          <cell r="G1133">
            <v>0</v>
          </cell>
          <cell r="H1133">
            <v>2</v>
          </cell>
          <cell r="J1133">
            <v>2</v>
          </cell>
          <cell r="L1133">
            <v>2368</v>
          </cell>
          <cell r="N1133">
            <v>4736</v>
          </cell>
          <cell r="R1133" t="b">
            <v>0</v>
          </cell>
        </row>
        <row r="1134">
          <cell r="A1134" t="str">
            <v>AQ5</v>
          </cell>
          <cell r="B1134">
            <v>800</v>
          </cell>
          <cell r="C1134" t="str">
            <v>MCNFA2A2</v>
          </cell>
          <cell r="D1134" t="str">
            <v>Y관 (CI),NO HUB</v>
          </cell>
          <cell r="E1134" t="str">
            <v>50D* 50D</v>
          </cell>
          <cell r="F1134" t="str">
            <v>EA</v>
          </cell>
          <cell r="G1134">
            <v>0</v>
          </cell>
          <cell r="H1134">
            <v>4</v>
          </cell>
          <cell r="J1134">
            <v>4</v>
          </cell>
          <cell r="L1134">
            <v>672</v>
          </cell>
          <cell r="N1134">
            <v>2688</v>
          </cell>
          <cell r="R1134" t="b">
            <v>0</v>
          </cell>
        </row>
        <row r="1135">
          <cell r="A1135" t="str">
            <v>AQ5</v>
          </cell>
          <cell r="B1135">
            <v>900</v>
          </cell>
          <cell r="C1135" t="str">
            <v>MCNFA4A2</v>
          </cell>
          <cell r="D1135" t="str">
            <v>Y관 (CI),NO HUB</v>
          </cell>
          <cell r="E1135" t="str">
            <v>100D* 50D</v>
          </cell>
          <cell r="F1135" t="str">
            <v>EA</v>
          </cell>
          <cell r="G1135">
            <v>0</v>
          </cell>
          <cell r="H1135">
            <v>4</v>
          </cell>
          <cell r="J1135">
            <v>4</v>
          </cell>
          <cell r="L1135">
            <v>1440</v>
          </cell>
          <cell r="N1135">
            <v>5760</v>
          </cell>
          <cell r="R1135" t="b">
            <v>0</v>
          </cell>
        </row>
        <row r="1136">
          <cell r="A1136" t="str">
            <v>AQ5</v>
          </cell>
          <cell r="B1136">
            <v>1000</v>
          </cell>
          <cell r="C1136" t="str">
            <v>MCNFA4A4</v>
          </cell>
          <cell r="D1136" t="str">
            <v>Y관 (CI),NO HUB</v>
          </cell>
          <cell r="E1136" t="str">
            <v>100D*100D</v>
          </cell>
          <cell r="F1136" t="str">
            <v>EA</v>
          </cell>
          <cell r="G1136">
            <v>0</v>
          </cell>
          <cell r="H1136">
            <v>2</v>
          </cell>
          <cell r="J1136">
            <v>2</v>
          </cell>
          <cell r="L1136">
            <v>2368</v>
          </cell>
          <cell r="N1136">
            <v>4736</v>
          </cell>
          <cell r="R1136" t="b">
            <v>0</v>
          </cell>
        </row>
        <row r="1137">
          <cell r="A1137" t="str">
            <v>AQ5</v>
          </cell>
          <cell r="B1137">
            <v>1100</v>
          </cell>
          <cell r="C1137" t="str">
            <v>MCNFO2A2</v>
          </cell>
          <cell r="D1137" t="str">
            <v>배수 T관(CI),NO HUB</v>
          </cell>
          <cell r="E1137" t="str">
            <v>50D* 50D</v>
          </cell>
          <cell r="F1137" t="str">
            <v>EA</v>
          </cell>
          <cell r="G1137">
            <v>0</v>
          </cell>
          <cell r="H1137">
            <v>2</v>
          </cell>
          <cell r="J1137">
            <v>2</v>
          </cell>
          <cell r="L1137">
            <v>768</v>
          </cell>
          <cell r="N1137">
            <v>1536</v>
          </cell>
          <cell r="R1137" t="b">
            <v>0</v>
          </cell>
        </row>
        <row r="1138">
          <cell r="A1138" t="str">
            <v>AQ5</v>
          </cell>
          <cell r="B1138">
            <v>1200</v>
          </cell>
          <cell r="C1138" t="str">
            <v>MCNFO4A2</v>
          </cell>
          <cell r="D1138" t="str">
            <v>배수 T관(CI),NO HUB</v>
          </cell>
          <cell r="E1138" t="str">
            <v>100D* 50D</v>
          </cell>
          <cell r="F1138" t="str">
            <v>EA</v>
          </cell>
          <cell r="G1138">
            <v>0</v>
          </cell>
          <cell r="H1138">
            <v>2</v>
          </cell>
          <cell r="J1138">
            <v>2</v>
          </cell>
          <cell r="L1138">
            <v>1440</v>
          </cell>
          <cell r="N1138">
            <v>2880</v>
          </cell>
          <cell r="R1138" t="b">
            <v>0</v>
          </cell>
        </row>
        <row r="1139">
          <cell r="A1139" t="str">
            <v>AQ5</v>
          </cell>
          <cell r="B1139">
            <v>1300</v>
          </cell>
          <cell r="C1139" t="str">
            <v>MCNFTP2A</v>
          </cell>
          <cell r="D1139" t="str">
            <v>P-트랩 (CI),NO HUB</v>
          </cell>
          <cell r="E1139" t="str">
            <v>50D</v>
          </cell>
          <cell r="F1139" t="str">
            <v>EA</v>
          </cell>
          <cell r="G1139">
            <v>0</v>
          </cell>
          <cell r="H1139">
            <v>2</v>
          </cell>
          <cell r="J1139">
            <v>2</v>
          </cell>
          <cell r="L1139">
            <v>1088</v>
          </cell>
          <cell r="N1139">
            <v>2176</v>
          </cell>
          <cell r="R1139" t="b">
            <v>0</v>
          </cell>
        </row>
        <row r="1140">
          <cell r="A1140" t="str">
            <v>AQ5</v>
          </cell>
          <cell r="B1140">
            <v>1400</v>
          </cell>
          <cell r="C1140" t="str">
            <v>MCNFZO2A</v>
          </cell>
          <cell r="D1140" t="str">
            <v>소제구(CI),NO HUB</v>
          </cell>
          <cell r="E1140" t="str">
            <v>50D</v>
          </cell>
          <cell r="F1140" t="str">
            <v>EA</v>
          </cell>
          <cell r="G1140">
            <v>0</v>
          </cell>
          <cell r="H1140">
            <v>2</v>
          </cell>
          <cell r="J1140">
            <v>2</v>
          </cell>
          <cell r="L1140">
            <v>480</v>
          </cell>
          <cell r="N1140">
            <v>960</v>
          </cell>
          <cell r="R1140" t="b">
            <v>0</v>
          </cell>
        </row>
        <row r="1141">
          <cell r="A1141" t="str">
            <v>AQ5</v>
          </cell>
          <cell r="B1141">
            <v>1500</v>
          </cell>
          <cell r="C1141" t="str">
            <v>MCNFZO4A</v>
          </cell>
          <cell r="D1141" t="str">
            <v>소제구(CI),NO HUB</v>
          </cell>
          <cell r="E1141" t="str">
            <v>100D</v>
          </cell>
          <cell r="F1141" t="str">
            <v>EA</v>
          </cell>
          <cell r="G1141">
            <v>0</v>
          </cell>
          <cell r="H1141">
            <v>4</v>
          </cell>
          <cell r="J1141">
            <v>4</v>
          </cell>
          <cell r="L1141">
            <v>928</v>
          </cell>
          <cell r="N1141">
            <v>3712</v>
          </cell>
          <cell r="R1141" t="b">
            <v>0</v>
          </cell>
        </row>
        <row r="1142">
          <cell r="A1142" t="str">
            <v>AQ5</v>
          </cell>
          <cell r="B1142">
            <v>1600</v>
          </cell>
          <cell r="C1142" t="str">
            <v>MPFFD42A</v>
          </cell>
          <cell r="D1142" t="str">
            <v>PVC 45도 곡관(DTS)</v>
          </cell>
          <cell r="E1142" t="str">
            <v>50D</v>
          </cell>
          <cell r="F1142" t="str">
            <v>EA</v>
          </cell>
          <cell r="G1142">
            <v>0</v>
          </cell>
          <cell r="H1142">
            <v>6</v>
          </cell>
          <cell r="J1142">
            <v>6</v>
          </cell>
          <cell r="L1142">
            <v>283</v>
          </cell>
          <cell r="N1142">
            <v>1698</v>
          </cell>
          <cell r="R1142" t="b">
            <v>0</v>
          </cell>
        </row>
        <row r="1143">
          <cell r="A1143" t="str">
            <v>AQ5</v>
          </cell>
          <cell r="B1143">
            <v>1700</v>
          </cell>
          <cell r="C1143" t="str">
            <v>MPFDO01D</v>
          </cell>
          <cell r="D1143" t="str">
            <v>PVC 90도 곡관(DRF)</v>
          </cell>
          <cell r="E1143" t="str">
            <v>35D</v>
          </cell>
          <cell r="F1143" t="str">
            <v>EA</v>
          </cell>
          <cell r="G1143">
            <v>0</v>
          </cell>
          <cell r="H1143">
            <v>2</v>
          </cell>
          <cell r="J1143">
            <v>2</v>
          </cell>
          <cell r="L1143">
            <v>619</v>
          </cell>
          <cell r="N1143">
            <v>1238</v>
          </cell>
          <cell r="R1143" t="b">
            <v>0</v>
          </cell>
        </row>
        <row r="1144">
          <cell r="A1144" t="str">
            <v>AQ5</v>
          </cell>
          <cell r="B1144">
            <v>1800</v>
          </cell>
          <cell r="C1144" t="str">
            <v>MPF1102A</v>
          </cell>
          <cell r="D1144" t="str">
            <v>PVC 파이프(VG1)</v>
          </cell>
          <cell r="E1144" t="str">
            <v>50D</v>
          </cell>
          <cell r="F1144" t="str">
            <v>M</v>
          </cell>
          <cell r="G1144">
            <v>5</v>
          </cell>
          <cell r="H1144">
            <v>4</v>
          </cell>
          <cell r="J1144">
            <v>4.2</v>
          </cell>
          <cell r="L1144">
            <v>1619</v>
          </cell>
          <cell r="N1144">
            <v>6800</v>
          </cell>
          <cell r="R1144" t="b">
            <v>1</v>
          </cell>
        </row>
        <row r="1145">
          <cell r="A1145" t="str">
            <v>AQ5</v>
          </cell>
          <cell r="B1145">
            <v>1802</v>
          </cell>
          <cell r="C1145" t="str">
            <v>OMIHMPF1</v>
          </cell>
          <cell r="D1145" t="str">
            <v>행거 및 용접봉</v>
          </cell>
          <cell r="E1145" t="str">
            <v>관의 (15)％</v>
          </cell>
          <cell r="F1145" t="str">
            <v>L/S</v>
          </cell>
          <cell r="H1145">
            <v>1</v>
          </cell>
          <cell r="J1145">
            <v>1</v>
          </cell>
          <cell r="L1145">
            <v>1107</v>
          </cell>
          <cell r="N1145">
            <v>1107</v>
          </cell>
        </row>
        <row r="1146">
          <cell r="A1146" t="str">
            <v>AQ5</v>
          </cell>
          <cell r="B1146">
            <v>1900</v>
          </cell>
          <cell r="C1146" t="str">
            <v>MAAH100I</v>
          </cell>
          <cell r="D1146" t="str">
            <v>가요전선관(PVC)</v>
          </cell>
          <cell r="E1146" t="str">
            <v>22C</v>
          </cell>
          <cell r="F1146" t="str">
            <v>M</v>
          </cell>
          <cell r="G1146">
            <v>0</v>
          </cell>
          <cell r="H1146">
            <v>2</v>
          </cell>
          <cell r="J1146">
            <v>2</v>
          </cell>
          <cell r="L1146">
            <v>140</v>
          </cell>
          <cell r="N1146">
            <v>280</v>
          </cell>
          <cell r="R1146" t="b">
            <v>1</v>
          </cell>
        </row>
        <row r="1147">
          <cell r="A1147" t="str">
            <v>AQ5</v>
          </cell>
          <cell r="B1147">
            <v>1901</v>
          </cell>
          <cell r="C1147" t="str">
            <v>OMISC07</v>
          </cell>
          <cell r="D1147" t="str">
            <v>전선관 부속</v>
          </cell>
          <cell r="E1147" t="str">
            <v>전선관의 (20)％</v>
          </cell>
          <cell r="F1147" t="str">
            <v>L/S</v>
          </cell>
          <cell r="H1147">
            <v>1</v>
          </cell>
          <cell r="J1147">
            <v>1</v>
          </cell>
          <cell r="L1147">
            <v>56</v>
          </cell>
          <cell r="N1147">
            <v>56</v>
          </cell>
        </row>
        <row r="1148">
          <cell r="A1148" t="str">
            <v>AQ5</v>
          </cell>
          <cell r="B1148">
            <v>2000</v>
          </cell>
          <cell r="C1148" t="str">
            <v>MAAM003A</v>
          </cell>
          <cell r="D1148" t="str">
            <v>풀박스(W/COVER)</v>
          </cell>
          <cell r="E1148" t="str">
            <v>150*150*100</v>
          </cell>
          <cell r="F1148" t="str">
            <v>EA</v>
          </cell>
          <cell r="G1148">
            <v>0</v>
          </cell>
          <cell r="H1148">
            <v>2</v>
          </cell>
          <cell r="J1148">
            <v>2</v>
          </cell>
          <cell r="L1148">
            <v>3400</v>
          </cell>
          <cell r="N1148">
            <v>6800</v>
          </cell>
          <cell r="R1148" t="b">
            <v>0</v>
          </cell>
        </row>
        <row r="1149">
          <cell r="A1149" t="str">
            <v>AQ5</v>
          </cell>
          <cell r="B1149">
            <v>2100</v>
          </cell>
          <cell r="C1149" t="str">
            <v>MPFGFD2G</v>
          </cell>
          <cell r="D1149" t="str">
            <v>바닥드레인(편심)</v>
          </cell>
          <cell r="E1149" t="str">
            <v>■200, 50D</v>
          </cell>
          <cell r="F1149" t="str">
            <v>EA</v>
          </cell>
          <cell r="G1149">
            <v>0</v>
          </cell>
          <cell r="H1149">
            <v>2</v>
          </cell>
          <cell r="J1149">
            <v>2</v>
          </cell>
          <cell r="L1149">
            <v>14400</v>
          </cell>
          <cell r="N1149">
            <v>28800</v>
          </cell>
          <cell r="R1149" t="b">
            <v>0</v>
          </cell>
        </row>
        <row r="1150">
          <cell r="A1150" t="str">
            <v>AQ5</v>
          </cell>
          <cell r="B1150">
            <v>2200</v>
          </cell>
          <cell r="C1150" t="str">
            <v>MPFGFW2C</v>
          </cell>
          <cell r="D1150" t="str">
            <v>바닥드레인(세탁실)</v>
          </cell>
          <cell r="E1150" t="str">
            <v>■200, 50D</v>
          </cell>
          <cell r="F1150" t="str">
            <v>EA</v>
          </cell>
          <cell r="G1150">
            <v>0</v>
          </cell>
          <cell r="H1150">
            <v>2</v>
          </cell>
          <cell r="J1150">
            <v>2</v>
          </cell>
          <cell r="L1150">
            <v>14000</v>
          </cell>
          <cell r="N1150">
            <v>28000</v>
          </cell>
          <cell r="R1150" t="b">
            <v>0</v>
          </cell>
        </row>
        <row r="1151">
          <cell r="A1151" t="str">
            <v>AQ5</v>
          </cell>
          <cell r="B1151">
            <v>2300</v>
          </cell>
          <cell r="C1151" t="str">
            <v>MPFGGL1D</v>
          </cell>
          <cell r="D1151" t="str">
            <v>세면기 배수구 가스켓</v>
          </cell>
          <cell r="E1151" t="str">
            <v>35D</v>
          </cell>
          <cell r="F1151" t="str">
            <v>EA</v>
          </cell>
          <cell r="G1151">
            <v>0</v>
          </cell>
          <cell r="H1151">
            <v>2</v>
          </cell>
          <cell r="J1151">
            <v>2</v>
          </cell>
          <cell r="L1151">
            <v>250</v>
          </cell>
          <cell r="N1151">
            <v>500</v>
          </cell>
          <cell r="R1151" t="b">
            <v>0</v>
          </cell>
        </row>
        <row r="1152">
          <cell r="A1152" t="str">
            <v>AQ5</v>
          </cell>
          <cell r="B1152">
            <v>2400</v>
          </cell>
          <cell r="C1152" t="str">
            <v>MPFGSL1D</v>
          </cell>
          <cell r="D1152" t="str">
            <v>PVC 세면기 스리브</v>
          </cell>
          <cell r="E1152" t="str">
            <v>35D</v>
          </cell>
          <cell r="F1152" t="str">
            <v>EA</v>
          </cell>
          <cell r="G1152">
            <v>0</v>
          </cell>
          <cell r="H1152">
            <v>2</v>
          </cell>
          <cell r="J1152">
            <v>2</v>
          </cell>
          <cell r="L1152">
            <v>720</v>
          </cell>
          <cell r="N1152">
            <v>1440</v>
          </cell>
          <cell r="R1152" t="b">
            <v>0</v>
          </cell>
        </row>
        <row r="1153">
          <cell r="A1153" t="str">
            <v>AQ5</v>
          </cell>
          <cell r="B1153">
            <v>2500</v>
          </cell>
          <cell r="C1153" t="str">
            <v>MPFGSR4A</v>
          </cell>
          <cell r="D1153" t="str">
            <v>PVC 양변기 스리브,RR</v>
          </cell>
          <cell r="E1153" t="str">
            <v>100D</v>
          </cell>
          <cell r="F1153" t="str">
            <v>EA</v>
          </cell>
          <cell r="G1153">
            <v>0</v>
          </cell>
          <cell r="H1153">
            <v>2</v>
          </cell>
          <cell r="J1153">
            <v>2</v>
          </cell>
          <cell r="L1153">
            <v>1630</v>
          </cell>
          <cell r="N1153">
            <v>3260</v>
          </cell>
          <cell r="R1153" t="b">
            <v>0</v>
          </cell>
        </row>
        <row r="1154">
          <cell r="A1154" t="str">
            <v>AQ5</v>
          </cell>
          <cell r="B1154">
            <v>2600</v>
          </cell>
          <cell r="C1154" t="str">
            <v>MPFGVS2A</v>
          </cell>
          <cell r="D1154" t="str">
            <v>PVC 밸브소켓(DTS)</v>
          </cell>
          <cell r="E1154" t="str">
            <v>50D</v>
          </cell>
          <cell r="F1154" t="str">
            <v>EA</v>
          </cell>
          <cell r="G1154">
            <v>0</v>
          </cell>
          <cell r="H1154">
            <v>2</v>
          </cell>
          <cell r="J1154">
            <v>2</v>
          </cell>
          <cell r="L1154">
            <v>587</v>
          </cell>
          <cell r="N1154">
            <v>1174</v>
          </cell>
          <cell r="R1154" t="b">
            <v>0</v>
          </cell>
        </row>
        <row r="1155">
          <cell r="A1155" t="str">
            <v>AQ5</v>
          </cell>
          <cell r="B1155">
            <v>2700</v>
          </cell>
          <cell r="C1155" t="str">
            <v>BHASSL2A</v>
          </cell>
          <cell r="D1155" t="str">
            <v>파이프스리브 설치</v>
          </cell>
          <cell r="E1155" t="str">
            <v>50A</v>
          </cell>
          <cell r="F1155" t="str">
            <v>EA</v>
          </cell>
          <cell r="H1155">
            <v>2</v>
          </cell>
          <cell r="J1155">
            <v>2</v>
          </cell>
          <cell r="L1155">
            <v>2567</v>
          </cell>
          <cell r="N1155">
            <v>5134</v>
          </cell>
          <cell r="R1155" t="b">
            <v>0</v>
          </cell>
        </row>
        <row r="1156">
          <cell r="A1156" t="str">
            <v>AQ5</v>
          </cell>
          <cell r="B1156">
            <v>2800</v>
          </cell>
          <cell r="C1156" t="str">
            <v>BHASSL4A</v>
          </cell>
          <cell r="D1156" t="str">
            <v>파이프스리브 설치</v>
          </cell>
          <cell r="E1156" t="str">
            <v>100A</v>
          </cell>
          <cell r="F1156" t="str">
            <v>EA</v>
          </cell>
          <cell r="H1156">
            <v>2</v>
          </cell>
          <cell r="J1156">
            <v>2</v>
          </cell>
          <cell r="L1156">
            <v>9623</v>
          </cell>
          <cell r="N1156">
            <v>19246</v>
          </cell>
          <cell r="R1156" t="b">
            <v>0</v>
          </cell>
        </row>
        <row r="1157">
          <cell r="A1157" t="str">
            <v>AQ5</v>
          </cell>
          <cell r="B1157">
            <v>2900</v>
          </cell>
          <cell r="C1157" t="str">
            <v>BHASSL5A</v>
          </cell>
          <cell r="D1157" t="str">
            <v>파이프스리브 설치</v>
          </cell>
          <cell r="E1157" t="str">
            <v>125A</v>
          </cell>
          <cell r="F1157" t="str">
            <v>EA</v>
          </cell>
          <cell r="H1157">
            <v>2</v>
          </cell>
          <cell r="J1157">
            <v>2</v>
          </cell>
          <cell r="L1157">
            <v>16932</v>
          </cell>
          <cell r="N1157">
            <v>33864</v>
          </cell>
          <cell r="R1157" t="b">
            <v>0</v>
          </cell>
        </row>
        <row r="1158">
          <cell r="A1158" t="str">
            <v>AQ5</v>
          </cell>
          <cell r="B1158">
            <v>750000</v>
          </cell>
          <cell r="C1158" t="str">
            <v>S22N02A</v>
          </cell>
          <cell r="D1158" t="str">
            <v>주철관접합(N/H)</v>
          </cell>
          <cell r="E1158" t="str">
            <v>50D</v>
          </cell>
          <cell r="F1158" t="str">
            <v>JNT</v>
          </cell>
          <cell r="H1158">
            <v>61</v>
          </cell>
          <cell r="J1158">
            <v>61</v>
          </cell>
          <cell r="L1158">
            <v>1592</v>
          </cell>
          <cell r="N1158">
            <v>97112</v>
          </cell>
        </row>
        <row r="1159">
          <cell r="A1159" t="str">
            <v>AQ5</v>
          </cell>
          <cell r="B1159">
            <v>750000</v>
          </cell>
          <cell r="C1159" t="str">
            <v>S22N04A</v>
          </cell>
          <cell r="D1159" t="str">
            <v>주철관접합(N/H)</v>
          </cell>
          <cell r="E1159" t="str">
            <v>100D</v>
          </cell>
          <cell r="F1159" t="str">
            <v>JNT</v>
          </cell>
          <cell r="H1159">
            <v>40</v>
          </cell>
          <cell r="J1159">
            <v>40</v>
          </cell>
          <cell r="L1159">
            <v>2163</v>
          </cell>
          <cell r="N1159">
            <v>86520</v>
          </cell>
        </row>
        <row r="1160">
          <cell r="A1160" t="str">
            <v>AQ5</v>
          </cell>
          <cell r="B1160">
            <v>810000</v>
          </cell>
          <cell r="C1160" t="str">
            <v>OMISC03</v>
          </cell>
          <cell r="D1160" t="str">
            <v>잡자재비</v>
          </cell>
          <cell r="E1160" t="str">
            <v>관의 (3)％</v>
          </cell>
          <cell r="F1160" t="str">
            <v>L/S</v>
          </cell>
          <cell r="H1160">
            <v>1</v>
          </cell>
          <cell r="J1160">
            <v>1</v>
          </cell>
          <cell r="L1160">
            <v>1167</v>
          </cell>
          <cell r="N1160">
            <v>1167</v>
          </cell>
        </row>
        <row r="1161">
          <cell r="A1161" t="str">
            <v>AQ5</v>
          </cell>
          <cell r="B1161">
            <v>850000</v>
          </cell>
          <cell r="C1161" t="str">
            <v>LINTEL</v>
          </cell>
          <cell r="D1161" t="str">
            <v>내선전공</v>
          </cell>
          <cell r="F1161" t="str">
            <v>M/D</v>
          </cell>
          <cell r="H1161">
            <v>0.4</v>
          </cell>
          <cell r="J1161">
            <v>0.4</v>
          </cell>
          <cell r="L1161">
            <v>36400</v>
          </cell>
          <cell r="N1161">
            <v>14560</v>
          </cell>
        </row>
        <row r="1162">
          <cell r="A1162" t="str">
            <v>AQ5</v>
          </cell>
          <cell r="B1162">
            <v>850000</v>
          </cell>
          <cell r="C1162" t="str">
            <v>LHELPR</v>
          </cell>
          <cell r="D1162" t="str">
            <v>보통인부</v>
          </cell>
          <cell r="F1162" t="str">
            <v>M/D</v>
          </cell>
          <cell r="H1162">
            <v>2.7</v>
          </cell>
          <cell r="J1162">
            <v>2.7</v>
          </cell>
          <cell r="L1162">
            <v>22300</v>
          </cell>
          <cell r="N1162">
            <v>60210</v>
          </cell>
        </row>
        <row r="1163">
          <cell r="A1163" t="str">
            <v>AQ5</v>
          </cell>
          <cell r="B1163">
            <v>850000</v>
          </cell>
          <cell r="C1163" t="str">
            <v>LPIPEG</v>
          </cell>
          <cell r="D1163" t="str">
            <v>배관공</v>
          </cell>
          <cell r="F1163" t="str">
            <v>M/D</v>
          </cell>
          <cell r="H1163">
            <v>6.3</v>
          </cell>
          <cell r="J1163">
            <v>6.3</v>
          </cell>
          <cell r="L1163">
            <v>34400</v>
          </cell>
          <cell r="N1163">
            <v>216720</v>
          </cell>
        </row>
        <row r="1164">
          <cell r="A1164" t="str">
            <v>AQ5</v>
          </cell>
          <cell r="B1164">
            <v>900000</v>
          </cell>
          <cell r="C1164" t="str">
            <v>CAMTLP5</v>
          </cell>
          <cell r="D1164" t="str">
            <v>APT씽크배수몰탈보양(PVC)</v>
          </cell>
          <cell r="E1164" t="str">
            <v>50A</v>
          </cell>
          <cell r="F1164" t="str">
            <v>M</v>
          </cell>
          <cell r="H1164">
            <v>4</v>
          </cell>
          <cell r="J1164">
            <v>4</v>
          </cell>
          <cell r="L1164">
            <v>892</v>
          </cell>
          <cell r="N1164">
            <v>3568</v>
          </cell>
          <cell r="R1164" t="b">
            <v>0</v>
          </cell>
        </row>
        <row r="1165">
          <cell r="A1165" t="str">
            <v>AQ5</v>
          </cell>
          <cell r="B1165">
            <v>990000</v>
          </cell>
          <cell r="C1165" t="str">
            <v>OMISC06</v>
          </cell>
          <cell r="D1165" t="str">
            <v>공구손료</v>
          </cell>
          <cell r="E1165" t="str">
            <v>인건비의 (3)％</v>
          </cell>
          <cell r="F1165" t="str">
            <v>L/S</v>
          </cell>
          <cell r="H1165">
            <v>1</v>
          </cell>
          <cell r="J1165">
            <v>1</v>
          </cell>
          <cell r="L1165">
            <v>8942</v>
          </cell>
          <cell r="N1165">
            <v>8942</v>
          </cell>
        </row>
        <row r="1166">
          <cell r="A1166" t="str">
            <v>AQ6</v>
          </cell>
          <cell r="B1166">
            <v>0</v>
          </cell>
          <cell r="C1166" t="str">
            <v>WAAT</v>
          </cell>
          <cell r="D1166" t="str">
            <v>9-6. 소화기설치공사</v>
          </cell>
        </row>
        <row r="1167">
          <cell r="A1167" t="str">
            <v>AQ6</v>
          </cell>
          <cell r="B1167">
            <v>100</v>
          </cell>
          <cell r="C1167" t="str">
            <v>MFEXAE3H</v>
          </cell>
          <cell r="D1167" t="str">
            <v>자동확산소화기</v>
          </cell>
          <cell r="E1167" t="str">
            <v>3.3KG</v>
          </cell>
          <cell r="F1167" t="str">
            <v>EA</v>
          </cell>
          <cell r="G1167">
            <v>0</v>
          </cell>
          <cell r="H1167">
            <v>1</v>
          </cell>
          <cell r="J1167">
            <v>1</v>
          </cell>
          <cell r="L1167">
            <v>30000</v>
          </cell>
          <cell r="N1167">
            <v>30000</v>
          </cell>
          <cell r="R1167" t="b">
            <v>0</v>
          </cell>
        </row>
        <row r="1168">
          <cell r="A1168" t="str">
            <v>AQ6</v>
          </cell>
          <cell r="B1168">
            <v>200</v>
          </cell>
          <cell r="C1168" t="str">
            <v>MFEXAE4H</v>
          </cell>
          <cell r="D1168" t="str">
            <v>자동식소화기(ABC급)</v>
          </cell>
          <cell r="E1168" t="str">
            <v>2.5KG</v>
          </cell>
          <cell r="F1168" t="str">
            <v>EA</v>
          </cell>
          <cell r="G1168">
            <v>0</v>
          </cell>
          <cell r="H1168">
            <v>2</v>
          </cell>
          <cell r="J1168">
            <v>2</v>
          </cell>
          <cell r="L1168">
            <v>200000</v>
          </cell>
          <cell r="N1168">
            <v>400000</v>
          </cell>
          <cell r="R1168" t="b">
            <v>0</v>
          </cell>
        </row>
        <row r="1169">
          <cell r="A1169" t="str">
            <v>AQ6</v>
          </cell>
          <cell r="B1169">
            <v>810000</v>
          </cell>
          <cell r="C1169" t="str">
            <v>OMISC03</v>
          </cell>
          <cell r="D1169" t="str">
            <v>잡자재비</v>
          </cell>
          <cell r="E1169" t="str">
            <v>관의 (3)％</v>
          </cell>
          <cell r="F1169" t="str">
            <v>L/S</v>
          </cell>
          <cell r="H1169">
            <v>1</v>
          </cell>
          <cell r="J1169">
            <v>1</v>
          </cell>
          <cell r="L1169">
            <v>0</v>
          </cell>
          <cell r="N1169">
            <v>0</v>
          </cell>
        </row>
        <row r="1170">
          <cell r="A1170" t="str">
            <v>AQ6</v>
          </cell>
          <cell r="B1170">
            <v>990000</v>
          </cell>
          <cell r="C1170" t="str">
            <v>OMISC06</v>
          </cell>
          <cell r="D1170" t="str">
            <v>공구손료</v>
          </cell>
          <cell r="E1170" t="str">
            <v>인건비의 (3)％</v>
          </cell>
          <cell r="F1170" t="str">
            <v>L/S</v>
          </cell>
          <cell r="H1170">
            <v>1</v>
          </cell>
          <cell r="J1170">
            <v>1</v>
          </cell>
          <cell r="L1170">
            <v>0</v>
          </cell>
          <cell r="N1170">
            <v>0</v>
          </cell>
        </row>
        <row r="1171">
          <cell r="A1171" t="str">
            <v>AR</v>
          </cell>
          <cell r="B1171">
            <v>0</v>
          </cell>
          <cell r="C1171" t="str">
            <v>WAAT</v>
          </cell>
          <cell r="D1171" t="str">
            <v>10. 경비실 배관공사</v>
          </cell>
        </row>
        <row r="1172">
          <cell r="A1172" t="str">
            <v>AR1</v>
          </cell>
          <cell r="B1172">
            <v>0</v>
          </cell>
          <cell r="C1172" t="str">
            <v>WAAT</v>
          </cell>
          <cell r="D1172" t="str">
            <v>10-1. 장비설치공사</v>
          </cell>
        </row>
        <row r="1173">
          <cell r="A1173" t="str">
            <v>AR1</v>
          </cell>
          <cell r="B1173">
            <v>100</v>
          </cell>
          <cell r="C1173" t="str">
            <v>TMSJI025</v>
          </cell>
          <cell r="D1173" t="str">
            <v>B-1 가스보일러(F.F)</v>
          </cell>
          <cell r="E1173" t="str">
            <v>13,000KCAL</v>
          </cell>
          <cell r="F1173" t="str">
            <v>SET</v>
          </cell>
          <cell r="G1173">
            <v>0</v>
          </cell>
          <cell r="H1173">
            <v>1</v>
          </cell>
          <cell r="J1173">
            <v>1</v>
          </cell>
          <cell r="L1173">
            <v>310000</v>
          </cell>
          <cell r="N1173">
            <v>310000</v>
          </cell>
          <cell r="R1173" t="b">
            <v>0</v>
          </cell>
        </row>
        <row r="1174">
          <cell r="A1174" t="str">
            <v>AR1</v>
          </cell>
          <cell r="B1174">
            <v>200</v>
          </cell>
          <cell r="C1174" t="str">
            <v>TMSJI016</v>
          </cell>
          <cell r="D1174" t="str">
            <v>F-5 벽부형급배기휀</v>
          </cell>
          <cell r="E1174" t="str">
            <v>D250*9CMM*0.04</v>
          </cell>
          <cell r="F1174" t="str">
            <v>SET</v>
          </cell>
          <cell r="G1174">
            <v>0</v>
          </cell>
          <cell r="H1174">
            <v>1</v>
          </cell>
          <cell r="J1174">
            <v>1</v>
          </cell>
          <cell r="L1174">
            <v>20000</v>
          </cell>
          <cell r="N1174">
            <v>20000</v>
          </cell>
          <cell r="R1174" t="b">
            <v>0</v>
          </cell>
        </row>
        <row r="1175">
          <cell r="A1175" t="str">
            <v>AR1</v>
          </cell>
          <cell r="B1175">
            <v>810000</v>
          </cell>
          <cell r="C1175" t="str">
            <v>OMISC03</v>
          </cell>
          <cell r="D1175" t="str">
            <v>잡자재비</v>
          </cell>
          <cell r="E1175" t="str">
            <v>관의 (3)％</v>
          </cell>
          <cell r="F1175" t="str">
            <v>L/S</v>
          </cell>
          <cell r="H1175">
            <v>1</v>
          </cell>
          <cell r="J1175">
            <v>1</v>
          </cell>
          <cell r="L1175">
            <v>0</v>
          </cell>
          <cell r="N1175">
            <v>0</v>
          </cell>
        </row>
        <row r="1176">
          <cell r="A1176" t="str">
            <v>AR1</v>
          </cell>
          <cell r="B1176">
            <v>850000</v>
          </cell>
          <cell r="C1176" t="str">
            <v>LMILLW</v>
          </cell>
          <cell r="D1176" t="str">
            <v>기계설치공</v>
          </cell>
          <cell r="F1176" t="str">
            <v>M/D</v>
          </cell>
          <cell r="H1176">
            <v>0.2</v>
          </cell>
          <cell r="J1176">
            <v>0.2</v>
          </cell>
          <cell r="L1176">
            <v>34000</v>
          </cell>
          <cell r="N1176">
            <v>6800</v>
          </cell>
        </row>
        <row r="1177">
          <cell r="A1177" t="str">
            <v>AR1</v>
          </cell>
          <cell r="B1177">
            <v>990000</v>
          </cell>
          <cell r="C1177" t="str">
            <v>OMISC06</v>
          </cell>
          <cell r="D1177" t="str">
            <v>공구손료</v>
          </cell>
          <cell r="E1177" t="str">
            <v>인건비의 (3)％</v>
          </cell>
          <cell r="F1177" t="str">
            <v>L/S</v>
          </cell>
          <cell r="H1177">
            <v>1</v>
          </cell>
          <cell r="J1177">
            <v>1</v>
          </cell>
          <cell r="L1177">
            <v>1200</v>
          </cell>
          <cell r="N1177">
            <v>1200</v>
          </cell>
        </row>
        <row r="1178">
          <cell r="A1178" t="str">
            <v>AR2</v>
          </cell>
          <cell r="B1178">
            <v>0</v>
          </cell>
          <cell r="C1178" t="str">
            <v>WAAT</v>
          </cell>
          <cell r="D1178" t="str">
            <v>10-2. 난방배관공사</v>
          </cell>
        </row>
        <row r="1179">
          <cell r="A1179" t="str">
            <v>AR2</v>
          </cell>
          <cell r="B1179">
            <v>100</v>
          </cell>
          <cell r="C1179" t="str">
            <v>MPC1000H</v>
          </cell>
          <cell r="D1179" t="str">
            <v>PPC 파이프</v>
          </cell>
          <cell r="E1179" t="str">
            <v>15D</v>
          </cell>
          <cell r="F1179" t="str">
            <v>M</v>
          </cell>
          <cell r="G1179">
            <v>5</v>
          </cell>
          <cell r="H1179">
            <v>7.5</v>
          </cell>
          <cell r="J1179">
            <v>7.9</v>
          </cell>
          <cell r="L1179">
            <v>170</v>
          </cell>
          <cell r="N1179">
            <v>1343</v>
          </cell>
          <cell r="R1179" t="b">
            <v>1</v>
          </cell>
        </row>
        <row r="1180">
          <cell r="A1180" t="str">
            <v>AR2</v>
          </cell>
          <cell r="B1180">
            <v>200</v>
          </cell>
          <cell r="C1180" t="str">
            <v>MPC1000T</v>
          </cell>
          <cell r="D1180" t="str">
            <v>PPC 파이프</v>
          </cell>
          <cell r="E1180" t="str">
            <v>20D</v>
          </cell>
          <cell r="F1180" t="str">
            <v>M</v>
          </cell>
          <cell r="G1180">
            <v>5</v>
          </cell>
          <cell r="H1180">
            <v>7.9</v>
          </cell>
          <cell r="J1180">
            <v>8.3000000000000007</v>
          </cell>
          <cell r="L1180">
            <v>310</v>
          </cell>
          <cell r="N1180">
            <v>2573</v>
          </cell>
          <cell r="R1180" t="b">
            <v>1</v>
          </cell>
        </row>
        <row r="1181">
          <cell r="A1181" t="str">
            <v>AR2</v>
          </cell>
          <cell r="B1181">
            <v>300</v>
          </cell>
          <cell r="C1181" t="str">
            <v>MPC1001A</v>
          </cell>
          <cell r="D1181" t="str">
            <v>PPC 파이프</v>
          </cell>
          <cell r="E1181" t="str">
            <v>25D</v>
          </cell>
          <cell r="F1181" t="str">
            <v>M</v>
          </cell>
          <cell r="G1181">
            <v>5</v>
          </cell>
          <cell r="H1181">
            <v>10.1</v>
          </cell>
          <cell r="J1181">
            <v>10.6</v>
          </cell>
          <cell r="L1181">
            <v>460</v>
          </cell>
          <cell r="N1181">
            <v>4876</v>
          </cell>
          <cell r="R1181" t="b">
            <v>1</v>
          </cell>
        </row>
        <row r="1182">
          <cell r="A1182" t="str">
            <v>AR2</v>
          </cell>
          <cell r="B1182">
            <v>400</v>
          </cell>
          <cell r="C1182" t="str">
            <v>BIPDC10H</v>
          </cell>
          <cell r="D1182" t="str">
            <v>관보온,아티론,일반AL</v>
          </cell>
          <cell r="E1182" t="str">
            <v>10T* 15A</v>
          </cell>
          <cell r="F1182" t="str">
            <v>M</v>
          </cell>
          <cell r="H1182">
            <v>7.5</v>
          </cell>
          <cell r="J1182">
            <v>7.5</v>
          </cell>
          <cell r="L1182">
            <v>335</v>
          </cell>
          <cell r="N1182">
            <v>2513</v>
          </cell>
          <cell r="R1182" t="b">
            <v>0</v>
          </cell>
        </row>
        <row r="1183">
          <cell r="A1183" t="str">
            <v>AR2</v>
          </cell>
          <cell r="B1183">
            <v>500</v>
          </cell>
          <cell r="C1183" t="str">
            <v>BIPDC10T</v>
          </cell>
          <cell r="D1183" t="str">
            <v>관보온,아티론,일반AL</v>
          </cell>
          <cell r="E1183" t="str">
            <v>10T* 20A</v>
          </cell>
          <cell r="F1183" t="str">
            <v>M</v>
          </cell>
          <cell r="H1183">
            <v>7.9</v>
          </cell>
          <cell r="J1183">
            <v>7.9</v>
          </cell>
          <cell r="L1183">
            <v>370</v>
          </cell>
          <cell r="N1183">
            <v>2923</v>
          </cell>
          <cell r="R1183" t="b">
            <v>0</v>
          </cell>
        </row>
        <row r="1184">
          <cell r="A1184" t="str">
            <v>AR2</v>
          </cell>
          <cell r="B1184">
            <v>600</v>
          </cell>
          <cell r="C1184" t="str">
            <v>BIPDC11A</v>
          </cell>
          <cell r="D1184" t="str">
            <v>관보온,아티론,일반AL</v>
          </cell>
          <cell r="E1184" t="str">
            <v>10T* 25A</v>
          </cell>
          <cell r="F1184" t="str">
            <v>M</v>
          </cell>
          <cell r="H1184">
            <v>10.1</v>
          </cell>
          <cell r="J1184">
            <v>10.1</v>
          </cell>
          <cell r="L1184">
            <v>405</v>
          </cell>
          <cell r="N1184">
            <v>4091</v>
          </cell>
          <cell r="R1184" t="b">
            <v>0</v>
          </cell>
        </row>
        <row r="1185">
          <cell r="A1185" t="str">
            <v>AR2</v>
          </cell>
          <cell r="B1185">
            <v>700</v>
          </cell>
          <cell r="C1185" t="str">
            <v>MPCF000H</v>
          </cell>
          <cell r="D1185" t="str">
            <v>PPC 엘보,90도</v>
          </cell>
          <cell r="E1185" t="str">
            <v>15D</v>
          </cell>
          <cell r="F1185" t="str">
            <v>EA</v>
          </cell>
          <cell r="G1185">
            <v>0</v>
          </cell>
          <cell r="H1185">
            <v>7</v>
          </cell>
          <cell r="J1185">
            <v>7</v>
          </cell>
          <cell r="L1185">
            <v>120</v>
          </cell>
          <cell r="N1185">
            <v>840</v>
          </cell>
          <cell r="R1185" t="b">
            <v>0</v>
          </cell>
        </row>
        <row r="1186">
          <cell r="A1186" t="str">
            <v>AR2</v>
          </cell>
          <cell r="B1186">
            <v>800</v>
          </cell>
          <cell r="C1186" t="str">
            <v>MPCF000T</v>
          </cell>
          <cell r="D1186" t="str">
            <v>PPC 엘보,90도</v>
          </cell>
          <cell r="E1186" t="str">
            <v>20D</v>
          </cell>
          <cell r="F1186" t="str">
            <v>EA</v>
          </cell>
          <cell r="G1186">
            <v>0</v>
          </cell>
          <cell r="H1186">
            <v>17</v>
          </cell>
          <cell r="J1186">
            <v>17</v>
          </cell>
          <cell r="L1186">
            <v>190</v>
          </cell>
          <cell r="N1186">
            <v>3230</v>
          </cell>
          <cell r="R1186" t="b">
            <v>0</v>
          </cell>
        </row>
        <row r="1187">
          <cell r="A1187" t="str">
            <v>AR2</v>
          </cell>
          <cell r="B1187">
            <v>900</v>
          </cell>
          <cell r="C1187" t="str">
            <v>MPCF001A</v>
          </cell>
          <cell r="D1187" t="str">
            <v>PPC 엘보,90도</v>
          </cell>
          <cell r="E1187" t="str">
            <v>25D</v>
          </cell>
          <cell r="F1187" t="str">
            <v>EA</v>
          </cell>
          <cell r="G1187">
            <v>0</v>
          </cell>
          <cell r="H1187">
            <v>5</v>
          </cell>
          <cell r="J1187">
            <v>5</v>
          </cell>
          <cell r="L1187">
            <v>320</v>
          </cell>
          <cell r="N1187">
            <v>1600</v>
          </cell>
          <cell r="R1187" t="b">
            <v>0</v>
          </cell>
        </row>
        <row r="1188">
          <cell r="A1188" t="str">
            <v>AR2</v>
          </cell>
          <cell r="B1188">
            <v>1000</v>
          </cell>
          <cell r="C1188" t="str">
            <v>MPCF100T</v>
          </cell>
          <cell r="D1188" t="str">
            <v>PPC 티</v>
          </cell>
          <cell r="E1188" t="str">
            <v>20D</v>
          </cell>
          <cell r="F1188" t="str">
            <v>EA</v>
          </cell>
          <cell r="G1188">
            <v>0</v>
          </cell>
          <cell r="H1188">
            <v>2</v>
          </cell>
          <cell r="J1188">
            <v>2</v>
          </cell>
          <cell r="L1188">
            <v>210</v>
          </cell>
          <cell r="N1188">
            <v>420</v>
          </cell>
          <cell r="R1188" t="b">
            <v>0</v>
          </cell>
        </row>
        <row r="1189">
          <cell r="A1189" t="str">
            <v>AR2</v>
          </cell>
          <cell r="B1189">
            <v>1100</v>
          </cell>
          <cell r="C1189" t="str">
            <v>MPCF120H</v>
          </cell>
          <cell r="D1189" t="str">
            <v>PPC 이경티</v>
          </cell>
          <cell r="E1189" t="str">
            <v>25D*15D</v>
          </cell>
          <cell r="F1189" t="str">
            <v>EA</v>
          </cell>
          <cell r="G1189">
            <v>0</v>
          </cell>
          <cell r="H1189">
            <v>2</v>
          </cell>
          <cell r="J1189">
            <v>2</v>
          </cell>
          <cell r="L1189">
            <v>400</v>
          </cell>
          <cell r="N1189">
            <v>800</v>
          </cell>
          <cell r="R1189" t="b">
            <v>0</v>
          </cell>
        </row>
        <row r="1190">
          <cell r="A1190" t="str">
            <v>AR2</v>
          </cell>
          <cell r="B1190">
            <v>1200</v>
          </cell>
          <cell r="C1190" t="str">
            <v>MPCF120T</v>
          </cell>
          <cell r="D1190" t="str">
            <v>PPC 이경티</v>
          </cell>
          <cell r="E1190" t="str">
            <v>25D*20D</v>
          </cell>
          <cell r="F1190" t="str">
            <v>EA</v>
          </cell>
          <cell r="G1190">
            <v>0</v>
          </cell>
          <cell r="H1190">
            <v>4</v>
          </cell>
          <cell r="J1190">
            <v>4</v>
          </cell>
          <cell r="L1190">
            <v>410</v>
          </cell>
          <cell r="N1190">
            <v>1640</v>
          </cell>
          <cell r="R1190" t="b">
            <v>0</v>
          </cell>
        </row>
        <row r="1191">
          <cell r="A1191" t="str">
            <v>AR2</v>
          </cell>
          <cell r="B1191">
            <v>1300</v>
          </cell>
          <cell r="C1191" t="str">
            <v>MPCF220T</v>
          </cell>
          <cell r="D1191" t="str">
            <v>PPC 레듀샤</v>
          </cell>
          <cell r="E1191" t="str">
            <v>25D*20D</v>
          </cell>
          <cell r="F1191" t="str">
            <v>EA</v>
          </cell>
          <cell r="G1191">
            <v>0</v>
          </cell>
          <cell r="H1191">
            <v>2</v>
          </cell>
          <cell r="J1191">
            <v>2</v>
          </cell>
          <cell r="L1191">
            <v>200</v>
          </cell>
          <cell r="N1191">
            <v>400</v>
          </cell>
          <cell r="R1191" t="b">
            <v>0</v>
          </cell>
        </row>
        <row r="1192">
          <cell r="A1192" t="str">
            <v>AR2</v>
          </cell>
          <cell r="B1192">
            <v>1400</v>
          </cell>
          <cell r="C1192" t="str">
            <v>MPCF6V0H</v>
          </cell>
          <cell r="D1192" t="str">
            <v>PPC 밸브소켓</v>
          </cell>
          <cell r="E1192" t="str">
            <v>15D</v>
          </cell>
          <cell r="F1192" t="str">
            <v>EA</v>
          </cell>
          <cell r="G1192">
            <v>0</v>
          </cell>
          <cell r="H1192">
            <v>2</v>
          </cell>
          <cell r="J1192">
            <v>2</v>
          </cell>
          <cell r="L1192">
            <v>920</v>
          </cell>
          <cell r="N1192">
            <v>1840</v>
          </cell>
          <cell r="R1192" t="b">
            <v>0</v>
          </cell>
        </row>
        <row r="1193">
          <cell r="A1193" t="str">
            <v>AR2</v>
          </cell>
          <cell r="B1193">
            <v>1500</v>
          </cell>
          <cell r="C1193" t="str">
            <v>MPCF6V0T</v>
          </cell>
          <cell r="D1193" t="str">
            <v>PPC 밸브소켓</v>
          </cell>
          <cell r="E1193" t="str">
            <v>20D</v>
          </cell>
          <cell r="F1193" t="str">
            <v>EA</v>
          </cell>
          <cell r="G1193">
            <v>0</v>
          </cell>
          <cell r="H1193">
            <v>6</v>
          </cell>
          <cell r="J1193">
            <v>6</v>
          </cell>
          <cell r="L1193">
            <v>1560</v>
          </cell>
          <cell r="N1193">
            <v>9360</v>
          </cell>
          <cell r="R1193" t="b">
            <v>0</v>
          </cell>
        </row>
        <row r="1194">
          <cell r="A1194" t="str">
            <v>AR2</v>
          </cell>
          <cell r="B1194">
            <v>1600</v>
          </cell>
          <cell r="C1194" t="str">
            <v>MPCF700H</v>
          </cell>
          <cell r="D1194" t="str">
            <v>PPC 캡</v>
          </cell>
          <cell r="E1194" t="str">
            <v>15D</v>
          </cell>
          <cell r="F1194" t="str">
            <v>EA</v>
          </cell>
          <cell r="G1194">
            <v>0</v>
          </cell>
          <cell r="H1194">
            <v>2</v>
          </cell>
          <cell r="J1194">
            <v>2</v>
          </cell>
          <cell r="L1194">
            <v>80</v>
          </cell>
          <cell r="N1194">
            <v>160</v>
          </cell>
          <cell r="R1194" t="b">
            <v>0</v>
          </cell>
        </row>
        <row r="1195">
          <cell r="A1195" t="str">
            <v>AR2</v>
          </cell>
          <cell r="B1195">
            <v>1700</v>
          </cell>
          <cell r="C1195" t="str">
            <v>MPCF700T</v>
          </cell>
          <cell r="D1195" t="str">
            <v>PPC 캡</v>
          </cell>
          <cell r="E1195" t="str">
            <v>20D</v>
          </cell>
          <cell r="F1195" t="str">
            <v>EA</v>
          </cell>
          <cell r="G1195">
            <v>0</v>
          </cell>
          <cell r="H1195">
            <v>8</v>
          </cell>
          <cell r="J1195">
            <v>8</v>
          </cell>
          <cell r="L1195">
            <v>120</v>
          </cell>
          <cell r="N1195">
            <v>960</v>
          </cell>
          <cell r="R1195" t="b">
            <v>0</v>
          </cell>
        </row>
        <row r="1196">
          <cell r="A1196" t="str">
            <v>AR2</v>
          </cell>
          <cell r="B1196">
            <v>1800</v>
          </cell>
          <cell r="C1196" t="str">
            <v>MRACAR65</v>
          </cell>
          <cell r="D1196" t="str">
            <v>방열기 (AR-600),온수용</v>
          </cell>
          <cell r="E1196" t="str">
            <v>5S</v>
          </cell>
          <cell r="F1196" t="str">
            <v>EA</v>
          </cell>
          <cell r="G1196">
            <v>0</v>
          </cell>
          <cell r="H1196">
            <v>1</v>
          </cell>
          <cell r="J1196">
            <v>1</v>
          </cell>
          <cell r="L1196">
            <v>27500</v>
          </cell>
          <cell r="N1196">
            <v>27500</v>
          </cell>
          <cell r="R1196" t="b">
            <v>0</v>
          </cell>
        </row>
        <row r="1197">
          <cell r="A1197" t="str">
            <v>AR2</v>
          </cell>
          <cell r="B1197">
            <v>1900</v>
          </cell>
          <cell r="C1197" t="str">
            <v>MRACAR6A</v>
          </cell>
          <cell r="D1197" t="str">
            <v>방열기 (AR-600),온수용</v>
          </cell>
          <cell r="E1197" t="str">
            <v>10S</v>
          </cell>
          <cell r="F1197" t="str">
            <v>EA</v>
          </cell>
          <cell r="G1197">
            <v>0</v>
          </cell>
          <cell r="H1197">
            <v>3</v>
          </cell>
          <cell r="J1197">
            <v>3</v>
          </cell>
          <cell r="L1197">
            <v>55000</v>
          </cell>
          <cell r="N1197">
            <v>165000</v>
          </cell>
          <cell r="R1197" t="b">
            <v>0</v>
          </cell>
        </row>
        <row r="1198">
          <cell r="A1198" t="str">
            <v>AR2</v>
          </cell>
          <cell r="B1198">
            <v>2000</v>
          </cell>
          <cell r="C1198" t="str">
            <v>MRAJAV0H</v>
          </cell>
          <cell r="D1198" t="str">
            <v>앵글밸브,방열기용</v>
          </cell>
          <cell r="E1198" t="str">
            <v>15A</v>
          </cell>
          <cell r="F1198" t="str">
            <v>EA</v>
          </cell>
          <cell r="G1198">
            <v>0</v>
          </cell>
          <cell r="H1198">
            <v>1</v>
          </cell>
          <cell r="J1198">
            <v>1</v>
          </cell>
          <cell r="L1198">
            <v>2300</v>
          </cell>
          <cell r="N1198">
            <v>2300</v>
          </cell>
          <cell r="R1198" t="b">
            <v>0</v>
          </cell>
        </row>
        <row r="1199">
          <cell r="A1199" t="str">
            <v>AR2</v>
          </cell>
          <cell r="B1199">
            <v>2100</v>
          </cell>
          <cell r="C1199" t="str">
            <v>MRAJAV0T</v>
          </cell>
          <cell r="D1199" t="str">
            <v>앵글밸브,방열기용</v>
          </cell>
          <cell r="E1199" t="str">
            <v>20A</v>
          </cell>
          <cell r="F1199" t="str">
            <v>EA</v>
          </cell>
          <cell r="G1199">
            <v>0</v>
          </cell>
          <cell r="H1199">
            <v>3</v>
          </cell>
          <cell r="J1199">
            <v>3</v>
          </cell>
          <cell r="L1199">
            <v>3740</v>
          </cell>
          <cell r="N1199">
            <v>11220</v>
          </cell>
          <cell r="R1199" t="b">
            <v>0</v>
          </cell>
        </row>
        <row r="1200">
          <cell r="A1200" t="str">
            <v>AR2</v>
          </cell>
          <cell r="B1200">
            <v>2200</v>
          </cell>
          <cell r="C1200" t="str">
            <v>MRAJBU0H</v>
          </cell>
          <cell r="D1200" t="str">
            <v>유니온엘보,방열기용</v>
          </cell>
          <cell r="E1200" t="str">
            <v>15A</v>
          </cell>
          <cell r="F1200" t="str">
            <v>EA</v>
          </cell>
          <cell r="G1200">
            <v>0</v>
          </cell>
          <cell r="H1200">
            <v>1</v>
          </cell>
          <cell r="J1200">
            <v>1</v>
          </cell>
          <cell r="L1200">
            <v>1240</v>
          </cell>
          <cell r="N1200">
            <v>1240</v>
          </cell>
          <cell r="R1200" t="b">
            <v>0</v>
          </cell>
        </row>
        <row r="1201">
          <cell r="A1201" t="str">
            <v>AR2</v>
          </cell>
          <cell r="B1201">
            <v>2300</v>
          </cell>
          <cell r="C1201" t="str">
            <v>MRAJBU0T</v>
          </cell>
          <cell r="D1201" t="str">
            <v>유니온엘보,방열기용</v>
          </cell>
          <cell r="E1201" t="str">
            <v>20A</v>
          </cell>
          <cell r="F1201" t="str">
            <v>EA</v>
          </cell>
          <cell r="G1201">
            <v>0</v>
          </cell>
          <cell r="H1201">
            <v>3</v>
          </cell>
          <cell r="J1201">
            <v>3</v>
          </cell>
          <cell r="L1201">
            <v>1840</v>
          </cell>
          <cell r="N1201">
            <v>5520</v>
          </cell>
          <cell r="R1201" t="b">
            <v>0</v>
          </cell>
        </row>
        <row r="1202">
          <cell r="A1202" t="str">
            <v>AR2</v>
          </cell>
          <cell r="B1202">
            <v>2400</v>
          </cell>
          <cell r="C1202" t="str">
            <v>MMIW4201</v>
          </cell>
          <cell r="D1202" t="str">
            <v>활좌금</v>
          </cell>
          <cell r="E1202" t="str">
            <v>15A</v>
          </cell>
          <cell r="F1202" t="str">
            <v>EA</v>
          </cell>
          <cell r="G1202">
            <v>0</v>
          </cell>
          <cell r="H1202">
            <v>2</v>
          </cell>
          <cell r="J1202">
            <v>2</v>
          </cell>
          <cell r="L1202">
            <v>250</v>
          </cell>
          <cell r="N1202">
            <v>500</v>
          </cell>
          <cell r="R1202" t="b">
            <v>0</v>
          </cell>
        </row>
        <row r="1203">
          <cell r="A1203" t="str">
            <v>AR2</v>
          </cell>
          <cell r="B1203">
            <v>2500</v>
          </cell>
          <cell r="C1203" t="str">
            <v>MMIW4202</v>
          </cell>
          <cell r="D1203" t="str">
            <v>활좌금</v>
          </cell>
          <cell r="E1203" t="str">
            <v>20A</v>
          </cell>
          <cell r="F1203" t="str">
            <v>EA</v>
          </cell>
          <cell r="G1203">
            <v>0</v>
          </cell>
          <cell r="H1203">
            <v>6</v>
          </cell>
          <cell r="J1203">
            <v>6</v>
          </cell>
          <cell r="L1203">
            <v>250</v>
          </cell>
          <cell r="N1203">
            <v>1500</v>
          </cell>
          <cell r="R1203" t="b">
            <v>0</v>
          </cell>
        </row>
        <row r="1204">
          <cell r="A1204" t="str">
            <v>AR2</v>
          </cell>
          <cell r="B1204">
            <v>2600</v>
          </cell>
          <cell r="C1204" t="str">
            <v>MXAPA002</v>
          </cell>
          <cell r="D1204" t="str">
            <v>열선(동파방지,센서부착형)</v>
          </cell>
          <cell r="E1204" t="str">
            <v>1.5M</v>
          </cell>
          <cell r="F1204" t="str">
            <v>SET</v>
          </cell>
          <cell r="G1204">
            <v>0</v>
          </cell>
          <cell r="H1204">
            <v>2</v>
          </cell>
          <cell r="J1204">
            <v>2</v>
          </cell>
          <cell r="L1204">
            <v>11000</v>
          </cell>
          <cell r="N1204">
            <v>22000</v>
          </cell>
          <cell r="R1204" t="b">
            <v>0</v>
          </cell>
        </row>
        <row r="1205">
          <cell r="A1205" t="str">
            <v>AR2</v>
          </cell>
          <cell r="B1205">
            <v>2700</v>
          </cell>
          <cell r="C1205" t="str">
            <v>BQABHPPB</v>
          </cell>
          <cell r="D1205" t="str">
            <v>보일러 주위배관(난방,PPC)</v>
          </cell>
          <cell r="E1205" t="str">
            <v>25A</v>
          </cell>
          <cell r="F1205" t="str">
            <v>SET</v>
          </cell>
          <cell r="H1205">
            <v>1</v>
          </cell>
          <cell r="J1205">
            <v>1</v>
          </cell>
          <cell r="L1205">
            <v>42717</v>
          </cell>
          <cell r="N1205">
            <v>42717</v>
          </cell>
          <cell r="R1205" t="b">
            <v>0</v>
          </cell>
        </row>
        <row r="1206">
          <cell r="A1206" t="str">
            <v>AR2</v>
          </cell>
          <cell r="B1206">
            <v>2800</v>
          </cell>
          <cell r="C1206" t="str">
            <v>MPFGCAA3</v>
          </cell>
          <cell r="D1206" t="str">
            <v>방수형스리브(개별보일러)</v>
          </cell>
          <cell r="E1206" t="str">
            <v>25D</v>
          </cell>
          <cell r="F1206" t="str">
            <v>EA</v>
          </cell>
          <cell r="G1206">
            <v>0</v>
          </cell>
          <cell r="H1206">
            <v>2</v>
          </cell>
          <cell r="J1206">
            <v>2</v>
          </cell>
          <cell r="L1206">
            <v>2380</v>
          </cell>
          <cell r="N1206">
            <v>4760</v>
          </cell>
          <cell r="R1206" t="b">
            <v>0</v>
          </cell>
        </row>
        <row r="1207">
          <cell r="A1207" t="str">
            <v>AR2</v>
          </cell>
          <cell r="B1207">
            <v>2900</v>
          </cell>
          <cell r="C1207" t="str">
            <v>MPFGCAB1</v>
          </cell>
          <cell r="D1207" t="str">
            <v>연도스리브(빗물방지)</v>
          </cell>
          <cell r="E1207" t="str">
            <v>100D</v>
          </cell>
          <cell r="F1207" t="str">
            <v>EA</v>
          </cell>
          <cell r="G1207">
            <v>0</v>
          </cell>
          <cell r="H1207">
            <v>1</v>
          </cell>
          <cell r="J1207">
            <v>1</v>
          </cell>
          <cell r="L1207">
            <v>1700</v>
          </cell>
          <cell r="N1207">
            <v>1700</v>
          </cell>
          <cell r="R1207" t="b">
            <v>0</v>
          </cell>
        </row>
        <row r="1208">
          <cell r="A1208" t="str">
            <v>AR2</v>
          </cell>
          <cell r="B1208">
            <v>810000</v>
          </cell>
          <cell r="C1208" t="str">
            <v>OMISC03</v>
          </cell>
          <cell r="D1208" t="str">
            <v>잡자재비</v>
          </cell>
          <cell r="E1208" t="str">
            <v>관의 (3)％</v>
          </cell>
          <cell r="F1208" t="str">
            <v>L/S</v>
          </cell>
          <cell r="H1208">
            <v>1</v>
          </cell>
          <cell r="J1208">
            <v>1</v>
          </cell>
          <cell r="L1208">
            <v>474</v>
          </cell>
          <cell r="N1208">
            <v>474</v>
          </cell>
        </row>
        <row r="1209">
          <cell r="A1209" t="str">
            <v>AR2</v>
          </cell>
          <cell r="B1209">
            <v>850000</v>
          </cell>
          <cell r="C1209" t="str">
            <v>LINSUL</v>
          </cell>
          <cell r="D1209" t="str">
            <v>보온공</v>
          </cell>
          <cell r="F1209" t="str">
            <v>M/D</v>
          </cell>
          <cell r="H1209">
            <v>0.6</v>
          </cell>
          <cell r="J1209">
            <v>0.6</v>
          </cell>
          <cell r="L1209">
            <v>30900</v>
          </cell>
          <cell r="N1209">
            <v>18540</v>
          </cell>
        </row>
        <row r="1210">
          <cell r="A1210" t="str">
            <v>AR2</v>
          </cell>
          <cell r="B1210">
            <v>850000</v>
          </cell>
          <cell r="C1210" t="str">
            <v>LHELPR</v>
          </cell>
          <cell r="D1210" t="str">
            <v>보통인부</v>
          </cell>
          <cell r="F1210" t="str">
            <v>M/D</v>
          </cell>
          <cell r="H1210">
            <v>0.6</v>
          </cell>
          <cell r="J1210">
            <v>0.6</v>
          </cell>
          <cell r="L1210">
            <v>22300</v>
          </cell>
          <cell r="N1210">
            <v>13380</v>
          </cell>
        </row>
        <row r="1211">
          <cell r="A1211" t="str">
            <v>AR2</v>
          </cell>
          <cell r="B1211">
            <v>850000</v>
          </cell>
          <cell r="C1211" t="str">
            <v>LPIPEG</v>
          </cell>
          <cell r="D1211" t="str">
            <v>배관공</v>
          </cell>
          <cell r="F1211" t="str">
            <v>M/D</v>
          </cell>
          <cell r="H1211">
            <v>2</v>
          </cell>
          <cell r="J1211">
            <v>2</v>
          </cell>
          <cell r="L1211">
            <v>34400</v>
          </cell>
          <cell r="N1211">
            <v>68800</v>
          </cell>
        </row>
        <row r="1212">
          <cell r="A1212" t="str">
            <v>AR2</v>
          </cell>
          <cell r="B1212">
            <v>900000</v>
          </cell>
          <cell r="C1212" t="str">
            <v>CAMTLP4</v>
          </cell>
          <cell r="D1212" t="str">
            <v>APT난방주관몰탈보양(PPC)</v>
          </cell>
          <cell r="F1212" t="str">
            <v>M</v>
          </cell>
          <cell r="H1212">
            <v>10.1</v>
          </cell>
          <cell r="J1212">
            <v>10.1</v>
          </cell>
          <cell r="L1212">
            <v>299</v>
          </cell>
          <cell r="N1212">
            <v>3020</v>
          </cell>
          <cell r="R1212" t="b">
            <v>0</v>
          </cell>
        </row>
        <row r="1213">
          <cell r="A1213" t="str">
            <v>AR2</v>
          </cell>
          <cell r="B1213">
            <v>990000</v>
          </cell>
          <cell r="C1213" t="str">
            <v>OMISC06</v>
          </cell>
          <cell r="D1213" t="str">
            <v>공구손료</v>
          </cell>
          <cell r="E1213" t="str">
            <v>인건비의 (3)％</v>
          </cell>
          <cell r="F1213" t="str">
            <v>L/S</v>
          </cell>
          <cell r="H1213">
            <v>1</v>
          </cell>
          <cell r="J1213">
            <v>1</v>
          </cell>
          <cell r="L1213">
            <v>3260</v>
          </cell>
          <cell r="N1213">
            <v>3260</v>
          </cell>
        </row>
        <row r="1214">
          <cell r="A1214" t="str">
            <v>AR3</v>
          </cell>
          <cell r="B1214">
            <v>0</v>
          </cell>
          <cell r="C1214" t="str">
            <v>WAAT</v>
          </cell>
          <cell r="D1214" t="str">
            <v>10-3. 위생기구 설치공사</v>
          </cell>
        </row>
        <row r="1215">
          <cell r="A1215" t="str">
            <v>AR3</v>
          </cell>
          <cell r="B1215">
            <v>100</v>
          </cell>
          <cell r="C1215" t="str">
            <v>BLBA109W</v>
          </cell>
          <cell r="D1215" t="str">
            <v>양변기,장애자용,고정,백색</v>
          </cell>
          <cell r="E1215" t="str">
            <v>CC-109</v>
          </cell>
          <cell r="F1215" t="str">
            <v>SET</v>
          </cell>
          <cell r="H1215">
            <v>1</v>
          </cell>
          <cell r="J1215">
            <v>1</v>
          </cell>
          <cell r="L1215">
            <v>182760</v>
          </cell>
          <cell r="N1215">
            <v>182760</v>
          </cell>
          <cell r="R1215" t="b">
            <v>0</v>
          </cell>
        </row>
        <row r="1216">
          <cell r="A1216" t="str">
            <v>AR3</v>
          </cell>
          <cell r="B1216">
            <v>200</v>
          </cell>
          <cell r="C1216" t="str">
            <v>BLBB410L</v>
          </cell>
          <cell r="D1216" t="str">
            <v>세면기,장애자용,한개레버</v>
          </cell>
          <cell r="E1216" t="str">
            <v>CL-410</v>
          </cell>
          <cell r="F1216" t="str">
            <v>SET</v>
          </cell>
          <cell r="H1216">
            <v>1</v>
          </cell>
          <cell r="J1216">
            <v>1</v>
          </cell>
          <cell r="L1216">
            <v>179900</v>
          </cell>
          <cell r="N1216">
            <v>179900</v>
          </cell>
          <cell r="R1216" t="b">
            <v>0</v>
          </cell>
        </row>
        <row r="1217">
          <cell r="A1217" t="str">
            <v>AR3</v>
          </cell>
          <cell r="B1217">
            <v>300</v>
          </cell>
          <cell r="C1217" t="str">
            <v>MLFD60A6</v>
          </cell>
          <cell r="D1217" t="str">
            <v>수건걸이</v>
          </cell>
          <cell r="E1217" t="str">
            <v>FB-800AG</v>
          </cell>
          <cell r="F1217" t="str">
            <v>EA</v>
          </cell>
          <cell r="G1217">
            <v>0</v>
          </cell>
          <cell r="H1217">
            <v>1</v>
          </cell>
          <cell r="J1217">
            <v>1</v>
          </cell>
          <cell r="L1217">
            <v>9500</v>
          </cell>
          <cell r="N1217">
            <v>9500</v>
          </cell>
          <cell r="R1217" t="b">
            <v>0</v>
          </cell>
        </row>
        <row r="1218">
          <cell r="A1218" t="str">
            <v>AR3</v>
          </cell>
          <cell r="B1218">
            <v>400</v>
          </cell>
          <cell r="C1218" t="str">
            <v>MLFD60C4</v>
          </cell>
          <cell r="D1218" t="str">
            <v>휴지걸이</v>
          </cell>
          <cell r="E1218" t="str">
            <v>FB-800CG</v>
          </cell>
          <cell r="F1218" t="str">
            <v>EA</v>
          </cell>
          <cell r="G1218">
            <v>0</v>
          </cell>
          <cell r="H1218">
            <v>1</v>
          </cell>
          <cell r="J1218">
            <v>1</v>
          </cell>
          <cell r="L1218">
            <v>8500</v>
          </cell>
          <cell r="N1218">
            <v>8500</v>
          </cell>
          <cell r="R1218" t="b">
            <v>0</v>
          </cell>
        </row>
        <row r="1219">
          <cell r="A1219" t="str">
            <v>AR3</v>
          </cell>
          <cell r="B1219">
            <v>500</v>
          </cell>
          <cell r="C1219" t="str">
            <v>MLFD60D0</v>
          </cell>
          <cell r="D1219" t="str">
            <v>비누갑</v>
          </cell>
          <cell r="E1219" t="str">
            <v>FB-60D</v>
          </cell>
          <cell r="F1219" t="str">
            <v>EA</v>
          </cell>
          <cell r="G1219">
            <v>0</v>
          </cell>
          <cell r="H1219">
            <v>1</v>
          </cell>
          <cell r="J1219">
            <v>1</v>
          </cell>
          <cell r="L1219">
            <v>2500</v>
          </cell>
          <cell r="N1219">
            <v>2500</v>
          </cell>
          <cell r="R1219" t="b">
            <v>0</v>
          </cell>
        </row>
        <row r="1220">
          <cell r="A1220" t="str">
            <v>AR3</v>
          </cell>
          <cell r="B1220">
            <v>600</v>
          </cell>
          <cell r="C1220" t="str">
            <v>MLFD60H0</v>
          </cell>
          <cell r="D1220" t="str">
            <v>재떨이</v>
          </cell>
          <cell r="E1220" t="str">
            <v>FB-60H</v>
          </cell>
          <cell r="F1220" t="str">
            <v>EA</v>
          </cell>
          <cell r="G1220">
            <v>0</v>
          </cell>
          <cell r="H1220">
            <v>1</v>
          </cell>
          <cell r="J1220">
            <v>1</v>
          </cell>
          <cell r="L1220">
            <v>2500</v>
          </cell>
          <cell r="N1220">
            <v>2500</v>
          </cell>
          <cell r="R1220" t="b">
            <v>0</v>
          </cell>
        </row>
        <row r="1221">
          <cell r="A1221" t="str">
            <v>AR3</v>
          </cell>
          <cell r="B1221">
            <v>800000</v>
          </cell>
          <cell r="C1221" t="str">
            <v>MXAP0000</v>
          </cell>
          <cell r="D1221" t="str">
            <v>도기손료</v>
          </cell>
          <cell r="E1221" t="str">
            <v>기구의 (3)％</v>
          </cell>
          <cell r="F1221" t="str">
            <v>L/S</v>
          </cell>
          <cell r="G1221">
            <v>0</v>
          </cell>
          <cell r="H1221">
            <v>1</v>
          </cell>
          <cell r="I1221">
            <v>1</v>
          </cell>
          <cell r="J1221">
            <v>1</v>
          </cell>
          <cell r="K1221">
            <v>1</v>
          </cell>
          <cell r="L1221">
            <v>11340</v>
          </cell>
          <cell r="N1221">
            <v>11340</v>
          </cell>
        </row>
        <row r="1222">
          <cell r="A1222" t="str">
            <v>AR3</v>
          </cell>
          <cell r="B1222">
            <v>810000</v>
          </cell>
          <cell r="C1222" t="str">
            <v>OMISC03</v>
          </cell>
          <cell r="D1222" t="str">
            <v>잡자재비</v>
          </cell>
          <cell r="E1222" t="str">
            <v>관의 (3)％</v>
          </cell>
          <cell r="F1222" t="str">
            <v>L/S</v>
          </cell>
          <cell r="H1222">
            <v>1</v>
          </cell>
          <cell r="J1222">
            <v>1</v>
          </cell>
          <cell r="L1222">
            <v>0</v>
          </cell>
          <cell r="N1222">
            <v>0</v>
          </cell>
        </row>
        <row r="1223">
          <cell r="A1223" t="str">
            <v>AR3</v>
          </cell>
          <cell r="B1223">
            <v>850000</v>
          </cell>
          <cell r="C1223" t="str">
            <v>LHELPR</v>
          </cell>
          <cell r="D1223" t="str">
            <v>보통인부</v>
          </cell>
          <cell r="F1223" t="str">
            <v>M/D</v>
          </cell>
          <cell r="H1223">
            <v>0.1</v>
          </cell>
          <cell r="J1223">
            <v>0.1</v>
          </cell>
          <cell r="L1223">
            <v>22300</v>
          </cell>
          <cell r="N1223">
            <v>2230</v>
          </cell>
        </row>
        <row r="1224">
          <cell r="A1224" t="str">
            <v>AR3</v>
          </cell>
          <cell r="B1224">
            <v>850000</v>
          </cell>
          <cell r="C1224" t="str">
            <v>LPLUMR</v>
          </cell>
          <cell r="D1224" t="str">
            <v>위생공</v>
          </cell>
          <cell r="F1224" t="str">
            <v>M/D</v>
          </cell>
          <cell r="H1224">
            <v>0.7</v>
          </cell>
          <cell r="J1224">
            <v>0.7</v>
          </cell>
          <cell r="L1224">
            <v>33900</v>
          </cell>
          <cell r="N1224">
            <v>23730</v>
          </cell>
        </row>
        <row r="1225">
          <cell r="A1225" t="str">
            <v>AR3</v>
          </cell>
          <cell r="B1225">
            <v>950000</v>
          </cell>
          <cell r="C1225" t="str">
            <v>OMISC05</v>
          </cell>
          <cell r="D1225" t="str">
            <v>도기소운반비</v>
          </cell>
          <cell r="E1225" t="str">
            <v>위생공의 (5)％</v>
          </cell>
          <cell r="F1225" t="str">
            <v>L/S</v>
          </cell>
          <cell r="H1225">
            <v>1</v>
          </cell>
          <cell r="J1225">
            <v>1</v>
          </cell>
          <cell r="L1225">
            <v>1187</v>
          </cell>
          <cell r="N1225">
            <v>1187</v>
          </cell>
        </row>
        <row r="1226">
          <cell r="A1226" t="str">
            <v>AR3</v>
          </cell>
          <cell r="B1226">
            <v>990000</v>
          </cell>
          <cell r="C1226" t="str">
            <v>OMISC06</v>
          </cell>
          <cell r="D1226" t="str">
            <v>공구손료</v>
          </cell>
          <cell r="E1226" t="str">
            <v>인건비의 (3)％</v>
          </cell>
          <cell r="F1226" t="str">
            <v>L/S</v>
          </cell>
          <cell r="H1226">
            <v>1</v>
          </cell>
          <cell r="J1226">
            <v>1</v>
          </cell>
          <cell r="L1226">
            <v>853</v>
          </cell>
          <cell r="N1226">
            <v>853</v>
          </cell>
        </row>
        <row r="1227">
          <cell r="A1227" t="str">
            <v>AR4</v>
          </cell>
          <cell r="B1227">
            <v>0</v>
          </cell>
          <cell r="C1227" t="str">
            <v>WAAT</v>
          </cell>
          <cell r="D1227" t="str">
            <v>10-4. 급수배관공사</v>
          </cell>
        </row>
        <row r="1228">
          <cell r="A1228" t="str">
            <v>AR4</v>
          </cell>
          <cell r="B1228">
            <v>100</v>
          </cell>
          <cell r="C1228" t="str">
            <v>MP10104A</v>
          </cell>
          <cell r="D1228" t="str">
            <v>배관용 탄소강관(SPP)</v>
          </cell>
          <cell r="E1228" t="str">
            <v>100A</v>
          </cell>
          <cell r="F1228" t="str">
            <v>M</v>
          </cell>
          <cell r="G1228">
            <v>5</v>
          </cell>
          <cell r="H1228">
            <v>1.3</v>
          </cell>
          <cell r="J1228">
            <v>1.4</v>
          </cell>
          <cell r="L1228">
            <v>7025</v>
          </cell>
          <cell r="N1228">
            <v>9835</v>
          </cell>
          <cell r="R1228" t="b">
            <v>1</v>
          </cell>
        </row>
        <row r="1229">
          <cell r="A1229" t="str">
            <v>AR4</v>
          </cell>
          <cell r="B1229">
            <v>101</v>
          </cell>
          <cell r="C1229" t="str">
            <v>OMIPMP10</v>
          </cell>
          <cell r="D1229" t="str">
            <v>관 부속</v>
          </cell>
          <cell r="E1229" t="str">
            <v>관의 (25)％</v>
          </cell>
          <cell r="F1229" t="str">
            <v>L/S</v>
          </cell>
          <cell r="H1229">
            <v>1</v>
          </cell>
          <cell r="J1229">
            <v>1</v>
          </cell>
          <cell r="L1229">
            <v>2397</v>
          </cell>
          <cell r="N1229">
            <v>2397</v>
          </cell>
        </row>
        <row r="1230">
          <cell r="A1230" t="str">
            <v>AR4</v>
          </cell>
          <cell r="B1230">
            <v>102</v>
          </cell>
          <cell r="C1230" t="str">
            <v>OMIHMP10</v>
          </cell>
          <cell r="D1230" t="str">
            <v>행거 및 용접봉</v>
          </cell>
          <cell r="E1230" t="str">
            <v>관의 (15)％</v>
          </cell>
          <cell r="F1230" t="str">
            <v>L/S</v>
          </cell>
          <cell r="H1230">
            <v>1</v>
          </cell>
          <cell r="J1230">
            <v>1</v>
          </cell>
          <cell r="L1230">
            <v>1438</v>
          </cell>
          <cell r="N1230">
            <v>1438</v>
          </cell>
        </row>
        <row r="1231">
          <cell r="A1231" t="str">
            <v>AR4</v>
          </cell>
          <cell r="B1231">
            <v>200</v>
          </cell>
          <cell r="C1231" t="str">
            <v>MPA3000H</v>
          </cell>
          <cell r="D1231" t="str">
            <v>동관(L형)</v>
          </cell>
          <cell r="E1231" t="str">
            <v>1/2B  , 15.88</v>
          </cell>
          <cell r="F1231" t="str">
            <v>M</v>
          </cell>
          <cell r="G1231">
            <v>5</v>
          </cell>
          <cell r="H1231">
            <v>8.6</v>
          </cell>
          <cell r="J1231">
            <v>9</v>
          </cell>
          <cell r="L1231">
            <v>1235</v>
          </cell>
          <cell r="N1231">
            <v>11115</v>
          </cell>
          <cell r="R1231" t="b">
            <v>1</v>
          </cell>
        </row>
        <row r="1232">
          <cell r="A1232" t="str">
            <v>AR4</v>
          </cell>
          <cell r="B1232">
            <v>300</v>
          </cell>
          <cell r="C1232" t="str">
            <v>MPA3000T</v>
          </cell>
          <cell r="D1232" t="str">
            <v>동관(L형)</v>
          </cell>
          <cell r="E1232" t="str">
            <v>3/4B  , 22.22</v>
          </cell>
          <cell r="F1232" t="str">
            <v>M</v>
          </cell>
          <cell r="G1232">
            <v>5</v>
          </cell>
          <cell r="H1232">
            <v>4.5999999999999996</v>
          </cell>
          <cell r="J1232">
            <v>4.8</v>
          </cell>
          <cell r="L1232">
            <v>1957</v>
          </cell>
          <cell r="N1232">
            <v>9394</v>
          </cell>
          <cell r="R1232" t="b">
            <v>1</v>
          </cell>
        </row>
        <row r="1233">
          <cell r="A1233" t="str">
            <v>AR4</v>
          </cell>
          <cell r="B1233">
            <v>301</v>
          </cell>
          <cell r="C1233" t="str">
            <v>OMIPMPA3</v>
          </cell>
          <cell r="D1233" t="str">
            <v>관 부속</v>
          </cell>
          <cell r="E1233" t="str">
            <v>관의 (25)％</v>
          </cell>
          <cell r="F1233" t="str">
            <v>L/S</v>
          </cell>
          <cell r="H1233">
            <v>1</v>
          </cell>
          <cell r="J1233">
            <v>1</v>
          </cell>
          <cell r="L1233">
            <v>5151</v>
          </cell>
          <cell r="N1233">
            <v>5151</v>
          </cell>
        </row>
        <row r="1234">
          <cell r="A1234" t="str">
            <v>AR4</v>
          </cell>
          <cell r="B1234">
            <v>302</v>
          </cell>
          <cell r="C1234" t="str">
            <v>OMIHMPA3</v>
          </cell>
          <cell r="D1234" t="str">
            <v>행거 및 용접봉</v>
          </cell>
          <cell r="E1234" t="str">
            <v>관의 (15)％</v>
          </cell>
          <cell r="F1234" t="str">
            <v>L/S</v>
          </cell>
          <cell r="H1234">
            <v>1</v>
          </cell>
          <cell r="J1234">
            <v>1</v>
          </cell>
          <cell r="L1234">
            <v>3091</v>
          </cell>
          <cell r="N1234">
            <v>3091</v>
          </cell>
        </row>
        <row r="1235">
          <cell r="A1235" t="str">
            <v>AR4</v>
          </cell>
          <cell r="B1235">
            <v>400</v>
          </cell>
          <cell r="C1235" t="str">
            <v>BIPDC00H</v>
          </cell>
          <cell r="D1235" t="str">
            <v>관보온,아티론,일반AL</v>
          </cell>
          <cell r="E1235" t="str">
            <v>5T* 15A</v>
          </cell>
          <cell r="F1235" t="str">
            <v>M</v>
          </cell>
          <cell r="H1235">
            <v>2.9</v>
          </cell>
          <cell r="J1235">
            <v>2.9</v>
          </cell>
          <cell r="L1235">
            <v>209</v>
          </cell>
          <cell r="N1235">
            <v>606</v>
          </cell>
          <cell r="R1235" t="b">
            <v>0</v>
          </cell>
        </row>
        <row r="1236">
          <cell r="A1236" t="str">
            <v>AR4</v>
          </cell>
          <cell r="B1236">
            <v>500</v>
          </cell>
          <cell r="C1236" t="str">
            <v>BIPP120H</v>
          </cell>
          <cell r="D1236" t="str">
            <v>관보온 은폐,유리솜(동관)</v>
          </cell>
          <cell r="E1236" t="str">
            <v>25T* 1/2"</v>
          </cell>
          <cell r="F1236" t="str">
            <v>M</v>
          </cell>
          <cell r="H1236">
            <v>5.7</v>
          </cell>
          <cell r="J1236">
            <v>5.7</v>
          </cell>
          <cell r="L1236">
            <v>725</v>
          </cell>
          <cell r="N1236">
            <v>4133</v>
          </cell>
          <cell r="R1236" t="b">
            <v>0</v>
          </cell>
        </row>
        <row r="1237">
          <cell r="A1237" t="str">
            <v>AR4</v>
          </cell>
          <cell r="B1237">
            <v>600</v>
          </cell>
          <cell r="C1237" t="str">
            <v>BIPP120T</v>
          </cell>
          <cell r="D1237" t="str">
            <v>관보온 은폐,유리솜(동관)</v>
          </cell>
          <cell r="E1237" t="str">
            <v>25T* 3/4"</v>
          </cell>
          <cell r="F1237" t="str">
            <v>M</v>
          </cell>
          <cell r="H1237">
            <v>4.5999999999999996</v>
          </cell>
          <cell r="J1237">
            <v>4.5999999999999996</v>
          </cell>
          <cell r="L1237">
            <v>725</v>
          </cell>
          <cell r="N1237">
            <v>3335</v>
          </cell>
          <cell r="R1237" t="b">
            <v>0</v>
          </cell>
        </row>
        <row r="1238">
          <cell r="A1238" t="str">
            <v>AR4</v>
          </cell>
          <cell r="B1238">
            <v>700</v>
          </cell>
          <cell r="C1238" t="str">
            <v>MPAF0B0H</v>
          </cell>
          <cell r="D1238" t="str">
            <v>동 엘보</v>
          </cell>
          <cell r="E1238" t="str">
            <v>1/2B</v>
          </cell>
          <cell r="F1238" t="str">
            <v>EA</v>
          </cell>
          <cell r="G1238">
            <v>0</v>
          </cell>
          <cell r="H1238">
            <v>9</v>
          </cell>
          <cell r="J1238">
            <v>9</v>
          </cell>
          <cell r="L1238">
            <v>149</v>
          </cell>
          <cell r="N1238">
            <v>1341</v>
          </cell>
          <cell r="R1238" t="b">
            <v>0</v>
          </cell>
        </row>
        <row r="1239">
          <cell r="A1239" t="str">
            <v>AR4</v>
          </cell>
          <cell r="B1239">
            <v>800</v>
          </cell>
          <cell r="C1239" t="str">
            <v>MPAF0B0T</v>
          </cell>
          <cell r="D1239" t="str">
            <v>동 엘보</v>
          </cell>
          <cell r="E1239" t="str">
            <v>3/4B</v>
          </cell>
          <cell r="F1239" t="str">
            <v>EA</v>
          </cell>
          <cell r="G1239">
            <v>0</v>
          </cell>
          <cell r="H1239">
            <v>3</v>
          </cell>
          <cell r="J1239">
            <v>3</v>
          </cell>
          <cell r="L1239">
            <v>305</v>
          </cell>
          <cell r="N1239">
            <v>915</v>
          </cell>
          <cell r="R1239" t="b">
            <v>0</v>
          </cell>
        </row>
        <row r="1240">
          <cell r="A1240" t="str">
            <v>AR4</v>
          </cell>
          <cell r="B1240">
            <v>900</v>
          </cell>
          <cell r="C1240" t="str">
            <v>MPAF0S0H</v>
          </cell>
          <cell r="D1240" t="str">
            <v>황동 수전 엘보</v>
          </cell>
          <cell r="E1240" t="str">
            <v>1/2B</v>
          </cell>
          <cell r="F1240" t="str">
            <v>EA</v>
          </cell>
          <cell r="G1240">
            <v>0</v>
          </cell>
          <cell r="H1240">
            <v>2</v>
          </cell>
          <cell r="J1240">
            <v>2</v>
          </cell>
          <cell r="L1240">
            <v>579</v>
          </cell>
          <cell r="N1240">
            <v>1158</v>
          </cell>
          <cell r="R1240" t="b">
            <v>0</v>
          </cell>
        </row>
        <row r="1241">
          <cell r="A1241" t="str">
            <v>AR4</v>
          </cell>
          <cell r="B1241">
            <v>1000</v>
          </cell>
          <cell r="C1241" t="str">
            <v>MPAF0S0T</v>
          </cell>
          <cell r="D1241" t="str">
            <v>황동 수전 엘보</v>
          </cell>
          <cell r="E1241" t="str">
            <v>3/4B</v>
          </cell>
          <cell r="F1241" t="str">
            <v>EA</v>
          </cell>
          <cell r="G1241">
            <v>0</v>
          </cell>
          <cell r="H1241">
            <v>1</v>
          </cell>
          <cell r="J1241">
            <v>1</v>
          </cell>
          <cell r="L1241">
            <v>1539</v>
          </cell>
          <cell r="N1241">
            <v>1539</v>
          </cell>
          <cell r="R1241" t="b">
            <v>0</v>
          </cell>
        </row>
        <row r="1242">
          <cell r="A1242" t="str">
            <v>AR4</v>
          </cell>
          <cell r="B1242">
            <v>1100</v>
          </cell>
          <cell r="C1242" t="str">
            <v>MPAF1B0T</v>
          </cell>
          <cell r="D1242" t="str">
            <v>동 티</v>
          </cell>
          <cell r="E1242" t="str">
            <v>3/4B</v>
          </cell>
          <cell r="F1242" t="str">
            <v>EA</v>
          </cell>
          <cell r="G1242">
            <v>0</v>
          </cell>
          <cell r="H1242">
            <v>3</v>
          </cell>
          <cell r="J1242">
            <v>3</v>
          </cell>
          <cell r="L1242">
            <v>481</v>
          </cell>
          <cell r="N1242">
            <v>1443</v>
          </cell>
          <cell r="R1242" t="b">
            <v>0</v>
          </cell>
        </row>
        <row r="1243">
          <cell r="A1243" t="str">
            <v>AR4</v>
          </cell>
          <cell r="B1243">
            <v>1200</v>
          </cell>
          <cell r="C1243" t="str">
            <v>MPAF1S0H</v>
          </cell>
          <cell r="D1243" t="str">
            <v>황동 수전 티</v>
          </cell>
          <cell r="E1243" t="str">
            <v>1/2B</v>
          </cell>
          <cell r="F1243" t="str">
            <v>EA</v>
          </cell>
          <cell r="G1243">
            <v>0</v>
          </cell>
          <cell r="H1243">
            <v>2</v>
          </cell>
          <cell r="J1243">
            <v>2</v>
          </cell>
          <cell r="L1243">
            <v>814</v>
          </cell>
          <cell r="N1243">
            <v>1628</v>
          </cell>
          <cell r="R1243" t="b">
            <v>0</v>
          </cell>
        </row>
        <row r="1244">
          <cell r="A1244" t="str">
            <v>AR4</v>
          </cell>
          <cell r="B1244">
            <v>1300</v>
          </cell>
          <cell r="C1244" t="str">
            <v>MPAF2B0T</v>
          </cell>
          <cell r="D1244" t="str">
            <v>동 레듀샤</v>
          </cell>
          <cell r="E1244" t="str">
            <v>3/4B</v>
          </cell>
          <cell r="F1244" t="str">
            <v>EA</v>
          </cell>
          <cell r="G1244">
            <v>0</v>
          </cell>
          <cell r="H1244">
            <v>3</v>
          </cell>
          <cell r="J1244">
            <v>3</v>
          </cell>
          <cell r="L1244">
            <v>191</v>
          </cell>
          <cell r="N1244">
            <v>573</v>
          </cell>
          <cell r="R1244" t="b">
            <v>0</v>
          </cell>
        </row>
        <row r="1245">
          <cell r="A1245" t="str">
            <v>AR4</v>
          </cell>
          <cell r="B1245">
            <v>1400</v>
          </cell>
          <cell r="C1245" t="str">
            <v>MPAF4S0H</v>
          </cell>
          <cell r="D1245" t="str">
            <v>황동 니플</v>
          </cell>
          <cell r="E1245" t="str">
            <v>1/2B</v>
          </cell>
          <cell r="F1245" t="str">
            <v>EA</v>
          </cell>
          <cell r="G1245">
            <v>0</v>
          </cell>
          <cell r="H1245">
            <v>4</v>
          </cell>
          <cell r="J1245">
            <v>4</v>
          </cell>
          <cell r="L1245">
            <v>253</v>
          </cell>
          <cell r="N1245">
            <v>1012</v>
          </cell>
          <cell r="R1245" t="b">
            <v>0</v>
          </cell>
        </row>
        <row r="1246">
          <cell r="A1246" t="str">
            <v>AR4</v>
          </cell>
          <cell r="B1246">
            <v>1500</v>
          </cell>
          <cell r="C1246" t="str">
            <v>MPAF7B0H</v>
          </cell>
          <cell r="D1246" t="str">
            <v>동 캡</v>
          </cell>
          <cell r="E1246" t="str">
            <v>1/2B</v>
          </cell>
          <cell r="F1246" t="str">
            <v>EA</v>
          </cell>
          <cell r="G1246">
            <v>0</v>
          </cell>
          <cell r="H1246">
            <v>2</v>
          </cell>
          <cell r="J1246">
            <v>2</v>
          </cell>
          <cell r="L1246">
            <v>135</v>
          </cell>
          <cell r="N1246">
            <v>270</v>
          </cell>
          <cell r="R1246" t="b">
            <v>0</v>
          </cell>
        </row>
        <row r="1247">
          <cell r="A1247" t="str">
            <v>AR4</v>
          </cell>
          <cell r="B1247">
            <v>1600</v>
          </cell>
          <cell r="C1247" t="str">
            <v>MPAFMB0H</v>
          </cell>
          <cell r="D1247" t="str">
            <v>황동 CXM 아답타</v>
          </cell>
          <cell r="E1247" t="str">
            <v>1/2B</v>
          </cell>
          <cell r="F1247" t="str">
            <v>EA</v>
          </cell>
          <cell r="G1247">
            <v>0</v>
          </cell>
          <cell r="H1247">
            <v>2</v>
          </cell>
          <cell r="J1247">
            <v>2</v>
          </cell>
          <cell r="L1247">
            <v>278</v>
          </cell>
          <cell r="N1247">
            <v>556</v>
          </cell>
          <cell r="R1247" t="b">
            <v>0</v>
          </cell>
        </row>
        <row r="1248">
          <cell r="A1248" t="str">
            <v>AR4</v>
          </cell>
          <cell r="B1248">
            <v>1700</v>
          </cell>
          <cell r="C1248" t="str">
            <v>MPAFMB0T</v>
          </cell>
          <cell r="D1248" t="str">
            <v>황동 CXM 아답타</v>
          </cell>
          <cell r="E1248" t="str">
            <v>3/4B</v>
          </cell>
          <cell r="F1248" t="str">
            <v>EA</v>
          </cell>
          <cell r="G1248">
            <v>0</v>
          </cell>
          <cell r="H1248">
            <v>1</v>
          </cell>
          <cell r="J1248">
            <v>1</v>
          </cell>
          <cell r="L1248">
            <v>544</v>
          </cell>
          <cell r="N1248">
            <v>544</v>
          </cell>
          <cell r="R1248" t="b">
            <v>0</v>
          </cell>
        </row>
        <row r="1249">
          <cell r="A1249" t="str">
            <v>AR4</v>
          </cell>
          <cell r="B1249">
            <v>1800</v>
          </cell>
          <cell r="C1249" t="str">
            <v>MPFGUN1I</v>
          </cell>
          <cell r="D1249" t="str">
            <v>PVC 연결 유니온</v>
          </cell>
          <cell r="E1249" t="str">
            <v>20D</v>
          </cell>
          <cell r="F1249" t="str">
            <v>EA</v>
          </cell>
          <cell r="G1249">
            <v>0</v>
          </cell>
          <cell r="H1249">
            <v>1</v>
          </cell>
          <cell r="J1249">
            <v>1</v>
          </cell>
          <cell r="L1249">
            <v>1100</v>
          </cell>
          <cell r="N1249">
            <v>1100</v>
          </cell>
          <cell r="R1249" t="b">
            <v>0</v>
          </cell>
        </row>
        <row r="1250">
          <cell r="A1250" t="str">
            <v>AR4</v>
          </cell>
          <cell r="B1250">
            <v>1900</v>
          </cell>
          <cell r="C1250" t="str">
            <v>MPFGUP1H</v>
          </cell>
          <cell r="D1250" t="str">
            <v>PVC 프러그</v>
          </cell>
          <cell r="E1250" t="str">
            <v>15D</v>
          </cell>
          <cell r="F1250" t="str">
            <v>EA</v>
          </cell>
          <cell r="G1250">
            <v>0</v>
          </cell>
          <cell r="H1250">
            <v>6</v>
          </cell>
          <cell r="J1250">
            <v>6</v>
          </cell>
          <cell r="L1250">
            <v>100</v>
          </cell>
          <cell r="N1250">
            <v>600</v>
          </cell>
          <cell r="R1250" t="b">
            <v>0</v>
          </cell>
        </row>
        <row r="1251">
          <cell r="A1251" t="str">
            <v>AR4</v>
          </cell>
          <cell r="B1251">
            <v>2000</v>
          </cell>
          <cell r="C1251" t="str">
            <v>MVAA110T</v>
          </cell>
          <cell r="D1251" t="str">
            <v>게이트밸브(청동)</v>
          </cell>
          <cell r="E1251" t="str">
            <v>10K  20A</v>
          </cell>
          <cell r="F1251" t="str">
            <v>EA</v>
          </cell>
          <cell r="G1251">
            <v>0</v>
          </cell>
          <cell r="H1251">
            <v>1</v>
          </cell>
          <cell r="J1251">
            <v>1</v>
          </cell>
          <cell r="L1251">
            <v>5274</v>
          </cell>
          <cell r="N1251">
            <v>5274</v>
          </cell>
          <cell r="R1251" t="b">
            <v>0</v>
          </cell>
        </row>
        <row r="1252">
          <cell r="A1252" t="str">
            <v>AR4</v>
          </cell>
          <cell r="B1252">
            <v>2100</v>
          </cell>
          <cell r="C1252" t="str">
            <v>MVAO110H</v>
          </cell>
          <cell r="D1252" t="str">
            <v>볼밸브(황동)</v>
          </cell>
          <cell r="E1252" t="str">
            <v>10K  15A</v>
          </cell>
          <cell r="F1252" t="str">
            <v>EA</v>
          </cell>
          <cell r="G1252">
            <v>0</v>
          </cell>
          <cell r="H1252">
            <v>2</v>
          </cell>
          <cell r="J1252">
            <v>2</v>
          </cell>
          <cell r="L1252">
            <v>1890</v>
          </cell>
          <cell r="N1252">
            <v>3780</v>
          </cell>
          <cell r="R1252" t="b">
            <v>0</v>
          </cell>
        </row>
        <row r="1253">
          <cell r="A1253" t="str">
            <v>AR4</v>
          </cell>
          <cell r="B1253">
            <v>2200</v>
          </cell>
          <cell r="C1253" t="str">
            <v>MVLMAC0T</v>
          </cell>
          <cell r="D1253" t="str">
            <v>급수계량기</v>
          </cell>
          <cell r="E1253" t="str">
            <v>20A</v>
          </cell>
          <cell r="F1253" t="str">
            <v>EA</v>
          </cell>
          <cell r="G1253">
            <v>0</v>
          </cell>
          <cell r="H1253">
            <v>1</v>
          </cell>
          <cell r="J1253">
            <v>1</v>
          </cell>
          <cell r="L1253">
            <v>20700</v>
          </cell>
          <cell r="N1253">
            <v>20700</v>
          </cell>
          <cell r="R1253" t="b">
            <v>0</v>
          </cell>
        </row>
        <row r="1254">
          <cell r="A1254" t="str">
            <v>AR4</v>
          </cell>
          <cell r="B1254">
            <v>2300</v>
          </cell>
          <cell r="C1254" t="str">
            <v>MVAO100I</v>
          </cell>
          <cell r="D1254" t="str">
            <v>수도용 앵글발브</v>
          </cell>
          <cell r="E1254" t="str">
            <v>10K  20A</v>
          </cell>
          <cell r="F1254" t="str">
            <v>EA</v>
          </cell>
          <cell r="G1254">
            <v>0</v>
          </cell>
          <cell r="H1254">
            <v>1</v>
          </cell>
          <cell r="J1254">
            <v>1</v>
          </cell>
          <cell r="L1254">
            <v>3530</v>
          </cell>
          <cell r="N1254">
            <v>3530</v>
          </cell>
          <cell r="R1254" t="b">
            <v>0</v>
          </cell>
        </row>
        <row r="1255">
          <cell r="A1255" t="str">
            <v>AR4</v>
          </cell>
          <cell r="B1255">
            <v>2400</v>
          </cell>
          <cell r="C1255" t="str">
            <v>MVLMBS60</v>
          </cell>
          <cell r="D1255" t="str">
            <v>계량기 함(STL1.6 보온포)</v>
          </cell>
          <cell r="E1255" t="str">
            <v>420X520</v>
          </cell>
          <cell r="F1255" t="str">
            <v>SET</v>
          </cell>
          <cell r="G1255">
            <v>0</v>
          </cell>
          <cell r="H1255">
            <v>1</v>
          </cell>
          <cell r="J1255">
            <v>1</v>
          </cell>
          <cell r="L1255">
            <v>20000</v>
          </cell>
          <cell r="N1255">
            <v>20000</v>
          </cell>
          <cell r="R1255" t="b">
            <v>0</v>
          </cell>
        </row>
        <row r="1256">
          <cell r="A1256" t="str">
            <v>AR4</v>
          </cell>
          <cell r="B1256">
            <v>2500</v>
          </cell>
          <cell r="C1256" t="str">
            <v>MXAPA001</v>
          </cell>
          <cell r="D1256" t="str">
            <v>열선(동파방지,센서부착형)</v>
          </cell>
          <cell r="E1256" t="str">
            <v>1.0M</v>
          </cell>
          <cell r="F1256" t="str">
            <v>SET</v>
          </cell>
          <cell r="G1256">
            <v>0</v>
          </cell>
          <cell r="H1256">
            <v>1</v>
          </cell>
          <cell r="J1256">
            <v>1</v>
          </cell>
          <cell r="L1256">
            <v>9500</v>
          </cell>
          <cell r="N1256">
            <v>9500</v>
          </cell>
          <cell r="R1256" t="b">
            <v>0</v>
          </cell>
        </row>
        <row r="1257">
          <cell r="A1257" t="str">
            <v>AR4</v>
          </cell>
          <cell r="B1257">
            <v>2600</v>
          </cell>
          <cell r="C1257" t="str">
            <v>MXAPA002</v>
          </cell>
          <cell r="D1257" t="str">
            <v>열선(동파방지,센서부착형)</v>
          </cell>
          <cell r="E1257" t="str">
            <v>1.5M</v>
          </cell>
          <cell r="F1257" t="str">
            <v>SET</v>
          </cell>
          <cell r="G1257">
            <v>0</v>
          </cell>
          <cell r="H1257">
            <v>2</v>
          </cell>
          <cell r="J1257">
            <v>2</v>
          </cell>
          <cell r="L1257">
            <v>11000</v>
          </cell>
          <cell r="N1257">
            <v>22000</v>
          </cell>
          <cell r="R1257" t="b">
            <v>0</v>
          </cell>
        </row>
        <row r="1258">
          <cell r="A1258" t="str">
            <v>AR4</v>
          </cell>
          <cell r="B1258">
            <v>2700</v>
          </cell>
          <cell r="C1258" t="str">
            <v>MGAAS30H</v>
          </cell>
          <cell r="D1258" t="str">
            <v>SUS 주름관(급수,급탕)</v>
          </cell>
          <cell r="E1258" t="str">
            <v>15D*300L</v>
          </cell>
          <cell r="F1258" t="str">
            <v>EA</v>
          </cell>
          <cell r="G1258">
            <v>0</v>
          </cell>
          <cell r="H1258">
            <v>2</v>
          </cell>
          <cell r="J1258">
            <v>2</v>
          </cell>
          <cell r="L1258">
            <v>1200</v>
          </cell>
          <cell r="N1258">
            <v>2400</v>
          </cell>
          <cell r="R1258" t="b">
            <v>0</v>
          </cell>
        </row>
        <row r="1259">
          <cell r="A1259" t="str">
            <v>AR4</v>
          </cell>
          <cell r="B1259">
            <v>2800</v>
          </cell>
          <cell r="C1259" t="str">
            <v>BHASSL0H</v>
          </cell>
          <cell r="D1259" t="str">
            <v>파이프스리브 설치</v>
          </cell>
          <cell r="E1259" t="str">
            <v>15A</v>
          </cell>
          <cell r="F1259" t="str">
            <v>EA</v>
          </cell>
          <cell r="H1259">
            <v>1</v>
          </cell>
          <cell r="J1259">
            <v>1</v>
          </cell>
          <cell r="L1259">
            <v>707</v>
          </cell>
          <cell r="N1259">
            <v>707</v>
          </cell>
          <cell r="R1259" t="b">
            <v>0</v>
          </cell>
        </row>
        <row r="1260">
          <cell r="A1260" t="str">
            <v>AR4</v>
          </cell>
          <cell r="B1260">
            <v>2900</v>
          </cell>
          <cell r="C1260" t="str">
            <v>BXAAA020</v>
          </cell>
          <cell r="D1260" t="str">
            <v>강관스리브(지수판)</v>
          </cell>
          <cell r="E1260" t="str">
            <v>20A</v>
          </cell>
          <cell r="F1260" t="str">
            <v>M</v>
          </cell>
          <cell r="H1260">
            <v>1</v>
          </cell>
          <cell r="J1260">
            <v>1</v>
          </cell>
          <cell r="L1260">
            <v>1134</v>
          </cell>
          <cell r="N1260">
            <v>1134</v>
          </cell>
          <cell r="R1260" t="b">
            <v>0</v>
          </cell>
        </row>
        <row r="1261">
          <cell r="A1261" t="str">
            <v>AR4</v>
          </cell>
          <cell r="B1261">
            <v>750000</v>
          </cell>
          <cell r="C1261" t="str">
            <v>S20000H</v>
          </cell>
          <cell r="D1261" t="str">
            <v>동관용접,BRAZING</v>
          </cell>
          <cell r="E1261" t="str">
            <v>1/2B</v>
          </cell>
          <cell r="F1261" t="str">
            <v>JNT</v>
          </cell>
          <cell r="H1261">
            <v>28</v>
          </cell>
          <cell r="J1261">
            <v>28</v>
          </cell>
          <cell r="L1261">
            <v>65</v>
          </cell>
          <cell r="N1261">
            <v>1820</v>
          </cell>
        </row>
        <row r="1262">
          <cell r="A1262" t="str">
            <v>AR4</v>
          </cell>
          <cell r="B1262">
            <v>750000</v>
          </cell>
          <cell r="C1262" t="str">
            <v>S20000T</v>
          </cell>
          <cell r="D1262" t="str">
            <v>동관용접,BRAZING</v>
          </cell>
          <cell r="E1262" t="str">
            <v>3/4B</v>
          </cell>
          <cell r="F1262" t="str">
            <v>JNT</v>
          </cell>
          <cell r="H1262">
            <v>23</v>
          </cell>
          <cell r="J1262">
            <v>23</v>
          </cell>
          <cell r="L1262">
            <v>137</v>
          </cell>
          <cell r="N1262">
            <v>3151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VXXX"/>
      <sheetName val="입찰안"/>
      <sheetName val="실행"/>
      <sheetName val="관리"/>
      <sheetName val="표지"/>
      <sheetName val="총괄표"/>
      <sheetName val="집계표"/>
      <sheetName val="내역"/>
      <sheetName val="적격"/>
      <sheetName val="적정"/>
      <sheetName val="평가"/>
      <sheetName val="조사"/>
      <sheetName val="견적"/>
      <sheetName val="견적내역"/>
      <sheetName val="합의서"/>
      <sheetName val="총괄표(설계)"/>
      <sheetName val="내역(설계)"/>
      <sheetName val="기아대교"/>
    </sheetNames>
    <definedNames>
      <definedName name="Macro12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Ⅰ"/>
      <sheetName val="Ⅱ"/>
      <sheetName val="Ⅲ,Ⅳ"/>
      <sheetName val="Ⅴ,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,14"/>
      <sheetName val="15,16"/>
      <sheetName val="17,18"/>
      <sheetName val="19,20"/>
      <sheetName val="21"/>
      <sheetName val="22,23"/>
      <sheetName val="24"/>
      <sheetName val="25"/>
      <sheetName val="26"/>
      <sheetName val="27,28"/>
      <sheetName val="29"/>
      <sheetName val="30"/>
      <sheetName val="31"/>
      <sheetName val="32_34"/>
      <sheetName val="35"/>
      <sheetName val="36,37"/>
      <sheetName val="38"/>
      <sheetName val="39,40"/>
      <sheetName val="41"/>
      <sheetName val="42,43"/>
      <sheetName val="44"/>
      <sheetName val="45,46"/>
      <sheetName val="47,48"/>
      <sheetName val="49"/>
      <sheetName val="50,51"/>
      <sheetName val="52 "/>
      <sheetName val="53,54"/>
      <sheetName val="55,56"/>
      <sheetName val="57"/>
      <sheetName val="58"/>
      <sheetName val="59"/>
      <sheetName val="60"/>
      <sheetName val="61,62"/>
      <sheetName val="63"/>
      <sheetName val="64"/>
      <sheetName val="65"/>
      <sheetName val="66"/>
      <sheetName val="67(B4)   "/>
      <sheetName val="67(A4)"/>
      <sheetName val="68"/>
      <sheetName val="69"/>
      <sheetName val="70"/>
      <sheetName val="71"/>
      <sheetName val="72"/>
      <sheetName val="73"/>
      <sheetName val="74(A4)"/>
      <sheetName val="74(B4) 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(B4)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총괄"/>
      <sheetName val="입찰안"/>
      <sheetName val="1.수인터널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단가산출"/>
      <sheetName val="자재수량"/>
      <sheetName val="Sheet1"/>
      <sheetName val="Sheet2"/>
      <sheetName val="Sheet3"/>
      <sheetName val="1공구 건정토건 토공"/>
      <sheetName val="1공구 건정토건 철콘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실행철강하도"/>
      <sheetName val="공사개요"/>
      <sheetName val="보도내역 (3)"/>
      <sheetName val="Module1"/>
      <sheetName val="노임단가"/>
      <sheetName val="자재단가"/>
      <sheetName val="Qheet6"/>
      <sheetName val="입찰안"/>
      <sheetName val="준검 내역서"/>
      <sheetName val="산출내역서"/>
      <sheetName val="차액보증"/>
      <sheetName val="#REF"/>
      <sheetName val="내역서"/>
      <sheetName val="자재단가비교표"/>
      <sheetName val="SP-B1"/>
      <sheetName val="갑지"/>
      <sheetName val="주차구획선수량"/>
      <sheetName val="신공항A-9(원가수정)"/>
      <sheetName val="저"/>
      <sheetName val="품의서"/>
      <sheetName val="A-4"/>
      <sheetName val="개요"/>
      <sheetName val="하조서"/>
      <sheetName val="한강운반비"/>
      <sheetName val="데리네이타현황"/>
      <sheetName val="부대tu"/>
      <sheetName val="일위대가"/>
      <sheetName val="내역"/>
      <sheetName val="정부노임단가"/>
      <sheetName val="변경비교-을"/>
      <sheetName val="6공구(당초)"/>
      <sheetName val="가도공"/>
      <sheetName val="서∼군(2)"/>
      <sheetName val="금호"/>
      <sheetName val="98NS-N"/>
      <sheetName val="목차"/>
      <sheetName val="BID"/>
      <sheetName val="재개발"/>
      <sheetName val="소야공정계획표"/>
      <sheetName val="기초코드"/>
      <sheetName val="도급"/>
      <sheetName val="을"/>
      <sheetName val="원형1호맨홀토공수량"/>
      <sheetName val="후다내역"/>
      <sheetName val="대로근거"/>
      <sheetName val="SG"/>
      <sheetName val="1.수인터널"/>
      <sheetName val="SANTOGO"/>
      <sheetName val="토적집계"/>
      <sheetName val="설계예산서"/>
      <sheetName val="갑지(추정)"/>
      <sheetName val="공업용수관로"/>
      <sheetName val="일위대가표"/>
      <sheetName val="토목주소"/>
      <sheetName val="45,46"/>
      <sheetName val="일위(토목)"/>
      <sheetName val="기본단가"/>
      <sheetName val="설 계"/>
      <sheetName val="경비"/>
      <sheetName val="98지급계획"/>
      <sheetName val="대비"/>
      <sheetName val="실행대비"/>
      <sheetName val="입적표"/>
      <sheetName val="시공여유율"/>
      <sheetName val="총괄-1"/>
      <sheetName val="지주설치제원"/>
      <sheetName val="0.0ControlSheet"/>
      <sheetName val="0.1keyAssumption"/>
      <sheetName val="입찰품의서"/>
      <sheetName val="2.대외공문"/>
      <sheetName val="낙찰표"/>
      <sheetName val="EQUIP-H"/>
      <sheetName val="단"/>
      <sheetName val="보할"/>
      <sheetName val="Dae_Jiju"/>
      <sheetName val="Sikje_ingun"/>
      <sheetName val="TREE_D"/>
      <sheetName val="물가시세"/>
      <sheetName val="eq_data"/>
      <sheetName val="Total"/>
      <sheetName val="AS포장복구 "/>
      <sheetName val="TYPE-A"/>
      <sheetName val="건축내역서"/>
      <sheetName val="단가비교표"/>
      <sheetName val="결과조달"/>
      <sheetName val="부대내역"/>
      <sheetName val="초기화면"/>
      <sheetName val="2000년1차"/>
      <sheetName val="6PILE  (돌출)"/>
      <sheetName val="특수선일위대가"/>
      <sheetName val="노임"/>
      <sheetName val="단가산출서"/>
      <sheetName val="DATA"/>
      <sheetName val="중로근거"/>
      <sheetName val="시화점실행"/>
      <sheetName val="맨홀수량"/>
      <sheetName val="전기공사"/>
      <sheetName val="실행내역"/>
      <sheetName val="준공조서갑지"/>
      <sheetName val="실행내역서"/>
      <sheetName val="가시설"/>
      <sheetName val="공통가설"/>
      <sheetName val="설계"/>
      <sheetName val="토사(PE)"/>
      <sheetName val="일위대가(1)"/>
      <sheetName val="입력시트"/>
      <sheetName val="3차준공"/>
      <sheetName val="장비집계"/>
      <sheetName val="원본(갑지)"/>
      <sheetName val="내역(최종본4.5)"/>
      <sheetName val="배수통관(좌)"/>
      <sheetName val="공문(신)"/>
      <sheetName val="DATE"/>
      <sheetName val="N賃率-職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건축내역"/>
      <sheetName val="흥양2교토공집계표"/>
      <sheetName val="A-7-1LINE(수량)"/>
      <sheetName val="Sheet1 (2)"/>
      <sheetName val="상-교대(A1-A2)"/>
      <sheetName val="대치판정"/>
      <sheetName val="인건-측정"/>
      <sheetName val="증감대비"/>
      <sheetName val="입출재고현황 (2)"/>
      <sheetName val="공제구간조서"/>
      <sheetName val="공사비총괄표"/>
      <sheetName val="2000년하반기"/>
      <sheetName val="충주"/>
      <sheetName val="수로단위수량"/>
      <sheetName val="구천"/>
      <sheetName val="접속도로1"/>
      <sheetName val="전체_1설계"/>
      <sheetName val="토공사"/>
      <sheetName val="횡배수관토공수량"/>
      <sheetName val="위치조서"/>
      <sheetName val="APT"/>
      <sheetName val="하수급견적대비"/>
      <sheetName val="ELECTRIC"/>
      <sheetName val="현장관리"/>
      <sheetName val="강교(Sub)"/>
      <sheetName val="몰탈재료산출"/>
      <sheetName val="여과지동"/>
      <sheetName val="기초자료"/>
      <sheetName val="ABUT수량-A1"/>
      <sheetName val="포장공자재집계표"/>
      <sheetName val="9GNG운반"/>
      <sheetName val="광산내역"/>
      <sheetName val="세금자료"/>
      <sheetName val="수문일1"/>
      <sheetName val="type-F"/>
      <sheetName val="간접비"/>
      <sheetName val="기성신청"/>
      <sheetName val="표지"/>
      <sheetName val="1.취수장"/>
      <sheetName val="교대(A1)"/>
      <sheetName val="관일"/>
      <sheetName val="기계내역"/>
      <sheetName val="연결임시"/>
      <sheetName val="공종별산출내역서"/>
      <sheetName val="가격조사서"/>
      <sheetName val="공통부대비"/>
      <sheetName val="인건비"/>
      <sheetName val="직노"/>
      <sheetName val="I一般比"/>
      <sheetName val="을지"/>
      <sheetName val="총괄내역서"/>
      <sheetName val="부하(성남)"/>
      <sheetName val="부하계산서"/>
      <sheetName val="BSD (2)"/>
      <sheetName val="적용대가"/>
      <sheetName val="인건비 "/>
      <sheetName val="4)유동표"/>
      <sheetName val="손익현황"/>
      <sheetName val="현황CODE"/>
      <sheetName val="전기일위대가"/>
      <sheetName val="배관단가조사서"/>
      <sheetName val="전신환매도율"/>
      <sheetName val="집계"/>
      <sheetName val="날개벽(시점좌측)"/>
      <sheetName val="일위대가(계측기설치)"/>
      <sheetName val="토목내역"/>
      <sheetName val="노원열병합  건축공사기성내역서"/>
      <sheetName val="BJJIN"/>
      <sheetName val="STAND20"/>
      <sheetName val="전차선로 물량표"/>
      <sheetName val="자재"/>
      <sheetName val="공통(20-91)"/>
      <sheetName val="nys"/>
      <sheetName val="전신"/>
      <sheetName val="수량조서"/>
      <sheetName val="설직재-1"/>
      <sheetName val="6호기"/>
      <sheetName val="수자재단위당"/>
      <sheetName val="물량표"/>
      <sheetName val="자재목록"/>
      <sheetName val="중기목록"/>
      <sheetName val="단가목록"/>
      <sheetName val="일위목록"/>
      <sheetName val="노임목록"/>
      <sheetName val="wall"/>
      <sheetName val="교각계산"/>
      <sheetName val="일위대가(가설)"/>
      <sheetName val="조명시설"/>
      <sheetName val="부대입찰 내역서"/>
      <sheetName val="공사"/>
      <sheetName val="산출내역서집계표"/>
      <sheetName val="CIP 공사"/>
      <sheetName val="설계예산"/>
      <sheetName val="인사자료총집계"/>
      <sheetName val="현장관리비"/>
      <sheetName val="1. 설계조건 2.단면가정 3. 하중계산"/>
      <sheetName val="DATA 입력란"/>
      <sheetName val="Y-WORK"/>
      <sheetName val="200"/>
      <sheetName val="중기일위대가"/>
      <sheetName val="코드표"/>
      <sheetName val="단면가정"/>
      <sheetName val="설계조건"/>
      <sheetName val="부재력정리"/>
      <sheetName val="철거산출근거"/>
      <sheetName val="단가"/>
      <sheetName val="4.내진설계"/>
      <sheetName val="실행내역서 "/>
      <sheetName val="관급"/>
      <sheetName val="노임이"/>
      <sheetName val="96보완계획7.12"/>
      <sheetName val="뚝토공"/>
      <sheetName val="Front"/>
      <sheetName val="집계표(OPTION)"/>
      <sheetName val="교각1"/>
      <sheetName val="IW-LIST"/>
      <sheetName val="단가조사"/>
      <sheetName val="s"/>
      <sheetName val="자재일람"/>
      <sheetName val="현대물량"/>
      <sheetName val="견적대비표"/>
      <sheetName val="공사비예산서(토목분)"/>
      <sheetName val="발주설계서(당초)"/>
      <sheetName val="화설내"/>
      <sheetName val="COPING"/>
      <sheetName val="0Title"/>
      <sheetName val="MOTOR"/>
      <sheetName val="날개벽"/>
      <sheetName val="보고"/>
      <sheetName val="원가계산서"/>
      <sheetName val="제잡비.xls"/>
      <sheetName val="1.설계조건"/>
      <sheetName val="음료실행"/>
      <sheetName val="2.고용보험료산출근거"/>
      <sheetName val="3BL공동구 수량"/>
      <sheetName val="골조시행"/>
      <sheetName val=" 총괄표"/>
      <sheetName val="견적서"/>
      <sheetName val="현장별계약현황('98.10.31)"/>
      <sheetName val="금액내역서"/>
      <sheetName val="세부내역"/>
      <sheetName val="구의33고"/>
      <sheetName val="CONCRETE"/>
      <sheetName val="설계내역서"/>
      <sheetName val="건축집계"/>
      <sheetName val="TB-내역서"/>
      <sheetName val="경영상태"/>
      <sheetName val="신대방33(적용)"/>
      <sheetName val="포장단면별단위수량"/>
      <sheetName val="수량산출"/>
      <sheetName val="가로등내역서"/>
      <sheetName val="전라자금"/>
      <sheetName val="b_yesan"/>
      <sheetName val="최초침전지집계표"/>
      <sheetName val="수량3"/>
      <sheetName val="1_수인터널"/>
      <sheetName val="6PILE__(돌출)"/>
      <sheetName val="2_대외공문"/>
      <sheetName val="설_계"/>
      <sheetName val="AS포장복구_"/>
      <sheetName val="내역(최종본4_5)"/>
      <sheetName val="0_0ControlSheet"/>
      <sheetName val="0_1keyAssumption"/>
      <sheetName val="콤보박스와 리스트박스의 연결"/>
      <sheetName val="유형처분"/>
      <sheetName val="_REF"/>
      <sheetName val="설계서"/>
      <sheetName val="예산서"/>
      <sheetName val="총공사비"/>
      <sheetName val="마산방향"/>
      <sheetName val="경비2내역"/>
      <sheetName val="투찰(하수)"/>
      <sheetName val="프랜트면허"/>
      <sheetName val="배수내역"/>
      <sheetName val="토공(우물통,기타) "/>
      <sheetName val="팔당터널(1공구)"/>
      <sheetName val="98수문일위"/>
      <sheetName val="현장관리비 산출내역"/>
      <sheetName val="횡배수관"/>
      <sheetName val="도급b_balju"/>
      <sheetName val="원가서"/>
      <sheetName val="실행간접비용"/>
      <sheetName val="Eq. Mobilization"/>
      <sheetName val="명단"/>
      <sheetName val="97년 추정"/>
      <sheetName val="자재집계표"/>
      <sheetName val="VXXXXXXX"/>
      <sheetName val="J直材4"/>
      <sheetName val="건설성적"/>
      <sheetName val="증감내역서"/>
      <sheetName val="2000전체분"/>
      <sheetName val="전기단가조사서"/>
      <sheetName val="경영혁신본부"/>
      <sheetName val="설계명세서"/>
      <sheetName val="예산M6-B"/>
      <sheetName val="AB자재단가"/>
      <sheetName val="플랜트 설치"/>
      <sheetName val="Sheet9"/>
      <sheetName val="품셈TABLE"/>
      <sheetName val="장비별표(오거보링)(Ø400)(12M)"/>
      <sheetName val="확약서"/>
      <sheetName val="F4-F7"/>
      <sheetName val="장비당단가 (1)"/>
      <sheetName val="Sheet2 (2)"/>
      <sheetName val="업무"/>
      <sheetName val="JUCKEYK"/>
      <sheetName val="주경기-오배수"/>
      <sheetName val="연습"/>
      <sheetName val="노무비"/>
      <sheetName val="원가계산 (2)"/>
      <sheetName val="선정요령"/>
      <sheetName val="주요자재단가"/>
      <sheetName val="단가(반정1교-원주)"/>
      <sheetName val="건축내역(진해석동)"/>
      <sheetName val="일위(PN)"/>
      <sheetName val="각형맨홀"/>
      <sheetName val="본공사"/>
      <sheetName val="S0"/>
      <sheetName val="입적6-10"/>
      <sheetName val="공량산출서"/>
      <sheetName val="Type(123)"/>
      <sheetName val="종단계산"/>
      <sheetName val="INPUT(덕도방향-시점)"/>
      <sheetName val="영업소실적"/>
      <sheetName val="집계표(수배전제조구매)"/>
      <sheetName val="SF내역및원가02"/>
      <sheetName val="국내"/>
      <sheetName val="우석문틀"/>
      <sheetName val="하중"/>
      <sheetName val="설-원가"/>
      <sheetName val="입찰"/>
      <sheetName val="현경"/>
      <sheetName val="마산월령동골조물량변경"/>
      <sheetName val="상세산출"/>
      <sheetName val="적현로"/>
      <sheetName val="산수배수"/>
      <sheetName val="실행(ALT1)"/>
      <sheetName val="정보"/>
      <sheetName val="건축-물가변동"/>
      <sheetName val="현황산출서"/>
      <sheetName val="자금청구"/>
      <sheetName val="DC-O-4-S(설명서)"/>
      <sheetName val="평균터파기고(1-2,ASP)"/>
      <sheetName val="1.설계기준"/>
      <sheetName val="수량산출서"/>
      <sheetName val="내역서01"/>
      <sheetName val="프라임 강변역(4,236)"/>
      <sheetName val="CPM챠트"/>
      <sheetName val="지우지마"/>
      <sheetName val="토목"/>
      <sheetName val="설계기준"/>
      <sheetName val="내역1"/>
      <sheetName val="내   역"/>
      <sheetName val="물집"/>
      <sheetName val="공사비산출내역"/>
      <sheetName val="변경후원본2"/>
      <sheetName val="8.PILE  (돌출)"/>
      <sheetName val="진주방향"/>
      <sheetName val="건축공사"/>
      <sheetName val="울산자금"/>
      <sheetName val="비교1"/>
      <sheetName val="신우"/>
      <sheetName val="강북라우터"/>
      <sheetName val="세부내역서"/>
      <sheetName val="機器明細(MC)"/>
      <sheetName val="공사분석"/>
      <sheetName val="지급자재"/>
      <sheetName val="건집"/>
      <sheetName val="기집"/>
      <sheetName val="토집"/>
      <sheetName val="조집"/>
      <sheetName val="2000년 공정표"/>
      <sheetName val="입찰보고"/>
      <sheetName val="시중노임단가"/>
      <sheetName val="건축적용원가계산"/>
      <sheetName val="총집계표"/>
      <sheetName val="신공항A-;(원가수정)"/>
      <sheetName val="수 량 명 세 서 - 1"/>
      <sheetName val="견적조건"/>
      <sheetName val="수량집계표"/>
      <sheetName val="2.교량(신설)"/>
      <sheetName val="5.2코핑"/>
      <sheetName val="부대공Ⅱ"/>
      <sheetName val="맨홀(2호)"/>
      <sheetName val="2.건축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간지"/>
      <sheetName val="참조"/>
      <sheetName val="덕전리"/>
      <sheetName val="TEST1"/>
      <sheetName val="앵커구조계산"/>
      <sheetName val="밸브설치"/>
      <sheetName val="공정표 "/>
      <sheetName val="S12"/>
      <sheetName val="기초(1)"/>
      <sheetName val="P.M 별"/>
      <sheetName val="예산내역서"/>
      <sheetName val="수입"/>
      <sheetName val="산출근거"/>
      <sheetName val="TOT"/>
      <sheetName val="1호맨홀수량산출"/>
      <sheetName val="관련자료입력"/>
      <sheetName val="구조물철거타공정이월"/>
      <sheetName val="50-4(2차)"/>
      <sheetName val="철근단면적"/>
      <sheetName val="설내역서 "/>
      <sheetName val="전기"/>
      <sheetName val="TBN실행"/>
      <sheetName val="지중자재단가"/>
      <sheetName val="데이타"/>
      <sheetName val="샘플표지"/>
      <sheetName val="집 계 표"/>
      <sheetName val="역T형"/>
      <sheetName val="코드"/>
      <sheetName val="위생기구"/>
      <sheetName val="기계실냉난방"/>
      <sheetName val="유림골조"/>
      <sheetName val="간접경상비"/>
      <sheetName val="업무분장"/>
      <sheetName val="1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전체ﾴ엿서"/>
      <sheetName val="BREAKDOWN(철거설치)"/>
      <sheetName val="견적을지"/>
      <sheetName val="기계경비"/>
      <sheetName val="3F"/>
      <sheetName val="ITEM"/>
      <sheetName val="수토공단위당"/>
      <sheetName val="부안일위"/>
      <sheetName val="모래기초"/>
      <sheetName val="배수공"/>
      <sheetName val="구조물터파기수량집계"/>
      <sheetName val="측구터파기공수량집계"/>
      <sheetName val="배수공 시멘트 및 골재량 산출"/>
      <sheetName val="7.PILE  (돌출)"/>
      <sheetName val="예산총괄표"/>
      <sheetName val="재료비"/>
      <sheetName val="대림경상68억"/>
      <sheetName val="내역서(전기)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1공구원가계산서"/>
      <sheetName val="1공구산출내역서"/>
      <sheetName val="1유리"/>
      <sheetName val="금액결정"/>
      <sheetName val="인부신상자료"/>
      <sheetName val="장문교(대전)"/>
      <sheetName val="간접(90)"/>
      <sheetName val="우배수"/>
      <sheetName val="계산식"/>
      <sheetName val="전체"/>
      <sheetName val="조명율표"/>
      <sheetName val="INSTR"/>
      <sheetName val="조건표"/>
      <sheetName val="장비"/>
      <sheetName val="산근1"/>
      <sheetName val="노무"/>
      <sheetName val="설계가"/>
      <sheetName val="PI"/>
      <sheetName val="품셈총괄표"/>
      <sheetName val="본부장"/>
      <sheetName val="파이프류"/>
      <sheetName val="현장별"/>
      <sheetName val="간접"/>
      <sheetName val="내역분기"/>
      <sheetName val="설계변경내역서"/>
      <sheetName val="원가계산"/>
      <sheetName val="남양내역"/>
      <sheetName val="직공비"/>
      <sheetName val="NOMUBI"/>
      <sheetName val="sw1"/>
      <sheetName val="벽체면적당일위대가"/>
      <sheetName val="작성기준"/>
      <sheetName val="포설list원본"/>
      <sheetName val="아파트-가설"/>
      <sheetName val="FB25JN"/>
      <sheetName val="구분자"/>
      <sheetName val="사통"/>
      <sheetName val="연부97-1"/>
      <sheetName val="갑지1"/>
      <sheetName val="깨기"/>
      <sheetName val="견적의뢰서"/>
      <sheetName val="현장일반사항"/>
      <sheetName val="실행(표지,갑,을)"/>
      <sheetName val="일위대가목차"/>
      <sheetName val="DATA 입력부"/>
      <sheetName val="별표 "/>
      <sheetName val="base"/>
      <sheetName val="총괄"/>
      <sheetName val="CALCULATION"/>
      <sheetName val="차수"/>
      <sheetName val="tggwan(mac)"/>
      <sheetName val="b_balju_cho"/>
      <sheetName val="2공구산출내역"/>
      <sheetName val="교각토공 _2_"/>
      <sheetName val="WORK"/>
      <sheetName val="식재"/>
      <sheetName val="시설물"/>
      <sheetName val="식재출력용"/>
      <sheetName val="유지관리"/>
      <sheetName val="적용토목"/>
      <sheetName val="식재인부"/>
      <sheetName val="평자재단가"/>
      <sheetName val="기계경비일람"/>
      <sheetName val="보도경계블럭"/>
      <sheetName val="A"/>
      <sheetName val="식재수량표"/>
      <sheetName val="식재일위"/>
      <sheetName val="1차설계변경내역"/>
      <sheetName val="choose"/>
      <sheetName val="명세서"/>
      <sheetName val="산출금액내역"/>
      <sheetName val="Baby일위대가"/>
      <sheetName val="경상비"/>
      <sheetName val="대우"/>
      <sheetName val="1맨AO"/>
      <sheetName val="C-노임단가"/>
      <sheetName val="1.본부별"/>
      <sheetName val="수목단가"/>
      <sheetName val="시설수량표"/>
      <sheetName val="내역서변경성원"/>
      <sheetName val="동원(3)"/>
      <sheetName val="소비자가"/>
      <sheetName val="내역서당초"/>
      <sheetName val="마감사양"/>
      <sheetName val="000000"/>
      <sheetName val="guard(mac)"/>
      <sheetName val="변경후-SHEET"/>
      <sheetName val="CTEMCOST"/>
      <sheetName val="토량1-1"/>
      <sheetName val="수량산출서 갑지"/>
      <sheetName val="말고개터널조명전압강하"/>
      <sheetName val="2000.05"/>
      <sheetName val="기흥하도용"/>
      <sheetName val="INPUT"/>
      <sheetName val="FI원가_1"/>
      <sheetName val="시운전연료"/>
      <sheetName val="포장공"/>
      <sheetName val="구조물"/>
      <sheetName val="도급표지_1"/>
      <sheetName val="도급표지__(4)1"/>
      <sheetName val="부대표지_(4)1"/>
      <sheetName val="도급표지__(3)1"/>
      <sheetName val="부대표지_(3)1"/>
      <sheetName val="도급표지__(2)1"/>
      <sheetName val="부대표지_(2)1"/>
      <sheetName val="토__목1"/>
      <sheetName val="조__경1"/>
      <sheetName val="전_기1"/>
      <sheetName val="건__축1"/>
      <sheetName val="1공구_건정토건_토공1"/>
      <sheetName val="1공구_건정토건_철콘1"/>
      <sheetName val="보도내역_(3)1"/>
      <sheetName val="준검_내역서1"/>
      <sheetName val="입출재고현황_(2)"/>
      <sheetName val="Sheet1_(2)"/>
      <sheetName val="근로자자료입력"/>
      <sheetName val="참고자료"/>
      <sheetName val="배수관공"/>
      <sheetName val="측구공"/>
      <sheetName val="1차3회-개소별명세서-빨간색-인쇄용(21873)"/>
      <sheetName val="토목품셈"/>
      <sheetName val="투찰내역서"/>
      <sheetName val="1_수인터널1"/>
      <sheetName val="6PILE__(돌출)1"/>
      <sheetName val="AS포장복구_1"/>
      <sheetName val="2_대외공문1"/>
      <sheetName val="설_계1"/>
      <sheetName val="CIP_공사"/>
      <sheetName val="실행내역서_"/>
      <sheetName val="1_설계조건"/>
      <sheetName val="노원열병합__건축공사기성내역서"/>
      <sheetName val="1__설계조건_2_단면가정_3__하중계산"/>
      <sheetName val="DATA_입력란"/>
      <sheetName val="4_내진설계"/>
      <sheetName val="_총괄표"/>
      <sheetName val="인건비_"/>
      <sheetName val="BSD_(2)"/>
      <sheetName val="1_취수장"/>
      <sheetName val="전차선로_물량표"/>
      <sheetName val="96보완계획7_12"/>
      <sheetName val="콤보박스와_리스트박스의_연결"/>
      <sheetName val="제잡비_xls"/>
      <sheetName val="3BL공동구_수량"/>
      <sheetName val="부대입찰_내역서"/>
      <sheetName val="2_고용보험료산출근거"/>
      <sheetName val="설내역서_"/>
      <sheetName val="5사남"/>
      <sheetName val="1,2공구원가계산서"/>
      <sheetName val="일위대가D"/>
      <sheetName val="HRSG SMALL07220"/>
      <sheetName val="기본설계기준"/>
      <sheetName val="일위"/>
      <sheetName val="단가적용"/>
      <sheetName val="운반비요율"/>
      <sheetName val="6. 안전관리비"/>
      <sheetName val="유동표"/>
      <sheetName val="하도내역 (철콘)"/>
      <sheetName val="특기사항"/>
      <sheetName val="b_balju"/>
      <sheetName val="3.공통공사대비"/>
      <sheetName val="내역(한신APT)"/>
      <sheetName val="Macro2"/>
      <sheetName val="1단계"/>
      <sheetName val="일위총괄"/>
      <sheetName val="작업일보"/>
      <sheetName val="내역전기"/>
      <sheetName val="노무비 근거"/>
      <sheetName val="수정2"/>
      <sheetName val="표지1"/>
      <sheetName val="조건표 (2)"/>
      <sheetName val="10공구일위"/>
      <sheetName val="3개월-백데이타"/>
      <sheetName val="LG배관재단가"/>
      <sheetName val="다다수전류단가"/>
      <sheetName val="LG유통상품단가표"/>
      <sheetName val="임율 Data"/>
      <sheetName val="FORM-0"/>
      <sheetName val="작성방법"/>
      <sheetName val="안산기계장치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토공유동표(전체.당초)"/>
      <sheetName val="개거총"/>
      <sheetName val="일위대가목록표"/>
      <sheetName val="추가예산"/>
      <sheetName val="목차 "/>
      <sheetName val="일위산출근거"/>
      <sheetName val="단위단가"/>
      <sheetName val="예산총괄"/>
      <sheetName val="공정집계_국별"/>
      <sheetName val="표준건축비"/>
      <sheetName val="별표집계"/>
      <sheetName val="A1"/>
      <sheetName val="일위단가"/>
      <sheetName val="c_balju"/>
      <sheetName val="입력데이타"/>
      <sheetName val="ORIGIN"/>
      <sheetName val="노임조서"/>
      <sheetName val="48일위"/>
      <sheetName val="IT-BAT"/>
      <sheetName val="수문일위1"/>
      <sheetName val="중기"/>
      <sheetName val="U형개거"/>
      <sheetName val="인원"/>
      <sheetName val="약품공급2"/>
      <sheetName val="DHEQSUPT"/>
      <sheetName val="호안사석"/>
      <sheetName val="배수자집"/>
      <sheetName val="유입량"/>
      <sheetName val="표지_(3)"/>
      <sheetName val="표지_(2)"/>
      <sheetName val="교각집계_(2)"/>
      <sheetName val="교각토공_(2)"/>
      <sheetName val="교각철근_(2)"/>
      <sheetName val="외주대비_-석축"/>
      <sheetName val="외주대비-구조물_(2)"/>
      <sheetName val="견적표지_(3)"/>
      <sheetName val="_HIT-&gt;HMC_견적(3900)"/>
      <sheetName val="일__위__대__가__목__록"/>
      <sheetName val="교각토공__2_"/>
      <sheetName val="6__안전관리비"/>
      <sheetName val="3_공통공사대비"/>
      <sheetName val="HRSG_SMALL07220"/>
      <sheetName val="97년_추정"/>
      <sheetName val="이월"/>
      <sheetName val="2터널시점"/>
      <sheetName val="SLAB근거-1"/>
      <sheetName val="단면 (2)"/>
      <sheetName val="업체별기성내역"/>
      <sheetName val="포장(수량)-관로부"/>
      <sheetName val="기초1"/>
      <sheetName val="잡비"/>
      <sheetName val="음성방향"/>
      <sheetName val="유치원내역"/>
      <sheetName val="P_RPTB04_산근"/>
      <sheetName val="하도금액분계"/>
      <sheetName val="견적"/>
      <sheetName val="효율표"/>
      <sheetName val="수량분개내역"/>
      <sheetName val="간선계산"/>
      <sheetName val="b_balju (2)"/>
      <sheetName val="b_gunmul"/>
      <sheetName val="내역(2000년)"/>
      <sheetName val="일일"/>
      <sheetName val="#2정산"/>
      <sheetName val="DANGA"/>
      <sheetName val="첨부1"/>
      <sheetName val="기본단가표"/>
      <sheetName val="8.현장관리비"/>
      <sheetName val="7.안전관리비"/>
      <sheetName val="7. 현장관리비 "/>
      <sheetName val="노무비 "/>
      <sheetName val="내역서 제출"/>
      <sheetName val="자료입력"/>
      <sheetName val="제경비산출서"/>
      <sheetName val="단가표"/>
      <sheetName val="공사비증감"/>
      <sheetName val="BND"/>
      <sheetName val="공사내역서(을)실행"/>
      <sheetName val="환기시설"/>
      <sheetName val="조명"/>
      <sheetName val="점보전력사용"/>
      <sheetName val="단면"/>
      <sheetName val="배수처리"/>
      <sheetName val="입력자료(노무비)"/>
      <sheetName val="일위대가표48"/>
      <sheetName val="2000용수잠관-수량집계"/>
      <sheetName val="구조     ."/>
      <sheetName val="토공(1)"/>
      <sheetName val="차수공(1)"/>
      <sheetName val="전문하도급"/>
      <sheetName val="교량전기"/>
      <sheetName val="평가데이터"/>
      <sheetName val="인명부"/>
      <sheetName val="장비단가"/>
      <sheetName val="가스"/>
      <sheetName val="양수장(기계)"/>
      <sheetName val="직접비"/>
      <sheetName val="건장설비"/>
      <sheetName val="교통대책내역"/>
      <sheetName val="(당평)자재"/>
      <sheetName val="사업관리"/>
      <sheetName val="운반"/>
      <sheetName val="물가자료"/>
      <sheetName val="기성갑지"/>
      <sheetName val="간 지1"/>
      <sheetName val="일위(시설)"/>
      <sheetName val="콘크리트타설집계표"/>
      <sheetName val="화재 탐지 설비"/>
      <sheetName val="(원)기흥상갈"/>
      <sheetName val="4.일위대가집계"/>
      <sheetName val="날개벽수량표"/>
      <sheetName val="5. 현장관리비(new) "/>
      <sheetName val="금융비용"/>
      <sheetName val="Customer Databas"/>
      <sheetName val="예가표"/>
      <sheetName val="결재난"/>
      <sheetName val="방배동내역(리라)"/>
      <sheetName val="현장경비"/>
      <sheetName val="건축공사집계표"/>
      <sheetName val="방배동내역 (총괄)"/>
      <sheetName val="부대공사총괄"/>
      <sheetName val="만년달력"/>
      <sheetName val="단가산출(T)"/>
      <sheetName val="공사원가계산서"/>
      <sheetName val="인사자료"/>
      <sheetName val="맨홀수량산출"/>
      <sheetName val="재료집계표"/>
      <sheetName val="cable-data"/>
      <sheetName val="노무비산출"/>
      <sheetName val="#3E1_GCR"/>
      <sheetName val="소소총괄표"/>
      <sheetName val="공통가설공사"/>
      <sheetName val="남양시작동010313100%"/>
      <sheetName val="출장내역"/>
      <sheetName val="1공구_건정토건_토공2"/>
      <sheetName val="9-1차이내역"/>
      <sheetName val="96노임기준"/>
      <sheetName val="상수도토공집계표"/>
      <sheetName val="조건"/>
      <sheetName val="중기가격"/>
      <sheetName val="1.3.1절점좌표"/>
      <sheetName val="1.1설계기준"/>
      <sheetName val="기본DATA"/>
      <sheetName val="구단"/>
      <sheetName val="기초입력 DATA"/>
      <sheetName val="원가"/>
      <sheetName val="입찰내역"/>
      <sheetName val="건축토목실행내역"/>
      <sheetName val="현장지지물물량"/>
      <sheetName val="공통자료"/>
      <sheetName val="안전시설내역서"/>
      <sheetName val="총공사내역서"/>
      <sheetName val="49일위"/>
      <sheetName val="22일위"/>
      <sheetName val="배수문"/>
      <sheetName val="SUB일위대가"/>
      <sheetName val="1공구_건정토건_철콘2"/>
      <sheetName val="도급표지_2"/>
      <sheetName val="도급표지__(4)2"/>
      <sheetName val="부대표지_(4)2"/>
      <sheetName val="도급표지__(3)2"/>
      <sheetName val="부대표지_(3)2"/>
      <sheetName val="도급표지__(2)2"/>
      <sheetName val="부대표지_(2)2"/>
      <sheetName val="토__목2"/>
      <sheetName val="조__경2"/>
      <sheetName val="전_기2"/>
      <sheetName val="건__축2"/>
      <sheetName val="보도내역_(3)2"/>
      <sheetName val="준검_내역서2"/>
      <sheetName val="1_수인터널2"/>
      <sheetName val="AS포장복구_2"/>
      <sheetName val="2_대외공문2"/>
      <sheetName val="6PILE__(돌출)2"/>
      <sheetName val="설_계2"/>
      <sheetName val="내역(최종본4_5)2"/>
      <sheetName val="Sheet1_(2)1"/>
      <sheetName val="0_0ControlSheet2"/>
      <sheetName val="0_1keyAssumption2"/>
      <sheetName val="입출재고현황_(2)1"/>
      <sheetName val="부대입찰_내역서1"/>
      <sheetName val="전차선로_물량표1"/>
      <sheetName val="BSD_(2)1"/>
      <sheetName val="4_내진설계1"/>
      <sheetName val="3BL공동구_수량1"/>
      <sheetName val="토공(우물통,기타)_1"/>
      <sheetName val="96보완계획7_121"/>
      <sheetName val="1__설계조건_2_단면가정_3__하중계산1"/>
      <sheetName val="DATA_입력란1"/>
      <sheetName val="1_취수장1"/>
      <sheetName val="인건비_1"/>
      <sheetName val="_총괄표1"/>
      <sheetName val="제잡비_xls1"/>
      <sheetName val="2_고용보험료산출근거1"/>
      <sheetName val="Eq__Mobilization1"/>
      <sheetName val="원가계산_(2)1"/>
      <sheetName val="실행내역서_1"/>
      <sheetName val="노원열병합__건축공사기성내역서1"/>
      <sheetName val="97년_추정1"/>
      <sheetName val="현장관리비_산출내역1"/>
      <sheetName val="1_설계조건1"/>
      <sheetName val="현장별계약현황('98_10_31)1"/>
      <sheetName val="콤보박스와_리스트박스의_연결1"/>
      <sheetName val="플랜트_설치1"/>
      <sheetName val="내역(최종본4_5)1"/>
      <sheetName val="0_0ControlSheet1"/>
      <sheetName val="0_1keyAssumption1"/>
      <sheetName val="토공(우물통,기타)_"/>
      <sheetName val="Eq__Mobilization"/>
      <sheetName val="원가계산_(2)"/>
      <sheetName val="현장관리비_산출내역"/>
      <sheetName val="현장별계약현황('98_10_31)"/>
      <sheetName val="플랜트_설치"/>
      <sheetName val="광통신 견적내역서1"/>
      <sheetName val="할증 "/>
      <sheetName val="전기실-1"/>
      <sheetName val="잡철물"/>
      <sheetName val="EJ"/>
      <sheetName val="unit 4"/>
      <sheetName val="당초"/>
      <sheetName val="단중"/>
      <sheetName val="8)중점관리장비현황"/>
      <sheetName val="돈암사업"/>
      <sheetName val="전체기준Data"/>
      <sheetName val="EQUIP LIST"/>
      <sheetName val="원본"/>
      <sheetName val="Mc1"/>
      <sheetName val="교각"/>
      <sheetName val="4.경비 5.영업외수지"/>
      <sheetName val="TS"/>
      <sheetName val="지급어음"/>
      <sheetName val="최종보고1"/>
      <sheetName val=" 견적서"/>
      <sheetName val="3월"/>
      <sheetName val="CJE"/>
      <sheetName val="XL4Poppy"/>
      <sheetName val="내부마감"/>
      <sheetName val="단가조사-2"/>
      <sheetName val="VE절감"/>
      <sheetName val="Macro(전동기)"/>
      <sheetName val="울산자동제어"/>
      <sheetName val="일위_파일"/>
      <sheetName val="일반부표"/>
      <sheetName val="터파기및재료"/>
      <sheetName val="경비산출"/>
      <sheetName val="재활용 악취_먼지DUCT산출"/>
      <sheetName val="항목지정"/>
      <sheetName val="간접재료비산출표-27-30"/>
      <sheetName val="평3"/>
      <sheetName val="기기리스트"/>
      <sheetName val="시설물기초"/>
      <sheetName val="산출근거(S4)"/>
      <sheetName val="공문"/>
      <sheetName val="주식"/>
      <sheetName val="설계명세"/>
      <sheetName val="정렬"/>
      <sheetName val="첨부1-1"/>
      <sheetName val="빙설"/>
      <sheetName val="현장관리비데이타"/>
      <sheetName val="공정코드"/>
      <sheetName val="재료"/>
      <sheetName val="현장식당(1)"/>
      <sheetName val="10동"/>
      <sheetName val="개산공사비"/>
      <sheetName val="CODE"/>
      <sheetName val="쌍송교"/>
      <sheetName val="말뚝지지력산정"/>
      <sheetName val="일반수량"/>
      <sheetName val="1안"/>
      <sheetName val="입력그림"/>
      <sheetName val="정부노임"/>
      <sheetName val="흄관기초"/>
      <sheetName val="기안"/>
      <sheetName val="인원현황"/>
      <sheetName val="전체내역 (2)"/>
      <sheetName val="Hyundai.Unit.cost.xls"/>
      <sheetName val="산출기준(파견전산실)"/>
      <sheetName val="예산M12A"/>
      <sheetName val="예산M2"/>
      <sheetName val="송라터널총괄"/>
      <sheetName val="매원개착터널총괄"/>
      <sheetName val="점수계산1-2"/>
      <sheetName val="남양시작동자105노65기1.3화1.2"/>
      <sheetName val="관음목장(제출용)자105인97.5"/>
      <sheetName val="이자율"/>
      <sheetName val="DATA2000"/>
      <sheetName val="5.정산서"/>
      <sheetName val="포장직선구간"/>
      <sheetName val="인부신상_x0000__x0000_"/>
      <sheetName val="현금흐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단가대비표"/>
      <sheetName val="견적대비표"/>
      <sheetName val="내역서"/>
      <sheetName val="PANEL 중량산출"/>
      <sheetName val="중량산출"/>
      <sheetName val="수량산출"/>
      <sheetName val="FAX"/>
      <sheetName val="표지 (2)"/>
      <sheetName val="신우"/>
      <sheetName val="집계표"/>
      <sheetName val="과천MAIN"/>
      <sheetName val="공사원가계산서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</row>
        <row r="26">
          <cell r="A26">
            <v>26</v>
          </cell>
        </row>
        <row r="27">
          <cell r="A27">
            <v>27</v>
          </cell>
        </row>
        <row r="28">
          <cell r="A28">
            <v>28</v>
          </cell>
        </row>
        <row r="29">
          <cell r="A29">
            <v>29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36</v>
          </cell>
        </row>
        <row r="37">
          <cell r="A37">
            <v>37</v>
          </cell>
        </row>
        <row r="38">
          <cell r="A38">
            <v>38</v>
          </cell>
        </row>
        <row r="39">
          <cell r="A39">
            <v>39</v>
          </cell>
        </row>
        <row r="40">
          <cell r="A40">
            <v>40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</row>
        <row r="52">
          <cell r="A52">
            <v>52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  <row r="64">
          <cell r="A64">
            <v>64</v>
          </cell>
        </row>
        <row r="65">
          <cell r="A65">
            <v>65</v>
          </cell>
        </row>
        <row r="66">
          <cell r="A66">
            <v>66</v>
          </cell>
        </row>
        <row r="67">
          <cell r="A67">
            <v>67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  <row r="463">
          <cell r="A463">
            <v>463</v>
          </cell>
        </row>
        <row r="464">
          <cell r="A464">
            <v>464</v>
          </cell>
        </row>
        <row r="465">
          <cell r="A465">
            <v>465</v>
          </cell>
        </row>
        <row r="466">
          <cell r="A466">
            <v>466</v>
          </cell>
        </row>
        <row r="467">
          <cell r="A467">
            <v>467</v>
          </cell>
        </row>
        <row r="468">
          <cell r="A468">
            <v>468</v>
          </cell>
        </row>
        <row r="469">
          <cell r="A469">
            <v>469</v>
          </cell>
        </row>
        <row r="470">
          <cell r="A470">
            <v>470</v>
          </cell>
        </row>
        <row r="471">
          <cell r="A471">
            <v>471</v>
          </cell>
        </row>
        <row r="472">
          <cell r="A472">
            <v>472</v>
          </cell>
        </row>
        <row r="473">
          <cell r="A473">
            <v>473</v>
          </cell>
        </row>
        <row r="474">
          <cell r="A474">
            <v>474</v>
          </cell>
        </row>
        <row r="475">
          <cell r="A475">
            <v>475</v>
          </cell>
        </row>
        <row r="476">
          <cell r="A476">
            <v>476</v>
          </cell>
        </row>
        <row r="477">
          <cell r="A477">
            <v>477</v>
          </cell>
        </row>
        <row r="478">
          <cell r="A478">
            <v>478</v>
          </cell>
        </row>
        <row r="479">
          <cell r="A479">
            <v>479</v>
          </cell>
        </row>
        <row r="480">
          <cell r="A480">
            <v>480</v>
          </cell>
        </row>
        <row r="481">
          <cell r="A481">
            <v>481</v>
          </cell>
        </row>
        <row r="482">
          <cell r="A482">
            <v>482</v>
          </cell>
        </row>
        <row r="483">
          <cell r="A483">
            <v>483</v>
          </cell>
        </row>
        <row r="484">
          <cell r="A484">
            <v>484</v>
          </cell>
        </row>
        <row r="485">
          <cell r="A485">
            <v>485</v>
          </cell>
        </row>
        <row r="486">
          <cell r="A486">
            <v>486</v>
          </cell>
        </row>
        <row r="487">
          <cell r="A487">
            <v>487</v>
          </cell>
        </row>
        <row r="488">
          <cell r="A488">
            <v>488</v>
          </cell>
        </row>
        <row r="489">
          <cell r="A489">
            <v>489</v>
          </cell>
        </row>
        <row r="490">
          <cell r="A490">
            <v>490</v>
          </cell>
        </row>
        <row r="491">
          <cell r="A491">
            <v>491</v>
          </cell>
        </row>
        <row r="492">
          <cell r="A492">
            <v>492</v>
          </cell>
        </row>
        <row r="493">
          <cell r="A493">
            <v>493</v>
          </cell>
        </row>
        <row r="494">
          <cell r="A494">
            <v>494</v>
          </cell>
        </row>
        <row r="495">
          <cell r="A495">
            <v>495</v>
          </cell>
        </row>
        <row r="496">
          <cell r="A496">
            <v>496</v>
          </cell>
        </row>
        <row r="497">
          <cell r="A497">
            <v>497</v>
          </cell>
        </row>
        <row r="498">
          <cell r="A498">
            <v>498</v>
          </cell>
        </row>
        <row r="499">
          <cell r="A499">
            <v>499</v>
          </cell>
        </row>
        <row r="500">
          <cell r="A500">
            <v>500</v>
          </cell>
        </row>
        <row r="501">
          <cell r="A501">
            <v>501</v>
          </cell>
        </row>
        <row r="502">
          <cell r="A502">
            <v>502</v>
          </cell>
        </row>
        <row r="503">
          <cell r="A503">
            <v>503</v>
          </cell>
        </row>
        <row r="504">
          <cell r="A504">
            <v>504</v>
          </cell>
        </row>
        <row r="505">
          <cell r="A505">
            <v>505</v>
          </cell>
        </row>
        <row r="506">
          <cell r="A506">
            <v>506</v>
          </cell>
        </row>
        <row r="507">
          <cell r="A507">
            <v>507</v>
          </cell>
        </row>
        <row r="508">
          <cell r="A508">
            <v>508</v>
          </cell>
        </row>
        <row r="509">
          <cell r="A509">
            <v>509</v>
          </cell>
        </row>
        <row r="510">
          <cell r="A510">
            <v>510</v>
          </cell>
        </row>
        <row r="511">
          <cell r="A511">
            <v>511</v>
          </cell>
        </row>
        <row r="512">
          <cell r="A512">
            <v>512</v>
          </cell>
        </row>
        <row r="513">
          <cell r="A513">
            <v>513</v>
          </cell>
        </row>
        <row r="514">
          <cell r="A514">
            <v>514</v>
          </cell>
        </row>
        <row r="515">
          <cell r="A515">
            <v>515</v>
          </cell>
        </row>
        <row r="516">
          <cell r="A516">
            <v>516</v>
          </cell>
        </row>
        <row r="517">
          <cell r="A517">
            <v>517</v>
          </cell>
        </row>
        <row r="518">
          <cell r="A518">
            <v>518</v>
          </cell>
        </row>
        <row r="519">
          <cell r="A519">
            <v>519</v>
          </cell>
        </row>
        <row r="520">
          <cell r="A520">
            <v>520</v>
          </cell>
        </row>
        <row r="521">
          <cell r="A521">
            <v>521</v>
          </cell>
        </row>
        <row r="522">
          <cell r="A522">
            <v>522</v>
          </cell>
        </row>
        <row r="523">
          <cell r="A523">
            <v>523</v>
          </cell>
        </row>
        <row r="524">
          <cell r="A524">
            <v>524</v>
          </cell>
        </row>
        <row r="525">
          <cell r="A525">
            <v>525</v>
          </cell>
        </row>
        <row r="526">
          <cell r="A526">
            <v>526</v>
          </cell>
        </row>
        <row r="527">
          <cell r="A527">
            <v>527</v>
          </cell>
        </row>
        <row r="528">
          <cell r="A528">
            <v>528</v>
          </cell>
        </row>
        <row r="529">
          <cell r="A529">
            <v>529</v>
          </cell>
        </row>
        <row r="530">
          <cell r="A530">
            <v>530</v>
          </cell>
        </row>
        <row r="531">
          <cell r="A531">
            <v>531</v>
          </cell>
        </row>
        <row r="532">
          <cell r="A532">
            <v>532</v>
          </cell>
        </row>
        <row r="533">
          <cell r="A533">
            <v>533</v>
          </cell>
        </row>
        <row r="534">
          <cell r="A534">
            <v>534</v>
          </cell>
        </row>
        <row r="535">
          <cell r="A535">
            <v>535</v>
          </cell>
        </row>
        <row r="536">
          <cell r="A536">
            <v>536</v>
          </cell>
        </row>
        <row r="537">
          <cell r="A537">
            <v>537</v>
          </cell>
        </row>
        <row r="538">
          <cell r="A538">
            <v>538</v>
          </cell>
        </row>
        <row r="539">
          <cell r="A539">
            <v>539</v>
          </cell>
        </row>
        <row r="540">
          <cell r="A540">
            <v>540</v>
          </cell>
        </row>
        <row r="541">
          <cell r="A541">
            <v>541</v>
          </cell>
        </row>
        <row r="542">
          <cell r="A542">
            <v>542</v>
          </cell>
        </row>
        <row r="543">
          <cell r="A543">
            <v>543</v>
          </cell>
        </row>
        <row r="544">
          <cell r="A544">
            <v>544</v>
          </cell>
        </row>
        <row r="545">
          <cell r="A545">
            <v>545</v>
          </cell>
        </row>
        <row r="546">
          <cell r="A546">
            <v>546</v>
          </cell>
        </row>
        <row r="547">
          <cell r="A547">
            <v>547</v>
          </cell>
        </row>
        <row r="548">
          <cell r="A548">
            <v>548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</row>
        <row r="552">
          <cell r="A552">
            <v>552</v>
          </cell>
        </row>
        <row r="553">
          <cell r="A553">
            <v>553</v>
          </cell>
        </row>
        <row r="554">
          <cell r="A554">
            <v>554</v>
          </cell>
        </row>
        <row r="555">
          <cell r="A555">
            <v>555</v>
          </cell>
        </row>
        <row r="556">
          <cell r="A556">
            <v>556</v>
          </cell>
        </row>
        <row r="557">
          <cell r="A557">
            <v>557</v>
          </cell>
        </row>
        <row r="558">
          <cell r="A558">
            <v>558</v>
          </cell>
        </row>
        <row r="559">
          <cell r="A559">
            <v>559</v>
          </cell>
        </row>
        <row r="560">
          <cell r="A560">
            <v>560</v>
          </cell>
        </row>
        <row r="561">
          <cell r="A561">
            <v>561</v>
          </cell>
        </row>
        <row r="562">
          <cell r="A562">
            <v>562</v>
          </cell>
        </row>
        <row r="563">
          <cell r="A563">
            <v>563</v>
          </cell>
        </row>
        <row r="564">
          <cell r="A564">
            <v>564</v>
          </cell>
        </row>
        <row r="565">
          <cell r="A565">
            <v>565</v>
          </cell>
        </row>
        <row r="566">
          <cell r="A566">
            <v>566</v>
          </cell>
        </row>
        <row r="567">
          <cell r="A567">
            <v>567</v>
          </cell>
        </row>
        <row r="568">
          <cell r="A568">
            <v>568</v>
          </cell>
        </row>
        <row r="569">
          <cell r="A569">
            <v>569</v>
          </cell>
        </row>
        <row r="570">
          <cell r="A570">
            <v>570</v>
          </cell>
        </row>
        <row r="571">
          <cell r="A571">
            <v>571</v>
          </cell>
        </row>
        <row r="572">
          <cell r="A572">
            <v>572</v>
          </cell>
        </row>
        <row r="573">
          <cell r="A573">
            <v>573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  <row r="577">
          <cell r="A577">
            <v>577</v>
          </cell>
        </row>
        <row r="578">
          <cell r="A578">
            <v>578</v>
          </cell>
        </row>
        <row r="579">
          <cell r="A579">
            <v>579</v>
          </cell>
        </row>
        <row r="580">
          <cell r="A580">
            <v>580</v>
          </cell>
        </row>
        <row r="581">
          <cell r="A581">
            <v>581</v>
          </cell>
        </row>
        <row r="582">
          <cell r="A582">
            <v>582</v>
          </cell>
        </row>
        <row r="583">
          <cell r="A583">
            <v>583</v>
          </cell>
        </row>
        <row r="584">
          <cell r="A584">
            <v>584</v>
          </cell>
        </row>
        <row r="585">
          <cell r="A585">
            <v>585</v>
          </cell>
        </row>
        <row r="586">
          <cell r="A586">
            <v>586</v>
          </cell>
        </row>
        <row r="587">
          <cell r="A587">
            <v>587</v>
          </cell>
        </row>
        <row r="588">
          <cell r="A588">
            <v>588</v>
          </cell>
        </row>
        <row r="589">
          <cell r="A589">
            <v>589</v>
          </cell>
        </row>
        <row r="590">
          <cell r="A590">
            <v>590</v>
          </cell>
        </row>
        <row r="591">
          <cell r="A591">
            <v>591</v>
          </cell>
        </row>
        <row r="592">
          <cell r="A592">
            <v>592</v>
          </cell>
        </row>
        <row r="593">
          <cell r="A593">
            <v>593</v>
          </cell>
        </row>
        <row r="594">
          <cell r="A594">
            <v>594</v>
          </cell>
        </row>
        <row r="595">
          <cell r="A595">
            <v>595</v>
          </cell>
        </row>
        <row r="596">
          <cell r="A596">
            <v>596</v>
          </cell>
        </row>
        <row r="597">
          <cell r="A597">
            <v>597</v>
          </cell>
        </row>
        <row r="598">
          <cell r="A598">
            <v>598</v>
          </cell>
        </row>
        <row r="599">
          <cell r="A599">
            <v>599</v>
          </cell>
        </row>
        <row r="600">
          <cell r="A600">
            <v>600</v>
          </cell>
        </row>
        <row r="601">
          <cell r="A601">
            <v>601</v>
          </cell>
        </row>
        <row r="602">
          <cell r="A602">
            <v>602</v>
          </cell>
        </row>
        <row r="603">
          <cell r="A603">
            <v>603</v>
          </cell>
        </row>
        <row r="604">
          <cell r="A604">
            <v>604</v>
          </cell>
        </row>
        <row r="605">
          <cell r="A605">
            <v>605</v>
          </cell>
        </row>
        <row r="606">
          <cell r="A606">
            <v>606</v>
          </cell>
        </row>
        <row r="607">
          <cell r="A607">
            <v>607</v>
          </cell>
        </row>
        <row r="608">
          <cell r="A608">
            <v>608</v>
          </cell>
        </row>
        <row r="609">
          <cell r="A609">
            <v>609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</row>
        <row r="613">
          <cell r="A613">
            <v>613</v>
          </cell>
        </row>
        <row r="614">
          <cell r="A614">
            <v>614</v>
          </cell>
        </row>
        <row r="615">
          <cell r="A615">
            <v>615</v>
          </cell>
        </row>
        <row r="616">
          <cell r="A616">
            <v>616</v>
          </cell>
        </row>
        <row r="617">
          <cell r="A617">
            <v>617</v>
          </cell>
        </row>
        <row r="618">
          <cell r="A618">
            <v>618</v>
          </cell>
        </row>
        <row r="619">
          <cell r="A619">
            <v>619</v>
          </cell>
        </row>
        <row r="620">
          <cell r="A620">
            <v>620</v>
          </cell>
        </row>
        <row r="621">
          <cell r="A621">
            <v>621</v>
          </cell>
        </row>
        <row r="622">
          <cell r="A622">
            <v>622</v>
          </cell>
        </row>
        <row r="623">
          <cell r="A623">
            <v>623</v>
          </cell>
        </row>
        <row r="624">
          <cell r="A624">
            <v>624</v>
          </cell>
        </row>
        <row r="625">
          <cell r="A625">
            <v>625</v>
          </cell>
        </row>
        <row r="626">
          <cell r="A626">
            <v>626</v>
          </cell>
        </row>
        <row r="627">
          <cell r="A627">
            <v>627</v>
          </cell>
        </row>
        <row r="628">
          <cell r="A628">
            <v>628</v>
          </cell>
        </row>
        <row r="629">
          <cell r="A629">
            <v>629</v>
          </cell>
        </row>
        <row r="630">
          <cell r="A630">
            <v>630</v>
          </cell>
        </row>
        <row r="631">
          <cell r="A631">
            <v>631</v>
          </cell>
        </row>
        <row r="632">
          <cell r="A632">
            <v>632</v>
          </cell>
        </row>
        <row r="633">
          <cell r="A633">
            <v>633</v>
          </cell>
        </row>
        <row r="634">
          <cell r="A634">
            <v>634</v>
          </cell>
        </row>
        <row r="635">
          <cell r="A635">
            <v>635</v>
          </cell>
        </row>
        <row r="636">
          <cell r="A636">
            <v>636</v>
          </cell>
        </row>
        <row r="637">
          <cell r="A637">
            <v>637</v>
          </cell>
        </row>
        <row r="638">
          <cell r="A638">
            <v>638</v>
          </cell>
        </row>
        <row r="639">
          <cell r="A639">
            <v>639</v>
          </cell>
        </row>
        <row r="640">
          <cell r="A640">
            <v>640</v>
          </cell>
        </row>
        <row r="641">
          <cell r="A641">
            <v>641</v>
          </cell>
        </row>
        <row r="642">
          <cell r="A642">
            <v>642</v>
          </cell>
        </row>
        <row r="643">
          <cell r="A643">
            <v>643</v>
          </cell>
        </row>
        <row r="644">
          <cell r="A644">
            <v>644</v>
          </cell>
        </row>
        <row r="645">
          <cell r="A645">
            <v>645</v>
          </cell>
        </row>
        <row r="646">
          <cell r="A646">
            <v>646</v>
          </cell>
        </row>
        <row r="647">
          <cell r="A647">
            <v>647</v>
          </cell>
        </row>
        <row r="648">
          <cell r="A648">
            <v>648</v>
          </cell>
        </row>
        <row r="649">
          <cell r="A649">
            <v>649</v>
          </cell>
        </row>
        <row r="650">
          <cell r="A650">
            <v>650</v>
          </cell>
        </row>
        <row r="651">
          <cell r="A651">
            <v>651</v>
          </cell>
        </row>
        <row r="652">
          <cell r="A652">
            <v>652</v>
          </cell>
        </row>
        <row r="653">
          <cell r="A653">
            <v>653</v>
          </cell>
        </row>
        <row r="654">
          <cell r="A654">
            <v>654</v>
          </cell>
        </row>
        <row r="655">
          <cell r="A655">
            <v>655</v>
          </cell>
        </row>
        <row r="656">
          <cell r="A656">
            <v>656</v>
          </cell>
        </row>
        <row r="657">
          <cell r="A657">
            <v>657</v>
          </cell>
        </row>
        <row r="658">
          <cell r="A658">
            <v>658</v>
          </cell>
        </row>
        <row r="659">
          <cell r="A659">
            <v>659</v>
          </cell>
        </row>
        <row r="660">
          <cell r="A660">
            <v>660</v>
          </cell>
        </row>
        <row r="661">
          <cell r="A661">
            <v>661</v>
          </cell>
        </row>
        <row r="662">
          <cell r="A662">
            <v>662</v>
          </cell>
        </row>
        <row r="663">
          <cell r="A663">
            <v>663</v>
          </cell>
        </row>
        <row r="664">
          <cell r="A664">
            <v>664</v>
          </cell>
        </row>
        <row r="665">
          <cell r="A665">
            <v>665</v>
          </cell>
        </row>
        <row r="666">
          <cell r="A666">
            <v>666</v>
          </cell>
        </row>
        <row r="667">
          <cell r="A667">
            <v>667</v>
          </cell>
        </row>
        <row r="668">
          <cell r="A668">
            <v>668</v>
          </cell>
        </row>
        <row r="669">
          <cell r="A669">
            <v>669</v>
          </cell>
        </row>
        <row r="670">
          <cell r="A670">
            <v>670</v>
          </cell>
        </row>
        <row r="671">
          <cell r="A671">
            <v>671</v>
          </cell>
        </row>
        <row r="672">
          <cell r="A672">
            <v>672</v>
          </cell>
        </row>
        <row r="673">
          <cell r="A673">
            <v>673</v>
          </cell>
        </row>
        <row r="674">
          <cell r="A674">
            <v>674</v>
          </cell>
        </row>
        <row r="675">
          <cell r="A675">
            <v>675</v>
          </cell>
        </row>
        <row r="676">
          <cell r="A676">
            <v>676</v>
          </cell>
        </row>
        <row r="677">
          <cell r="A677">
            <v>677</v>
          </cell>
        </row>
        <row r="678">
          <cell r="A678">
            <v>678</v>
          </cell>
        </row>
        <row r="679">
          <cell r="A679">
            <v>679</v>
          </cell>
        </row>
        <row r="680">
          <cell r="A680">
            <v>680</v>
          </cell>
        </row>
        <row r="681">
          <cell r="A681">
            <v>681</v>
          </cell>
        </row>
        <row r="682">
          <cell r="A682">
            <v>682</v>
          </cell>
        </row>
        <row r="683">
          <cell r="A683">
            <v>683</v>
          </cell>
        </row>
        <row r="684">
          <cell r="A684">
            <v>684</v>
          </cell>
        </row>
        <row r="685">
          <cell r="A685">
            <v>685</v>
          </cell>
        </row>
        <row r="686">
          <cell r="A686">
            <v>686</v>
          </cell>
        </row>
        <row r="687">
          <cell r="A687">
            <v>687</v>
          </cell>
        </row>
        <row r="688">
          <cell r="A688">
            <v>688</v>
          </cell>
        </row>
        <row r="689">
          <cell r="A689">
            <v>689</v>
          </cell>
        </row>
        <row r="690">
          <cell r="A690">
            <v>690</v>
          </cell>
        </row>
        <row r="691">
          <cell r="A691">
            <v>691</v>
          </cell>
        </row>
        <row r="692">
          <cell r="A692">
            <v>692</v>
          </cell>
        </row>
        <row r="693">
          <cell r="A693">
            <v>693</v>
          </cell>
        </row>
        <row r="694">
          <cell r="A694">
            <v>694</v>
          </cell>
        </row>
        <row r="695">
          <cell r="A695">
            <v>695</v>
          </cell>
        </row>
        <row r="696">
          <cell r="A696">
            <v>696</v>
          </cell>
        </row>
        <row r="697">
          <cell r="A697">
            <v>697</v>
          </cell>
        </row>
        <row r="698">
          <cell r="A698">
            <v>698</v>
          </cell>
        </row>
        <row r="699">
          <cell r="A699">
            <v>699</v>
          </cell>
        </row>
        <row r="700">
          <cell r="A700">
            <v>700</v>
          </cell>
        </row>
        <row r="701">
          <cell r="A701">
            <v>701</v>
          </cell>
        </row>
        <row r="702">
          <cell r="A702">
            <v>702</v>
          </cell>
        </row>
        <row r="703">
          <cell r="A703">
            <v>703</v>
          </cell>
        </row>
        <row r="704">
          <cell r="A704">
            <v>704</v>
          </cell>
        </row>
        <row r="705">
          <cell r="A705">
            <v>705</v>
          </cell>
        </row>
        <row r="706">
          <cell r="A706">
            <v>706</v>
          </cell>
        </row>
        <row r="707">
          <cell r="A707">
            <v>707</v>
          </cell>
        </row>
        <row r="708">
          <cell r="A708">
            <v>708</v>
          </cell>
        </row>
        <row r="709">
          <cell r="A709">
            <v>709</v>
          </cell>
        </row>
        <row r="710">
          <cell r="A710">
            <v>710</v>
          </cell>
        </row>
        <row r="711">
          <cell r="A711">
            <v>711</v>
          </cell>
        </row>
        <row r="712">
          <cell r="A712">
            <v>712</v>
          </cell>
        </row>
        <row r="713">
          <cell r="A713">
            <v>713</v>
          </cell>
        </row>
        <row r="714">
          <cell r="A714">
            <v>714</v>
          </cell>
        </row>
        <row r="715">
          <cell r="A715">
            <v>715</v>
          </cell>
        </row>
        <row r="716">
          <cell r="A716">
            <v>716</v>
          </cell>
        </row>
        <row r="717">
          <cell r="A717">
            <v>717</v>
          </cell>
        </row>
        <row r="718">
          <cell r="A718">
            <v>718</v>
          </cell>
        </row>
        <row r="719">
          <cell r="A719">
            <v>719</v>
          </cell>
        </row>
        <row r="720">
          <cell r="A720">
            <v>720</v>
          </cell>
        </row>
        <row r="721">
          <cell r="A721">
            <v>721</v>
          </cell>
        </row>
        <row r="722">
          <cell r="A722">
            <v>722</v>
          </cell>
        </row>
        <row r="723">
          <cell r="A723">
            <v>723</v>
          </cell>
        </row>
        <row r="724">
          <cell r="A724">
            <v>724</v>
          </cell>
        </row>
        <row r="725">
          <cell r="A725">
            <v>725</v>
          </cell>
        </row>
        <row r="726">
          <cell r="A726">
            <v>726</v>
          </cell>
        </row>
        <row r="727">
          <cell r="A727">
            <v>727</v>
          </cell>
        </row>
        <row r="728">
          <cell r="A728">
            <v>728</v>
          </cell>
        </row>
        <row r="729">
          <cell r="A729">
            <v>729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</row>
        <row r="735">
          <cell r="A735">
            <v>735</v>
          </cell>
        </row>
        <row r="736">
          <cell r="A736">
            <v>736</v>
          </cell>
        </row>
        <row r="737">
          <cell r="A737">
            <v>737</v>
          </cell>
        </row>
        <row r="738">
          <cell r="A738">
            <v>738</v>
          </cell>
        </row>
        <row r="739">
          <cell r="A739">
            <v>739</v>
          </cell>
        </row>
        <row r="740">
          <cell r="A740">
            <v>740</v>
          </cell>
        </row>
        <row r="741">
          <cell r="A741">
            <v>741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</row>
        <row r="745">
          <cell r="A745">
            <v>745</v>
          </cell>
        </row>
        <row r="746">
          <cell r="A746">
            <v>746</v>
          </cell>
        </row>
        <row r="747">
          <cell r="A747">
            <v>747</v>
          </cell>
        </row>
        <row r="748">
          <cell r="A748">
            <v>748</v>
          </cell>
        </row>
        <row r="749">
          <cell r="A749">
            <v>749</v>
          </cell>
        </row>
        <row r="750">
          <cell r="A750">
            <v>750</v>
          </cell>
        </row>
        <row r="751">
          <cell r="A751">
            <v>751</v>
          </cell>
        </row>
        <row r="752">
          <cell r="A752">
            <v>752</v>
          </cell>
        </row>
        <row r="753">
          <cell r="A753">
            <v>753</v>
          </cell>
        </row>
        <row r="754">
          <cell r="A754">
            <v>754</v>
          </cell>
        </row>
        <row r="755">
          <cell r="A755">
            <v>755</v>
          </cell>
        </row>
        <row r="756">
          <cell r="A756">
            <v>756</v>
          </cell>
        </row>
        <row r="757">
          <cell r="A757">
            <v>757</v>
          </cell>
        </row>
        <row r="758">
          <cell r="A758">
            <v>758</v>
          </cell>
        </row>
        <row r="759">
          <cell r="A759">
            <v>759</v>
          </cell>
        </row>
        <row r="760">
          <cell r="A760">
            <v>760</v>
          </cell>
        </row>
        <row r="761">
          <cell r="A761">
            <v>761</v>
          </cell>
        </row>
        <row r="762">
          <cell r="A762">
            <v>762</v>
          </cell>
        </row>
        <row r="763">
          <cell r="A763">
            <v>763</v>
          </cell>
        </row>
        <row r="764">
          <cell r="A764">
            <v>764</v>
          </cell>
        </row>
        <row r="765">
          <cell r="A765">
            <v>765</v>
          </cell>
        </row>
        <row r="766">
          <cell r="A766">
            <v>766</v>
          </cell>
        </row>
        <row r="767">
          <cell r="A767">
            <v>767</v>
          </cell>
        </row>
        <row r="768">
          <cell r="A768">
            <v>768</v>
          </cell>
        </row>
        <row r="769">
          <cell r="A769">
            <v>769</v>
          </cell>
        </row>
        <row r="770">
          <cell r="A770">
            <v>770</v>
          </cell>
        </row>
        <row r="771">
          <cell r="A771">
            <v>771</v>
          </cell>
        </row>
        <row r="772">
          <cell r="A772">
            <v>772</v>
          </cell>
        </row>
        <row r="773">
          <cell r="A773">
            <v>773</v>
          </cell>
        </row>
        <row r="774">
          <cell r="A774">
            <v>774</v>
          </cell>
        </row>
        <row r="775">
          <cell r="A775">
            <v>775</v>
          </cell>
        </row>
        <row r="776">
          <cell r="A776">
            <v>776</v>
          </cell>
        </row>
        <row r="777">
          <cell r="A777">
            <v>777</v>
          </cell>
        </row>
        <row r="778">
          <cell r="A778">
            <v>778</v>
          </cell>
        </row>
        <row r="779">
          <cell r="A779">
            <v>779</v>
          </cell>
        </row>
        <row r="780">
          <cell r="A780">
            <v>780</v>
          </cell>
        </row>
        <row r="781">
          <cell r="A781">
            <v>781</v>
          </cell>
        </row>
        <row r="782">
          <cell r="A782">
            <v>782</v>
          </cell>
        </row>
        <row r="783">
          <cell r="A783">
            <v>783</v>
          </cell>
        </row>
        <row r="784">
          <cell r="A784">
            <v>784</v>
          </cell>
        </row>
        <row r="785">
          <cell r="A785">
            <v>785</v>
          </cell>
        </row>
        <row r="786">
          <cell r="A786">
            <v>786</v>
          </cell>
        </row>
        <row r="787">
          <cell r="A787">
            <v>787</v>
          </cell>
        </row>
        <row r="788">
          <cell r="A788">
            <v>788</v>
          </cell>
        </row>
        <row r="789">
          <cell r="A789">
            <v>789</v>
          </cell>
        </row>
        <row r="790">
          <cell r="A790">
            <v>790</v>
          </cell>
        </row>
        <row r="791">
          <cell r="A791">
            <v>791</v>
          </cell>
        </row>
        <row r="792">
          <cell r="A792">
            <v>792</v>
          </cell>
        </row>
        <row r="793">
          <cell r="A793">
            <v>793</v>
          </cell>
        </row>
        <row r="794">
          <cell r="A794">
            <v>794</v>
          </cell>
        </row>
        <row r="795">
          <cell r="A795">
            <v>795</v>
          </cell>
        </row>
        <row r="796">
          <cell r="A796">
            <v>796</v>
          </cell>
        </row>
        <row r="797">
          <cell r="A797">
            <v>797</v>
          </cell>
        </row>
        <row r="798">
          <cell r="A798">
            <v>798</v>
          </cell>
        </row>
        <row r="799">
          <cell r="A799">
            <v>799</v>
          </cell>
        </row>
        <row r="800">
          <cell r="A800">
            <v>800</v>
          </cell>
        </row>
        <row r="801">
          <cell r="A801">
            <v>801</v>
          </cell>
        </row>
        <row r="802">
          <cell r="A802">
            <v>802</v>
          </cell>
        </row>
        <row r="803">
          <cell r="A803">
            <v>803</v>
          </cell>
        </row>
        <row r="804">
          <cell r="A804">
            <v>804</v>
          </cell>
        </row>
        <row r="805">
          <cell r="A805">
            <v>805</v>
          </cell>
        </row>
        <row r="806">
          <cell r="A806">
            <v>806</v>
          </cell>
        </row>
        <row r="807">
          <cell r="A807">
            <v>807</v>
          </cell>
        </row>
        <row r="808">
          <cell r="A808">
            <v>808</v>
          </cell>
        </row>
        <row r="809">
          <cell r="A809">
            <v>809</v>
          </cell>
        </row>
        <row r="810">
          <cell r="A810">
            <v>810</v>
          </cell>
        </row>
        <row r="811">
          <cell r="A811">
            <v>811</v>
          </cell>
        </row>
        <row r="812">
          <cell r="A812">
            <v>812</v>
          </cell>
        </row>
        <row r="813">
          <cell r="A813">
            <v>813</v>
          </cell>
        </row>
        <row r="814">
          <cell r="A814">
            <v>814</v>
          </cell>
        </row>
        <row r="815">
          <cell r="A815">
            <v>815</v>
          </cell>
        </row>
        <row r="816">
          <cell r="A816">
            <v>816</v>
          </cell>
        </row>
        <row r="817">
          <cell r="A817">
            <v>817</v>
          </cell>
        </row>
        <row r="818">
          <cell r="A818">
            <v>818</v>
          </cell>
        </row>
        <row r="819">
          <cell r="A819">
            <v>819</v>
          </cell>
        </row>
        <row r="820">
          <cell r="A820">
            <v>820</v>
          </cell>
        </row>
        <row r="821">
          <cell r="A821">
            <v>821</v>
          </cell>
        </row>
        <row r="822">
          <cell r="A822">
            <v>822</v>
          </cell>
        </row>
        <row r="823">
          <cell r="A823">
            <v>823</v>
          </cell>
        </row>
        <row r="824">
          <cell r="A824">
            <v>824</v>
          </cell>
        </row>
        <row r="825">
          <cell r="A825">
            <v>825</v>
          </cell>
        </row>
        <row r="826">
          <cell r="A826">
            <v>826</v>
          </cell>
        </row>
        <row r="827">
          <cell r="A827">
            <v>827</v>
          </cell>
        </row>
        <row r="828">
          <cell r="A828">
            <v>828</v>
          </cell>
        </row>
        <row r="829">
          <cell r="A829">
            <v>829</v>
          </cell>
        </row>
        <row r="830">
          <cell r="A830">
            <v>830</v>
          </cell>
        </row>
        <row r="831">
          <cell r="A831">
            <v>831</v>
          </cell>
        </row>
        <row r="832">
          <cell r="A832">
            <v>832</v>
          </cell>
        </row>
        <row r="833">
          <cell r="A833">
            <v>833</v>
          </cell>
        </row>
        <row r="834">
          <cell r="A834">
            <v>834</v>
          </cell>
        </row>
        <row r="835">
          <cell r="A835">
            <v>835</v>
          </cell>
        </row>
        <row r="836">
          <cell r="A836">
            <v>836</v>
          </cell>
        </row>
        <row r="837">
          <cell r="A837">
            <v>837</v>
          </cell>
        </row>
        <row r="838">
          <cell r="A838">
            <v>838</v>
          </cell>
        </row>
        <row r="839">
          <cell r="A839">
            <v>839</v>
          </cell>
        </row>
        <row r="840">
          <cell r="A840">
            <v>840</v>
          </cell>
        </row>
        <row r="841">
          <cell r="A841">
            <v>841</v>
          </cell>
        </row>
        <row r="842">
          <cell r="A842">
            <v>842</v>
          </cell>
        </row>
        <row r="843">
          <cell r="A843">
            <v>843</v>
          </cell>
        </row>
        <row r="844">
          <cell r="A844">
            <v>844</v>
          </cell>
        </row>
        <row r="845">
          <cell r="A845">
            <v>845</v>
          </cell>
        </row>
        <row r="846">
          <cell r="A846">
            <v>846</v>
          </cell>
        </row>
        <row r="847">
          <cell r="A847">
            <v>847</v>
          </cell>
        </row>
        <row r="848">
          <cell r="A848">
            <v>848</v>
          </cell>
        </row>
        <row r="849">
          <cell r="A849">
            <v>849</v>
          </cell>
        </row>
        <row r="850">
          <cell r="A850">
            <v>850</v>
          </cell>
        </row>
        <row r="851">
          <cell r="A851">
            <v>851</v>
          </cell>
        </row>
        <row r="852">
          <cell r="A852">
            <v>852</v>
          </cell>
        </row>
        <row r="853">
          <cell r="A853">
            <v>853</v>
          </cell>
        </row>
        <row r="854">
          <cell r="A854">
            <v>854</v>
          </cell>
        </row>
        <row r="855">
          <cell r="A855">
            <v>855</v>
          </cell>
        </row>
        <row r="856">
          <cell r="A856">
            <v>856</v>
          </cell>
        </row>
        <row r="857">
          <cell r="A857">
            <v>857</v>
          </cell>
        </row>
        <row r="858">
          <cell r="A858">
            <v>858</v>
          </cell>
        </row>
        <row r="859">
          <cell r="A859">
            <v>859</v>
          </cell>
        </row>
        <row r="860">
          <cell r="A860">
            <v>860</v>
          </cell>
        </row>
        <row r="861">
          <cell r="A861">
            <v>861</v>
          </cell>
        </row>
        <row r="862">
          <cell r="A862">
            <v>862</v>
          </cell>
        </row>
        <row r="863">
          <cell r="A863">
            <v>863</v>
          </cell>
        </row>
        <row r="864">
          <cell r="A864">
            <v>864</v>
          </cell>
        </row>
        <row r="865">
          <cell r="A865">
            <v>865</v>
          </cell>
        </row>
        <row r="866">
          <cell r="A866">
            <v>866</v>
          </cell>
        </row>
        <row r="867">
          <cell r="A867">
            <v>867</v>
          </cell>
        </row>
        <row r="868">
          <cell r="A868">
            <v>868</v>
          </cell>
        </row>
        <row r="869">
          <cell r="A869">
            <v>869</v>
          </cell>
        </row>
        <row r="870">
          <cell r="A870">
            <v>870</v>
          </cell>
        </row>
        <row r="871">
          <cell r="A871">
            <v>871</v>
          </cell>
        </row>
        <row r="872">
          <cell r="A872">
            <v>872</v>
          </cell>
        </row>
        <row r="873">
          <cell r="A873">
            <v>873</v>
          </cell>
        </row>
        <row r="874">
          <cell r="A874">
            <v>874</v>
          </cell>
        </row>
        <row r="875">
          <cell r="A875">
            <v>875</v>
          </cell>
        </row>
        <row r="876">
          <cell r="A876">
            <v>876</v>
          </cell>
        </row>
        <row r="877">
          <cell r="A877">
            <v>877</v>
          </cell>
        </row>
        <row r="878">
          <cell r="A878">
            <v>878</v>
          </cell>
        </row>
        <row r="879">
          <cell r="A879">
            <v>879</v>
          </cell>
        </row>
        <row r="880">
          <cell r="A880">
            <v>880</v>
          </cell>
        </row>
        <row r="881">
          <cell r="A881">
            <v>881</v>
          </cell>
        </row>
        <row r="882">
          <cell r="A882">
            <v>882</v>
          </cell>
        </row>
        <row r="883">
          <cell r="A883">
            <v>883</v>
          </cell>
        </row>
        <row r="884">
          <cell r="A884">
            <v>884</v>
          </cell>
        </row>
        <row r="885">
          <cell r="A885">
            <v>885</v>
          </cell>
        </row>
        <row r="886">
          <cell r="A886">
            <v>886</v>
          </cell>
        </row>
        <row r="887">
          <cell r="A887">
            <v>887</v>
          </cell>
        </row>
        <row r="888">
          <cell r="A888">
            <v>888</v>
          </cell>
        </row>
        <row r="889">
          <cell r="A889">
            <v>889</v>
          </cell>
        </row>
        <row r="890">
          <cell r="A890">
            <v>890</v>
          </cell>
        </row>
        <row r="891">
          <cell r="A891">
            <v>891</v>
          </cell>
        </row>
        <row r="892">
          <cell r="A892">
            <v>892</v>
          </cell>
        </row>
        <row r="893">
          <cell r="A893">
            <v>893</v>
          </cell>
        </row>
        <row r="894">
          <cell r="A894">
            <v>894</v>
          </cell>
        </row>
        <row r="895">
          <cell r="A895">
            <v>895</v>
          </cell>
        </row>
        <row r="896">
          <cell r="A896">
            <v>896</v>
          </cell>
        </row>
        <row r="897">
          <cell r="A897">
            <v>897</v>
          </cell>
        </row>
        <row r="898">
          <cell r="A898">
            <v>898</v>
          </cell>
        </row>
        <row r="899">
          <cell r="A899">
            <v>899</v>
          </cell>
        </row>
        <row r="900">
          <cell r="A900">
            <v>900</v>
          </cell>
        </row>
        <row r="901">
          <cell r="A901">
            <v>901</v>
          </cell>
        </row>
        <row r="902">
          <cell r="A902">
            <v>902</v>
          </cell>
        </row>
        <row r="903">
          <cell r="A903">
            <v>903</v>
          </cell>
        </row>
        <row r="904">
          <cell r="A904">
            <v>904</v>
          </cell>
        </row>
        <row r="905">
          <cell r="A905">
            <v>905</v>
          </cell>
        </row>
        <row r="906">
          <cell r="A906">
            <v>906</v>
          </cell>
        </row>
        <row r="907">
          <cell r="A907">
            <v>907</v>
          </cell>
        </row>
        <row r="908">
          <cell r="A908">
            <v>908</v>
          </cell>
        </row>
        <row r="909">
          <cell r="A909">
            <v>909</v>
          </cell>
        </row>
        <row r="910">
          <cell r="A910">
            <v>910</v>
          </cell>
        </row>
        <row r="911">
          <cell r="A911">
            <v>911</v>
          </cell>
        </row>
        <row r="912">
          <cell r="A912">
            <v>912</v>
          </cell>
        </row>
        <row r="913">
          <cell r="A913">
            <v>913</v>
          </cell>
        </row>
        <row r="914">
          <cell r="A914">
            <v>914</v>
          </cell>
        </row>
        <row r="915">
          <cell r="A915">
            <v>915</v>
          </cell>
        </row>
        <row r="916">
          <cell r="A916">
            <v>916</v>
          </cell>
        </row>
        <row r="917">
          <cell r="A917">
            <v>917</v>
          </cell>
        </row>
        <row r="918">
          <cell r="A918">
            <v>918</v>
          </cell>
        </row>
        <row r="919">
          <cell r="A919">
            <v>919</v>
          </cell>
        </row>
        <row r="920">
          <cell r="A920">
            <v>920</v>
          </cell>
        </row>
        <row r="921">
          <cell r="A921">
            <v>921</v>
          </cell>
        </row>
        <row r="922">
          <cell r="A922">
            <v>922</v>
          </cell>
        </row>
        <row r="923">
          <cell r="A923">
            <v>923</v>
          </cell>
        </row>
        <row r="924">
          <cell r="A924">
            <v>924</v>
          </cell>
        </row>
        <row r="925">
          <cell r="A925">
            <v>925</v>
          </cell>
        </row>
        <row r="926">
          <cell r="A926">
            <v>926</v>
          </cell>
        </row>
        <row r="927">
          <cell r="A927">
            <v>927</v>
          </cell>
        </row>
        <row r="928">
          <cell r="A928">
            <v>928</v>
          </cell>
        </row>
        <row r="929">
          <cell r="A929">
            <v>929</v>
          </cell>
        </row>
        <row r="930">
          <cell r="A930">
            <v>930</v>
          </cell>
        </row>
        <row r="931">
          <cell r="A931">
            <v>931</v>
          </cell>
        </row>
        <row r="932">
          <cell r="A932">
            <v>932</v>
          </cell>
        </row>
        <row r="933">
          <cell r="A933">
            <v>933</v>
          </cell>
        </row>
        <row r="934">
          <cell r="A934">
            <v>934</v>
          </cell>
        </row>
        <row r="935">
          <cell r="A935">
            <v>935</v>
          </cell>
        </row>
        <row r="936">
          <cell r="A936">
            <v>936</v>
          </cell>
        </row>
        <row r="937">
          <cell r="A937">
            <v>937</v>
          </cell>
        </row>
        <row r="938">
          <cell r="A938">
            <v>938</v>
          </cell>
        </row>
        <row r="939">
          <cell r="A939">
            <v>939</v>
          </cell>
        </row>
        <row r="940">
          <cell r="A940">
            <v>940</v>
          </cell>
        </row>
        <row r="941">
          <cell r="A941">
            <v>941</v>
          </cell>
        </row>
        <row r="942">
          <cell r="A942">
            <v>942</v>
          </cell>
        </row>
        <row r="943">
          <cell r="A943">
            <v>943</v>
          </cell>
        </row>
        <row r="944">
          <cell r="A944">
            <v>944</v>
          </cell>
        </row>
        <row r="945">
          <cell r="A945">
            <v>945</v>
          </cell>
        </row>
        <row r="946">
          <cell r="A946">
            <v>946</v>
          </cell>
        </row>
        <row r="947">
          <cell r="A947">
            <v>947</v>
          </cell>
        </row>
        <row r="948">
          <cell r="A948">
            <v>948</v>
          </cell>
        </row>
        <row r="949">
          <cell r="A949">
            <v>949</v>
          </cell>
        </row>
        <row r="950">
          <cell r="A950">
            <v>950</v>
          </cell>
        </row>
        <row r="951">
          <cell r="A951">
            <v>951</v>
          </cell>
        </row>
        <row r="952">
          <cell r="A952">
            <v>952</v>
          </cell>
        </row>
        <row r="953">
          <cell r="A953">
            <v>953</v>
          </cell>
        </row>
        <row r="954">
          <cell r="A954">
            <v>954</v>
          </cell>
        </row>
        <row r="955">
          <cell r="A955">
            <v>955</v>
          </cell>
        </row>
        <row r="956">
          <cell r="A956">
            <v>956</v>
          </cell>
        </row>
        <row r="957">
          <cell r="A957">
            <v>957</v>
          </cell>
        </row>
        <row r="958">
          <cell r="A958">
            <v>958</v>
          </cell>
        </row>
        <row r="959">
          <cell r="A959">
            <v>959</v>
          </cell>
        </row>
        <row r="960">
          <cell r="A960">
            <v>960</v>
          </cell>
        </row>
        <row r="961">
          <cell r="A961">
            <v>961</v>
          </cell>
        </row>
        <row r="962">
          <cell r="A962">
            <v>962</v>
          </cell>
        </row>
        <row r="963">
          <cell r="A963">
            <v>963</v>
          </cell>
        </row>
        <row r="964">
          <cell r="A964">
            <v>964</v>
          </cell>
        </row>
        <row r="965">
          <cell r="A965">
            <v>965</v>
          </cell>
        </row>
        <row r="966">
          <cell r="A966">
            <v>966</v>
          </cell>
        </row>
        <row r="967">
          <cell r="A967">
            <v>967</v>
          </cell>
        </row>
        <row r="968">
          <cell r="A968">
            <v>968</v>
          </cell>
        </row>
        <row r="969">
          <cell r="A969">
            <v>969</v>
          </cell>
        </row>
        <row r="970">
          <cell r="A970">
            <v>970</v>
          </cell>
        </row>
        <row r="971">
          <cell r="A971">
            <v>971</v>
          </cell>
        </row>
        <row r="972">
          <cell r="A972">
            <v>972</v>
          </cell>
        </row>
        <row r="973">
          <cell r="A973">
            <v>973</v>
          </cell>
        </row>
        <row r="974">
          <cell r="A974">
            <v>974</v>
          </cell>
        </row>
        <row r="975">
          <cell r="A975">
            <v>975</v>
          </cell>
        </row>
        <row r="976">
          <cell r="A976">
            <v>976</v>
          </cell>
        </row>
        <row r="977">
          <cell r="A977">
            <v>977</v>
          </cell>
        </row>
        <row r="978">
          <cell r="A978">
            <v>978</v>
          </cell>
        </row>
        <row r="979">
          <cell r="A979">
            <v>979</v>
          </cell>
        </row>
        <row r="980">
          <cell r="A980">
            <v>980</v>
          </cell>
        </row>
        <row r="981">
          <cell r="A981">
            <v>981</v>
          </cell>
        </row>
        <row r="982">
          <cell r="A982">
            <v>982</v>
          </cell>
        </row>
        <row r="983">
          <cell r="A983">
            <v>983</v>
          </cell>
        </row>
        <row r="984">
          <cell r="A984">
            <v>984</v>
          </cell>
        </row>
        <row r="985">
          <cell r="A985">
            <v>985</v>
          </cell>
        </row>
        <row r="986">
          <cell r="A986">
            <v>986</v>
          </cell>
        </row>
        <row r="987">
          <cell r="A987">
            <v>987</v>
          </cell>
        </row>
        <row r="988">
          <cell r="A988">
            <v>988</v>
          </cell>
        </row>
        <row r="989">
          <cell r="A989">
            <v>989</v>
          </cell>
        </row>
        <row r="990">
          <cell r="A990">
            <v>990</v>
          </cell>
        </row>
        <row r="991">
          <cell r="A991">
            <v>991</v>
          </cell>
        </row>
        <row r="992">
          <cell r="A992">
            <v>992</v>
          </cell>
        </row>
        <row r="993">
          <cell r="A993">
            <v>993</v>
          </cell>
        </row>
        <row r="994">
          <cell r="A994">
            <v>994</v>
          </cell>
        </row>
        <row r="995">
          <cell r="A995">
            <v>995</v>
          </cell>
        </row>
        <row r="996">
          <cell r="A996">
            <v>996</v>
          </cell>
        </row>
        <row r="997">
          <cell r="A997">
            <v>997</v>
          </cell>
        </row>
        <row r="998">
          <cell r="A998">
            <v>998</v>
          </cell>
        </row>
        <row r="999">
          <cell r="A999">
            <v>999</v>
          </cell>
        </row>
        <row r="1000">
          <cell r="A1000">
            <v>1000</v>
          </cell>
        </row>
        <row r="1001">
          <cell r="A1001">
            <v>1001</v>
          </cell>
        </row>
        <row r="1002">
          <cell r="A1002">
            <v>1002</v>
          </cell>
        </row>
        <row r="1003">
          <cell r="A1003">
            <v>1003</v>
          </cell>
        </row>
        <row r="1004">
          <cell r="A1004">
            <v>1004</v>
          </cell>
        </row>
        <row r="1005">
          <cell r="A1005">
            <v>1005</v>
          </cell>
        </row>
        <row r="1006">
          <cell r="A1006">
            <v>1006</v>
          </cell>
        </row>
        <row r="1007">
          <cell r="A1007">
            <v>1007</v>
          </cell>
        </row>
        <row r="1008">
          <cell r="A1008">
            <v>1008</v>
          </cell>
        </row>
        <row r="1009">
          <cell r="A1009">
            <v>1009</v>
          </cell>
        </row>
        <row r="1010">
          <cell r="A1010">
            <v>1010</v>
          </cell>
        </row>
        <row r="1011">
          <cell r="A1011">
            <v>1011</v>
          </cell>
        </row>
        <row r="1012">
          <cell r="A1012">
            <v>1012</v>
          </cell>
        </row>
        <row r="1013">
          <cell r="A1013">
            <v>1013</v>
          </cell>
        </row>
        <row r="1014">
          <cell r="A1014">
            <v>1014</v>
          </cell>
        </row>
        <row r="1015">
          <cell r="A1015">
            <v>1015</v>
          </cell>
        </row>
        <row r="1016">
          <cell r="A1016">
            <v>1016</v>
          </cell>
        </row>
        <row r="1017">
          <cell r="A1017">
            <v>1017</v>
          </cell>
        </row>
        <row r="1018">
          <cell r="A1018">
            <v>1018</v>
          </cell>
        </row>
        <row r="1019">
          <cell r="A1019">
            <v>1019</v>
          </cell>
        </row>
        <row r="1020">
          <cell r="A1020">
            <v>1020</v>
          </cell>
        </row>
        <row r="1021">
          <cell r="A1021">
            <v>1021</v>
          </cell>
        </row>
        <row r="1022">
          <cell r="A1022">
            <v>1022</v>
          </cell>
        </row>
        <row r="1023">
          <cell r="A1023">
            <v>1023</v>
          </cell>
        </row>
        <row r="1024">
          <cell r="A1024">
            <v>1024</v>
          </cell>
        </row>
        <row r="1025">
          <cell r="A1025">
            <v>1025</v>
          </cell>
        </row>
        <row r="1026">
          <cell r="A1026">
            <v>1026</v>
          </cell>
        </row>
        <row r="1027">
          <cell r="A1027">
            <v>1027</v>
          </cell>
        </row>
        <row r="1028">
          <cell r="A1028">
            <v>1028</v>
          </cell>
        </row>
        <row r="1029">
          <cell r="A1029">
            <v>1029</v>
          </cell>
        </row>
        <row r="1030">
          <cell r="A1030">
            <v>1030</v>
          </cell>
        </row>
        <row r="1031">
          <cell r="A1031">
            <v>1031</v>
          </cell>
        </row>
        <row r="1032">
          <cell r="A1032">
            <v>1032</v>
          </cell>
        </row>
        <row r="1033">
          <cell r="A1033">
            <v>1033</v>
          </cell>
        </row>
        <row r="1034">
          <cell r="A1034">
            <v>1034</v>
          </cell>
        </row>
        <row r="1035">
          <cell r="A1035">
            <v>1035</v>
          </cell>
        </row>
        <row r="1036">
          <cell r="A1036">
            <v>1036</v>
          </cell>
        </row>
        <row r="1037">
          <cell r="A1037">
            <v>1037</v>
          </cell>
        </row>
        <row r="1038">
          <cell r="A1038">
            <v>1038</v>
          </cell>
        </row>
        <row r="1039">
          <cell r="A1039">
            <v>1039</v>
          </cell>
        </row>
        <row r="1040">
          <cell r="A1040">
            <v>1040</v>
          </cell>
        </row>
        <row r="1041">
          <cell r="A1041">
            <v>1041</v>
          </cell>
        </row>
        <row r="1042">
          <cell r="A1042">
            <v>1042</v>
          </cell>
        </row>
        <row r="1043">
          <cell r="A1043">
            <v>1043</v>
          </cell>
        </row>
        <row r="1044">
          <cell r="A1044">
            <v>1044</v>
          </cell>
        </row>
        <row r="1045">
          <cell r="A1045">
            <v>1045</v>
          </cell>
        </row>
        <row r="1046">
          <cell r="A1046">
            <v>1046</v>
          </cell>
        </row>
        <row r="1047">
          <cell r="A1047">
            <v>1047</v>
          </cell>
        </row>
        <row r="1048">
          <cell r="A1048">
            <v>1048</v>
          </cell>
        </row>
        <row r="1049">
          <cell r="A1049">
            <v>1049</v>
          </cell>
        </row>
        <row r="1050">
          <cell r="A1050">
            <v>1050</v>
          </cell>
        </row>
        <row r="1051">
          <cell r="A1051">
            <v>1051</v>
          </cell>
        </row>
        <row r="1052">
          <cell r="A1052">
            <v>1052</v>
          </cell>
        </row>
        <row r="1053">
          <cell r="A1053">
            <v>1053</v>
          </cell>
        </row>
        <row r="1054">
          <cell r="A1054">
            <v>1054</v>
          </cell>
        </row>
        <row r="1055">
          <cell r="A1055">
            <v>1055</v>
          </cell>
        </row>
        <row r="1056">
          <cell r="A1056">
            <v>1056</v>
          </cell>
        </row>
        <row r="1057">
          <cell r="A1057">
            <v>1057</v>
          </cell>
        </row>
        <row r="1058">
          <cell r="A1058">
            <v>1058</v>
          </cell>
        </row>
        <row r="1059">
          <cell r="A1059">
            <v>1059</v>
          </cell>
        </row>
        <row r="1060">
          <cell r="A1060">
            <v>1060</v>
          </cell>
        </row>
        <row r="1061">
          <cell r="A1061">
            <v>1061</v>
          </cell>
        </row>
        <row r="1062">
          <cell r="A1062">
            <v>1062</v>
          </cell>
        </row>
        <row r="1063">
          <cell r="A1063">
            <v>1063</v>
          </cell>
        </row>
        <row r="1064">
          <cell r="A1064">
            <v>1064</v>
          </cell>
        </row>
        <row r="1065">
          <cell r="A1065">
            <v>1065</v>
          </cell>
        </row>
        <row r="1066">
          <cell r="A1066">
            <v>1066</v>
          </cell>
        </row>
        <row r="1067">
          <cell r="A1067">
            <v>1067</v>
          </cell>
        </row>
        <row r="1068">
          <cell r="A1068">
            <v>1068</v>
          </cell>
        </row>
        <row r="1069">
          <cell r="A1069">
            <v>1069</v>
          </cell>
        </row>
        <row r="1070">
          <cell r="A1070">
            <v>1070</v>
          </cell>
        </row>
        <row r="1071">
          <cell r="A1071">
            <v>1071</v>
          </cell>
        </row>
        <row r="1072">
          <cell r="A1072">
            <v>1072</v>
          </cell>
        </row>
        <row r="1073">
          <cell r="A1073">
            <v>1073</v>
          </cell>
        </row>
        <row r="1074">
          <cell r="A1074">
            <v>1074</v>
          </cell>
        </row>
        <row r="1075">
          <cell r="A1075">
            <v>1075</v>
          </cell>
        </row>
        <row r="1076">
          <cell r="A1076">
            <v>1076</v>
          </cell>
        </row>
        <row r="1077">
          <cell r="A1077">
            <v>1077</v>
          </cell>
        </row>
        <row r="1078">
          <cell r="A1078">
            <v>1078</v>
          </cell>
        </row>
        <row r="1079">
          <cell r="A1079">
            <v>1079</v>
          </cell>
        </row>
        <row r="1080">
          <cell r="A1080">
            <v>1080</v>
          </cell>
        </row>
        <row r="1081">
          <cell r="A1081">
            <v>1081</v>
          </cell>
        </row>
        <row r="1082">
          <cell r="A1082">
            <v>1082</v>
          </cell>
        </row>
        <row r="1083">
          <cell r="A1083">
            <v>1083</v>
          </cell>
        </row>
        <row r="1084">
          <cell r="A1084">
            <v>1084</v>
          </cell>
        </row>
        <row r="1085">
          <cell r="A1085">
            <v>1085</v>
          </cell>
        </row>
        <row r="1086">
          <cell r="A1086">
            <v>1086</v>
          </cell>
        </row>
        <row r="1087">
          <cell r="A1087">
            <v>1087</v>
          </cell>
        </row>
        <row r="1088">
          <cell r="A1088">
            <v>1088</v>
          </cell>
        </row>
        <row r="1089">
          <cell r="A1089">
            <v>1089</v>
          </cell>
        </row>
        <row r="1090">
          <cell r="A1090">
            <v>1090</v>
          </cell>
        </row>
        <row r="1091">
          <cell r="A1091">
            <v>1091</v>
          </cell>
        </row>
        <row r="1092">
          <cell r="A1092">
            <v>1092</v>
          </cell>
        </row>
        <row r="1093">
          <cell r="A1093">
            <v>1093</v>
          </cell>
        </row>
        <row r="1094">
          <cell r="A1094">
            <v>1094</v>
          </cell>
        </row>
        <row r="1095">
          <cell r="A1095">
            <v>1095</v>
          </cell>
        </row>
        <row r="1096">
          <cell r="A1096">
            <v>1096</v>
          </cell>
        </row>
        <row r="1097">
          <cell r="A1097">
            <v>1097</v>
          </cell>
        </row>
        <row r="1098">
          <cell r="A1098">
            <v>1098</v>
          </cell>
        </row>
        <row r="1099">
          <cell r="A1099">
            <v>1099</v>
          </cell>
        </row>
        <row r="1100">
          <cell r="A1100">
            <v>1100</v>
          </cell>
        </row>
        <row r="1101">
          <cell r="A1101">
            <v>1101</v>
          </cell>
        </row>
        <row r="1102">
          <cell r="A1102">
            <v>1102</v>
          </cell>
        </row>
        <row r="1103">
          <cell r="A1103">
            <v>1103</v>
          </cell>
        </row>
        <row r="1104">
          <cell r="A1104">
            <v>1104</v>
          </cell>
        </row>
        <row r="1105">
          <cell r="A1105">
            <v>1105</v>
          </cell>
        </row>
        <row r="1106">
          <cell r="A1106">
            <v>1106</v>
          </cell>
        </row>
        <row r="1107">
          <cell r="A1107">
            <v>1107</v>
          </cell>
        </row>
        <row r="1108">
          <cell r="A1108">
            <v>1108</v>
          </cell>
        </row>
        <row r="1109">
          <cell r="A1109">
            <v>1109</v>
          </cell>
        </row>
        <row r="1110">
          <cell r="A1110">
            <v>1110</v>
          </cell>
        </row>
        <row r="1111">
          <cell r="A1111">
            <v>1111</v>
          </cell>
        </row>
        <row r="1112">
          <cell r="A1112">
            <v>1112</v>
          </cell>
        </row>
        <row r="1113">
          <cell r="A1113">
            <v>1113</v>
          </cell>
        </row>
        <row r="1114">
          <cell r="A1114">
            <v>1114</v>
          </cell>
        </row>
        <row r="1115">
          <cell r="A1115">
            <v>1115</v>
          </cell>
        </row>
        <row r="1116">
          <cell r="A1116">
            <v>1116</v>
          </cell>
        </row>
        <row r="1117">
          <cell r="A1117">
            <v>1117</v>
          </cell>
        </row>
        <row r="1118">
          <cell r="A1118">
            <v>1118</v>
          </cell>
        </row>
        <row r="1119">
          <cell r="A1119">
            <v>1119</v>
          </cell>
        </row>
        <row r="1120">
          <cell r="A1120">
            <v>1120</v>
          </cell>
        </row>
        <row r="1121">
          <cell r="A1121">
            <v>1121</v>
          </cell>
        </row>
        <row r="1122">
          <cell r="A1122">
            <v>1122</v>
          </cell>
        </row>
        <row r="1123">
          <cell r="A1123">
            <v>1123</v>
          </cell>
        </row>
        <row r="1124">
          <cell r="A1124">
            <v>1124</v>
          </cell>
        </row>
        <row r="1125">
          <cell r="A1125">
            <v>1125</v>
          </cell>
        </row>
        <row r="1126">
          <cell r="A1126">
            <v>1126</v>
          </cell>
        </row>
        <row r="1127">
          <cell r="A1127">
            <v>1127</v>
          </cell>
        </row>
        <row r="1128">
          <cell r="A1128">
            <v>1128</v>
          </cell>
        </row>
        <row r="1129">
          <cell r="A1129">
            <v>1129</v>
          </cell>
        </row>
        <row r="1130">
          <cell r="A1130">
            <v>1130</v>
          </cell>
        </row>
        <row r="1131">
          <cell r="A1131">
            <v>1131</v>
          </cell>
        </row>
        <row r="1132">
          <cell r="A1132">
            <v>1132</v>
          </cell>
        </row>
        <row r="1133">
          <cell r="A1133">
            <v>1133</v>
          </cell>
        </row>
        <row r="1134">
          <cell r="A1134">
            <v>1134</v>
          </cell>
        </row>
        <row r="1135">
          <cell r="A1135">
            <v>1135</v>
          </cell>
        </row>
        <row r="1136">
          <cell r="A1136">
            <v>1136</v>
          </cell>
        </row>
        <row r="1137">
          <cell r="A1137">
            <v>1137</v>
          </cell>
        </row>
        <row r="1138">
          <cell r="A1138">
            <v>1138</v>
          </cell>
        </row>
        <row r="1139">
          <cell r="A1139">
            <v>1139</v>
          </cell>
        </row>
        <row r="1140">
          <cell r="A1140">
            <v>1140</v>
          </cell>
        </row>
        <row r="1141">
          <cell r="A1141">
            <v>1141</v>
          </cell>
        </row>
        <row r="1142">
          <cell r="A1142">
            <v>1142</v>
          </cell>
        </row>
        <row r="1143">
          <cell r="A1143">
            <v>1143</v>
          </cell>
        </row>
        <row r="1144">
          <cell r="A1144">
            <v>1144</v>
          </cell>
        </row>
        <row r="1145">
          <cell r="A1145">
            <v>1145</v>
          </cell>
        </row>
        <row r="1146">
          <cell r="A1146">
            <v>1146</v>
          </cell>
        </row>
        <row r="1147">
          <cell r="A1147">
            <v>1147</v>
          </cell>
        </row>
        <row r="1148">
          <cell r="A1148">
            <v>1148</v>
          </cell>
        </row>
        <row r="1149">
          <cell r="A1149">
            <v>1149</v>
          </cell>
        </row>
        <row r="1150">
          <cell r="A1150">
            <v>1150</v>
          </cell>
        </row>
        <row r="1151">
          <cell r="A1151">
            <v>1151</v>
          </cell>
        </row>
        <row r="1152">
          <cell r="A1152">
            <v>1152</v>
          </cell>
        </row>
        <row r="1153">
          <cell r="A1153">
            <v>1153</v>
          </cell>
        </row>
        <row r="1154">
          <cell r="A1154">
            <v>1154</v>
          </cell>
        </row>
        <row r="1155">
          <cell r="A1155">
            <v>1155</v>
          </cell>
        </row>
        <row r="1156">
          <cell r="A1156">
            <v>1156</v>
          </cell>
        </row>
        <row r="1157">
          <cell r="A1157">
            <v>1157</v>
          </cell>
        </row>
        <row r="1158">
          <cell r="A1158">
            <v>1158</v>
          </cell>
        </row>
        <row r="1159">
          <cell r="A1159">
            <v>1159</v>
          </cell>
        </row>
        <row r="1160">
          <cell r="A1160">
            <v>1160</v>
          </cell>
        </row>
        <row r="1161">
          <cell r="A1161">
            <v>1161</v>
          </cell>
        </row>
        <row r="1162">
          <cell r="A1162">
            <v>1162</v>
          </cell>
        </row>
        <row r="1163">
          <cell r="A1163">
            <v>1163</v>
          </cell>
        </row>
        <row r="1164">
          <cell r="A1164">
            <v>1164</v>
          </cell>
        </row>
        <row r="1165">
          <cell r="A1165">
            <v>1165</v>
          </cell>
        </row>
        <row r="1166">
          <cell r="A1166">
            <v>1166</v>
          </cell>
        </row>
        <row r="1167">
          <cell r="A1167">
            <v>1167</v>
          </cell>
        </row>
        <row r="1168">
          <cell r="A1168">
            <v>1168</v>
          </cell>
        </row>
        <row r="1169">
          <cell r="A1169">
            <v>1169</v>
          </cell>
        </row>
        <row r="1170">
          <cell r="A1170">
            <v>1170</v>
          </cell>
        </row>
        <row r="1171">
          <cell r="A1171">
            <v>1171</v>
          </cell>
        </row>
        <row r="1172">
          <cell r="A1172">
            <v>1172</v>
          </cell>
        </row>
        <row r="1173">
          <cell r="A1173">
            <v>1173</v>
          </cell>
        </row>
        <row r="1174">
          <cell r="A1174">
            <v>1174</v>
          </cell>
        </row>
        <row r="1175">
          <cell r="A1175">
            <v>1175</v>
          </cell>
        </row>
        <row r="1176">
          <cell r="A1176">
            <v>1176</v>
          </cell>
        </row>
        <row r="1177">
          <cell r="A1177">
            <v>1177</v>
          </cell>
        </row>
        <row r="1178">
          <cell r="A1178">
            <v>1178</v>
          </cell>
        </row>
        <row r="1179">
          <cell r="A1179">
            <v>1179</v>
          </cell>
        </row>
        <row r="1180">
          <cell r="A1180">
            <v>1180</v>
          </cell>
        </row>
        <row r="1181">
          <cell r="A1181">
            <v>1181</v>
          </cell>
        </row>
        <row r="1182">
          <cell r="A1182">
            <v>1182</v>
          </cell>
        </row>
        <row r="1183">
          <cell r="A1183">
            <v>1183</v>
          </cell>
        </row>
        <row r="1184">
          <cell r="A1184">
            <v>1184</v>
          </cell>
        </row>
        <row r="1185">
          <cell r="A1185">
            <v>1185</v>
          </cell>
        </row>
        <row r="1186">
          <cell r="A1186">
            <v>1186</v>
          </cell>
        </row>
        <row r="1187">
          <cell r="A1187">
            <v>1187</v>
          </cell>
        </row>
        <row r="1188">
          <cell r="A1188">
            <v>1188</v>
          </cell>
        </row>
        <row r="1189">
          <cell r="A1189">
            <v>1189</v>
          </cell>
        </row>
        <row r="1190">
          <cell r="A1190">
            <v>1190</v>
          </cell>
        </row>
        <row r="1191">
          <cell r="A1191">
            <v>1191</v>
          </cell>
        </row>
        <row r="1192">
          <cell r="A1192">
            <v>1192</v>
          </cell>
        </row>
        <row r="1193">
          <cell r="A1193">
            <v>1193</v>
          </cell>
        </row>
        <row r="1194">
          <cell r="A1194">
            <v>1194</v>
          </cell>
        </row>
        <row r="1195">
          <cell r="A1195">
            <v>1195</v>
          </cell>
        </row>
        <row r="1196">
          <cell r="A1196">
            <v>1196</v>
          </cell>
        </row>
        <row r="1197">
          <cell r="A1197">
            <v>1197</v>
          </cell>
        </row>
        <row r="1198">
          <cell r="A1198">
            <v>1198</v>
          </cell>
        </row>
        <row r="1199">
          <cell r="A1199">
            <v>1199</v>
          </cell>
        </row>
        <row r="1200">
          <cell r="A1200">
            <v>1200</v>
          </cell>
        </row>
        <row r="1201">
          <cell r="A1201">
            <v>1201</v>
          </cell>
        </row>
        <row r="1202">
          <cell r="A1202">
            <v>1202</v>
          </cell>
        </row>
        <row r="1203">
          <cell r="A1203">
            <v>1203</v>
          </cell>
        </row>
        <row r="1204">
          <cell r="A1204">
            <v>1204</v>
          </cell>
        </row>
        <row r="1205">
          <cell r="A1205">
            <v>1205</v>
          </cell>
        </row>
        <row r="1206">
          <cell r="A1206">
            <v>1206</v>
          </cell>
        </row>
        <row r="1207">
          <cell r="A1207">
            <v>1207</v>
          </cell>
        </row>
        <row r="1208">
          <cell r="A1208">
            <v>1208</v>
          </cell>
        </row>
        <row r="1209">
          <cell r="A1209">
            <v>1209</v>
          </cell>
        </row>
        <row r="1210">
          <cell r="A1210">
            <v>1210</v>
          </cell>
        </row>
        <row r="1211">
          <cell r="A1211">
            <v>1211</v>
          </cell>
        </row>
        <row r="1212">
          <cell r="A1212">
            <v>1212</v>
          </cell>
        </row>
        <row r="1213">
          <cell r="A1213">
            <v>1213</v>
          </cell>
        </row>
        <row r="1214">
          <cell r="A1214">
            <v>1214</v>
          </cell>
        </row>
        <row r="1215">
          <cell r="A1215">
            <v>1215</v>
          </cell>
        </row>
        <row r="1216">
          <cell r="A1216">
            <v>1216</v>
          </cell>
        </row>
        <row r="1217">
          <cell r="A1217">
            <v>1217</v>
          </cell>
        </row>
        <row r="1218">
          <cell r="A1218">
            <v>1218</v>
          </cell>
        </row>
        <row r="1219">
          <cell r="A1219">
            <v>1219</v>
          </cell>
        </row>
        <row r="1220">
          <cell r="A1220">
            <v>1220</v>
          </cell>
        </row>
        <row r="1221">
          <cell r="A1221">
            <v>1221</v>
          </cell>
        </row>
        <row r="1222">
          <cell r="A1222">
            <v>1222</v>
          </cell>
        </row>
        <row r="1223">
          <cell r="A1223">
            <v>1223</v>
          </cell>
        </row>
        <row r="1224">
          <cell r="A1224">
            <v>1224</v>
          </cell>
        </row>
        <row r="1225">
          <cell r="A1225">
            <v>1225</v>
          </cell>
        </row>
        <row r="1226">
          <cell r="A1226">
            <v>1226</v>
          </cell>
        </row>
        <row r="1227">
          <cell r="A1227">
            <v>1227</v>
          </cell>
        </row>
        <row r="1228">
          <cell r="A1228">
            <v>1228</v>
          </cell>
        </row>
        <row r="1229">
          <cell r="A1229">
            <v>1229</v>
          </cell>
        </row>
        <row r="1230">
          <cell r="A1230">
            <v>1230</v>
          </cell>
        </row>
        <row r="1231">
          <cell r="A1231">
            <v>1231</v>
          </cell>
        </row>
        <row r="1232">
          <cell r="A1232">
            <v>1232</v>
          </cell>
        </row>
        <row r="1233">
          <cell r="A1233">
            <v>1233</v>
          </cell>
        </row>
        <row r="1234">
          <cell r="A1234">
            <v>1234</v>
          </cell>
        </row>
        <row r="1235">
          <cell r="A1235">
            <v>1235</v>
          </cell>
        </row>
        <row r="1236">
          <cell r="A1236">
            <v>1236</v>
          </cell>
        </row>
        <row r="1237">
          <cell r="A1237">
            <v>1237</v>
          </cell>
        </row>
        <row r="1238">
          <cell r="A1238">
            <v>1238</v>
          </cell>
        </row>
        <row r="1239">
          <cell r="A1239">
            <v>1239</v>
          </cell>
        </row>
        <row r="1240">
          <cell r="A1240">
            <v>1240</v>
          </cell>
        </row>
        <row r="1241">
          <cell r="A1241">
            <v>1241</v>
          </cell>
        </row>
        <row r="1242">
          <cell r="A1242">
            <v>1242</v>
          </cell>
        </row>
        <row r="1243">
          <cell r="A1243">
            <v>1243</v>
          </cell>
        </row>
        <row r="1244">
          <cell r="A1244">
            <v>1244</v>
          </cell>
        </row>
        <row r="1245">
          <cell r="A1245">
            <v>1245</v>
          </cell>
        </row>
        <row r="1246">
          <cell r="A1246">
            <v>1246</v>
          </cell>
        </row>
        <row r="1247">
          <cell r="A1247">
            <v>1247</v>
          </cell>
        </row>
        <row r="1248">
          <cell r="A1248">
            <v>1248</v>
          </cell>
        </row>
        <row r="1249">
          <cell r="A1249">
            <v>1249</v>
          </cell>
        </row>
        <row r="1250">
          <cell r="A1250">
            <v>1250</v>
          </cell>
        </row>
        <row r="1251">
          <cell r="A1251">
            <v>1251</v>
          </cell>
        </row>
        <row r="1252">
          <cell r="A1252">
            <v>1252</v>
          </cell>
        </row>
        <row r="1253">
          <cell r="A1253">
            <v>1253</v>
          </cell>
        </row>
        <row r="1254">
          <cell r="A1254">
            <v>1254</v>
          </cell>
        </row>
        <row r="1255">
          <cell r="A1255">
            <v>1255</v>
          </cell>
        </row>
        <row r="1256">
          <cell r="A1256">
            <v>1256</v>
          </cell>
        </row>
        <row r="1257">
          <cell r="A1257">
            <v>1257</v>
          </cell>
        </row>
        <row r="1258">
          <cell r="A1258">
            <v>1258</v>
          </cell>
        </row>
        <row r="1259">
          <cell r="A1259">
            <v>1259</v>
          </cell>
        </row>
        <row r="1260">
          <cell r="A1260">
            <v>1260</v>
          </cell>
        </row>
        <row r="1261">
          <cell r="A1261">
            <v>1261</v>
          </cell>
        </row>
        <row r="1262">
          <cell r="A1262">
            <v>1262</v>
          </cell>
        </row>
        <row r="1263">
          <cell r="A1263">
            <v>1263</v>
          </cell>
        </row>
        <row r="1264">
          <cell r="A1264">
            <v>1264</v>
          </cell>
        </row>
        <row r="1265">
          <cell r="A1265">
            <v>1265</v>
          </cell>
        </row>
        <row r="1266">
          <cell r="A1266">
            <v>1266</v>
          </cell>
        </row>
        <row r="1267">
          <cell r="A1267">
            <v>1267</v>
          </cell>
        </row>
        <row r="1268">
          <cell r="A1268">
            <v>1268</v>
          </cell>
        </row>
        <row r="1269">
          <cell r="A1269">
            <v>1269</v>
          </cell>
        </row>
        <row r="1270">
          <cell r="A1270">
            <v>1270</v>
          </cell>
        </row>
        <row r="1271">
          <cell r="A1271">
            <v>1271</v>
          </cell>
        </row>
        <row r="1272">
          <cell r="A1272">
            <v>1272</v>
          </cell>
        </row>
        <row r="1273">
          <cell r="A1273">
            <v>1273</v>
          </cell>
        </row>
        <row r="1274">
          <cell r="A1274">
            <v>1274</v>
          </cell>
        </row>
        <row r="1275">
          <cell r="A1275">
            <v>1275</v>
          </cell>
        </row>
        <row r="1276">
          <cell r="A1276">
            <v>1276</v>
          </cell>
        </row>
        <row r="1277">
          <cell r="A1277">
            <v>1277</v>
          </cell>
        </row>
        <row r="1278">
          <cell r="A1278">
            <v>1278</v>
          </cell>
        </row>
        <row r="1279">
          <cell r="A1279">
            <v>1279</v>
          </cell>
        </row>
        <row r="1280">
          <cell r="A1280">
            <v>1280</v>
          </cell>
        </row>
        <row r="1281">
          <cell r="A1281">
            <v>1281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전체계약집계표"/>
      <sheetName val="요인별증감내역(전시) (2)"/>
      <sheetName val="원가"/>
      <sheetName val="진열장내역서"/>
      <sheetName val="산출"/>
      <sheetName val="LIST"/>
      <sheetName val="일위목록"/>
      <sheetName val="일위대가"/>
      <sheetName val="단가"/>
      <sheetName val="노임"/>
    </sheetNames>
    <sheetDataSet>
      <sheetData sheetId="0">
        <row r="2">
          <cell r="B2" t="str">
            <v>건명 : 경기도박물관 전시실 리뉴얼 디자인 설계 용역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적격점수"/>
      <sheetName val="심사평가"/>
      <sheetName val="자재인력"/>
      <sheetName val="설계실행"/>
      <sheetName val="관리비"/>
      <sheetName val="표지1"/>
      <sheetName val="총괄1"/>
      <sheetName val="하도사항1"/>
      <sheetName val="별지1"/>
      <sheetName val="토공11"/>
      <sheetName val="토공12"/>
      <sheetName val="토공13"/>
      <sheetName val="토공14"/>
      <sheetName val="토공15"/>
      <sheetName val="철콘11"/>
      <sheetName val="철콘12"/>
      <sheetName val="철콘13"/>
      <sheetName val="철콘14"/>
      <sheetName val="철콘15"/>
      <sheetName val="철강1"/>
      <sheetName val="표지2"/>
      <sheetName val="총괄2"/>
      <sheetName val="하도사항2"/>
      <sheetName val="별지2"/>
      <sheetName val="토공21"/>
      <sheetName val="토공22"/>
      <sheetName val="토공23"/>
      <sheetName val="토공24"/>
      <sheetName val="토공25"/>
      <sheetName val="철콘21"/>
      <sheetName val="철콘22"/>
      <sheetName val="철콘23"/>
      <sheetName val="철콘24"/>
      <sheetName val="철콘25"/>
      <sheetName val="철강2"/>
      <sheetName val="조경"/>
      <sheetName val="포장"/>
      <sheetName val="P-F"/>
      <sheetName val="선정.1"/>
      <sheetName val="선정.2"/>
      <sheetName val="선정.3"/>
      <sheetName val="선정.4"/>
      <sheetName val="선정.5"/>
      <sheetName val="견적결과"/>
      <sheetName val="집행(1)"/>
      <sheetName val="집행(2)"/>
      <sheetName val="합의서"/>
      <sheetName val="견적조건"/>
      <sheetName val="전기집계"/>
      <sheetName val="전기투찰"/>
      <sheetName val="토목총괄"/>
      <sheetName val="전기총괄"/>
      <sheetName val="전기일위목록"/>
      <sheetName val="단가산출"/>
      <sheetName val="I一般比"/>
      <sheetName val="을"/>
      <sheetName val="#REF"/>
      <sheetName val="MOTOR"/>
      <sheetName val="추풍최종"/>
      <sheetName val="일위목록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전체계약집계표"/>
      <sheetName val="요인별증감내역(전시) (2)"/>
      <sheetName val="원가"/>
      <sheetName val="진열장내역서"/>
      <sheetName val="산출"/>
      <sheetName val="LIST"/>
      <sheetName val="일위목록"/>
      <sheetName val="일위대가"/>
      <sheetName val="단가"/>
      <sheetName val="노임"/>
      <sheetName val="Sheet3"/>
    </sheetNames>
    <sheetDataSet>
      <sheetData sheetId="0"/>
      <sheetData sheetId="1"/>
      <sheetData sheetId="2"/>
      <sheetData sheetId="3"/>
      <sheetData sheetId="4">
        <row r="27">
          <cell r="J27">
            <v>777658440</v>
          </cell>
          <cell r="L27">
            <v>421949585</v>
          </cell>
        </row>
      </sheetData>
      <sheetData sheetId="5">
        <row r="13">
          <cell r="A13" t="str">
            <v>SC-101</v>
          </cell>
          <cell r="B13" t="str">
            <v>벽부형진열장(전동형)</v>
          </cell>
          <cell r="C13" t="str">
            <v>L: 4500 D: 1100 H: 3600 FH: 300 GH: 2600 UH: 700</v>
          </cell>
          <cell r="D13" t="str">
            <v>SET</v>
          </cell>
          <cell r="F13">
            <v>1</v>
          </cell>
        </row>
        <row r="14">
          <cell r="B14" t="str">
            <v>- 구조틀</v>
          </cell>
        </row>
        <row r="15">
          <cell r="B15" t="str">
            <v>각파이프(방청)</v>
          </cell>
          <cell r="C15" t="str">
            <v>50*50*1.4T</v>
          </cell>
          <cell r="D15" t="str">
            <v>M</v>
          </cell>
          <cell r="F15">
            <v>160.29999999999998</v>
          </cell>
        </row>
        <row r="16">
          <cell r="B16" t="str">
            <v>각파이프(방청)</v>
          </cell>
          <cell r="C16" t="str">
            <v>100*50*2.3T</v>
          </cell>
          <cell r="D16" t="str">
            <v>M</v>
          </cell>
          <cell r="F16">
            <v>25.2</v>
          </cell>
        </row>
        <row r="17">
          <cell r="B17" t="str">
            <v>- 잡철물</v>
          </cell>
        </row>
        <row r="18">
          <cell r="B18" t="str">
            <v>갈바후레임제작설치</v>
          </cell>
          <cell r="C18" t="str">
            <v>1.6T</v>
          </cell>
          <cell r="D18" t="str">
            <v>M2</v>
          </cell>
          <cell r="F18">
            <v>1.4175</v>
          </cell>
          <cell r="G18" t="str">
            <v>상부점검도어 몰딩</v>
          </cell>
        </row>
        <row r="19">
          <cell r="B19" t="str">
            <v>갈바후레임제작설치</v>
          </cell>
          <cell r="C19" t="str">
            <v>1.6T</v>
          </cell>
          <cell r="D19" t="str">
            <v>M2</v>
          </cell>
          <cell r="F19">
            <v>2.214</v>
          </cell>
          <cell r="G19" t="str">
            <v>상부전면천장유리후레임</v>
          </cell>
        </row>
        <row r="20">
          <cell r="B20" t="str">
            <v>갈바후레임제작설치</v>
          </cell>
          <cell r="C20" t="str">
            <v>1.6T</v>
          </cell>
          <cell r="D20" t="str">
            <v>M2</v>
          </cell>
          <cell r="F20">
            <v>2.9744999999999999</v>
          </cell>
          <cell r="G20" t="str">
            <v>배면천장몰딩</v>
          </cell>
        </row>
        <row r="21">
          <cell r="B21" t="str">
            <v>갈바후레임제작설치</v>
          </cell>
          <cell r="C21" t="str">
            <v>1.6T</v>
          </cell>
          <cell r="D21" t="str">
            <v>M2</v>
          </cell>
          <cell r="F21">
            <v>0.92249999999999999</v>
          </cell>
          <cell r="G21" t="str">
            <v>그림걸이레일보강</v>
          </cell>
        </row>
        <row r="22">
          <cell r="B22" t="str">
            <v>갈바후레임제작설치</v>
          </cell>
          <cell r="C22" t="str">
            <v>1.6T</v>
          </cell>
        </row>
        <row r="23">
          <cell r="B23" t="str">
            <v>갈바후레임제작설치</v>
          </cell>
          <cell r="C23" t="str">
            <v>1.6T</v>
          </cell>
          <cell r="D23" t="str">
            <v>M2</v>
          </cell>
          <cell r="F23">
            <v>3.8640000000000008</v>
          </cell>
          <cell r="G23" t="str">
            <v>배면 사이드 몰딩</v>
          </cell>
        </row>
        <row r="24">
          <cell r="B24" t="str">
            <v>갈바후레임제작설치</v>
          </cell>
          <cell r="C24" t="str">
            <v>1.6T</v>
          </cell>
          <cell r="D24" t="str">
            <v>M2</v>
          </cell>
          <cell r="F24">
            <v>1.1440000000000001</v>
          </cell>
          <cell r="G24" t="str">
            <v>외부 측면 후레임</v>
          </cell>
        </row>
        <row r="25">
          <cell r="B25" t="str">
            <v>갈바후레임제작설치</v>
          </cell>
          <cell r="C25" t="str">
            <v>1.6T</v>
          </cell>
          <cell r="D25" t="str">
            <v>M2</v>
          </cell>
          <cell r="F25">
            <v>2.1743999999999999</v>
          </cell>
          <cell r="G25" t="str">
            <v>측면 유리 몰딩</v>
          </cell>
        </row>
        <row r="26">
          <cell r="B26" t="str">
            <v>알루미늄판취부</v>
          </cell>
          <cell r="C26" t="str">
            <v>4T*900*1800</v>
          </cell>
          <cell r="D26" t="str">
            <v>M2</v>
          </cell>
          <cell r="F26">
            <v>3.15</v>
          </cell>
          <cell r="G26" t="str">
            <v>상부점검도어 커버</v>
          </cell>
        </row>
        <row r="27">
          <cell r="B27" t="str">
            <v>- 잡철물</v>
          </cell>
        </row>
        <row r="28">
          <cell r="B28" t="str">
            <v>갈바후레임제작설치</v>
          </cell>
          <cell r="C28" t="str">
            <v>1.6T</v>
          </cell>
          <cell r="D28" t="str">
            <v>M2</v>
          </cell>
          <cell r="F28">
            <v>2.0385</v>
          </cell>
          <cell r="G28" t="str">
            <v>하부전면후레임</v>
          </cell>
        </row>
        <row r="29">
          <cell r="B29" t="str">
            <v>갈바후레임제작설치</v>
          </cell>
          <cell r="C29" t="str">
            <v>1.6T</v>
          </cell>
          <cell r="D29" t="str">
            <v>M2</v>
          </cell>
          <cell r="F29">
            <v>0.78299999999999992</v>
          </cell>
          <cell r="G29" t="str">
            <v>하부바닥받침몰딩</v>
          </cell>
        </row>
        <row r="30">
          <cell r="B30" t="str">
            <v>갈바후레임제작설치</v>
          </cell>
          <cell r="C30" t="str">
            <v>1.6T</v>
          </cell>
          <cell r="D30" t="str">
            <v>M2</v>
          </cell>
          <cell r="F30">
            <v>0.59850000000000003</v>
          </cell>
          <cell r="G30" t="str">
            <v>하부 걸레받이</v>
          </cell>
        </row>
        <row r="31">
          <cell r="B31" t="str">
            <v>- SYSTEM 장치</v>
          </cell>
        </row>
        <row r="32">
          <cell r="B32" t="str">
            <v>피아노경첩 제작설치</v>
          </cell>
          <cell r="D32" t="str">
            <v>M</v>
          </cell>
          <cell r="F32">
            <v>9</v>
          </cell>
        </row>
        <row r="33">
          <cell r="B33" t="str">
            <v>LOCK SET 제작설치</v>
          </cell>
          <cell r="C33" t="str">
            <v>시건장치</v>
          </cell>
          <cell r="D33" t="str">
            <v>set</v>
          </cell>
          <cell r="F33">
            <v>3</v>
          </cell>
        </row>
        <row r="34">
          <cell r="B34" t="str">
            <v>AL.패킹바 제작설치</v>
          </cell>
          <cell r="D34" t="str">
            <v>M</v>
          </cell>
          <cell r="F34">
            <v>9</v>
          </cell>
        </row>
        <row r="35">
          <cell r="B35" t="str">
            <v>밀폐패킹 설치</v>
          </cell>
          <cell r="C35" t="str">
            <v>대형</v>
          </cell>
          <cell r="D35" t="str">
            <v>M</v>
          </cell>
          <cell r="F35">
            <v>14.2</v>
          </cell>
        </row>
        <row r="36">
          <cell r="B36" t="str">
            <v>AL.사출유리후렘 제작설치</v>
          </cell>
          <cell r="C36" t="str">
            <v>벽부장(상부)</v>
          </cell>
          <cell r="D36" t="str">
            <v>M</v>
          </cell>
          <cell r="F36">
            <v>4.5</v>
          </cell>
        </row>
        <row r="37">
          <cell r="B37" t="str">
            <v>AL.사출유리후렘 제작설치</v>
          </cell>
          <cell r="C37" t="str">
            <v>벽부장(하부)</v>
          </cell>
          <cell r="D37" t="str">
            <v>M</v>
          </cell>
          <cell r="F37">
            <v>4.5</v>
          </cell>
        </row>
        <row r="38">
          <cell r="B38" t="str">
            <v>모터구동시스템 설치</v>
          </cell>
          <cell r="C38" t="str">
            <v>웜기어 전동실린더</v>
          </cell>
          <cell r="D38" t="str">
            <v>SET</v>
          </cell>
          <cell r="F38">
            <v>12</v>
          </cell>
        </row>
        <row r="39">
          <cell r="B39" t="str">
            <v>LM가이드시스템 가공 설치</v>
          </cell>
          <cell r="C39" t="str">
            <v>Ø25</v>
          </cell>
          <cell r="D39" t="str">
            <v>SET</v>
          </cell>
          <cell r="F39">
            <v>24</v>
          </cell>
        </row>
        <row r="40">
          <cell r="B40" t="str">
            <v>베어링레일및가공 설치</v>
          </cell>
          <cell r="C40" t="str">
            <v>22*42 2.3T 가공</v>
          </cell>
          <cell r="D40" t="str">
            <v>M</v>
          </cell>
          <cell r="F40">
            <v>9</v>
          </cell>
        </row>
        <row r="41">
          <cell r="B41" t="str">
            <v>슬라이딩베어링 가공조립</v>
          </cell>
          <cell r="C41" t="str">
            <v>Ø26</v>
          </cell>
          <cell r="D41" t="str">
            <v>EA</v>
          </cell>
          <cell r="F41">
            <v>116</v>
          </cell>
        </row>
        <row r="42">
          <cell r="B42" t="str">
            <v>베어링 붓싱가공조립</v>
          </cell>
          <cell r="C42" t="str">
            <v>#6200</v>
          </cell>
          <cell r="D42" t="str">
            <v>EA</v>
          </cell>
          <cell r="F42">
            <v>116</v>
          </cell>
        </row>
        <row r="43">
          <cell r="B43" t="str">
            <v>유압쇽업쇼바 제작설치</v>
          </cell>
          <cell r="C43" t="str">
            <v>20kg</v>
          </cell>
          <cell r="D43" t="str">
            <v>SET</v>
          </cell>
          <cell r="F43">
            <v>4</v>
          </cell>
        </row>
        <row r="44">
          <cell r="B44" t="str">
            <v>센터베어링및스톱파 가공조립</v>
          </cell>
          <cell r="C44" t="str">
            <v>독립형1단</v>
          </cell>
          <cell r="D44" t="str">
            <v>SET</v>
          </cell>
          <cell r="F44">
            <v>2</v>
          </cell>
        </row>
        <row r="45">
          <cell r="B45" t="str">
            <v>전후진 전동콘트롤 제작설치</v>
          </cell>
          <cell r="C45" t="str">
            <v>독립형</v>
          </cell>
          <cell r="D45" t="str">
            <v>SET</v>
          </cell>
          <cell r="F45">
            <v>2</v>
          </cell>
        </row>
        <row r="46">
          <cell r="B46" t="str">
            <v>- 수장공사</v>
          </cell>
        </row>
        <row r="47">
          <cell r="B47" t="str">
            <v>내부도배</v>
          </cell>
          <cell r="C47" t="str">
            <v>세마직벽지</v>
          </cell>
          <cell r="D47" t="str">
            <v>M2</v>
          </cell>
          <cell r="F47">
            <v>31.769999999999996</v>
          </cell>
        </row>
        <row r="48">
          <cell r="B48" t="str">
            <v>바탕처리</v>
          </cell>
          <cell r="C48" t="str">
            <v>도배퍼티</v>
          </cell>
          <cell r="D48" t="str">
            <v>M2</v>
          </cell>
          <cell r="F48">
            <v>31.769999999999996</v>
          </cell>
        </row>
        <row r="49">
          <cell r="B49" t="str">
            <v>합판취부</v>
          </cell>
          <cell r="C49" t="str">
            <v>T11.5mm 2PLY</v>
          </cell>
          <cell r="D49" t="str">
            <v>M2</v>
          </cell>
          <cell r="F49">
            <v>4.95</v>
          </cell>
        </row>
        <row r="50">
          <cell r="B50" t="str">
            <v>합판취부</v>
          </cell>
          <cell r="C50" t="str">
            <v>T8.5mm 1PLY</v>
          </cell>
          <cell r="D50" t="str">
            <v>M2</v>
          </cell>
          <cell r="F50">
            <v>32.4</v>
          </cell>
        </row>
        <row r="51">
          <cell r="B51" t="str">
            <v>진열장석고보드취부</v>
          </cell>
          <cell r="C51" t="str">
            <v>T9.5mm*2PLY</v>
          </cell>
          <cell r="D51" t="str">
            <v>M2</v>
          </cell>
          <cell r="F51">
            <v>2.6999999999999997</v>
          </cell>
        </row>
        <row r="52">
          <cell r="B52" t="str">
            <v>우레탄칼라락카도장</v>
          </cell>
          <cell r="C52" t="str">
            <v>철재면기준</v>
          </cell>
          <cell r="D52" t="str">
            <v>M2</v>
          </cell>
          <cell r="F52">
            <v>25.360900000000001</v>
          </cell>
        </row>
        <row r="53">
          <cell r="B53" t="str">
            <v>바탕처리</v>
          </cell>
          <cell r="C53" t="str">
            <v>철재면기준</v>
          </cell>
          <cell r="D53" t="str">
            <v>M2</v>
          </cell>
          <cell r="F53">
            <v>25.360900000000001</v>
          </cell>
        </row>
        <row r="54">
          <cell r="B54" t="str">
            <v>- 유리공사</v>
          </cell>
        </row>
        <row r="55">
          <cell r="B55" t="str">
            <v>화이트 접합유리 끼우기</v>
          </cell>
          <cell r="C55" t="str">
            <v>T12.76mm (2,400*3,400기준)</v>
          </cell>
          <cell r="D55" t="str">
            <v>M2</v>
          </cell>
          <cell r="F55">
            <v>12.690000000000001</v>
          </cell>
        </row>
        <row r="56">
          <cell r="B56" t="str">
            <v>조명용아크릴 가공 설치</v>
          </cell>
          <cell r="C56" t="str">
            <v>T5mm</v>
          </cell>
          <cell r="D56" t="str">
            <v>m2</v>
          </cell>
          <cell r="F56">
            <v>0.67499999999999993</v>
          </cell>
        </row>
        <row r="57">
          <cell r="B57" t="str">
            <v>코킹</v>
          </cell>
          <cell r="D57" t="str">
            <v>M</v>
          </cell>
          <cell r="F57">
            <v>43.92</v>
          </cell>
        </row>
        <row r="58">
          <cell r="B58" t="str">
            <v>면    취</v>
          </cell>
          <cell r="D58" t="str">
            <v>M</v>
          </cell>
          <cell r="F58">
            <v>40.56</v>
          </cell>
        </row>
        <row r="59">
          <cell r="B59" t="str">
            <v>- 전기공사</v>
          </cell>
        </row>
        <row r="60">
          <cell r="B60" t="str">
            <v>LED 포인트조명설치(벽부형)</v>
          </cell>
          <cell r="C60" t="str">
            <v>15W이하</v>
          </cell>
          <cell r="D60" t="str">
            <v>ea</v>
          </cell>
          <cell r="F60">
            <v>12</v>
          </cell>
        </row>
        <row r="61">
          <cell r="B61" t="str">
            <v>LED bar조명설치</v>
          </cell>
          <cell r="C61" t="str">
            <v>30W이하</v>
          </cell>
          <cell r="D61" t="str">
            <v>M</v>
          </cell>
          <cell r="F61">
            <v>9</v>
          </cell>
        </row>
        <row r="62">
          <cell r="B62" t="str">
            <v>LED 포인트조명 컨트롤제작설치</v>
          </cell>
          <cell r="C62" t="str">
            <v>컨트롤러(16채널)</v>
          </cell>
          <cell r="D62" t="str">
            <v>set</v>
          </cell>
          <cell r="F62">
            <v>1</v>
          </cell>
        </row>
        <row r="63">
          <cell r="B63" t="str">
            <v>LED bar조명 컨트롤제작설치</v>
          </cell>
          <cell r="C63" t="str">
            <v>컨트롤러</v>
          </cell>
          <cell r="D63" t="str">
            <v>set</v>
          </cell>
          <cell r="F63">
            <v>1</v>
          </cell>
        </row>
        <row r="72">
          <cell r="A72" t="str">
            <v>SC-102</v>
          </cell>
          <cell r="B72" t="str">
            <v>벽부형진열장(전동형)</v>
          </cell>
          <cell r="C72" t="str">
            <v>L: 5000 D: 1300 H: 3600 FH: 300 GH: 2600 UH: 700</v>
          </cell>
          <cell r="D72" t="str">
            <v>SET</v>
          </cell>
          <cell r="F72">
            <v>2</v>
          </cell>
        </row>
        <row r="73">
          <cell r="B73" t="str">
            <v>- 구조틀</v>
          </cell>
        </row>
        <row r="74">
          <cell r="B74" t="str">
            <v>각파이프(방청)</v>
          </cell>
          <cell r="C74" t="str">
            <v>50*50*1.4T</v>
          </cell>
          <cell r="D74" t="str">
            <v>M</v>
          </cell>
          <cell r="F74">
            <v>175.5</v>
          </cell>
        </row>
        <row r="75">
          <cell r="B75" t="str">
            <v>각파이프(방청)</v>
          </cell>
          <cell r="C75" t="str">
            <v>100*50*2.3T</v>
          </cell>
          <cell r="D75" t="str">
            <v>M</v>
          </cell>
          <cell r="F75">
            <v>27.2</v>
          </cell>
        </row>
        <row r="76">
          <cell r="B76" t="str">
            <v>- 잡철물</v>
          </cell>
          <cell r="C76" t="str">
            <v xml:space="preserve"> 상부</v>
          </cell>
        </row>
        <row r="77">
          <cell r="B77" t="str">
            <v>갈바후레임제작설치</v>
          </cell>
          <cell r="C77" t="str">
            <v>1.6T</v>
          </cell>
          <cell r="D77" t="str">
            <v>M2</v>
          </cell>
          <cell r="F77">
            <v>1.575</v>
          </cell>
          <cell r="G77" t="str">
            <v>상부점검도어 몰딩</v>
          </cell>
        </row>
        <row r="78">
          <cell r="B78" t="str">
            <v>갈바후레임제작설치</v>
          </cell>
          <cell r="C78" t="str">
            <v>1.6T</v>
          </cell>
          <cell r="D78" t="str">
            <v>M2</v>
          </cell>
          <cell r="F78">
            <v>2.46</v>
          </cell>
          <cell r="G78" t="str">
            <v>상부전면천장유리후레임</v>
          </cell>
        </row>
        <row r="79">
          <cell r="B79" t="str">
            <v>갈바후레임제작설치</v>
          </cell>
          <cell r="C79" t="str">
            <v>1.6T</v>
          </cell>
          <cell r="D79" t="str">
            <v>M2</v>
          </cell>
          <cell r="F79">
            <v>3.3050000000000002</v>
          </cell>
          <cell r="G79" t="str">
            <v>배면천장몰딩</v>
          </cell>
        </row>
        <row r="80">
          <cell r="B80" t="str">
            <v>갈바후레임제작설치</v>
          </cell>
          <cell r="C80" t="str">
            <v>1.6T</v>
          </cell>
          <cell r="D80" t="str">
            <v>M2</v>
          </cell>
          <cell r="F80">
            <v>1.0249999999999999</v>
          </cell>
          <cell r="G80" t="str">
            <v>그림걸이레일보강</v>
          </cell>
        </row>
        <row r="81">
          <cell r="B81" t="str">
            <v>갈바후레임제작설치</v>
          </cell>
          <cell r="C81" t="str">
            <v>1.6T</v>
          </cell>
          <cell r="D81" t="str">
            <v>M2</v>
          </cell>
          <cell r="F81">
            <v>4.72</v>
          </cell>
          <cell r="G81" t="str">
            <v>상부점검도어</v>
          </cell>
        </row>
        <row r="82">
          <cell r="B82" t="str">
            <v>갈바후레임제작설치</v>
          </cell>
          <cell r="C82" t="str">
            <v>1.6T</v>
          </cell>
          <cell r="D82" t="str">
            <v>M2</v>
          </cell>
          <cell r="F82">
            <v>4.2000000000000011</v>
          </cell>
          <cell r="G82" t="str">
            <v>배면 사이드 몰딩</v>
          </cell>
        </row>
        <row r="83">
          <cell r="B83" t="str">
            <v>갈바후레임제작설치</v>
          </cell>
          <cell r="C83" t="str">
            <v>1.6T</v>
          </cell>
          <cell r="D83" t="str">
            <v>M2</v>
          </cell>
          <cell r="F83">
            <v>1.3520000000000001</v>
          </cell>
          <cell r="G83" t="str">
            <v>외부 측면 후레임</v>
          </cell>
        </row>
        <row r="84">
          <cell r="B84" t="str">
            <v>갈바후레임제작설치</v>
          </cell>
          <cell r="C84" t="str">
            <v>1.6T</v>
          </cell>
          <cell r="D84" t="str">
            <v>M2</v>
          </cell>
          <cell r="F84">
            <v>2.1743999999999999</v>
          </cell>
          <cell r="G84" t="str">
            <v>측면 유리 몰딩</v>
          </cell>
        </row>
        <row r="85">
          <cell r="B85" t="str">
            <v>알루미늄판취부</v>
          </cell>
          <cell r="C85" t="str">
            <v>4T*900*1800</v>
          </cell>
          <cell r="D85" t="str">
            <v>M2</v>
          </cell>
          <cell r="F85">
            <v>3.5</v>
          </cell>
          <cell r="G85" t="str">
            <v>상부점검도어 커버</v>
          </cell>
        </row>
        <row r="86">
          <cell r="B86" t="str">
            <v>- 잡철물</v>
          </cell>
          <cell r="C86" t="str">
            <v xml:space="preserve"> 하부</v>
          </cell>
        </row>
        <row r="87">
          <cell r="B87" t="str">
            <v>갈바후레임제작설치</v>
          </cell>
          <cell r="C87" t="str">
            <v>1.6T</v>
          </cell>
          <cell r="D87" t="str">
            <v>M2</v>
          </cell>
          <cell r="F87">
            <v>2.2650000000000001</v>
          </cell>
          <cell r="G87" t="str">
            <v>하부전면후레임</v>
          </cell>
        </row>
        <row r="88">
          <cell r="B88" t="str">
            <v>갈바후레임제작설치</v>
          </cell>
          <cell r="C88" t="str">
            <v>1.6T</v>
          </cell>
          <cell r="D88" t="str">
            <v>M2</v>
          </cell>
          <cell r="F88">
            <v>0.86999999999999988</v>
          </cell>
          <cell r="G88" t="str">
            <v>하부바닥받침몰딩</v>
          </cell>
        </row>
        <row r="89">
          <cell r="B89" t="str">
            <v>갈바후레임제작설치</v>
          </cell>
          <cell r="C89" t="str">
            <v>1.6T</v>
          </cell>
          <cell r="D89" t="str">
            <v>M2</v>
          </cell>
          <cell r="F89">
            <v>0.66500000000000004</v>
          </cell>
          <cell r="G89" t="str">
            <v>하부 걸레받이</v>
          </cell>
        </row>
        <row r="90">
          <cell r="B90" t="str">
            <v>- SYSTEM 장치</v>
          </cell>
        </row>
        <row r="91">
          <cell r="B91" t="str">
            <v>피아노경첩 제작설치</v>
          </cell>
          <cell r="D91" t="str">
            <v>M</v>
          </cell>
          <cell r="F91">
            <v>10</v>
          </cell>
        </row>
        <row r="92">
          <cell r="B92" t="str">
            <v>LOCK SET 제작설치</v>
          </cell>
          <cell r="C92" t="str">
            <v>시건장치</v>
          </cell>
          <cell r="D92" t="str">
            <v>set</v>
          </cell>
          <cell r="F92">
            <v>3</v>
          </cell>
        </row>
        <row r="93">
          <cell r="B93" t="str">
            <v>AL.패킹바 제작설치</v>
          </cell>
          <cell r="D93" t="str">
            <v>M</v>
          </cell>
          <cell r="F93">
            <v>10</v>
          </cell>
        </row>
        <row r="94">
          <cell r="B94" t="str">
            <v>밀폐패킹 설치</v>
          </cell>
          <cell r="C94" t="str">
            <v>대형</v>
          </cell>
          <cell r="D94" t="str">
            <v>M</v>
          </cell>
          <cell r="F94">
            <v>15.2</v>
          </cell>
        </row>
        <row r="95">
          <cell r="B95" t="str">
            <v>AL.사출유리후렘 제작설치</v>
          </cell>
          <cell r="C95" t="str">
            <v>벽부장(상부)</v>
          </cell>
          <cell r="D95" t="str">
            <v>M</v>
          </cell>
          <cell r="F95">
            <v>5</v>
          </cell>
        </row>
        <row r="96">
          <cell r="B96" t="str">
            <v>AL.사출유리후렘 제작설치</v>
          </cell>
          <cell r="C96" t="str">
            <v>벽부장(하부)</v>
          </cell>
          <cell r="D96" t="str">
            <v>M</v>
          </cell>
          <cell r="F96">
            <v>5</v>
          </cell>
        </row>
        <row r="97">
          <cell r="B97" t="str">
            <v>모터구동시스템 설치</v>
          </cell>
          <cell r="C97" t="str">
            <v>웜기어 전동실린더</v>
          </cell>
          <cell r="D97" t="str">
            <v>SET</v>
          </cell>
          <cell r="F97">
            <v>12</v>
          </cell>
        </row>
        <row r="98">
          <cell r="B98" t="str">
            <v>LM가이드시스템 가공 설치</v>
          </cell>
          <cell r="C98" t="str">
            <v>Ø25</v>
          </cell>
          <cell r="D98" t="str">
            <v>SET</v>
          </cell>
          <cell r="F98">
            <v>24</v>
          </cell>
        </row>
        <row r="99">
          <cell r="B99" t="str">
            <v>베어링레일및가공 설치</v>
          </cell>
          <cell r="C99" t="str">
            <v>22*42 2.3T 가공</v>
          </cell>
          <cell r="D99" t="str">
            <v>M</v>
          </cell>
          <cell r="F99">
            <v>10</v>
          </cell>
        </row>
        <row r="100">
          <cell r="B100" t="str">
            <v>슬라이딩베어링 가공조립</v>
          </cell>
          <cell r="C100" t="str">
            <v>Ø26</v>
          </cell>
          <cell r="D100" t="str">
            <v>EA</v>
          </cell>
          <cell r="F100">
            <v>130</v>
          </cell>
        </row>
        <row r="101">
          <cell r="B101" t="str">
            <v>베어링 붓싱가공조립</v>
          </cell>
          <cell r="C101" t="str">
            <v>#6200</v>
          </cell>
          <cell r="D101" t="str">
            <v>EA</v>
          </cell>
          <cell r="F101">
            <v>130</v>
          </cell>
        </row>
        <row r="102">
          <cell r="B102" t="str">
            <v>유압쇽업쇼바 제작설치</v>
          </cell>
          <cell r="C102" t="str">
            <v>20kg</v>
          </cell>
          <cell r="D102" t="str">
            <v>SET</v>
          </cell>
          <cell r="F102">
            <v>4</v>
          </cell>
        </row>
        <row r="103">
          <cell r="B103" t="str">
            <v>센터베어링및스톱파 가공조립</v>
          </cell>
          <cell r="C103" t="str">
            <v>독립형1단</v>
          </cell>
          <cell r="D103" t="str">
            <v>SET</v>
          </cell>
          <cell r="F103">
            <v>2</v>
          </cell>
        </row>
        <row r="104">
          <cell r="B104" t="str">
            <v>전후진 전동콘트롤 제작설치</v>
          </cell>
          <cell r="C104" t="str">
            <v>독립형</v>
          </cell>
          <cell r="D104" t="str">
            <v>SET</v>
          </cell>
          <cell r="F104">
            <v>2</v>
          </cell>
        </row>
        <row r="105">
          <cell r="B105" t="str">
            <v>- 수장공사</v>
          </cell>
        </row>
        <row r="106">
          <cell r="B106" t="str">
            <v>내부도배</v>
          </cell>
          <cell r="C106" t="str">
            <v>세마직벽지</v>
          </cell>
          <cell r="D106" t="str">
            <v>M2</v>
          </cell>
          <cell r="F106">
            <v>37.86</v>
          </cell>
        </row>
        <row r="107">
          <cell r="B107" t="str">
            <v>바탕처리</v>
          </cell>
          <cell r="C107" t="str">
            <v>도배퍼티</v>
          </cell>
          <cell r="D107" t="str">
            <v>M2</v>
          </cell>
          <cell r="F107">
            <v>37.86</v>
          </cell>
        </row>
        <row r="108">
          <cell r="B108" t="str">
            <v>합판취부</v>
          </cell>
          <cell r="C108" t="str">
            <v>T11.5mm 2PLY</v>
          </cell>
          <cell r="D108" t="str">
            <v>M2</v>
          </cell>
          <cell r="F108">
            <v>6.5</v>
          </cell>
        </row>
        <row r="109">
          <cell r="B109" t="str">
            <v>합판취부</v>
          </cell>
          <cell r="C109" t="str">
            <v>T8.5mm 1PLY</v>
          </cell>
          <cell r="D109" t="str">
            <v>M2</v>
          </cell>
          <cell r="F109">
            <v>36</v>
          </cell>
        </row>
        <row r="110">
          <cell r="B110" t="str">
            <v>진열장석고보드취부</v>
          </cell>
          <cell r="C110" t="str">
            <v>T9.5mm*2PLY</v>
          </cell>
          <cell r="D110" t="str">
            <v>M2</v>
          </cell>
          <cell r="F110">
            <v>4</v>
          </cell>
        </row>
        <row r="111">
          <cell r="B111" t="str">
            <v>우레탄칼라락카도장</v>
          </cell>
          <cell r="C111" t="str">
            <v>철재면기준</v>
          </cell>
          <cell r="D111" t="str">
            <v>M2</v>
          </cell>
          <cell r="F111">
            <v>28.111400000000003</v>
          </cell>
        </row>
        <row r="112">
          <cell r="B112" t="str">
            <v>바탕처리</v>
          </cell>
          <cell r="C112" t="str">
            <v>철재면기준</v>
          </cell>
          <cell r="D112" t="str">
            <v>M2</v>
          </cell>
          <cell r="F112">
            <v>28.111400000000003</v>
          </cell>
        </row>
        <row r="113">
          <cell r="B113" t="str">
            <v>- 유리공사</v>
          </cell>
        </row>
        <row r="114">
          <cell r="B114" t="str">
            <v>화이트 접합유리 끼우기</v>
          </cell>
          <cell r="C114" t="str">
            <v>T12.76mm (2,400*3,400기준)</v>
          </cell>
          <cell r="D114" t="str">
            <v>M2</v>
          </cell>
          <cell r="F114">
            <v>14.100000000000001</v>
          </cell>
        </row>
        <row r="115">
          <cell r="B115" t="str">
            <v>조명용아크릴 가공 설치</v>
          </cell>
          <cell r="C115" t="str">
            <v>T5mm</v>
          </cell>
          <cell r="D115" t="str">
            <v>m2</v>
          </cell>
          <cell r="F115">
            <v>0.75</v>
          </cell>
        </row>
        <row r="116">
          <cell r="B116" t="str">
            <v>코킹</v>
          </cell>
          <cell r="D116" t="str">
            <v>M</v>
          </cell>
          <cell r="F116">
            <v>46.92</v>
          </cell>
        </row>
        <row r="117">
          <cell r="B117" t="str">
            <v>면    취</v>
          </cell>
          <cell r="D117" t="str">
            <v>M</v>
          </cell>
          <cell r="F117">
            <v>42.56</v>
          </cell>
        </row>
        <row r="118">
          <cell r="B118" t="str">
            <v>- 전기공사</v>
          </cell>
        </row>
        <row r="119">
          <cell r="B119" t="str">
            <v>LED 포인트조명설치(벽부형)</v>
          </cell>
          <cell r="C119" t="str">
            <v>15W이하</v>
          </cell>
          <cell r="D119" t="str">
            <v>ea</v>
          </cell>
          <cell r="F119">
            <v>13</v>
          </cell>
        </row>
        <row r="120">
          <cell r="B120" t="str">
            <v>LED bar조명설치</v>
          </cell>
          <cell r="C120" t="str">
            <v>30W이하</v>
          </cell>
          <cell r="D120" t="str">
            <v>M</v>
          </cell>
          <cell r="F120">
            <v>10</v>
          </cell>
        </row>
        <row r="121">
          <cell r="B121" t="str">
            <v>LED 포인트조명 컨트롤제작설치</v>
          </cell>
          <cell r="C121" t="str">
            <v>컨트롤러(16채널)</v>
          </cell>
          <cell r="D121" t="str">
            <v>set</v>
          </cell>
          <cell r="F121">
            <v>1</v>
          </cell>
        </row>
        <row r="122">
          <cell r="B122" t="str">
            <v>LED bar조명 컨트롤제작설치</v>
          </cell>
          <cell r="C122" t="str">
            <v>컨트롤러</v>
          </cell>
          <cell r="D122" t="str">
            <v>set</v>
          </cell>
          <cell r="F122">
            <v>1</v>
          </cell>
        </row>
        <row r="131">
          <cell r="A131" t="str">
            <v>SC-201</v>
          </cell>
          <cell r="B131" t="str">
            <v>벽부형진열장(전동형)</v>
          </cell>
          <cell r="C131" t="str">
            <v>L: 5000 D: 1200 H: 3600 FH: 300 GH: 2600 UH: 700</v>
          </cell>
          <cell r="D131" t="str">
            <v>SET</v>
          </cell>
          <cell r="F131">
            <v>2</v>
          </cell>
        </row>
        <row r="132">
          <cell r="B132" t="str">
            <v>- 구조틀</v>
          </cell>
        </row>
        <row r="133">
          <cell r="B133" t="str">
            <v>각파이프(방청)</v>
          </cell>
          <cell r="C133" t="str">
            <v>50*50*1.4T</v>
          </cell>
          <cell r="D133" t="str">
            <v>M</v>
          </cell>
          <cell r="F133">
            <v>172.89999999999998</v>
          </cell>
        </row>
        <row r="134">
          <cell r="B134" t="str">
            <v>각파이프(방청)</v>
          </cell>
          <cell r="C134" t="str">
            <v>100*50*2.3T</v>
          </cell>
          <cell r="D134" t="str">
            <v>M</v>
          </cell>
          <cell r="F134">
            <v>27.2</v>
          </cell>
        </row>
        <row r="135">
          <cell r="B135" t="str">
            <v>- 잡철물</v>
          </cell>
        </row>
        <row r="136">
          <cell r="B136" t="str">
            <v>갈바후레임제작설치</v>
          </cell>
          <cell r="C136" t="str">
            <v>1.6T</v>
          </cell>
          <cell r="D136" t="str">
            <v>M2</v>
          </cell>
          <cell r="F136">
            <v>1.575</v>
          </cell>
          <cell r="G136" t="str">
            <v>상부점검도어 몰딩</v>
          </cell>
        </row>
        <row r="137">
          <cell r="B137" t="str">
            <v>갈바후레임제작설치</v>
          </cell>
          <cell r="C137" t="str">
            <v>1.6T</v>
          </cell>
          <cell r="D137" t="str">
            <v>M2</v>
          </cell>
          <cell r="F137">
            <v>2.46</v>
          </cell>
          <cell r="G137" t="str">
            <v>상부전면천장유리후레임</v>
          </cell>
        </row>
        <row r="138">
          <cell r="B138" t="str">
            <v>갈바후레임제작설치</v>
          </cell>
          <cell r="C138" t="str">
            <v>1.6T</v>
          </cell>
          <cell r="D138" t="str">
            <v>M2</v>
          </cell>
          <cell r="F138">
            <v>3.3050000000000002</v>
          </cell>
          <cell r="G138" t="str">
            <v>배면천장몰딩</v>
          </cell>
        </row>
        <row r="139">
          <cell r="B139" t="str">
            <v>갈바후레임제작설치</v>
          </cell>
          <cell r="C139" t="str">
            <v>1.6T</v>
          </cell>
          <cell r="D139" t="str">
            <v>M2</v>
          </cell>
          <cell r="F139">
            <v>1.0249999999999999</v>
          </cell>
          <cell r="G139" t="str">
            <v>그림걸이레일보강</v>
          </cell>
        </row>
        <row r="140">
          <cell r="B140" t="str">
            <v>갈바후레임제작설치</v>
          </cell>
          <cell r="C140" t="str">
            <v>1.6T</v>
          </cell>
          <cell r="D140" t="str">
            <v>M2</v>
          </cell>
          <cell r="F140">
            <v>4.4800000000000004</v>
          </cell>
          <cell r="G140" t="str">
            <v>상부점검도어</v>
          </cell>
        </row>
        <row r="141">
          <cell r="B141" t="str">
            <v>갈바후레임제작설치</v>
          </cell>
          <cell r="C141" t="str">
            <v>1.6T</v>
          </cell>
          <cell r="D141" t="str">
            <v>M2</v>
          </cell>
          <cell r="F141">
            <v>4.032</v>
          </cell>
          <cell r="G141" t="str">
            <v>배면 사이드 몰딩</v>
          </cell>
        </row>
        <row r="142">
          <cell r="B142" t="str">
            <v>갈바후레임제작설치</v>
          </cell>
          <cell r="C142" t="str">
            <v>1.6T</v>
          </cell>
          <cell r="D142" t="str">
            <v>M2</v>
          </cell>
          <cell r="F142">
            <v>1.248</v>
          </cell>
          <cell r="G142" t="str">
            <v>외부 측면 후레임</v>
          </cell>
        </row>
        <row r="143">
          <cell r="B143" t="str">
            <v>갈바후레임제작설치</v>
          </cell>
          <cell r="C143" t="str">
            <v>1.6T</v>
          </cell>
          <cell r="D143" t="str">
            <v>M2</v>
          </cell>
          <cell r="F143">
            <v>2.1743999999999999</v>
          </cell>
          <cell r="G143" t="str">
            <v>측면 유리 몰딩</v>
          </cell>
        </row>
        <row r="144">
          <cell r="B144" t="str">
            <v>알루미늄판취부</v>
          </cell>
          <cell r="C144" t="str">
            <v>4T*900*1800</v>
          </cell>
          <cell r="D144" t="str">
            <v>M2</v>
          </cell>
          <cell r="F144">
            <v>3.5</v>
          </cell>
          <cell r="G144" t="str">
            <v>상부점검도어 커버</v>
          </cell>
        </row>
        <row r="145">
          <cell r="B145" t="str">
            <v>- 잡철물</v>
          </cell>
        </row>
        <row r="146">
          <cell r="B146" t="str">
            <v>갈바후레임제작설치</v>
          </cell>
          <cell r="C146" t="str">
            <v>1.6T</v>
          </cell>
          <cell r="D146" t="str">
            <v>M2</v>
          </cell>
          <cell r="F146">
            <v>2.2650000000000001</v>
          </cell>
          <cell r="G146" t="str">
            <v>하부전면후레임</v>
          </cell>
        </row>
        <row r="147">
          <cell r="B147" t="str">
            <v>갈바후레임제작설치</v>
          </cell>
          <cell r="C147" t="str">
            <v>1.6T</v>
          </cell>
          <cell r="D147" t="str">
            <v>M2</v>
          </cell>
          <cell r="F147">
            <v>0.86999999999999988</v>
          </cell>
          <cell r="G147" t="str">
            <v>하부바닥받침몰딩</v>
          </cell>
        </row>
        <row r="148">
          <cell r="B148" t="str">
            <v>갈바후레임제작설치</v>
          </cell>
          <cell r="C148" t="str">
            <v>1.6T</v>
          </cell>
          <cell r="D148" t="str">
            <v>M2</v>
          </cell>
          <cell r="F148">
            <v>0.66500000000000004</v>
          </cell>
          <cell r="G148" t="str">
            <v>하부 걸레받이</v>
          </cell>
        </row>
        <row r="149">
          <cell r="B149" t="str">
            <v>- SYSTEM 장치</v>
          </cell>
        </row>
        <row r="150">
          <cell r="B150" t="str">
            <v>피아노경첩 제작설치</v>
          </cell>
          <cell r="D150" t="str">
            <v>M</v>
          </cell>
          <cell r="F150">
            <v>10</v>
          </cell>
        </row>
        <row r="151">
          <cell r="B151" t="str">
            <v>LOCK SET 제작설치</v>
          </cell>
          <cell r="C151" t="str">
            <v>시건장치</v>
          </cell>
          <cell r="D151" t="str">
            <v>set</v>
          </cell>
          <cell r="F151">
            <v>3</v>
          </cell>
        </row>
        <row r="152">
          <cell r="B152" t="str">
            <v>AL.패킹바 제작설치</v>
          </cell>
          <cell r="D152" t="str">
            <v>M</v>
          </cell>
          <cell r="F152">
            <v>10</v>
          </cell>
        </row>
        <row r="153">
          <cell r="B153" t="str">
            <v>밀폐패킹 설치</v>
          </cell>
          <cell r="C153" t="str">
            <v>대형</v>
          </cell>
          <cell r="D153" t="str">
            <v>M</v>
          </cell>
          <cell r="F153">
            <v>15.2</v>
          </cell>
        </row>
        <row r="154">
          <cell r="B154" t="str">
            <v>AL.사출유리후렘 제작설치</v>
          </cell>
          <cell r="C154" t="str">
            <v>벽부장(상부)</v>
          </cell>
          <cell r="D154" t="str">
            <v>M</v>
          </cell>
          <cell r="F154">
            <v>5</v>
          </cell>
        </row>
        <row r="155">
          <cell r="B155" t="str">
            <v>AL.사출유리후렘 제작설치</v>
          </cell>
          <cell r="C155" t="str">
            <v>벽부장(하부)</v>
          </cell>
          <cell r="D155" t="str">
            <v>M</v>
          </cell>
          <cell r="F155">
            <v>5</v>
          </cell>
        </row>
        <row r="156">
          <cell r="B156" t="str">
            <v>모터구동시스템 설치</v>
          </cell>
          <cell r="C156" t="str">
            <v>웜기어 전동실린더</v>
          </cell>
          <cell r="D156" t="str">
            <v>SET</v>
          </cell>
          <cell r="F156">
            <v>12</v>
          </cell>
        </row>
        <row r="157">
          <cell r="B157" t="str">
            <v>LM가이드시스템 가공 설치</v>
          </cell>
          <cell r="C157" t="str">
            <v>Ø25</v>
          </cell>
          <cell r="D157" t="str">
            <v>SET</v>
          </cell>
          <cell r="F157">
            <v>24</v>
          </cell>
        </row>
        <row r="158">
          <cell r="B158" t="str">
            <v>베어링레일및가공 설치</v>
          </cell>
          <cell r="C158" t="str">
            <v>22*42 2.3T 가공</v>
          </cell>
          <cell r="D158" t="str">
            <v>M</v>
          </cell>
          <cell r="F158">
            <v>10</v>
          </cell>
        </row>
        <row r="159">
          <cell r="B159" t="str">
            <v>슬라이딩베어링 가공조립</v>
          </cell>
          <cell r="C159" t="str">
            <v>Ø26</v>
          </cell>
          <cell r="D159" t="str">
            <v>EA</v>
          </cell>
          <cell r="F159">
            <v>130</v>
          </cell>
        </row>
        <row r="160">
          <cell r="B160" t="str">
            <v>베어링 붓싱가공조립</v>
          </cell>
          <cell r="C160" t="str">
            <v>#6200</v>
          </cell>
          <cell r="D160" t="str">
            <v>EA</v>
          </cell>
          <cell r="F160">
            <v>130</v>
          </cell>
        </row>
        <row r="161">
          <cell r="B161" t="str">
            <v>유압쇽업쇼바 제작설치</v>
          </cell>
          <cell r="C161" t="str">
            <v>20kg</v>
          </cell>
          <cell r="D161" t="str">
            <v>SET</v>
          </cell>
          <cell r="F161">
            <v>4</v>
          </cell>
        </row>
        <row r="162">
          <cell r="B162" t="str">
            <v>센터베어링및스톱파 가공조립</v>
          </cell>
          <cell r="C162" t="str">
            <v>독립형1단</v>
          </cell>
          <cell r="D162" t="str">
            <v>SET</v>
          </cell>
          <cell r="F162">
            <v>2</v>
          </cell>
        </row>
        <row r="163">
          <cell r="B163" t="str">
            <v>전후진 전동콘트롤 제작설치</v>
          </cell>
          <cell r="C163" t="str">
            <v>독립형</v>
          </cell>
          <cell r="D163" t="str">
            <v>SET</v>
          </cell>
          <cell r="F163">
            <v>2</v>
          </cell>
        </row>
        <row r="164">
          <cell r="B164" t="str">
            <v>- 수장공사</v>
          </cell>
        </row>
        <row r="165">
          <cell r="B165" t="str">
            <v>내부도배</v>
          </cell>
          <cell r="C165" t="str">
            <v>세마직벽지</v>
          </cell>
          <cell r="D165" t="str">
            <v>M2</v>
          </cell>
          <cell r="F165">
            <v>36.14</v>
          </cell>
        </row>
        <row r="166">
          <cell r="B166" t="str">
            <v>바탕처리</v>
          </cell>
          <cell r="C166" t="str">
            <v>도배퍼티</v>
          </cell>
          <cell r="D166" t="str">
            <v>M2</v>
          </cell>
          <cell r="F166">
            <v>36.14</v>
          </cell>
        </row>
        <row r="167">
          <cell r="B167" t="str">
            <v>합판취부</v>
          </cell>
          <cell r="C167" t="str">
            <v>T11.5mm 2PLY</v>
          </cell>
          <cell r="D167" t="str">
            <v>M2</v>
          </cell>
          <cell r="F167">
            <v>6</v>
          </cell>
        </row>
        <row r="168">
          <cell r="B168" t="str">
            <v>합판취부</v>
          </cell>
          <cell r="C168" t="str">
            <v>T8.5mm 1PLY</v>
          </cell>
          <cell r="D168" t="str">
            <v>M2</v>
          </cell>
          <cell r="F168">
            <v>36</v>
          </cell>
        </row>
        <row r="169">
          <cell r="B169" t="str">
            <v>진열장석고보드취부</v>
          </cell>
          <cell r="C169" t="str">
            <v>T9.5mm*2PLY</v>
          </cell>
          <cell r="D169" t="str">
            <v>M2</v>
          </cell>
          <cell r="F169">
            <v>3.5</v>
          </cell>
        </row>
        <row r="170">
          <cell r="B170" t="str">
            <v>우레탄칼라락카도장</v>
          </cell>
          <cell r="C170" t="str">
            <v>철재면기준</v>
          </cell>
          <cell r="D170" t="str">
            <v>M2</v>
          </cell>
          <cell r="F170">
            <v>27.599400000000003</v>
          </cell>
        </row>
        <row r="171">
          <cell r="B171" t="str">
            <v>바탕처리</v>
          </cell>
          <cell r="C171" t="str">
            <v>철재면기준</v>
          </cell>
          <cell r="D171" t="str">
            <v>M2</v>
          </cell>
          <cell r="F171">
            <v>27.599400000000003</v>
          </cell>
        </row>
        <row r="172">
          <cell r="B172" t="str">
            <v>- 유리공사</v>
          </cell>
        </row>
        <row r="173">
          <cell r="B173" t="str">
            <v>화이트 접합유리 끼우기</v>
          </cell>
          <cell r="C173" t="str">
            <v>T12.76mm (2,400*3,400기준)</v>
          </cell>
          <cell r="D173" t="str">
            <v>M2</v>
          </cell>
          <cell r="F173">
            <v>14.100000000000001</v>
          </cell>
        </row>
        <row r="174">
          <cell r="B174" t="str">
            <v>조명용아크릴 가공 설치</v>
          </cell>
          <cell r="C174" t="str">
            <v>T5mm</v>
          </cell>
          <cell r="D174" t="str">
            <v>m2</v>
          </cell>
          <cell r="F174">
            <v>0.75</v>
          </cell>
        </row>
        <row r="175">
          <cell r="B175" t="str">
            <v>코킹</v>
          </cell>
          <cell r="D175" t="str">
            <v>M</v>
          </cell>
          <cell r="F175">
            <v>46.92</v>
          </cell>
        </row>
        <row r="176">
          <cell r="B176" t="str">
            <v>면    취</v>
          </cell>
          <cell r="D176" t="str">
            <v>M</v>
          </cell>
          <cell r="F176">
            <v>42.56</v>
          </cell>
        </row>
        <row r="177">
          <cell r="B177" t="str">
            <v>- 전기공사</v>
          </cell>
        </row>
        <row r="178">
          <cell r="B178" t="str">
            <v>LED 포인트조명설치(벽부형)</v>
          </cell>
          <cell r="C178" t="str">
            <v>15W이하</v>
          </cell>
          <cell r="D178" t="str">
            <v>ea</v>
          </cell>
          <cell r="F178">
            <v>13</v>
          </cell>
        </row>
        <row r="179">
          <cell r="B179" t="str">
            <v>LED bar조명설치</v>
          </cell>
          <cell r="C179" t="str">
            <v>30W이하</v>
          </cell>
          <cell r="D179" t="str">
            <v>M</v>
          </cell>
          <cell r="F179">
            <v>10</v>
          </cell>
        </row>
        <row r="180">
          <cell r="B180" t="str">
            <v>LED 포인트조명 컨트롤제작설치</v>
          </cell>
          <cell r="C180" t="str">
            <v>컨트롤러(16채널)</v>
          </cell>
          <cell r="D180" t="str">
            <v>set</v>
          </cell>
          <cell r="F180">
            <v>1</v>
          </cell>
        </row>
        <row r="181">
          <cell r="B181" t="str">
            <v>LED bar조명 컨트롤제작설치</v>
          </cell>
          <cell r="C181" t="str">
            <v>컨트롤러</v>
          </cell>
          <cell r="D181" t="str">
            <v>set</v>
          </cell>
          <cell r="F181">
            <v>1</v>
          </cell>
        </row>
        <row r="193">
          <cell r="A193" t="str">
            <v>SC-202</v>
          </cell>
          <cell r="B193" t="str">
            <v>벽부형진열장(전동형)</v>
          </cell>
          <cell r="C193" t="str">
            <v>L: 6000 D: 1000 H: 3600 FH: 300 GH: 2600 UH: 700</v>
          </cell>
          <cell r="D193" t="str">
            <v>SET</v>
          </cell>
          <cell r="F193">
            <v>4</v>
          </cell>
        </row>
        <row r="194">
          <cell r="B194" t="str">
            <v>- 구조틀</v>
          </cell>
        </row>
        <row r="195">
          <cell r="B195" t="str">
            <v>각파이프(방청)</v>
          </cell>
          <cell r="C195" t="str">
            <v>50*50*1.4T</v>
          </cell>
          <cell r="D195" t="str">
            <v>M</v>
          </cell>
          <cell r="F195">
            <v>187.7</v>
          </cell>
        </row>
        <row r="196">
          <cell r="B196" t="str">
            <v>각파이프(방청)</v>
          </cell>
          <cell r="C196" t="str">
            <v>100*50*2.3T</v>
          </cell>
          <cell r="D196" t="str">
            <v>M</v>
          </cell>
          <cell r="F196">
            <v>31.2</v>
          </cell>
        </row>
        <row r="197">
          <cell r="B197" t="str">
            <v>- 잡철물</v>
          </cell>
        </row>
        <row r="198">
          <cell r="B198" t="str">
            <v>갈바후레임제작설치</v>
          </cell>
          <cell r="C198" t="str">
            <v>1.6T</v>
          </cell>
          <cell r="D198" t="str">
            <v>M2</v>
          </cell>
          <cell r="F198">
            <v>1.8900000000000001</v>
          </cell>
          <cell r="G198" t="str">
            <v>상부점검도어 몰딩</v>
          </cell>
        </row>
        <row r="199">
          <cell r="B199" t="str">
            <v>갈바후레임제작설치</v>
          </cell>
          <cell r="C199" t="str">
            <v>1.6T</v>
          </cell>
          <cell r="D199" t="str">
            <v>M2</v>
          </cell>
          <cell r="F199">
            <v>2.952</v>
          </cell>
          <cell r="G199" t="str">
            <v>상부전면천장유리후레임</v>
          </cell>
        </row>
        <row r="200">
          <cell r="B200" t="str">
            <v>갈바후레임제작설치</v>
          </cell>
          <cell r="C200" t="str">
            <v>1.6T</v>
          </cell>
          <cell r="D200" t="str">
            <v>M2</v>
          </cell>
          <cell r="F200">
            <v>3.9660000000000002</v>
          </cell>
          <cell r="G200" t="str">
            <v>배면천장몰딩</v>
          </cell>
        </row>
        <row r="201">
          <cell r="B201" t="str">
            <v>갈바후레임제작설치</v>
          </cell>
          <cell r="C201" t="str">
            <v>1.6T</v>
          </cell>
          <cell r="D201" t="str">
            <v>M2</v>
          </cell>
          <cell r="F201">
            <v>1.23</v>
          </cell>
          <cell r="G201" t="str">
            <v>그림걸이레일보강</v>
          </cell>
        </row>
        <row r="202">
          <cell r="B202" t="str">
            <v>갈바후레임제작설치</v>
          </cell>
          <cell r="C202" t="str">
            <v>1.6T</v>
          </cell>
          <cell r="D202" t="str">
            <v>M2</v>
          </cell>
          <cell r="F202">
            <v>4.32</v>
          </cell>
          <cell r="G202" t="str">
            <v>상부점검도어</v>
          </cell>
        </row>
        <row r="203">
          <cell r="B203" t="str">
            <v>갈바후레임제작설치</v>
          </cell>
          <cell r="C203" t="str">
            <v>1.6T</v>
          </cell>
          <cell r="D203" t="str">
            <v>M2</v>
          </cell>
          <cell r="F203">
            <v>3.6960000000000006</v>
          </cell>
          <cell r="G203" t="str">
            <v>배면 사이드 몰딩</v>
          </cell>
        </row>
        <row r="204">
          <cell r="B204" t="str">
            <v>갈바후레임제작설치</v>
          </cell>
          <cell r="C204" t="str">
            <v>1.6T</v>
          </cell>
          <cell r="D204" t="str">
            <v>M2</v>
          </cell>
          <cell r="F204">
            <v>1.04</v>
          </cell>
          <cell r="G204" t="str">
            <v>외부 측면 후레임</v>
          </cell>
        </row>
        <row r="205">
          <cell r="B205" t="str">
            <v>갈바후레임제작설치</v>
          </cell>
          <cell r="C205" t="str">
            <v>1.6T</v>
          </cell>
          <cell r="D205" t="str">
            <v>M2</v>
          </cell>
          <cell r="F205">
            <v>2.1743999999999999</v>
          </cell>
          <cell r="G205" t="str">
            <v>측면 유리 몰딩</v>
          </cell>
        </row>
        <row r="206">
          <cell r="B206" t="str">
            <v>알루미늄판취부</v>
          </cell>
          <cell r="C206" t="str">
            <v>4T*900*1800</v>
          </cell>
          <cell r="D206" t="str">
            <v>M2</v>
          </cell>
          <cell r="F206">
            <v>4.1999999999999993</v>
          </cell>
          <cell r="G206" t="str">
            <v>상부점검도어 커버</v>
          </cell>
        </row>
        <row r="207">
          <cell r="B207" t="str">
            <v>- 잡철물</v>
          </cell>
        </row>
        <row r="208">
          <cell r="B208" t="str">
            <v>갈바후레임제작설치</v>
          </cell>
          <cell r="C208" t="str">
            <v>1.6T</v>
          </cell>
          <cell r="D208" t="str">
            <v>M2</v>
          </cell>
          <cell r="F208">
            <v>2.718</v>
          </cell>
          <cell r="G208" t="str">
            <v>하부전면후레임</v>
          </cell>
        </row>
        <row r="209">
          <cell r="B209" t="str">
            <v>갈바후레임제작설치</v>
          </cell>
          <cell r="C209" t="str">
            <v>1.6T</v>
          </cell>
          <cell r="D209" t="str">
            <v>M2</v>
          </cell>
          <cell r="F209">
            <v>1.044</v>
          </cell>
          <cell r="G209" t="str">
            <v>하부바닥받침몰딩</v>
          </cell>
        </row>
        <row r="210">
          <cell r="B210" t="str">
            <v>갈바후레임제작설치</v>
          </cell>
          <cell r="C210" t="str">
            <v>1.6T</v>
          </cell>
          <cell r="D210" t="str">
            <v>M2</v>
          </cell>
          <cell r="F210">
            <v>0.79800000000000004</v>
          </cell>
          <cell r="G210" t="str">
            <v>하부 걸레받이</v>
          </cell>
        </row>
        <row r="211">
          <cell r="B211" t="str">
            <v>- SYSTEM 장치</v>
          </cell>
        </row>
        <row r="212">
          <cell r="B212" t="str">
            <v>피아노경첩 제작설치</v>
          </cell>
          <cell r="D212" t="str">
            <v>M</v>
          </cell>
          <cell r="F212">
            <v>12</v>
          </cell>
        </row>
        <row r="213">
          <cell r="B213" t="str">
            <v>LOCK SET 제작설치</v>
          </cell>
          <cell r="C213" t="str">
            <v>시건장치</v>
          </cell>
          <cell r="D213" t="str">
            <v>set</v>
          </cell>
          <cell r="F213">
            <v>3</v>
          </cell>
        </row>
        <row r="214">
          <cell r="B214" t="str">
            <v>AL.패킹바 제작설치</v>
          </cell>
          <cell r="D214" t="str">
            <v>M</v>
          </cell>
          <cell r="F214">
            <v>12</v>
          </cell>
        </row>
        <row r="215">
          <cell r="B215" t="str">
            <v>밀폐패킹 설치</v>
          </cell>
          <cell r="C215" t="str">
            <v>대형</v>
          </cell>
          <cell r="D215" t="str">
            <v>M</v>
          </cell>
          <cell r="F215">
            <v>17.2</v>
          </cell>
        </row>
        <row r="216">
          <cell r="B216" t="str">
            <v>AL.사출유리후렘 제작설치</v>
          </cell>
          <cell r="C216" t="str">
            <v>벽부장(상부)</v>
          </cell>
          <cell r="D216" t="str">
            <v>M</v>
          </cell>
          <cell r="F216">
            <v>6</v>
          </cell>
        </row>
        <row r="217">
          <cell r="B217" t="str">
            <v>AL.사출유리후렘 제작설치</v>
          </cell>
          <cell r="C217" t="str">
            <v>벽부장(하부)</v>
          </cell>
          <cell r="D217" t="str">
            <v>M</v>
          </cell>
          <cell r="F217">
            <v>6</v>
          </cell>
        </row>
        <row r="218">
          <cell r="B218" t="str">
            <v>모터구동시스템 설치</v>
          </cell>
          <cell r="C218" t="str">
            <v>웜기어 전동실린더</v>
          </cell>
          <cell r="D218" t="str">
            <v>SET</v>
          </cell>
          <cell r="F218">
            <v>16</v>
          </cell>
        </row>
        <row r="219">
          <cell r="B219" t="str">
            <v>LM가이드시스템 가공 설치</v>
          </cell>
          <cell r="C219" t="str">
            <v>Ø25</v>
          </cell>
          <cell r="D219" t="str">
            <v>SET</v>
          </cell>
          <cell r="F219">
            <v>32</v>
          </cell>
        </row>
        <row r="220">
          <cell r="B220" t="str">
            <v>베어링레일및가공 설치</v>
          </cell>
          <cell r="C220" t="str">
            <v>22*42 2.3T 가공</v>
          </cell>
          <cell r="D220" t="str">
            <v>M</v>
          </cell>
          <cell r="F220">
            <v>12</v>
          </cell>
        </row>
        <row r="221">
          <cell r="B221" t="str">
            <v>슬라이딩베어링 가공조립</v>
          </cell>
          <cell r="C221" t="str">
            <v>Ø26</v>
          </cell>
          <cell r="D221" t="str">
            <v>EA</v>
          </cell>
          <cell r="F221">
            <v>156</v>
          </cell>
        </row>
        <row r="222">
          <cell r="B222" t="str">
            <v>베어링 붓싱가공조립</v>
          </cell>
          <cell r="C222" t="str">
            <v>#6200</v>
          </cell>
          <cell r="D222" t="str">
            <v>EA</v>
          </cell>
          <cell r="F222">
            <v>156</v>
          </cell>
        </row>
        <row r="223">
          <cell r="B223" t="str">
            <v>유압쇽업쇼바 제작설치</v>
          </cell>
          <cell r="C223" t="str">
            <v>20kg</v>
          </cell>
          <cell r="D223" t="str">
            <v>SET</v>
          </cell>
          <cell r="F223">
            <v>4</v>
          </cell>
        </row>
        <row r="224">
          <cell r="B224" t="str">
            <v>센터베어링및스톱파 가공조립</v>
          </cell>
          <cell r="C224" t="str">
            <v>독립형1단</v>
          </cell>
          <cell r="D224" t="str">
            <v>SET</v>
          </cell>
          <cell r="F224">
            <v>2</v>
          </cell>
        </row>
        <row r="225">
          <cell r="B225" t="str">
            <v>전후진 전동콘트롤 제작설치</v>
          </cell>
          <cell r="C225" t="str">
            <v>독립형</v>
          </cell>
          <cell r="D225" t="str">
            <v>SET</v>
          </cell>
          <cell r="F225">
            <v>2</v>
          </cell>
        </row>
        <row r="226">
          <cell r="B226" t="str">
            <v>- 수장공사</v>
          </cell>
        </row>
        <row r="227">
          <cell r="B227" t="str">
            <v>내부도배</v>
          </cell>
          <cell r="C227" t="str">
            <v>세마직벽지</v>
          </cell>
          <cell r="D227" t="str">
            <v>M2</v>
          </cell>
          <cell r="F227">
            <v>38.4</v>
          </cell>
        </row>
        <row r="228">
          <cell r="B228" t="str">
            <v>바탕처리</v>
          </cell>
          <cell r="C228" t="str">
            <v>도배퍼티</v>
          </cell>
          <cell r="D228" t="str">
            <v>M2</v>
          </cell>
          <cell r="F228">
            <v>38.4</v>
          </cell>
        </row>
        <row r="229">
          <cell r="B229" t="str">
            <v>합판취부</v>
          </cell>
          <cell r="C229" t="str">
            <v>T11.5mm 2PLY</v>
          </cell>
          <cell r="D229" t="str">
            <v>M2</v>
          </cell>
          <cell r="F229">
            <v>6</v>
          </cell>
        </row>
        <row r="230">
          <cell r="B230" t="str">
            <v>합판취부</v>
          </cell>
          <cell r="C230" t="str">
            <v>T8.5mm 1PLY</v>
          </cell>
          <cell r="D230" t="str">
            <v>M2</v>
          </cell>
          <cell r="F230">
            <v>43.2</v>
          </cell>
        </row>
        <row r="231">
          <cell r="B231" t="str">
            <v>진열장석고보드취부</v>
          </cell>
          <cell r="C231" t="str">
            <v>T9.5mm*2PLY</v>
          </cell>
          <cell r="D231" t="str">
            <v>M2</v>
          </cell>
          <cell r="F231">
            <v>3.5999999999999996</v>
          </cell>
        </row>
        <row r="232">
          <cell r="B232" t="str">
            <v>우레탄칼라락카도장</v>
          </cell>
          <cell r="C232" t="str">
            <v>철재면기준</v>
          </cell>
          <cell r="D232" t="str">
            <v>M2</v>
          </cell>
          <cell r="F232">
            <v>30.028399999999998</v>
          </cell>
        </row>
        <row r="233">
          <cell r="B233" t="str">
            <v>바탕처리</v>
          </cell>
          <cell r="C233" t="str">
            <v>철재면기준</v>
          </cell>
          <cell r="D233" t="str">
            <v>M2</v>
          </cell>
          <cell r="F233">
            <v>30.028399999999998</v>
          </cell>
        </row>
        <row r="234">
          <cell r="B234" t="str">
            <v>- 유리공사</v>
          </cell>
        </row>
        <row r="235">
          <cell r="B235" t="str">
            <v>화이트 접합유리 끼우기</v>
          </cell>
          <cell r="C235" t="str">
            <v>T12.76mm (2,400*3,400기준)</v>
          </cell>
          <cell r="D235" t="str">
            <v>M2</v>
          </cell>
          <cell r="F235">
            <v>16.920000000000002</v>
          </cell>
        </row>
        <row r="236">
          <cell r="B236" t="str">
            <v>조명용아크릴 가공 설치</v>
          </cell>
          <cell r="C236" t="str">
            <v>T5mm</v>
          </cell>
          <cell r="D236" t="str">
            <v>m2</v>
          </cell>
          <cell r="F236">
            <v>0.89999999999999991</v>
          </cell>
        </row>
        <row r="237">
          <cell r="B237" t="str">
            <v>코킹</v>
          </cell>
          <cell r="D237" t="str">
            <v>M</v>
          </cell>
          <cell r="F237">
            <v>52.92</v>
          </cell>
        </row>
        <row r="238">
          <cell r="B238" t="str">
            <v>면    취</v>
          </cell>
          <cell r="D238" t="str">
            <v>M</v>
          </cell>
          <cell r="F238">
            <v>46.56</v>
          </cell>
        </row>
        <row r="239">
          <cell r="B239" t="str">
            <v>- 전기공사</v>
          </cell>
        </row>
        <row r="240">
          <cell r="B240" t="str">
            <v>LED 포인트조명설치(벽부형)</v>
          </cell>
          <cell r="C240" t="str">
            <v>15W이하</v>
          </cell>
          <cell r="D240" t="str">
            <v>ea</v>
          </cell>
          <cell r="F240">
            <v>15</v>
          </cell>
        </row>
        <row r="241">
          <cell r="B241" t="str">
            <v>LED bar조명설치</v>
          </cell>
          <cell r="C241" t="str">
            <v>30W이하</v>
          </cell>
          <cell r="D241" t="str">
            <v>M</v>
          </cell>
          <cell r="F241">
            <v>12</v>
          </cell>
        </row>
        <row r="242">
          <cell r="B242" t="str">
            <v>LED 포인트조명 컨트롤제작설치</v>
          </cell>
          <cell r="C242" t="str">
            <v>컨트롤러(16채널)</v>
          </cell>
          <cell r="D242" t="str">
            <v>set</v>
          </cell>
          <cell r="F242">
            <v>1</v>
          </cell>
        </row>
        <row r="243">
          <cell r="B243" t="str">
            <v>LED bar조명 컨트롤제작설치</v>
          </cell>
          <cell r="C243" t="str">
            <v>컨트롤러</v>
          </cell>
          <cell r="D243" t="str">
            <v>set</v>
          </cell>
          <cell r="F243">
            <v>1</v>
          </cell>
        </row>
        <row r="253">
          <cell r="A253" t="str">
            <v>SC-203</v>
          </cell>
          <cell r="B253" t="str">
            <v>벽부형진열장(전동형)</v>
          </cell>
          <cell r="C253" t="str">
            <v>L: 8000 D: 1000 H: 3600 FH: 300 GH: 2600 UH: 700</v>
          </cell>
          <cell r="D253" t="str">
            <v>SET</v>
          </cell>
          <cell r="F253">
            <v>3</v>
          </cell>
        </row>
        <row r="254">
          <cell r="B254" t="str">
            <v>- 구조틀</v>
          </cell>
        </row>
        <row r="255">
          <cell r="B255" t="str">
            <v>각파이프(방청)</v>
          </cell>
          <cell r="C255" t="str">
            <v>50*50*1.4T</v>
          </cell>
          <cell r="D255" t="str">
            <v>M</v>
          </cell>
          <cell r="F255">
            <v>227.7</v>
          </cell>
        </row>
        <row r="256">
          <cell r="B256" t="str">
            <v>각파이프(방청)</v>
          </cell>
          <cell r="C256" t="str">
            <v>100*50*2.3T</v>
          </cell>
          <cell r="D256" t="str">
            <v>M</v>
          </cell>
          <cell r="F256">
            <v>39.200000000000003</v>
          </cell>
        </row>
        <row r="257">
          <cell r="B257" t="str">
            <v>- 잡철물</v>
          </cell>
        </row>
        <row r="258">
          <cell r="B258" t="str">
            <v>갈바후레임제작설치</v>
          </cell>
          <cell r="C258" t="str">
            <v>1.6T</v>
          </cell>
          <cell r="D258" t="str">
            <v>M2</v>
          </cell>
          <cell r="F258">
            <v>2.52</v>
          </cell>
          <cell r="G258" t="str">
            <v>상부점검도어 몰딩</v>
          </cell>
        </row>
        <row r="259">
          <cell r="B259" t="str">
            <v>갈바후레임제작설치</v>
          </cell>
          <cell r="C259" t="str">
            <v>1.6T</v>
          </cell>
          <cell r="D259" t="str">
            <v>M2</v>
          </cell>
          <cell r="F259">
            <v>3.9359999999999999</v>
          </cell>
          <cell r="G259" t="str">
            <v>상부전면천장유리후레임</v>
          </cell>
        </row>
        <row r="260">
          <cell r="B260" t="str">
            <v>갈바후레임제작설치</v>
          </cell>
          <cell r="C260" t="str">
            <v>1.6T</v>
          </cell>
          <cell r="D260" t="str">
            <v>M2</v>
          </cell>
          <cell r="F260">
            <v>5.2880000000000003</v>
          </cell>
          <cell r="G260" t="str">
            <v>배면천장몰딩</v>
          </cell>
        </row>
        <row r="261">
          <cell r="B261" t="str">
            <v>갈바후레임제작설치</v>
          </cell>
          <cell r="C261" t="str">
            <v>1.6T</v>
          </cell>
          <cell r="D261" t="str">
            <v>M2</v>
          </cell>
          <cell r="F261">
            <v>1.64</v>
          </cell>
          <cell r="G261" t="str">
            <v>그림걸이레일보강</v>
          </cell>
        </row>
        <row r="262">
          <cell r="B262" t="str">
            <v>갈바후레임제작설치</v>
          </cell>
          <cell r="C262" t="str">
            <v>1.6T</v>
          </cell>
          <cell r="D262" t="str">
            <v>M2</v>
          </cell>
          <cell r="F262">
            <v>4.96</v>
          </cell>
          <cell r="G262" t="str">
            <v>상부점검도어</v>
          </cell>
        </row>
        <row r="263">
          <cell r="B263" t="str">
            <v>갈바후레임제작설치</v>
          </cell>
          <cell r="C263" t="str">
            <v>1.6T</v>
          </cell>
          <cell r="D263" t="str">
            <v>M2</v>
          </cell>
          <cell r="F263">
            <v>3.6960000000000006</v>
          </cell>
          <cell r="G263" t="str">
            <v>배면 사이드 몰딩</v>
          </cell>
        </row>
        <row r="264">
          <cell r="B264" t="str">
            <v>갈바후레임제작설치</v>
          </cell>
          <cell r="C264" t="str">
            <v>1.6T</v>
          </cell>
          <cell r="D264" t="str">
            <v>M2</v>
          </cell>
          <cell r="F264">
            <v>1.04</v>
          </cell>
          <cell r="G264" t="str">
            <v>외부 측면 후레임</v>
          </cell>
        </row>
        <row r="265">
          <cell r="B265" t="str">
            <v>갈바후레임제작설치</v>
          </cell>
          <cell r="C265" t="str">
            <v>1.6T</v>
          </cell>
          <cell r="D265" t="str">
            <v>M2</v>
          </cell>
          <cell r="F265">
            <v>2.1743999999999999</v>
          </cell>
          <cell r="G265" t="str">
            <v>측면 유리 몰딩</v>
          </cell>
        </row>
        <row r="266">
          <cell r="B266" t="str">
            <v>알루미늄판취부</v>
          </cell>
          <cell r="C266" t="str">
            <v>4T*900*1800</v>
          </cell>
          <cell r="D266" t="str">
            <v>M2</v>
          </cell>
          <cell r="F266">
            <v>5.6</v>
          </cell>
          <cell r="G266" t="str">
            <v>상부점검도어 커버</v>
          </cell>
        </row>
        <row r="267">
          <cell r="B267" t="str">
            <v>- 잡철물</v>
          </cell>
          <cell r="C267" t="str">
            <v xml:space="preserve"> 하부</v>
          </cell>
        </row>
        <row r="268">
          <cell r="B268" t="str">
            <v>갈바후레임제작설치</v>
          </cell>
          <cell r="C268" t="str">
            <v>1.6T</v>
          </cell>
          <cell r="D268" t="str">
            <v>M2</v>
          </cell>
          <cell r="F268">
            <v>3.6240000000000001</v>
          </cell>
          <cell r="G268" t="str">
            <v>하부전면후레임</v>
          </cell>
        </row>
        <row r="269">
          <cell r="B269" t="str">
            <v>갈바후레임제작설치</v>
          </cell>
          <cell r="C269" t="str">
            <v>1.6T</v>
          </cell>
          <cell r="D269" t="str">
            <v>M2</v>
          </cell>
          <cell r="F269">
            <v>1.3919999999999999</v>
          </cell>
          <cell r="G269" t="str">
            <v>하부바닥받침몰딩</v>
          </cell>
        </row>
        <row r="270">
          <cell r="B270" t="str">
            <v>갈바후레임제작설치</v>
          </cell>
          <cell r="C270" t="str">
            <v>1.6T</v>
          </cell>
          <cell r="D270" t="str">
            <v>M2</v>
          </cell>
          <cell r="F270">
            <v>1.0640000000000001</v>
          </cell>
          <cell r="G270" t="str">
            <v>하부 걸레받이</v>
          </cell>
        </row>
        <row r="271">
          <cell r="B271" t="str">
            <v>- SYSTEM 장치</v>
          </cell>
        </row>
        <row r="272">
          <cell r="B272" t="str">
            <v>피아노경첩 제작설치</v>
          </cell>
          <cell r="D272" t="str">
            <v>M</v>
          </cell>
          <cell r="F272">
            <v>16</v>
          </cell>
        </row>
        <row r="273">
          <cell r="B273" t="str">
            <v>LOCK SET 제작설치</v>
          </cell>
          <cell r="C273" t="str">
            <v>시건장치</v>
          </cell>
          <cell r="D273" t="str">
            <v>set</v>
          </cell>
          <cell r="F273">
            <v>3</v>
          </cell>
        </row>
        <row r="274">
          <cell r="B274" t="str">
            <v>AL.패킹바 제작설치</v>
          </cell>
          <cell r="D274" t="str">
            <v>M</v>
          </cell>
          <cell r="F274">
            <v>16</v>
          </cell>
        </row>
        <row r="275">
          <cell r="B275" t="str">
            <v>밀폐패킹 설치</v>
          </cell>
          <cell r="C275" t="str">
            <v>대형</v>
          </cell>
          <cell r="D275" t="str">
            <v>M</v>
          </cell>
          <cell r="F275">
            <v>21.2</v>
          </cell>
        </row>
        <row r="276">
          <cell r="B276" t="str">
            <v>AL.사출유리후렘 제작설치</v>
          </cell>
          <cell r="C276" t="str">
            <v>벽부장(상부)</v>
          </cell>
          <cell r="D276" t="str">
            <v>M</v>
          </cell>
          <cell r="F276">
            <v>8</v>
          </cell>
        </row>
        <row r="277">
          <cell r="B277" t="str">
            <v>AL.사출유리후렘 제작설치</v>
          </cell>
          <cell r="C277" t="str">
            <v>벽부장(하부)</v>
          </cell>
          <cell r="D277" t="str">
            <v>M</v>
          </cell>
          <cell r="F277">
            <v>8</v>
          </cell>
        </row>
        <row r="278">
          <cell r="B278" t="str">
            <v>모터구동시스템 설치</v>
          </cell>
          <cell r="C278" t="str">
            <v>웜기어 전동실린더</v>
          </cell>
          <cell r="D278" t="str">
            <v>SET</v>
          </cell>
          <cell r="F278">
            <v>12</v>
          </cell>
        </row>
        <row r="279">
          <cell r="B279" t="str">
            <v>LM가이드시스템 가공 설치</v>
          </cell>
          <cell r="C279" t="str">
            <v>Ø25</v>
          </cell>
          <cell r="D279" t="str">
            <v>SET</v>
          </cell>
          <cell r="F279">
            <v>24</v>
          </cell>
        </row>
        <row r="280">
          <cell r="B280" t="str">
            <v>베어링레일및가공 설치</v>
          </cell>
          <cell r="C280" t="str">
            <v>22*42 2.3T 가공</v>
          </cell>
          <cell r="D280" t="str">
            <v>M</v>
          </cell>
          <cell r="F280">
            <v>16</v>
          </cell>
        </row>
        <row r="281">
          <cell r="B281" t="str">
            <v>슬라이딩베어링 가공조립</v>
          </cell>
          <cell r="C281" t="str">
            <v>Ø26</v>
          </cell>
          <cell r="D281" t="str">
            <v>EA</v>
          </cell>
          <cell r="F281">
            <v>208</v>
          </cell>
        </row>
        <row r="282">
          <cell r="B282" t="str">
            <v>베어링 붓싱가공조립</v>
          </cell>
          <cell r="C282" t="str">
            <v>#6200</v>
          </cell>
          <cell r="D282" t="str">
            <v>EA</v>
          </cell>
          <cell r="F282">
            <v>208</v>
          </cell>
        </row>
        <row r="283">
          <cell r="B283" t="str">
            <v>유압쇽업쇼바 제작설치</v>
          </cell>
          <cell r="C283" t="str">
            <v>20kg</v>
          </cell>
          <cell r="D283" t="str">
            <v>SET</v>
          </cell>
          <cell r="F283">
            <v>6</v>
          </cell>
        </row>
        <row r="284">
          <cell r="B284" t="str">
            <v>센터베어링및스톱파 가공조립</v>
          </cell>
          <cell r="C284" t="str">
            <v>독립형1단</v>
          </cell>
          <cell r="D284" t="str">
            <v>SET</v>
          </cell>
          <cell r="F284">
            <v>2</v>
          </cell>
        </row>
        <row r="285">
          <cell r="B285" t="str">
            <v>전후진 전동콘트롤 제작설치</v>
          </cell>
          <cell r="C285" t="str">
            <v>독립형</v>
          </cell>
          <cell r="D285" t="str">
            <v>SET</v>
          </cell>
          <cell r="F285">
            <v>2</v>
          </cell>
        </row>
        <row r="286">
          <cell r="B286" t="str">
            <v>- 수장공사</v>
          </cell>
        </row>
        <row r="287">
          <cell r="B287" t="str">
            <v>내부도배</v>
          </cell>
          <cell r="C287" t="str">
            <v>세마직벽지</v>
          </cell>
          <cell r="D287" t="str">
            <v>M2</v>
          </cell>
          <cell r="F287">
            <v>48.8</v>
          </cell>
        </row>
        <row r="288">
          <cell r="B288" t="str">
            <v>바탕처리</v>
          </cell>
          <cell r="C288" t="str">
            <v>도배퍼티</v>
          </cell>
          <cell r="D288" t="str">
            <v>M2</v>
          </cell>
          <cell r="F288">
            <v>48.8</v>
          </cell>
        </row>
        <row r="289">
          <cell r="B289" t="str">
            <v>합판취부</v>
          </cell>
          <cell r="C289" t="str">
            <v>T11.5mm 2PLY</v>
          </cell>
          <cell r="D289" t="str">
            <v>M2</v>
          </cell>
          <cell r="F289">
            <v>8</v>
          </cell>
        </row>
        <row r="290">
          <cell r="B290" t="str">
            <v>합판취부</v>
          </cell>
          <cell r="C290" t="str">
            <v>T8.5mm 1PLY</v>
          </cell>
          <cell r="D290" t="str">
            <v>M2</v>
          </cell>
          <cell r="F290">
            <v>57.6</v>
          </cell>
        </row>
        <row r="291">
          <cell r="B291" t="str">
            <v>진열장석고보드취부</v>
          </cell>
          <cell r="C291" t="str">
            <v>T9.5mm*2PLY</v>
          </cell>
          <cell r="D291" t="str">
            <v>M2</v>
          </cell>
          <cell r="F291">
            <v>4.8</v>
          </cell>
        </row>
        <row r="292">
          <cell r="B292" t="str">
            <v>우레탄칼라락카도장</v>
          </cell>
          <cell r="C292" t="str">
            <v>철재면기준</v>
          </cell>
          <cell r="D292" t="str">
            <v>M2</v>
          </cell>
          <cell r="F292">
            <v>36.934400000000004</v>
          </cell>
        </row>
        <row r="293">
          <cell r="B293" t="str">
            <v>바탕처리</v>
          </cell>
          <cell r="C293" t="str">
            <v>철재면기준</v>
          </cell>
          <cell r="D293" t="str">
            <v>M2</v>
          </cell>
          <cell r="F293">
            <v>36.934400000000004</v>
          </cell>
        </row>
        <row r="294">
          <cell r="B294" t="str">
            <v>- 유리공사</v>
          </cell>
        </row>
        <row r="295">
          <cell r="B295" t="str">
            <v>화이트 접합유리 끼우기</v>
          </cell>
          <cell r="C295" t="str">
            <v>T12.76mm (2,400*3,400기준)</v>
          </cell>
          <cell r="D295" t="str">
            <v>M2</v>
          </cell>
          <cell r="F295">
            <v>22.560000000000002</v>
          </cell>
        </row>
        <row r="296">
          <cell r="B296" t="str">
            <v>조명용아크릴 가공 설치</v>
          </cell>
          <cell r="C296" t="str">
            <v>T5mm</v>
          </cell>
          <cell r="D296" t="str">
            <v>m2</v>
          </cell>
          <cell r="F296">
            <v>1.2</v>
          </cell>
        </row>
        <row r="297">
          <cell r="B297" t="str">
            <v>코킹</v>
          </cell>
          <cell r="D297" t="str">
            <v>M</v>
          </cell>
          <cell r="F297">
            <v>64.92</v>
          </cell>
        </row>
        <row r="298">
          <cell r="B298" t="str">
            <v>면    취</v>
          </cell>
          <cell r="D298" t="str">
            <v>M</v>
          </cell>
          <cell r="F298">
            <v>54.56</v>
          </cell>
        </row>
        <row r="299">
          <cell r="B299" t="str">
            <v>- 전기공사</v>
          </cell>
        </row>
        <row r="300">
          <cell r="B300" t="str">
            <v>LED 포인트조명설치(벽부형)</v>
          </cell>
          <cell r="C300" t="str">
            <v>15W이하</v>
          </cell>
          <cell r="D300" t="str">
            <v>ea</v>
          </cell>
          <cell r="F300">
            <v>20</v>
          </cell>
        </row>
        <row r="301">
          <cell r="B301" t="str">
            <v>LED bar조명설치</v>
          </cell>
          <cell r="C301" t="str">
            <v>30W이하</v>
          </cell>
          <cell r="D301" t="str">
            <v>M</v>
          </cell>
          <cell r="F301">
            <v>16</v>
          </cell>
        </row>
        <row r="302">
          <cell r="B302" t="str">
            <v>LED 포인트조명 컨트롤제작설치</v>
          </cell>
          <cell r="C302" t="str">
            <v>컨트롤러(24채널)</v>
          </cell>
          <cell r="D302" t="str">
            <v>set</v>
          </cell>
          <cell r="F302">
            <v>1</v>
          </cell>
        </row>
        <row r="303">
          <cell r="B303" t="str">
            <v>LED bar조명 컨트롤제작설치</v>
          </cell>
          <cell r="C303" t="str">
            <v>컨트롤러</v>
          </cell>
          <cell r="D303" t="str">
            <v>set</v>
          </cell>
          <cell r="F303">
            <v>1</v>
          </cell>
        </row>
        <row r="313">
          <cell r="A313" t="str">
            <v>SC-204</v>
          </cell>
          <cell r="B313" t="str">
            <v>벽부형진열장(전동형)</v>
          </cell>
          <cell r="C313" t="str">
            <v>L: 10000 D: 1000 H: 3600 FH: 300 GH: 2600 UH: 700</v>
          </cell>
          <cell r="D313" t="str">
            <v>SET</v>
          </cell>
          <cell r="F313">
            <v>2</v>
          </cell>
        </row>
        <row r="314">
          <cell r="B314" t="str">
            <v>- 구조틀</v>
          </cell>
        </row>
        <row r="315">
          <cell r="B315" t="str">
            <v>각파이프(방청)</v>
          </cell>
          <cell r="C315" t="str">
            <v>50*50*1.4T</v>
          </cell>
          <cell r="D315" t="str">
            <v>M</v>
          </cell>
          <cell r="F315">
            <v>267.70000000000005</v>
          </cell>
        </row>
        <row r="316">
          <cell r="B316" t="str">
            <v>각파이프(방청)</v>
          </cell>
          <cell r="C316" t="str">
            <v>100*50*2.3T</v>
          </cell>
          <cell r="D316" t="str">
            <v>M</v>
          </cell>
          <cell r="F316">
            <v>47.2</v>
          </cell>
        </row>
        <row r="317">
          <cell r="B317" t="str">
            <v>- 잡철물</v>
          </cell>
        </row>
        <row r="318">
          <cell r="B318" t="str">
            <v>갈바후레임제작설치</v>
          </cell>
          <cell r="C318" t="str">
            <v>1.6T</v>
          </cell>
          <cell r="D318" t="str">
            <v>M2</v>
          </cell>
          <cell r="F318">
            <v>3.15</v>
          </cell>
          <cell r="G318" t="str">
            <v>상부점검도어 몰딩</v>
          </cell>
        </row>
        <row r="319">
          <cell r="B319" t="str">
            <v>갈바후레임제작설치</v>
          </cell>
          <cell r="C319" t="str">
            <v>1.6T</v>
          </cell>
          <cell r="D319" t="str">
            <v>M2</v>
          </cell>
          <cell r="F319">
            <v>4.92</v>
          </cell>
          <cell r="G319" t="str">
            <v>상부전면천장유리후레임</v>
          </cell>
        </row>
        <row r="320">
          <cell r="B320" t="str">
            <v>갈바후레임제작설치</v>
          </cell>
          <cell r="C320" t="str">
            <v>1.6T</v>
          </cell>
          <cell r="D320" t="str">
            <v>M2</v>
          </cell>
          <cell r="F320">
            <v>6.61</v>
          </cell>
          <cell r="G320" t="str">
            <v>배면천장몰딩</v>
          </cell>
        </row>
        <row r="321">
          <cell r="B321" t="str">
            <v>갈바후레임제작설치</v>
          </cell>
          <cell r="C321" t="str">
            <v>1.6T</v>
          </cell>
          <cell r="D321" t="str">
            <v>M2</v>
          </cell>
          <cell r="F321">
            <v>2.0499999999999998</v>
          </cell>
          <cell r="G321" t="str">
            <v>그림걸이레일보강</v>
          </cell>
        </row>
        <row r="322">
          <cell r="B322" t="str">
            <v>갈바후레임제작설치</v>
          </cell>
          <cell r="C322" t="str">
            <v>1.6T</v>
          </cell>
          <cell r="D322" t="str">
            <v>M2</v>
          </cell>
          <cell r="F322">
            <v>5.6000000000000005</v>
          </cell>
          <cell r="G322" t="str">
            <v>상부점검도어</v>
          </cell>
        </row>
        <row r="323">
          <cell r="B323" t="str">
            <v>갈바후레임제작설치</v>
          </cell>
          <cell r="C323" t="str">
            <v>1.6T</v>
          </cell>
          <cell r="D323" t="str">
            <v>M2</v>
          </cell>
          <cell r="F323">
            <v>3.6960000000000006</v>
          </cell>
          <cell r="G323" t="str">
            <v>배면 사이드 몰딩</v>
          </cell>
        </row>
        <row r="324">
          <cell r="B324" t="str">
            <v>갈바후레임제작설치</v>
          </cell>
          <cell r="C324" t="str">
            <v>1.6T</v>
          </cell>
          <cell r="D324" t="str">
            <v>M2</v>
          </cell>
          <cell r="F324">
            <v>1.04</v>
          </cell>
          <cell r="G324" t="str">
            <v>외부 측면 후레임</v>
          </cell>
        </row>
        <row r="325">
          <cell r="B325" t="str">
            <v>갈바후레임제작설치</v>
          </cell>
          <cell r="C325" t="str">
            <v>1.6T</v>
          </cell>
          <cell r="D325" t="str">
            <v>M2</v>
          </cell>
          <cell r="F325">
            <v>2.1743999999999999</v>
          </cell>
          <cell r="G325" t="str">
            <v>측면 유리 몰딩</v>
          </cell>
        </row>
        <row r="326">
          <cell r="B326" t="str">
            <v>알루미늄판취부</v>
          </cell>
          <cell r="C326" t="str">
            <v>4T*900*1800</v>
          </cell>
          <cell r="D326" t="str">
            <v>M2</v>
          </cell>
          <cell r="F326">
            <v>7</v>
          </cell>
          <cell r="G326" t="str">
            <v>상부점검도어 커버</v>
          </cell>
        </row>
        <row r="327">
          <cell r="B327" t="str">
            <v>- 잡철물</v>
          </cell>
        </row>
        <row r="328">
          <cell r="B328" t="str">
            <v>갈바후레임제작설치</v>
          </cell>
          <cell r="C328" t="str">
            <v>1.6T</v>
          </cell>
          <cell r="D328" t="str">
            <v>M2</v>
          </cell>
          <cell r="F328">
            <v>4.53</v>
          </cell>
          <cell r="G328" t="str">
            <v>하부전면후레임</v>
          </cell>
        </row>
        <row r="329">
          <cell r="B329" t="str">
            <v>갈바후레임제작설치</v>
          </cell>
          <cell r="C329" t="str">
            <v>1.6T</v>
          </cell>
          <cell r="D329" t="str">
            <v>M2</v>
          </cell>
          <cell r="F329">
            <v>1.7399999999999998</v>
          </cell>
          <cell r="G329" t="str">
            <v>하부바닥받침몰딩</v>
          </cell>
        </row>
        <row r="330">
          <cell r="B330" t="str">
            <v>갈바후레임제작설치</v>
          </cell>
          <cell r="C330" t="str">
            <v>1.6T</v>
          </cell>
          <cell r="D330" t="str">
            <v>M2</v>
          </cell>
          <cell r="F330">
            <v>1.33</v>
          </cell>
          <cell r="G330" t="str">
            <v>하부 걸레받이</v>
          </cell>
        </row>
        <row r="331">
          <cell r="B331" t="str">
            <v>- SYSTEM 장치</v>
          </cell>
        </row>
        <row r="332">
          <cell r="B332" t="str">
            <v>피아노경첩 제작설치</v>
          </cell>
          <cell r="D332" t="str">
            <v>M</v>
          </cell>
          <cell r="F332">
            <v>20</v>
          </cell>
        </row>
        <row r="333">
          <cell r="B333" t="str">
            <v>LOCK SET 제작설치</v>
          </cell>
          <cell r="C333" t="str">
            <v>시건장치</v>
          </cell>
          <cell r="D333" t="str">
            <v>set</v>
          </cell>
          <cell r="F333">
            <v>3</v>
          </cell>
        </row>
        <row r="334">
          <cell r="B334" t="str">
            <v>AL.패킹바 제작설치</v>
          </cell>
          <cell r="D334" t="str">
            <v>M</v>
          </cell>
          <cell r="F334">
            <v>20</v>
          </cell>
        </row>
        <row r="335">
          <cell r="B335" t="str">
            <v>밀폐패킹 설치</v>
          </cell>
          <cell r="C335" t="str">
            <v>대형</v>
          </cell>
          <cell r="D335" t="str">
            <v>M</v>
          </cell>
          <cell r="F335">
            <v>25.2</v>
          </cell>
        </row>
        <row r="336">
          <cell r="B336" t="str">
            <v>AL.사출유리후렘 제작설치</v>
          </cell>
          <cell r="C336" t="str">
            <v>벽부장(상부)</v>
          </cell>
          <cell r="D336" t="str">
            <v>M</v>
          </cell>
          <cell r="F336">
            <v>10</v>
          </cell>
        </row>
        <row r="337">
          <cell r="B337" t="str">
            <v>AL.사출유리후렘 제작설치</v>
          </cell>
          <cell r="C337" t="str">
            <v>벽부장(하부)</v>
          </cell>
          <cell r="D337" t="str">
            <v>M</v>
          </cell>
          <cell r="F337">
            <v>10</v>
          </cell>
        </row>
        <row r="338">
          <cell r="B338" t="str">
            <v>모터구동시스템 설치</v>
          </cell>
          <cell r="C338" t="str">
            <v>웜기어 전동실린더</v>
          </cell>
          <cell r="D338" t="str">
            <v>SET</v>
          </cell>
          <cell r="F338">
            <v>16</v>
          </cell>
        </row>
        <row r="339">
          <cell r="B339" t="str">
            <v>LM가이드시스템 가공 설치</v>
          </cell>
          <cell r="C339" t="str">
            <v>Ø25</v>
          </cell>
          <cell r="D339" t="str">
            <v>SET</v>
          </cell>
          <cell r="F339">
            <v>32</v>
          </cell>
        </row>
        <row r="340">
          <cell r="B340" t="str">
            <v>베어링레일및가공 설치</v>
          </cell>
          <cell r="C340" t="str">
            <v>22*42 2.3T 가공</v>
          </cell>
          <cell r="D340" t="str">
            <v>M</v>
          </cell>
          <cell r="F340">
            <v>20</v>
          </cell>
        </row>
        <row r="341">
          <cell r="B341" t="str">
            <v>슬라이딩베어링 가공조립</v>
          </cell>
          <cell r="C341" t="str">
            <v>Ø26</v>
          </cell>
          <cell r="D341" t="str">
            <v>EA</v>
          </cell>
          <cell r="F341">
            <v>260</v>
          </cell>
        </row>
        <row r="342">
          <cell r="B342" t="str">
            <v>베어링 붓싱가공조립</v>
          </cell>
          <cell r="C342" t="str">
            <v>#6200</v>
          </cell>
          <cell r="D342" t="str">
            <v>EA</v>
          </cell>
          <cell r="F342">
            <v>260</v>
          </cell>
        </row>
        <row r="343">
          <cell r="B343" t="str">
            <v>유압쇽업쇼바 제작설치</v>
          </cell>
          <cell r="C343" t="str">
            <v>20kg</v>
          </cell>
          <cell r="D343" t="str">
            <v>SET</v>
          </cell>
          <cell r="F343">
            <v>6</v>
          </cell>
        </row>
        <row r="344">
          <cell r="B344" t="str">
            <v>센터베어링및스톱파 가공조립</v>
          </cell>
          <cell r="C344" t="str">
            <v>독립형1단</v>
          </cell>
          <cell r="D344" t="str">
            <v>SET</v>
          </cell>
          <cell r="F344">
            <v>2</v>
          </cell>
        </row>
        <row r="345">
          <cell r="B345" t="str">
            <v>전후진 전동콘트롤 제작설치</v>
          </cell>
          <cell r="C345" t="str">
            <v>독립형</v>
          </cell>
          <cell r="D345" t="str">
            <v>SET</v>
          </cell>
          <cell r="F345">
            <v>2</v>
          </cell>
        </row>
        <row r="346">
          <cell r="B346" t="str">
            <v>- 수장공사</v>
          </cell>
        </row>
        <row r="347">
          <cell r="B347" t="str">
            <v>내부도배</v>
          </cell>
          <cell r="C347" t="str">
            <v>세마직벽지</v>
          </cell>
          <cell r="D347" t="str">
            <v>M2</v>
          </cell>
          <cell r="F347">
            <v>59.2</v>
          </cell>
        </row>
        <row r="348">
          <cell r="B348" t="str">
            <v>바탕처리</v>
          </cell>
          <cell r="C348" t="str">
            <v>도배퍼티</v>
          </cell>
          <cell r="D348" t="str">
            <v>M2</v>
          </cell>
          <cell r="F348">
            <v>59.2</v>
          </cell>
        </row>
        <row r="349">
          <cell r="B349" t="str">
            <v>합판취부</v>
          </cell>
          <cell r="C349" t="str">
            <v>T11.5mm 2PLY</v>
          </cell>
          <cell r="D349" t="str">
            <v>M2</v>
          </cell>
          <cell r="F349">
            <v>10</v>
          </cell>
        </row>
        <row r="350">
          <cell r="B350" t="str">
            <v>합판취부</v>
          </cell>
          <cell r="C350" t="str">
            <v>T8.5mm 1PLY</v>
          </cell>
          <cell r="D350" t="str">
            <v>M2</v>
          </cell>
          <cell r="F350">
            <v>72</v>
          </cell>
        </row>
        <row r="351">
          <cell r="B351" t="str">
            <v>진열장석고보드취부</v>
          </cell>
          <cell r="C351" t="str">
            <v>T9.5mm*2PLY</v>
          </cell>
          <cell r="D351" t="str">
            <v>M2</v>
          </cell>
          <cell r="F351">
            <v>6</v>
          </cell>
        </row>
        <row r="352">
          <cell r="B352" t="str">
            <v>우레탄칼라락카도장</v>
          </cell>
          <cell r="C352" t="str">
            <v>철재면기준</v>
          </cell>
          <cell r="D352" t="str">
            <v>M2</v>
          </cell>
          <cell r="F352">
            <v>43.840400000000002</v>
          </cell>
        </row>
        <row r="353">
          <cell r="B353" t="str">
            <v>바탕처리</v>
          </cell>
          <cell r="C353" t="str">
            <v>철재면기준</v>
          </cell>
          <cell r="D353" t="str">
            <v>M2</v>
          </cell>
          <cell r="F353">
            <v>43.840400000000002</v>
          </cell>
        </row>
        <row r="354">
          <cell r="B354" t="str">
            <v>- 유리공사</v>
          </cell>
        </row>
        <row r="355">
          <cell r="B355" t="str">
            <v>화이트 접합유리 끼우기</v>
          </cell>
          <cell r="C355" t="str">
            <v>T12.76mm (2,400*3,400기준)</v>
          </cell>
          <cell r="D355" t="str">
            <v>M2</v>
          </cell>
          <cell r="F355">
            <v>28.200000000000003</v>
          </cell>
        </row>
        <row r="356">
          <cell r="B356" t="str">
            <v>조명용아크릴 가공 설치</v>
          </cell>
          <cell r="C356" t="str">
            <v>T5mm</v>
          </cell>
          <cell r="D356" t="str">
            <v>m2</v>
          </cell>
          <cell r="F356">
            <v>1.5</v>
          </cell>
        </row>
        <row r="357">
          <cell r="B357" t="str">
            <v>코킹</v>
          </cell>
          <cell r="D357" t="str">
            <v>M</v>
          </cell>
          <cell r="F357">
            <v>76.92</v>
          </cell>
        </row>
        <row r="358">
          <cell r="B358" t="str">
            <v>면    취</v>
          </cell>
          <cell r="D358" t="str">
            <v>M</v>
          </cell>
          <cell r="F358">
            <v>62.56</v>
          </cell>
        </row>
        <row r="359">
          <cell r="B359" t="str">
            <v>- 전기공사</v>
          </cell>
        </row>
        <row r="360">
          <cell r="B360" t="str">
            <v>LED 포인트조명설치(벽부형)</v>
          </cell>
          <cell r="C360" t="str">
            <v>15W이하</v>
          </cell>
          <cell r="D360" t="str">
            <v>ea</v>
          </cell>
          <cell r="F360">
            <v>24</v>
          </cell>
        </row>
        <row r="361">
          <cell r="B361" t="str">
            <v>LED bar조명설치</v>
          </cell>
          <cell r="C361" t="str">
            <v>30W이하</v>
          </cell>
          <cell r="D361" t="str">
            <v>M</v>
          </cell>
          <cell r="F361">
            <v>20</v>
          </cell>
        </row>
        <row r="362">
          <cell r="B362" t="str">
            <v>LED 포인트조명 컨트롤제작설치</v>
          </cell>
          <cell r="C362" t="str">
            <v>컨트롤러(16채널)</v>
          </cell>
          <cell r="D362" t="str">
            <v>set</v>
          </cell>
          <cell r="F362">
            <v>1</v>
          </cell>
        </row>
        <row r="363">
          <cell r="B363" t="str">
            <v>LED bar조명 컨트롤제작설치</v>
          </cell>
          <cell r="C363" t="str">
            <v>컨트롤러</v>
          </cell>
          <cell r="D363" t="str">
            <v>set</v>
          </cell>
          <cell r="F363">
            <v>1</v>
          </cell>
        </row>
        <row r="373">
          <cell r="A373" t="str">
            <v>SC-205</v>
          </cell>
          <cell r="B373" t="str">
            <v>벽부형진열장(전동형)</v>
          </cell>
          <cell r="C373" t="str">
            <v>L: 12000 D: 1000 H: 3600 FH: 300 GH: 2600 UH: 700</v>
          </cell>
          <cell r="D373" t="str">
            <v>SET</v>
          </cell>
          <cell r="F373">
            <v>1</v>
          </cell>
        </row>
        <row r="374">
          <cell r="B374" t="str">
            <v>- 구조틀</v>
          </cell>
        </row>
        <row r="375">
          <cell r="B375" t="str">
            <v>각파이프(방청)</v>
          </cell>
          <cell r="C375" t="str">
            <v>50*50*1.4T</v>
          </cell>
          <cell r="D375" t="str">
            <v>M</v>
          </cell>
          <cell r="F375">
            <v>307.70000000000005</v>
          </cell>
        </row>
        <row r="376">
          <cell r="B376" t="str">
            <v>각파이프(방청)</v>
          </cell>
          <cell r="C376" t="str">
            <v>100*50*2.3T</v>
          </cell>
          <cell r="D376" t="str">
            <v>M</v>
          </cell>
          <cell r="F376">
            <v>55.2</v>
          </cell>
        </row>
        <row r="377">
          <cell r="B377" t="str">
            <v>- 잡철물</v>
          </cell>
          <cell r="C377" t="str">
            <v xml:space="preserve"> 상부</v>
          </cell>
        </row>
        <row r="378">
          <cell r="B378" t="str">
            <v>갈바후레임제작설치</v>
          </cell>
          <cell r="C378" t="str">
            <v>1.6T</v>
          </cell>
          <cell r="D378" t="str">
            <v>M2</v>
          </cell>
          <cell r="F378">
            <v>3.7800000000000002</v>
          </cell>
          <cell r="G378" t="str">
            <v>상부점검도어 몰딩</v>
          </cell>
        </row>
        <row r="379">
          <cell r="B379" t="str">
            <v>갈바후레임제작설치</v>
          </cell>
          <cell r="C379" t="str">
            <v>1.6T</v>
          </cell>
          <cell r="D379" t="str">
            <v>M2</v>
          </cell>
          <cell r="F379">
            <v>5.9039999999999999</v>
          </cell>
          <cell r="G379" t="str">
            <v>상부전면천장유리후레임</v>
          </cell>
        </row>
        <row r="380">
          <cell r="B380" t="str">
            <v>갈바후레임제작설치</v>
          </cell>
          <cell r="C380" t="str">
            <v>1.6T</v>
          </cell>
          <cell r="D380" t="str">
            <v>M2</v>
          </cell>
          <cell r="F380">
            <v>7.9320000000000004</v>
          </cell>
          <cell r="G380" t="str">
            <v>배면천장몰딩</v>
          </cell>
        </row>
        <row r="381">
          <cell r="B381" t="str">
            <v>갈바후레임제작설치</v>
          </cell>
          <cell r="C381" t="str">
            <v>1.6T</v>
          </cell>
          <cell r="D381" t="str">
            <v>M2</v>
          </cell>
          <cell r="F381">
            <v>2.46</v>
          </cell>
          <cell r="G381" t="str">
            <v>그림걸이레일보강</v>
          </cell>
        </row>
        <row r="382">
          <cell r="B382" t="str">
            <v>갈바후레임제작설치</v>
          </cell>
          <cell r="C382" t="str">
            <v>1.6T</v>
          </cell>
          <cell r="D382" t="str">
            <v>M2</v>
          </cell>
          <cell r="F382">
            <v>6.24</v>
          </cell>
          <cell r="G382" t="str">
            <v>상부점검도어</v>
          </cell>
        </row>
        <row r="383">
          <cell r="B383" t="str">
            <v>갈바후레임제작설치</v>
          </cell>
          <cell r="C383" t="str">
            <v>1.6T</v>
          </cell>
          <cell r="D383" t="str">
            <v>M2</v>
          </cell>
          <cell r="F383">
            <v>3.6960000000000006</v>
          </cell>
          <cell r="G383" t="str">
            <v>배면 사이드 몰딩</v>
          </cell>
        </row>
        <row r="384">
          <cell r="B384" t="str">
            <v>갈바후레임제작설치</v>
          </cell>
          <cell r="C384" t="str">
            <v>1.6T</v>
          </cell>
          <cell r="D384" t="str">
            <v>M2</v>
          </cell>
          <cell r="F384">
            <v>1.04</v>
          </cell>
          <cell r="G384" t="str">
            <v>외부 측면 후레임</v>
          </cell>
        </row>
        <row r="385">
          <cell r="B385" t="str">
            <v>갈바후레임제작설치</v>
          </cell>
          <cell r="C385" t="str">
            <v>1.6T</v>
          </cell>
          <cell r="D385" t="str">
            <v>M2</v>
          </cell>
          <cell r="F385">
            <v>2.1743999999999999</v>
          </cell>
          <cell r="G385" t="str">
            <v>측면 유리 몰딩</v>
          </cell>
        </row>
        <row r="386">
          <cell r="B386" t="str">
            <v>알루미늄판취부</v>
          </cell>
          <cell r="C386" t="str">
            <v>4T*900*1800</v>
          </cell>
          <cell r="D386" t="str">
            <v>M2</v>
          </cell>
          <cell r="F386">
            <v>8.3999999999999986</v>
          </cell>
          <cell r="G386" t="str">
            <v>상부점검도어 커버</v>
          </cell>
        </row>
        <row r="387">
          <cell r="B387" t="str">
            <v>- 잡철물</v>
          </cell>
        </row>
        <row r="388">
          <cell r="B388" t="str">
            <v>갈바후레임제작설치</v>
          </cell>
          <cell r="C388" t="str">
            <v>1.6T</v>
          </cell>
          <cell r="D388" t="str">
            <v>M2</v>
          </cell>
          <cell r="F388">
            <v>5.4359999999999999</v>
          </cell>
          <cell r="G388" t="str">
            <v>하부전면후레임</v>
          </cell>
        </row>
        <row r="389">
          <cell r="B389" t="str">
            <v>갈바후레임제작설치</v>
          </cell>
          <cell r="C389" t="str">
            <v>1.6T</v>
          </cell>
          <cell r="D389" t="str">
            <v>M2</v>
          </cell>
          <cell r="F389">
            <v>2.0880000000000001</v>
          </cell>
          <cell r="G389" t="str">
            <v>하부바닥받침몰딩</v>
          </cell>
        </row>
        <row r="390">
          <cell r="B390" t="str">
            <v>갈바후레임제작설치</v>
          </cell>
          <cell r="C390" t="str">
            <v>1.6T</v>
          </cell>
          <cell r="D390" t="str">
            <v>M2</v>
          </cell>
          <cell r="F390">
            <v>1.5960000000000001</v>
          </cell>
          <cell r="G390" t="str">
            <v>하부 걸레받이</v>
          </cell>
        </row>
        <row r="391">
          <cell r="B391" t="str">
            <v>- SYSTEM 장치</v>
          </cell>
        </row>
        <row r="392">
          <cell r="B392" t="str">
            <v>피아노경첩 제작설치</v>
          </cell>
          <cell r="D392" t="str">
            <v>M</v>
          </cell>
          <cell r="F392">
            <v>24</v>
          </cell>
        </row>
        <row r="393">
          <cell r="B393" t="str">
            <v>LOCK SET 제작설치</v>
          </cell>
          <cell r="C393" t="str">
            <v>시건장치</v>
          </cell>
          <cell r="D393" t="str">
            <v>set</v>
          </cell>
          <cell r="F393">
            <v>3</v>
          </cell>
        </row>
        <row r="394">
          <cell r="B394" t="str">
            <v>AL.패킹바 제작설치</v>
          </cell>
          <cell r="D394" t="str">
            <v>M</v>
          </cell>
          <cell r="F394">
            <v>24</v>
          </cell>
        </row>
        <row r="395">
          <cell r="B395" t="str">
            <v>밀폐패킹 설치</v>
          </cell>
          <cell r="C395" t="str">
            <v>대형</v>
          </cell>
          <cell r="D395" t="str">
            <v>M</v>
          </cell>
          <cell r="F395">
            <v>29.2</v>
          </cell>
        </row>
        <row r="396">
          <cell r="B396" t="str">
            <v>AL.사출유리후렘 제작설치</v>
          </cell>
          <cell r="C396" t="str">
            <v>벽부장(상부)</v>
          </cell>
          <cell r="D396" t="str">
            <v>M</v>
          </cell>
          <cell r="F396">
            <v>12</v>
          </cell>
        </row>
        <row r="397">
          <cell r="B397" t="str">
            <v>AL.사출유리후렘 제작설치</v>
          </cell>
          <cell r="C397" t="str">
            <v>벽부장(하부)</v>
          </cell>
          <cell r="D397" t="str">
            <v>M</v>
          </cell>
          <cell r="F397">
            <v>12</v>
          </cell>
        </row>
        <row r="398">
          <cell r="B398" t="str">
            <v>모터구동시스템 설치</v>
          </cell>
          <cell r="C398" t="str">
            <v>웜기어 전동실린더</v>
          </cell>
          <cell r="D398" t="str">
            <v>SET</v>
          </cell>
          <cell r="F398">
            <v>20</v>
          </cell>
        </row>
        <row r="399">
          <cell r="B399" t="str">
            <v>LM가이드시스템 가공 설치</v>
          </cell>
          <cell r="C399" t="str">
            <v>Ø25</v>
          </cell>
          <cell r="D399" t="str">
            <v>SET</v>
          </cell>
          <cell r="F399">
            <v>40</v>
          </cell>
        </row>
        <row r="400">
          <cell r="B400" t="str">
            <v>베어링레일및가공 설치</v>
          </cell>
          <cell r="C400" t="str">
            <v>22*42 2.3T 가공</v>
          </cell>
          <cell r="D400" t="str">
            <v>M</v>
          </cell>
          <cell r="F400">
            <v>24</v>
          </cell>
        </row>
        <row r="401">
          <cell r="B401" t="str">
            <v>슬라이딩베어링 가공조립</v>
          </cell>
          <cell r="C401" t="str">
            <v>Ø26</v>
          </cell>
          <cell r="D401" t="str">
            <v>EA</v>
          </cell>
          <cell r="F401">
            <v>312</v>
          </cell>
        </row>
        <row r="402">
          <cell r="B402" t="str">
            <v>베어링 붓싱가공조립</v>
          </cell>
          <cell r="C402" t="str">
            <v>#6200</v>
          </cell>
          <cell r="D402" t="str">
            <v>EA</v>
          </cell>
          <cell r="F402">
            <v>312</v>
          </cell>
        </row>
        <row r="403">
          <cell r="B403" t="str">
            <v>유압쇽업쇼바 제작설치</v>
          </cell>
          <cell r="C403" t="str">
            <v>20kg</v>
          </cell>
          <cell r="D403" t="str">
            <v>SET</v>
          </cell>
          <cell r="F403">
            <v>6</v>
          </cell>
        </row>
        <row r="404">
          <cell r="B404" t="str">
            <v>센터베어링및스톱파 가공조립</v>
          </cell>
          <cell r="C404" t="str">
            <v>독립형1단</v>
          </cell>
          <cell r="D404" t="str">
            <v>SET</v>
          </cell>
          <cell r="F404">
            <v>2</v>
          </cell>
        </row>
        <row r="405">
          <cell r="B405" t="str">
            <v>전후진 전동콘트롤 제작설치</v>
          </cell>
          <cell r="C405" t="str">
            <v>독립형</v>
          </cell>
          <cell r="D405" t="str">
            <v>SET</v>
          </cell>
          <cell r="F405">
            <v>2</v>
          </cell>
        </row>
        <row r="406">
          <cell r="B406" t="str">
            <v>- 수장공사</v>
          </cell>
        </row>
        <row r="407">
          <cell r="B407" t="str">
            <v>내부도배</v>
          </cell>
          <cell r="C407" t="str">
            <v>세마직벽지</v>
          </cell>
          <cell r="D407" t="str">
            <v>M2</v>
          </cell>
          <cell r="F407">
            <v>69.599999999999994</v>
          </cell>
        </row>
        <row r="408">
          <cell r="B408" t="str">
            <v>바탕처리</v>
          </cell>
          <cell r="C408" t="str">
            <v>도배퍼티</v>
          </cell>
          <cell r="D408" t="str">
            <v>M2</v>
          </cell>
          <cell r="F408">
            <v>69.599999999999994</v>
          </cell>
        </row>
        <row r="409">
          <cell r="B409" t="str">
            <v>합판취부</v>
          </cell>
          <cell r="C409" t="str">
            <v>T11.5mm 2PLY</v>
          </cell>
          <cell r="D409" t="str">
            <v>M2</v>
          </cell>
          <cell r="F409">
            <v>12</v>
          </cell>
        </row>
        <row r="410">
          <cell r="B410" t="str">
            <v>합판취부</v>
          </cell>
          <cell r="C410" t="str">
            <v>T8.5mm 1PLY</v>
          </cell>
          <cell r="D410" t="str">
            <v>M2</v>
          </cell>
          <cell r="F410">
            <v>86.4</v>
          </cell>
        </row>
        <row r="411">
          <cell r="B411" t="str">
            <v>진열장석고보드취부</v>
          </cell>
          <cell r="C411" t="str">
            <v>T9.5mm*2PLY</v>
          </cell>
          <cell r="D411" t="str">
            <v>M2</v>
          </cell>
          <cell r="F411">
            <v>7.1999999999999993</v>
          </cell>
        </row>
        <row r="412">
          <cell r="B412" t="str">
            <v>우레탄칼라락카도장</v>
          </cell>
          <cell r="C412" t="str">
            <v>철재면기준</v>
          </cell>
          <cell r="D412" t="str">
            <v>M2</v>
          </cell>
          <cell r="F412">
            <v>50.746400000000008</v>
          </cell>
        </row>
        <row r="413">
          <cell r="B413" t="str">
            <v>바탕처리</v>
          </cell>
          <cell r="C413" t="str">
            <v>철재면기준</v>
          </cell>
          <cell r="D413" t="str">
            <v>M2</v>
          </cell>
          <cell r="F413">
            <v>50.746400000000008</v>
          </cell>
        </row>
        <row r="414">
          <cell r="B414" t="str">
            <v>- 유리공사</v>
          </cell>
        </row>
        <row r="415">
          <cell r="B415" t="str">
            <v>화이트 접합유리 끼우기</v>
          </cell>
          <cell r="C415" t="str">
            <v>T12.76mm (2,400*3,400기준)</v>
          </cell>
          <cell r="D415" t="str">
            <v>M2</v>
          </cell>
          <cell r="F415">
            <v>33.840000000000003</v>
          </cell>
        </row>
        <row r="416">
          <cell r="B416" t="str">
            <v>조명용아크릴 가공 설치</v>
          </cell>
          <cell r="C416" t="str">
            <v>T5mm</v>
          </cell>
          <cell r="D416" t="str">
            <v>m2</v>
          </cell>
          <cell r="F416">
            <v>1.7999999999999998</v>
          </cell>
        </row>
        <row r="417">
          <cell r="B417" t="str">
            <v>코킹</v>
          </cell>
          <cell r="D417" t="str">
            <v>M</v>
          </cell>
          <cell r="F417">
            <v>88.92</v>
          </cell>
        </row>
        <row r="418">
          <cell r="B418" t="str">
            <v>면    취</v>
          </cell>
          <cell r="D418" t="str">
            <v>M</v>
          </cell>
          <cell r="F418">
            <v>70.56</v>
          </cell>
        </row>
        <row r="419">
          <cell r="B419" t="str">
            <v>- 전기공사</v>
          </cell>
        </row>
        <row r="420">
          <cell r="B420" t="str">
            <v>LED 포인트조명설치(벽부형)</v>
          </cell>
          <cell r="C420" t="str">
            <v>15W이하</v>
          </cell>
          <cell r="D420" t="str">
            <v>ea</v>
          </cell>
          <cell r="F420">
            <v>30</v>
          </cell>
        </row>
        <row r="421">
          <cell r="B421" t="str">
            <v>LED bar조명설치</v>
          </cell>
          <cell r="C421" t="str">
            <v>30W이하</v>
          </cell>
          <cell r="D421" t="str">
            <v>M</v>
          </cell>
          <cell r="F421">
            <v>24</v>
          </cell>
        </row>
        <row r="422">
          <cell r="B422" t="str">
            <v>LED 포인트조명 컨트롤제작설치</v>
          </cell>
          <cell r="C422" t="str">
            <v>컨트롤러(16채널)</v>
          </cell>
          <cell r="D422" t="str">
            <v>set</v>
          </cell>
          <cell r="F422">
            <v>2</v>
          </cell>
        </row>
        <row r="423">
          <cell r="B423" t="str">
            <v>LED bar조명 컨트롤제작설치</v>
          </cell>
          <cell r="C423" t="str">
            <v>컨트롤러</v>
          </cell>
          <cell r="D423" t="str">
            <v>set</v>
          </cell>
          <cell r="F423">
            <v>2</v>
          </cell>
        </row>
        <row r="434">
          <cell r="A434" t="str">
            <v>SC-206</v>
          </cell>
          <cell r="B434" t="str">
            <v>고정형 양면 진열장</v>
          </cell>
          <cell r="D434" t="str">
            <v>SET</v>
          </cell>
          <cell r="F434">
            <v>2</v>
          </cell>
        </row>
        <row r="435">
          <cell r="B435" t="str">
            <v>- 구조틀</v>
          </cell>
        </row>
        <row r="436">
          <cell r="B436" t="str">
            <v>각파이프(방청)</v>
          </cell>
          <cell r="C436" t="str">
            <v>40*40*1.4T</v>
          </cell>
          <cell r="D436" t="str">
            <v>M</v>
          </cell>
          <cell r="F436">
            <v>180.36</v>
          </cell>
        </row>
        <row r="437">
          <cell r="B437" t="str">
            <v>석고보드 시공</v>
          </cell>
          <cell r="C437" t="str">
            <v>THK9.5mm 2PLY(벽체면)</v>
          </cell>
          <cell r="D437" t="str">
            <v>M2</v>
          </cell>
          <cell r="F437">
            <v>9.9600000000000009</v>
          </cell>
        </row>
        <row r="438">
          <cell r="B438" t="str">
            <v>친환경수성페인트</v>
          </cell>
          <cell r="C438" t="str">
            <v>벽체</v>
          </cell>
          <cell r="D438" t="str">
            <v>M2</v>
          </cell>
          <cell r="F438">
            <v>9.9600000000000009</v>
          </cell>
        </row>
        <row r="439">
          <cell r="B439" t="str">
            <v>- 잡철물</v>
          </cell>
          <cell r="C439" t="str">
            <v xml:space="preserve"> 상부</v>
          </cell>
        </row>
        <row r="440">
          <cell r="B440" t="str">
            <v>갈바후레임제작설치</v>
          </cell>
          <cell r="C440" t="str">
            <v>1.6T</v>
          </cell>
          <cell r="D440" t="str">
            <v>M2</v>
          </cell>
          <cell r="F440">
            <v>2.1808000000000001</v>
          </cell>
          <cell r="G440" t="str">
            <v>그림걸이레일보강</v>
          </cell>
        </row>
        <row r="441">
          <cell r="B441" t="str">
            <v>갈바후레임제작설치</v>
          </cell>
          <cell r="C441" t="str">
            <v>1.6T</v>
          </cell>
          <cell r="D441" t="str">
            <v>M2</v>
          </cell>
          <cell r="F441">
            <v>1.7515999999999998</v>
          </cell>
          <cell r="G441" t="str">
            <v>전면상부철판</v>
          </cell>
        </row>
        <row r="442">
          <cell r="B442" t="str">
            <v>갈바후레임제작설치</v>
          </cell>
          <cell r="C442" t="str">
            <v>1.6T</v>
          </cell>
          <cell r="D442" t="str">
            <v>M2</v>
          </cell>
          <cell r="F442">
            <v>2.8071999999999999</v>
          </cell>
          <cell r="G442" t="str">
            <v>상부레일구간</v>
          </cell>
        </row>
        <row r="443">
          <cell r="B443" t="str">
            <v>갈바후레임제작설치</v>
          </cell>
          <cell r="C443" t="str">
            <v>1.6T</v>
          </cell>
          <cell r="D443" t="str">
            <v>M2</v>
          </cell>
          <cell r="F443">
            <v>2.4655999999999998</v>
          </cell>
          <cell r="G443" t="str">
            <v>천정후레임배면,측면</v>
          </cell>
        </row>
        <row r="444">
          <cell r="B444" t="str">
            <v>갈바후레임제작설치</v>
          </cell>
          <cell r="C444" t="str">
            <v>1.6T</v>
          </cell>
          <cell r="D444" t="str">
            <v>M2</v>
          </cell>
          <cell r="F444">
            <v>0.37619999999999998</v>
          </cell>
          <cell r="G444" t="str">
            <v>천정옆판</v>
          </cell>
        </row>
        <row r="445">
          <cell r="B445" t="str">
            <v>갈바후레임제작설치</v>
          </cell>
          <cell r="C445" t="str">
            <v>1.6T</v>
          </cell>
          <cell r="D445" t="str">
            <v>M2</v>
          </cell>
          <cell r="F445">
            <v>23.599999999999998</v>
          </cell>
          <cell r="G445" t="str">
            <v>상부문짝</v>
          </cell>
        </row>
        <row r="446">
          <cell r="B446" t="str">
            <v>갈바후레임제작설치</v>
          </cell>
          <cell r="C446" t="str">
            <v>1.6T</v>
          </cell>
          <cell r="D446" t="str">
            <v>M2</v>
          </cell>
          <cell r="F446">
            <v>9.4539999999999988</v>
          </cell>
          <cell r="G446" t="str">
            <v>상부등박스</v>
          </cell>
        </row>
        <row r="447">
          <cell r="B447" t="str">
            <v>갈바후레임제작설치</v>
          </cell>
          <cell r="C447" t="str">
            <v>1.6T</v>
          </cell>
          <cell r="D447" t="str">
            <v>M2</v>
          </cell>
          <cell r="F447">
            <v>5.6816000000000004</v>
          </cell>
          <cell r="G447" t="str">
            <v>상부유리후레임</v>
          </cell>
        </row>
        <row r="448">
          <cell r="B448" t="str">
            <v>- 잡철물</v>
          </cell>
        </row>
        <row r="449">
          <cell r="B449" t="str">
            <v>갈바후레임제작설치</v>
          </cell>
          <cell r="C449" t="str">
            <v>1.6T</v>
          </cell>
          <cell r="D449" t="str">
            <v>M2</v>
          </cell>
          <cell r="F449">
            <v>5.6816000000000004</v>
          </cell>
          <cell r="G449" t="str">
            <v>하부유리후레임</v>
          </cell>
        </row>
        <row r="450">
          <cell r="B450" t="str">
            <v>갈바후레임제작설치</v>
          </cell>
          <cell r="C450" t="str">
            <v>1.6T</v>
          </cell>
          <cell r="D450" t="str">
            <v>M2</v>
          </cell>
          <cell r="F450">
            <v>10.666400000000001</v>
          </cell>
          <cell r="G450" t="str">
            <v>하부바닥판테두리</v>
          </cell>
        </row>
        <row r="451">
          <cell r="B451" t="str">
            <v>갈바후레임제작설치</v>
          </cell>
          <cell r="C451" t="str">
            <v>1.6T</v>
          </cell>
          <cell r="D451" t="str">
            <v>M2</v>
          </cell>
          <cell r="F451">
            <v>3.4567999999999999</v>
          </cell>
          <cell r="G451" t="str">
            <v>하부레일구간전면</v>
          </cell>
        </row>
        <row r="452">
          <cell r="B452" t="str">
            <v>갈바후레임제작설치</v>
          </cell>
          <cell r="C452" t="str">
            <v>1.6T</v>
          </cell>
          <cell r="D452" t="str">
            <v>M2</v>
          </cell>
          <cell r="F452">
            <v>4.3148</v>
          </cell>
          <cell r="G452" t="str">
            <v>하부측판</v>
          </cell>
        </row>
        <row r="453">
          <cell r="B453" t="str">
            <v>갈바후레임제작설치</v>
          </cell>
          <cell r="C453" t="str">
            <v>1.6T</v>
          </cell>
          <cell r="D453" t="str">
            <v>M2</v>
          </cell>
          <cell r="F453">
            <v>7.3311999999999999</v>
          </cell>
          <cell r="G453" t="str">
            <v>하부바닥판</v>
          </cell>
        </row>
        <row r="454">
          <cell r="B454" t="str">
            <v>갈바후레임제작설치</v>
          </cell>
          <cell r="C454" t="str">
            <v>1.6T</v>
          </cell>
          <cell r="D454" t="str">
            <v>M2</v>
          </cell>
          <cell r="F454">
            <v>4.492799999999999</v>
          </cell>
          <cell r="G454" t="str">
            <v>하부보강판</v>
          </cell>
        </row>
        <row r="455">
          <cell r="B455" t="str">
            <v>- SYSTEM 장치</v>
          </cell>
        </row>
        <row r="456">
          <cell r="B456" t="str">
            <v>피아노경첩 제작설치</v>
          </cell>
          <cell r="D456" t="str">
            <v>M</v>
          </cell>
          <cell r="F456">
            <v>23.2</v>
          </cell>
        </row>
        <row r="457">
          <cell r="B457" t="str">
            <v>LOCK SET 제작설치</v>
          </cell>
          <cell r="C457" t="str">
            <v>시건장치</v>
          </cell>
          <cell r="D457" t="str">
            <v>set</v>
          </cell>
          <cell r="F457">
            <v>4</v>
          </cell>
        </row>
        <row r="458">
          <cell r="B458" t="str">
            <v>AL.패킹바 제작설치</v>
          </cell>
          <cell r="D458" t="str">
            <v>M</v>
          </cell>
          <cell r="F458">
            <v>46.4</v>
          </cell>
        </row>
        <row r="459">
          <cell r="B459" t="str">
            <v>밀폐패킹 설치</v>
          </cell>
          <cell r="C459" t="str">
            <v>소형</v>
          </cell>
          <cell r="D459" t="str">
            <v>M</v>
          </cell>
          <cell r="F459">
            <v>56.707999999999998</v>
          </cell>
        </row>
        <row r="460">
          <cell r="B460" t="str">
            <v>AL.사출유리후렘 제작설치</v>
          </cell>
          <cell r="C460" t="str">
            <v>독립장(상부)</v>
          </cell>
          <cell r="D460" t="str">
            <v>M</v>
          </cell>
          <cell r="F460">
            <v>23.2</v>
          </cell>
        </row>
        <row r="461">
          <cell r="B461" t="str">
            <v>AL.사출유리후렘 제작설치</v>
          </cell>
          <cell r="C461" t="str">
            <v>독립장(하부)</v>
          </cell>
          <cell r="D461" t="str">
            <v>M</v>
          </cell>
          <cell r="F461">
            <v>23.2</v>
          </cell>
        </row>
        <row r="462">
          <cell r="B462" t="str">
            <v>모터구동시스템 설치</v>
          </cell>
          <cell r="C462" t="str">
            <v>웜기어 전동실린더</v>
          </cell>
          <cell r="D462" t="str">
            <v>SET</v>
          </cell>
          <cell r="F462">
            <v>32</v>
          </cell>
        </row>
        <row r="463">
          <cell r="B463" t="str">
            <v>LM가이드시스템 가공 설치</v>
          </cell>
          <cell r="C463" t="str">
            <v>Ø25</v>
          </cell>
          <cell r="D463" t="str">
            <v>SET</v>
          </cell>
          <cell r="F463">
            <v>64</v>
          </cell>
        </row>
        <row r="464">
          <cell r="B464" t="str">
            <v>베어링레일및가공 설치</v>
          </cell>
          <cell r="C464" t="str">
            <v>22*42 2.3T 가공</v>
          </cell>
          <cell r="D464" t="str">
            <v>M</v>
          </cell>
          <cell r="F464">
            <v>46.4</v>
          </cell>
        </row>
        <row r="465">
          <cell r="B465" t="str">
            <v>슬라이딩베어링 가공조립</v>
          </cell>
          <cell r="C465" t="str">
            <v>Ø26</v>
          </cell>
          <cell r="D465" t="str">
            <v>EA</v>
          </cell>
          <cell r="F465">
            <v>300</v>
          </cell>
        </row>
        <row r="466">
          <cell r="B466" t="str">
            <v>베어링 붓싱가공조립</v>
          </cell>
          <cell r="C466" t="str">
            <v>#6200</v>
          </cell>
          <cell r="D466" t="str">
            <v>EA</v>
          </cell>
          <cell r="F466">
            <v>300</v>
          </cell>
        </row>
        <row r="467">
          <cell r="B467" t="str">
            <v>유압쇽업쇼바 제작설치</v>
          </cell>
          <cell r="C467" t="str">
            <v>20kg</v>
          </cell>
          <cell r="D467" t="str">
            <v>SET</v>
          </cell>
          <cell r="F467">
            <v>8</v>
          </cell>
        </row>
        <row r="468">
          <cell r="B468" t="str">
            <v>센터베어링및스톱파 가공조립</v>
          </cell>
          <cell r="C468" t="str">
            <v>독립형1단</v>
          </cell>
          <cell r="D468" t="str">
            <v>SET</v>
          </cell>
          <cell r="F468">
            <v>2</v>
          </cell>
        </row>
        <row r="469">
          <cell r="B469" t="str">
            <v>전후진 전동콘트롤 제작설치</v>
          </cell>
          <cell r="C469" t="str">
            <v>독립형</v>
          </cell>
          <cell r="D469" t="str">
            <v>SET</v>
          </cell>
          <cell r="F469">
            <v>2</v>
          </cell>
        </row>
        <row r="470">
          <cell r="B470" t="str">
            <v>- 수장설치</v>
          </cell>
        </row>
        <row r="471">
          <cell r="B471" t="str">
            <v>합판취부</v>
          </cell>
          <cell r="C471" t="str">
            <v>T11.5mm 2PLY</v>
          </cell>
          <cell r="D471" t="str">
            <v>M2</v>
          </cell>
          <cell r="F471">
            <v>40.928000000000004</v>
          </cell>
        </row>
        <row r="472">
          <cell r="B472" t="str">
            <v>바탕처리</v>
          </cell>
          <cell r="C472" t="str">
            <v>도배퍼티</v>
          </cell>
          <cell r="D472" t="str">
            <v>M2</v>
          </cell>
          <cell r="F472">
            <v>40.928000000000004</v>
          </cell>
        </row>
        <row r="473">
          <cell r="B473" t="str">
            <v>내부도배</v>
          </cell>
          <cell r="C473" t="str">
            <v>세마직벽지</v>
          </cell>
          <cell r="D473" t="str">
            <v>M2</v>
          </cell>
          <cell r="F473">
            <v>40.928000000000004</v>
          </cell>
        </row>
        <row r="474">
          <cell r="B474" t="str">
            <v>우레탄칼라락카도장</v>
          </cell>
          <cell r="C474" t="str">
            <v>철재면기준</v>
          </cell>
          <cell r="D474" t="str">
            <v>M2</v>
          </cell>
          <cell r="F474">
            <v>84.260600000000011</v>
          </cell>
        </row>
        <row r="475">
          <cell r="B475" t="str">
            <v>바탕처리</v>
          </cell>
          <cell r="C475" t="str">
            <v>철재면기준</v>
          </cell>
          <cell r="D475" t="str">
            <v>M2</v>
          </cell>
          <cell r="F475">
            <v>84.260600000000011</v>
          </cell>
        </row>
        <row r="476">
          <cell r="B476" t="str">
            <v>- 유리설치</v>
          </cell>
        </row>
        <row r="477">
          <cell r="B477" t="str">
            <v>화이트 접합유리 끼우기</v>
          </cell>
          <cell r="C477" t="str">
            <v>T12.76mm (2,400*3,400기준)</v>
          </cell>
          <cell r="D477" t="str">
            <v>M2</v>
          </cell>
          <cell r="F477">
            <v>69.924999999999997</v>
          </cell>
        </row>
        <row r="478">
          <cell r="B478" t="str">
            <v>코    킹</v>
          </cell>
          <cell r="D478" t="str">
            <v>M</v>
          </cell>
          <cell r="F478">
            <v>132.97</v>
          </cell>
        </row>
        <row r="479">
          <cell r="B479" t="str">
            <v>면    취</v>
          </cell>
          <cell r="D479" t="str">
            <v>M</v>
          </cell>
          <cell r="F479">
            <v>148.43200000000002</v>
          </cell>
        </row>
        <row r="480">
          <cell r="B480" t="str">
            <v>- 조명 장치</v>
          </cell>
        </row>
        <row r="481">
          <cell r="B481" t="str">
            <v>LED 포인트조명설치(독립장형)</v>
          </cell>
          <cell r="C481" t="str">
            <v>15W이하</v>
          </cell>
          <cell r="D481" t="str">
            <v>ea</v>
          </cell>
          <cell r="F481">
            <v>57.999999999999993</v>
          </cell>
        </row>
        <row r="482">
          <cell r="B482" t="str">
            <v>LED 포인트조명 컨트롤제작설치</v>
          </cell>
          <cell r="C482" t="str">
            <v>컨트롤러(24채널)</v>
          </cell>
          <cell r="D482" t="str">
            <v>set</v>
          </cell>
          <cell r="F482">
            <v>3</v>
          </cell>
        </row>
        <row r="496">
          <cell r="A496" t="str">
            <v>SC-207</v>
          </cell>
          <cell r="B496" t="str">
            <v>4면 유리형 독립장</v>
          </cell>
          <cell r="C496" t="str">
            <v>L: 2400 D: 2400 H: 2300 FH: 300 GH: 1877 UH: 123</v>
          </cell>
          <cell r="D496" t="str">
            <v>SET</v>
          </cell>
          <cell r="F496">
            <v>1</v>
          </cell>
        </row>
        <row r="497">
          <cell r="B497" t="str">
            <v>- 구조틀</v>
          </cell>
        </row>
        <row r="498">
          <cell r="B498" t="str">
            <v>각파이프(방청)</v>
          </cell>
          <cell r="C498" t="str">
            <v>40*40*1.4T</v>
          </cell>
          <cell r="D498" t="str">
            <v>M</v>
          </cell>
          <cell r="F498">
            <v>52.8</v>
          </cell>
        </row>
        <row r="499">
          <cell r="B499" t="str">
            <v>- 잡철물</v>
          </cell>
          <cell r="C499" t="str">
            <v xml:space="preserve"> 상부</v>
          </cell>
        </row>
        <row r="500">
          <cell r="B500" t="str">
            <v>갈바후레임제작설치</v>
          </cell>
          <cell r="C500" t="str">
            <v>1.6T</v>
          </cell>
          <cell r="D500" t="str">
            <v>M2</v>
          </cell>
          <cell r="F500">
            <v>0.45119999999999999</v>
          </cell>
          <cell r="G500" t="str">
            <v>그림걸이레일보강</v>
          </cell>
        </row>
        <row r="501">
          <cell r="B501" t="str">
            <v>갈바후레임제작설치</v>
          </cell>
          <cell r="C501" t="str">
            <v>1.6T</v>
          </cell>
          <cell r="D501" t="str">
            <v>M2</v>
          </cell>
          <cell r="F501">
            <v>0.3624</v>
          </cell>
          <cell r="G501" t="str">
            <v>전면상부철판</v>
          </cell>
        </row>
        <row r="502">
          <cell r="B502" t="str">
            <v>갈바후레임제작설치</v>
          </cell>
          <cell r="C502" t="str">
            <v>1.6T</v>
          </cell>
          <cell r="D502" t="str">
            <v>M2</v>
          </cell>
          <cell r="F502">
            <v>0.58079999999999998</v>
          </cell>
          <cell r="G502" t="str">
            <v>상부레일구간</v>
          </cell>
        </row>
        <row r="503">
          <cell r="B503" t="str">
            <v>갈바후레임제작설치</v>
          </cell>
          <cell r="C503" t="str">
            <v>1.6T</v>
          </cell>
          <cell r="D503" t="str">
            <v>M2</v>
          </cell>
          <cell r="F503">
            <v>1.3248</v>
          </cell>
          <cell r="G503" t="str">
            <v>천정후레임배면,측면</v>
          </cell>
        </row>
        <row r="504">
          <cell r="B504" t="str">
            <v>갈바후레임제작설치</v>
          </cell>
          <cell r="C504" t="str">
            <v>1.6T</v>
          </cell>
          <cell r="D504" t="str">
            <v>M2</v>
          </cell>
          <cell r="F504">
            <v>1.0031999999999999</v>
          </cell>
          <cell r="G504" t="str">
            <v>천정옆판</v>
          </cell>
        </row>
        <row r="505">
          <cell r="B505" t="str">
            <v>갈바후레임제작설치</v>
          </cell>
        </row>
        <row r="506">
          <cell r="B506" t="str">
            <v>갈바후레임제작설치</v>
          </cell>
          <cell r="C506" t="str">
            <v>1.6T</v>
          </cell>
          <cell r="D506" t="str">
            <v>M2</v>
          </cell>
          <cell r="F506">
            <v>1.9559999999999997</v>
          </cell>
        </row>
        <row r="507">
          <cell r="B507" t="str">
            <v>갈바후레임제작설치</v>
          </cell>
          <cell r="C507" t="str">
            <v>1.6T</v>
          </cell>
          <cell r="D507" t="str">
            <v>M2</v>
          </cell>
          <cell r="F507">
            <v>2.0351999999999997</v>
          </cell>
          <cell r="G507" t="str">
            <v>상부유리후레임</v>
          </cell>
        </row>
        <row r="508">
          <cell r="B508" t="str">
            <v>- 잡철물</v>
          </cell>
        </row>
        <row r="509">
          <cell r="B509" t="str">
            <v>갈바후레임제작설치</v>
          </cell>
          <cell r="C509" t="str">
            <v>1.6T</v>
          </cell>
          <cell r="D509" t="str">
            <v>M2</v>
          </cell>
          <cell r="F509">
            <v>2.0351999999999997</v>
          </cell>
          <cell r="G509" t="str">
            <v>하부유리후레임</v>
          </cell>
        </row>
        <row r="510">
          <cell r="B510" t="str">
            <v>갈바후레임제작설치</v>
          </cell>
          <cell r="C510" t="str">
            <v>1.6T</v>
          </cell>
          <cell r="D510" t="str">
            <v>M2</v>
          </cell>
          <cell r="F510">
            <v>3.8208000000000002</v>
          </cell>
          <cell r="G510" t="str">
            <v>하부바닥판테두리</v>
          </cell>
        </row>
        <row r="511">
          <cell r="B511" t="str">
            <v>갈바후레임제작설치</v>
          </cell>
          <cell r="C511" t="str">
            <v>1.6T</v>
          </cell>
          <cell r="D511" t="str">
            <v>M2</v>
          </cell>
          <cell r="F511">
            <v>0.71519999999999995</v>
          </cell>
          <cell r="G511" t="str">
            <v>하부레일구간전면</v>
          </cell>
        </row>
        <row r="512">
          <cell r="B512" t="str">
            <v>갈바후레임제작설치</v>
          </cell>
          <cell r="C512" t="str">
            <v>1.6T</v>
          </cell>
          <cell r="D512" t="str">
            <v>M2</v>
          </cell>
          <cell r="F512">
            <v>1.5456000000000001</v>
          </cell>
          <cell r="G512" t="str">
            <v>하부측판</v>
          </cell>
        </row>
        <row r="513">
          <cell r="B513" t="str">
            <v>갈바후레임제작설치</v>
          </cell>
          <cell r="C513" t="str">
            <v>1.6T</v>
          </cell>
          <cell r="D513" t="str">
            <v>M2</v>
          </cell>
          <cell r="F513">
            <v>1.5167999999999999</v>
          </cell>
          <cell r="G513" t="str">
            <v>하부바닥판</v>
          </cell>
        </row>
        <row r="514">
          <cell r="B514" t="str">
            <v>갈바후레임제작설치</v>
          </cell>
          <cell r="C514" t="str">
            <v>1.6T</v>
          </cell>
          <cell r="D514" t="str">
            <v>M2</v>
          </cell>
          <cell r="F514">
            <v>1.4040000000000001</v>
          </cell>
          <cell r="G514" t="str">
            <v>하부보강판</v>
          </cell>
        </row>
        <row r="515">
          <cell r="B515" t="str">
            <v>- SYSTEM 장치</v>
          </cell>
        </row>
        <row r="516">
          <cell r="B516" t="str">
            <v>피아노경첩 제작설치</v>
          </cell>
          <cell r="D516" t="str">
            <v>M</v>
          </cell>
          <cell r="F516">
            <v>9.6</v>
          </cell>
        </row>
        <row r="517">
          <cell r="B517" t="str">
            <v>LOCK SET 제작설치</v>
          </cell>
          <cell r="C517" t="str">
            <v>시건장치</v>
          </cell>
          <cell r="D517" t="str">
            <v>set</v>
          </cell>
          <cell r="F517">
            <v>2</v>
          </cell>
        </row>
        <row r="518">
          <cell r="B518" t="str">
            <v>AL.패킹바 제작설치</v>
          </cell>
          <cell r="D518" t="str">
            <v>M</v>
          </cell>
          <cell r="F518">
            <v>9.6</v>
          </cell>
        </row>
        <row r="519">
          <cell r="B519" t="str">
            <v>밀폐패킹 설치</v>
          </cell>
          <cell r="C519" t="str">
            <v>소형</v>
          </cell>
          <cell r="D519" t="str">
            <v>M</v>
          </cell>
          <cell r="F519">
            <v>17.108000000000001</v>
          </cell>
        </row>
        <row r="520">
          <cell r="B520" t="str">
            <v>AL.사출유리후렘 제작설치</v>
          </cell>
          <cell r="C520" t="str">
            <v>독립장(상부)</v>
          </cell>
          <cell r="D520" t="str">
            <v>M</v>
          </cell>
          <cell r="F520">
            <v>4.8</v>
          </cell>
        </row>
        <row r="521">
          <cell r="B521" t="str">
            <v>AL.사출유리후렘 제작설치</v>
          </cell>
          <cell r="C521" t="str">
            <v>독립장(하부)</v>
          </cell>
          <cell r="D521" t="str">
            <v>M</v>
          </cell>
          <cell r="F521">
            <v>4.8</v>
          </cell>
        </row>
        <row r="522">
          <cell r="B522" t="str">
            <v>모터구동시스템 설치</v>
          </cell>
          <cell r="C522" t="str">
            <v>웜기어 전동실린더</v>
          </cell>
          <cell r="D522" t="str">
            <v>SET</v>
          </cell>
          <cell r="F522">
            <v>12</v>
          </cell>
        </row>
        <row r="523">
          <cell r="B523" t="str">
            <v>LM가이드시스템 가공 설치</v>
          </cell>
          <cell r="C523" t="str">
            <v>Ø25</v>
          </cell>
          <cell r="D523" t="str">
            <v>SET</v>
          </cell>
          <cell r="F523">
            <v>24</v>
          </cell>
        </row>
        <row r="524">
          <cell r="B524" t="str">
            <v>베어링레일및가공 설치</v>
          </cell>
          <cell r="C524" t="str">
            <v>22*42 2.3T 가공</v>
          </cell>
          <cell r="D524" t="str">
            <v>M</v>
          </cell>
          <cell r="F524">
            <v>4.8</v>
          </cell>
        </row>
        <row r="525">
          <cell r="B525" t="str">
            <v>슬라이딩베어링 가공조립</v>
          </cell>
          <cell r="C525" t="str">
            <v>Ø26</v>
          </cell>
          <cell r="D525" t="str">
            <v>EA</v>
          </cell>
          <cell r="F525">
            <v>62</v>
          </cell>
        </row>
        <row r="526">
          <cell r="B526" t="str">
            <v>베어링 붓싱가공조립</v>
          </cell>
          <cell r="C526" t="str">
            <v>#6200</v>
          </cell>
          <cell r="D526" t="str">
            <v>EA</v>
          </cell>
          <cell r="F526">
            <v>62</v>
          </cell>
        </row>
        <row r="527">
          <cell r="B527" t="str">
            <v>유압쇽업쇼바 제작설치</v>
          </cell>
          <cell r="C527" t="str">
            <v>20kg</v>
          </cell>
          <cell r="D527" t="str">
            <v>SET</v>
          </cell>
          <cell r="F527">
            <v>4</v>
          </cell>
        </row>
        <row r="528">
          <cell r="B528" t="str">
            <v>센터베어링및스톱파 가공조립</v>
          </cell>
          <cell r="C528" t="str">
            <v>독립형1단</v>
          </cell>
          <cell r="D528" t="str">
            <v>SET</v>
          </cell>
          <cell r="F528">
            <v>2</v>
          </cell>
        </row>
        <row r="529">
          <cell r="B529" t="str">
            <v>전후진 전동콘트롤 제작설치</v>
          </cell>
          <cell r="C529" t="str">
            <v>독립형</v>
          </cell>
          <cell r="D529" t="str">
            <v>SET</v>
          </cell>
          <cell r="F529">
            <v>2</v>
          </cell>
        </row>
        <row r="530">
          <cell r="B530" t="str">
            <v>- 수장설치</v>
          </cell>
        </row>
        <row r="531">
          <cell r="B531" t="str">
            <v>합판취부</v>
          </cell>
          <cell r="C531" t="str">
            <v>T11.5mm 2PLY</v>
          </cell>
          <cell r="D531" t="str">
            <v>M2</v>
          </cell>
          <cell r="F531">
            <v>5.76</v>
          </cell>
        </row>
        <row r="532">
          <cell r="B532" t="str">
            <v>바탕처리</v>
          </cell>
          <cell r="C532" t="str">
            <v>도배퍼티</v>
          </cell>
          <cell r="D532" t="str">
            <v>M2</v>
          </cell>
          <cell r="F532">
            <v>5.76</v>
          </cell>
        </row>
        <row r="533">
          <cell r="B533" t="str">
            <v>내부도배</v>
          </cell>
          <cell r="C533" t="str">
            <v>세마직벽지</v>
          </cell>
          <cell r="D533" t="str">
            <v>M2</v>
          </cell>
          <cell r="F533">
            <v>11.52</v>
          </cell>
        </row>
        <row r="534">
          <cell r="B534" t="str">
            <v>우레탄칼라락카도장</v>
          </cell>
          <cell r="C534" t="str">
            <v>철재면기준</v>
          </cell>
          <cell r="D534" t="str">
            <v>M2</v>
          </cell>
          <cell r="F534">
            <v>25.511199999999999</v>
          </cell>
        </row>
        <row r="535">
          <cell r="B535" t="str">
            <v>바탕처리</v>
          </cell>
          <cell r="C535" t="str">
            <v>철재면기준</v>
          </cell>
          <cell r="D535" t="str">
            <v>M2</v>
          </cell>
          <cell r="F535">
            <v>25.511199999999999</v>
          </cell>
        </row>
        <row r="536">
          <cell r="B536" t="str">
            <v>- 유리설치</v>
          </cell>
        </row>
        <row r="537">
          <cell r="B537" t="str">
            <v>화이트 접합유리 끼우기</v>
          </cell>
          <cell r="C537" t="str">
            <v>T12.76mm (2,400*3,400기준)</v>
          </cell>
          <cell r="D537" t="str">
            <v>M2</v>
          </cell>
          <cell r="F537">
            <v>20.1312</v>
          </cell>
        </row>
        <row r="538">
          <cell r="B538" t="str">
            <v>조명용아크릴 가공 설치</v>
          </cell>
          <cell r="C538" t="str">
            <v>T5mm</v>
          </cell>
          <cell r="D538" t="str">
            <v>M2</v>
          </cell>
          <cell r="F538">
            <v>0.36</v>
          </cell>
        </row>
        <row r="539">
          <cell r="B539" t="str">
            <v>코    킹</v>
          </cell>
          <cell r="D539" t="str">
            <v>M</v>
          </cell>
          <cell r="F539">
            <v>57.17</v>
          </cell>
        </row>
        <row r="540">
          <cell r="B540" t="str">
            <v>면    취</v>
          </cell>
          <cell r="D540" t="str">
            <v>M</v>
          </cell>
          <cell r="F540">
            <v>68.432000000000002</v>
          </cell>
        </row>
        <row r="541">
          <cell r="B541" t="str">
            <v>- 조명 장치</v>
          </cell>
        </row>
        <row r="542">
          <cell r="B542" t="str">
            <v>LED 포인트조명설치(독립장형)</v>
          </cell>
          <cell r="C542" t="str">
            <v>15W이하</v>
          </cell>
          <cell r="D542" t="str">
            <v>ea</v>
          </cell>
          <cell r="F542">
            <v>23.999999999999996</v>
          </cell>
        </row>
        <row r="543">
          <cell r="B543" t="str">
            <v>LED bar조명설치</v>
          </cell>
          <cell r="C543" t="str">
            <v>30W이하</v>
          </cell>
          <cell r="D543" t="str">
            <v>M</v>
          </cell>
          <cell r="F543">
            <v>4.8</v>
          </cell>
        </row>
        <row r="544">
          <cell r="B544" t="str">
            <v>LED 포인트조명 컨트롤제작설치</v>
          </cell>
          <cell r="C544" t="str">
            <v>컨트롤러(24채널)</v>
          </cell>
          <cell r="D544" t="str">
            <v>set</v>
          </cell>
          <cell r="F544">
            <v>1</v>
          </cell>
        </row>
        <row r="545">
          <cell r="B545" t="str">
            <v>LED bar조명 컨트롤제작설치</v>
          </cell>
          <cell r="C545" t="str">
            <v>컨트롤러</v>
          </cell>
          <cell r="D545" t="str">
            <v>set</v>
          </cell>
          <cell r="F545">
            <v>1</v>
          </cell>
        </row>
        <row r="554">
          <cell r="A554" t="str">
            <v>SC-208</v>
          </cell>
          <cell r="B554" t="str">
            <v>4면 유리형 독립장</v>
          </cell>
          <cell r="C554" t="str">
            <v>L: 800 D: 800 H: 2300 FH: 300 GH: 1877 UH: 123</v>
          </cell>
          <cell r="D554" t="str">
            <v>SET</v>
          </cell>
          <cell r="F554">
            <v>8</v>
          </cell>
        </row>
        <row r="555">
          <cell r="B555" t="str">
            <v>- 구조틀</v>
          </cell>
        </row>
        <row r="556">
          <cell r="B556" t="str">
            <v>각파이프(방청)</v>
          </cell>
          <cell r="C556" t="str">
            <v>30*30*1.4T</v>
          </cell>
          <cell r="D556" t="str">
            <v>M</v>
          </cell>
          <cell r="F556">
            <v>0.8</v>
          </cell>
        </row>
        <row r="557">
          <cell r="B557" t="str">
            <v>- 잡철물</v>
          </cell>
          <cell r="C557" t="str">
            <v xml:space="preserve"> 상부</v>
          </cell>
        </row>
        <row r="558">
          <cell r="B558" t="str">
            <v>갈바후레임제작설치</v>
          </cell>
          <cell r="C558" t="str">
            <v>1.6T</v>
          </cell>
          <cell r="D558" t="str">
            <v>M2</v>
          </cell>
          <cell r="F558">
            <v>0.15040000000000001</v>
          </cell>
          <cell r="G558" t="str">
            <v>그림걸이레일보강</v>
          </cell>
        </row>
        <row r="559">
          <cell r="B559" t="str">
            <v>갈바후레임제작설치</v>
          </cell>
          <cell r="C559" t="str">
            <v>1.6T</v>
          </cell>
          <cell r="D559" t="str">
            <v>M2</v>
          </cell>
          <cell r="F559">
            <v>0.1208</v>
          </cell>
          <cell r="G559" t="str">
            <v>전면상부철판</v>
          </cell>
        </row>
        <row r="560">
          <cell r="B560" t="str">
            <v>갈바후레임제작설치</v>
          </cell>
          <cell r="C560" t="str">
            <v>1.6T</v>
          </cell>
          <cell r="D560" t="str">
            <v>M2</v>
          </cell>
          <cell r="F560">
            <v>0.19359999999999999</v>
          </cell>
          <cell r="G560" t="str">
            <v>상부레일구간</v>
          </cell>
        </row>
        <row r="561">
          <cell r="B561" t="str">
            <v>갈바후레임제작설치</v>
          </cell>
          <cell r="C561" t="str">
            <v>1.6T</v>
          </cell>
          <cell r="D561" t="str">
            <v>M2</v>
          </cell>
          <cell r="F561">
            <v>0.44159999999999999</v>
          </cell>
          <cell r="G561" t="str">
            <v>천정후레임배면,측면</v>
          </cell>
        </row>
        <row r="562">
          <cell r="B562" t="str">
            <v>갈바후레임제작설치</v>
          </cell>
          <cell r="C562" t="str">
            <v>1.6T</v>
          </cell>
          <cell r="D562" t="str">
            <v>M2</v>
          </cell>
          <cell r="F562">
            <v>0.33440000000000003</v>
          </cell>
          <cell r="G562" t="str">
            <v>천정옆판</v>
          </cell>
        </row>
        <row r="563">
          <cell r="B563" t="str">
            <v>갈바후레임제작설치</v>
          </cell>
          <cell r="C563" t="str">
            <v>1.6T</v>
          </cell>
          <cell r="D563" t="str">
            <v>M2</v>
          </cell>
          <cell r="F563">
            <v>1</v>
          </cell>
          <cell r="G563" t="str">
            <v>상부문짝</v>
          </cell>
        </row>
        <row r="564">
          <cell r="B564" t="str">
            <v>갈바후레임제작설치</v>
          </cell>
          <cell r="C564" t="str">
            <v>1.6T</v>
          </cell>
          <cell r="D564" t="str">
            <v>M2</v>
          </cell>
          <cell r="F564">
            <v>0.65200000000000002</v>
          </cell>
          <cell r="G564" t="str">
            <v>상부등박스</v>
          </cell>
        </row>
        <row r="565">
          <cell r="B565" t="str">
            <v>갈바후레임제작설치</v>
          </cell>
          <cell r="C565" t="str">
            <v>1.6T</v>
          </cell>
          <cell r="D565" t="str">
            <v>M2</v>
          </cell>
          <cell r="F565">
            <v>0.6784</v>
          </cell>
          <cell r="G565" t="str">
            <v>상부유리후레임</v>
          </cell>
        </row>
        <row r="566">
          <cell r="B566" t="str">
            <v>- 잡철물</v>
          </cell>
        </row>
        <row r="567">
          <cell r="B567" t="str">
            <v>갈바후레임제작설치</v>
          </cell>
          <cell r="C567" t="str">
            <v>1.6T</v>
          </cell>
          <cell r="D567" t="str">
            <v>M2</v>
          </cell>
          <cell r="F567">
            <v>0.6784</v>
          </cell>
          <cell r="G567" t="str">
            <v>하부유리후레임</v>
          </cell>
        </row>
        <row r="568">
          <cell r="B568" t="str">
            <v>갈바후레임제작설치</v>
          </cell>
          <cell r="C568" t="str">
            <v>1.6T</v>
          </cell>
          <cell r="D568" t="str">
            <v>M2</v>
          </cell>
          <cell r="F568">
            <v>1.2736000000000001</v>
          </cell>
          <cell r="G568" t="str">
            <v>하부바닥판테두리</v>
          </cell>
        </row>
        <row r="569">
          <cell r="B569" t="str">
            <v>갈바후레임제작설치</v>
          </cell>
          <cell r="C569" t="str">
            <v>1.6T</v>
          </cell>
          <cell r="D569" t="str">
            <v>M2</v>
          </cell>
          <cell r="F569">
            <v>0.2384</v>
          </cell>
          <cell r="G569" t="str">
            <v>하부레일구간전면</v>
          </cell>
        </row>
        <row r="570">
          <cell r="B570" t="str">
            <v>갈바후레임제작설치</v>
          </cell>
          <cell r="C570" t="str">
            <v>1.6T</v>
          </cell>
          <cell r="D570" t="str">
            <v>M2</v>
          </cell>
          <cell r="F570">
            <v>0.51519999999999999</v>
          </cell>
          <cell r="G570" t="str">
            <v>하부측판</v>
          </cell>
        </row>
        <row r="571">
          <cell r="B571" t="str">
            <v>갈바후레임제작설치</v>
          </cell>
          <cell r="C571" t="str">
            <v>1.6T</v>
          </cell>
          <cell r="D571" t="str">
            <v>M2</v>
          </cell>
          <cell r="F571">
            <v>0.50560000000000005</v>
          </cell>
          <cell r="G571" t="str">
            <v>하부바닥판</v>
          </cell>
        </row>
        <row r="572">
          <cell r="B572" t="str">
            <v>갈바후레임제작설치</v>
          </cell>
          <cell r="C572" t="str">
            <v>1.6T</v>
          </cell>
          <cell r="D572" t="str">
            <v>M2</v>
          </cell>
          <cell r="F572">
            <v>0.46800000000000003</v>
          </cell>
          <cell r="G572" t="str">
            <v>하부보강판</v>
          </cell>
        </row>
        <row r="573">
          <cell r="B573" t="str">
            <v>- SYSTEM 장치</v>
          </cell>
        </row>
        <row r="574">
          <cell r="B574" t="str">
            <v>피아노경첩 제작설치</v>
          </cell>
          <cell r="D574" t="str">
            <v>M</v>
          </cell>
          <cell r="F574">
            <v>1.6</v>
          </cell>
        </row>
        <row r="575">
          <cell r="B575" t="str">
            <v>LOCK SET 제작설치</v>
          </cell>
          <cell r="C575" t="str">
            <v>시건장치</v>
          </cell>
          <cell r="D575" t="str">
            <v>set</v>
          </cell>
          <cell r="F575">
            <v>2</v>
          </cell>
        </row>
        <row r="576">
          <cell r="B576" t="str">
            <v>AL.패킹바 제작설치</v>
          </cell>
          <cell r="D576" t="str">
            <v>M</v>
          </cell>
          <cell r="F576">
            <v>1.6</v>
          </cell>
        </row>
        <row r="577">
          <cell r="B577" t="str">
            <v>밀폐패킹 설치</v>
          </cell>
          <cell r="C577" t="str">
            <v>소형</v>
          </cell>
          <cell r="D577" t="str">
            <v>M</v>
          </cell>
          <cell r="F577">
            <v>5.3540000000000001</v>
          </cell>
        </row>
        <row r="578">
          <cell r="B578" t="str">
            <v>AL.사출유리후렘 제작설치</v>
          </cell>
          <cell r="C578" t="str">
            <v>독립장(상부)</v>
          </cell>
          <cell r="D578" t="str">
            <v>M</v>
          </cell>
          <cell r="F578">
            <v>0.8</v>
          </cell>
        </row>
        <row r="579">
          <cell r="B579" t="str">
            <v>AL.사출유리후렘 제작설치</v>
          </cell>
          <cell r="C579" t="str">
            <v>독립장(하부)</v>
          </cell>
          <cell r="D579" t="str">
            <v>M</v>
          </cell>
          <cell r="F579">
            <v>0.8</v>
          </cell>
        </row>
        <row r="580">
          <cell r="B580" t="str">
            <v>모터구동시스템 설치</v>
          </cell>
          <cell r="C580" t="str">
            <v>웜기어 전동실린더</v>
          </cell>
          <cell r="D580" t="str">
            <v>SET</v>
          </cell>
          <cell r="F580">
            <v>2</v>
          </cell>
        </row>
        <row r="581">
          <cell r="B581" t="str">
            <v>LM가이드시스템 가공 설치</v>
          </cell>
          <cell r="C581" t="str">
            <v>Ø25</v>
          </cell>
          <cell r="D581" t="str">
            <v>SET</v>
          </cell>
          <cell r="F581">
            <v>4</v>
          </cell>
        </row>
        <row r="582">
          <cell r="B582" t="str">
            <v>베어링레일및가공 설치</v>
          </cell>
          <cell r="C582" t="str">
            <v>22*42 2.3T 가공</v>
          </cell>
          <cell r="D582" t="str">
            <v>M</v>
          </cell>
          <cell r="F582">
            <v>1.6</v>
          </cell>
        </row>
        <row r="583">
          <cell r="B583" t="str">
            <v>슬라이딩베어링 가공조립</v>
          </cell>
          <cell r="C583" t="str">
            <v>Ø26</v>
          </cell>
          <cell r="D583" t="str">
            <v>EA</v>
          </cell>
          <cell r="F583">
            <v>20</v>
          </cell>
        </row>
        <row r="584">
          <cell r="B584" t="str">
            <v>베어링 붓싱가공조립</v>
          </cell>
          <cell r="C584" t="str">
            <v>#6200</v>
          </cell>
          <cell r="D584" t="str">
            <v>EA</v>
          </cell>
          <cell r="F584">
            <v>20</v>
          </cell>
        </row>
        <row r="585">
          <cell r="B585" t="str">
            <v>CASTER&amp;ADJUSTER 제작설치</v>
          </cell>
          <cell r="D585" t="str">
            <v>EA</v>
          </cell>
          <cell r="F585">
            <v>4</v>
          </cell>
        </row>
        <row r="586">
          <cell r="B586" t="str">
            <v>유압쇽업쇼바 제작설치</v>
          </cell>
          <cell r="C586" t="str">
            <v>20kg</v>
          </cell>
          <cell r="D586" t="str">
            <v>SET</v>
          </cell>
          <cell r="F586">
            <v>2</v>
          </cell>
        </row>
        <row r="587">
          <cell r="B587" t="str">
            <v>센터베어링및스톱파 가공조립</v>
          </cell>
          <cell r="C587" t="str">
            <v>독립형1단</v>
          </cell>
          <cell r="D587" t="str">
            <v>SET</v>
          </cell>
          <cell r="F587">
            <v>1</v>
          </cell>
        </row>
        <row r="588">
          <cell r="B588" t="str">
            <v>전후진 전동콘트롤 제작설치</v>
          </cell>
          <cell r="C588" t="str">
            <v>독립형</v>
          </cell>
          <cell r="D588" t="str">
            <v>SET</v>
          </cell>
          <cell r="F588">
            <v>1</v>
          </cell>
        </row>
        <row r="589">
          <cell r="B589" t="str">
            <v>- 수장설치</v>
          </cell>
        </row>
        <row r="590">
          <cell r="B590" t="str">
            <v>코아합판취부</v>
          </cell>
          <cell r="C590" t="str">
            <v>T18mm</v>
          </cell>
          <cell r="D590" t="str">
            <v>M2</v>
          </cell>
          <cell r="F590">
            <v>0.64000000000000012</v>
          </cell>
        </row>
        <row r="591">
          <cell r="B591" t="str">
            <v>바탕처리</v>
          </cell>
          <cell r="C591" t="str">
            <v>도배퍼티</v>
          </cell>
          <cell r="D591" t="str">
            <v>M2</v>
          </cell>
          <cell r="F591">
            <v>0.64000000000000012</v>
          </cell>
        </row>
        <row r="592">
          <cell r="B592" t="str">
            <v>내부도배</v>
          </cell>
          <cell r="C592" t="str">
            <v>세마직벽지</v>
          </cell>
          <cell r="D592" t="str">
            <v>M2</v>
          </cell>
          <cell r="F592">
            <v>1.2800000000000002</v>
          </cell>
        </row>
        <row r="593">
          <cell r="B593" t="str">
            <v>우레탄칼라락카도장</v>
          </cell>
          <cell r="C593" t="str">
            <v>철재면기준</v>
          </cell>
          <cell r="D593" t="str">
            <v>M2</v>
          </cell>
          <cell r="F593">
            <v>7.2504000000000008</v>
          </cell>
        </row>
        <row r="594">
          <cell r="B594" t="str">
            <v>바탕처리</v>
          </cell>
          <cell r="C594" t="str">
            <v>철재면기준</v>
          </cell>
          <cell r="D594" t="str">
            <v>M2</v>
          </cell>
          <cell r="F594">
            <v>7.2504000000000008</v>
          </cell>
        </row>
        <row r="595">
          <cell r="B595" t="str">
            <v>- 유리설치</v>
          </cell>
        </row>
        <row r="596">
          <cell r="B596" t="str">
            <v>화이트 접합유리 끼우기</v>
          </cell>
          <cell r="C596" t="str">
            <v>T10.76mm</v>
          </cell>
          <cell r="D596" t="str">
            <v>M2</v>
          </cell>
          <cell r="F596">
            <v>6.7103999999999999</v>
          </cell>
        </row>
        <row r="597">
          <cell r="B597" t="str">
            <v>코    킹</v>
          </cell>
          <cell r="D597" t="str">
            <v>M</v>
          </cell>
          <cell r="F597">
            <v>31.57</v>
          </cell>
        </row>
        <row r="598">
          <cell r="B598" t="str">
            <v>면    취</v>
          </cell>
          <cell r="D598" t="str">
            <v>M</v>
          </cell>
          <cell r="F598">
            <v>42.832000000000001</v>
          </cell>
        </row>
        <row r="599">
          <cell r="B599" t="str">
            <v>- 조명 장치</v>
          </cell>
        </row>
        <row r="600">
          <cell r="B600" t="str">
            <v>LED 포인트조명설치(독립장형)</v>
          </cell>
          <cell r="C600" t="str">
            <v>15W이하</v>
          </cell>
          <cell r="D600" t="str">
            <v>ea</v>
          </cell>
          <cell r="F600">
            <v>5.0033333333333339</v>
          </cell>
        </row>
        <row r="601">
          <cell r="B601" t="str">
            <v>LED 포인트조명 컨트롤제작설치</v>
          </cell>
          <cell r="C601" t="str">
            <v>컨트롤러(16채널)</v>
          </cell>
          <cell r="D601" t="str">
            <v>set</v>
          </cell>
          <cell r="F601">
            <v>1</v>
          </cell>
        </row>
        <row r="612">
          <cell r="A612" t="str">
            <v>SC-209</v>
          </cell>
          <cell r="B612" t="str">
            <v>복합형 진열장</v>
          </cell>
          <cell r="C612" t="str">
            <v>L: 4500 D: 1200 H: 1800 FH: 0 GH: 0 UH: 0</v>
          </cell>
          <cell r="D612" t="str">
            <v>SET</v>
          </cell>
          <cell r="F612">
            <v>8</v>
          </cell>
        </row>
        <row r="613">
          <cell r="B613" t="str">
            <v>- 구조틀</v>
          </cell>
        </row>
        <row r="614">
          <cell r="B614" t="str">
            <v>각파이프(방청)</v>
          </cell>
          <cell r="C614" t="str">
            <v>40*40*1.4T</v>
          </cell>
          <cell r="D614" t="str">
            <v>M</v>
          </cell>
          <cell r="F614">
            <v>51.6</v>
          </cell>
        </row>
        <row r="615">
          <cell r="B615" t="str">
            <v>- 잡철물</v>
          </cell>
        </row>
        <row r="616">
          <cell r="B616" t="str">
            <v>갈바후레임제작설치</v>
          </cell>
          <cell r="C616" t="str">
            <v>1.6T</v>
          </cell>
          <cell r="D616" t="str">
            <v>M2</v>
          </cell>
          <cell r="F616">
            <v>12.600000000000001</v>
          </cell>
          <cell r="G616" t="str">
            <v>마감철판</v>
          </cell>
        </row>
        <row r="617">
          <cell r="B617" t="str">
            <v>갈바후레임제작설치</v>
          </cell>
          <cell r="C617" t="str">
            <v>1.6T</v>
          </cell>
          <cell r="D617" t="str">
            <v>M2</v>
          </cell>
          <cell r="F617">
            <v>2.2620000000000005</v>
          </cell>
          <cell r="G617" t="str">
            <v>유리프레임</v>
          </cell>
        </row>
        <row r="618">
          <cell r="B618" t="str">
            <v>갈바후레임제작설치</v>
          </cell>
          <cell r="C618" t="str">
            <v>1.6T</v>
          </cell>
          <cell r="D618" t="str">
            <v>M2</v>
          </cell>
          <cell r="F618">
            <v>2.2620000000000005</v>
          </cell>
          <cell r="G618" t="str">
            <v>내부몰딩</v>
          </cell>
        </row>
        <row r="619">
          <cell r="B619" t="str">
            <v>갈바후레임제작설치</v>
          </cell>
          <cell r="C619" t="str">
            <v>1.6T</v>
          </cell>
          <cell r="D619" t="str">
            <v>M2</v>
          </cell>
          <cell r="F619">
            <v>1.8599999999999999</v>
          </cell>
          <cell r="G619" t="str">
            <v>유리프레임2</v>
          </cell>
        </row>
        <row r="620">
          <cell r="B620" t="str">
            <v>갈바후레임제작설치</v>
          </cell>
          <cell r="C620" t="str">
            <v>1.6T</v>
          </cell>
          <cell r="D620" t="str">
            <v>M2</v>
          </cell>
          <cell r="F620">
            <v>0.44400000000000001</v>
          </cell>
          <cell r="G620" t="str">
            <v>상부마감몰딩</v>
          </cell>
        </row>
        <row r="621">
          <cell r="B621" t="str">
            <v>갈바후레임제작설치</v>
          </cell>
          <cell r="C621" t="str">
            <v>1.6T</v>
          </cell>
          <cell r="D621" t="str">
            <v>M2</v>
          </cell>
          <cell r="F621">
            <v>0.26400000000000001</v>
          </cell>
          <cell r="G621" t="str">
            <v>하부마감판</v>
          </cell>
        </row>
        <row r="622">
          <cell r="B622" t="str">
            <v>갈바후레임제작설치</v>
          </cell>
          <cell r="C622" t="str">
            <v>1.6T</v>
          </cell>
          <cell r="D622" t="str">
            <v>M2</v>
          </cell>
          <cell r="F622">
            <v>1.7999999999999998</v>
          </cell>
          <cell r="G622" t="str">
            <v>배면판</v>
          </cell>
        </row>
        <row r="623">
          <cell r="B623" t="str">
            <v>갈바후레임제작설치</v>
          </cell>
          <cell r="C623" t="str">
            <v>1.6T</v>
          </cell>
          <cell r="D623" t="str">
            <v>M2</v>
          </cell>
          <cell r="F623">
            <v>1.44</v>
          </cell>
          <cell r="G623" t="str">
            <v>외부마감판</v>
          </cell>
        </row>
        <row r="624">
          <cell r="B624" t="str">
            <v>갈바후레임제작설치</v>
          </cell>
          <cell r="C624" t="str">
            <v>1.6T</v>
          </cell>
          <cell r="D624" t="str">
            <v>M2</v>
          </cell>
          <cell r="F624">
            <v>0.54</v>
          </cell>
          <cell r="G624" t="str">
            <v>측면판</v>
          </cell>
        </row>
        <row r="626">
          <cell r="B626" t="str">
            <v>- SYSTEM 장치</v>
          </cell>
        </row>
        <row r="627">
          <cell r="B627" t="str">
            <v>피아노경첩 제작설치</v>
          </cell>
          <cell r="D627" t="str">
            <v>M</v>
          </cell>
          <cell r="F627">
            <v>4.7</v>
          </cell>
        </row>
        <row r="628">
          <cell r="B628" t="str">
            <v>LOCK SET 제작설치</v>
          </cell>
          <cell r="C628" t="str">
            <v>시건장치</v>
          </cell>
          <cell r="D628" t="str">
            <v>set</v>
          </cell>
          <cell r="F628">
            <v>2</v>
          </cell>
        </row>
        <row r="629">
          <cell r="B629" t="str">
            <v>AL.패킹바 제작설치</v>
          </cell>
          <cell r="D629" t="str">
            <v>M</v>
          </cell>
          <cell r="F629">
            <v>14.8</v>
          </cell>
        </row>
        <row r="630">
          <cell r="B630" t="str">
            <v>밀폐패킹 설치</v>
          </cell>
          <cell r="C630" t="str">
            <v>소형</v>
          </cell>
          <cell r="D630" t="str">
            <v>M</v>
          </cell>
          <cell r="F630">
            <v>14.8</v>
          </cell>
        </row>
        <row r="631">
          <cell r="B631" t="str">
            <v>- 수장공사</v>
          </cell>
        </row>
        <row r="632">
          <cell r="B632" t="str">
            <v>코아합판취부</v>
          </cell>
          <cell r="C632" t="str">
            <v>T18mm</v>
          </cell>
          <cell r="D632" t="str">
            <v>M2</v>
          </cell>
          <cell r="F632">
            <v>2.8800000000000003</v>
          </cell>
        </row>
        <row r="633">
          <cell r="B633" t="str">
            <v>바탕처리</v>
          </cell>
          <cell r="C633" t="str">
            <v>도배퍼티</v>
          </cell>
          <cell r="D633" t="str">
            <v>M2</v>
          </cell>
          <cell r="F633">
            <v>24.48</v>
          </cell>
        </row>
        <row r="634">
          <cell r="B634" t="str">
            <v>내부도배</v>
          </cell>
          <cell r="C634" t="str">
            <v>세마직벽지</v>
          </cell>
          <cell r="D634" t="str">
            <v>M2</v>
          </cell>
          <cell r="F634">
            <v>24.48</v>
          </cell>
        </row>
        <row r="635">
          <cell r="B635" t="str">
            <v>우레탄칼라락카도장</v>
          </cell>
          <cell r="C635" t="str">
            <v>철재면기준</v>
          </cell>
          <cell r="D635" t="str">
            <v>M2</v>
          </cell>
          <cell r="F635">
            <v>23.472000000000001</v>
          </cell>
        </row>
        <row r="636">
          <cell r="B636" t="str">
            <v>바탕처리</v>
          </cell>
          <cell r="C636" t="str">
            <v>철재면기준</v>
          </cell>
          <cell r="D636" t="str">
            <v>M2</v>
          </cell>
          <cell r="F636">
            <v>23.472000000000001</v>
          </cell>
        </row>
        <row r="637">
          <cell r="B637" t="str">
            <v>- 유리공사</v>
          </cell>
        </row>
        <row r="638">
          <cell r="B638" t="str">
            <v>화이트 접합유리 끼우기</v>
          </cell>
          <cell r="C638" t="str">
            <v>T10.76mm</v>
          </cell>
          <cell r="D638" t="str">
            <v>M2</v>
          </cell>
          <cell r="F638">
            <v>7.1475000000000009</v>
          </cell>
        </row>
        <row r="639">
          <cell r="B639" t="str">
            <v>코킹</v>
          </cell>
          <cell r="D639" t="str">
            <v>M</v>
          </cell>
          <cell r="F639">
            <v>47.6</v>
          </cell>
        </row>
        <row r="640">
          <cell r="B640" t="str">
            <v>면    취</v>
          </cell>
          <cell r="D640" t="str">
            <v>M</v>
          </cell>
          <cell r="F640">
            <v>40</v>
          </cell>
        </row>
        <row r="641">
          <cell r="B641" t="str">
            <v>- 전기공사</v>
          </cell>
        </row>
        <row r="642">
          <cell r="B642" t="str">
            <v>LED 포인트조명설치(독립장형)</v>
          </cell>
          <cell r="C642" t="str">
            <v>15W이하</v>
          </cell>
          <cell r="D642" t="str">
            <v>ea</v>
          </cell>
          <cell r="F642">
            <v>6</v>
          </cell>
        </row>
        <row r="643">
          <cell r="B643" t="str">
            <v>LED 포인트조명 컨트롤제작설치</v>
          </cell>
          <cell r="C643" t="str">
            <v>컨트롤러(8채널)</v>
          </cell>
          <cell r="D643" t="str">
            <v>set</v>
          </cell>
          <cell r="F643">
            <v>1</v>
          </cell>
        </row>
      </sheetData>
      <sheetData sheetId="6">
        <row r="1">
          <cell r="A1" t="str">
            <v>건명 : 경기도박물관 전시실 리뉴얼 디자인 설계 용역</v>
          </cell>
        </row>
        <row r="3">
          <cell r="A3" t="str">
            <v>지상 1층 전시실 1실/2실</v>
          </cell>
        </row>
        <row r="6">
          <cell r="B6" t="str">
            <v>SC-101</v>
          </cell>
          <cell r="C6" t="str">
            <v>벽부형진열장(전동형)</v>
          </cell>
          <cell r="D6">
            <v>4500</v>
          </cell>
          <cell r="E6">
            <v>1100</v>
          </cell>
          <cell r="F6">
            <v>3600</v>
          </cell>
          <cell r="G6">
            <v>300</v>
          </cell>
          <cell r="H6">
            <v>2600</v>
          </cell>
          <cell r="I6">
            <v>700</v>
          </cell>
        </row>
        <row r="7">
          <cell r="B7" t="str">
            <v>SC-102</v>
          </cell>
          <cell r="C7" t="str">
            <v>벽부형진열장(전동형)</v>
          </cell>
          <cell r="D7">
            <v>5000</v>
          </cell>
          <cell r="E7">
            <v>1300</v>
          </cell>
          <cell r="F7">
            <v>3600</v>
          </cell>
          <cell r="G7">
            <v>300</v>
          </cell>
          <cell r="H7">
            <v>2600</v>
          </cell>
          <cell r="I7">
            <v>700</v>
          </cell>
        </row>
        <row r="10">
          <cell r="A10" t="str">
            <v>지상 2층 전시실 3실</v>
          </cell>
        </row>
        <row r="13">
          <cell r="B13" t="str">
            <v>SC-201</v>
          </cell>
          <cell r="C13" t="str">
            <v>벽부형진열장(전동형)</v>
          </cell>
          <cell r="D13">
            <v>5000</v>
          </cell>
          <cell r="E13">
            <v>1200</v>
          </cell>
          <cell r="F13">
            <v>3600</v>
          </cell>
          <cell r="G13">
            <v>300</v>
          </cell>
          <cell r="H13">
            <v>2600</v>
          </cell>
          <cell r="I13">
            <v>700</v>
          </cell>
        </row>
        <row r="14">
          <cell r="B14" t="str">
            <v>SC-202</v>
          </cell>
          <cell r="C14" t="str">
            <v>벽부형진열장(전동형)</v>
          </cell>
          <cell r="D14">
            <v>6000</v>
          </cell>
          <cell r="E14">
            <v>1000</v>
          </cell>
          <cell r="F14">
            <v>3600</v>
          </cell>
          <cell r="G14">
            <v>300</v>
          </cell>
          <cell r="H14">
            <v>2600</v>
          </cell>
          <cell r="I14">
            <v>700</v>
          </cell>
        </row>
        <row r="15">
          <cell r="B15" t="str">
            <v>SC-203</v>
          </cell>
          <cell r="C15" t="str">
            <v>벽부형진열장(전동형)</v>
          </cell>
          <cell r="D15">
            <v>8000</v>
          </cell>
          <cell r="E15">
            <v>1000</v>
          </cell>
          <cell r="F15">
            <v>3600</v>
          </cell>
          <cell r="G15">
            <v>300</v>
          </cell>
          <cell r="H15">
            <v>2600</v>
          </cell>
          <cell r="I15">
            <v>700</v>
          </cell>
        </row>
        <row r="16">
          <cell r="B16" t="str">
            <v>SC-204</v>
          </cell>
          <cell r="C16" t="str">
            <v>벽부형진열장(전동형)</v>
          </cell>
          <cell r="D16">
            <v>10000</v>
          </cell>
          <cell r="E16">
            <v>1000</v>
          </cell>
          <cell r="F16">
            <v>3600</v>
          </cell>
          <cell r="G16">
            <v>300</v>
          </cell>
          <cell r="H16">
            <v>2600</v>
          </cell>
          <cell r="I16">
            <v>700</v>
          </cell>
        </row>
        <row r="17">
          <cell r="B17" t="str">
            <v>SC-205</v>
          </cell>
          <cell r="C17" t="str">
            <v>벽부형진열장(전동형)</v>
          </cell>
          <cell r="D17">
            <v>12000</v>
          </cell>
          <cell r="E17">
            <v>1000</v>
          </cell>
          <cell r="F17">
            <v>3600</v>
          </cell>
          <cell r="G17">
            <v>300</v>
          </cell>
          <cell r="H17">
            <v>2600</v>
          </cell>
          <cell r="I17">
            <v>700</v>
          </cell>
        </row>
        <row r="19">
          <cell r="B19" t="str">
            <v>SC-206</v>
          </cell>
          <cell r="C19" t="str">
            <v>고정형 양면 진열장</v>
          </cell>
          <cell r="D19">
            <v>11600</v>
          </cell>
          <cell r="E19">
            <v>1800</v>
          </cell>
          <cell r="F19">
            <v>3000</v>
          </cell>
          <cell r="G19">
            <v>300</v>
          </cell>
          <cell r="H19">
            <v>2577</v>
          </cell>
          <cell r="I19">
            <v>123</v>
          </cell>
        </row>
        <row r="21">
          <cell r="B21" t="str">
            <v>SC-207</v>
          </cell>
          <cell r="C21" t="str">
            <v>4면 유리형 독립장</v>
          </cell>
          <cell r="D21">
            <v>2400</v>
          </cell>
          <cell r="E21">
            <v>2400</v>
          </cell>
          <cell r="F21">
            <v>2300</v>
          </cell>
          <cell r="G21">
            <v>300</v>
          </cell>
          <cell r="H21">
            <v>1877</v>
          </cell>
          <cell r="I21">
            <v>123</v>
          </cell>
        </row>
        <row r="22">
          <cell r="B22" t="str">
            <v>SC-208</v>
          </cell>
          <cell r="C22" t="str">
            <v>4면 유리형 독립장</v>
          </cell>
          <cell r="D22">
            <v>800</v>
          </cell>
          <cell r="E22">
            <v>800</v>
          </cell>
          <cell r="F22">
            <v>2300</v>
          </cell>
          <cell r="G22">
            <v>300</v>
          </cell>
          <cell r="H22">
            <v>1877</v>
          </cell>
          <cell r="I22">
            <v>123</v>
          </cell>
        </row>
        <row r="23">
          <cell r="B23" t="str">
            <v>SC-209</v>
          </cell>
          <cell r="C23" t="str">
            <v>복합형 진열장</v>
          </cell>
          <cell r="D23">
            <v>4500</v>
          </cell>
          <cell r="E23">
            <v>1200</v>
          </cell>
          <cell r="F23">
            <v>1800</v>
          </cell>
        </row>
      </sheetData>
      <sheetData sheetId="7">
        <row r="1">
          <cell r="B1" t="str">
            <v>일 위 대 가  목 록 표</v>
          </cell>
        </row>
        <row r="3">
          <cell r="A3" t="str">
            <v>구   분</v>
          </cell>
          <cell r="B3" t="str">
            <v>번  호</v>
          </cell>
          <cell r="C3" t="str">
            <v>명      칭</v>
          </cell>
          <cell r="D3" t="str">
            <v>규      격</v>
          </cell>
          <cell r="E3" t="str">
            <v>단 위</v>
          </cell>
          <cell r="F3" t="str">
            <v>재 료 비</v>
          </cell>
          <cell r="G3" t="str">
            <v>노 무 비</v>
          </cell>
          <cell r="H3" t="str">
            <v>계</v>
          </cell>
        </row>
        <row r="4">
          <cell r="A4" t="str">
            <v>철구조물가공조립KG</v>
          </cell>
          <cell r="B4" t="str">
            <v>제1호표</v>
          </cell>
          <cell r="C4" t="str">
            <v>철구조물가공조립</v>
          </cell>
          <cell r="D4" t="str">
            <v/>
          </cell>
          <cell r="E4" t="str">
            <v>KG</v>
          </cell>
          <cell r="F4">
            <v>3233</v>
          </cell>
          <cell r="G4">
            <v>7896</v>
          </cell>
          <cell r="H4">
            <v>11129</v>
          </cell>
        </row>
        <row r="5">
          <cell r="A5" t="str">
            <v>잡철물제작설치보통기준TON</v>
          </cell>
          <cell r="B5" t="str">
            <v>제2호표</v>
          </cell>
          <cell r="C5" t="str">
            <v>잡철물제작설치</v>
          </cell>
          <cell r="D5" t="str">
            <v>보통기준</v>
          </cell>
          <cell r="E5" t="str">
            <v>TON</v>
          </cell>
          <cell r="F5">
            <v>2681033</v>
          </cell>
          <cell r="G5">
            <v>3658382</v>
          </cell>
          <cell r="H5">
            <v>6339415</v>
          </cell>
        </row>
        <row r="6">
          <cell r="A6" t="str">
            <v>잡철물제작설치복잡기준TON</v>
          </cell>
          <cell r="B6" t="str">
            <v>제3호표</v>
          </cell>
          <cell r="C6" t="str">
            <v>잡철물제작설치</v>
          </cell>
          <cell r="D6" t="str">
            <v>복잡기준</v>
          </cell>
          <cell r="E6" t="str">
            <v>TON</v>
          </cell>
          <cell r="F6">
            <v>3124257</v>
          </cell>
          <cell r="G6">
            <v>4268113</v>
          </cell>
          <cell r="H6">
            <v>7392370</v>
          </cell>
        </row>
        <row r="7">
          <cell r="A7" t="str">
            <v>잡철물설치T1.2GALV.M2</v>
          </cell>
          <cell r="B7" t="str">
            <v>제4호표</v>
          </cell>
          <cell r="C7" t="str">
            <v>잡철물설치</v>
          </cell>
          <cell r="D7" t="str">
            <v>T1.2 GALV.</v>
          </cell>
          <cell r="E7" t="str">
            <v>M2</v>
          </cell>
          <cell r="F7">
            <v>24211</v>
          </cell>
          <cell r="G7">
            <v>33077</v>
          </cell>
          <cell r="H7">
            <v>57288</v>
          </cell>
        </row>
        <row r="8">
          <cell r="A8" t="str">
            <v>잡철물설치T1.5ST'LM2</v>
          </cell>
          <cell r="B8" t="str">
            <v>제5호표</v>
          </cell>
          <cell r="C8" t="str">
            <v>잡철물설치</v>
          </cell>
          <cell r="D8" t="str">
            <v>T1.5 ST'L</v>
          </cell>
          <cell r="E8" t="str">
            <v>M2</v>
          </cell>
          <cell r="F8">
            <v>29428</v>
          </cell>
          <cell r="G8">
            <v>40204</v>
          </cell>
          <cell r="H8">
            <v>69632</v>
          </cell>
        </row>
        <row r="9">
          <cell r="A9" t="str">
            <v>잡철물설치T1.6GALV.M2</v>
          </cell>
          <cell r="B9" t="str">
            <v>제6호표</v>
          </cell>
          <cell r="C9" t="str">
            <v>잡철물설치</v>
          </cell>
          <cell r="D9" t="str">
            <v>T1.6 GALV.</v>
          </cell>
          <cell r="E9" t="str">
            <v>M2</v>
          </cell>
          <cell r="F9">
            <v>39831</v>
          </cell>
          <cell r="G9">
            <v>54417</v>
          </cell>
          <cell r="H9">
            <v>94248</v>
          </cell>
        </row>
        <row r="10">
          <cell r="A10" t="str">
            <v>잡철물설치T2.0ST'LM2</v>
          </cell>
          <cell r="B10" t="str">
            <v>제7호표</v>
          </cell>
          <cell r="C10" t="str">
            <v>잡철물설치</v>
          </cell>
          <cell r="D10" t="str">
            <v>T2.0 ST'L</v>
          </cell>
          <cell r="E10" t="str">
            <v>M2</v>
          </cell>
          <cell r="F10">
            <v>49078</v>
          </cell>
          <cell r="G10">
            <v>67050</v>
          </cell>
          <cell r="H10">
            <v>116128</v>
          </cell>
        </row>
        <row r="11">
          <cell r="A11" t="str">
            <v>잡철물설치T2.3ST'LM2</v>
          </cell>
          <cell r="B11" t="str">
            <v>제8호표</v>
          </cell>
          <cell r="C11" t="str">
            <v>잡철물설치</v>
          </cell>
          <cell r="D11" t="str">
            <v>T2.3 ST'L</v>
          </cell>
          <cell r="E11" t="str">
            <v>M2</v>
          </cell>
          <cell r="F11">
            <v>56450</v>
          </cell>
          <cell r="G11">
            <v>77122</v>
          </cell>
          <cell r="H11">
            <v>133572</v>
          </cell>
        </row>
        <row r="12">
          <cell r="A12" t="str">
            <v>잡철물설치T3.2ST'LM2</v>
          </cell>
          <cell r="B12" t="str">
            <v>제9호표</v>
          </cell>
          <cell r="C12" t="str">
            <v>잡철물설치</v>
          </cell>
          <cell r="D12" t="str">
            <v>T3.2 ST'L</v>
          </cell>
          <cell r="E12" t="str">
            <v>M2</v>
          </cell>
          <cell r="F12">
            <v>67373</v>
          </cell>
          <cell r="G12">
            <v>91925</v>
          </cell>
          <cell r="H12">
            <v>159298</v>
          </cell>
        </row>
        <row r="13">
          <cell r="A13" t="str">
            <v>잡철물설치T4.0ST'LM2</v>
          </cell>
          <cell r="B13" t="str">
            <v>제10호표</v>
          </cell>
          <cell r="C13" t="str">
            <v>잡철물설치</v>
          </cell>
          <cell r="D13" t="str">
            <v>T4.0 ST'L</v>
          </cell>
          <cell r="E13" t="str">
            <v>M2</v>
          </cell>
          <cell r="F13">
            <v>98062</v>
          </cell>
          <cell r="G13">
            <v>133972</v>
          </cell>
          <cell r="H13">
            <v>232034</v>
          </cell>
        </row>
        <row r="14">
          <cell r="A14" t="str">
            <v>잡철물설치T5.0ST'LM2</v>
          </cell>
          <cell r="B14" t="str">
            <v>제11호표</v>
          </cell>
          <cell r="C14" t="str">
            <v>잡철물설치</v>
          </cell>
          <cell r="D14" t="str">
            <v>T5.0 ST'L</v>
          </cell>
          <cell r="E14" t="str">
            <v>M2</v>
          </cell>
          <cell r="F14">
            <v>123054</v>
          </cell>
          <cell r="G14">
            <v>168116</v>
          </cell>
          <cell r="H14">
            <v>291170</v>
          </cell>
        </row>
        <row r="15">
          <cell r="A15" t="str">
            <v>절단가공T1.2GALV.M</v>
          </cell>
          <cell r="B15" t="str">
            <v>제12호표</v>
          </cell>
          <cell r="C15" t="str">
            <v>절단가공</v>
          </cell>
          <cell r="D15" t="str">
            <v>T1.2 GALV.</v>
          </cell>
          <cell r="E15" t="str">
            <v>M</v>
          </cell>
          <cell r="F15">
            <v>0</v>
          </cell>
          <cell r="G15">
            <v>1708</v>
          </cell>
          <cell r="H15">
            <v>1708</v>
          </cell>
        </row>
        <row r="16">
          <cell r="A16" t="str">
            <v>절단가공T1.6GALV.M</v>
          </cell>
          <cell r="B16" t="str">
            <v>제13호표</v>
          </cell>
          <cell r="C16" t="str">
            <v>절단가공</v>
          </cell>
          <cell r="D16" t="str">
            <v>T1.6 GALV.</v>
          </cell>
          <cell r="E16" t="str">
            <v>M</v>
          </cell>
          <cell r="F16">
            <v>0</v>
          </cell>
          <cell r="G16">
            <v>2049</v>
          </cell>
          <cell r="H16">
            <v>2049</v>
          </cell>
        </row>
        <row r="17">
          <cell r="A17" t="str">
            <v>절단가공T2.0ST'LM</v>
          </cell>
          <cell r="B17" t="str">
            <v>제14호표</v>
          </cell>
          <cell r="C17" t="str">
            <v>절단가공</v>
          </cell>
          <cell r="D17" t="str">
            <v>T2.0 ST'L</v>
          </cell>
          <cell r="E17" t="str">
            <v>M</v>
          </cell>
          <cell r="F17">
            <v>0</v>
          </cell>
          <cell r="G17">
            <v>2391</v>
          </cell>
          <cell r="H17">
            <v>2391</v>
          </cell>
        </row>
        <row r="18">
          <cell r="A18" t="str">
            <v>절단가공T2.3ST'LM</v>
          </cell>
          <cell r="B18" t="str">
            <v>제15호표</v>
          </cell>
          <cell r="C18" t="str">
            <v>절단가공</v>
          </cell>
          <cell r="D18" t="str">
            <v>T2.3 ST'L</v>
          </cell>
          <cell r="E18" t="str">
            <v>M</v>
          </cell>
          <cell r="F18">
            <v>0</v>
          </cell>
          <cell r="G18">
            <v>2562</v>
          </cell>
          <cell r="H18">
            <v>2562</v>
          </cell>
        </row>
        <row r="19">
          <cell r="A19" t="str">
            <v>절단가공T3.2ST'LM</v>
          </cell>
          <cell r="B19" t="str">
            <v>제16호표</v>
          </cell>
          <cell r="C19" t="str">
            <v>절단가공</v>
          </cell>
          <cell r="D19" t="str">
            <v>T3.2 ST'L</v>
          </cell>
          <cell r="E19" t="str">
            <v>M</v>
          </cell>
          <cell r="F19">
            <v>0</v>
          </cell>
          <cell r="G19">
            <v>3074</v>
          </cell>
          <cell r="H19">
            <v>3074</v>
          </cell>
        </row>
        <row r="20">
          <cell r="A20" t="str">
            <v>절단가공T4.0ST'LM</v>
          </cell>
          <cell r="B20" t="str">
            <v>제17호표</v>
          </cell>
          <cell r="C20" t="str">
            <v>절단가공</v>
          </cell>
          <cell r="D20" t="str">
            <v>T4.0 ST'L</v>
          </cell>
          <cell r="E20" t="str">
            <v>M</v>
          </cell>
          <cell r="F20">
            <v>0</v>
          </cell>
          <cell r="G20">
            <v>3416</v>
          </cell>
          <cell r="H20">
            <v>3416</v>
          </cell>
        </row>
        <row r="21">
          <cell r="A21" t="str">
            <v>절단가공T5.0ST'LM</v>
          </cell>
          <cell r="B21" t="str">
            <v>제18호표</v>
          </cell>
          <cell r="C21" t="str">
            <v>절단가공</v>
          </cell>
          <cell r="D21" t="str">
            <v>T5.0 ST'L</v>
          </cell>
          <cell r="E21" t="str">
            <v>M</v>
          </cell>
          <cell r="F21">
            <v>0</v>
          </cell>
          <cell r="G21">
            <v>3757</v>
          </cell>
          <cell r="H21">
            <v>3757</v>
          </cell>
        </row>
        <row r="22">
          <cell r="A22" t="str">
            <v>절단가공T8.0ST'LM</v>
          </cell>
          <cell r="B22" t="str">
            <v>제19호표</v>
          </cell>
          <cell r="C22" t="str">
            <v>절단가공</v>
          </cell>
          <cell r="D22" t="str">
            <v>T8.0 ST'L</v>
          </cell>
          <cell r="E22" t="str">
            <v>M</v>
          </cell>
          <cell r="F22">
            <v>0</v>
          </cell>
          <cell r="G22">
            <v>4099</v>
          </cell>
          <cell r="H22">
            <v>4099</v>
          </cell>
        </row>
        <row r="23">
          <cell r="A23" t="str">
            <v>절단가공T1.2SST'L.M</v>
          </cell>
          <cell r="B23" t="str">
            <v>제20호표</v>
          </cell>
          <cell r="C23" t="str">
            <v>절단가공</v>
          </cell>
          <cell r="D23" t="str">
            <v>T1.2 S ST'L.</v>
          </cell>
          <cell r="E23" t="str">
            <v>M</v>
          </cell>
          <cell r="F23">
            <v>0</v>
          </cell>
          <cell r="G23">
            <v>3416</v>
          </cell>
          <cell r="H23">
            <v>3416</v>
          </cell>
        </row>
        <row r="24">
          <cell r="A24" t="str">
            <v>프레나가공T1.2GALV.M</v>
          </cell>
          <cell r="B24" t="str">
            <v>제21호표</v>
          </cell>
          <cell r="C24" t="str">
            <v>프레나가공</v>
          </cell>
          <cell r="D24" t="str">
            <v>T1.2 GALV.</v>
          </cell>
          <cell r="E24" t="str">
            <v>M</v>
          </cell>
          <cell r="F24">
            <v>0</v>
          </cell>
          <cell r="G24">
            <v>1831</v>
          </cell>
          <cell r="H24">
            <v>1831</v>
          </cell>
        </row>
        <row r="25">
          <cell r="A25" t="str">
            <v>프레나가공T1.6GALV.M</v>
          </cell>
          <cell r="B25" t="str">
            <v>제22호표</v>
          </cell>
          <cell r="C25" t="str">
            <v>프레나가공</v>
          </cell>
          <cell r="D25" t="str">
            <v>T1.6 GALV.</v>
          </cell>
          <cell r="E25" t="str">
            <v>M</v>
          </cell>
          <cell r="F25">
            <v>0</v>
          </cell>
          <cell r="G25">
            <v>2197</v>
          </cell>
          <cell r="H25">
            <v>2197</v>
          </cell>
        </row>
        <row r="26">
          <cell r="A26" t="str">
            <v>프레나가공T2.0ST'LM</v>
          </cell>
          <cell r="B26" t="str">
            <v>제23호표</v>
          </cell>
          <cell r="C26" t="str">
            <v>프레나가공</v>
          </cell>
          <cell r="D26" t="str">
            <v>T2.0 ST'L</v>
          </cell>
          <cell r="E26" t="str">
            <v>M</v>
          </cell>
          <cell r="F26">
            <v>0</v>
          </cell>
          <cell r="G26">
            <v>2563</v>
          </cell>
          <cell r="H26">
            <v>2563</v>
          </cell>
        </row>
        <row r="27">
          <cell r="A27" t="str">
            <v>프레나가공T2.3ST'LM</v>
          </cell>
          <cell r="B27" t="str">
            <v>제24호표</v>
          </cell>
          <cell r="C27" t="str">
            <v>프레나가공</v>
          </cell>
          <cell r="D27" t="str">
            <v>T2.3 ST'L</v>
          </cell>
          <cell r="E27" t="str">
            <v>M</v>
          </cell>
          <cell r="F27">
            <v>0</v>
          </cell>
          <cell r="G27">
            <v>2746</v>
          </cell>
          <cell r="H27">
            <v>2746</v>
          </cell>
        </row>
        <row r="28">
          <cell r="A28" t="str">
            <v>프레나가공T3.2ST'LM</v>
          </cell>
          <cell r="B28" t="str">
            <v>제25호표</v>
          </cell>
          <cell r="C28" t="str">
            <v>프레나가공</v>
          </cell>
          <cell r="D28" t="str">
            <v>T3.2 ST'L</v>
          </cell>
          <cell r="E28" t="str">
            <v>M</v>
          </cell>
          <cell r="F28">
            <v>0</v>
          </cell>
          <cell r="G28">
            <v>3295</v>
          </cell>
          <cell r="H28">
            <v>3295</v>
          </cell>
        </row>
        <row r="29">
          <cell r="A29" t="str">
            <v>프레나가공T4.0ST'LM</v>
          </cell>
          <cell r="B29" t="str">
            <v>제26호표</v>
          </cell>
          <cell r="C29" t="str">
            <v>프레나가공</v>
          </cell>
          <cell r="D29" t="str">
            <v>T4.0 ST'L</v>
          </cell>
          <cell r="E29" t="str">
            <v>M</v>
          </cell>
          <cell r="F29">
            <v>0</v>
          </cell>
          <cell r="G29">
            <v>3662</v>
          </cell>
          <cell r="H29">
            <v>3662</v>
          </cell>
        </row>
        <row r="30">
          <cell r="A30" t="str">
            <v>프레나가공T5.0ST'LM</v>
          </cell>
          <cell r="B30" t="str">
            <v>제27호표</v>
          </cell>
          <cell r="C30" t="str">
            <v>프레나가공</v>
          </cell>
          <cell r="D30" t="str">
            <v>T5.0 ST'L</v>
          </cell>
          <cell r="E30" t="str">
            <v>M</v>
          </cell>
          <cell r="F30">
            <v>0</v>
          </cell>
          <cell r="G30">
            <v>4028</v>
          </cell>
          <cell r="H30">
            <v>4028</v>
          </cell>
        </row>
        <row r="31">
          <cell r="A31" t="str">
            <v>프레나가공T8.0ST'LM</v>
          </cell>
          <cell r="B31" t="str">
            <v>제28호표</v>
          </cell>
          <cell r="C31" t="str">
            <v>프레나가공</v>
          </cell>
          <cell r="D31" t="str">
            <v>T8.0 ST'L</v>
          </cell>
          <cell r="E31" t="str">
            <v>M</v>
          </cell>
          <cell r="F31">
            <v>0</v>
          </cell>
          <cell r="G31">
            <v>4394</v>
          </cell>
          <cell r="H31">
            <v>4394</v>
          </cell>
        </row>
        <row r="32">
          <cell r="A32" t="str">
            <v>프레나가공T1.2SST'L.M</v>
          </cell>
          <cell r="B32" t="str">
            <v>제29호표</v>
          </cell>
          <cell r="C32" t="str">
            <v>프레나가공</v>
          </cell>
          <cell r="D32" t="str">
            <v>T1.2 S ST'L.</v>
          </cell>
          <cell r="E32" t="str">
            <v>M</v>
          </cell>
          <cell r="F32">
            <v>0</v>
          </cell>
          <cell r="G32">
            <v>3662</v>
          </cell>
          <cell r="H32">
            <v>3662</v>
          </cell>
        </row>
        <row r="33">
          <cell r="A33" t="str">
            <v>절곡가공T1.2GALV.M</v>
          </cell>
          <cell r="B33" t="str">
            <v>제30호표</v>
          </cell>
          <cell r="C33" t="str">
            <v>절곡가공</v>
          </cell>
          <cell r="D33" t="str">
            <v>T1.2 GALV.</v>
          </cell>
          <cell r="E33" t="str">
            <v>M</v>
          </cell>
          <cell r="F33">
            <v>0</v>
          </cell>
          <cell r="G33">
            <v>1679</v>
          </cell>
          <cell r="H33">
            <v>1679</v>
          </cell>
        </row>
        <row r="34">
          <cell r="A34" t="str">
            <v>절곡가공T1.6GALV.M</v>
          </cell>
          <cell r="B34" t="str">
            <v>제31호표</v>
          </cell>
          <cell r="C34" t="str">
            <v>절곡가공</v>
          </cell>
          <cell r="D34" t="str">
            <v>T1.6 GALV.</v>
          </cell>
          <cell r="E34" t="str">
            <v>M</v>
          </cell>
          <cell r="F34">
            <v>0</v>
          </cell>
          <cell r="G34">
            <v>2014</v>
          </cell>
          <cell r="H34">
            <v>2014</v>
          </cell>
        </row>
        <row r="35">
          <cell r="A35" t="str">
            <v>절곡가공T2.0ST'LM</v>
          </cell>
          <cell r="B35" t="str">
            <v>제32호표</v>
          </cell>
          <cell r="C35" t="str">
            <v>절곡가공</v>
          </cell>
          <cell r="D35" t="str">
            <v>T2.0 ST'L</v>
          </cell>
          <cell r="E35" t="str">
            <v>M</v>
          </cell>
          <cell r="F35">
            <v>0</v>
          </cell>
          <cell r="G35">
            <v>2350</v>
          </cell>
          <cell r="H35">
            <v>2350</v>
          </cell>
        </row>
        <row r="36">
          <cell r="A36" t="str">
            <v>절곡가공T2.3ST'LM</v>
          </cell>
          <cell r="B36" t="str">
            <v>제33호표</v>
          </cell>
          <cell r="C36" t="str">
            <v>절곡가공</v>
          </cell>
          <cell r="D36" t="str">
            <v>T2.3 ST'L</v>
          </cell>
          <cell r="E36" t="str">
            <v>M</v>
          </cell>
          <cell r="F36">
            <v>0</v>
          </cell>
          <cell r="G36">
            <v>2518</v>
          </cell>
          <cell r="H36">
            <v>2518</v>
          </cell>
        </row>
        <row r="37">
          <cell r="A37" t="str">
            <v>절곡가공T3.2ST'LM</v>
          </cell>
          <cell r="B37" t="str">
            <v>제34호표</v>
          </cell>
          <cell r="C37" t="str">
            <v>절곡가공</v>
          </cell>
          <cell r="D37" t="str">
            <v>T3.2 ST'L</v>
          </cell>
          <cell r="E37" t="str">
            <v>M</v>
          </cell>
          <cell r="F37">
            <v>0</v>
          </cell>
          <cell r="G37">
            <v>3022</v>
          </cell>
          <cell r="H37">
            <v>3022</v>
          </cell>
        </row>
        <row r="38">
          <cell r="A38" t="str">
            <v>절곡가공T4.0ST'LM</v>
          </cell>
          <cell r="B38" t="str">
            <v>제35호표</v>
          </cell>
          <cell r="C38" t="str">
            <v>절곡가공</v>
          </cell>
          <cell r="D38" t="str">
            <v>T4.0 ST'L</v>
          </cell>
          <cell r="E38" t="str">
            <v>M</v>
          </cell>
          <cell r="F38">
            <v>0</v>
          </cell>
          <cell r="G38">
            <v>3358</v>
          </cell>
          <cell r="H38">
            <v>3358</v>
          </cell>
        </row>
        <row r="39">
          <cell r="A39" t="str">
            <v>절곡가공T5.0ST'LM</v>
          </cell>
          <cell r="B39" t="str">
            <v>제36호표</v>
          </cell>
          <cell r="C39" t="str">
            <v>절곡가공</v>
          </cell>
          <cell r="D39" t="str">
            <v>T5.0 ST'L</v>
          </cell>
          <cell r="E39" t="str">
            <v>M</v>
          </cell>
          <cell r="F39">
            <v>0</v>
          </cell>
          <cell r="G39">
            <v>3693</v>
          </cell>
          <cell r="H39">
            <v>3693</v>
          </cell>
        </row>
        <row r="40">
          <cell r="A40" t="str">
            <v>절곡가공T8.0ST'LM</v>
          </cell>
          <cell r="B40" t="str">
            <v>제37호표</v>
          </cell>
          <cell r="C40" t="str">
            <v>절곡가공</v>
          </cell>
          <cell r="D40" t="str">
            <v>T8.0 ST'L</v>
          </cell>
          <cell r="E40" t="str">
            <v>M</v>
          </cell>
          <cell r="F40">
            <v>0</v>
          </cell>
          <cell r="G40">
            <v>4029</v>
          </cell>
          <cell r="H40">
            <v>4029</v>
          </cell>
        </row>
        <row r="41">
          <cell r="A41" t="str">
            <v>절곡가공T1.2SST'L.M</v>
          </cell>
          <cell r="B41" t="str">
            <v>제38호표</v>
          </cell>
          <cell r="C41" t="str">
            <v>절곡가공</v>
          </cell>
          <cell r="D41" t="str">
            <v>T1.2 S ST'L.</v>
          </cell>
          <cell r="E41" t="str">
            <v>M</v>
          </cell>
          <cell r="F41">
            <v>0</v>
          </cell>
          <cell r="G41">
            <v>3358</v>
          </cell>
          <cell r="H41">
            <v>3358</v>
          </cell>
        </row>
        <row r="42">
          <cell r="A42" t="str">
            <v>절단가공,용접제작M</v>
          </cell>
          <cell r="B42" t="str">
            <v>제39호표</v>
          </cell>
          <cell r="C42" t="str">
            <v>절단가공,용접제작</v>
          </cell>
          <cell r="D42" t="str">
            <v/>
          </cell>
          <cell r="E42" t="str">
            <v>M</v>
          </cell>
          <cell r="F42">
            <v>30</v>
          </cell>
          <cell r="G42">
            <v>2160</v>
          </cell>
          <cell r="H42">
            <v>2190</v>
          </cell>
        </row>
        <row r="43">
          <cell r="A43" t="str">
            <v>우레탄칼라락카도장철재면기준M2</v>
          </cell>
          <cell r="B43" t="str">
            <v>제40호표</v>
          </cell>
          <cell r="C43" t="str">
            <v>우레탄칼라락카도장</v>
          </cell>
          <cell r="D43" t="str">
            <v>철재면기준</v>
          </cell>
          <cell r="E43" t="str">
            <v>M2</v>
          </cell>
          <cell r="F43">
            <v>16103</v>
          </cell>
          <cell r="G43">
            <v>22265</v>
          </cell>
          <cell r="H43">
            <v>38368</v>
          </cell>
        </row>
        <row r="44">
          <cell r="A44" t="str">
            <v>바탕처리철재면기준M2</v>
          </cell>
          <cell r="B44" t="str">
            <v>제41호표</v>
          </cell>
          <cell r="C44" t="str">
            <v>바탕처리</v>
          </cell>
          <cell r="D44" t="str">
            <v>철재면기준</v>
          </cell>
          <cell r="E44" t="str">
            <v>M2</v>
          </cell>
          <cell r="F44">
            <v>4891</v>
          </cell>
          <cell r="G44">
            <v>15314</v>
          </cell>
          <cell r="H44">
            <v>20205</v>
          </cell>
        </row>
        <row r="45">
          <cell r="A45" t="str">
            <v>방청페인트M2</v>
          </cell>
          <cell r="B45" t="str">
            <v>제42호표</v>
          </cell>
          <cell r="C45" t="str">
            <v>방청페인트</v>
          </cell>
          <cell r="D45" t="str">
            <v/>
          </cell>
          <cell r="E45" t="str">
            <v>M2</v>
          </cell>
          <cell r="F45">
            <v>1577</v>
          </cell>
          <cell r="G45">
            <v>6287</v>
          </cell>
          <cell r="H45">
            <v>7864</v>
          </cell>
        </row>
        <row r="46">
          <cell r="A46" t="str">
            <v>합판취부T11.5mm2PLYM2</v>
          </cell>
          <cell r="B46" t="str">
            <v>제43호표</v>
          </cell>
          <cell r="C46" t="str">
            <v>합판취부</v>
          </cell>
          <cell r="D46" t="str">
            <v>T11.5mm 2PLY</v>
          </cell>
          <cell r="E46" t="str">
            <v>M2</v>
          </cell>
          <cell r="F46">
            <v>19751</v>
          </cell>
          <cell r="G46">
            <v>35580</v>
          </cell>
          <cell r="H46">
            <v>55331</v>
          </cell>
        </row>
        <row r="47">
          <cell r="A47" t="str">
            <v>합판취부T8.5mm1PLYM2</v>
          </cell>
          <cell r="B47" t="str">
            <v>제44호표</v>
          </cell>
          <cell r="C47" t="str">
            <v>합판취부</v>
          </cell>
          <cell r="D47" t="str">
            <v>T8.5mm 1PLY</v>
          </cell>
          <cell r="E47" t="str">
            <v>M2</v>
          </cell>
          <cell r="F47">
            <v>8361</v>
          </cell>
          <cell r="G47">
            <v>54043</v>
          </cell>
          <cell r="H47">
            <v>62404</v>
          </cell>
        </row>
        <row r="48">
          <cell r="A48" t="str">
            <v>코킹M</v>
          </cell>
          <cell r="B48" t="str">
            <v>제45호표</v>
          </cell>
          <cell r="C48" t="str">
            <v>코킹</v>
          </cell>
          <cell r="D48" t="str">
            <v/>
          </cell>
          <cell r="E48" t="str">
            <v>M</v>
          </cell>
          <cell r="F48">
            <v>880</v>
          </cell>
          <cell r="G48">
            <v>6064</v>
          </cell>
          <cell r="H48">
            <v>6944</v>
          </cell>
        </row>
        <row r="49">
          <cell r="A49" t="str">
            <v>각파이프(방청)40*40*1.4TM</v>
          </cell>
          <cell r="B49" t="str">
            <v>제46호표</v>
          </cell>
          <cell r="C49" t="str">
            <v>각파이프(방청)</v>
          </cell>
          <cell r="D49" t="str">
            <v>40*40*1.4T</v>
          </cell>
          <cell r="E49" t="str">
            <v>M</v>
          </cell>
          <cell r="F49">
            <v>7195</v>
          </cell>
          <cell r="G49">
            <v>13416</v>
          </cell>
          <cell r="H49">
            <v>20611</v>
          </cell>
        </row>
        <row r="50">
          <cell r="A50" t="str">
            <v>각파이프(방청)50*50*1.4TM</v>
          </cell>
          <cell r="B50" t="str">
            <v>제47호표</v>
          </cell>
          <cell r="C50" t="str">
            <v>각파이프(방청)</v>
          </cell>
          <cell r="D50" t="str">
            <v>50*50*1.4T</v>
          </cell>
          <cell r="E50" t="str">
            <v>M</v>
          </cell>
          <cell r="F50">
            <v>3111</v>
          </cell>
          <cell r="G50">
            <v>16978</v>
          </cell>
          <cell r="H50">
            <v>20089</v>
          </cell>
        </row>
        <row r="51">
          <cell r="A51" t="str">
            <v>각파이프(방청)100*50*2.3TM</v>
          </cell>
          <cell r="B51" t="str">
            <v>제48호표</v>
          </cell>
          <cell r="C51" t="str">
            <v>각파이프(방청)</v>
          </cell>
          <cell r="D51" t="str">
            <v>100*50*2.3T</v>
          </cell>
          <cell r="E51" t="str">
            <v>M</v>
          </cell>
          <cell r="F51">
            <v>6799</v>
          </cell>
          <cell r="G51">
            <v>41245</v>
          </cell>
          <cell r="H51">
            <v>48044</v>
          </cell>
        </row>
        <row r="52">
          <cell r="A52" t="str">
            <v>각파이프(방청)30*30*1.4TM</v>
          </cell>
          <cell r="B52" t="str">
            <v>제49호표</v>
          </cell>
          <cell r="C52" t="str">
            <v>각파이프(방청)</v>
          </cell>
          <cell r="D52" t="str">
            <v>30*30*1.4T</v>
          </cell>
          <cell r="E52" t="str">
            <v>M</v>
          </cell>
          <cell r="F52">
            <v>2391</v>
          </cell>
          <cell r="G52">
            <v>12131</v>
          </cell>
          <cell r="H52">
            <v>14522</v>
          </cell>
        </row>
        <row r="53">
          <cell r="A53" t="str">
            <v>L-형강(방청)50*50*4TM</v>
          </cell>
          <cell r="B53" t="str">
            <v>제50호표</v>
          </cell>
          <cell r="C53" t="str">
            <v>L-형강(방청)</v>
          </cell>
          <cell r="D53" t="str">
            <v>50*50*4T</v>
          </cell>
          <cell r="E53" t="str">
            <v>M</v>
          </cell>
          <cell r="F53">
            <v>4069</v>
          </cell>
          <cell r="G53">
            <v>24580</v>
          </cell>
          <cell r="H53">
            <v>28649</v>
          </cell>
        </row>
        <row r="54">
          <cell r="A54" t="str">
            <v>갈바후레임제작설치1.6TM2</v>
          </cell>
          <cell r="B54" t="str">
            <v>제51호표</v>
          </cell>
          <cell r="C54" t="str">
            <v>갈바후레임제작설치</v>
          </cell>
          <cell r="D54" t="str">
            <v>1.6T</v>
          </cell>
          <cell r="E54" t="str">
            <v>M2</v>
          </cell>
          <cell r="F54">
            <v>16515</v>
          </cell>
          <cell r="G54">
            <v>65362</v>
          </cell>
          <cell r="H54">
            <v>81877</v>
          </cell>
        </row>
        <row r="55">
          <cell r="A55" t="str">
            <v>갈바후레임제작설치1.2TM2</v>
          </cell>
          <cell r="B55" t="str">
            <v>제52호표</v>
          </cell>
          <cell r="C55" t="str">
            <v>갈바후레임제작설치</v>
          </cell>
          <cell r="D55" t="str">
            <v>1.2T</v>
          </cell>
          <cell r="E55" t="str">
            <v>M2</v>
          </cell>
          <cell r="F55">
            <v>11947</v>
          </cell>
          <cell r="G55">
            <v>42289</v>
          </cell>
          <cell r="H55">
            <v>54236</v>
          </cell>
        </row>
        <row r="56">
          <cell r="A56" t="str">
            <v>제품출하M</v>
          </cell>
          <cell r="B56" t="str">
            <v>제53호표</v>
          </cell>
          <cell r="C56" t="str">
            <v>제품출하</v>
          </cell>
          <cell r="D56" t="str">
            <v/>
          </cell>
          <cell r="E56" t="str">
            <v>M</v>
          </cell>
          <cell r="F56">
            <v>0</v>
          </cell>
          <cell r="G56">
            <v>720</v>
          </cell>
          <cell r="H56">
            <v>720</v>
          </cell>
        </row>
        <row r="57">
          <cell r="A57" t="str">
            <v>그림걸이레일몰딩1.6TM</v>
          </cell>
          <cell r="B57" t="str">
            <v>제54호표</v>
          </cell>
          <cell r="C57" t="str">
            <v>그림걸이레일몰딩</v>
          </cell>
          <cell r="D57" t="str">
            <v>1.6T</v>
          </cell>
          <cell r="E57" t="str">
            <v>M</v>
          </cell>
          <cell r="F57">
            <v>6673</v>
          </cell>
          <cell r="G57">
            <v>16820</v>
          </cell>
          <cell r="H57">
            <v>23493</v>
          </cell>
        </row>
        <row r="58">
          <cell r="A58" t="str">
            <v>바탕처리도배퍼티M2</v>
          </cell>
          <cell r="B58" t="str">
            <v>제55호표</v>
          </cell>
          <cell r="C58" t="str">
            <v>바탕처리</v>
          </cell>
          <cell r="D58" t="str">
            <v>도배퍼티</v>
          </cell>
          <cell r="E58" t="str">
            <v>M2</v>
          </cell>
          <cell r="F58">
            <v>1160</v>
          </cell>
          <cell r="G58">
            <v>7711</v>
          </cell>
          <cell r="H58">
            <v>8871</v>
          </cell>
        </row>
        <row r="59">
          <cell r="A59" t="str">
            <v>내부도배세마직벽지M2</v>
          </cell>
          <cell r="B59" t="str">
            <v>제56호표</v>
          </cell>
          <cell r="C59" t="str">
            <v>내부도배</v>
          </cell>
          <cell r="D59" t="str">
            <v>세마직벽지</v>
          </cell>
          <cell r="E59" t="str">
            <v>M2</v>
          </cell>
          <cell r="F59">
            <v>47152</v>
          </cell>
          <cell r="G59">
            <v>5222</v>
          </cell>
          <cell r="H59">
            <v>52374</v>
          </cell>
        </row>
        <row r="60">
          <cell r="A60" t="str">
            <v>코아합판취부T18mmM2</v>
          </cell>
          <cell r="B60" t="str">
            <v>제57호표</v>
          </cell>
          <cell r="C60" t="str">
            <v>코아합판취부</v>
          </cell>
          <cell r="D60" t="str">
            <v>T18mm</v>
          </cell>
          <cell r="E60" t="str">
            <v>M2</v>
          </cell>
          <cell r="F60">
            <v>11597</v>
          </cell>
          <cell r="G60">
            <v>19337</v>
          </cell>
          <cell r="H60">
            <v>30934</v>
          </cell>
        </row>
        <row r="61">
          <cell r="A61" t="str">
            <v>저반사접합유리끼우기(투과율99%)T10.76mmM2</v>
          </cell>
          <cell r="B61" t="str">
            <v>제58호표</v>
          </cell>
          <cell r="C61" t="str">
            <v>저반사 접합유리 끼우기(투과율99%)</v>
          </cell>
          <cell r="D61" t="str">
            <v>T10.76mm</v>
          </cell>
          <cell r="E61" t="str">
            <v>M2</v>
          </cell>
          <cell r="F61">
            <v>1575111</v>
          </cell>
          <cell r="G61">
            <v>41070</v>
          </cell>
          <cell r="H61">
            <v>1616181</v>
          </cell>
        </row>
        <row r="62">
          <cell r="A62" t="str">
            <v>저반사접합유리끼우기(투과율98%)T10.76mmM2</v>
          </cell>
          <cell r="B62" t="str">
            <v>제59호표</v>
          </cell>
          <cell r="C62" t="str">
            <v>저반사 접합유리 끼우기(투과율98%)</v>
          </cell>
          <cell r="D62" t="str">
            <v>T10.76mm</v>
          </cell>
          <cell r="E62" t="str">
            <v>M2</v>
          </cell>
          <cell r="F62">
            <v>1312611</v>
          </cell>
          <cell r="G62">
            <v>41070</v>
          </cell>
          <cell r="H62">
            <v>1353681</v>
          </cell>
        </row>
        <row r="63">
          <cell r="A63" t="str">
            <v>저반사접합유리끼우기(투과율96%)T10.76mmM2</v>
          </cell>
          <cell r="B63" t="str">
            <v>제60호표</v>
          </cell>
          <cell r="C63" t="str">
            <v>저반사 접합유리 끼우기(투과율96%)</v>
          </cell>
          <cell r="D63" t="str">
            <v>T10.76mm</v>
          </cell>
          <cell r="E63" t="str">
            <v>M2</v>
          </cell>
          <cell r="F63">
            <v>1029111</v>
          </cell>
          <cell r="G63">
            <v>41070</v>
          </cell>
          <cell r="H63">
            <v>1070181</v>
          </cell>
        </row>
        <row r="64">
          <cell r="A64" t="str">
            <v>화이트접합유리끼우기T10.76mmM2</v>
          </cell>
          <cell r="B64" t="str">
            <v>제61호표</v>
          </cell>
          <cell r="C64" t="str">
            <v>화이트 접합유리 끼우기</v>
          </cell>
          <cell r="D64" t="str">
            <v>T10.76mm</v>
          </cell>
          <cell r="E64" t="str">
            <v>M2</v>
          </cell>
          <cell r="F64">
            <v>220033</v>
          </cell>
          <cell r="G64">
            <v>41070</v>
          </cell>
          <cell r="H64">
            <v>261103</v>
          </cell>
        </row>
        <row r="65">
          <cell r="A65" t="str">
            <v>투명접합유리끼우기T12.76mm(2,400*3,000기준)M2</v>
          </cell>
          <cell r="B65" t="str">
            <v>제62호표</v>
          </cell>
          <cell r="C65" t="str">
            <v>투명 접합유리 끼우기</v>
          </cell>
          <cell r="D65" t="str">
            <v>T12.76mm (2,400*3,000기준)</v>
          </cell>
          <cell r="E65" t="str">
            <v>M2</v>
          </cell>
          <cell r="F65">
            <v>150261</v>
          </cell>
          <cell r="G65">
            <v>71881</v>
          </cell>
          <cell r="H65">
            <v>222142</v>
          </cell>
        </row>
        <row r="66">
          <cell r="A66" t="str">
            <v>화이트접합유리끼우기T12.76mm(2,400*3,400기준)M2</v>
          </cell>
          <cell r="B66" t="str">
            <v>제63호표</v>
          </cell>
          <cell r="C66" t="str">
            <v>화이트 접합유리 끼우기</v>
          </cell>
          <cell r="D66" t="str">
            <v>T12.76mm (2,400*3,400기준)</v>
          </cell>
          <cell r="E66" t="str">
            <v>M2</v>
          </cell>
          <cell r="F66">
            <v>225283</v>
          </cell>
          <cell r="G66">
            <v>71881</v>
          </cell>
          <cell r="H66">
            <v>297164</v>
          </cell>
        </row>
        <row r="67">
          <cell r="A67" t="str">
            <v>강화유리끼우기T12mmM2</v>
          </cell>
          <cell r="B67" t="str">
            <v>제64호표</v>
          </cell>
          <cell r="C67" t="str">
            <v>강화유리 끼우기</v>
          </cell>
          <cell r="D67" t="str">
            <v>T12mm</v>
          </cell>
          <cell r="E67" t="str">
            <v>M2</v>
          </cell>
          <cell r="F67">
            <v>40011</v>
          </cell>
          <cell r="G67">
            <v>71881</v>
          </cell>
          <cell r="H67">
            <v>111892</v>
          </cell>
        </row>
        <row r="68">
          <cell r="A68" t="str">
            <v>강화유리끼우기T10mmM2</v>
          </cell>
          <cell r="B68" t="str">
            <v>제65호표</v>
          </cell>
          <cell r="C68" t="str">
            <v>강화유리 끼우기</v>
          </cell>
          <cell r="D68" t="str">
            <v>T10mm</v>
          </cell>
          <cell r="E68" t="str">
            <v>M2</v>
          </cell>
          <cell r="F68">
            <v>33711</v>
          </cell>
          <cell r="G68">
            <v>41070</v>
          </cell>
          <cell r="H68">
            <v>74781</v>
          </cell>
        </row>
        <row r="69">
          <cell r="A69" t="str">
            <v>강화유리끼우기T8mmM2</v>
          </cell>
          <cell r="B69" t="str">
            <v>제66호표</v>
          </cell>
          <cell r="C69" t="str">
            <v>강화유리 끼우기</v>
          </cell>
          <cell r="D69" t="str">
            <v>T8mm</v>
          </cell>
          <cell r="E69" t="str">
            <v>M2</v>
          </cell>
          <cell r="F69">
            <v>33711</v>
          </cell>
          <cell r="G69">
            <v>37445</v>
          </cell>
          <cell r="H69">
            <v>71156</v>
          </cell>
        </row>
        <row r="70">
          <cell r="A70" t="str">
            <v>조명용아크릴가공설치T5mmM2</v>
          </cell>
          <cell r="B70" t="str">
            <v>제67호표</v>
          </cell>
          <cell r="C70" t="str">
            <v>조명용아크릴 가공 설치</v>
          </cell>
          <cell r="D70" t="str">
            <v>T5mm</v>
          </cell>
          <cell r="E70" t="str">
            <v>M2</v>
          </cell>
          <cell r="F70">
            <v>74550</v>
          </cell>
          <cell r="G70">
            <v>19211</v>
          </cell>
          <cell r="H70">
            <v>93761</v>
          </cell>
        </row>
        <row r="71">
          <cell r="A71" t="str">
            <v>진열장석고보드취부T9.5mm*2PLYM2</v>
          </cell>
          <cell r="B71" t="str">
            <v>제68호표</v>
          </cell>
          <cell r="C71" t="str">
            <v>진열장석고보드취부</v>
          </cell>
          <cell r="D71" t="str">
            <v>T9.5mm*2PLY</v>
          </cell>
          <cell r="E71" t="str">
            <v>M2</v>
          </cell>
          <cell r="F71">
            <v>18275</v>
          </cell>
          <cell r="G71">
            <v>21540</v>
          </cell>
          <cell r="H71">
            <v>39815</v>
          </cell>
        </row>
        <row r="72">
          <cell r="A72" t="str">
            <v>알루미늄판취부4T*900*1800M2</v>
          </cell>
          <cell r="B72" t="str">
            <v>제69호표</v>
          </cell>
          <cell r="C72" t="str">
            <v>알루미늄판취부</v>
          </cell>
          <cell r="D72" t="str">
            <v>4T*900*1800</v>
          </cell>
          <cell r="E72" t="str">
            <v>M2</v>
          </cell>
          <cell r="F72">
            <v>130192</v>
          </cell>
          <cell r="G72">
            <v>14745</v>
          </cell>
          <cell r="H72">
            <v>144937</v>
          </cell>
        </row>
        <row r="73">
          <cell r="A73" t="str">
            <v>진열장석고보드취부T9.5mm*1PLYM2</v>
          </cell>
          <cell r="B73" t="str">
            <v>제70호표</v>
          </cell>
          <cell r="C73" t="str">
            <v>진열장석고보드취부</v>
          </cell>
          <cell r="D73" t="str">
            <v>T9.5mm*1PLY</v>
          </cell>
          <cell r="E73" t="str">
            <v>M2</v>
          </cell>
          <cell r="F73">
            <v>14510</v>
          </cell>
          <cell r="G73">
            <v>18197</v>
          </cell>
          <cell r="H73">
            <v>32707</v>
          </cell>
        </row>
        <row r="74">
          <cell r="A74" t="str">
            <v>먹메김㎡</v>
          </cell>
          <cell r="B74" t="str">
            <v>제71호표</v>
          </cell>
          <cell r="C74" t="str">
            <v>먹메김</v>
          </cell>
          <cell r="D74" t="str">
            <v/>
          </cell>
          <cell r="E74" t="str">
            <v>㎡</v>
          </cell>
          <cell r="F74">
            <v>0</v>
          </cell>
          <cell r="G74">
            <v>5826</v>
          </cell>
          <cell r="H74">
            <v>5826</v>
          </cell>
        </row>
        <row r="75">
          <cell r="A75" t="str">
            <v>석고보드시공THK9.5mm2PLY(천장면)M2</v>
          </cell>
          <cell r="B75" t="str">
            <v>제72호표</v>
          </cell>
          <cell r="C75" t="str">
            <v>석고보드 시공</v>
          </cell>
          <cell r="D75" t="str">
            <v>THK9.5mm 2PLY(천장면)</v>
          </cell>
          <cell r="E75" t="str">
            <v>M2</v>
          </cell>
          <cell r="F75">
            <v>6952</v>
          </cell>
          <cell r="G75">
            <v>15088</v>
          </cell>
          <cell r="H75">
            <v>22040</v>
          </cell>
        </row>
        <row r="76">
          <cell r="A76" t="str">
            <v>석고보드시공THK9.5mm2PLY(벽체면)M2</v>
          </cell>
          <cell r="B76" t="str">
            <v>제73호표</v>
          </cell>
          <cell r="C76" t="str">
            <v>석고보드 시공</v>
          </cell>
          <cell r="D76" t="str">
            <v>THK9.5mm 2PLY(벽체면)</v>
          </cell>
          <cell r="E76" t="str">
            <v>M2</v>
          </cell>
          <cell r="F76">
            <v>6918</v>
          </cell>
          <cell r="G76">
            <v>11605</v>
          </cell>
          <cell r="H76">
            <v>18523</v>
          </cell>
        </row>
        <row r="77">
          <cell r="A77" t="str">
            <v>석고보드시공THK9.5mm1PLY(벽체면)M2</v>
          </cell>
          <cell r="B77" t="str">
            <v>제74호표</v>
          </cell>
          <cell r="C77" t="str">
            <v>석고보드 시공</v>
          </cell>
          <cell r="D77" t="str">
            <v>THK9.5mm 1PLY(벽체면)</v>
          </cell>
          <cell r="E77" t="str">
            <v>M2</v>
          </cell>
          <cell r="F77">
            <v>3236</v>
          </cell>
          <cell r="G77">
            <v>8262</v>
          </cell>
          <cell r="H77">
            <v>11498</v>
          </cell>
        </row>
        <row r="78">
          <cell r="A78" t="str">
            <v>친환경수성페인트벽체M2</v>
          </cell>
          <cell r="B78" t="str">
            <v>제75호표</v>
          </cell>
          <cell r="C78" t="str">
            <v>친환경수성페인트</v>
          </cell>
          <cell r="D78" t="str">
            <v>벽체</v>
          </cell>
          <cell r="E78" t="str">
            <v>M2</v>
          </cell>
          <cell r="F78">
            <v>2907</v>
          </cell>
          <cell r="G78">
            <v>13962</v>
          </cell>
          <cell r="H78">
            <v>16869</v>
          </cell>
        </row>
        <row r="79">
          <cell r="A79" t="str">
            <v>바탕만들기목재석고면M2</v>
          </cell>
          <cell r="B79" t="str">
            <v>제76호표</v>
          </cell>
          <cell r="C79" t="str">
            <v>바탕만들기</v>
          </cell>
          <cell r="D79" t="str">
            <v>목재 석고면</v>
          </cell>
          <cell r="E79" t="str">
            <v>M2</v>
          </cell>
          <cell r="F79">
            <v>1648</v>
          </cell>
          <cell r="G79">
            <v>14434</v>
          </cell>
          <cell r="H79">
            <v>16082</v>
          </cell>
        </row>
        <row r="80">
          <cell r="A80" t="str">
            <v>칼라락카칠목재석고면M2</v>
          </cell>
          <cell r="B80" t="str">
            <v>제77호표</v>
          </cell>
          <cell r="C80" t="str">
            <v>칼라락카칠</v>
          </cell>
          <cell r="D80" t="str">
            <v>목재 석고면</v>
          </cell>
          <cell r="E80" t="str">
            <v>M2</v>
          </cell>
          <cell r="F80">
            <v>8199</v>
          </cell>
          <cell r="G80">
            <v>22265</v>
          </cell>
          <cell r="H80">
            <v>30464</v>
          </cell>
        </row>
        <row r="81">
          <cell r="A81" t="str">
            <v>mdf취부T9mm㎡</v>
          </cell>
          <cell r="B81" t="str">
            <v>제78호표</v>
          </cell>
          <cell r="C81" t="str">
            <v>mdf 취부</v>
          </cell>
          <cell r="D81" t="str">
            <v>T9mm</v>
          </cell>
          <cell r="E81" t="str">
            <v>㎡</v>
          </cell>
          <cell r="F81">
            <v>5441</v>
          </cell>
          <cell r="G81">
            <v>13937</v>
          </cell>
          <cell r="H81">
            <v>19378</v>
          </cell>
        </row>
        <row r="82">
          <cell r="A82" t="str">
            <v>유물보조대MDF9mm위천도배㎡</v>
          </cell>
          <cell r="B82" t="str">
            <v>제79호표</v>
          </cell>
          <cell r="C82" t="str">
            <v>유물보조대</v>
          </cell>
          <cell r="D82" t="str">
            <v>MDF 9mm위 천도배</v>
          </cell>
          <cell r="E82" t="str">
            <v>㎡</v>
          </cell>
          <cell r="F82">
            <v>56440</v>
          </cell>
          <cell r="G82">
            <v>28212</v>
          </cell>
          <cell r="H82">
            <v>84652</v>
          </cell>
        </row>
        <row r="83">
          <cell r="A83" t="str">
            <v>레일트랙m</v>
          </cell>
          <cell r="B83" t="str">
            <v>제80호표</v>
          </cell>
          <cell r="C83" t="str">
            <v>레일트랙</v>
          </cell>
          <cell r="D83" t="str">
            <v/>
          </cell>
          <cell r="E83" t="str">
            <v>m</v>
          </cell>
          <cell r="F83">
            <v>25514</v>
          </cell>
          <cell r="G83">
            <v>56802</v>
          </cell>
          <cell r="H83">
            <v>82316</v>
          </cell>
        </row>
        <row r="84">
          <cell r="A84" t="str">
            <v>LED포인트조명설치(벽부형)15W이하ea</v>
          </cell>
          <cell r="B84" t="str">
            <v>제81호표</v>
          </cell>
          <cell r="C84" t="str">
            <v>LED 포인트조명설치(벽부형)</v>
          </cell>
          <cell r="D84" t="str">
            <v>15W이하</v>
          </cell>
          <cell r="E84" t="str">
            <v>ea</v>
          </cell>
          <cell r="F84">
            <v>178500</v>
          </cell>
          <cell r="G84">
            <v>26372</v>
          </cell>
          <cell r="H84">
            <v>204872</v>
          </cell>
        </row>
        <row r="85">
          <cell r="A85" t="str">
            <v>LED포인트조명설치(독립장형)15W이하ea</v>
          </cell>
          <cell r="B85" t="str">
            <v>제82호표</v>
          </cell>
          <cell r="C85" t="str">
            <v>LED 포인트조명설치(독립장형)</v>
          </cell>
          <cell r="D85" t="str">
            <v>15W이하</v>
          </cell>
          <cell r="E85" t="str">
            <v>ea</v>
          </cell>
          <cell r="F85">
            <v>115500</v>
          </cell>
          <cell r="G85">
            <v>26372</v>
          </cell>
          <cell r="H85">
            <v>141872</v>
          </cell>
        </row>
        <row r="86">
          <cell r="A86" t="str">
            <v>LEDbar조명설치30W이하M</v>
          </cell>
          <cell r="B86" t="str">
            <v>제83호표</v>
          </cell>
          <cell r="C86" t="str">
            <v>LED bar조명설치</v>
          </cell>
          <cell r="D86" t="str">
            <v>30W이하</v>
          </cell>
          <cell r="E86" t="str">
            <v>M</v>
          </cell>
          <cell r="F86">
            <v>105000</v>
          </cell>
          <cell r="G86">
            <v>26372</v>
          </cell>
          <cell r="H86">
            <v>131372</v>
          </cell>
        </row>
        <row r="87">
          <cell r="A87" t="str">
            <v>LED포인트조명컨트롤제작설치컨트롤러(24채널)set</v>
          </cell>
          <cell r="B87" t="str">
            <v>제84호표</v>
          </cell>
          <cell r="C87" t="str">
            <v>LED 포인트조명 컨트롤제작설치</v>
          </cell>
          <cell r="D87" t="str">
            <v>컨트롤러(24채널)</v>
          </cell>
          <cell r="E87" t="str">
            <v>set</v>
          </cell>
          <cell r="F87">
            <v>800000</v>
          </cell>
          <cell r="G87">
            <v>135244</v>
          </cell>
          <cell r="H87">
            <v>935244</v>
          </cell>
        </row>
        <row r="88">
          <cell r="A88" t="str">
            <v>LED포인트조명컨트롤제작설치컨트롤러(16채널)set</v>
          </cell>
          <cell r="B88" t="str">
            <v>제85호표</v>
          </cell>
          <cell r="C88" t="str">
            <v>LED 포인트조명 컨트롤제작설치</v>
          </cell>
          <cell r="D88" t="str">
            <v>컨트롤러(16채널)</v>
          </cell>
          <cell r="E88" t="str">
            <v>set</v>
          </cell>
          <cell r="F88">
            <v>650000</v>
          </cell>
          <cell r="G88">
            <v>90163</v>
          </cell>
          <cell r="H88">
            <v>740163</v>
          </cell>
        </row>
        <row r="89">
          <cell r="A89" t="str">
            <v>LED포인트조명컨트롤제작설치컨트롤러(8채널)set</v>
          </cell>
          <cell r="B89" t="str">
            <v>제86호표</v>
          </cell>
          <cell r="C89" t="str">
            <v>LED 포인트조명 컨트롤제작설치</v>
          </cell>
          <cell r="D89" t="str">
            <v>컨트롤러(8채널)</v>
          </cell>
          <cell r="E89" t="str">
            <v>set</v>
          </cell>
          <cell r="F89">
            <v>600000</v>
          </cell>
          <cell r="G89">
            <v>90163</v>
          </cell>
          <cell r="H89">
            <v>690163</v>
          </cell>
        </row>
        <row r="90">
          <cell r="A90" t="str">
            <v>LEDbar조명컨트롤제작설치컨트롤러set</v>
          </cell>
          <cell r="B90" t="str">
            <v>제87호표</v>
          </cell>
          <cell r="C90" t="str">
            <v>LED bar조명 컨트롤제작설치</v>
          </cell>
          <cell r="D90" t="str">
            <v>컨트롤러</v>
          </cell>
          <cell r="E90" t="str">
            <v>set</v>
          </cell>
          <cell r="F90">
            <v>530000</v>
          </cell>
          <cell r="G90">
            <v>112704</v>
          </cell>
          <cell r="H90">
            <v>642704</v>
          </cell>
        </row>
        <row r="91">
          <cell r="A91" t="str">
            <v>피아노경첩제작설치M</v>
          </cell>
          <cell r="B91" t="str">
            <v>제88호표</v>
          </cell>
          <cell r="C91" t="str">
            <v>피아노경첩 제작설치</v>
          </cell>
          <cell r="D91" t="str">
            <v/>
          </cell>
          <cell r="E91" t="str">
            <v>M</v>
          </cell>
          <cell r="F91">
            <v>12630</v>
          </cell>
          <cell r="G91">
            <v>10973</v>
          </cell>
          <cell r="H91">
            <v>23603</v>
          </cell>
        </row>
        <row r="92">
          <cell r="A92" t="str">
            <v>LOCKSET제작설치시건장치set</v>
          </cell>
          <cell r="B92" t="str">
            <v>제89호표</v>
          </cell>
          <cell r="C92" t="str">
            <v>LOCK SET 제작설치</v>
          </cell>
          <cell r="D92" t="str">
            <v>시건장치</v>
          </cell>
          <cell r="E92" t="str">
            <v>set</v>
          </cell>
          <cell r="F92">
            <v>48840</v>
          </cell>
          <cell r="G92">
            <v>12605</v>
          </cell>
          <cell r="H92">
            <v>61445</v>
          </cell>
        </row>
        <row r="93">
          <cell r="A93" t="str">
            <v>유압쇽업쇼바제작설치20kgset</v>
          </cell>
          <cell r="B93" t="str">
            <v>제90호표</v>
          </cell>
          <cell r="C93" t="str">
            <v>유압쇽업쇼바 제작설치</v>
          </cell>
          <cell r="D93" t="str">
            <v>20kg</v>
          </cell>
          <cell r="E93" t="str">
            <v>set</v>
          </cell>
          <cell r="F93">
            <v>39224</v>
          </cell>
          <cell r="G93">
            <v>3792</v>
          </cell>
          <cell r="H93">
            <v>43016</v>
          </cell>
        </row>
        <row r="94">
          <cell r="A94" t="str">
            <v>유압쇽업쇼바제작설치40kgset</v>
          </cell>
          <cell r="B94" t="str">
            <v>제91호표</v>
          </cell>
          <cell r="C94" t="str">
            <v>유압쇽업쇼바 제작설치</v>
          </cell>
          <cell r="D94" t="str">
            <v>40kg</v>
          </cell>
          <cell r="E94" t="str">
            <v>set</v>
          </cell>
          <cell r="F94">
            <v>49224</v>
          </cell>
          <cell r="G94">
            <v>3792</v>
          </cell>
          <cell r="H94">
            <v>53016</v>
          </cell>
        </row>
        <row r="95">
          <cell r="A95" t="str">
            <v>AL.패킹바제작설치M</v>
          </cell>
          <cell r="B95" t="str">
            <v>제92호표</v>
          </cell>
          <cell r="C95" t="str">
            <v>AL.패킹바 제작설치</v>
          </cell>
          <cell r="D95" t="str">
            <v/>
          </cell>
          <cell r="E95" t="str">
            <v>M</v>
          </cell>
          <cell r="F95">
            <v>5250</v>
          </cell>
          <cell r="G95">
            <v>3534</v>
          </cell>
          <cell r="H95">
            <v>8784</v>
          </cell>
        </row>
        <row r="96">
          <cell r="A96" t="str">
            <v>밀폐패킹설치소형M</v>
          </cell>
          <cell r="B96" t="str">
            <v>제93호표</v>
          </cell>
          <cell r="C96" t="str">
            <v>밀폐패킹 설치</v>
          </cell>
          <cell r="D96" t="str">
            <v>소형</v>
          </cell>
          <cell r="E96" t="str">
            <v>M</v>
          </cell>
          <cell r="F96">
            <v>6300</v>
          </cell>
          <cell r="G96">
            <v>2397</v>
          </cell>
          <cell r="H96">
            <v>8697</v>
          </cell>
        </row>
        <row r="97">
          <cell r="A97" t="str">
            <v>밀폐패킹설치대형M</v>
          </cell>
          <cell r="B97" t="str">
            <v>제94호표</v>
          </cell>
          <cell r="C97" t="str">
            <v>밀폐패킹 설치</v>
          </cell>
          <cell r="D97" t="str">
            <v>대형</v>
          </cell>
          <cell r="E97" t="str">
            <v>M</v>
          </cell>
          <cell r="F97">
            <v>9450</v>
          </cell>
          <cell r="G97">
            <v>2397</v>
          </cell>
          <cell r="H97">
            <v>11847</v>
          </cell>
        </row>
        <row r="98">
          <cell r="A98" t="str">
            <v>AL.사출유리후렘제작설치벽부장(상부)M</v>
          </cell>
          <cell r="B98" t="str">
            <v>제95호표</v>
          </cell>
          <cell r="C98" t="str">
            <v>AL.사출유리후렘 제작설치</v>
          </cell>
          <cell r="D98" t="str">
            <v>벽부장(상부)</v>
          </cell>
          <cell r="E98" t="str">
            <v>M</v>
          </cell>
          <cell r="F98">
            <v>210000</v>
          </cell>
          <cell r="G98">
            <v>53130</v>
          </cell>
          <cell r="H98">
            <v>263130</v>
          </cell>
        </row>
        <row r="99">
          <cell r="A99" t="str">
            <v>AL.사출유리후렘제작설치벽부장(하부)M</v>
          </cell>
          <cell r="B99" t="str">
            <v>제96호표</v>
          </cell>
          <cell r="C99" t="str">
            <v>AL.사출유리후렘 제작설치</v>
          </cell>
          <cell r="D99" t="str">
            <v>벽부장(하부)</v>
          </cell>
          <cell r="E99" t="str">
            <v>M</v>
          </cell>
          <cell r="F99">
            <v>126000</v>
          </cell>
          <cell r="G99">
            <v>35420</v>
          </cell>
          <cell r="H99">
            <v>161420</v>
          </cell>
        </row>
        <row r="100">
          <cell r="A100" t="str">
            <v>AL.사출유리후렘제작설치독립장(상부)M</v>
          </cell>
          <cell r="B100" t="str">
            <v>제97호표</v>
          </cell>
          <cell r="C100" t="str">
            <v>AL.사출유리후렘 제작설치</v>
          </cell>
          <cell r="D100" t="str">
            <v>독립장(상부)</v>
          </cell>
          <cell r="E100" t="str">
            <v>M</v>
          </cell>
          <cell r="F100">
            <v>157500</v>
          </cell>
          <cell r="G100">
            <v>53130</v>
          </cell>
          <cell r="H100">
            <v>210630</v>
          </cell>
        </row>
        <row r="101">
          <cell r="A101" t="str">
            <v>AL.사출유리후렘제작설치독립장(하부)M</v>
          </cell>
          <cell r="B101" t="str">
            <v>제98호표</v>
          </cell>
          <cell r="C101" t="str">
            <v>AL.사출유리후렘 제작설치</v>
          </cell>
          <cell r="D101" t="str">
            <v>독립장(하부)</v>
          </cell>
          <cell r="E101" t="str">
            <v>M</v>
          </cell>
          <cell r="F101">
            <v>115500</v>
          </cell>
          <cell r="G101">
            <v>35420</v>
          </cell>
          <cell r="H101">
            <v>150920</v>
          </cell>
        </row>
        <row r="102">
          <cell r="A102" t="str">
            <v>AL.사출유리후렘제작설치독립장(하부)M</v>
          </cell>
          <cell r="B102" t="str">
            <v>제99호표</v>
          </cell>
          <cell r="C102" t="str">
            <v>AL.사출유리후렘 제작설치</v>
          </cell>
          <cell r="D102" t="str">
            <v>독립장(하부)</v>
          </cell>
          <cell r="E102" t="str">
            <v>M</v>
          </cell>
          <cell r="F102">
            <v>115500</v>
          </cell>
          <cell r="G102">
            <v>13415</v>
          </cell>
          <cell r="H102">
            <v>128915</v>
          </cell>
        </row>
        <row r="103">
          <cell r="A103" t="str">
            <v>LM가이드시스템가공설치Ø25SET</v>
          </cell>
          <cell r="B103" t="str">
            <v>제100호표</v>
          </cell>
          <cell r="C103" t="str">
            <v>LM가이드시스템가공설치</v>
          </cell>
          <cell r="D103" t="str">
            <v>Ø25</v>
          </cell>
          <cell r="E103" t="str">
            <v>SET</v>
          </cell>
          <cell r="F103">
            <v>144000</v>
          </cell>
          <cell r="G103">
            <v>18323</v>
          </cell>
          <cell r="H103">
            <v>162323</v>
          </cell>
        </row>
        <row r="104">
          <cell r="A104" t="str">
            <v>모터구동시스템설치웜기어전동실린더SET</v>
          </cell>
          <cell r="B104" t="str">
            <v>제101호표</v>
          </cell>
          <cell r="C104" t="str">
            <v>모터구동시스템 설치</v>
          </cell>
          <cell r="D104" t="str">
            <v>웜기어 전동실린더</v>
          </cell>
          <cell r="E104" t="str">
            <v>SET</v>
          </cell>
          <cell r="F104">
            <v>353000</v>
          </cell>
          <cell r="G104">
            <v>96655</v>
          </cell>
          <cell r="H104">
            <v>449655</v>
          </cell>
        </row>
        <row r="105">
          <cell r="A105" t="str">
            <v>베어링레일및가공설치22*422.3T가공M</v>
          </cell>
          <cell r="B105" t="str">
            <v>제102호표</v>
          </cell>
          <cell r="C105" t="str">
            <v>베어링레일및가공 설치</v>
          </cell>
          <cell r="D105" t="str">
            <v>22*42 2.3T 가공</v>
          </cell>
          <cell r="E105" t="str">
            <v>M</v>
          </cell>
          <cell r="F105">
            <v>136500</v>
          </cell>
          <cell r="G105">
            <v>35420</v>
          </cell>
          <cell r="H105">
            <v>171920</v>
          </cell>
        </row>
        <row r="106">
          <cell r="A106" t="str">
            <v>베어링레일및가공설치22*422.3T가공(2단)M</v>
          </cell>
          <cell r="B106" t="str">
            <v>제103호표</v>
          </cell>
          <cell r="C106" t="str">
            <v>베어링레일및가공 설치</v>
          </cell>
          <cell r="D106" t="str">
            <v>22*42 2.3T 가공(2단)</v>
          </cell>
          <cell r="E106" t="str">
            <v>M</v>
          </cell>
          <cell r="F106">
            <v>273000</v>
          </cell>
          <cell r="G106">
            <v>70841</v>
          </cell>
          <cell r="H106">
            <v>343841</v>
          </cell>
        </row>
        <row r="107">
          <cell r="A107" t="str">
            <v>슬라이딩베어링가공조립Ø26ea</v>
          </cell>
          <cell r="B107" t="str">
            <v>제104호표</v>
          </cell>
          <cell r="C107" t="str">
            <v>슬라이딩베어링 가공조립</v>
          </cell>
          <cell r="D107" t="str">
            <v>Ø26</v>
          </cell>
          <cell r="E107" t="str">
            <v>ea</v>
          </cell>
          <cell r="F107">
            <v>6500</v>
          </cell>
          <cell r="G107">
            <v>3864</v>
          </cell>
          <cell r="H107">
            <v>10364</v>
          </cell>
        </row>
        <row r="108">
          <cell r="A108" t="str">
            <v>베어링붓싱가공조립#6200ea</v>
          </cell>
          <cell r="B108" t="str">
            <v>제105호표</v>
          </cell>
          <cell r="C108" t="str">
            <v>베어링 붓싱가공조립</v>
          </cell>
          <cell r="D108" t="str">
            <v>#6200</v>
          </cell>
          <cell r="E108" t="str">
            <v>ea</v>
          </cell>
          <cell r="F108">
            <v>6000</v>
          </cell>
          <cell r="G108">
            <v>3864</v>
          </cell>
          <cell r="H108">
            <v>9864</v>
          </cell>
        </row>
        <row r="109">
          <cell r="A109" t="str">
            <v>그림걸이레일설치M</v>
          </cell>
          <cell r="B109" t="str">
            <v>제106호표</v>
          </cell>
          <cell r="C109" t="str">
            <v>그림걸이레일 설치</v>
          </cell>
          <cell r="D109" t="str">
            <v/>
          </cell>
          <cell r="E109" t="str">
            <v>M</v>
          </cell>
          <cell r="F109">
            <v>6500</v>
          </cell>
          <cell r="G109">
            <v>4294</v>
          </cell>
          <cell r="H109">
            <v>10794</v>
          </cell>
        </row>
        <row r="110">
          <cell r="A110" t="str">
            <v>센터베어링및스톱파가공조립벽부형SET</v>
          </cell>
          <cell r="B110" t="str">
            <v>제107호표</v>
          </cell>
          <cell r="C110" t="str">
            <v>센터베어링및스톱파 가공조립</v>
          </cell>
          <cell r="D110" t="str">
            <v>벽부형</v>
          </cell>
          <cell r="E110" t="str">
            <v>SET</v>
          </cell>
          <cell r="F110">
            <v>95000</v>
          </cell>
          <cell r="G110">
            <v>52541</v>
          </cell>
          <cell r="H110">
            <v>147541</v>
          </cell>
        </row>
        <row r="111">
          <cell r="A111" t="str">
            <v>센터베어링및스톱파가공조립독립형1단SET</v>
          </cell>
          <cell r="B111" t="str">
            <v>제108호표</v>
          </cell>
          <cell r="C111" t="str">
            <v>센터베어링및스톱파 가공조립</v>
          </cell>
          <cell r="D111" t="str">
            <v>독립형1단</v>
          </cell>
          <cell r="E111" t="str">
            <v>SET</v>
          </cell>
          <cell r="F111">
            <v>85000</v>
          </cell>
          <cell r="G111">
            <v>62887</v>
          </cell>
          <cell r="H111">
            <v>147887</v>
          </cell>
        </row>
        <row r="112">
          <cell r="A112" t="str">
            <v>센터베어링및스톱파가공조립독립형2단SET</v>
          </cell>
          <cell r="B112" t="str">
            <v>제109호표</v>
          </cell>
          <cell r="C112" t="str">
            <v>센터베어링및스톱파 가공조립</v>
          </cell>
          <cell r="D112" t="str">
            <v>독립형2단</v>
          </cell>
          <cell r="E112" t="str">
            <v>SET</v>
          </cell>
          <cell r="F112">
            <v>130000</v>
          </cell>
          <cell r="G112">
            <v>69932</v>
          </cell>
          <cell r="H112">
            <v>199932</v>
          </cell>
        </row>
        <row r="113">
          <cell r="A113" t="str">
            <v>전후진전동콘트롤제작설치벽부형SET</v>
          </cell>
          <cell r="B113" t="str">
            <v>제110호표</v>
          </cell>
          <cell r="C113" t="str">
            <v>전후진 전동콘트롤 제작설치</v>
          </cell>
          <cell r="D113" t="str">
            <v>벽부형</v>
          </cell>
          <cell r="E113" t="str">
            <v>SET</v>
          </cell>
          <cell r="F113">
            <v>900000</v>
          </cell>
          <cell r="G113">
            <v>65053</v>
          </cell>
          <cell r="H113">
            <v>965053</v>
          </cell>
        </row>
        <row r="114">
          <cell r="A114" t="str">
            <v>전후진전동콘트롤제작설치독립형SET</v>
          </cell>
          <cell r="B114" t="str">
            <v>제111호표</v>
          </cell>
          <cell r="C114" t="str">
            <v>전후진 전동콘트롤 제작설치</v>
          </cell>
          <cell r="D114" t="str">
            <v>독립형</v>
          </cell>
          <cell r="E114" t="str">
            <v>SET</v>
          </cell>
          <cell r="F114">
            <v>400000</v>
          </cell>
          <cell r="G114">
            <v>65053</v>
          </cell>
          <cell r="H114">
            <v>465053</v>
          </cell>
        </row>
        <row r="115">
          <cell r="A115" t="str">
            <v>LED전반조명CASE제작설치도장포함M</v>
          </cell>
          <cell r="B115" t="str">
            <v>제112호표</v>
          </cell>
          <cell r="C115" t="str">
            <v>LED전반조명CASE제작설치</v>
          </cell>
          <cell r="D115" t="str">
            <v>도장포함</v>
          </cell>
          <cell r="E115" t="str">
            <v>M</v>
          </cell>
          <cell r="F115">
            <v>50493</v>
          </cell>
          <cell r="G115">
            <v>84131</v>
          </cell>
          <cell r="H115">
            <v>134624</v>
          </cell>
        </row>
        <row r="116">
          <cell r="A116" t="str">
            <v>CASTER&amp;ADJUSTER제작설치ea</v>
          </cell>
          <cell r="B116" t="str">
            <v>제113호표</v>
          </cell>
          <cell r="C116" t="str">
            <v>CASTER&amp;ADJUSTER 제작설치</v>
          </cell>
          <cell r="D116" t="str">
            <v/>
          </cell>
          <cell r="E116" t="str">
            <v>ea</v>
          </cell>
          <cell r="F116">
            <v>51224</v>
          </cell>
          <cell r="G116">
            <v>3792</v>
          </cell>
          <cell r="H116">
            <v>55016</v>
          </cell>
        </row>
        <row r="117">
          <cell r="A117" t="str">
            <v>5면장유리후레임T3.2M2</v>
          </cell>
          <cell r="B117" t="str">
            <v>제114호표</v>
          </cell>
          <cell r="C117" t="str">
            <v>5면장 유리후레임</v>
          </cell>
          <cell r="D117" t="str">
            <v>T3.2</v>
          </cell>
          <cell r="E117" t="str">
            <v>M2</v>
          </cell>
          <cell r="F117">
            <v>92822</v>
          </cell>
          <cell r="G117">
            <v>96177</v>
          </cell>
          <cell r="H117">
            <v>188999</v>
          </cell>
        </row>
        <row r="118">
          <cell r="A118" t="str">
            <v>인테리어필름붙임넓은면M2</v>
          </cell>
          <cell r="B118" t="str">
            <v>제115호표</v>
          </cell>
          <cell r="C118" t="str">
            <v>인테리어필름붙임</v>
          </cell>
          <cell r="D118" t="str">
            <v>넓은면</v>
          </cell>
          <cell r="E118" t="str">
            <v>M2</v>
          </cell>
          <cell r="F118">
            <v>40973</v>
          </cell>
          <cell r="G118">
            <v>33799</v>
          </cell>
          <cell r="H118">
            <v>74772</v>
          </cell>
        </row>
        <row r="166">
          <cell r="A166" t="str">
            <v>구   분</v>
          </cell>
          <cell r="B166" t="str">
            <v>번  호</v>
          </cell>
          <cell r="C166" t="str">
            <v>명      칭</v>
          </cell>
          <cell r="D166" t="str">
            <v>규      격</v>
          </cell>
          <cell r="E166" t="str">
            <v>단 위</v>
          </cell>
          <cell r="F166" t="str">
            <v>재 료 비</v>
          </cell>
          <cell r="G166" t="str">
            <v>비  고</v>
          </cell>
        </row>
        <row r="167">
          <cell r="A167" t="str">
            <v>L-형강50*50*4TKg</v>
          </cell>
          <cell r="B167" t="str">
            <v>단가-1번</v>
          </cell>
          <cell r="C167" t="str">
            <v>L-형강</v>
          </cell>
          <cell r="D167" t="str">
            <v>50*50*4T</v>
          </cell>
          <cell r="E167" t="str">
            <v>Kg</v>
          </cell>
          <cell r="F167">
            <v>875</v>
          </cell>
        </row>
        <row r="168">
          <cell r="A168" t="str">
            <v>철판T1.2GALV.M2</v>
          </cell>
          <cell r="B168" t="str">
            <v>단가-2번</v>
          </cell>
          <cell r="C168" t="str">
            <v>철판</v>
          </cell>
          <cell r="D168" t="str">
            <v>T1.2 GALV.</v>
          </cell>
          <cell r="E168" t="str">
            <v>M2</v>
          </cell>
          <cell r="F168">
            <v>9232</v>
          </cell>
        </row>
        <row r="169">
          <cell r="A169" t="str">
            <v>철판T1.6GALV.M2</v>
          </cell>
          <cell r="B169" t="str">
            <v>단가-3번</v>
          </cell>
          <cell r="C169" t="str">
            <v>철판</v>
          </cell>
          <cell r="D169" t="str">
            <v>T1.6 GALV.</v>
          </cell>
          <cell r="E169" t="str">
            <v>M2</v>
          </cell>
          <cell r="F169">
            <v>12232</v>
          </cell>
        </row>
        <row r="170">
          <cell r="A170" t="str">
            <v>철판T3.2GALV.M2</v>
          </cell>
          <cell r="B170" t="str">
            <v>단가-4번</v>
          </cell>
          <cell r="C170" t="str">
            <v>철판</v>
          </cell>
          <cell r="D170" t="str">
            <v>T3.2 GALV.</v>
          </cell>
          <cell r="E170" t="str">
            <v>M2</v>
          </cell>
          <cell r="F170">
            <v>21030</v>
          </cell>
        </row>
        <row r="171">
          <cell r="A171" t="str">
            <v>각파이프30*30*1.4TKg</v>
          </cell>
          <cell r="B171" t="str">
            <v>단가-5번</v>
          </cell>
          <cell r="C171" t="str">
            <v>각파이프</v>
          </cell>
          <cell r="D171" t="str">
            <v>30*30*1.4T</v>
          </cell>
          <cell r="E171" t="str">
            <v>Kg</v>
          </cell>
          <cell r="F171">
            <v>1018</v>
          </cell>
        </row>
        <row r="172">
          <cell r="A172" t="str">
            <v>각파이프40*20*2.3TKg</v>
          </cell>
          <cell r="B172" t="str">
            <v>단가-6번</v>
          </cell>
          <cell r="C172" t="str">
            <v>각파이프</v>
          </cell>
          <cell r="D172" t="str">
            <v>40*20*2.3T</v>
          </cell>
          <cell r="E172" t="str">
            <v>Kg</v>
          </cell>
          <cell r="F172">
            <v>857</v>
          </cell>
        </row>
        <row r="173">
          <cell r="A173" t="str">
            <v>각파이프40*40*1.4TKg</v>
          </cell>
          <cell r="B173" t="str">
            <v>단가-7번</v>
          </cell>
          <cell r="C173" t="str">
            <v>각파이프</v>
          </cell>
          <cell r="D173" t="str">
            <v>40*40*1.4T</v>
          </cell>
          <cell r="E173" t="str">
            <v>Kg</v>
          </cell>
          <cell r="F173">
            <v>1009</v>
          </cell>
        </row>
        <row r="174">
          <cell r="A174" t="str">
            <v>각파이프50*50*1.4TKg</v>
          </cell>
          <cell r="B174" t="str">
            <v>단가-8번</v>
          </cell>
          <cell r="C174" t="str">
            <v>각파이프</v>
          </cell>
          <cell r="D174" t="str">
            <v>50*50*1.4T</v>
          </cell>
          <cell r="E174" t="str">
            <v>Kg</v>
          </cell>
          <cell r="F174">
            <v>1007</v>
          </cell>
        </row>
        <row r="175">
          <cell r="A175" t="str">
            <v>각파이프100*50*2.3TKg</v>
          </cell>
          <cell r="B175" t="str">
            <v>단가-9번</v>
          </cell>
          <cell r="C175" t="str">
            <v>각파이프</v>
          </cell>
          <cell r="D175" t="str">
            <v>100*50*2.3T</v>
          </cell>
          <cell r="E175" t="str">
            <v>Kg</v>
          </cell>
          <cell r="F175">
            <v>871</v>
          </cell>
        </row>
        <row r="176">
          <cell r="A176" t="str">
            <v>일반용철못N25Kg</v>
          </cell>
          <cell r="B176" t="str">
            <v>단가-10번</v>
          </cell>
          <cell r="C176" t="str">
            <v>일반용철못</v>
          </cell>
          <cell r="D176" t="str">
            <v>N25</v>
          </cell>
          <cell r="E176" t="str">
            <v>Kg</v>
          </cell>
          <cell r="F176">
            <v>1540</v>
          </cell>
        </row>
        <row r="177">
          <cell r="A177" t="str">
            <v>일반용철못N50Kg</v>
          </cell>
          <cell r="B177" t="str">
            <v>단가-11번</v>
          </cell>
          <cell r="C177" t="str">
            <v>일반용철못</v>
          </cell>
          <cell r="D177" t="str">
            <v>N50</v>
          </cell>
          <cell r="E177" t="str">
            <v>Kg</v>
          </cell>
          <cell r="F177">
            <v>1385</v>
          </cell>
        </row>
        <row r="178">
          <cell r="A178" t="str">
            <v>일반용철못N75Kg</v>
          </cell>
          <cell r="B178" t="str">
            <v>단가-12번</v>
          </cell>
          <cell r="C178" t="str">
            <v>일반용철못</v>
          </cell>
          <cell r="D178" t="str">
            <v>N75</v>
          </cell>
          <cell r="E178" t="str">
            <v>Kg</v>
          </cell>
          <cell r="F178">
            <v>1375</v>
          </cell>
        </row>
        <row r="179">
          <cell r="A179" t="str">
            <v>전산볼트M8M</v>
          </cell>
          <cell r="B179" t="str">
            <v>단가-13번</v>
          </cell>
          <cell r="C179" t="str">
            <v>전산볼트</v>
          </cell>
          <cell r="D179" t="str">
            <v>M8</v>
          </cell>
          <cell r="E179" t="str">
            <v>M</v>
          </cell>
          <cell r="F179">
            <v>584</v>
          </cell>
        </row>
        <row r="180">
          <cell r="A180" t="str">
            <v>스트롱앙카Ø6mmEA</v>
          </cell>
          <cell r="B180" t="str">
            <v>단가-14번</v>
          </cell>
          <cell r="C180" t="str">
            <v>스트롱앙카</v>
          </cell>
          <cell r="D180" t="str">
            <v>Ø6mm</v>
          </cell>
          <cell r="E180" t="str">
            <v>EA</v>
          </cell>
          <cell r="F180">
            <v>130</v>
          </cell>
        </row>
        <row r="181">
          <cell r="A181" t="str">
            <v>스테인리스작은나사M3*8mmEA</v>
          </cell>
          <cell r="B181" t="str">
            <v>단가-15번</v>
          </cell>
          <cell r="C181" t="str">
            <v>스테인리스작은나사</v>
          </cell>
          <cell r="D181" t="str">
            <v>M3*8mm</v>
          </cell>
          <cell r="E181" t="str">
            <v>EA</v>
          </cell>
          <cell r="F181">
            <v>12</v>
          </cell>
        </row>
        <row r="182">
          <cell r="A182" t="str">
            <v>집성스크류#825mmEA</v>
          </cell>
          <cell r="B182" t="str">
            <v>단가-16번</v>
          </cell>
          <cell r="C182" t="str">
            <v>집성스크류</v>
          </cell>
          <cell r="D182" t="str">
            <v>#8 25mm</v>
          </cell>
          <cell r="E182" t="str">
            <v>EA</v>
          </cell>
          <cell r="F182">
            <v>12</v>
          </cell>
        </row>
        <row r="183">
          <cell r="A183" t="str">
            <v>코레실SL907프리미엄L</v>
          </cell>
          <cell r="B183" t="str">
            <v>단가-17번</v>
          </cell>
          <cell r="C183" t="str">
            <v>코레실</v>
          </cell>
          <cell r="D183" t="str">
            <v>SL907프리미엄</v>
          </cell>
          <cell r="E183" t="str">
            <v>L</v>
          </cell>
          <cell r="F183">
            <v>10000</v>
          </cell>
        </row>
        <row r="184">
          <cell r="A184" t="str">
            <v>광명단조합폐인트KSM6030-2L</v>
          </cell>
          <cell r="B184" t="str">
            <v>단가-18번</v>
          </cell>
          <cell r="C184" t="str">
            <v>광명단조합폐인트</v>
          </cell>
          <cell r="D184" t="str">
            <v>KSM6030-2</v>
          </cell>
          <cell r="E184" t="str">
            <v>L</v>
          </cell>
          <cell r="F184">
            <v>8983</v>
          </cell>
        </row>
        <row r="185">
          <cell r="A185" t="str">
            <v>비닐페인트WB290L</v>
          </cell>
          <cell r="B185" t="str">
            <v>단가-19번</v>
          </cell>
          <cell r="C185" t="str">
            <v>비닐페인트</v>
          </cell>
          <cell r="D185" t="str">
            <v>WB290</v>
          </cell>
          <cell r="E185" t="str">
            <v>L</v>
          </cell>
          <cell r="F185">
            <v>5705</v>
          </cell>
        </row>
        <row r="186">
          <cell r="A186" t="str">
            <v>신너KSM-6060,1종L</v>
          </cell>
          <cell r="B186" t="str">
            <v>단가-20번</v>
          </cell>
          <cell r="C186" t="str">
            <v>신너</v>
          </cell>
          <cell r="D186" t="str">
            <v>KSM-6060,1종</v>
          </cell>
          <cell r="E186" t="str">
            <v>L</v>
          </cell>
          <cell r="F186">
            <v>2711</v>
          </cell>
        </row>
        <row r="187">
          <cell r="A187" t="str">
            <v>신너KSM-6060,2종L</v>
          </cell>
          <cell r="B187" t="str">
            <v>단가-21번</v>
          </cell>
          <cell r="C187" t="str">
            <v>신너</v>
          </cell>
          <cell r="D187" t="str">
            <v>KSM-6060,2종</v>
          </cell>
          <cell r="E187" t="str">
            <v>L</v>
          </cell>
          <cell r="F187">
            <v>2711</v>
          </cell>
        </row>
        <row r="188">
          <cell r="A188" t="str">
            <v>신너KSM6060-3L</v>
          </cell>
          <cell r="B188" t="str">
            <v>단가-22번</v>
          </cell>
          <cell r="C188" t="str">
            <v>신너</v>
          </cell>
          <cell r="D188" t="str">
            <v>KSM6060-3</v>
          </cell>
          <cell r="E188" t="str">
            <v>L</v>
          </cell>
          <cell r="F188">
            <v>2577</v>
          </cell>
        </row>
        <row r="189">
          <cell r="A189" t="str">
            <v>칼라락카CL440L</v>
          </cell>
          <cell r="B189" t="str">
            <v>단가-23번</v>
          </cell>
          <cell r="C189" t="str">
            <v>칼라락카</v>
          </cell>
          <cell r="D189" t="str">
            <v>CL440</v>
          </cell>
          <cell r="E189" t="str">
            <v>L</v>
          </cell>
          <cell r="F189">
            <v>6467</v>
          </cell>
        </row>
        <row r="190">
          <cell r="A190" t="str">
            <v>우레탄신너037UL</v>
          </cell>
          <cell r="B190" t="str">
            <v>단가-24번</v>
          </cell>
          <cell r="C190" t="str">
            <v>우레탄신너</v>
          </cell>
          <cell r="D190" t="str">
            <v>037U</v>
          </cell>
          <cell r="E190" t="str">
            <v>L</v>
          </cell>
          <cell r="F190">
            <v>5000</v>
          </cell>
        </row>
        <row r="191">
          <cell r="A191" t="str">
            <v>락카사페사(락카)DNL-4150L</v>
          </cell>
          <cell r="B191" t="str">
            <v>단가-25번</v>
          </cell>
          <cell r="C191" t="str">
            <v>락카사페사(락카)</v>
          </cell>
          <cell r="D191" t="str">
            <v>DNL-4150</v>
          </cell>
          <cell r="E191" t="str">
            <v>L</v>
          </cell>
          <cell r="F191">
            <v>5931</v>
          </cell>
        </row>
        <row r="192">
          <cell r="A192" t="str">
            <v>포리퍼티YGL017KG</v>
          </cell>
          <cell r="B192" t="str">
            <v>단가-26번</v>
          </cell>
          <cell r="C192" t="str">
            <v>포리퍼티</v>
          </cell>
          <cell r="D192" t="str">
            <v>YGL017</v>
          </cell>
          <cell r="E192" t="str">
            <v>KG</v>
          </cell>
          <cell r="F192">
            <v>6750</v>
          </cell>
        </row>
        <row r="193">
          <cell r="A193" t="str">
            <v>워시프라이머ZQL011L</v>
          </cell>
          <cell r="B193" t="str">
            <v>단가-27번</v>
          </cell>
          <cell r="C193" t="str">
            <v>워시프라이머</v>
          </cell>
          <cell r="D193" t="str">
            <v>ZQL011</v>
          </cell>
          <cell r="E193" t="str">
            <v>L</v>
          </cell>
          <cell r="F193">
            <v>6155</v>
          </cell>
        </row>
        <row r="194">
          <cell r="A194" t="str">
            <v>우레탄락카UR3600L</v>
          </cell>
          <cell r="B194" t="str">
            <v>단가-28번</v>
          </cell>
          <cell r="C194" t="str">
            <v>우레탄락카</v>
          </cell>
          <cell r="D194" t="str">
            <v>UR3600</v>
          </cell>
          <cell r="E194" t="str">
            <v>L</v>
          </cell>
          <cell r="F194">
            <v>16000</v>
          </cell>
        </row>
        <row r="195">
          <cell r="A195" t="str">
            <v>코아합판T18mm*4'*8'M2</v>
          </cell>
          <cell r="B195" t="str">
            <v>단가-29번</v>
          </cell>
          <cell r="C195" t="str">
            <v xml:space="preserve">코아합판 </v>
          </cell>
          <cell r="D195" t="str">
            <v>T18mm*4'*8'</v>
          </cell>
          <cell r="E195" t="str">
            <v>M2</v>
          </cell>
          <cell r="F195">
            <v>10942</v>
          </cell>
        </row>
        <row r="196">
          <cell r="A196" t="str">
            <v>합판T8.5mm*4'*8'M2</v>
          </cell>
          <cell r="B196" t="str">
            <v>단가-30번</v>
          </cell>
          <cell r="C196" t="str">
            <v>합판</v>
          </cell>
          <cell r="D196" t="str">
            <v>T8.5mm*4'*8'</v>
          </cell>
          <cell r="E196" t="str">
            <v>M2</v>
          </cell>
          <cell r="F196">
            <v>6882</v>
          </cell>
        </row>
        <row r="197">
          <cell r="A197" t="str">
            <v>합판T11.5mm*4'*8'M2</v>
          </cell>
          <cell r="B197" t="str">
            <v>단가-31번</v>
          </cell>
          <cell r="C197" t="str">
            <v>합판</v>
          </cell>
          <cell r="D197" t="str">
            <v>T11.5mm*4'*8'</v>
          </cell>
          <cell r="E197" t="str">
            <v>M2</v>
          </cell>
          <cell r="F197">
            <v>8585</v>
          </cell>
        </row>
        <row r="198">
          <cell r="A198" t="str">
            <v>합판T15mm*4'*8'M2</v>
          </cell>
          <cell r="B198" t="str">
            <v>단가-32번</v>
          </cell>
          <cell r="C198" t="str">
            <v>합판</v>
          </cell>
          <cell r="D198" t="str">
            <v>T15mm*4'*8'</v>
          </cell>
          <cell r="E198" t="str">
            <v>M2</v>
          </cell>
          <cell r="F198">
            <v>12323</v>
          </cell>
        </row>
        <row r="199">
          <cell r="A199" t="str">
            <v>mdfT9mm*4'*8'M2</v>
          </cell>
          <cell r="B199" t="str">
            <v>단가-33번</v>
          </cell>
          <cell r="C199" t="str">
            <v>mdf</v>
          </cell>
          <cell r="D199" t="str">
            <v>T9mm*4'*8'</v>
          </cell>
          <cell r="E199" t="str">
            <v>M2</v>
          </cell>
          <cell r="F199">
            <v>4006</v>
          </cell>
        </row>
        <row r="200">
          <cell r="A200" t="str">
            <v>mdfT12mm*4'*8'M2</v>
          </cell>
          <cell r="B200" t="str">
            <v>단가-34번</v>
          </cell>
          <cell r="C200" t="str">
            <v>mdf</v>
          </cell>
          <cell r="D200" t="str">
            <v>T12mm*4'*8'</v>
          </cell>
          <cell r="E200" t="str">
            <v>M2</v>
          </cell>
          <cell r="F200">
            <v>5454</v>
          </cell>
        </row>
        <row r="201">
          <cell r="A201" t="str">
            <v>mdfT15mm*4'*8'M2</v>
          </cell>
          <cell r="B201" t="str">
            <v>단가-35번</v>
          </cell>
          <cell r="C201" t="str">
            <v>mdf</v>
          </cell>
          <cell r="D201" t="str">
            <v>T15mm*4'*8'</v>
          </cell>
          <cell r="E201" t="str">
            <v>M2</v>
          </cell>
          <cell r="F201">
            <v>6632</v>
          </cell>
        </row>
        <row r="202">
          <cell r="A202" t="str">
            <v>초배지양지A급M2</v>
          </cell>
          <cell r="B202" t="str">
            <v>단가-36번</v>
          </cell>
          <cell r="C202" t="str">
            <v>초배지</v>
          </cell>
          <cell r="D202" t="str">
            <v>양지A급</v>
          </cell>
          <cell r="E202" t="str">
            <v>M2</v>
          </cell>
          <cell r="F202">
            <v>253</v>
          </cell>
        </row>
        <row r="203">
          <cell r="A203" t="str">
            <v>용접봉2.6mm(CR-13)KG</v>
          </cell>
          <cell r="B203" t="str">
            <v>단가-37번</v>
          </cell>
          <cell r="C203" t="str">
            <v>용접봉</v>
          </cell>
          <cell r="D203" t="str">
            <v>2.6mm(CR-13)</v>
          </cell>
          <cell r="E203" t="str">
            <v>KG</v>
          </cell>
          <cell r="F203">
            <v>3044</v>
          </cell>
        </row>
        <row r="204">
          <cell r="A204" t="str">
            <v>연마포#120매</v>
          </cell>
          <cell r="B204" t="str">
            <v>단가-38번</v>
          </cell>
          <cell r="C204" t="str">
            <v>연마포</v>
          </cell>
          <cell r="D204" t="str">
            <v>#120</v>
          </cell>
          <cell r="E204" t="str">
            <v>매</v>
          </cell>
          <cell r="F204">
            <v>440</v>
          </cell>
        </row>
        <row r="205">
          <cell r="A205" t="str">
            <v>휘발유고급휘발유탱크로리L</v>
          </cell>
          <cell r="B205" t="str">
            <v>단가-39번</v>
          </cell>
          <cell r="C205" t="str">
            <v>휘발유</v>
          </cell>
          <cell r="D205" t="str">
            <v>고급휘발유 탱크로리</v>
          </cell>
          <cell r="E205" t="str">
            <v>L</v>
          </cell>
          <cell r="F205">
            <v>1595</v>
          </cell>
        </row>
        <row r="206">
          <cell r="A206" t="str">
            <v>산소99%L</v>
          </cell>
          <cell r="B206" t="str">
            <v>단가-40번</v>
          </cell>
          <cell r="C206" t="str">
            <v>산소</v>
          </cell>
          <cell r="D206" t="str">
            <v>99%</v>
          </cell>
          <cell r="E206" t="str">
            <v>L</v>
          </cell>
          <cell r="F206">
            <v>325</v>
          </cell>
        </row>
        <row r="207">
          <cell r="A207" t="str">
            <v>아세틸렌0.9996KG</v>
          </cell>
          <cell r="B207" t="str">
            <v>단가-41번</v>
          </cell>
          <cell r="C207" t="str">
            <v>아세틸렌</v>
          </cell>
          <cell r="D207">
            <v>0.99960000000000004</v>
          </cell>
          <cell r="E207" t="str">
            <v>KG</v>
          </cell>
          <cell r="F207">
            <v>13000</v>
          </cell>
        </row>
        <row r="208">
          <cell r="A208" t="str">
            <v>넝마면T/C제품KG</v>
          </cell>
          <cell r="B208" t="str">
            <v>단가-42번</v>
          </cell>
          <cell r="C208" t="str">
            <v>넝마</v>
          </cell>
          <cell r="D208" t="str">
            <v>면T/C 제품</v>
          </cell>
          <cell r="E208" t="str">
            <v>KG</v>
          </cell>
          <cell r="F208">
            <v>2000</v>
          </cell>
        </row>
        <row r="209">
          <cell r="A209" t="str">
            <v>세제유리용KG</v>
          </cell>
          <cell r="B209" t="str">
            <v>단가-43번</v>
          </cell>
          <cell r="C209" t="str">
            <v>세제</v>
          </cell>
          <cell r="D209" t="str">
            <v>유리용</v>
          </cell>
          <cell r="E209" t="str">
            <v>KG</v>
          </cell>
          <cell r="F209">
            <v>2133</v>
          </cell>
        </row>
        <row r="210">
          <cell r="A210" t="str">
            <v>전력소요량KWH</v>
          </cell>
          <cell r="B210" t="str">
            <v>단가-44번</v>
          </cell>
          <cell r="C210" t="str">
            <v>전력소요량</v>
          </cell>
          <cell r="D210" t="str">
            <v/>
          </cell>
          <cell r="E210" t="str">
            <v>KWH</v>
          </cell>
          <cell r="F210">
            <v>0</v>
          </cell>
        </row>
        <row r="211">
          <cell r="A211" t="str">
            <v>본드도배용KG</v>
          </cell>
          <cell r="B211" t="str">
            <v>단가-45번</v>
          </cell>
          <cell r="C211" t="str">
            <v>본드</v>
          </cell>
          <cell r="D211" t="str">
            <v>도배용</v>
          </cell>
          <cell r="E211" t="str">
            <v>KG</v>
          </cell>
          <cell r="F211">
            <v>2500</v>
          </cell>
        </row>
        <row r="212">
          <cell r="A212" t="str">
            <v>석고보드T9.5mm*900*1,800M2</v>
          </cell>
          <cell r="B212" t="str">
            <v>단가-46번</v>
          </cell>
          <cell r="C212" t="str">
            <v>석고보드</v>
          </cell>
          <cell r="D212" t="str">
            <v>T9.5mm*900*1,800</v>
          </cell>
          <cell r="E212" t="str">
            <v>M2</v>
          </cell>
          <cell r="F212">
            <v>2407</v>
          </cell>
        </row>
        <row r="213">
          <cell r="A213" t="str">
            <v>풀밀가루풀포</v>
          </cell>
          <cell r="B213" t="str">
            <v>단가-47번</v>
          </cell>
          <cell r="C213" t="str">
            <v>풀</v>
          </cell>
          <cell r="D213" t="str">
            <v>밀가루풀</v>
          </cell>
          <cell r="E213" t="str">
            <v>포</v>
          </cell>
          <cell r="F213">
            <v>4500</v>
          </cell>
        </row>
        <row r="214">
          <cell r="A214" t="str">
            <v>골판지원단(보양지)2종㎡</v>
          </cell>
          <cell r="B214" t="str">
            <v>단가-48번</v>
          </cell>
          <cell r="C214" t="str">
            <v>골판지 원단(보양지)</v>
          </cell>
          <cell r="D214" t="str">
            <v>2종</v>
          </cell>
          <cell r="E214" t="str">
            <v>㎡</v>
          </cell>
          <cell r="F214">
            <v>890</v>
          </cell>
        </row>
        <row r="215">
          <cell r="A215" t="str">
            <v>가새L:1,518-2개조</v>
          </cell>
          <cell r="B215" t="str">
            <v>단가-49번</v>
          </cell>
          <cell r="C215" t="str">
            <v>가새</v>
          </cell>
          <cell r="D215" t="str">
            <v>L:1,518-2개</v>
          </cell>
          <cell r="E215" t="str">
            <v>조</v>
          </cell>
          <cell r="F215">
            <v>8000</v>
          </cell>
        </row>
        <row r="216">
          <cell r="A216" t="str">
            <v>인서트9mm개</v>
          </cell>
          <cell r="B216" t="str">
            <v>단가-50번</v>
          </cell>
          <cell r="C216" t="str">
            <v>인서트</v>
          </cell>
          <cell r="D216" t="str">
            <v xml:space="preserve"> 9mm</v>
          </cell>
          <cell r="E216" t="str">
            <v>개</v>
          </cell>
          <cell r="F216">
            <v>180</v>
          </cell>
        </row>
        <row r="217">
          <cell r="A217" t="str">
            <v>용접기교류500AMPHR</v>
          </cell>
          <cell r="B217" t="str">
            <v>단가-51번</v>
          </cell>
          <cell r="C217" t="str">
            <v>용접기</v>
          </cell>
          <cell r="D217" t="str">
            <v>교류 500AMP</v>
          </cell>
          <cell r="E217" t="str">
            <v>HR</v>
          </cell>
          <cell r="F217">
            <v>124</v>
          </cell>
        </row>
        <row r="218">
          <cell r="A218" t="str">
            <v>신너KSM6060-3ℓ</v>
          </cell>
          <cell r="B218" t="str">
            <v>단가-52번</v>
          </cell>
          <cell r="C218" t="str">
            <v>신너</v>
          </cell>
          <cell r="D218" t="str">
            <v>KSM6060-3</v>
          </cell>
          <cell r="E218" t="str">
            <v>ℓ</v>
          </cell>
          <cell r="F218">
            <v>2577</v>
          </cell>
        </row>
        <row r="219">
          <cell r="A219" t="str">
            <v>바퀴6"EA</v>
          </cell>
          <cell r="B219" t="str">
            <v>단가-53번</v>
          </cell>
          <cell r="C219" t="str">
            <v>바퀴</v>
          </cell>
          <cell r="D219" t="str">
            <v>6"</v>
          </cell>
          <cell r="E219" t="str">
            <v>EA</v>
          </cell>
          <cell r="F219">
            <v>12000</v>
          </cell>
        </row>
        <row r="220">
          <cell r="A220" t="str">
            <v>방수소켓6A250VEA</v>
          </cell>
          <cell r="B220" t="str">
            <v>단가-54번</v>
          </cell>
          <cell r="C220" t="str">
            <v>방수소켓</v>
          </cell>
          <cell r="D220" t="str">
            <v>6A 250V</v>
          </cell>
          <cell r="E220" t="str">
            <v>EA</v>
          </cell>
          <cell r="F220">
            <v>0</v>
          </cell>
        </row>
        <row r="221">
          <cell r="A221" t="str">
            <v>백열전구220V100W등</v>
          </cell>
          <cell r="B221" t="str">
            <v>단가-55번</v>
          </cell>
          <cell r="C221" t="str">
            <v>백열전구</v>
          </cell>
          <cell r="D221" t="str">
            <v>220V 100W</v>
          </cell>
          <cell r="E221" t="str">
            <v>등</v>
          </cell>
          <cell r="F221">
            <v>700</v>
          </cell>
        </row>
        <row r="222">
          <cell r="A222" t="str">
            <v>목공용접착제205kg</v>
          </cell>
          <cell r="B222" t="str">
            <v>단가-56번</v>
          </cell>
          <cell r="C222" t="str">
            <v>목공용접착제</v>
          </cell>
          <cell r="D222">
            <v>205</v>
          </cell>
          <cell r="E222" t="str">
            <v>kg</v>
          </cell>
          <cell r="F222">
            <v>3529</v>
          </cell>
        </row>
        <row r="223">
          <cell r="A223" t="str">
            <v>AL몰딩w형1.0*15*15*15*15m</v>
          </cell>
          <cell r="B223" t="str">
            <v>단가-57번</v>
          </cell>
          <cell r="C223" t="str">
            <v>AL 몰딩</v>
          </cell>
          <cell r="D223" t="str">
            <v>w형 1.0*15*15*15*15</v>
          </cell>
          <cell r="E223" t="str">
            <v>m</v>
          </cell>
          <cell r="F223">
            <v>1890</v>
          </cell>
        </row>
        <row r="224">
          <cell r="A224" t="str">
            <v>전선600VIV2.0mm*3Cm</v>
          </cell>
          <cell r="B224" t="str">
            <v>단가-58번</v>
          </cell>
          <cell r="C224" t="str">
            <v>전선</v>
          </cell>
          <cell r="D224" t="str">
            <v>600V IV 2.0mm*3C</v>
          </cell>
          <cell r="E224" t="str">
            <v>m</v>
          </cell>
          <cell r="F224">
            <v>980</v>
          </cell>
        </row>
        <row r="225">
          <cell r="A225" t="str">
            <v>접착제석고본드Kg</v>
          </cell>
          <cell r="B225" t="str">
            <v>단가-59번</v>
          </cell>
          <cell r="C225" t="str">
            <v>접착제</v>
          </cell>
          <cell r="D225" t="str">
            <v>석고본드</v>
          </cell>
          <cell r="E225" t="str">
            <v>Kg</v>
          </cell>
          <cell r="F225">
            <v>436</v>
          </cell>
        </row>
        <row r="226">
          <cell r="A226" t="str">
            <v>BRACE찬넬0.8T67*40m</v>
          </cell>
          <cell r="B226" t="str">
            <v>단가-60번</v>
          </cell>
          <cell r="C226" t="str">
            <v>BRACE 찬넬</v>
          </cell>
          <cell r="D226" t="str">
            <v>0.8T   67*40</v>
          </cell>
          <cell r="E226" t="str">
            <v>m</v>
          </cell>
          <cell r="F226">
            <v>2120</v>
          </cell>
        </row>
        <row r="227">
          <cell r="A227" t="str">
            <v>공포C6,8-11mea</v>
          </cell>
          <cell r="B227" t="str">
            <v>단가-61번</v>
          </cell>
          <cell r="C227" t="str">
            <v>공포</v>
          </cell>
          <cell r="D227" t="str">
            <v>C6,8-11m</v>
          </cell>
          <cell r="E227" t="str">
            <v>ea</v>
          </cell>
          <cell r="F227">
            <v>125</v>
          </cell>
        </row>
        <row r="228">
          <cell r="A228" t="str">
            <v>HILTPINDX-450EA</v>
          </cell>
          <cell r="B228" t="str">
            <v>단가-62번</v>
          </cell>
          <cell r="C228" t="str">
            <v>HILTPIN</v>
          </cell>
          <cell r="D228" t="str">
            <v>DX-450</v>
          </cell>
          <cell r="E228" t="str">
            <v>EA</v>
          </cell>
          <cell r="F228">
            <v>84</v>
          </cell>
        </row>
        <row r="229">
          <cell r="A229" t="str">
            <v>친환경수성페인트내부수성도료ℓ</v>
          </cell>
          <cell r="B229" t="str">
            <v>단가-63번</v>
          </cell>
          <cell r="C229" t="str">
            <v>친환경수성페인트</v>
          </cell>
          <cell r="D229" t="str">
            <v>내부수성도료</v>
          </cell>
          <cell r="E229" t="str">
            <v>ℓ</v>
          </cell>
          <cell r="F229">
            <v>5705</v>
          </cell>
        </row>
        <row r="230">
          <cell r="A230" t="str">
            <v>퍼티핸디코트Kg</v>
          </cell>
          <cell r="B230" t="str">
            <v>단가-64번</v>
          </cell>
          <cell r="C230" t="str">
            <v>퍼티</v>
          </cell>
          <cell r="D230" t="str">
            <v>핸디코트</v>
          </cell>
          <cell r="E230" t="str">
            <v>Kg</v>
          </cell>
          <cell r="F230">
            <v>1030</v>
          </cell>
        </row>
        <row r="231">
          <cell r="A231" t="str">
            <v>휠러외부용25kgKg</v>
          </cell>
          <cell r="B231" t="str">
            <v>단가-65번</v>
          </cell>
          <cell r="C231" t="str">
            <v>휠러</v>
          </cell>
          <cell r="D231" t="str">
            <v>외부용 25kg</v>
          </cell>
          <cell r="E231" t="str">
            <v>Kg</v>
          </cell>
          <cell r="F231">
            <v>1650</v>
          </cell>
        </row>
        <row r="232">
          <cell r="A232" t="str">
            <v>연마지#120매</v>
          </cell>
          <cell r="B232" t="str">
            <v>단가-66번</v>
          </cell>
          <cell r="C232" t="str">
            <v>연마지</v>
          </cell>
          <cell r="D232" t="str">
            <v>#120</v>
          </cell>
          <cell r="E232" t="str">
            <v>매</v>
          </cell>
          <cell r="F232">
            <v>260</v>
          </cell>
        </row>
        <row r="233">
          <cell r="A233" t="str">
            <v>인테리어필름지방염㎡</v>
          </cell>
          <cell r="B233" t="str">
            <v>단가-67번</v>
          </cell>
          <cell r="C233" t="str">
            <v>인테리어필름지</v>
          </cell>
          <cell r="D233" t="str">
            <v>방염</v>
          </cell>
          <cell r="E233" t="str">
            <v>㎡</v>
          </cell>
          <cell r="F233">
            <v>34000</v>
          </cell>
        </row>
        <row r="234">
          <cell r="A234" t="str">
            <v>접착제수성프라이머나-2000Kg</v>
          </cell>
          <cell r="B234" t="str">
            <v>단가-68번</v>
          </cell>
          <cell r="C234" t="str">
            <v>접착제</v>
          </cell>
          <cell r="D234" t="str">
            <v>수성프라이머나-2000</v>
          </cell>
          <cell r="E234" t="str">
            <v>Kg</v>
          </cell>
          <cell r="F234">
            <v>5400</v>
          </cell>
        </row>
        <row r="235">
          <cell r="A235" t="str">
            <v>강화유리T12mmM2</v>
          </cell>
          <cell r="B235" t="str">
            <v>단가-69번</v>
          </cell>
          <cell r="C235" t="str">
            <v>강화유리</v>
          </cell>
          <cell r="D235" t="str">
            <v>T12mm</v>
          </cell>
          <cell r="E235" t="str">
            <v>M2</v>
          </cell>
          <cell r="F235">
            <v>38000</v>
          </cell>
        </row>
        <row r="236">
          <cell r="A236" t="str">
            <v>강화유리T10mmM2</v>
          </cell>
          <cell r="B236" t="str">
            <v>단가-70번</v>
          </cell>
          <cell r="C236" t="str">
            <v>강화유리</v>
          </cell>
          <cell r="D236" t="str">
            <v>T10mm</v>
          </cell>
          <cell r="E236" t="str">
            <v>M2</v>
          </cell>
          <cell r="F236">
            <v>32000</v>
          </cell>
        </row>
        <row r="237">
          <cell r="A237" t="str">
            <v>강화유리T8mmM2</v>
          </cell>
          <cell r="B237" t="str">
            <v>단가-71번</v>
          </cell>
          <cell r="C237" t="str">
            <v>강화유리</v>
          </cell>
          <cell r="D237" t="str">
            <v>T8mm</v>
          </cell>
          <cell r="E237" t="str">
            <v>M2</v>
          </cell>
          <cell r="F237">
            <v>25000</v>
          </cell>
        </row>
        <row r="238">
          <cell r="A238" t="str">
            <v>쉐락니스L</v>
          </cell>
          <cell r="B238" t="str">
            <v>단가-72번</v>
          </cell>
          <cell r="C238" t="str">
            <v>쉐락니스</v>
          </cell>
          <cell r="D238" t="str">
            <v/>
          </cell>
          <cell r="E238" t="str">
            <v>L</v>
          </cell>
          <cell r="F238">
            <v>4850</v>
          </cell>
        </row>
        <row r="239">
          <cell r="A239" t="str">
            <v>화이버테이프m</v>
          </cell>
          <cell r="B239" t="str">
            <v>단가-73번</v>
          </cell>
          <cell r="C239" t="str">
            <v>화이버테이프</v>
          </cell>
          <cell r="D239" t="str">
            <v/>
          </cell>
          <cell r="E239" t="str">
            <v>m</v>
          </cell>
          <cell r="F239">
            <v>60</v>
          </cell>
        </row>
        <row r="240">
          <cell r="A240" t="str">
            <v>M-BAR50*20*0.8TM</v>
          </cell>
          <cell r="B240" t="str">
            <v>단가-74번</v>
          </cell>
          <cell r="C240" t="str">
            <v>M-BAR</v>
          </cell>
          <cell r="D240" t="str">
            <v>50*20*0.8T</v>
          </cell>
          <cell r="E240" t="str">
            <v>M</v>
          </cell>
          <cell r="F240">
            <v>3500</v>
          </cell>
        </row>
        <row r="241">
          <cell r="A241" t="str">
            <v>그림걸이레일M</v>
          </cell>
          <cell r="B241" t="str">
            <v>단가-75번</v>
          </cell>
          <cell r="C241" t="str">
            <v>그림걸이레일</v>
          </cell>
          <cell r="D241" t="str">
            <v/>
          </cell>
          <cell r="E241" t="str">
            <v>M</v>
          </cell>
          <cell r="F241">
            <v>6500</v>
          </cell>
        </row>
        <row r="242">
          <cell r="A242" t="str">
            <v>망사테이프M</v>
          </cell>
          <cell r="B242" t="str">
            <v>단가-76번</v>
          </cell>
          <cell r="C242" t="str">
            <v>망사테이프</v>
          </cell>
          <cell r="D242" t="str">
            <v/>
          </cell>
          <cell r="E242" t="str">
            <v>M</v>
          </cell>
          <cell r="F242">
            <v>320</v>
          </cell>
        </row>
        <row r="243">
          <cell r="A243" t="str">
            <v>면취M</v>
          </cell>
          <cell r="B243" t="str">
            <v>단가-77번</v>
          </cell>
          <cell r="C243" t="str">
            <v>면취</v>
          </cell>
          <cell r="D243" t="str">
            <v/>
          </cell>
          <cell r="E243" t="str">
            <v>M</v>
          </cell>
          <cell r="F243">
            <v>11000</v>
          </cell>
        </row>
        <row r="244">
          <cell r="A244" t="str">
            <v>피아노경첩M</v>
          </cell>
          <cell r="B244" t="str">
            <v>단가-78번</v>
          </cell>
          <cell r="C244" t="str">
            <v>피아노경첩</v>
          </cell>
          <cell r="D244" t="str">
            <v/>
          </cell>
          <cell r="E244" t="str">
            <v>M</v>
          </cell>
          <cell r="F244">
            <v>12000</v>
          </cell>
        </row>
        <row r="245">
          <cell r="A245" t="str">
            <v>매입경첩중형set</v>
          </cell>
          <cell r="B245" t="str">
            <v>단가-79번</v>
          </cell>
          <cell r="C245" t="str">
            <v>매입경첩</v>
          </cell>
          <cell r="D245" t="str">
            <v>중형</v>
          </cell>
          <cell r="E245" t="str">
            <v>set</v>
          </cell>
          <cell r="F245">
            <v>35000</v>
          </cell>
        </row>
        <row r="246">
          <cell r="A246" t="str">
            <v>AL.패킹바M</v>
          </cell>
          <cell r="B246" t="str">
            <v>단가-80번</v>
          </cell>
          <cell r="C246" t="str">
            <v>AL.패킹바</v>
          </cell>
          <cell r="D246" t="str">
            <v/>
          </cell>
          <cell r="E246" t="str">
            <v>M</v>
          </cell>
          <cell r="F246">
            <v>5000</v>
          </cell>
        </row>
        <row r="247">
          <cell r="A247" t="str">
            <v>밀폐패킹소형M</v>
          </cell>
          <cell r="B247" t="str">
            <v>단가-81번</v>
          </cell>
          <cell r="C247" t="str">
            <v>밀폐패킹</v>
          </cell>
          <cell r="D247" t="str">
            <v>소형</v>
          </cell>
          <cell r="E247" t="str">
            <v>M</v>
          </cell>
          <cell r="F247">
            <v>6000</v>
          </cell>
        </row>
        <row r="248">
          <cell r="A248" t="str">
            <v>밀폐패킹대형M</v>
          </cell>
          <cell r="B248" t="str">
            <v>단가-82번</v>
          </cell>
          <cell r="C248" t="str">
            <v>밀폐패킹</v>
          </cell>
          <cell r="D248" t="str">
            <v>대형</v>
          </cell>
          <cell r="E248" t="str">
            <v>M</v>
          </cell>
          <cell r="F248">
            <v>9000</v>
          </cell>
        </row>
        <row r="249">
          <cell r="A249" t="str">
            <v>LOCKSETTWOPINEA</v>
          </cell>
          <cell r="B249" t="str">
            <v>단가-83번</v>
          </cell>
          <cell r="C249" t="str">
            <v>LOCK SET</v>
          </cell>
          <cell r="D249" t="str">
            <v>TWO PIN</v>
          </cell>
          <cell r="E249" t="str">
            <v>EA</v>
          </cell>
          <cell r="F249">
            <v>30000</v>
          </cell>
        </row>
        <row r="250">
          <cell r="A250" t="str">
            <v>LOCKSET보강EA</v>
          </cell>
          <cell r="B250" t="str">
            <v>단가-84번</v>
          </cell>
          <cell r="C250" t="str">
            <v>LOCK SET보강</v>
          </cell>
          <cell r="D250" t="str">
            <v/>
          </cell>
          <cell r="E250" t="str">
            <v>EA</v>
          </cell>
          <cell r="F250">
            <v>15000</v>
          </cell>
        </row>
        <row r="251">
          <cell r="A251" t="str">
            <v>세마직벽지1회특수벽지M2</v>
          </cell>
          <cell r="B251" t="str">
            <v>단가-85번</v>
          </cell>
          <cell r="C251" t="str">
            <v>세마직벽지</v>
          </cell>
          <cell r="D251" t="str">
            <v>1회 특수벽지</v>
          </cell>
          <cell r="E251" t="str">
            <v>M2</v>
          </cell>
          <cell r="F251">
            <v>38000</v>
          </cell>
        </row>
        <row r="252">
          <cell r="A252" t="str">
            <v>LED전반조명CASEM</v>
          </cell>
          <cell r="B252" t="str">
            <v>단가-86번</v>
          </cell>
          <cell r="C252" t="str">
            <v>LED 전반조명 CASE</v>
          </cell>
          <cell r="D252" t="str">
            <v/>
          </cell>
          <cell r="E252" t="str">
            <v>M</v>
          </cell>
          <cell r="F252">
            <v>140000</v>
          </cell>
        </row>
        <row r="253">
          <cell r="A253" t="str">
            <v>AL.사출유리후렘성형가공벽부장(상부)205M</v>
          </cell>
          <cell r="B253" t="str">
            <v>단가-87번</v>
          </cell>
          <cell r="C253" t="str">
            <v>AL.사출유리후렘성형가공</v>
          </cell>
          <cell r="D253" t="str">
            <v>벽부장(상부)205</v>
          </cell>
          <cell r="E253" t="str">
            <v>M</v>
          </cell>
          <cell r="F253">
            <v>200000</v>
          </cell>
        </row>
        <row r="254">
          <cell r="A254" t="str">
            <v>AL.사출유리후렘성형가공벽부장(하부)117M</v>
          </cell>
          <cell r="B254" t="str">
            <v>단가-88번</v>
          </cell>
          <cell r="C254" t="str">
            <v>AL.사출유리후렘성형가공</v>
          </cell>
          <cell r="D254" t="str">
            <v>벽부장(하부)117</v>
          </cell>
          <cell r="E254" t="str">
            <v>M</v>
          </cell>
          <cell r="F254">
            <v>120000</v>
          </cell>
        </row>
        <row r="255">
          <cell r="A255" t="str">
            <v>AL.사출유리후렘성형가공독립장(상부)150M</v>
          </cell>
          <cell r="B255" t="str">
            <v>단가-89번</v>
          </cell>
          <cell r="C255" t="str">
            <v>AL.사출유리후렘성형가공</v>
          </cell>
          <cell r="D255" t="str">
            <v>독립장(상부)150</v>
          </cell>
          <cell r="E255" t="str">
            <v>M</v>
          </cell>
          <cell r="F255">
            <v>150000</v>
          </cell>
        </row>
        <row r="256">
          <cell r="A256" t="str">
            <v>AL.사출유리후렘성형가공독립장(하부)103M</v>
          </cell>
          <cell r="B256" t="str">
            <v>단가-90번</v>
          </cell>
          <cell r="C256" t="str">
            <v>AL.사출유리후렘성형가공</v>
          </cell>
          <cell r="D256" t="str">
            <v>독립장(하부)103</v>
          </cell>
          <cell r="E256" t="str">
            <v>M</v>
          </cell>
          <cell r="F256">
            <v>110000</v>
          </cell>
        </row>
        <row r="257">
          <cell r="A257" t="str">
            <v>LM가이드시스템Ø25SET</v>
          </cell>
          <cell r="B257" t="str">
            <v>단가-91번</v>
          </cell>
          <cell r="C257" t="str">
            <v>LM가이드시스템</v>
          </cell>
          <cell r="D257" t="str">
            <v>Ø25</v>
          </cell>
          <cell r="E257" t="str">
            <v>SET</v>
          </cell>
          <cell r="F257">
            <v>120000</v>
          </cell>
        </row>
        <row r="258">
          <cell r="A258" t="str">
            <v>LM가이드(조명용)Ø25SET</v>
          </cell>
          <cell r="B258" t="str">
            <v>단가-92번</v>
          </cell>
          <cell r="C258" t="str">
            <v>LM가이드(조명용)</v>
          </cell>
          <cell r="D258" t="str">
            <v>Ø25</v>
          </cell>
          <cell r="E258" t="str">
            <v>SET</v>
          </cell>
          <cell r="F258">
            <v>110000</v>
          </cell>
        </row>
        <row r="259">
          <cell r="A259" t="str">
            <v>LM가이드시스템보강판T10mm레이져가공ea</v>
          </cell>
          <cell r="B259" t="str">
            <v>단가-93번</v>
          </cell>
          <cell r="C259" t="str">
            <v>LM가이드시스템보강판</v>
          </cell>
          <cell r="D259" t="str">
            <v>T10mm 레이져 가공</v>
          </cell>
          <cell r="E259" t="str">
            <v>ea</v>
          </cell>
          <cell r="F259">
            <v>18000</v>
          </cell>
        </row>
        <row r="260">
          <cell r="A260" t="str">
            <v>모터구동시스템웜기어전동실린더SET</v>
          </cell>
          <cell r="B260" t="str">
            <v>단가-94번</v>
          </cell>
          <cell r="C260" t="str">
            <v>모터구동시스템</v>
          </cell>
          <cell r="D260" t="str">
            <v>웜기어 전동실린더</v>
          </cell>
          <cell r="E260" t="str">
            <v>SET</v>
          </cell>
          <cell r="F260">
            <v>300000</v>
          </cell>
        </row>
        <row r="261">
          <cell r="A261" t="str">
            <v>모터구동시스템보강T10mm레이져가공ea</v>
          </cell>
          <cell r="B261" t="str">
            <v>단가-95번</v>
          </cell>
          <cell r="C261" t="str">
            <v>모터구동시스템보강</v>
          </cell>
          <cell r="D261" t="str">
            <v>T10mm 레이져 가공</v>
          </cell>
          <cell r="E261" t="str">
            <v>ea</v>
          </cell>
          <cell r="F261">
            <v>38000</v>
          </cell>
        </row>
        <row r="262">
          <cell r="A262" t="str">
            <v>베어링레일및가공22*422.3T가공M</v>
          </cell>
          <cell r="B262" t="str">
            <v>단가-96번</v>
          </cell>
          <cell r="C262" t="str">
            <v>베어링레일및가공</v>
          </cell>
          <cell r="D262" t="str">
            <v>22*42 2.3T 가공</v>
          </cell>
          <cell r="E262" t="str">
            <v>M</v>
          </cell>
          <cell r="F262">
            <v>130000</v>
          </cell>
        </row>
        <row r="263">
          <cell r="A263" t="str">
            <v>슬라이딩베어링Ø26EA</v>
          </cell>
          <cell r="B263" t="str">
            <v>단가-97번</v>
          </cell>
          <cell r="C263" t="str">
            <v>슬라이딩베어링</v>
          </cell>
          <cell r="D263" t="str">
            <v>Ø26</v>
          </cell>
          <cell r="E263" t="str">
            <v>EA</v>
          </cell>
          <cell r="F263">
            <v>6500</v>
          </cell>
        </row>
        <row r="264">
          <cell r="A264" t="str">
            <v>베어링붓싱가공#6200EA</v>
          </cell>
          <cell r="B264" t="str">
            <v>단가-98번</v>
          </cell>
          <cell r="C264" t="str">
            <v>베어링붓싱가공</v>
          </cell>
          <cell r="D264" t="str">
            <v>#6200</v>
          </cell>
          <cell r="E264" t="str">
            <v>EA</v>
          </cell>
          <cell r="F264">
            <v>6000</v>
          </cell>
        </row>
        <row r="265">
          <cell r="A265" t="str">
            <v>센터베어링및스톱파벽부형ea</v>
          </cell>
          <cell r="B265" t="str">
            <v>단가-99번</v>
          </cell>
          <cell r="C265" t="str">
            <v>센터베어링및스톱파</v>
          </cell>
          <cell r="D265" t="str">
            <v>벽부형</v>
          </cell>
          <cell r="E265" t="str">
            <v>ea</v>
          </cell>
          <cell r="F265">
            <v>80000</v>
          </cell>
        </row>
        <row r="266">
          <cell r="A266" t="str">
            <v>센터베어링및스톱파독립형1단ea</v>
          </cell>
          <cell r="B266" t="str">
            <v>단가-100번</v>
          </cell>
          <cell r="C266" t="str">
            <v>센터베어링및스톱파</v>
          </cell>
          <cell r="D266" t="str">
            <v>독립형1단</v>
          </cell>
          <cell r="E266" t="str">
            <v>ea</v>
          </cell>
          <cell r="F266">
            <v>70000</v>
          </cell>
        </row>
        <row r="267">
          <cell r="A267" t="str">
            <v>센터베어링및스톱파독립형2단ea</v>
          </cell>
          <cell r="B267" t="str">
            <v>단가-101번</v>
          </cell>
          <cell r="C267" t="str">
            <v>센터베어링및스톱파</v>
          </cell>
          <cell r="D267" t="str">
            <v>독립형2단</v>
          </cell>
          <cell r="E267" t="str">
            <v>ea</v>
          </cell>
          <cell r="F267">
            <v>100000</v>
          </cell>
        </row>
        <row r="268">
          <cell r="A268" t="str">
            <v>센터베어링가이드T2.3mm가공ea</v>
          </cell>
          <cell r="B268" t="str">
            <v>단가-102번</v>
          </cell>
          <cell r="C268" t="str">
            <v>센터베어링가이드</v>
          </cell>
          <cell r="D268" t="str">
            <v>T2.3mm 가공</v>
          </cell>
          <cell r="E268" t="str">
            <v>ea</v>
          </cell>
          <cell r="F268">
            <v>15000</v>
          </cell>
        </row>
        <row r="269">
          <cell r="A269" t="str">
            <v>CASTER&amp;ADJUSTEREA</v>
          </cell>
          <cell r="B269" t="str">
            <v>단가-103번</v>
          </cell>
          <cell r="C269" t="str">
            <v>CASTER&amp;ADJUSTER</v>
          </cell>
          <cell r="D269" t="str">
            <v/>
          </cell>
          <cell r="E269" t="str">
            <v>EA</v>
          </cell>
          <cell r="F269">
            <v>40000</v>
          </cell>
        </row>
        <row r="270">
          <cell r="A270" t="str">
            <v>CASTER&amp;ADJUSTER보강T4.5mm레이져가공EA</v>
          </cell>
          <cell r="B270" t="str">
            <v>단가-104번</v>
          </cell>
          <cell r="C270" t="str">
            <v>CASTER&amp;ADJUSTER보강</v>
          </cell>
          <cell r="D270" t="str">
            <v>T4.5mm 레이져 가공</v>
          </cell>
          <cell r="E270" t="str">
            <v>EA</v>
          </cell>
          <cell r="F270">
            <v>10000</v>
          </cell>
        </row>
        <row r="271">
          <cell r="A271" t="str">
            <v>유압쇽업쇼바20kgSET</v>
          </cell>
          <cell r="B271" t="str">
            <v>단가-105번</v>
          </cell>
          <cell r="C271" t="str">
            <v>유압쇽업쇼바</v>
          </cell>
          <cell r="D271" t="str">
            <v>20kg</v>
          </cell>
          <cell r="E271" t="str">
            <v>SET</v>
          </cell>
          <cell r="F271">
            <v>20000</v>
          </cell>
        </row>
        <row r="272">
          <cell r="A272" t="str">
            <v>유압쇽업쇼바40kgSET</v>
          </cell>
          <cell r="B272" t="str">
            <v>단가-106번</v>
          </cell>
          <cell r="C272" t="str">
            <v>유압쇽업쇼바</v>
          </cell>
          <cell r="D272" t="str">
            <v>40kg</v>
          </cell>
          <cell r="E272" t="str">
            <v>SET</v>
          </cell>
          <cell r="F272">
            <v>30000</v>
          </cell>
        </row>
        <row r="273">
          <cell r="A273" t="str">
            <v>유압쇽업쇼바보강T4.5mm레이져가공ea</v>
          </cell>
          <cell r="B273" t="str">
            <v>단가-107번</v>
          </cell>
          <cell r="C273" t="str">
            <v>유압쇽업쇼바 보강</v>
          </cell>
          <cell r="D273" t="str">
            <v>T4.5mm 레이져 가공</v>
          </cell>
          <cell r="E273" t="str">
            <v>ea</v>
          </cell>
          <cell r="F273">
            <v>9000</v>
          </cell>
        </row>
        <row r="274">
          <cell r="A274" t="str">
            <v>이동식배면판(전동식)4800*3400SET</v>
          </cell>
          <cell r="B274" t="str">
            <v>단가-108번</v>
          </cell>
          <cell r="C274" t="str">
            <v>이동식배면판(전동식)</v>
          </cell>
          <cell r="D274" t="str">
            <v>4800*3400</v>
          </cell>
          <cell r="E274" t="str">
            <v>SET</v>
          </cell>
          <cell r="F274">
            <v>11000000</v>
          </cell>
        </row>
        <row r="275">
          <cell r="A275" t="str">
            <v>이동식배면판(전동식)7200*3400SET</v>
          </cell>
          <cell r="B275" t="str">
            <v>단가-109번</v>
          </cell>
          <cell r="C275" t="str">
            <v>이동식배면판(전동식)</v>
          </cell>
          <cell r="D275" t="str">
            <v>7200*3400</v>
          </cell>
          <cell r="E275" t="str">
            <v>SET</v>
          </cell>
          <cell r="F275">
            <v>15000000</v>
          </cell>
        </row>
        <row r="276">
          <cell r="A276" t="str">
            <v>저반사접합유리(투과율99%)T10.76mmM2</v>
          </cell>
          <cell r="B276" t="str">
            <v>단가-110번</v>
          </cell>
          <cell r="C276" t="str">
            <v>저반사 접합유리(투과율99%)</v>
          </cell>
          <cell r="D276" t="str">
            <v>T10.76mm</v>
          </cell>
          <cell r="E276" t="str">
            <v>M2</v>
          </cell>
          <cell r="F276">
            <v>1500000</v>
          </cell>
        </row>
        <row r="277">
          <cell r="A277" t="str">
            <v>저반사접합유리(투과율98%)T10.76mmM2</v>
          </cell>
          <cell r="B277" t="str">
            <v>단가-111번</v>
          </cell>
          <cell r="C277" t="str">
            <v>저반사 접합유리(투과율98%)</v>
          </cell>
          <cell r="D277" t="str">
            <v>T10.76mm</v>
          </cell>
          <cell r="E277" t="str">
            <v>M2</v>
          </cell>
          <cell r="F277">
            <v>1250000</v>
          </cell>
        </row>
        <row r="278">
          <cell r="A278" t="str">
            <v>저반사접합유리(투과율96%)T10.76mmM2</v>
          </cell>
          <cell r="B278" t="str">
            <v>단가-112번</v>
          </cell>
          <cell r="C278" t="str">
            <v>저반사 접합유리(투과율96%)</v>
          </cell>
          <cell r="D278" t="str">
            <v>T10.76mm</v>
          </cell>
          <cell r="E278" t="str">
            <v>M2</v>
          </cell>
          <cell r="F278">
            <v>980000</v>
          </cell>
        </row>
        <row r="279">
          <cell r="A279" t="str">
            <v>화이트접합유리T10.76mmM2</v>
          </cell>
          <cell r="B279" t="str">
            <v>단가-113번</v>
          </cell>
          <cell r="C279" t="str">
            <v>화이트 접합유리</v>
          </cell>
          <cell r="D279" t="str">
            <v>T10.76mm</v>
          </cell>
          <cell r="E279" t="str">
            <v>M2</v>
          </cell>
          <cell r="F279">
            <v>209450</v>
          </cell>
        </row>
        <row r="280">
          <cell r="A280" t="str">
            <v>화이트접합유리T12.76mm(2,400*3,400기준)M2</v>
          </cell>
          <cell r="B280" t="str">
            <v>단가-114번</v>
          </cell>
          <cell r="C280" t="str">
            <v>화이트 접합유리</v>
          </cell>
          <cell r="D280" t="str">
            <v>T12.76mm (2,400*3,400기준)</v>
          </cell>
          <cell r="E280" t="str">
            <v>M2</v>
          </cell>
          <cell r="F280">
            <v>214450</v>
          </cell>
        </row>
        <row r="281">
          <cell r="A281" t="str">
            <v>투명접합유리T12.76mm(2,400*3,000기준)M2</v>
          </cell>
          <cell r="B281" t="str">
            <v>단가-115번</v>
          </cell>
          <cell r="C281" t="str">
            <v>투명 접합유리</v>
          </cell>
          <cell r="D281" t="str">
            <v>T12.76mm (2,400*3,000기준)</v>
          </cell>
          <cell r="E281" t="str">
            <v>M2</v>
          </cell>
          <cell r="F281">
            <v>143000</v>
          </cell>
        </row>
        <row r="282">
          <cell r="A282" t="str">
            <v>투명접합유리T12.76mm(2,400*3,400기준)M2</v>
          </cell>
          <cell r="B282" t="str">
            <v>단가-116번</v>
          </cell>
          <cell r="C282" t="str">
            <v>투명 접합유리</v>
          </cell>
          <cell r="D282" t="str">
            <v>T12.76mm (2,400*3,400기준)</v>
          </cell>
          <cell r="E282" t="str">
            <v>M2</v>
          </cell>
          <cell r="F282">
            <v>198000</v>
          </cell>
        </row>
        <row r="283">
          <cell r="A283" t="str">
            <v>투명접합유리T10.76mmM2</v>
          </cell>
          <cell r="B283" t="str">
            <v>단가-117번</v>
          </cell>
          <cell r="C283" t="str">
            <v>투명 접합유리</v>
          </cell>
          <cell r="D283" t="str">
            <v>T10.76mm</v>
          </cell>
          <cell r="E283" t="str">
            <v>M2</v>
          </cell>
          <cell r="F283">
            <v>135000</v>
          </cell>
        </row>
        <row r="284">
          <cell r="A284" t="str">
            <v>투명접합유리T6.38mmM2</v>
          </cell>
          <cell r="B284" t="str">
            <v>단가-118번</v>
          </cell>
          <cell r="C284" t="str">
            <v>투명 접합유리</v>
          </cell>
          <cell r="D284" t="str">
            <v>T6.38mm</v>
          </cell>
          <cell r="E284" t="str">
            <v>M2</v>
          </cell>
          <cell r="F284">
            <v>110000</v>
          </cell>
        </row>
        <row r="285">
          <cell r="A285" t="str">
            <v>조명용아크릴T5mmm2</v>
          </cell>
          <cell r="B285" t="str">
            <v>단가-119번</v>
          </cell>
          <cell r="C285" t="str">
            <v>조명용 아크릴</v>
          </cell>
          <cell r="D285" t="str">
            <v>T5mm</v>
          </cell>
          <cell r="E285" t="str">
            <v>m2</v>
          </cell>
          <cell r="F285">
            <v>71000</v>
          </cell>
        </row>
        <row r="286">
          <cell r="A286" t="str">
            <v>박물관용led램프트랙형set</v>
          </cell>
          <cell r="B286" t="str">
            <v>단가-120번</v>
          </cell>
          <cell r="C286" t="str">
            <v>박물관용led 램프</v>
          </cell>
          <cell r="D286" t="str">
            <v>트랙형</v>
          </cell>
          <cell r="E286" t="str">
            <v>set</v>
          </cell>
          <cell r="F286">
            <v>480000</v>
          </cell>
        </row>
        <row r="287">
          <cell r="A287" t="str">
            <v>박물관용led램프핀스포트형(벽부형)EA</v>
          </cell>
          <cell r="B287" t="str">
            <v>단가-121번</v>
          </cell>
          <cell r="C287" t="str">
            <v>박물관용led 램프</v>
          </cell>
          <cell r="D287" t="str">
            <v>핀스포트형(벽부형)</v>
          </cell>
          <cell r="E287" t="str">
            <v>EA</v>
          </cell>
          <cell r="F287">
            <v>170000</v>
          </cell>
        </row>
        <row r="288">
          <cell r="A288" t="str">
            <v>박물관용led램프핀스포트형(독립장형)EA</v>
          </cell>
          <cell r="B288" t="str">
            <v>단가-122번</v>
          </cell>
          <cell r="C288" t="str">
            <v>박물관용led 램프</v>
          </cell>
          <cell r="D288" t="str">
            <v>핀스포트형(독립장형)</v>
          </cell>
          <cell r="E288" t="str">
            <v>EA</v>
          </cell>
          <cell r="F288">
            <v>110000</v>
          </cell>
        </row>
        <row r="289">
          <cell r="A289" t="str">
            <v>박물관용ledBAR상부천장용M</v>
          </cell>
          <cell r="B289" t="str">
            <v>단가-123번</v>
          </cell>
          <cell r="C289" t="str">
            <v>박물관용led BAR</v>
          </cell>
          <cell r="D289" t="str">
            <v>상부천장용</v>
          </cell>
          <cell r="E289" t="str">
            <v>M</v>
          </cell>
          <cell r="F289">
            <v>100000</v>
          </cell>
        </row>
        <row r="290">
          <cell r="A290" t="str">
            <v>알루미늄판4T*900*1800M2</v>
          </cell>
          <cell r="B290" t="str">
            <v>단가-124번</v>
          </cell>
          <cell r="C290" t="str">
            <v>알루미늄판</v>
          </cell>
          <cell r="D290" t="str">
            <v>4T*900*1800</v>
          </cell>
          <cell r="E290" t="str">
            <v>M2</v>
          </cell>
          <cell r="F290">
            <v>130000</v>
          </cell>
        </row>
        <row r="291">
          <cell r="A291" t="str">
            <v>박물관용led램프컨트롤러(24채널)set</v>
          </cell>
          <cell r="B291" t="str">
            <v>단가-125번</v>
          </cell>
          <cell r="C291" t="str">
            <v>박물관용led 램프</v>
          </cell>
          <cell r="D291" t="str">
            <v>컨트롤러(24채널)</v>
          </cell>
          <cell r="E291" t="str">
            <v>set</v>
          </cell>
          <cell r="F291">
            <v>800000</v>
          </cell>
        </row>
        <row r="292">
          <cell r="A292" t="str">
            <v>박물관용led램프컨트롤러(16채널)set</v>
          </cell>
          <cell r="B292" t="str">
            <v>단가-126번</v>
          </cell>
          <cell r="C292" t="str">
            <v>박물관용led 램프</v>
          </cell>
          <cell r="D292" t="str">
            <v>컨트롤러(16채널)</v>
          </cell>
          <cell r="E292" t="str">
            <v>set</v>
          </cell>
          <cell r="F292">
            <v>650000</v>
          </cell>
        </row>
        <row r="293">
          <cell r="A293" t="str">
            <v>박물관용led램프컨트롤러(8채널)set</v>
          </cell>
          <cell r="B293" t="str">
            <v>단가-127번</v>
          </cell>
          <cell r="C293" t="str">
            <v>박물관용led 램프</v>
          </cell>
          <cell r="D293" t="str">
            <v>컨트롤러(8채널)</v>
          </cell>
          <cell r="E293" t="str">
            <v>set</v>
          </cell>
          <cell r="F293">
            <v>600000</v>
          </cell>
        </row>
        <row r="294">
          <cell r="A294" t="str">
            <v>박물관용ledBAR컨트롤러set</v>
          </cell>
          <cell r="B294" t="str">
            <v>단가-128번</v>
          </cell>
          <cell r="C294" t="str">
            <v>박물관용led BAR</v>
          </cell>
          <cell r="D294" t="str">
            <v>컨트롤러</v>
          </cell>
          <cell r="E294" t="str">
            <v>set</v>
          </cell>
          <cell r="F294">
            <v>400000</v>
          </cell>
        </row>
        <row r="295">
          <cell r="A295" t="str">
            <v>전후진전동콘트롤라벽부형SET</v>
          </cell>
          <cell r="B295" t="str">
            <v>단가-129번</v>
          </cell>
          <cell r="C295" t="str">
            <v>전후진 전동콘트롤라</v>
          </cell>
          <cell r="D295" t="str">
            <v>벽부형</v>
          </cell>
          <cell r="E295" t="str">
            <v>SET</v>
          </cell>
          <cell r="F295">
            <v>900000</v>
          </cell>
        </row>
        <row r="296">
          <cell r="A296" t="str">
            <v>전후진전동콘트롤라독립형SET</v>
          </cell>
          <cell r="B296" t="str">
            <v>단가-130번</v>
          </cell>
          <cell r="C296" t="str">
            <v>전후진 전동콘트롤라</v>
          </cell>
          <cell r="D296" t="str">
            <v>독립형</v>
          </cell>
          <cell r="E296" t="str">
            <v>SET</v>
          </cell>
          <cell r="F296">
            <v>400000</v>
          </cell>
        </row>
        <row r="297">
          <cell r="A297" t="str">
            <v>LED파워컨트롤러SMPSEA</v>
          </cell>
          <cell r="B297" t="str">
            <v>단가-131번</v>
          </cell>
          <cell r="C297" t="str">
            <v>LED 파워컨트롤러</v>
          </cell>
          <cell r="D297" t="str">
            <v>SMPS</v>
          </cell>
          <cell r="E297" t="str">
            <v>EA</v>
          </cell>
          <cell r="F297">
            <v>130000</v>
          </cell>
        </row>
        <row r="298">
          <cell r="A298" t="str">
            <v>멀티트랙트랙레일(1회로)M</v>
          </cell>
          <cell r="B298" t="str">
            <v>단가-132번</v>
          </cell>
          <cell r="C298" t="str">
            <v>멀티트랙</v>
          </cell>
          <cell r="D298" t="str">
            <v>트랙레일(1회로)</v>
          </cell>
          <cell r="E298" t="str">
            <v>M</v>
          </cell>
          <cell r="F298">
            <v>23800</v>
          </cell>
        </row>
        <row r="299">
          <cell r="A299" t="str">
            <v>멀티트랙연결소켓(1회로)EA</v>
          </cell>
          <cell r="B299" t="str">
            <v>단가-133번</v>
          </cell>
          <cell r="C299" t="str">
            <v>멀티트랙</v>
          </cell>
          <cell r="D299" t="str">
            <v>연결소켓(1회로)</v>
          </cell>
          <cell r="E299" t="str">
            <v>EA</v>
          </cell>
          <cell r="F299">
            <v>12200</v>
          </cell>
        </row>
        <row r="300">
          <cell r="A300" t="str">
            <v>멀티트랙S/F(1회로)SET</v>
          </cell>
          <cell r="B300" t="str">
            <v>단가-134번</v>
          </cell>
          <cell r="C300" t="str">
            <v>멀티트랙</v>
          </cell>
          <cell r="D300" t="str">
            <v>S/F(1회로)</v>
          </cell>
          <cell r="E300" t="str">
            <v>SET</v>
          </cell>
          <cell r="F300">
            <v>15750</v>
          </cell>
        </row>
        <row r="301">
          <cell r="A301" t="str">
            <v>내부사이드도어SET</v>
          </cell>
          <cell r="B301" t="str">
            <v>단가-135번</v>
          </cell>
          <cell r="C301" t="str">
            <v>내부 사이드 도어</v>
          </cell>
          <cell r="D301" t="str">
            <v/>
          </cell>
          <cell r="E301" t="str">
            <v>SET</v>
          </cell>
          <cell r="F301">
            <v>1100000</v>
          </cell>
        </row>
        <row r="302">
          <cell r="A302" t="str">
            <v>외부포켓도어SET</v>
          </cell>
          <cell r="B302" t="str">
            <v>단가-136번</v>
          </cell>
          <cell r="C302" t="str">
            <v>외부 포켓 도어</v>
          </cell>
          <cell r="D302" t="str">
            <v/>
          </cell>
          <cell r="E302" t="str">
            <v>SET</v>
          </cell>
          <cell r="F302">
            <v>1150000</v>
          </cell>
        </row>
        <row r="303">
          <cell r="A303" t="e">
            <v>#N/A</v>
          </cell>
          <cell r="B303" t="str">
            <v>단가-137번</v>
          </cell>
          <cell r="C303" t="e">
            <v>#N/A</v>
          </cell>
          <cell r="D303" t="e">
            <v>#N/A</v>
          </cell>
          <cell r="E303" t="e">
            <v>#N/A</v>
          </cell>
          <cell r="F303" t="e">
            <v>#N/A</v>
          </cell>
        </row>
        <row r="304">
          <cell r="A304" t="e">
            <v>#N/A</v>
          </cell>
          <cell r="B304" t="str">
            <v>단가-138번</v>
          </cell>
          <cell r="C304" t="e">
            <v>#N/A</v>
          </cell>
          <cell r="D304" t="e">
            <v>#N/A</v>
          </cell>
          <cell r="E304" t="e">
            <v>#N/A</v>
          </cell>
          <cell r="F304" t="e">
            <v>#N/A</v>
          </cell>
        </row>
        <row r="305">
          <cell r="A305" t="e">
            <v>#N/A</v>
          </cell>
          <cell r="B305" t="str">
            <v>단가-139번</v>
          </cell>
          <cell r="C305" t="e">
            <v>#N/A</v>
          </cell>
          <cell r="D305" t="e">
            <v>#N/A</v>
          </cell>
          <cell r="E305" t="e">
            <v>#N/A</v>
          </cell>
          <cell r="F305" t="e">
            <v>#N/A</v>
          </cell>
        </row>
        <row r="306">
          <cell r="A306" t="e">
            <v>#N/A</v>
          </cell>
          <cell r="B306" t="str">
            <v>단가-140번</v>
          </cell>
          <cell r="C306" t="e">
            <v>#N/A</v>
          </cell>
          <cell r="D306" t="e">
            <v>#N/A</v>
          </cell>
          <cell r="E306" t="e">
            <v>#N/A</v>
          </cell>
          <cell r="F306" t="e">
            <v>#N/A</v>
          </cell>
        </row>
        <row r="307">
          <cell r="A307" t="e">
            <v>#N/A</v>
          </cell>
          <cell r="B307" t="str">
            <v>단가-141번</v>
          </cell>
          <cell r="C307" t="e">
            <v>#N/A</v>
          </cell>
          <cell r="D307" t="e">
            <v>#N/A</v>
          </cell>
          <cell r="E307" t="e">
            <v>#N/A</v>
          </cell>
          <cell r="F307" t="e">
            <v>#N/A</v>
          </cell>
        </row>
        <row r="308">
          <cell r="A308" t="e">
            <v>#N/A</v>
          </cell>
          <cell r="B308" t="str">
            <v>단가-142번</v>
          </cell>
          <cell r="C308" t="e">
            <v>#N/A</v>
          </cell>
          <cell r="D308" t="e">
            <v>#N/A</v>
          </cell>
          <cell r="E308" t="e">
            <v>#N/A</v>
          </cell>
          <cell r="F308" t="e">
            <v>#N/A</v>
          </cell>
        </row>
        <row r="309">
          <cell r="A309" t="e">
            <v>#N/A</v>
          </cell>
          <cell r="B309" t="str">
            <v>단가-143번</v>
          </cell>
          <cell r="C309" t="e">
            <v>#N/A</v>
          </cell>
          <cell r="D309" t="e">
            <v>#N/A</v>
          </cell>
          <cell r="E309" t="e">
            <v>#N/A</v>
          </cell>
          <cell r="F309" t="e">
            <v>#N/A</v>
          </cell>
        </row>
        <row r="310">
          <cell r="A310" t="e">
            <v>#N/A</v>
          </cell>
          <cell r="B310" t="str">
            <v>단가-144번</v>
          </cell>
          <cell r="C310" t="e">
            <v>#N/A</v>
          </cell>
          <cell r="D310" t="e">
            <v>#N/A</v>
          </cell>
          <cell r="E310" t="e">
            <v>#N/A</v>
          </cell>
          <cell r="F310" t="e">
            <v>#N/A</v>
          </cell>
        </row>
        <row r="311">
          <cell r="A311" t="e">
            <v>#N/A</v>
          </cell>
          <cell r="B311" t="str">
            <v>단가-145번</v>
          </cell>
          <cell r="C311" t="e">
            <v>#N/A</v>
          </cell>
          <cell r="D311" t="e">
            <v>#N/A</v>
          </cell>
          <cell r="E311" t="e">
            <v>#N/A</v>
          </cell>
          <cell r="F311" t="e">
            <v>#N/A</v>
          </cell>
        </row>
        <row r="312">
          <cell r="A312" t="e">
            <v>#N/A</v>
          </cell>
          <cell r="B312" t="str">
            <v>단가-146번</v>
          </cell>
          <cell r="C312" t="e">
            <v>#N/A</v>
          </cell>
          <cell r="D312" t="e">
            <v>#N/A</v>
          </cell>
          <cell r="E312" t="e">
            <v>#N/A</v>
          </cell>
          <cell r="F312" t="e">
            <v>#N/A</v>
          </cell>
        </row>
        <row r="313">
          <cell r="A313" t="e">
            <v>#N/A</v>
          </cell>
          <cell r="B313" t="str">
            <v>단가-147번</v>
          </cell>
          <cell r="C313" t="e">
            <v>#N/A</v>
          </cell>
          <cell r="D313" t="e">
            <v>#N/A</v>
          </cell>
          <cell r="E313" t="e">
            <v>#N/A</v>
          </cell>
          <cell r="F313" t="e">
            <v>#N/A</v>
          </cell>
        </row>
        <row r="314">
          <cell r="A314" t="e">
            <v>#N/A</v>
          </cell>
          <cell r="B314" t="str">
            <v>단가-148번</v>
          </cell>
          <cell r="C314" t="e">
            <v>#N/A</v>
          </cell>
          <cell r="D314" t="e">
            <v>#N/A</v>
          </cell>
          <cell r="E314" t="e">
            <v>#N/A</v>
          </cell>
          <cell r="F314" t="e">
            <v>#N/A</v>
          </cell>
        </row>
        <row r="315">
          <cell r="A315" t="e">
            <v>#N/A</v>
          </cell>
          <cell r="B315" t="str">
            <v>단가-149번</v>
          </cell>
          <cell r="C315" t="e">
            <v>#N/A</v>
          </cell>
          <cell r="D315" t="e">
            <v>#N/A</v>
          </cell>
          <cell r="E315" t="e">
            <v>#N/A</v>
          </cell>
          <cell r="F315" t="e">
            <v>#N/A</v>
          </cell>
        </row>
        <row r="316">
          <cell r="A316" t="e">
            <v>#N/A</v>
          </cell>
          <cell r="B316" t="str">
            <v>단가-150번</v>
          </cell>
          <cell r="C316" t="e">
            <v>#N/A</v>
          </cell>
          <cell r="D316" t="e">
            <v>#N/A</v>
          </cell>
          <cell r="E316" t="e">
            <v>#N/A</v>
          </cell>
          <cell r="F316" t="e">
            <v>#N/A</v>
          </cell>
        </row>
        <row r="317">
          <cell r="A317" t="e">
            <v>#N/A</v>
          </cell>
          <cell r="B317" t="str">
            <v>단가-151번</v>
          </cell>
          <cell r="C317" t="e">
            <v>#N/A</v>
          </cell>
          <cell r="D317" t="e">
            <v>#N/A</v>
          </cell>
          <cell r="E317" t="e">
            <v>#N/A</v>
          </cell>
          <cell r="F317" t="e">
            <v>#N/A</v>
          </cell>
        </row>
        <row r="318">
          <cell r="A318" t="e">
            <v>#N/A</v>
          </cell>
          <cell r="B318" t="str">
            <v>단가-152번</v>
          </cell>
          <cell r="C318" t="e">
            <v>#N/A</v>
          </cell>
          <cell r="D318" t="e">
            <v>#N/A</v>
          </cell>
          <cell r="E318" t="e">
            <v>#N/A</v>
          </cell>
          <cell r="F318" t="e">
            <v>#N/A</v>
          </cell>
        </row>
        <row r="319">
          <cell r="A319" t="e">
            <v>#N/A</v>
          </cell>
          <cell r="B319" t="str">
            <v>단가-153번</v>
          </cell>
          <cell r="C319" t="e">
            <v>#N/A</v>
          </cell>
          <cell r="D319" t="e">
            <v>#N/A</v>
          </cell>
          <cell r="E319" t="e">
            <v>#N/A</v>
          </cell>
          <cell r="F319" t="e">
            <v>#N/A</v>
          </cell>
        </row>
        <row r="320">
          <cell r="A320" t="e">
            <v>#N/A</v>
          </cell>
          <cell r="B320" t="str">
            <v>단가-153번</v>
          </cell>
          <cell r="C320" t="e">
            <v>#N/A</v>
          </cell>
          <cell r="D320" t="e">
            <v>#N/A</v>
          </cell>
          <cell r="E320" t="e">
            <v>#N/A</v>
          </cell>
          <cell r="F320" t="e">
            <v>#N/A</v>
          </cell>
        </row>
        <row r="321">
          <cell r="A321" t="e">
            <v>#N/A</v>
          </cell>
          <cell r="B321" t="str">
            <v>단가-154번</v>
          </cell>
          <cell r="C321" t="e">
            <v>#N/A</v>
          </cell>
          <cell r="D321" t="e">
            <v>#N/A</v>
          </cell>
          <cell r="E321" t="e">
            <v>#N/A</v>
          </cell>
          <cell r="F321" t="e">
            <v>#N/A</v>
          </cell>
        </row>
        <row r="322">
          <cell r="A322" t="e">
            <v>#N/A</v>
          </cell>
          <cell r="B322" t="str">
            <v>단가-155번</v>
          </cell>
          <cell r="C322" t="e">
            <v>#N/A</v>
          </cell>
          <cell r="D322" t="e">
            <v>#N/A</v>
          </cell>
          <cell r="E322" t="e">
            <v>#N/A</v>
          </cell>
          <cell r="F322" t="e">
            <v>#N/A</v>
          </cell>
        </row>
        <row r="323">
          <cell r="A323" t="e">
            <v>#N/A</v>
          </cell>
          <cell r="B323" t="str">
            <v>단가-156번</v>
          </cell>
          <cell r="C323" t="e">
            <v>#N/A</v>
          </cell>
          <cell r="D323" t="e">
            <v>#N/A</v>
          </cell>
          <cell r="E323" t="e">
            <v>#N/A</v>
          </cell>
          <cell r="F323" t="e">
            <v>#N/A</v>
          </cell>
        </row>
        <row r="324">
          <cell r="A324" t="e">
            <v>#N/A</v>
          </cell>
          <cell r="B324" t="str">
            <v>단가-157번</v>
          </cell>
          <cell r="C324" t="e">
            <v>#N/A</v>
          </cell>
          <cell r="D324" t="e">
            <v>#N/A</v>
          </cell>
          <cell r="E324" t="e">
            <v>#N/A</v>
          </cell>
          <cell r="F324" t="e">
            <v>#N/A</v>
          </cell>
        </row>
        <row r="325">
          <cell r="A325" t="e">
            <v>#N/A</v>
          </cell>
          <cell r="B325" t="str">
            <v>단가-158번</v>
          </cell>
          <cell r="C325" t="e">
            <v>#N/A</v>
          </cell>
          <cell r="D325" t="e">
            <v>#N/A</v>
          </cell>
          <cell r="E325" t="e">
            <v>#N/A</v>
          </cell>
          <cell r="F325" t="e">
            <v>#N/A</v>
          </cell>
        </row>
        <row r="326">
          <cell r="A326" t="e">
            <v>#N/A</v>
          </cell>
          <cell r="B326" t="str">
            <v>단가-159번</v>
          </cell>
          <cell r="C326" t="e">
            <v>#N/A</v>
          </cell>
          <cell r="D326" t="e">
            <v>#N/A</v>
          </cell>
          <cell r="E326" t="e">
            <v>#N/A</v>
          </cell>
          <cell r="F326" t="e">
            <v>#N/A</v>
          </cell>
        </row>
        <row r="327">
          <cell r="A327" t="e">
            <v>#N/A</v>
          </cell>
          <cell r="B327" t="str">
            <v>단가-160번</v>
          </cell>
          <cell r="C327" t="e">
            <v>#N/A</v>
          </cell>
          <cell r="D327" t="e">
            <v>#N/A</v>
          </cell>
          <cell r="E327" t="e">
            <v>#N/A</v>
          </cell>
          <cell r="F327" t="e">
            <v>#N/A</v>
          </cell>
        </row>
        <row r="328">
          <cell r="A328" t="e">
            <v>#N/A</v>
          </cell>
          <cell r="B328" t="str">
            <v>단가-161번</v>
          </cell>
          <cell r="C328" t="e">
            <v>#N/A</v>
          </cell>
          <cell r="D328" t="e">
            <v>#N/A</v>
          </cell>
          <cell r="E328" t="e">
            <v>#N/A</v>
          </cell>
          <cell r="F328" t="e">
            <v>#N/A</v>
          </cell>
        </row>
        <row r="329">
          <cell r="A329" t="e">
            <v>#N/A</v>
          </cell>
          <cell r="B329" t="str">
            <v>단가-162번</v>
          </cell>
          <cell r="C329" t="e">
            <v>#N/A</v>
          </cell>
          <cell r="D329" t="e">
            <v>#N/A</v>
          </cell>
          <cell r="E329" t="e">
            <v>#N/A</v>
          </cell>
          <cell r="F329" t="e">
            <v>#N/A</v>
          </cell>
        </row>
        <row r="330">
          <cell r="A330" t="e">
            <v>#N/A</v>
          </cell>
          <cell r="B330" t="str">
            <v>단가-163번</v>
          </cell>
          <cell r="C330" t="e">
            <v>#N/A</v>
          </cell>
          <cell r="D330" t="e">
            <v>#N/A</v>
          </cell>
          <cell r="E330" t="e">
            <v>#N/A</v>
          </cell>
          <cell r="F330" t="e">
            <v>#N/A</v>
          </cell>
        </row>
        <row r="331">
          <cell r="A331" t="e">
            <v>#N/A</v>
          </cell>
          <cell r="B331" t="str">
            <v>단가-164번</v>
          </cell>
          <cell r="C331" t="e">
            <v>#N/A</v>
          </cell>
          <cell r="D331" t="e">
            <v>#N/A</v>
          </cell>
          <cell r="E331" t="e">
            <v>#N/A</v>
          </cell>
          <cell r="F331" t="e">
            <v>#N/A</v>
          </cell>
        </row>
        <row r="332">
          <cell r="A332" t="e">
            <v>#N/A</v>
          </cell>
          <cell r="B332" t="str">
            <v>단가-165번</v>
          </cell>
          <cell r="C332" t="e">
            <v>#N/A</v>
          </cell>
          <cell r="D332" t="e">
            <v>#N/A</v>
          </cell>
          <cell r="E332" t="e">
            <v>#N/A</v>
          </cell>
          <cell r="F332" t="e">
            <v>#N/A</v>
          </cell>
        </row>
        <row r="333">
          <cell r="A333" t="e">
            <v>#N/A</v>
          </cell>
          <cell r="B333" t="str">
            <v>단가-166번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</row>
        <row r="334">
          <cell r="A334" t="e">
            <v>#N/A</v>
          </cell>
          <cell r="B334" t="str">
            <v>단가-167번</v>
          </cell>
          <cell r="C334" t="e">
            <v>#N/A</v>
          </cell>
          <cell r="D334" t="e">
            <v>#N/A</v>
          </cell>
          <cell r="E334" t="e">
            <v>#N/A</v>
          </cell>
          <cell r="F334" t="e">
            <v>#N/A</v>
          </cell>
        </row>
        <row r="335">
          <cell r="A335" t="e">
            <v>#N/A</v>
          </cell>
          <cell r="B335" t="str">
            <v>단가-168번</v>
          </cell>
          <cell r="C335" t="e">
            <v>#N/A</v>
          </cell>
          <cell r="D335" t="e">
            <v>#N/A</v>
          </cell>
          <cell r="E335" t="e">
            <v>#N/A</v>
          </cell>
          <cell r="F335" t="e">
            <v>#N/A</v>
          </cell>
        </row>
        <row r="336">
          <cell r="A336" t="e">
            <v>#N/A</v>
          </cell>
          <cell r="B336" t="str">
            <v>단가-169번</v>
          </cell>
          <cell r="C336" t="e">
            <v>#N/A</v>
          </cell>
          <cell r="D336" t="e">
            <v>#N/A</v>
          </cell>
          <cell r="E336" t="e">
            <v>#N/A</v>
          </cell>
          <cell r="F336" t="e">
            <v>#N/A</v>
          </cell>
        </row>
        <row r="337">
          <cell r="A337" t="e">
            <v>#N/A</v>
          </cell>
          <cell r="B337" t="str">
            <v>단가-170번</v>
          </cell>
          <cell r="C337" t="e">
            <v>#N/A</v>
          </cell>
          <cell r="D337" t="e">
            <v>#N/A</v>
          </cell>
          <cell r="E337" t="e">
            <v>#N/A</v>
          </cell>
          <cell r="F337" t="e">
            <v>#N/A</v>
          </cell>
        </row>
        <row r="338">
          <cell r="A338" t="e">
            <v>#N/A</v>
          </cell>
          <cell r="B338" t="str">
            <v>단가-171번</v>
          </cell>
          <cell r="C338" t="e">
            <v>#N/A</v>
          </cell>
          <cell r="D338" t="e">
            <v>#N/A</v>
          </cell>
          <cell r="E338" t="e">
            <v>#N/A</v>
          </cell>
          <cell r="F338" t="e">
            <v>#N/A</v>
          </cell>
        </row>
        <row r="339">
          <cell r="A339" t="e">
            <v>#N/A</v>
          </cell>
          <cell r="B339" t="str">
            <v>단가-172번</v>
          </cell>
          <cell r="C339" t="e">
            <v>#N/A</v>
          </cell>
          <cell r="D339" t="e">
            <v>#N/A</v>
          </cell>
          <cell r="E339" t="e">
            <v>#N/A</v>
          </cell>
          <cell r="F339" t="e">
            <v>#N/A</v>
          </cell>
        </row>
        <row r="340">
          <cell r="A340" t="e">
            <v>#N/A</v>
          </cell>
          <cell r="B340" t="str">
            <v>단가-173번</v>
          </cell>
          <cell r="C340" t="e">
            <v>#N/A</v>
          </cell>
          <cell r="D340" t="e">
            <v>#N/A</v>
          </cell>
          <cell r="E340" t="e">
            <v>#N/A</v>
          </cell>
          <cell r="F340" t="e">
            <v>#N/A</v>
          </cell>
        </row>
        <row r="341">
          <cell r="A341" t="e">
            <v>#N/A</v>
          </cell>
          <cell r="B341" t="str">
            <v>단가-174번</v>
          </cell>
          <cell r="C341" t="e">
            <v>#N/A</v>
          </cell>
          <cell r="D341" t="e">
            <v>#N/A</v>
          </cell>
          <cell r="E341" t="e">
            <v>#N/A</v>
          </cell>
          <cell r="F341" t="e">
            <v>#N/A</v>
          </cell>
        </row>
        <row r="342">
          <cell r="A342" t="e">
            <v>#N/A</v>
          </cell>
          <cell r="B342" t="str">
            <v>단가-175번</v>
          </cell>
          <cell r="C342" t="e">
            <v>#N/A</v>
          </cell>
          <cell r="D342" t="e">
            <v>#N/A</v>
          </cell>
          <cell r="E342" t="e">
            <v>#N/A</v>
          </cell>
          <cell r="F342" t="e">
            <v>#N/A</v>
          </cell>
        </row>
        <row r="343">
          <cell r="A343" t="e">
            <v>#N/A</v>
          </cell>
          <cell r="B343" t="str">
            <v>단가-176번</v>
          </cell>
          <cell r="C343" t="e">
            <v>#N/A</v>
          </cell>
          <cell r="D343" t="e">
            <v>#N/A</v>
          </cell>
          <cell r="E343" t="e">
            <v>#N/A</v>
          </cell>
          <cell r="F343" t="e">
            <v>#N/A</v>
          </cell>
        </row>
        <row r="344">
          <cell r="A344" t="e">
            <v>#N/A</v>
          </cell>
          <cell r="B344" t="str">
            <v>단가-177번</v>
          </cell>
          <cell r="C344" t="e">
            <v>#N/A</v>
          </cell>
          <cell r="D344" t="e">
            <v>#N/A</v>
          </cell>
          <cell r="E344" t="e">
            <v>#N/A</v>
          </cell>
          <cell r="F344" t="e">
            <v>#N/A</v>
          </cell>
        </row>
        <row r="345">
          <cell r="A345" t="e">
            <v>#N/A</v>
          </cell>
          <cell r="B345" t="str">
            <v>단가-178번</v>
          </cell>
          <cell r="C345" t="e">
            <v>#N/A</v>
          </cell>
          <cell r="D345" t="e">
            <v>#N/A</v>
          </cell>
          <cell r="E345" t="e">
            <v>#N/A</v>
          </cell>
          <cell r="F345" t="e">
            <v>#N/A</v>
          </cell>
        </row>
        <row r="346">
          <cell r="A346" t="e">
            <v>#N/A</v>
          </cell>
          <cell r="B346" t="str">
            <v>단가-179번</v>
          </cell>
          <cell r="C346" t="e">
            <v>#N/A</v>
          </cell>
          <cell r="D346" t="e">
            <v>#N/A</v>
          </cell>
          <cell r="E346" t="e">
            <v>#N/A</v>
          </cell>
          <cell r="F346" t="e">
            <v>#N/A</v>
          </cell>
        </row>
        <row r="347">
          <cell r="A347" t="e">
            <v>#N/A</v>
          </cell>
          <cell r="B347" t="str">
            <v>단가-180번</v>
          </cell>
          <cell r="C347" t="e">
            <v>#N/A</v>
          </cell>
          <cell r="D347" t="e">
            <v>#N/A</v>
          </cell>
          <cell r="E347" t="e">
            <v>#N/A</v>
          </cell>
          <cell r="F347" t="e">
            <v>#N/A</v>
          </cell>
        </row>
        <row r="348">
          <cell r="A348" t="e">
            <v>#N/A</v>
          </cell>
          <cell r="B348" t="str">
            <v>단가-181번</v>
          </cell>
          <cell r="C348" t="e">
            <v>#N/A</v>
          </cell>
          <cell r="D348" t="e">
            <v>#N/A</v>
          </cell>
          <cell r="E348" t="e">
            <v>#N/A</v>
          </cell>
          <cell r="F348" t="e">
            <v>#N/A</v>
          </cell>
        </row>
        <row r="349">
          <cell r="A349" t="e">
            <v>#N/A</v>
          </cell>
          <cell r="B349" t="str">
            <v>단가-182번</v>
          </cell>
          <cell r="C349" t="e">
            <v>#N/A</v>
          </cell>
          <cell r="D349" t="e">
            <v>#N/A</v>
          </cell>
          <cell r="E349" t="e">
            <v>#N/A</v>
          </cell>
          <cell r="F349" t="e">
            <v>#N/A</v>
          </cell>
        </row>
        <row r="350">
          <cell r="A350" t="e">
            <v>#N/A</v>
          </cell>
          <cell r="B350" t="str">
            <v>단가-183번</v>
          </cell>
          <cell r="C350" t="e">
            <v>#N/A</v>
          </cell>
          <cell r="D350" t="e">
            <v>#N/A</v>
          </cell>
          <cell r="E350" t="e">
            <v>#N/A</v>
          </cell>
          <cell r="F350" t="e">
            <v>#N/A</v>
          </cell>
        </row>
        <row r="351">
          <cell r="A351" t="e">
            <v>#N/A</v>
          </cell>
          <cell r="B351" t="str">
            <v>단가-184번</v>
          </cell>
          <cell r="C351" t="e">
            <v>#N/A</v>
          </cell>
          <cell r="D351" t="e">
            <v>#N/A</v>
          </cell>
          <cell r="E351" t="e">
            <v>#N/A</v>
          </cell>
          <cell r="F351" t="e">
            <v>#N/A</v>
          </cell>
        </row>
        <row r="352">
          <cell r="A352" t="e">
            <v>#N/A</v>
          </cell>
          <cell r="B352" t="str">
            <v>단가-185번</v>
          </cell>
          <cell r="C352" t="e">
            <v>#N/A</v>
          </cell>
          <cell r="D352" t="e">
            <v>#N/A</v>
          </cell>
          <cell r="E352" t="e">
            <v>#N/A</v>
          </cell>
          <cell r="F352" t="e">
            <v>#N/A</v>
          </cell>
        </row>
        <row r="353">
          <cell r="A353" t="e">
            <v>#N/A</v>
          </cell>
          <cell r="B353" t="str">
            <v>단가-186번</v>
          </cell>
          <cell r="C353" t="e">
            <v>#N/A</v>
          </cell>
          <cell r="D353" t="e">
            <v>#N/A</v>
          </cell>
          <cell r="E353" t="e">
            <v>#N/A</v>
          </cell>
          <cell r="F353" t="e">
            <v>#N/A</v>
          </cell>
        </row>
        <row r="354">
          <cell r="A354" t="e">
            <v>#N/A</v>
          </cell>
          <cell r="B354" t="str">
            <v>단가-187번</v>
          </cell>
          <cell r="C354" t="e">
            <v>#N/A</v>
          </cell>
          <cell r="D354" t="e">
            <v>#N/A</v>
          </cell>
          <cell r="E354" t="e">
            <v>#N/A</v>
          </cell>
          <cell r="F354" t="e">
            <v>#N/A</v>
          </cell>
        </row>
        <row r="355">
          <cell r="A355" t="e">
            <v>#N/A</v>
          </cell>
          <cell r="B355" t="str">
            <v>단가-188번</v>
          </cell>
          <cell r="C355" t="e">
            <v>#N/A</v>
          </cell>
          <cell r="D355" t="e">
            <v>#N/A</v>
          </cell>
          <cell r="E355" t="e">
            <v>#N/A</v>
          </cell>
          <cell r="F355" t="e">
            <v>#N/A</v>
          </cell>
        </row>
        <row r="356">
          <cell r="A356" t="e">
            <v>#N/A</v>
          </cell>
          <cell r="B356" t="str">
            <v>단가-189번</v>
          </cell>
          <cell r="C356" t="e">
            <v>#N/A</v>
          </cell>
          <cell r="D356" t="e">
            <v>#N/A</v>
          </cell>
          <cell r="E356" t="e">
            <v>#N/A</v>
          </cell>
          <cell r="F356" t="e">
            <v>#N/A</v>
          </cell>
        </row>
        <row r="357">
          <cell r="A357" t="e">
            <v>#N/A</v>
          </cell>
          <cell r="B357" t="str">
            <v>단가-190번</v>
          </cell>
          <cell r="C357" t="e">
            <v>#N/A</v>
          </cell>
          <cell r="D357" t="e">
            <v>#N/A</v>
          </cell>
          <cell r="E357" t="e">
            <v>#N/A</v>
          </cell>
          <cell r="F357" t="e">
            <v>#N/A</v>
          </cell>
        </row>
        <row r="358">
          <cell r="A358" t="e">
            <v>#N/A</v>
          </cell>
          <cell r="B358" t="str">
            <v>단가-191번</v>
          </cell>
          <cell r="C358" t="e">
            <v>#N/A</v>
          </cell>
          <cell r="D358" t="e">
            <v>#N/A</v>
          </cell>
          <cell r="E358" t="e">
            <v>#N/A</v>
          </cell>
          <cell r="F358" t="e">
            <v>#N/A</v>
          </cell>
        </row>
        <row r="359">
          <cell r="A359" t="e">
            <v>#N/A</v>
          </cell>
          <cell r="B359" t="str">
            <v>단가-192번</v>
          </cell>
          <cell r="C359" t="e">
            <v>#N/A</v>
          </cell>
          <cell r="D359" t="e">
            <v>#N/A</v>
          </cell>
          <cell r="E359" t="e">
            <v>#N/A</v>
          </cell>
          <cell r="F359" t="e">
            <v>#N/A</v>
          </cell>
        </row>
        <row r="360">
          <cell r="A360" t="e">
            <v>#N/A</v>
          </cell>
          <cell r="B360" t="str">
            <v>단가-193번</v>
          </cell>
          <cell r="C360" t="e">
            <v>#N/A</v>
          </cell>
          <cell r="D360" t="e">
            <v>#N/A</v>
          </cell>
          <cell r="E360" t="e">
            <v>#N/A</v>
          </cell>
          <cell r="F360" t="e">
            <v>#N/A</v>
          </cell>
        </row>
        <row r="361">
          <cell r="A361" t="e">
            <v>#N/A</v>
          </cell>
          <cell r="B361" t="str">
            <v>단가-194번</v>
          </cell>
          <cell r="C361" t="e">
            <v>#N/A</v>
          </cell>
          <cell r="D361" t="e">
            <v>#N/A</v>
          </cell>
          <cell r="E361" t="e">
            <v>#N/A</v>
          </cell>
          <cell r="F361" t="e">
            <v>#N/A</v>
          </cell>
        </row>
        <row r="362">
          <cell r="A362" t="e">
            <v>#N/A</v>
          </cell>
          <cell r="B362" t="str">
            <v>단가-195번</v>
          </cell>
          <cell r="C362" t="e">
            <v>#N/A</v>
          </cell>
          <cell r="D362" t="e">
            <v>#N/A</v>
          </cell>
          <cell r="E362" t="e">
            <v>#N/A</v>
          </cell>
          <cell r="F362" t="e">
            <v>#N/A</v>
          </cell>
        </row>
        <row r="363">
          <cell r="A363" t="e">
            <v>#N/A</v>
          </cell>
          <cell r="B363" t="str">
            <v>단가-196번</v>
          </cell>
          <cell r="C363" t="e">
            <v>#N/A</v>
          </cell>
          <cell r="D363" t="e">
            <v>#N/A</v>
          </cell>
          <cell r="E363" t="e">
            <v>#N/A</v>
          </cell>
          <cell r="F363" t="e">
            <v>#N/A</v>
          </cell>
        </row>
        <row r="364">
          <cell r="A364" t="e">
            <v>#N/A</v>
          </cell>
          <cell r="B364" t="str">
            <v>단가-197번</v>
          </cell>
          <cell r="C364" t="e">
            <v>#N/A</v>
          </cell>
          <cell r="D364" t="e">
            <v>#N/A</v>
          </cell>
          <cell r="E364" t="e">
            <v>#N/A</v>
          </cell>
          <cell r="F364" t="e">
            <v>#N/A</v>
          </cell>
        </row>
        <row r="365">
          <cell r="A365" t="e">
            <v>#N/A</v>
          </cell>
          <cell r="B365" t="str">
            <v>단가-198번</v>
          </cell>
          <cell r="C365" t="e">
            <v>#N/A</v>
          </cell>
          <cell r="D365" t="e">
            <v>#N/A</v>
          </cell>
          <cell r="E365" t="e">
            <v>#N/A</v>
          </cell>
          <cell r="F365" t="e">
            <v>#N/A</v>
          </cell>
        </row>
        <row r="366">
          <cell r="A366" t="e">
            <v>#N/A</v>
          </cell>
          <cell r="B366" t="str">
            <v>단가-199번</v>
          </cell>
          <cell r="C366" t="e">
            <v>#N/A</v>
          </cell>
          <cell r="D366" t="e">
            <v>#N/A</v>
          </cell>
          <cell r="E366" t="e">
            <v>#N/A</v>
          </cell>
          <cell r="F366" t="e">
            <v>#N/A</v>
          </cell>
        </row>
        <row r="367">
          <cell r="A367" t="e">
            <v>#N/A</v>
          </cell>
          <cell r="B367" t="str">
            <v>단가-200번</v>
          </cell>
          <cell r="C367" t="e">
            <v>#N/A</v>
          </cell>
          <cell r="D367" t="e">
            <v>#N/A</v>
          </cell>
          <cell r="E367" t="e">
            <v>#N/A</v>
          </cell>
          <cell r="F367" t="e">
            <v>#N/A</v>
          </cell>
        </row>
        <row r="368">
          <cell r="A368" t="e">
            <v>#N/A</v>
          </cell>
          <cell r="B368" t="str">
            <v>단가-201번</v>
          </cell>
          <cell r="C368" t="e">
            <v>#N/A</v>
          </cell>
          <cell r="D368" t="e">
            <v>#N/A</v>
          </cell>
          <cell r="E368" t="e">
            <v>#N/A</v>
          </cell>
          <cell r="F368" t="e">
            <v>#N/A</v>
          </cell>
        </row>
        <row r="369">
          <cell r="A369" t="e">
            <v>#N/A</v>
          </cell>
          <cell r="B369" t="str">
            <v>단가-202번</v>
          </cell>
          <cell r="C369" t="e">
            <v>#N/A</v>
          </cell>
          <cell r="D369" t="e">
            <v>#N/A</v>
          </cell>
          <cell r="E369" t="e">
            <v>#N/A</v>
          </cell>
          <cell r="F369" t="e">
            <v>#N/A</v>
          </cell>
        </row>
        <row r="370">
          <cell r="A370" t="e">
            <v>#N/A</v>
          </cell>
          <cell r="B370" t="str">
            <v>단가-203번</v>
          </cell>
          <cell r="C370" t="e">
            <v>#N/A</v>
          </cell>
          <cell r="D370" t="e">
            <v>#N/A</v>
          </cell>
          <cell r="E370" t="e">
            <v>#N/A</v>
          </cell>
          <cell r="F370" t="e">
            <v>#N/A</v>
          </cell>
        </row>
        <row r="371">
          <cell r="A371" t="e">
            <v>#N/A</v>
          </cell>
          <cell r="B371" t="str">
            <v>단가-204번</v>
          </cell>
          <cell r="C371" t="e">
            <v>#N/A</v>
          </cell>
          <cell r="D371" t="e">
            <v>#N/A</v>
          </cell>
          <cell r="E371" t="e">
            <v>#N/A</v>
          </cell>
          <cell r="F371" t="e">
            <v>#N/A</v>
          </cell>
        </row>
        <row r="372">
          <cell r="A372" t="e">
            <v>#N/A</v>
          </cell>
          <cell r="B372" t="str">
            <v>단가-205번</v>
          </cell>
          <cell r="C372" t="e">
            <v>#N/A</v>
          </cell>
          <cell r="D372" t="e">
            <v>#N/A</v>
          </cell>
          <cell r="E372" t="e">
            <v>#N/A</v>
          </cell>
          <cell r="F372" t="e">
            <v>#N/A</v>
          </cell>
        </row>
        <row r="373">
          <cell r="A373" t="e">
            <v>#N/A</v>
          </cell>
          <cell r="B373" t="str">
            <v>단가-206번</v>
          </cell>
          <cell r="C373" t="e">
            <v>#N/A</v>
          </cell>
          <cell r="D373" t="e">
            <v>#N/A</v>
          </cell>
          <cell r="E373" t="e">
            <v>#N/A</v>
          </cell>
          <cell r="F373" t="e">
            <v>#N/A</v>
          </cell>
        </row>
        <row r="374">
          <cell r="A374" t="e">
            <v>#N/A</v>
          </cell>
          <cell r="B374" t="str">
            <v>단가-207번</v>
          </cell>
          <cell r="C374" t="e">
            <v>#N/A</v>
          </cell>
          <cell r="D374" t="e">
            <v>#N/A</v>
          </cell>
          <cell r="E374" t="e">
            <v>#N/A</v>
          </cell>
          <cell r="F374" t="e">
            <v>#N/A</v>
          </cell>
        </row>
        <row r="375">
          <cell r="A375" t="e">
            <v>#N/A</v>
          </cell>
          <cell r="B375" t="str">
            <v>단가-208번</v>
          </cell>
          <cell r="C375" t="e">
            <v>#N/A</v>
          </cell>
          <cell r="D375" t="e">
            <v>#N/A</v>
          </cell>
          <cell r="E375" t="e">
            <v>#N/A</v>
          </cell>
          <cell r="F375" t="e">
            <v>#N/A</v>
          </cell>
        </row>
        <row r="376">
          <cell r="A376" t="e">
            <v>#N/A</v>
          </cell>
          <cell r="B376" t="str">
            <v>단가-209번</v>
          </cell>
          <cell r="C376" t="e">
            <v>#N/A</v>
          </cell>
          <cell r="D376" t="e">
            <v>#N/A</v>
          </cell>
          <cell r="E376" t="e">
            <v>#N/A</v>
          </cell>
          <cell r="F376" t="e">
            <v>#N/A</v>
          </cell>
        </row>
        <row r="377">
          <cell r="A377" t="e">
            <v>#N/A</v>
          </cell>
          <cell r="B377" t="str">
            <v>단가-210번</v>
          </cell>
          <cell r="C377" t="e">
            <v>#N/A</v>
          </cell>
          <cell r="D377" t="e">
            <v>#N/A</v>
          </cell>
          <cell r="E377" t="e">
            <v>#N/A</v>
          </cell>
          <cell r="F377" t="e">
            <v>#N/A</v>
          </cell>
        </row>
        <row r="378">
          <cell r="A378" t="e">
            <v>#N/A</v>
          </cell>
          <cell r="B378" t="str">
            <v>단가-211번</v>
          </cell>
          <cell r="C378" t="e">
            <v>#N/A</v>
          </cell>
          <cell r="D378" t="e">
            <v>#N/A</v>
          </cell>
          <cell r="E378" t="e">
            <v>#N/A</v>
          </cell>
          <cell r="F378" t="e">
            <v>#N/A</v>
          </cell>
        </row>
        <row r="379">
          <cell r="A379" t="e">
            <v>#N/A</v>
          </cell>
          <cell r="B379" t="str">
            <v>단가-212번</v>
          </cell>
          <cell r="C379" t="e">
            <v>#N/A</v>
          </cell>
          <cell r="D379" t="e">
            <v>#N/A</v>
          </cell>
          <cell r="E379" t="e">
            <v>#N/A</v>
          </cell>
          <cell r="F379" t="e">
            <v>#N/A</v>
          </cell>
        </row>
        <row r="380">
          <cell r="A380" t="e">
            <v>#N/A</v>
          </cell>
          <cell r="B380" t="str">
            <v>단가-213번</v>
          </cell>
          <cell r="C380" t="e">
            <v>#N/A</v>
          </cell>
          <cell r="D380" t="e">
            <v>#N/A</v>
          </cell>
          <cell r="E380" t="e">
            <v>#N/A</v>
          </cell>
          <cell r="F380" t="e">
            <v>#N/A</v>
          </cell>
        </row>
        <row r="381">
          <cell r="A381" t="e">
            <v>#N/A</v>
          </cell>
          <cell r="B381" t="str">
            <v>단가-214번</v>
          </cell>
          <cell r="C381" t="e">
            <v>#N/A</v>
          </cell>
          <cell r="D381" t="e">
            <v>#N/A</v>
          </cell>
          <cell r="E381" t="e">
            <v>#N/A</v>
          </cell>
          <cell r="F381" t="e">
            <v>#N/A</v>
          </cell>
        </row>
        <row r="382">
          <cell r="A382" t="e">
            <v>#N/A</v>
          </cell>
          <cell r="B382" t="str">
            <v>단가-215번</v>
          </cell>
          <cell r="C382" t="e">
            <v>#N/A</v>
          </cell>
          <cell r="D382" t="e">
            <v>#N/A</v>
          </cell>
          <cell r="E382" t="e">
            <v>#N/A</v>
          </cell>
          <cell r="F382" t="e">
            <v>#N/A</v>
          </cell>
        </row>
        <row r="383">
          <cell r="A383" t="e">
            <v>#N/A</v>
          </cell>
          <cell r="B383" t="str">
            <v>단가-216번</v>
          </cell>
          <cell r="C383" t="e">
            <v>#N/A</v>
          </cell>
          <cell r="D383" t="e">
            <v>#N/A</v>
          </cell>
          <cell r="E383" t="e">
            <v>#N/A</v>
          </cell>
          <cell r="F383" t="e">
            <v>#N/A</v>
          </cell>
        </row>
        <row r="384">
          <cell r="A384" t="e">
            <v>#N/A</v>
          </cell>
          <cell r="B384" t="str">
            <v>단가-217번</v>
          </cell>
          <cell r="C384" t="e">
            <v>#N/A</v>
          </cell>
          <cell r="D384" t="e">
            <v>#N/A</v>
          </cell>
          <cell r="E384" t="e">
            <v>#N/A</v>
          </cell>
          <cell r="F384" t="e">
            <v>#N/A</v>
          </cell>
        </row>
        <row r="385">
          <cell r="A385" t="e">
            <v>#N/A</v>
          </cell>
          <cell r="B385" t="str">
            <v>단가-218번</v>
          </cell>
          <cell r="C385" t="e">
            <v>#N/A</v>
          </cell>
          <cell r="D385" t="e">
            <v>#N/A</v>
          </cell>
          <cell r="E385" t="e">
            <v>#N/A</v>
          </cell>
          <cell r="F385" t="e">
            <v>#N/A</v>
          </cell>
        </row>
        <row r="386">
          <cell r="A386" t="e">
            <v>#N/A</v>
          </cell>
          <cell r="B386" t="str">
            <v>단가-219번</v>
          </cell>
          <cell r="C386" t="e">
            <v>#N/A</v>
          </cell>
          <cell r="D386" t="e">
            <v>#N/A</v>
          </cell>
          <cell r="E386" t="e">
            <v>#N/A</v>
          </cell>
          <cell r="F386" t="e">
            <v>#N/A</v>
          </cell>
        </row>
        <row r="387">
          <cell r="A387" t="e">
            <v>#N/A</v>
          </cell>
          <cell r="B387" t="str">
            <v>단가-220번</v>
          </cell>
          <cell r="C387" t="e">
            <v>#N/A</v>
          </cell>
          <cell r="D387" t="e">
            <v>#N/A</v>
          </cell>
          <cell r="E387" t="e">
            <v>#N/A</v>
          </cell>
          <cell r="F387" t="e">
            <v>#N/A</v>
          </cell>
        </row>
        <row r="388">
          <cell r="A388" t="e">
            <v>#N/A</v>
          </cell>
          <cell r="B388" t="str">
            <v>단가-221번</v>
          </cell>
          <cell r="C388" t="e">
            <v>#N/A</v>
          </cell>
          <cell r="D388" t="e">
            <v>#N/A</v>
          </cell>
          <cell r="E388" t="e">
            <v>#N/A</v>
          </cell>
          <cell r="F388" t="e">
            <v>#N/A</v>
          </cell>
        </row>
        <row r="389">
          <cell r="A389" t="e">
            <v>#N/A</v>
          </cell>
          <cell r="B389" t="str">
            <v>단가-222번</v>
          </cell>
          <cell r="C389" t="e">
            <v>#N/A</v>
          </cell>
          <cell r="D389" t="e">
            <v>#N/A</v>
          </cell>
          <cell r="E389" t="e">
            <v>#N/A</v>
          </cell>
          <cell r="F389" t="e">
            <v>#N/A</v>
          </cell>
        </row>
        <row r="390">
          <cell r="A390" t="e">
            <v>#N/A</v>
          </cell>
          <cell r="B390" t="str">
            <v>단가-223번</v>
          </cell>
          <cell r="C390" t="e">
            <v>#N/A</v>
          </cell>
          <cell r="D390" t="e">
            <v>#N/A</v>
          </cell>
          <cell r="E390" t="e">
            <v>#N/A</v>
          </cell>
          <cell r="F390" t="e">
            <v>#N/A</v>
          </cell>
        </row>
        <row r="391">
          <cell r="A391" t="e">
            <v>#N/A</v>
          </cell>
          <cell r="B391" t="str">
            <v>단가-224번</v>
          </cell>
          <cell r="C391" t="e">
            <v>#N/A</v>
          </cell>
          <cell r="D391" t="e">
            <v>#N/A</v>
          </cell>
          <cell r="E391" t="e">
            <v>#N/A</v>
          </cell>
          <cell r="F391" t="e">
            <v>#N/A</v>
          </cell>
        </row>
        <row r="392">
          <cell r="A392" t="e">
            <v>#N/A</v>
          </cell>
          <cell r="B392" t="str">
            <v>단가-225번</v>
          </cell>
          <cell r="C392" t="e">
            <v>#N/A</v>
          </cell>
          <cell r="D392" t="e">
            <v>#N/A</v>
          </cell>
          <cell r="E392" t="e">
            <v>#N/A</v>
          </cell>
          <cell r="F392" t="e">
            <v>#N/A</v>
          </cell>
        </row>
        <row r="393">
          <cell r="A393" t="e">
            <v>#N/A</v>
          </cell>
          <cell r="B393" t="str">
            <v>단가-225번</v>
          </cell>
          <cell r="C393" t="e">
            <v>#N/A</v>
          </cell>
          <cell r="D393" t="e">
            <v>#N/A</v>
          </cell>
          <cell r="E393" t="e">
            <v>#N/A</v>
          </cell>
          <cell r="F393" t="e">
            <v>#N/A</v>
          </cell>
        </row>
        <row r="394">
          <cell r="A394" t="e">
            <v>#N/A</v>
          </cell>
          <cell r="B394" t="str">
            <v>단가-226번</v>
          </cell>
          <cell r="C394" t="e">
            <v>#N/A</v>
          </cell>
          <cell r="D394" t="e">
            <v>#N/A</v>
          </cell>
          <cell r="E394" t="e">
            <v>#N/A</v>
          </cell>
          <cell r="F394" t="e">
            <v>#N/A</v>
          </cell>
        </row>
        <row r="395">
          <cell r="A395" t="e">
            <v>#N/A</v>
          </cell>
          <cell r="B395" t="str">
            <v>단가-227번</v>
          </cell>
          <cell r="C395" t="e">
            <v>#N/A</v>
          </cell>
          <cell r="D395" t="e">
            <v>#N/A</v>
          </cell>
          <cell r="E395" t="e">
            <v>#N/A</v>
          </cell>
          <cell r="F395" t="e">
            <v>#N/A</v>
          </cell>
        </row>
        <row r="396">
          <cell r="A396" t="e">
            <v>#N/A</v>
          </cell>
          <cell r="B396" t="str">
            <v>단가-228번</v>
          </cell>
          <cell r="C396" t="e">
            <v>#N/A</v>
          </cell>
          <cell r="D396" t="e">
            <v>#N/A</v>
          </cell>
          <cell r="E396" t="e">
            <v>#N/A</v>
          </cell>
          <cell r="F396" t="e">
            <v>#N/A</v>
          </cell>
        </row>
        <row r="397">
          <cell r="A397" t="e">
            <v>#N/A</v>
          </cell>
          <cell r="B397" t="str">
            <v>단가-229번</v>
          </cell>
          <cell r="C397" t="e">
            <v>#N/A</v>
          </cell>
          <cell r="D397" t="e">
            <v>#N/A</v>
          </cell>
          <cell r="E397" t="e">
            <v>#N/A</v>
          </cell>
          <cell r="F397" t="e">
            <v>#N/A</v>
          </cell>
        </row>
        <row r="398">
          <cell r="A398" t="e">
            <v>#N/A</v>
          </cell>
          <cell r="B398" t="str">
            <v>단가-230번</v>
          </cell>
          <cell r="C398" t="e">
            <v>#N/A</v>
          </cell>
          <cell r="D398" t="e">
            <v>#N/A</v>
          </cell>
          <cell r="E398" t="e">
            <v>#N/A</v>
          </cell>
          <cell r="F398" t="e">
            <v>#N/A</v>
          </cell>
        </row>
        <row r="399">
          <cell r="A399" t="e">
            <v>#N/A</v>
          </cell>
          <cell r="B399" t="str">
            <v>단가-231번</v>
          </cell>
          <cell r="C399" t="e">
            <v>#N/A</v>
          </cell>
          <cell r="D399" t="e">
            <v>#N/A</v>
          </cell>
          <cell r="E399" t="e">
            <v>#N/A</v>
          </cell>
          <cell r="F399" t="e">
            <v>#N/A</v>
          </cell>
        </row>
        <row r="400">
          <cell r="A400" t="e">
            <v>#N/A</v>
          </cell>
          <cell r="B400" t="str">
            <v>단가-232번</v>
          </cell>
          <cell r="C400" t="e">
            <v>#N/A</v>
          </cell>
          <cell r="D400" t="e">
            <v>#N/A</v>
          </cell>
          <cell r="E400" t="e">
            <v>#N/A</v>
          </cell>
          <cell r="F400" t="e">
            <v>#N/A</v>
          </cell>
        </row>
        <row r="401">
          <cell r="A401" t="e">
            <v>#N/A</v>
          </cell>
          <cell r="B401" t="str">
            <v>단가-233번</v>
          </cell>
          <cell r="C401" t="e">
            <v>#N/A</v>
          </cell>
          <cell r="D401" t="e">
            <v>#N/A</v>
          </cell>
          <cell r="E401" t="e">
            <v>#N/A</v>
          </cell>
          <cell r="F401" t="e">
            <v>#N/A</v>
          </cell>
        </row>
        <row r="402">
          <cell r="A402" t="e">
            <v>#N/A</v>
          </cell>
          <cell r="B402" t="str">
            <v>단가-234번</v>
          </cell>
          <cell r="C402" t="e">
            <v>#N/A</v>
          </cell>
          <cell r="D402" t="e">
            <v>#N/A</v>
          </cell>
          <cell r="E402" t="e">
            <v>#N/A</v>
          </cell>
          <cell r="F402" t="e">
            <v>#N/A</v>
          </cell>
        </row>
        <row r="403">
          <cell r="A403" t="e">
            <v>#N/A</v>
          </cell>
          <cell r="B403" t="str">
            <v>단가-235번</v>
          </cell>
          <cell r="C403" t="e">
            <v>#N/A</v>
          </cell>
          <cell r="D403" t="e">
            <v>#N/A</v>
          </cell>
          <cell r="E403" t="e">
            <v>#N/A</v>
          </cell>
          <cell r="F403" t="e">
            <v>#N/A</v>
          </cell>
        </row>
        <row r="404">
          <cell r="A404" t="e">
            <v>#N/A</v>
          </cell>
          <cell r="B404" t="str">
            <v>단가-236번</v>
          </cell>
          <cell r="C404" t="e">
            <v>#N/A</v>
          </cell>
          <cell r="D404" t="e">
            <v>#N/A</v>
          </cell>
          <cell r="E404" t="e">
            <v>#N/A</v>
          </cell>
          <cell r="F404" t="e">
            <v>#N/A</v>
          </cell>
        </row>
        <row r="405">
          <cell r="A405" t="e">
            <v>#N/A</v>
          </cell>
          <cell r="B405" t="str">
            <v>단가-237번</v>
          </cell>
          <cell r="C405" t="e">
            <v>#N/A</v>
          </cell>
          <cell r="D405" t="e">
            <v>#N/A</v>
          </cell>
          <cell r="E405" t="e">
            <v>#N/A</v>
          </cell>
          <cell r="F405" t="e">
            <v>#N/A</v>
          </cell>
        </row>
        <row r="406">
          <cell r="A406" t="e">
            <v>#N/A</v>
          </cell>
          <cell r="B406" t="str">
            <v>단가-238번</v>
          </cell>
          <cell r="C406" t="e">
            <v>#N/A</v>
          </cell>
          <cell r="D406" t="e">
            <v>#N/A</v>
          </cell>
          <cell r="E406" t="e">
            <v>#N/A</v>
          </cell>
          <cell r="F406" t="e">
            <v>#N/A</v>
          </cell>
        </row>
        <row r="407">
          <cell r="A407" t="e">
            <v>#N/A</v>
          </cell>
          <cell r="B407" t="str">
            <v>단가-239번</v>
          </cell>
          <cell r="C407" t="e">
            <v>#N/A</v>
          </cell>
          <cell r="D407" t="e">
            <v>#N/A</v>
          </cell>
          <cell r="E407" t="e">
            <v>#N/A</v>
          </cell>
          <cell r="F407" t="e">
            <v>#N/A</v>
          </cell>
        </row>
        <row r="408">
          <cell r="A408" t="e">
            <v>#N/A</v>
          </cell>
          <cell r="B408" t="str">
            <v>단가-240번</v>
          </cell>
          <cell r="C408" t="e">
            <v>#N/A</v>
          </cell>
          <cell r="D408" t="e">
            <v>#N/A</v>
          </cell>
          <cell r="E408" t="e">
            <v>#N/A</v>
          </cell>
          <cell r="F408" t="e">
            <v>#N/A</v>
          </cell>
        </row>
        <row r="409">
          <cell r="A409" t="e">
            <v>#N/A</v>
          </cell>
          <cell r="B409" t="str">
            <v>단가-241번</v>
          </cell>
          <cell r="C409" t="e">
            <v>#N/A</v>
          </cell>
          <cell r="D409" t="e">
            <v>#N/A</v>
          </cell>
          <cell r="E409" t="e">
            <v>#N/A</v>
          </cell>
          <cell r="F409" t="e">
            <v>#N/A</v>
          </cell>
        </row>
        <row r="410">
          <cell r="A410" t="e">
            <v>#N/A</v>
          </cell>
          <cell r="B410" t="str">
            <v>단가-242번</v>
          </cell>
          <cell r="C410" t="e">
            <v>#N/A</v>
          </cell>
          <cell r="D410" t="e">
            <v>#N/A</v>
          </cell>
          <cell r="E410" t="e">
            <v>#N/A</v>
          </cell>
          <cell r="F410" t="e">
            <v>#N/A</v>
          </cell>
        </row>
        <row r="411">
          <cell r="A411" t="e">
            <v>#N/A</v>
          </cell>
          <cell r="B411" t="str">
            <v>단가-243번</v>
          </cell>
          <cell r="C411" t="e">
            <v>#N/A</v>
          </cell>
          <cell r="D411" t="e">
            <v>#N/A</v>
          </cell>
          <cell r="E411" t="e">
            <v>#N/A</v>
          </cell>
          <cell r="F411" t="e">
            <v>#N/A</v>
          </cell>
        </row>
        <row r="412">
          <cell r="A412" t="e">
            <v>#N/A</v>
          </cell>
          <cell r="B412" t="str">
            <v>단가-244번</v>
          </cell>
          <cell r="C412" t="e">
            <v>#N/A</v>
          </cell>
          <cell r="D412" t="e">
            <v>#N/A</v>
          </cell>
          <cell r="E412" t="e">
            <v>#N/A</v>
          </cell>
          <cell r="F412" t="e">
            <v>#N/A</v>
          </cell>
        </row>
        <row r="413">
          <cell r="A413" t="e">
            <v>#N/A</v>
          </cell>
          <cell r="B413" t="str">
            <v>단가-245번</v>
          </cell>
          <cell r="C413" t="e">
            <v>#N/A</v>
          </cell>
          <cell r="D413" t="e">
            <v>#N/A</v>
          </cell>
          <cell r="E413" t="e">
            <v>#N/A</v>
          </cell>
          <cell r="F413" t="e">
            <v>#N/A</v>
          </cell>
        </row>
        <row r="414">
          <cell r="A414" t="e">
            <v>#N/A</v>
          </cell>
          <cell r="B414" t="str">
            <v>단가-246번</v>
          </cell>
          <cell r="C414" t="e">
            <v>#N/A</v>
          </cell>
          <cell r="D414" t="e">
            <v>#N/A</v>
          </cell>
          <cell r="E414" t="e">
            <v>#N/A</v>
          </cell>
          <cell r="F414" t="e">
            <v>#N/A</v>
          </cell>
        </row>
        <row r="415">
          <cell r="A415" t="e">
            <v>#N/A</v>
          </cell>
          <cell r="B415" t="str">
            <v>단가-247번</v>
          </cell>
          <cell r="C415" t="e">
            <v>#N/A</v>
          </cell>
          <cell r="D415" t="e">
            <v>#N/A</v>
          </cell>
          <cell r="E415" t="e">
            <v>#N/A</v>
          </cell>
          <cell r="F415" t="e">
            <v>#N/A</v>
          </cell>
        </row>
        <row r="416">
          <cell r="A416" t="e">
            <v>#N/A</v>
          </cell>
          <cell r="B416" t="str">
            <v>단가-248번</v>
          </cell>
          <cell r="C416" t="e">
            <v>#N/A</v>
          </cell>
          <cell r="D416" t="e">
            <v>#N/A</v>
          </cell>
          <cell r="E416" t="e">
            <v>#N/A</v>
          </cell>
          <cell r="F416" t="e">
            <v>#N/A</v>
          </cell>
        </row>
        <row r="417">
          <cell r="A417" t="e">
            <v>#N/A</v>
          </cell>
          <cell r="B417" t="str">
            <v>단가-249번</v>
          </cell>
          <cell r="C417" t="e">
            <v>#N/A</v>
          </cell>
          <cell r="D417" t="e">
            <v>#N/A</v>
          </cell>
          <cell r="E417" t="e">
            <v>#N/A</v>
          </cell>
          <cell r="F417" t="e">
            <v>#N/A</v>
          </cell>
        </row>
        <row r="418">
          <cell r="A418" t="e">
            <v>#N/A</v>
          </cell>
          <cell r="B418" t="str">
            <v>단가-250번</v>
          </cell>
          <cell r="C418" t="e">
            <v>#N/A</v>
          </cell>
          <cell r="D418" t="e">
            <v>#N/A</v>
          </cell>
          <cell r="E418" t="e">
            <v>#N/A</v>
          </cell>
          <cell r="F418" t="e">
            <v>#N/A</v>
          </cell>
        </row>
        <row r="419">
          <cell r="A419" t="e">
            <v>#N/A</v>
          </cell>
          <cell r="B419" t="str">
            <v>단가-251번</v>
          </cell>
          <cell r="C419" t="e">
            <v>#N/A</v>
          </cell>
          <cell r="D419" t="e">
            <v>#N/A</v>
          </cell>
          <cell r="E419" t="e">
            <v>#N/A</v>
          </cell>
          <cell r="F419" t="e">
            <v>#N/A</v>
          </cell>
        </row>
        <row r="420">
          <cell r="A420" t="e">
            <v>#N/A</v>
          </cell>
          <cell r="B420" t="str">
            <v>단가-252번</v>
          </cell>
          <cell r="C420" t="e">
            <v>#N/A</v>
          </cell>
          <cell r="D420" t="e">
            <v>#N/A</v>
          </cell>
          <cell r="E420" t="e">
            <v>#N/A</v>
          </cell>
          <cell r="F420" t="e">
            <v>#N/A</v>
          </cell>
        </row>
        <row r="421">
          <cell r="A421" t="e">
            <v>#N/A</v>
          </cell>
          <cell r="B421" t="str">
            <v>단가-253번</v>
          </cell>
          <cell r="C421" t="e">
            <v>#N/A</v>
          </cell>
          <cell r="D421" t="e">
            <v>#N/A</v>
          </cell>
          <cell r="E421" t="e">
            <v>#N/A</v>
          </cell>
          <cell r="F421" t="e">
            <v>#N/A</v>
          </cell>
        </row>
        <row r="422">
          <cell r="A422" t="e">
            <v>#N/A</v>
          </cell>
          <cell r="B422" t="str">
            <v>단가-254번</v>
          </cell>
          <cell r="C422" t="e">
            <v>#N/A</v>
          </cell>
          <cell r="D422" t="e">
            <v>#N/A</v>
          </cell>
          <cell r="E422" t="e">
            <v>#N/A</v>
          </cell>
          <cell r="F422" t="e">
            <v>#N/A</v>
          </cell>
        </row>
        <row r="423">
          <cell r="A423" t="e">
            <v>#N/A</v>
          </cell>
          <cell r="B423" t="str">
            <v>단가-255번</v>
          </cell>
          <cell r="C423" t="e">
            <v>#N/A</v>
          </cell>
          <cell r="D423" t="e">
            <v>#N/A</v>
          </cell>
          <cell r="E423" t="e">
            <v>#N/A</v>
          </cell>
          <cell r="F423" t="e">
            <v>#N/A</v>
          </cell>
        </row>
        <row r="424">
          <cell r="A424" t="e">
            <v>#N/A</v>
          </cell>
          <cell r="B424" t="str">
            <v>단가-256번</v>
          </cell>
          <cell r="C424" t="e">
            <v>#N/A</v>
          </cell>
          <cell r="D424" t="e">
            <v>#N/A</v>
          </cell>
          <cell r="E424" t="e">
            <v>#N/A</v>
          </cell>
          <cell r="F424" t="e">
            <v>#N/A</v>
          </cell>
        </row>
        <row r="425">
          <cell r="A425" t="e">
            <v>#N/A</v>
          </cell>
          <cell r="B425" t="str">
            <v>단가-257번</v>
          </cell>
          <cell r="C425" t="e">
            <v>#N/A</v>
          </cell>
          <cell r="D425" t="e">
            <v>#N/A</v>
          </cell>
          <cell r="E425" t="e">
            <v>#N/A</v>
          </cell>
          <cell r="F425" t="e">
            <v>#N/A</v>
          </cell>
        </row>
        <row r="426">
          <cell r="A426" t="e">
            <v>#N/A</v>
          </cell>
          <cell r="B426" t="str">
            <v>단가-258번</v>
          </cell>
          <cell r="C426" t="e">
            <v>#N/A</v>
          </cell>
          <cell r="D426" t="e">
            <v>#N/A</v>
          </cell>
          <cell r="E426" t="e">
            <v>#N/A</v>
          </cell>
          <cell r="F426" t="e">
            <v>#N/A</v>
          </cell>
        </row>
        <row r="427">
          <cell r="A427" t="e">
            <v>#N/A</v>
          </cell>
          <cell r="B427" t="str">
            <v>단가-259번</v>
          </cell>
          <cell r="C427" t="e">
            <v>#N/A</v>
          </cell>
          <cell r="D427" t="e">
            <v>#N/A</v>
          </cell>
          <cell r="E427" t="e">
            <v>#N/A</v>
          </cell>
          <cell r="F427" t="e">
            <v>#N/A</v>
          </cell>
        </row>
        <row r="428">
          <cell r="A428" t="e">
            <v>#N/A</v>
          </cell>
          <cell r="B428" t="str">
            <v>단가-260번</v>
          </cell>
          <cell r="C428" t="e">
            <v>#N/A</v>
          </cell>
          <cell r="D428" t="e">
            <v>#N/A</v>
          </cell>
          <cell r="E428" t="e">
            <v>#N/A</v>
          </cell>
          <cell r="F428" t="e">
            <v>#N/A</v>
          </cell>
        </row>
        <row r="429">
          <cell r="A429" t="e">
            <v>#N/A</v>
          </cell>
          <cell r="B429" t="str">
            <v>단가-261번</v>
          </cell>
          <cell r="C429" t="e">
            <v>#N/A</v>
          </cell>
          <cell r="D429" t="e">
            <v>#N/A</v>
          </cell>
          <cell r="E429" t="e">
            <v>#N/A</v>
          </cell>
          <cell r="F429" t="e">
            <v>#N/A</v>
          </cell>
        </row>
        <row r="430">
          <cell r="A430" t="e">
            <v>#N/A</v>
          </cell>
          <cell r="B430" t="str">
            <v>단가-262번</v>
          </cell>
          <cell r="C430" t="e">
            <v>#N/A</v>
          </cell>
          <cell r="D430" t="e">
            <v>#N/A</v>
          </cell>
          <cell r="E430" t="e">
            <v>#N/A</v>
          </cell>
          <cell r="F430" t="e">
            <v>#N/A</v>
          </cell>
        </row>
        <row r="431">
          <cell r="A431" t="e">
            <v>#N/A</v>
          </cell>
          <cell r="B431" t="str">
            <v>단가-263번</v>
          </cell>
          <cell r="C431" t="e">
            <v>#N/A</v>
          </cell>
          <cell r="D431" t="e">
            <v>#N/A</v>
          </cell>
          <cell r="E431" t="e">
            <v>#N/A</v>
          </cell>
          <cell r="F431" t="e">
            <v>#N/A</v>
          </cell>
        </row>
        <row r="432">
          <cell r="A432" t="e">
            <v>#N/A</v>
          </cell>
          <cell r="B432" t="str">
            <v>단가-264번</v>
          </cell>
          <cell r="C432" t="e">
            <v>#N/A</v>
          </cell>
          <cell r="D432" t="e">
            <v>#N/A</v>
          </cell>
          <cell r="E432" t="e">
            <v>#N/A</v>
          </cell>
          <cell r="F432" t="e">
            <v>#N/A</v>
          </cell>
        </row>
        <row r="433">
          <cell r="A433" t="e">
            <v>#N/A</v>
          </cell>
          <cell r="B433" t="str">
            <v>단가-265번</v>
          </cell>
          <cell r="C433" t="e">
            <v>#N/A</v>
          </cell>
          <cell r="D433" t="e">
            <v>#N/A</v>
          </cell>
          <cell r="E433" t="e">
            <v>#N/A</v>
          </cell>
          <cell r="F433" t="e">
            <v>#N/A</v>
          </cell>
        </row>
        <row r="434">
          <cell r="A434" t="e">
            <v>#N/A</v>
          </cell>
          <cell r="B434" t="str">
            <v>단가-266번</v>
          </cell>
          <cell r="C434" t="e">
            <v>#N/A</v>
          </cell>
          <cell r="D434" t="e">
            <v>#N/A</v>
          </cell>
          <cell r="E434" t="e">
            <v>#N/A</v>
          </cell>
          <cell r="F434" t="e">
            <v>#N/A</v>
          </cell>
        </row>
        <row r="435">
          <cell r="A435" t="e">
            <v>#N/A</v>
          </cell>
          <cell r="B435" t="str">
            <v>단가-267번</v>
          </cell>
          <cell r="C435" t="e">
            <v>#N/A</v>
          </cell>
          <cell r="D435" t="e">
            <v>#N/A</v>
          </cell>
          <cell r="E435" t="e">
            <v>#N/A</v>
          </cell>
          <cell r="F435" t="e">
            <v>#N/A</v>
          </cell>
        </row>
        <row r="436">
          <cell r="A436" t="e">
            <v>#N/A</v>
          </cell>
          <cell r="B436" t="str">
            <v>단가-268번</v>
          </cell>
          <cell r="C436" t="e">
            <v>#N/A</v>
          </cell>
          <cell r="D436" t="e">
            <v>#N/A</v>
          </cell>
          <cell r="E436" t="e">
            <v>#N/A</v>
          </cell>
          <cell r="F436" t="e">
            <v>#N/A</v>
          </cell>
        </row>
        <row r="437">
          <cell r="A437" t="e">
            <v>#N/A</v>
          </cell>
          <cell r="B437" t="str">
            <v>단가-269번</v>
          </cell>
          <cell r="C437" t="e">
            <v>#N/A</v>
          </cell>
          <cell r="D437" t="e">
            <v>#N/A</v>
          </cell>
          <cell r="E437" t="e">
            <v>#N/A</v>
          </cell>
          <cell r="F437" t="e">
            <v>#N/A</v>
          </cell>
        </row>
        <row r="438">
          <cell r="A438" t="e">
            <v>#N/A</v>
          </cell>
          <cell r="B438" t="str">
            <v>단가-270번</v>
          </cell>
          <cell r="C438" t="e">
            <v>#N/A</v>
          </cell>
          <cell r="D438" t="e">
            <v>#N/A</v>
          </cell>
          <cell r="E438" t="e">
            <v>#N/A</v>
          </cell>
          <cell r="F438" t="e">
            <v>#N/A</v>
          </cell>
        </row>
        <row r="439">
          <cell r="A439" t="e">
            <v>#N/A</v>
          </cell>
          <cell r="B439" t="str">
            <v>단가-271번</v>
          </cell>
          <cell r="C439" t="e">
            <v>#N/A</v>
          </cell>
          <cell r="D439" t="e">
            <v>#N/A</v>
          </cell>
          <cell r="E439" t="e">
            <v>#N/A</v>
          </cell>
          <cell r="F439" t="e">
            <v>#N/A</v>
          </cell>
        </row>
        <row r="440">
          <cell r="A440" t="e">
            <v>#N/A</v>
          </cell>
          <cell r="B440" t="str">
            <v>단가-272번</v>
          </cell>
          <cell r="C440" t="e">
            <v>#N/A</v>
          </cell>
          <cell r="D440" t="e">
            <v>#N/A</v>
          </cell>
          <cell r="E440" t="e">
            <v>#N/A</v>
          </cell>
          <cell r="F440" t="e">
            <v>#N/A</v>
          </cell>
        </row>
        <row r="441">
          <cell r="A441" t="e">
            <v>#N/A</v>
          </cell>
          <cell r="B441" t="str">
            <v>단가-273번</v>
          </cell>
          <cell r="C441" t="e">
            <v>#N/A</v>
          </cell>
          <cell r="D441" t="e">
            <v>#N/A</v>
          </cell>
          <cell r="E441" t="e">
            <v>#N/A</v>
          </cell>
          <cell r="F441" t="e">
            <v>#N/A</v>
          </cell>
        </row>
        <row r="442">
          <cell r="A442" t="e">
            <v>#N/A</v>
          </cell>
          <cell r="B442" t="str">
            <v>단가-274번</v>
          </cell>
          <cell r="C442" t="e">
            <v>#N/A</v>
          </cell>
          <cell r="D442" t="e">
            <v>#N/A</v>
          </cell>
          <cell r="E442" t="e">
            <v>#N/A</v>
          </cell>
          <cell r="F442" t="e">
            <v>#N/A</v>
          </cell>
        </row>
        <row r="443">
          <cell r="A443" t="e">
            <v>#N/A</v>
          </cell>
          <cell r="B443" t="str">
            <v>단가-275번</v>
          </cell>
          <cell r="C443" t="e">
            <v>#N/A</v>
          </cell>
          <cell r="D443" t="e">
            <v>#N/A</v>
          </cell>
          <cell r="E443" t="e">
            <v>#N/A</v>
          </cell>
          <cell r="F443" t="e">
            <v>#N/A</v>
          </cell>
        </row>
        <row r="444">
          <cell r="A444" t="e">
            <v>#N/A</v>
          </cell>
          <cell r="B444" t="str">
            <v>단가-276번</v>
          </cell>
          <cell r="C444" t="e">
            <v>#N/A</v>
          </cell>
          <cell r="D444" t="e">
            <v>#N/A</v>
          </cell>
          <cell r="E444" t="e">
            <v>#N/A</v>
          </cell>
          <cell r="F444" t="e">
            <v>#N/A</v>
          </cell>
        </row>
        <row r="445">
          <cell r="A445" t="e">
            <v>#N/A</v>
          </cell>
          <cell r="B445" t="str">
            <v>단가-277번</v>
          </cell>
          <cell r="C445" t="e">
            <v>#N/A</v>
          </cell>
          <cell r="D445" t="e">
            <v>#N/A</v>
          </cell>
          <cell r="E445" t="e">
            <v>#N/A</v>
          </cell>
          <cell r="F445" t="e">
            <v>#N/A</v>
          </cell>
        </row>
        <row r="446">
          <cell r="A446" t="e">
            <v>#N/A</v>
          </cell>
          <cell r="B446" t="str">
            <v>단가-278번</v>
          </cell>
          <cell r="C446" t="e">
            <v>#N/A</v>
          </cell>
          <cell r="D446" t="e">
            <v>#N/A</v>
          </cell>
          <cell r="E446" t="e">
            <v>#N/A</v>
          </cell>
          <cell r="F446" t="e">
            <v>#N/A</v>
          </cell>
        </row>
        <row r="447">
          <cell r="A447" t="e">
            <v>#N/A</v>
          </cell>
          <cell r="B447" t="str">
            <v>단가-279번</v>
          </cell>
          <cell r="C447" t="e">
            <v>#N/A</v>
          </cell>
          <cell r="D447" t="e">
            <v>#N/A</v>
          </cell>
          <cell r="E447" t="e">
            <v>#N/A</v>
          </cell>
          <cell r="F447" t="e">
            <v>#N/A</v>
          </cell>
        </row>
        <row r="448">
          <cell r="A448" t="e">
            <v>#N/A</v>
          </cell>
          <cell r="B448" t="str">
            <v>단가-280번</v>
          </cell>
          <cell r="C448" t="e">
            <v>#N/A</v>
          </cell>
          <cell r="D448" t="e">
            <v>#N/A</v>
          </cell>
          <cell r="E448" t="e">
            <v>#N/A</v>
          </cell>
          <cell r="F448" t="e">
            <v>#N/A</v>
          </cell>
        </row>
        <row r="449">
          <cell r="A449" t="e">
            <v>#N/A</v>
          </cell>
          <cell r="B449" t="str">
            <v>단가-281번</v>
          </cell>
          <cell r="C449" t="e">
            <v>#N/A</v>
          </cell>
          <cell r="D449" t="e">
            <v>#N/A</v>
          </cell>
          <cell r="E449" t="e">
            <v>#N/A</v>
          </cell>
          <cell r="F449" t="e">
            <v>#N/A</v>
          </cell>
        </row>
        <row r="450">
          <cell r="A450" t="e">
            <v>#N/A</v>
          </cell>
          <cell r="B450" t="str">
            <v>단가-282번</v>
          </cell>
          <cell r="C450" t="e">
            <v>#N/A</v>
          </cell>
          <cell r="D450" t="e">
            <v>#N/A</v>
          </cell>
          <cell r="E450" t="e">
            <v>#N/A</v>
          </cell>
          <cell r="F450" t="e">
            <v>#N/A</v>
          </cell>
        </row>
        <row r="451">
          <cell r="A451" t="e">
            <v>#N/A</v>
          </cell>
          <cell r="B451" t="str">
            <v>단가-283번</v>
          </cell>
          <cell r="C451" t="e">
            <v>#N/A</v>
          </cell>
          <cell r="D451" t="e">
            <v>#N/A</v>
          </cell>
          <cell r="E451" t="e">
            <v>#N/A</v>
          </cell>
          <cell r="F451" t="e">
            <v>#N/A</v>
          </cell>
        </row>
        <row r="452">
          <cell r="A452" t="e">
            <v>#N/A</v>
          </cell>
          <cell r="B452" t="str">
            <v>단가-284번</v>
          </cell>
          <cell r="C452" t="e">
            <v>#N/A</v>
          </cell>
          <cell r="D452" t="e">
            <v>#N/A</v>
          </cell>
          <cell r="E452" t="e">
            <v>#N/A</v>
          </cell>
          <cell r="F452" t="e">
            <v>#N/A</v>
          </cell>
        </row>
        <row r="453">
          <cell r="A453" t="e">
            <v>#N/A</v>
          </cell>
          <cell r="B453" t="str">
            <v>단가-285번</v>
          </cell>
          <cell r="C453" t="e">
            <v>#N/A</v>
          </cell>
          <cell r="D453" t="e">
            <v>#N/A</v>
          </cell>
          <cell r="E453" t="e">
            <v>#N/A</v>
          </cell>
          <cell r="F453" t="e">
            <v>#N/A</v>
          </cell>
        </row>
        <row r="454">
          <cell r="A454" t="e">
            <v>#N/A</v>
          </cell>
          <cell r="B454" t="str">
            <v>단가-286번</v>
          </cell>
          <cell r="C454" t="e">
            <v>#N/A</v>
          </cell>
          <cell r="D454" t="e">
            <v>#N/A</v>
          </cell>
          <cell r="E454" t="e">
            <v>#N/A</v>
          </cell>
          <cell r="F454" t="e">
            <v>#N/A</v>
          </cell>
        </row>
        <row r="455">
          <cell r="A455" t="e">
            <v>#N/A</v>
          </cell>
          <cell r="B455" t="str">
            <v>단가-287번</v>
          </cell>
          <cell r="C455" t="e">
            <v>#N/A</v>
          </cell>
          <cell r="D455" t="e">
            <v>#N/A</v>
          </cell>
          <cell r="E455" t="e">
            <v>#N/A</v>
          </cell>
          <cell r="F455" t="e">
            <v>#N/A</v>
          </cell>
        </row>
        <row r="456">
          <cell r="A456" t="e">
            <v>#N/A</v>
          </cell>
          <cell r="B456" t="str">
            <v>단가-288번</v>
          </cell>
          <cell r="C456" t="e">
            <v>#N/A</v>
          </cell>
          <cell r="D456" t="e">
            <v>#N/A</v>
          </cell>
          <cell r="E456" t="e">
            <v>#N/A</v>
          </cell>
          <cell r="F456" t="e">
            <v>#N/A</v>
          </cell>
        </row>
        <row r="457">
          <cell r="A457" t="e">
            <v>#N/A</v>
          </cell>
          <cell r="B457" t="str">
            <v>단가-289번</v>
          </cell>
          <cell r="C457" t="e">
            <v>#N/A</v>
          </cell>
          <cell r="D457" t="e">
            <v>#N/A</v>
          </cell>
          <cell r="E457" t="e">
            <v>#N/A</v>
          </cell>
          <cell r="F457" t="e">
            <v>#N/A</v>
          </cell>
        </row>
        <row r="458">
          <cell r="A458" t="e">
            <v>#N/A</v>
          </cell>
          <cell r="B458" t="str">
            <v>단가-290번</v>
          </cell>
          <cell r="C458" t="e">
            <v>#N/A</v>
          </cell>
          <cell r="D458" t="e">
            <v>#N/A</v>
          </cell>
          <cell r="E458" t="e">
            <v>#N/A</v>
          </cell>
          <cell r="F458" t="e">
            <v>#N/A</v>
          </cell>
        </row>
        <row r="459">
          <cell r="A459" t="e">
            <v>#N/A</v>
          </cell>
          <cell r="B459" t="str">
            <v>단가-291번</v>
          </cell>
          <cell r="C459" t="e">
            <v>#N/A</v>
          </cell>
          <cell r="D459" t="e">
            <v>#N/A</v>
          </cell>
          <cell r="E459" t="e">
            <v>#N/A</v>
          </cell>
          <cell r="F459" t="e">
            <v>#N/A</v>
          </cell>
        </row>
        <row r="460">
          <cell r="A460" t="e">
            <v>#N/A</v>
          </cell>
          <cell r="B460" t="str">
            <v>단가-292번</v>
          </cell>
          <cell r="C460" t="e">
            <v>#N/A</v>
          </cell>
          <cell r="D460" t="e">
            <v>#N/A</v>
          </cell>
          <cell r="E460" t="e">
            <v>#N/A</v>
          </cell>
          <cell r="F460" t="e">
            <v>#N/A</v>
          </cell>
        </row>
        <row r="461">
          <cell r="A461" t="e">
            <v>#N/A</v>
          </cell>
          <cell r="B461" t="str">
            <v>단가-293번</v>
          </cell>
          <cell r="C461" t="e">
            <v>#N/A</v>
          </cell>
          <cell r="D461" t="e">
            <v>#N/A</v>
          </cell>
          <cell r="E461" t="e">
            <v>#N/A</v>
          </cell>
          <cell r="F461" t="e">
            <v>#N/A</v>
          </cell>
        </row>
        <row r="462">
          <cell r="A462" t="e">
            <v>#N/A</v>
          </cell>
          <cell r="B462" t="str">
            <v>단가-294번</v>
          </cell>
          <cell r="C462" t="e">
            <v>#N/A</v>
          </cell>
          <cell r="D462" t="e">
            <v>#N/A</v>
          </cell>
          <cell r="E462" t="e">
            <v>#N/A</v>
          </cell>
          <cell r="F462" t="e">
            <v>#N/A</v>
          </cell>
        </row>
        <row r="463">
          <cell r="A463" t="e">
            <v>#N/A</v>
          </cell>
          <cell r="B463" t="str">
            <v>단가-295번</v>
          </cell>
          <cell r="C463" t="e">
            <v>#N/A</v>
          </cell>
          <cell r="D463" t="e">
            <v>#N/A</v>
          </cell>
          <cell r="E463" t="e">
            <v>#N/A</v>
          </cell>
          <cell r="F463" t="e">
            <v>#N/A</v>
          </cell>
        </row>
        <row r="464">
          <cell r="A464" t="e">
            <v>#N/A</v>
          </cell>
          <cell r="B464" t="str">
            <v>단가-296번</v>
          </cell>
          <cell r="C464" t="e">
            <v>#N/A</v>
          </cell>
          <cell r="D464" t="e">
            <v>#N/A</v>
          </cell>
          <cell r="E464" t="e">
            <v>#N/A</v>
          </cell>
          <cell r="F464" t="e">
            <v>#N/A</v>
          </cell>
        </row>
        <row r="465">
          <cell r="A465" t="e">
            <v>#N/A</v>
          </cell>
          <cell r="B465" t="str">
            <v>단가-297번</v>
          </cell>
          <cell r="C465" t="e">
            <v>#N/A</v>
          </cell>
          <cell r="D465" t="e">
            <v>#N/A</v>
          </cell>
          <cell r="E465" t="e">
            <v>#N/A</v>
          </cell>
          <cell r="F465" t="e">
            <v>#N/A</v>
          </cell>
        </row>
        <row r="466">
          <cell r="A466" t="e">
            <v>#N/A</v>
          </cell>
          <cell r="B466" t="str">
            <v>단가-298번</v>
          </cell>
          <cell r="C466" t="e">
            <v>#N/A</v>
          </cell>
          <cell r="D466" t="e">
            <v>#N/A</v>
          </cell>
          <cell r="E466" t="e">
            <v>#N/A</v>
          </cell>
          <cell r="F466" t="e">
            <v>#N/A</v>
          </cell>
        </row>
        <row r="467">
          <cell r="A467" t="e">
            <v>#N/A</v>
          </cell>
          <cell r="B467" t="str">
            <v>단가-299번</v>
          </cell>
          <cell r="C467" t="e">
            <v>#N/A</v>
          </cell>
          <cell r="D467" t="e">
            <v>#N/A</v>
          </cell>
          <cell r="E467" t="e">
            <v>#N/A</v>
          </cell>
          <cell r="F467" t="e">
            <v>#N/A</v>
          </cell>
        </row>
        <row r="468">
          <cell r="A468" t="e">
            <v>#N/A</v>
          </cell>
          <cell r="B468" t="str">
            <v>단가-300번</v>
          </cell>
          <cell r="C468" t="e">
            <v>#N/A</v>
          </cell>
          <cell r="D468" t="e">
            <v>#N/A</v>
          </cell>
          <cell r="E468" t="e">
            <v>#N/A</v>
          </cell>
          <cell r="F468" t="e">
            <v>#N/A</v>
          </cell>
        </row>
        <row r="469">
          <cell r="A469" t="e">
            <v>#N/A</v>
          </cell>
          <cell r="B469" t="str">
            <v>단가-301번</v>
          </cell>
          <cell r="C469" t="e">
            <v>#N/A</v>
          </cell>
          <cell r="D469" t="e">
            <v>#N/A</v>
          </cell>
          <cell r="E469" t="e">
            <v>#N/A</v>
          </cell>
          <cell r="F469" t="e">
            <v>#N/A</v>
          </cell>
        </row>
        <row r="470">
          <cell r="A470" t="e">
            <v>#N/A</v>
          </cell>
          <cell r="B470" t="str">
            <v>단가-302번</v>
          </cell>
          <cell r="C470" t="e">
            <v>#N/A</v>
          </cell>
          <cell r="D470" t="e">
            <v>#N/A</v>
          </cell>
          <cell r="E470" t="e">
            <v>#N/A</v>
          </cell>
          <cell r="F470" t="e">
            <v>#N/A</v>
          </cell>
        </row>
        <row r="471">
          <cell r="A471" t="e">
            <v>#N/A</v>
          </cell>
          <cell r="B471" t="str">
            <v>단가-303번</v>
          </cell>
          <cell r="C471" t="e">
            <v>#N/A</v>
          </cell>
          <cell r="D471" t="e">
            <v>#N/A</v>
          </cell>
          <cell r="E471" t="e">
            <v>#N/A</v>
          </cell>
          <cell r="F471" t="e">
            <v>#N/A</v>
          </cell>
        </row>
        <row r="472">
          <cell r="A472" t="e">
            <v>#N/A</v>
          </cell>
          <cell r="B472" t="str">
            <v>단가-304번</v>
          </cell>
          <cell r="C472" t="e">
            <v>#N/A</v>
          </cell>
          <cell r="D472" t="e">
            <v>#N/A</v>
          </cell>
          <cell r="E472" t="e">
            <v>#N/A</v>
          </cell>
          <cell r="F472" t="e">
            <v>#N/A</v>
          </cell>
        </row>
        <row r="473">
          <cell r="A473" t="e">
            <v>#N/A</v>
          </cell>
          <cell r="B473" t="str">
            <v>단가-305번</v>
          </cell>
          <cell r="C473" t="e">
            <v>#N/A</v>
          </cell>
          <cell r="D473" t="e">
            <v>#N/A</v>
          </cell>
          <cell r="E473" t="e">
            <v>#N/A</v>
          </cell>
          <cell r="F473" t="e">
            <v>#N/A</v>
          </cell>
        </row>
        <row r="474">
          <cell r="A474" t="e">
            <v>#N/A</v>
          </cell>
          <cell r="B474" t="str">
            <v>단가-306번</v>
          </cell>
          <cell r="C474" t="e">
            <v>#N/A</v>
          </cell>
          <cell r="D474" t="e">
            <v>#N/A</v>
          </cell>
          <cell r="E474" t="e">
            <v>#N/A</v>
          </cell>
          <cell r="F474" t="e">
            <v>#N/A</v>
          </cell>
        </row>
        <row r="475">
          <cell r="A475" t="e">
            <v>#N/A</v>
          </cell>
          <cell r="B475" t="str">
            <v>단가-307번</v>
          </cell>
          <cell r="C475" t="e">
            <v>#N/A</v>
          </cell>
          <cell r="D475" t="e">
            <v>#N/A</v>
          </cell>
          <cell r="E475" t="e">
            <v>#N/A</v>
          </cell>
          <cell r="F475" t="e">
            <v>#N/A</v>
          </cell>
        </row>
        <row r="476">
          <cell r="A476" t="e">
            <v>#N/A</v>
          </cell>
          <cell r="B476" t="str">
            <v>단가-308번</v>
          </cell>
          <cell r="C476" t="e">
            <v>#N/A</v>
          </cell>
          <cell r="D476" t="e">
            <v>#N/A</v>
          </cell>
          <cell r="E476" t="e">
            <v>#N/A</v>
          </cell>
          <cell r="F476" t="e">
            <v>#N/A</v>
          </cell>
        </row>
        <row r="477">
          <cell r="A477" t="e">
            <v>#N/A</v>
          </cell>
          <cell r="B477" t="str">
            <v>단가-309번</v>
          </cell>
          <cell r="C477" t="e">
            <v>#N/A</v>
          </cell>
          <cell r="D477" t="e">
            <v>#N/A</v>
          </cell>
          <cell r="E477" t="e">
            <v>#N/A</v>
          </cell>
          <cell r="F477" t="e">
            <v>#N/A</v>
          </cell>
        </row>
        <row r="478">
          <cell r="A478" t="e">
            <v>#N/A</v>
          </cell>
          <cell r="B478" t="str">
            <v>단가-310번</v>
          </cell>
          <cell r="C478" t="e">
            <v>#N/A</v>
          </cell>
          <cell r="D478" t="e">
            <v>#N/A</v>
          </cell>
          <cell r="E478" t="e">
            <v>#N/A</v>
          </cell>
          <cell r="F478" t="e">
            <v>#N/A</v>
          </cell>
        </row>
        <row r="479">
          <cell r="A479" t="e">
            <v>#N/A</v>
          </cell>
          <cell r="B479" t="str">
            <v>단가-311번</v>
          </cell>
          <cell r="C479" t="e">
            <v>#N/A</v>
          </cell>
          <cell r="D479" t="e">
            <v>#N/A</v>
          </cell>
          <cell r="E479" t="e">
            <v>#N/A</v>
          </cell>
          <cell r="F479" t="e">
            <v>#N/A</v>
          </cell>
        </row>
        <row r="480">
          <cell r="A480" t="e">
            <v>#N/A</v>
          </cell>
          <cell r="B480" t="str">
            <v>단가-312번</v>
          </cell>
          <cell r="C480" t="e">
            <v>#N/A</v>
          </cell>
          <cell r="D480" t="e">
            <v>#N/A</v>
          </cell>
          <cell r="E480" t="e">
            <v>#N/A</v>
          </cell>
          <cell r="F480" t="e">
            <v>#N/A</v>
          </cell>
        </row>
        <row r="481">
          <cell r="A481" t="e">
            <v>#N/A</v>
          </cell>
          <cell r="B481" t="str">
            <v>단가-313번</v>
          </cell>
          <cell r="C481" t="e">
            <v>#N/A</v>
          </cell>
          <cell r="D481" t="e">
            <v>#N/A</v>
          </cell>
          <cell r="E481" t="e">
            <v>#N/A</v>
          </cell>
          <cell r="F481" t="e">
            <v>#N/A</v>
          </cell>
        </row>
        <row r="482">
          <cell r="A482" t="e">
            <v>#N/A</v>
          </cell>
          <cell r="B482" t="str">
            <v>단가-314번</v>
          </cell>
          <cell r="C482" t="e">
            <v>#N/A</v>
          </cell>
          <cell r="D482" t="e">
            <v>#N/A</v>
          </cell>
          <cell r="E482" t="e">
            <v>#N/A</v>
          </cell>
          <cell r="F482" t="e">
            <v>#N/A</v>
          </cell>
        </row>
        <row r="483">
          <cell r="A483" t="e">
            <v>#N/A</v>
          </cell>
          <cell r="B483" t="str">
            <v>단가-315번</v>
          </cell>
          <cell r="C483" t="e">
            <v>#N/A</v>
          </cell>
          <cell r="D483" t="e">
            <v>#N/A</v>
          </cell>
          <cell r="E483" t="e">
            <v>#N/A</v>
          </cell>
          <cell r="F483" t="e">
            <v>#N/A</v>
          </cell>
        </row>
        <row r="484">
          <cell r="A484" t="e">
            <v>#N/A</v>
          </cell>
          <cell r="B484" t="str">
            <v>단가-316번</v>
          </cell>
          <cell r="C484" t="e">
            <v>#N/A</v>
          </cell>
          <cell r="D484" t="e">
            <v>#N/A</v>
          </cell>
          <cell r="E484" t="e">
            <v>#N/A</v>
          </cell>
          <cell r="F484" t="e">
            <v>#N/A</v>
          </cell>
        </row>
        <row r="485">
          <cell r="A485" t="e">
            <v>#N/A</v>
          </cell>
          <cell r="B485" t="str">
            <v>단가-317번</v>
          </cell>
          <cell r="C485" t="e">
            <v>#N/A</v>
          </cell>
          <cell r="D485" t="e">
            <v>#N/A</v>
          </cell>
          <cell r="E485" t="e">
            <v>#N/A</v>
          </cell>
          <cell r="F485" t="e">
            <v>#N/A</v>
          </cell>
        </row>
        <row r="486">
          <cell r="A486" t="e">
            <v>#N/A</v>
          </cell>
          <cell r="B486" t="str">
            <v>단가-318번</v>
          </cell>
          <cell r="C486" t="e">
            <v>#N/A</v>
          </cell>
          <cell r="D486" t="e">
            <v>#N/A</v>
          </cell>
          <cell r="E486" t="e">
            <v>#N/A</v>
          </cell>
          <cell r="F486" t="e">
            <v>#N/A</v>
          </cell>
        </row>
        <row r="487">
          <cell r="A487" t="e">
            <v>#N/A</v>
          </cell>
          <cell r="B487" t="str">
            <v>단가-319번</v>
          </cell>
          <cell r="C487" t="e">
            <v>#N/A</v>
          </cell>
          <cell r="D487" t="e">
            <v>#N/A</v>
          </cell>
          <cell r="E487" t="e">
            <v>#N/A</v>
          </cell>
          <cell r="F487" t="e">
            <v>#N/A</v>
          </cell>
        </row>
        <row r="488">
          <cell r="A488" t="e">
            <v>#N/A</v>
          </cell>
          <cell r="B488" t="str">
            <v>단가-320번</v>
          </cell>
          <cell r="C488" t="e">
            <v>#N/A</v>
          </cell>
          <cell r="D488" t="e">
            <v>#N/A</v>
          </cell>
          <cell r="E488" t="e">
            <v>#N/A</v>
          </cell>
          <cell r="F488" t="e">
            <v>#N/A</v>
          </cell>
        </row>
        <row r="489">
          <cell r="A489" t="e">
            <v>#N/A</v>
          </cell>
          <cell r="B489" t="str">
            <v>단가-321번</v>
          </cell>
          <cell r="C489" t="e">
            <v>#N/A</v>
          </cell>
          <cell r="D489" t="e">
            <v>#N/A</v>
          </cell>
          <cell r="E489" t="e">
            <v>#N/A</v>
          </cell>
          <cell r="F489" t="e">
            <v>#N/A</v>
          </cell>
        </row>
        <row r="490">
          <cell r="A490" t="e">
            <v>#N/A</v>
          </cell>
          <cell r="B490" t="str">
            <v>단가-322번</v>
          </cell>
          <cell r="C490" t="e">
            <v>#N/A</v>
          </cell>
          <cell r="D490" t="e">
            <v>#N/A</v>
          </cell>
          <cell r="E490" t="e">
            <v>#N/A</v>
          </cell>
          <cell r="F490" t="e">
            <v>#N/A</v>
          </cell>
        </row>
        <row r="491">
          <cell r="A491" t="e">
            <v>#N/A</v>
          </cell>
          <cell r="B491" t="str">
            <v>단가-323번</v>
          </cell>
          <cell r="C491" t="e">
            <v>#N/A</v>
          </cell>
          <cell r="D491" t="e">
            <v>#N/A</v>
          </cell>
          <cell r="E491" t="e">
            <v>#N/A</v>
          </cell>
          <cell r="F491" t="e">
            <v>#N/A</v>
          </cell>
        </row>
        <row r="492">
          <cell r="A492" t="e">
            <v>#N/A</v>
          </cell>
          <cell r="B492" t="str">
            <v>단가-324번</v>
          </cell>
          <cell r="C492" t="e">
            <v>#N/A</v>
          </cell>
          <cell r="D492" t="e">
            <v>#N/A</v>
          </cell>
          <cell r="E492" t="e">
            <v>#N/A</v>
          </cell>
          <cell r="F492" t="e">
            <v>#N/A</v>
          </cell>
        </row>
        <row r="493">
          <cell r="A493" t="e">
            <v>#N/A</v>
          </cell>
          <cell r="B493" t="str">
            <v>단가-325번</v>
          </cell>
          <cell r="C493" t="e">
            <v>#N/A</v>
          </cell>
          <cell r="D493" t="e">
            <v>#N/A</v>
          </cell>
          <cell r="E493" t="e">
            <v>#N/A</v>
          </cell>
          <cell r="F493" t="e">
            <v>#N/A</v>
          </cell>
        </row>
        <row r="494">
          <cell r="A494" t="e">
            <v>#N/A</v>
          </cell>
          <cell r="B494" t="str">
            <v>단가-326번</v>
          </cell>
          <cell r="C494" t="e">
            <v>#N/A</v>
          </cell>
          <cell r="D494" t="e">
            <v>#N/A</v>
          </cell>
          <cell r="E494" t="e">
            <v>#N/A</v>
          </cell>
          <cell r="F494" t="e">
            <v>#N/A</v>
          </cell>
        </row>
        <row r="495">
          <cell r="A495" t="e">
            <v>#N/A</v>
          </cell>
          <cell r="B495" t="str">
            <v>단가-327번</v>
          </cell>
          <cell r="C495" t="e">
            <v>#N/A</v>
          </cell>
          <cell r="D495" t="e">
            <v>#N/A</v>
          </cell>
          <cell r="E495" t="e">
            <v>#N/A</v>
          </cell>
          <cell r="F495" t="e">
            <v>#N/A</v>
          </cell>
        </row>
        <row r="496">
          <cell r="A496" t="e">
            <v>#N/A</v>
          </cell>
          <cell r="B496" t="str">
            <v>단가-328번</v>
          </cell>
          <cell r="C496" t="e">
            <v>#N/A</v>
          </cell>
          <cell r="D496" t="e">
            <v>#N/A</v>
          </cell>
          <cell r="E496" t="e">
            <v>#N/A</v>
          </cell>
          <cell r="F496" t="e">
            <v>#N/A</v>
          </cell>
        </row>
        <row r="497">
          <cell r="A497" t="e">
            <v>#N/A</v>
          </cell>
          <cell r="B497" t="str">
            <v>단가-329번</v>
          </cell>
          <cell r="C497" t="e">
            <v>#N/A</v>
          </cell>
          <cell r="D497" t="e">
            <v>#N/A</v>
          </cell>
          <cell r="E497" t="e">
            <v>#N/A</v>
          </cell>
          <cell r="F497" t="e">
            <v>#N/A</v>
          </cell>
        </row>
        <row r="498">
          <cell r="A498" t="e">
            <v>#N/A</v>
          </cell>
          <cell r="B498" t="str">
            <v>단가-330번</v>
          </cell>
          <cell r="C498" t="e">
            <v>#N/A</v>
          </cell>
          <cell r="D498" t="e">
            <v>#N/A</v>
          </cell>
          <cell r="E498" t="e">
            <v>#N/A</v>
          </cell>
          <cell r="F498" t="e">
            <v>#N/A</v>
          </cell>
        </row>
        <row r="499">
          <cell r="A499" t="e">
            <v>#N/A</v>
          </cell>
          <cell r="B499" t="str">
            <v>단가-331번</v>
          </cell>
          <cell r="C499" t="e">
            <v>#N/A</v>
          </cell>
          <cell r="D499" t="e">
            <v>#N/A</v>
          </cell>
          <cell r="E499" t="e">
            <v>#N/A</v>
          </cell>
          <cell r="F499" t="e">
            <v>#N/A</v>
          </cell>
        </row>
        <row r="500">
          <cell r="A500" t="e">
            <v>#N/A</v>
          </cell>
          <cell r="B500" t="str">
            <v>단가-332번</v>
          </cell>
          <cell r="C500" t="e">
            <v>#N/A</v>
          </cell>
          <cell r="D500" t="e">
            <v>#N/A</v>
          </cell>
          <cell r="E500" t="e">
            <v>#N/A</v>
          </cell>
          <cell r="F500" t="e">
            <v>#N/A</v>
          </cell>
        </row>
        <row r="501">
          <cell r="A501" t="e">
            <v>#N/A</v>
          </cell>
          <cell r="B501" t="str">
            <v>단가-333번</v>
          </cell>
          <cell r="C501" t="e">
            <v>#N/A</v>
          </cell>
          <cell r="D501" t="e">
            <v>#N/A</v>
          </cell>
          <cell r="E501" t="e">
            <v>#N/A</v>
          </cell>
          <cell r="F501" t="e">
            <v>#N/A</v>
          </cell>
        </row>
        <row r="502">
          <cell r="A502" t="e">
            <v>#N/A</v>
          </cell>
          <cell r="B502" t="str">
            <v>단가-334번</v>
          </cell>
          <cell r="C502" t="e">
            <v>#N/A</v>
          </cell>
          <cell r="D502" t="e">
            <v>#N/A</v>
          </cell>
          <cell r="E502" t="e">
            <v>#N/A</v>
          </cell>
          <cell r="F502" t="e">
            <v>#N/A</v>
          </cell>
        </row>
        <row r="503">
          <cell r="A503" t="e">
            <v>#N/A</v>
          </cell>
          <cell r="B503" t="str">
            <v>단가-335번</v>
          </cell>
          <cell r="C503" t="e">
            <v>#N/A</v>
          </cell>
          <cell r="D503" t="e">
            <v>#N/A</v>
          </cell>
          <cell r="E503" t="e">
            <v>#N/A</v>
          </cell>
          <cell r="F503" t="e">
            <v>#N/A</v>
          </cell>
        </row>
        <row r="504">
          <cell r="A504" t="e">
            <v>#N/A</v>
          </cell>
          <cell r="B504" t="str">
            <v>단가-336번</v>
          </cell>
          <cell r="C504" t="e">
            <v>#N/A</v>
          </cell>
          <cell r="D504" t="e">
            <v>#N/A</v>
          </cell>
          <cell r="E504" t="e">
            <v>#N/A</v>
          </cell>
          <cell r="F504" t="e">
            <v>#N/A</v>
          </cell>
        </row>
        <row r="505">
          <cell r="A505" t="e">
            <v>#N/A</v>
          </cell>
          <cell r="B505" t="str">
            <v>단가-337번</v>
          </cell>
          <cell r="C505" t="e">
            <v>#N/A</v>
          </cell>
          <cell r="D505" t="e">
            <v>#N/A</v>
          </cell>
          <cell r="E505" t="e">
            <v>#N/A</v>
          </cell>
          <cell r="F505" t="e">
            <v>#N/A</v>
          </cell>
        </row>
        <row r="506">
          <cell r="A506" t="e">
            <v>#N/A</v>
          </cell>
          <cell r="B506" t="str">
            <v>단가-338번</v>
          </cell>
          <cell r="C506" t="e">
            <v>#N/A</v>
          </cell>
          <cell r="D506" t="e">
            <v>#N/A</v>
          </cell>
          <cell r="E506" t="e">
            <v>#N/A</v>
          </cell>
          <cell r="F506" t="e">
            <v>#N/A</v>
          </cell>
        </row>
        <row r="507">
          <cell r="A507" t="e">
            <v>#N/A</v>
          </cell>
          <cell r="B507" t="str">
            <v>단가-339번</v>
          </cell>
          <cell r="C507" t="e">
            <v>#N/A</v>
          </cell>
          <cell r="D507" t="e">
            <v>#N/A</v>
          </cell>
          <cell r="E507" t="e">
            <v>#N/A</v>
          </cell>
          <cell r="F507" t="e">
            <v>#N/A</v>
          </cell>
        </row>
        <row r="508">
          <cell r="A508" t="e">
            <v>#N/A</v>
          </cell>
          <cell r="B508" t="str">
            <v>단가-340번</v>
          </cell>
          <cell r="C508" t="e">
            <v>#N/A</v>
          </cell>
          <cell r="D508" t="e">
            <v>#N/A</v>
          </cell>
          <cell r="E508" t="e">
            <v>#N/A</v>
          </cell>
          <cell r="F508" t="e">
            <v>#N/A</v>
          </cell>
        </row>
        <row r="509">
          <cell r="A509" t="e">
            <v>#N/A</v>
          </cell>
          <cell r="B509" t="str">
            <v>단가-341번</v>
          </cell>
          <cell r="C509" t="e">
            <v>#N/A</v>
          </cell>
          <cell r="D509" t="e">
            <v>#N/A</v>
          </cell>
          <cell r="E509" t="e">
            <v>#N/A</v>
          </cell>
          <cell r="F509" t="e">
            <v>#N/A</v>
          </cell>
        </row>
        <row r="510">
          <cell r="A510" t="e">
            <v>#N/A</v>
          </cell>
          <cell r="B510" t="str">
            <v>단가-342번</v>
          </cell>
          <cell r="C510" t="e">
            <v>#N/A</v>
          </cell>
          <cell r="D510" t="e">
            <v>#N/A</v>
          </cell>
          <cell r="E510" t="e">
            <v>#N/A</v>
          </cell>
          <cell r="F510" t="e">
            <v>#N/A</v>
          </cell>
        </row>
        <row r="511">
          <cell r="A511" t="e">
            <v>#N/A</v>
          </cell>
          <cell r="B511" t="str">
            <v>단가-343번</v>
          </cell>
          <cell r="C511" t="e">
            <v>#N/A</v>
          </cell>
          <cell r="D511" t="e">
            <v>#N/A</v>
          </cell>
          <cell r="E511" t="e">
            <v>#N/A</v>
          </cell>
          <cell r="F511" t="e">
            <v>#N/A</v>
          </cell>
        </row>
        <row r="512">
          <cell r="A512" t="e">
            <v>#N/A</v>
          </cell>
          <cell r="B512" t="str">
            <v>단가-344번</v>
          </cell>
          <cell r="C512" t="e">
            <v>#N/A</v>
          </cell>
          <cell r="D512" t="e">
            <v>#N/A</v>
          </cell>
          <cell r="E512" t="e">
            <v>#N/A</v>
          </cell>
          <cell r="F512" t="e">
            <v>#N/A</v>
          </cell>
        </row>
        <row r="513">
          <cell r="A513" t="e">
            <v>#N/A</v>
          </cell>
          <cell r="B513" t="str">
            <v>단가-345번</v>
          </cell>
          <cell r="C513" t="e">
            <v>#N/A</v>
          </cell>
          <cell r="D513" t="e">
            <v>#N/A</v>
          </cell>
          <cell r="E513" t="e">
            <v>#N/A</v>
          </cell>
          <cell r="F513" t="e">
            <v>#N/A</v>
          </cell>
        </row>
        <row r="514">
          <cell r="A514" t="e">
            <v>#N/A</v>
          </cell>
          <cell r="B514" t="str">
            <v>단가-346번</v>
          </cell>
          <cell r="C514" t="e">
            <v>#N/A</v>
          </cell>
          <cell r="D514" t="e">
            <v>#N/A</v>
          </cell>
          <cell r="E514" t="e">
            <v>#N/A</v>
          </cell>
          <cell r="F514" t="e">
            <v>#N/A</v>
          </cell>
        </row>
        <row r="515">
          <cell r="A515" t="e">
            <v>#N/A</v>
          </cell>
          <cell r="B515" t="str">
            <v>단가-347번</v>
          </cell>
          <cell r="C515" t="e">
            <v>#N/A</v>
          </cell>
          <cell r="D515" t="e">
            <v>#N/A</v>
          </cell>
          <cell r="E515" t="e">
            <v>#N/A</v>
          </cell>
          <cell r="F515" t="e">
            <v>#N/A</v>
          </cell>
        </row>
        <row r="516">
          <cell r="A516" t="e">
            <v>#N/A</v>
          </cell>
          <cell r="B516" t="str">
            <v>단가-348번</v>
          </cell>
          <cell r="C516" t="e">
            <v>#N/A</v>
          </cell>
          <cell r="D516" t="e">
            <v>#N/A</v>
          </cell>
          <cell r="E516" t="e">
            <v>#N/A</v>
          </cell>
          <cell r="F516" t="e">
            <v>#N/A</v>
          </cell>
        </row>
        <row r="517">
          <cell r="A517" t="e">
            <v>#N/A</v>
          </cell>
          <cell r="B517" t="str">
            <v>단가-349번</v>
          </cell>
          <cell r="C517" t="e">
            <v>#N/A</v>
          </cell>
          <cell r="D517" t="e">
            <v>#N/A</v>
          </cell>
          <cell r="E517" t="e">
            <v>#N/A</v>
          </cell>
          <cell r="F517" t="e">
            <v>#N/A</v>
          </cell>
        </row>
        <row r="518">
          <cell r="A518" t="e">
            <v>#N/A</v>
          </cell>
          <cell r="B518" t="str">
            <v>단가-350번</v>
          </cell>
          <cell r="C518" t="e">
            <v>#N/A</v>
          </cell>
          <cell r="D518" t="e">
            <v>#N/A</v>
          </cell>
          <cell r="E518" t="e">
            <v>#N/A</v>
          </cell>
          <cell r="F518" t="e">
            <v>#N/A</v>
          </cell>
        </row>
        <row r="519">
          <cell r="A519" t="e">
            <v>#N/A</v>
          </cell>
          <cell r="B519" t="str">
            <v>단가-351번</v>
          </cell>
          <cell r="C519" t="e">
            <v>#N/A</v>
          </cell>
          <cell r="D519" t="e">
            <v>#N/A</v>
          </cell>
          <cell r="E519" t="e">
            <v>#N/A</v>
          </cell>
          <cell r="F519" t="e">
            <v>#N/A</v>
          </cell>
        </row>
        <row r="520">
          <cell r="A520" t="e">
            <v>#N/A</v>
          </cell>
          <cell r="B520" t="str">
            <v>단가-352번</v>
          </cell>
          <cell r="C520" t="e">
            <v>#N/A</v>
          </cell>
          <cell r="D520" t="e">
            <v>#N/A</v>
          </cell>
          <cell r="E520" t="e">
            <v>#N/A</v>
          </cell>
          <cell r="F520" t="e">
            <v>#N/A</v>
          </cell>
        </row>
        <row r="521">
          <cell r="A521" t="e">
            <v>#N/A</v>
          </cell>
          <cell r="B521" t="str">
            <v>단가-353번</v>
          </cell>
          <cell r="C521" t="e">
            <v>#N/A</v>
          </cell>
          <cell r="D521" t="e">
            <v>#N/A</v>
          </cell>
          <cell r="E521" t="e">
            <v>#N/A</v>
          </cell>
          <cell r="F521" t="e">
            <v>#N/A</v>
          </cell>
        </row>
        <row r="522">
          <cell r="A522" t="e">
            <v>#N/A</v>
          </cell>
          <cell r="B522" t="str">
            <v>단가-354번</v>
          </cell>
          <cell r="C522" t="e">
            <v>#N/A</v>
          </cell>
          <cell r="D522" t="e">
            <v>#N/A</v>
          </cell>
          <cell r="E522" t="e">
            <v>#N/A</v>
          </cell>
          <cell r="F522" t="e">
            <v>#N/A</v>
          </cell>
        </row>
        <row r="523">
          <cell r="A523" t="e">
            <v>#N/A</v>
          </cell>
          <cell r="B523" t="str">
            <v>단가-355번</v>
          </cell>
          <cell r="C523" t="e">
            <v>#N/A</v>
          </cell>
          <cell r="D523" t="e">
            <v>#N/A</v>
          </cell>
          <cell r="E523" t="e">
            <v>#N/A</v>
          </cell>
          <cell r="F523" t="e">
            <v>#N/A</v>
          </cell>
        </row>
        <row r="524">
          <cell r="A524" t="e">
            <v>#N/A</v>
          </cell>
          <cell r="B524" t="str">
            <v>단가-356번</v>
          </cell>
          <cell r="C524" t="e">
            <v>#N/A</v>
          </cell>
          <cell r="D524" t="e">
            <v>#N/A</v>
          </cell>
          <cell r="E524" t="e">
            <v>#N/A</v>
          </cell>
          <cell r="F524" t="e">
            <v>#N/A</v>
          </cell>
        </row>
        <row r="525">
          <cell r="A525" t="e">
            <v>#N/A</v>
          </cell>
          <cell r="B525" t="str">
            <v>단가-357번</v>
          </cell>
          <cell r="C525" t="e">
            <v>#N/A</v>
          </cell>
          <cell r="D525" t="e">
            <v>#N/A</v>
          </cell>
          <cell r="E525" t="e">
            <v>#N/A</v>
          </cell>
          <cell r="F525" t="e">
            <v>#N/A</v>
          </cell>
        </row>
        <row r="526">
          <cell r="A526" t="e">
            <v>#N/A</v>
          </cell>
          <cell r="B526" t="str">
            <v>단가-358번</v>
          </cell>
          <cell r="C526" t="e">
            <v>#N/A</v>
          </cell>
          <cell r="D526" t="e">
            <v>#N/A</v>
          </cell>
          <cell r="E526" t="e">
            <v>#N/A</v>
          </cell>
          <cell r="F526" t="e">
            <v>#N/A</v>
          </cell>
        </row>
        <row r="527">
          <cell r="A527" t="e">
            <v>#N/A</v>
          </cell>
          <cell r="B527" t="str">
            <v>단가-359번</v>
          </cell>
          <cell r="C527" t="e">
            <v>#N/A</v>
          </cell>
          <cell r="D527" t="e">
            <v>#N/A</v>
          </cell>
          <cell r="E527" t="e">
            <v>#N/A</v>
          </cell>
          <cell r="F527" t="e">
            <v>#N/A</v>
          </cell>
        </row>
        <row r="528">
          <cell r="A528" t="e">
            <v>#N/A</v>
          </cell>
          <cell r="B528" t="str">
            <v>단가-360번</v>
          </cell>
          <cell r="C528" t="e">
            <v>#N/A</v>
          </cell>
          <cell r="D528" t="e">
            <v>#N/A</v>
          </cell>
          <cell r="E528" t="e">
            <v>#N/A</v>
          </cell>
          <cell r="F528" t="e">
            <v>#N/A</v>
          </cell>
        </row>
        <row r="529">
          <cell r="A529" t="e">
            <v>#N/A</v>
          </cell>
          <cell r="B529" t="str">
            <v>단가-361번</v>
          </cell>
          <cell r="C529" t="e">
            <v>#N/A</v>
          </cell>
          <cell r="D529" t="e">
            <v>#N/A</v>
          </cell>
          <cell r="E529" t="e">
            <v>#N/A</v>
          </cell>
          <cell r="F529" t="e">
            <v>#N/A</v>
          </cell>
        </row>
        <row r="530">
          <cell r="A530" t="e">
            <v>#N/A</v>
          </cell>
          <cell r="B530" t="str">
            <v>단가-362번</v>
          </cell>
          <cell r="C530" t="e">
            <v>#N/A</v>
          </cell>
          <cell r="D530" t="e">
            <v>#N/A</v>
          </cell>
          <cell r="E530" t="e">
            <v>#N/A</v>
          </cell>
          <cell r="F530" t="e">
            <v>#N/A</v>
          </cell>
        </row>
        <row r="531">
          <cell r="A531" t="e">
            <v>#N/A</v>
          </cell>
          <cell r="B531" t="str">
            <v>단가-363번</v>
          </cell>
          <cell r="C531" t="e">
            <v>#N/A</v>
          </cell>
          <cell r="D531" t="e">
            <v>#N/A</v>
          </cell>
          <cell r="E531" t="e">
            <v>#N/A</v>
          </cell>
          <cell r="F531" t="e">
            <v>#N/A</v>
          </cell>
        </row>
        <row r="532">
          <cell r="A532" t="e">
            <v>#N/A</v>
          </cell>
          <cell r="B532" t="str">
            <v>단가-364번</v>
          </cell>
          <cell r="C532" t="e">
            <v>#N/A</v>
          </cell>
          <cell r="D532" t="e">
            <v>#N/A</v>
          </cell>
          <cell r="E532" t="e">
            <v>#N/A</v>
          </cell>
          <cell r="F532" t="e">
            <v>#N/A</v>
          </cell>
        </row>
        <row r="533">
          <cell r="A533" t="e">
            <v>#N/A</v>
          </cell>
          <cell r="B533" t="str">
            <v>단가-365번</v>
          </cell>
          <cell r="C533" t="e">
            <v>#N/A</v>
          </cell>
          <cell r="D533" t="e">
            <v>#N/A</v>
          </cell>
          <cell r="E533" t="e">
            <v>#N/A</v>
          </cell>
          <cell r="F533" t="e">
            <v>#N/A</v>
          </cell>
        </row>
        <row r="534">
          <cell r="A534" t="e">
            <v>#N/A</v>
          </cell>
          <cell r="B534" t="str">
            <v>단가-366번</v>
          </cell>
          <cell r="C534" t="e">
            <v>#N/A</v>
          </cell>
          <cell r="D534" t="e">
            <v>#N/A</v>
          </cell>
          <cell r="E534" t="e">
            <v>#N/A</v>
          </cell>
          <cell r="F534" t="e">
            <v>#N/A</v>
          </cell>
        </row>
        <row r="535">
          <cell r="A535" t="e">
            <v>#N/A</v>
          </cell>
          <cell r="B535" t="str">
            <v>단가-367번</v>
          </cell>
          <cell r="C535" t="e">
            <v>#N/A</v>
          </cell>
          <cell r="D535" t="e">
            <v>#N/A</v>
          </cell>
          <cell r="E535" t="e">
            <v>#N/A</v>
          </cell>
          <cell r="F535" t="e">
            <v>#N/A</v>
          </cell>
        </row>
        <row r="536">
          <cell r="A536" t="e">
            <v>#N/A</v>
          </cell>
          <cell r="B536" t="str">
            <v>단가-368번</v>
          </cell>
          <cell r="C536" t="e">
            <v>#N/A</v>
          </cell>
          <cell r="D536" t="e">
            <v>#N/A</v>
          </cell>
          <cell r="E536" t="e">
            <v>#N/A</v>
          </cell>
          <cell r="F536" t="e">
            <v>#N/A</v>
          </cell>
        </row>
        <row r="537">
          <cell r="A537" t="e">
            <v>#N/A</v>
          </cell>
          <cell r="B537" t="str">
            <v>단가-369번</v>
          </cell>
          <cell r="C537" t="e">
            <v>#N/A</v>
          </cell>
          <cell r="D537" t="e">
            <v>#N/A</v>
          </cell>
          <cell r="E537" t="e">
            <v>#N/A</v>
          </cell>
          <cell r="F537" t="e">
            <v>#N/A</v>
          </cell>
        </row>
        <row r="538">
          <cell r="A538" t="e">
            <v>#N/A</v>
          </cell>
          <cell r="B538" t="str">
            <v>단가-370번</v>
          </cell>
          <cell r="C538" t="e">
            <v>#N/A</v>
          </cell>
          <cell r="D538" t="e">
            <v>#N/A</v>
          </cell>
          <cell r="E538" t="e">
            <v>#N/A</v>
          </cell>
          <cell r="F538" t="e">
            <v>#N/A</v>
          </cell>
        </row>
        <row r="539">
          <cell r="A539" t="e">
            <v>#N/A</v>
          </cell>
          <cell r="B539" t="str">
            <v>단가-371번</v>
          </cell>
          <cell r="C539" t="e">
            <v>#N/A</v>
          </cell>
          <cell r="D539" t="e">
            <v>#N/A</v>
          </cell>
          <cell r="E539" t="e">
            <v>#N/A</v>
          </cell>
          <cell r="F539" t="e">
            <v>#N/A</v>
          </cell>
        </row>
        <row r="540">
          <cell r="A540" t="e">
            <v>#N/A</v>
          </cell>
          <cell r="B540" t="str">
            <v>단가-372번</v>
          </cell>
          <cell r="C540" t="e">
            <v>#N/A</v>
          </cell>
          <cell r="D540" t="e">
            <v>#N/A</v>
          </cell>
          <cell r="E540" t="e">
            <v>#N/A</v>
          </cell>
          <cell r="F540" t="e">
            <v>#N/A</v>
          </cell>
        </row>
        <row r="541">
          <cell r="A541" t="e">
            <v>#N/A</v>
          </cell>
          <cell r="B541" t="str">
            <v>단가-373번</v>
          </cell>
          <cell r="C541" t="e">
            <v>#N/A</v>
          </cell>
          <cell r="D541" t="e">
            <v>#N/A</v>
          </cell>
          <cell r="E541" t="e">
            <v>#N/A</v>
          </cell>
          <cell r="F541" t="e">
            <v>#N/A</v>
          </cell>
        </row>
        <row r="542">
          <cell r="A542" t="e">
            <v>#N/A</v>
          </cell>
          <cell r="B542" t="str">
            <v>단가-374번</v>
          </cell>
          <cell r="C542" t="e">
            <v>#N/A</v>
          </cell>
          <cell r="D542" t="e">
            <v>#N/A</v>
          </cell>
          <cell r="E542" t="e">
            <v>#N/A</v>
          </cell>
          <cell r="F542" t="e">
            <v>#N/A</v>
          </cell>
        </row>
        <row r="543">
          <cell r="A543" t="e">
            <v>#N/A</v>
          </cell>
          <cell r="B543" t="str">
            <v>단가-375번</v>
          </cell>
          <cell r="C543" t="e">
            <v>#N/A</v>
          </cell>
          <cell r="D543" t="e">
            <v>#N/A</v>
          </cell>
          <cell r="E543" t="e">
            <v>#N/A</v>
          </cell>
          <cell r="F543" t="e">
            <v>#N/A</v>
          </cell>
        </row>
        <row r="544">
          <cell r="A544" t="e">
            <v>#N/A</v>
          </cell>
          <cell r="B544" t="str">
            <v>단가-376번</v>
          </cell>
          <cell r="C544" t="e">
            <v>#N/A</v>
          </cell>
          <cell r="D544" t="e">
            <v>#N/A</v>
          </cell>
          <cell r="E544" t="e">
            <v>#N/A</v>
          </cell>
          <cell r="F544" t="e">
            <v>#N/A</v>
          </cell>
        </row>
        <row r="545">
          <cell r="A545" t="e">
            <v>#N/A</v>
          </cell>
          <cell r="B545" t="str">
            <v>단가-377번</v>
          </cell>
          <cell r="C545" t="e">
            <v>#N/A</v>
          </cell>
          <cell r="D545" t="e">
            <v>#N/A</v>
          </cell>
          <cell r="E545" t="e">
            <v>#N/A</v>
          </cell>
          <cell r="F545" t="e">
            <v>#N/A</v>
          </cell>
        </row>
        <row r="546">
          <cell r="A546" t="e">
            <v>#N/A</v>
          </cell>
          <cell r="B546" t="str">
            <v>단가-378번</v>
          </cell>
          <cell r="C546" t="e">
            <v>#N/A</v>
          </cell>
          <cell r="D546" t="e">
            <v>#N/A</v>
          </cell>
          <cell r="E546" t="e">
            <v>#N/A</v>
          </cell>
          <cell r="F546" t="e">
            <v>#N/A</v>
          </cell>
        </row>
        <row r="547">
          <cell r="A547" t="e">
            <v>#N/A</v>
          </cell>
          <cell r="B547" t="str">
            <v>단가-379번</v>
          </cell>
          <cell r="C547" t="e">
            <v>#N/A</v>
          </cell>
          <cell r="D547" t="e">
            <v>#N/A</v>
          </cell>
          <cell r="E547" t="e">
            <v>#N/A</v>
          </cell>
          <cell r="F547" t="e">
            <v>#N/A</v>
          </cell>
        </row>
        <row r="548">
          <cell r="A548" t="e">
            <v>#N/A</v>
          </cell>
          <cell r="B548" t="str">
            <v>단가-380번</v>
          </cell>
          <cell r="C548" t="e">
            <v>#N/A</v>
          </cell>
          <cell r="D548" t="e">
            <v>#N/A</v>
          </cell>
          <cell r="E548" t="e">
            <v>#N/A</v>
          </cell>
          <cell r="F548" t="e">
            <v>#N/A</v>
          </cell>
        </row>
        <row r="549">
          <cell r="A549" t="e">
            <v>#N/A</v>
          </cell>
          <cell r="B549" t="str">
            <v>단가-381번</v>
          </cell>
          <cell r="C549" t="e">
            <v>#N/A</v>
          </cell>
          <cell r="D549" t="e">
            <v>#N/A</v>
          </cell>
          <cell r="E549" t="e">
            <v>#N/A</v>
          </cell>
          <cell r="F549" t="e">
            <v>#N/A</v>
          </cell>
        </row>
        <row r="550">
          <cell r="A550" t="e">
            <v>#N/A</v>
          </cell>
          <cell r="B550" t="str">
            <v>단가-382번</v>
          </cell>
          <cell r="C550" t="e">
            <v>#N/A</v>
          </cell>
          <cell r="D550" t="e">
            <v>#N/A</v>
          </cell>
          <cell r="E550" t="e">
            <v>#N/A</v>
          </cell>
          <cell r="F550" t="e">
            <v>#N/A</v>
          </cell>
        </row>
        <row r="551">
          <cell r="A551" t="e">
            <v>#N/A</v>
          </cell>
          <cell r="B551" t="str">
            <v>단가-383번</v>
          </cell>
          <cell r="C551" t="e">
            <v>#N/A</v>
          </cell>
          <cell r="D551" t="e">
            <v>#N/A</v>
          </cell>
          <cell r="E551" t="e">
            <v>#N/A</v>
          </cell>
          <cell r="F551" t="e">
            <v>#N/A</v>
          </cell>
        </row>
        <row r="552">
          <cell r="A552" t="e">
            <v>#N/A</v>
          </cell>
          <cell r="B552" t="str">
            <v>단가-384번</v>
          </cell>
          <cell r="C552" t="e">
            <v>#N/A</v>
          </cell>
          <cell r="D552" t="e">
            <v>#N/A</v>
          </cell>
          <cell r="E552" t="e">
            <v>#N/A</v>
          </cell>
          <cell r="F552" t="e">
            <v>#N/A</v>
          </cell>
        </row>
        <row r="553">
          <cell r="A553" t="e">
            <v>#N/A</v>
          </cell>
          <cell r="B553" t="str">
            <v>단가-385번</v>
          </cell>
          <cell r="C553" t="e">
            <v>#N/A</v>
          </cell>
          <cell r="D553" t="e">
            <v>#N/A</v>
          </cell>
          <cell r="E553" t="e">
            <v>#N/A</v>
          </cell>
          <cell r="F553" t="e">
            <v>#N/A</v>
          </cell>
        </row>
        <row r="554">
          <cell r="A554" t="e">
            <v>#N/A</v>
          </cell>
          <cell r="B554" t="str">
            <v>단가-386번</v>
          </cell>
          <cell r="C554" t="e">
            <v>#N/A</v>
          </cell>
          <cell r="D554" t="e">
            <v>#N/A</v>
          </cell>
          <cell r="E554" t="e">
            <v>#N/A</v>
          </cell>
          <cell r="F554" t="e">
            <v>#N/A</v>
          </cell>
        </row>
        <row r="555">
          <cell r="A555" t="e">
            <v>#N/A</v>
          </cell>
          <cell r="B555" t="str">
            <v>단가-387번</v>
          </cell>
          <cell r="C555" t="e">
            <v>#N/A</v>
          </cell>
          <cell r="D555" t="e">
            <v>#N/A</v>
          </cell>
          <cell r="E555" t="e">
            <v>#N/A</v>
          </cell>
          <cell r="F555" t="e">
            <v>#N/A</v>
          </cell>
        </row>
        <row r="556">
          <cell r="A556" t="e">
            <v>#N/A</v>
          </cell>
          <cell r="B556" t="str">
            <v>단가-388번</v>
          </cell>
          <cell r="C556" t="e">
            <v>#N/A</v>
          </cell>
          <cell r="D556" t="e">
            <v>#N/A</v>
          </cell>
          <cell r="E556" t="e">
            <v>#N/A</v>
          </cell>
          <cell r="F556" t="e">
            <v>#N/A</v>
          </cell>
        </row>
        <row r="557">
          <cell r="A557" t="e">
            <v>#N/A</v>
          </cell>
          <cell r="B557" t="str">
            <v>단가-389번</v>
          </cell>
          <cell r="C557" t="e">
            <v>#N/A</v>
          </cell>
          <cell r="D557" t="e">
            <v>#N/A</v>
          </cell>
          <cell r="E557" t="e">
            <v>#N/A</v>
          </cell>
          <cell r="F557" t="e">
            <v>#N/A</v>
          </cell>
        </row>
        <row r="558">
          <cell r="A558" t="e">
            <v>#N/A</v>
          </cell>
          <cell r="B558" t="str">
            <v>단가-390번</v>
          </cell>
          <cell r="C558" t="e">
            <v>#N/A</v>
          </cell>
          <cell r="D558" t="e">
            <v>#N/A</v>
          </cell>
          <cell r="E558" t="e">
            <v>#N/A</v>
          </cell>
          <cell r="F558" t="e">
            <v>#N/A</v>
          </cell>
        </row>
        <row r="559">
          <cell r="A559" t="e">
            <v>#N/A</v>
          </cell>
          <cell r="B559" t="str">
            <v>단가-391번</v>
          </cell>
          <cell r="C559" t="e">
            <v>#N/A</v>
          </cell>
          <cell r="D559" t="e">
            <v>#N/A</v>
          </cell>
          <cell r="E559" t="e">
            <v>#N/A</v>
          </cell>
          <cell r="F559" t="e">
            <v>#N/A</v>
          </cell>
        </row>
        <row r="560">
          <cell r="A560" t="e">
            <v>#N/A</v>
          </cell>
          <cell r="B560" t="str">
            <v>단가-392번</v>
          </cell>
          <cell r="C560" t="e">
            <v>#N/A</v>
          </cell>
          <cell r="D560" t="e">
            <v>#N/A</v>
          </cell>
          <cell r="E560" t="e">
            <v>#N/A</v>
          </cell>
          <cell r="F560" t="e">
            <v>#N/A</v>
          </cell>
        </row>
        <row r="561">
          <cell r="A561" t="e">
            <v>#N/A</v>
          </cell>
          <cell r="B561" t="str">
            <v>단가-393번</v>
          </cell>
          <cell r="C561" t="e">
            <v>#N/A</v>
          </cell>
          <cell r="D561" t="e">
            <v>#N/A</v>
          </cell>
          <cell r="E561" t="e">
            <v>#N/A</v>
          </cell>
          <cell r="F561" t="e">
            <v>#N/A</v>
          </cell>
        </row>
        <row r="562">
          <cell r="A562" t="e">
            <v>#N/A</v>
          </cell>
          <cell r="B562" t="str">
            <v>단가-394번</v>
          </cell>
          <cell r="C562" t="e">
            <v>#N/A</v>
          </cell>
          <cell r="D562" t="e">
            <v>#N/A</v>
          </cell>
          <cell r="E562" t="e">
            <v>#N/A</v>
          </cell>
          <cell r="F562" t="e">
            <v>#N/A</v>
          </cell>
        </row>
        <row r="563">
          <cell r="A563" t="e">
            <v>#N/A</v>
          </cell>
          <cell r="B563" t="str">
            <v>단가-395번</v>
          </cell>
          <cell r="C563" t="e">
            <v>#N/A</v>
          </cell>
          <cell r="D563" t="e">
            <v>#N/A</v>
          </cell>
          <cell r="E563" t="e">
            <v>#N/A</v>
          </cell>
          <cell r="F563" t="e">
            <v>#N/A</v>
          </cell>
        </row>
        <row r="564">
          <cell r="A564" t="e">
            <v>#N/A</v>
          </cell>
          <cell r="B564" t="str">
            <v>단가-396번</v>
          </cell>
          <cell r="C564" t="e">
            <v>#N/A</v>
          </cell>
          <cell r="D564" t="e">
            <v>#N/A</v>
          </cell>
          <cell r="E564" t="e">
            <v>#N/A</v>
          </cell>
          <cell r="F564" t="e">
            <v>#N/A</v>
          </cell>
        </row>
        <row r="565">
          <cell r="A565" t="e">
            <v>#N/A</v>
          </cell>
          <cell r="B565" t="str">
            <v>단가-397번</v>
          </cell>
          <cell r="C565" t="e">
            <v>#N/A</v>
          </cell>
          <cell r="D565" t="e">
            <v>#N/A</v>
          </cell>
          <cell r="E565" t="e">
            <v>#N/A</v>
          </cell>
          <cell r="F565" t="e">
            <v>#N/A</v>
          </cell>
        </row>
        <row r="566">
          <cell r="A566" t="e">
            <v>#N/A</v>
          </cell>
          <cell r="B566" t="str">
            <v>단가-398번</v>
          </cell>
          <cell r="C566" t="e">
            <v>#N/A</v>
          </cell>
          <cell r="D566" t="e">
            <v>#N/A</v>
          </cell>
          <cell r="E566" t="e">
            <v>#N/A</v>
          </cell>
          <cell r="F566" t="e">
            <v>#N/A</v>
          </cell>
        </row>
        <row r="567">
          <cell r="A567" t="e">
            <v>#N/A</v>
          </cell>
          <cell r="B567" t="str">
            <v>단가-399번</v>
          </cell>
          <cell r="C567" t="e">
            <v>#N/A</v>
          </cell>
          <cell r="D567" t="e">
            <v>#N/A</v>
          </cell>
          <cell r="E567" t="e">
            <v>#N/A</v>
          </cell>
          <cell r="F567" t="e">
            <v>#N/A</v>
          </cell>
        </row>
        <row r="568">
          <cell r="A568" t="e">
            <v>#N/A</v>
          </cell>
          <cell r="B568" t="str">
            <v>단가-400번</v>
          </cell>
          <cell r="C568" t="e">
            <v>#N/A</v>
          </cell>
          <cell r="D568" t="e">
            <v>#N/A</v>
          </cell>
          <cell r="E568" t="e">
            <v>#N/A</v>
          </cell>
          <cell r="F568" t="e">
            <v>#N/A</v>
          </cell>
        </row>
        <row r="569">
          <cell r="A569" t="e">
            <v>#N/A</v>
          </cell>
          <cell r="B569" t="str">
            <v>단가-401번</v>
          </cell>
          <cell r="C569" t="e">
            <v>#N/A</v>
          </cell>
          <cell r="D569" t="e">
            <v>#N/A</v>
          </cell>
          <cell r="E569" t="e">
            <v>#N/A</v>
          </cell>
          <cell r="F569" t="e">
            <v>#N/A</v>
          </cell>
        </row>
        <row r="570">
          <cell r="A570" t="e">
            <v>#N/A</v>
          </cell>
          <cell r="B570" t="str">
            <v>단가-402번</v>
          </cell>
          <cell r="C570" t="e">
            <v>#N/A</v>
          </cell>
          <cell r="D570" t="e">
            <v>#N/A</v>
          </cell>
          <cell r="E570" t="e">
            <v>#N/A</v>
          </cell>
          <cell r="F570" t="e">
            <v>#N/A</v>
          </cell>
        </row>
        <row r="571">
          <cell r="A571" t="e">
            <v>#N/A</v>
          </cell>
          <cell r="B571" t="str">
            <v>단가-403번</v>
          </cell>
          <cell r="C571" t="e">
            <v>#N/A</v>
          </cell>
          <cell r="D571" t="e">
            <v>#N/A</v>
          </cell>
          <cell r="E571" t="e">
            <v>#N/A</v>
          </cell>
          <cell r="F571" t="e">
            <v>#N/A</v>
          </cell>
        </row>
        <row r="572">
          <cell r="A572" t="e">
            <v>#N/A</v>
          </cell>
          <cell r="B572" t="str">
            <v>단가-404번</v>
          </cell>
          <cell r="C572" t="e">
            <v>#N/A</v>
          </cell>
          <cell r="D572" t="e">
            <v>#N/A</v>
          </cell>
          <cell r="E572" t="e">
            <v>#N/A</v>
          </cell>
          <cell r="F572" t="e">
            <v>#N/A</v>
          </cell>
        </row>
        <row r="573">
          <cell r="A573" t="e">
            <v>#N/A</v>
          </cell>
          <cell r="B573" t="str">
            <v>단가-405번</v>
          </cell>
          <cell r="C573" t="e">
            <v>#N/A</v>
          </cell>
          <cell r="D573" t="e">
            <v>#N/A</v>
          </cell>
          <cell r="E573" t="e">
            <v>#N/A</v>
          </cell>
          <cell r="F573" t="e">
            <v>#N/A</v>
          </cell>
        </row>
        <row r="574">
          <cell r="A574" t="e">
            <v>#N/A</v>
          </cell>
          <cell r="B574" t="str">
            <v>단가-406번</v>
          </cell>
          <cell r="C574" t="e">
            <v>#N/A</v>
          </cell>
          <cell r="D574" t="e">
            <v>#N/A</v>
          </cell>
          <cell r="E574" t="e">
            <v>#N/A</v>
          </cell>
          <cell r="F574" t="e">
            <v>#N/A</v>
          </cell>
        </row>
        <row r="575">
          <cell r="A575" t="e">
            <v>#N/A</v>
          </cell>
          <cell r="B575" t="str">
            <v>단가-407번</v>
          </cell>
          <cell r="C575" t="e">
            <v>#N/A</v>
          </cell>
          <cell r="D575" t="e">
            <v>#N/A</v>
          </cell>
          <cell r="E575" t="e">
            <v>#N/A</v>
          </cell>
          <cell r="F575" t="e">
            <v>#N/A</v>
          </cell>
        </row>
        <row r="576">
          <cell r="A576" t="e">
            <v>#N/A</v>
          </cell>
          <cell r="B576" t="str">
            <v>단가-408번</v>
          </cell>
          <cell r="C576" t="e">
            <v>#N/A</v>
          </cell>
          <cell r="D576" t="e">
            <v>#N/A</v>
          </cell>
          <cell r="E576" t="e">
            <v>#N/A</v>
          </cell>
          <cell r="F576" t="e">
            <v>#N/A</v>
          </cell>
        </row>
        <row r="577">
          <cell r="A577" t="e">
            <v>#N/A</v>
          </cell>
          <cell r="B577" t="str">
            <v>단가-409번</v>
          </cell>
          <cell r="C577" t="e">
            <v>#N/A</v>
          </cell>
          <cell r="D577" t="e">
            <v>#N/A</v>
          </cell>
          <cell r="E577" t="e">
            <v>#N/A</v>
          </cell>
          <cell r="F577" t="e">
            <v>#N/A</v>
          </cell>
        </row>
        <row r="578">
          <cell r="A578" t="e">
            <v>#N/A</v>
          </cell>
          <cell r="B578" t="str">
            <v>단가-410번</v>
          </cell>
          <cell r="C578" t="e">
            <v>#N/A</v>
          </cell>
          <cell r="D578" t="e">
            <v>#N/A</v>
          </cell>
          <cell r="E578" t="e">
            <v>#N/A</v>
          </cell>
          <cell r="F578" t="e">
            <v>#N/A</v>
          </cell>
        </row>
        <row r="579">
          <cell r="A579" t="e">
            <v>#N/A</v>
          </cell>
          <cell r="B579" t="str">
            <v>단가-411번</v>
          </cell>
          <cell r="C579" t="e">
            <v>#N/A</v>
          </cell>
          <cell r="D579" t="e">
            <v>#N/A</v>
          </cell>
          <cell r="E579" t="e">
            <v>#N/A</v>
          </cell>
          <cell r="F579" t="e">
            <v>#N/A</v>
          </cell>
        </row>
        <row r="580">
          <cell r="A580" t="e">
            <v>#N/A</v>
          </cell>
          <cell r="B580" t="str">
            <v>단가-412번</v>
          </cell>
          <cell r="C580" t="e">
            <v>#N/A</v>
          </cell>
          <cell r="D580" t="e">
            <v>#N/A</v>
          </cell>
          <cell r="E580" t="e">
            <v>#N/A</v>
          </cell>
          <cell r="F580" t="e">
            <v>#N/A</v>
          </cell>
        </row>
        <row r="581">
          <cell r="A581" t="e">
            <v>#N/A</v>
          </cell>
          <cell r="B581" t="str">
            <v>단가-413번</v>
          </cell>
          <cell r="C581" t="e">
            <v>#N/A</v>
          </cell>
          <cell r="D581" t="e">
            <v>#N/A</v>
          </cell>
          <cell r="E581" t="e">
            <v>#N/A</v>
          </cell>
          <cell r="F581" t="e">
            <v>#N/A</v>
          </cell>
        </row>
        <row r="582">
          <cell r="A582" t="e">
            <v>#N/A</v>
          </cell>
          <cell r="B582" t="str">
            <v>단가-414번</v>
          </cell>
          <cell r="C582" t="e">
            <v>#N/A</v>
          </cell>
          <cell r="D582" t="e">
            <v>#N/A</v>
          </cell>
          <cell r="E582" t="e">
            <v>#N/A</v>
          </cell>
          <cell r="F582" t="e">
            <v>#N/A</v>
          </cell>
        </row>
        <row r="583">
          <cell r="A583" t="e">
            <v>#N/A</v>
          </cell>
          <cell r="B583" t="str">
            <v>단가-415번</v>
          </cell>
          <cell r="C583" t="e">
            <v>#N/A</v>
          </cell>
          <cell r="D583" t="e">
            <v>#N/A</v>
          </cell>
          <cell r="E583" t="e">
            <v>#N/A</v>
          </cell>
          <cell r="F583" t="e">
            <v>#N/A</v>
          </cell>
        </row>
        <row r="584">
          <cell r="A584" t="e">
            <v>#N/A</v>
          </cell>
          <cell r="B584" t="str">
            <v>단가-416번</v>
          </cell>
          <cell r="C584" t="e">
            <v>#N/A</v>
          </cell>
          <cell r="D584" t="e">
            <v>#N/A</v>
          </cell>
          <cell r="E584" t="e">
            <v>#N/A</v>
          </cell>
          <cell r="F584" t="e">
            <v>#N/A</v>
          </cell>
        </row>
        <row r="585">
          <cell r="A585" t="e">
            <v>#N/A</v>
          </cell>
          <cell r="B585" t="str">
            <v>단가-417번</v>
          </cell>
          <cell r="C585" t="e">
            <v>#N/A</v>
          </cell>
          <cell r="D585" t="e">
            <v>#N/A</v>
          </cell>
          <cell r="E585" t="e">
            <v>#N/A</v>
          </cell>
          <cell r="F585" t="e">
            <v>#N/A</v>
          </cell>
        </row>
        <row r="586">
          <cell r="A586" t="e">
            <v>#N/A</v>
          </cell>
          <cell r="B586" t="str">
            <v>단가-418번</v>
          </cell>
          <cell r="C586" t="e">
            <v>#N/A</v>
          </cell>
          <cell r="D586" t="e">
            <v>#N/A</v>
          </cell>
          <cell r="E586" t="e">
            <v>#N/A</v>
          </cell>
          <cell r="F586" t="e">
            <v>#N/A</v>
          </cell>
        </row>
        <row r="587">
          <cell r="A587" t="e">
            <v>#N/A</v>
          </cell>
          <cell r="B587" t="str">
            <v>단가-419번</v>
          </cell>
          <cell r="C587" t="e">
            <v>#N/A</v>
          </cell>
          <cell r="D587" t="e">
            <v>#N/A</v>
          </cell>
          <cell r="E587" t="e">
            <v>#N/A</v>
          </cell>
          <cell r="F587" t="e">
            <v>#N/A</v>
          </cell>
        </row>
        <row r="588">
          <cell r="A588" t="e">
            <v>#N/A</v>
          </cell>
          <cell r="B588" t="str">
            <v>단가-420번</v>
          </cell>
          <cell r="C588" t="e">
            <v>#N/A</v>
          </cell>
          <cell r="D588" t="e">
            <v>#N/A</v>
          </cell>
          <cell r="E588" t="e">
            <v>#N/A</v>
          </cell>
          <cell r="F588" t="e">
            <v>#N/A</v>
          </cell>
        </row>
        <row r="589">
          <cell r="A589" t="e">
            <v>#N/A</v>
          </cell>
          <cell r="B589" t="str">
            <v>단가-421번</v>
          </cell>
          <cell r="C589" t="e">
            <v>#N/A</v>
          </cell>
          <cell r="D589" t="e">
            <v>#N/A</v>
          </cell>
          <cell r="E589" t="e">
            <v>#N/A</v>
          </cell>
          <cell r="F589" t="e">
            <v>#N/A</v>
          </cell>
        </row>
        <row r="590">
          <cell r="A590" t="e">
            <v>#N/A</v>
          </cell>
          <cell r="B590" t="str">
            <v>단가-422번</v>
          </cell>
          <cell r="C590" t="e">
            <v>#N/A</v>
          </cell>
          <cell r="D590" t="e">
            <v>#N/A</v>
          </cell>
          <cell r="E590" t="e">
            <v>#N/A</v>
          </cell>
          <cell r="F590" t="e">
            <v>#N/A</v>
          </cell>
        </row>
        <row r="591">
          <cell r="A591" t="e">
            <v>#N/A</v>
          </cell>
          <cell r="B591" t="str">
            <v>단가-423번</v>
          </cell>
          <cell r="C591" t="e">
            <v>#N/A</v>
          </cell>
          <cell r="D591" t="e">
            <v>#N/A</v>
          </cell>
          <cell r="E591" t="e">
            <v>#N/A</v>
          </cell>
          <cell r="F591" t="e">
            <v>#N/A</v>
          </cell>
        </row>
        <row r="592">
          <cell r="A592" t="e">
            <v>#N/A</v>
          </cell>
          <cell r="B592" t="str">
            <v>단가-424번</v>
          </cell>
          <cell r="C592" t="e">
            <v>#N/A</v>
          </cell>
          <cell r="D592" t="e">
            <v>#N/A</v>
          </cell>
          <cell r="E592" t="e">
            <v>#N/A</v>
          </cell>
          <cell r="F592" t="e">
            <v>#N/A</v>
          </cell>
        </row>
        <row r="593">
          <cell r="A593" t="e">
            <v>#N/A</v>
          </cell>
          <cell r="B593" t="str">
            <v>단가-425번</v>
          </cell>
          <cell r="C593" t="e">
            <v>#N/A</v>
          </cell>
          <cell r="D593" t="e">
            <v>#N/A</v>
          </cell>
          <cell r="E593" t="e">
            <v>#N/A</v>
          </cell>
          <cell r="F593" t="e">
            <v>#N/A</v>
          </cell>
        </row>
        <row r="594">
          <cell r="A594" t="e">
            <v>#N/A</v>
          </cell>
          <cell r="B594" t="str">
            <v>단가-426번</v>
          </cell>
          <cell r="C594" t="e">
            <v>#N/A</v>
          </cell>
          <cell r="D594" t="e">
            <v>#N/A</v>
          </cell>
          <cell r="E594" t="e">
            <v>#N/A</v>
          </cell>
          <cell r="F594" t="e">
            <v>#N/A</v>
          </cell>
        </row>
        <row r="595">
          <cell r="A595" t="e">
            <v>#N/A</v>
          </cell>
          <cell r="B595" t="str">
            <v>단가-427번</v>
          </cell>
          <cell r="C595" t="e">
            <v>#N/A</v>
          </cell>
          <cell r="D595" t="e">
            <v>#N/A</v>
          </cell>
          <cell r="E595" t="e">
            <v>#N/A</v>
          </cell>
          <cell r="F595" t="e">
            <v>#N/A</v>
          </cell>
        </row>
        <row r="596">
          <cell r="A596" t="e">
            <v>#N/A</v>
          </cell>
          <cell r="B596" t="str">
            <v>단가-428번</v>
          </cell>
          <cell r="C596" t="e">
            <v>#N/A</v>
          </cell>
          <cell r="D596" t="e">
            <v>#N/A</v>
          </cell>
          <cell r="E596" t="e">
            <v>#N/A</v>
          </cell>
          <cell r="F596" t="e">
            <v>#N/A</v>
          </cell>
        </row>
        <row r="597">
          <cell r="A597" t="e">
            <v>#N/A</v>
          </cell>
          <cell r="B597" t="str">
            <v>단가-429번</v>
          </cell>
          <cell r="C597" t="e">
            <v>#N/A</v>
          </cell>
          <cell r="D597" t="e">
            <v>#N/A</v>
          </cell>
          <cell r="E597" t="e">
            <v>#N/A</v>
          </cell>
          <cell r="F597" t="e">
            <v>#N/A</v>
          </cell>
        </row>
        <row r="598">
          <cell r="A598" t="e">
            <v>#N/A</v>
          </cell>
          <cell r="B598" t="str">
            <v>단가-430번</v>
          </cell>
          <cell r="C598" t="e">
            <v>#N/A</v>
          </cell>
          <cell r="D598" t="e">
            <v>#N/A</v>
          </cell>
          <cell r="E598" t="e">
            <v>#N/A</v>
          </cell>
          <cell r="F598" t="e">
            <v>#N/A</v>
          </cell>
        </row>
        <row r="599">
          <cell r="A599" t="e">
            <v>#N/A</v>
          </cell>
          <cell r="B599" t="str">
            <v>단가-431번</v>
          </cell>
          <cell r="C599" t="e">
            <v>#N/A</v>
          </cell>
          <cell r="D599" t="e">
            <v>#N/A</v>
          </cell>
          <cell r="E599" t="e">
            <v>#N/A</v>
          </cell>
          <cell r="F599" t="e">
            <v>#N/A</v>
          </cell>
        </row>
        <row r="600">
          <cell r="A600" t="e">
            <v>#N/A</v>
          </cell>
          <cell r="B600" t="str">
            <v>단가-432번</v>
          </cell>
          <cell r="C600" t="e">
            <v>#N/A</v>
          </cell>
          <cell r="D600" t="e">
            <v>#N/A</v>
          </cell>
          <cell r="E600" t="e">
            <v>#N/A</v>
          </cell>
          <cell r="F600" t="e">
            <v>#N/A</v>
          </cell>
        </row>
        <row r="601">
          <cell r="A601" t="e">
            <v>#N/A</v>
          </cell>
          <cell r="B601" t="str">
            <v>단가-433번</v>
          </cell>
          <cell r="C601" t="e">
            <v>#N/A</v>
          </cell>
          <cell r="D601" t="e">
            <v>#N/A</v>
          </cell>
          <cell r="E601" t="e">
            <v>#N/A</v>
          </cell>
          <cell r="F601" t="e">
            <v>#N/A</v>
          </cell>
        </row>
        <row r="602">
          <cell r="A602" t="e">
            <v>#N/A</v>
          </cell>
          <cell r="B602" t="str">
            <v>단가-434번</v>
          </cell>
          <cell r="C602" t="e">
            <v>#N/A</v>
          </cell>
          <cell r="D602" t="e">
            <v>#N/A</v>
          </cell>
          <cell r="E602" t="e">
            <v>#N/A</v>
          </cell>
          <cell r="F602" t="e">
            <v>#N/A</v>
          </cell>
        </row>
        <row r="603">
          <cell r="A603" t="e">
            <v>#N/A</v>
          </cell>
          <cell r="B603" t="str">
            <v>단가-435번</v>
          </cell>
          <cell r="C603" t="e">
            <v>#N/A</v>
          </cell>
          <cell r="D603" t="e">
            <v>#N/A</v>
          </cell>
          <cell r="E603" t="e">
            <v>#N/A</v>
          </cell>
          <cell r="F603" t="e">
            <v>#N/A</v>
          </cell>
        </row>
        <row r="604">
          <cell r="A604" t="e">
            <v>#N/A</v>
          </cell>
          <cell r="B604" t="str">
            <v>단가-436번</v>
          </cell>
          <cell r="C604" t="e">
            <v>#N/A</v>
          </cell>
          <cell r="D604" t="e">
            <v>#N/A</v>
          </cell>
          <cell r="E604" t="e">
            <v>#N/A</v>
          </cell>
          <cell r="F604" t="e">
            <v>#N/A</v>
          </cell>
        </row>
        <row r="605">
          <cell r="A605" t="e">
            <v>#N/A</v>
          </cell>
          <cell r="B605" t="str">
            <v>단가-437번</v>
          </cell>
          <cell r="C605" t="e">
            <v>#N/A</v>
          </cell>
          <cell r="D605" t="e">
            <v>#N/A</v>
          </cell>
          <cell r="E605" t="e">
            <v>#N/A</v>
          </cell>
          <cell r="F605" t="e">
            <v>#N/A</v>
          </cell>
        </row>
        <row r="606">
          <cell r="A606" t="e">
            <v>#N/A</v>
          </cell>
          <cell r="B606" t="str">
            <v>단가-438번</v>
          </cell>
          <cell r="C606" t="e">
            <v>#N/A</v>
          </cell>
          <cell r="D606" t="e">
            <v>#N/A</v>
          </cell>
          <cell r="E606" t="e">
            <v>#N/A</v>
          </cell>
          <cell r="F606" t="e">
            <v>#N/A</v>
          </cell>
        </row>
        <row r="607">
          <cell r="A607" t="e">
            <v>#N/A</v>
          </cell>
          <cell r="B607" t="str">
            <v>단가-439번</v>
          </cell>
          <cell r="C607" t="e">
            <v>#N/A</v>
          </cell>
          <cell r="D607" t="e">
            <v>#N/A</v>
          </cell>
          <cell r="E607" t="e">
            <v>#N/A</v>
          </cell>
          <cell r="F607" t="e">
            <v>#N/A</v>
          </cell>
        </row>
        <row r="608">
          <cell r="A608" t="e">
            <v>#N/A</v>
          </cell>
          <cell r="B608" t="str">
            <v>단가-440번</v>
          </cell>
          <cell r="C608" t="e">
            <v>#N/A</v>
          </cell>
          <cell r="D608" t="e">
            <v>#N/A</v>
          </cell>
          <cell r="E608" t="e">
            <v>#N/A</v>
          </cell>
          <cell r="F608" t="e">
            <v>#N/A</v>
          </cell>
        </row>
        <row r="609">
          <cell r="A609" t="e">
            <v>#N/A</v>
          </cell>
          <cell r="B609" t="str">
            <v>단가-441번</v>
          </cell>
          <cell r="C609" t="e">
            <v>#N/A</v>
          </cell>
          <cell r="D609" t="e">
            <v>#N/A</v>
          </cell>
          <cell r="E609" t="e">
            <v>#N/A</v>
          </cell>
          <cell r="F609" t="e">
            <v>#N/A</v>
          </cell>
        </row>
        <row r="610">
          <cell r="A610" t="e">
            <v>#N/A</v>
          </cell>
          <cell r="B610" t="str">
            <v>단가-442번</v>
          </cell>
          <cell r="C610" t="e">
            <v>#N/A</v>
          </cell>
          <cell r="D610" t="e">
            <v>#N/A</v>
          </cell>
          <cell r="E610" t="e">
            <v>#N/A</v>
          </cell>
          <cell r="F610" t="e">
            <v>#N/A</v>
          </cell>
        </row>
        <row r="611">
          <cell r="A611" t="e">
            <v>#N/A</v>
          </cell>
          <cell r="B611" t="str">
            <v>단가-443번</v>
          </cell>
          <cell r="C611" t="e">
            <v>#N/A</v>
          </cell>
          <cell r="D611" t="e">
            <v>#N/A</v>
          </cell>
          <cell r="E611" t="e">
            <v>#N/A</v>
          </cell>
          <cell r="F611" t="e">
            <v>#N/A</v>
          </cell>
        </row>
        <row r="612">
          <cell r="A612" t="e">
            <v>#N/A</v>
          </cell>
          <cell r="B612" t="str">
            <v>단가-444번</v>
          </cell>
          <cell r="C612" t="e">
            <v>#N/A</v>
          </cell>
          <cell r="D612" t="e">
            <v>#N/A</v>
          </cell>
          <cell r="E612" t="e">
            <v>#N/A</v>
          </cell>
          <cell r="F612" t="e">
            <v>#N/A</v>
          </cell>
        </row>
        <row r="613">
          <cell r="A613" t="e">
            <v>#N/A</v>
          </cell>
          <cell r="B613" t="str">
            <v>단가-445번</v>
          </cell>
          <cell r="C613" t="e">
            <v>#N/A</v>
          </cell>
          <cell r="D613" t="e">
            <v>#N/A</v>
          </cell>
          <cell r="E613" t="e">
            <v>#N/A</v>
          </cell>
          <cell r="F613" t="e">
            <v>#N/A</v>
          </cell>
        </row>
        <row r="614">
          <cell r="A614" t="e">
            <v>#N/A</v>
          </cell>
          <cell r="B614" t="str">
            <v>단가-446번</v>
          </cell>
          <cell r="C614" t="e">
            <v>#N/A</v>
          </cell>
          <cell r="D614" t="e">
            <v>#N/A</v>
          </cell>
          <cell r="E614" t="e">
            <v>#N/A</v>
          </cell>
          <cell r="F614" t="e">
            <v>#N/A</v>
          </cell>
        </row>
        <row r="615">
          <cell r="A615" t="e">
            <v>#N/A</v>
          </cell>
          <cell r="B615" t="str">
            <v>단가-447번</v>
          </cell>
          <cell r="C615" t="e">
            <v>#N/A</v>
          </cell>
          <cell r="D615" t="e">
            <v>#N/A</v>
          </cell>
          <cell r="E615" t="e">
            <v>#N/A</v>
          </cell>
          <cell r="F615" t="e">
            <v>#N/A</v>
          </cell>
        </row>
        <row r="616">
          <cell r="A616" t="e">
            <v>#N/A</v>
          </cell>
          <cell r="B616" t="str">
            <v>단가-448번</v>
          </cell>
          <cell r="C616" t="e">
            <v>#N/A</v>
          </cell>
          <cell r="D616" t="e">
            <v>#N/A</v>
          </cell>
          <cell r="E616" t="e">
            <v>#N/A</v>
          </cell>
          <cell r="F616" t="e">
            <v>#N/A</v>
          </cell>
        </row>
        <row r="617">
          <cell r="A617" t="e">
            <v>#N/A</v>
          </cell>
          <cell r="B617" t="str">
            <v>단가-449번</v>
          </cell>
          <cell r="C617" t="e">
            <v>#N/A</v>
          </cell>
          <cell r="D617" t="e">
            <v>#N/A</v>
          </cell>
          <cell r="E617" t="e">
            <v>#N/A</v>
          </cell>
          <cell r="F617" t="e">
            <v>#N/A</v>
          </cell>
        </row>
        <row r="618">
          <cell r="A618" t="e">
            <v>#N/A</v>
          </cell>
          <cell r="B618" t="str">
            <v>단가-450번</v>
          </cell>
          <cell r="C618" t="e">
            <v>#N/A</v>
          </cell>
          <cell r="D618" t="e">
            <v>#N/A</v>
          </cell>
          <cell r="E618" t="e">
            <v>#N/A</v>
          </cell>
          <cell r="F618" t="e">
            <v>#N/A</v>
          </cell>
        </row>
        <row r="619">
          <cell r="A619" t="e">
            <v>#N/A</v>
          </cell>
          <cell r="B619" t="str">
            <v>단가-451번</v>
          </cell>
          <cell r="C619" t="e">
            <v>#N/A</v>
          </cell>
          <cell r="D619" t="e">
            <v>#N/A</v>
          </cell>
          <cell r="E619" t="e">
            <v>#N/A</v>
          </cell>
          <cell r="F619" t="e">
            <v>#N/A</v>
          </cell>
        </row>
        <row r="620">
          <cell r="A620" t="e">
            <v>#N/A</v>
          </cell>
          <cell r="B620" t="str">
            <v>단가-452번</v>
          </cell>
          <cell r="C620" t="e">
            <v>#N/A</v>
          </cell>
          <cell r="D620" t="e">
            <v>#N/A</v>
          </cell>
          <cell r="E620" t="e">
            <v>#N/A</v>
          </cell>
          <cell r="F620" t="e">
            <v>#N/A</v>
          </cell>
        </row>
        <row r="621">
          <cell r="A621" t="e">
            <v>#N/A</v>
          </cell>
          <cell r="B621" t="str">
            <v>단가-453번</v>
          </cell>
          <cell r="C621" t="e">
            <v>#N/A</v>
          </cell>
          <cell r="D621" t="e">
            <v>#N/A</v>
          </cell>
          <cell r="E621" t="e">
            <v>#N/A</v>
          </cell>
          <cell r="F621" t="e">
            <v>#N/A</v>
          </cell>
        </row>
        <row r="622">
          <cell r="A622" t="e">
            <v>#N/A</v>
          </cell>
          <cell r="B622" t="str">
            <v>단가-454번</v>
          </cell>
          <cell r="C622" t="e">
            <v>#N/A</v>
          </cell>
          <cell r="D622" t="e">
            <v>#N/A</v>
          </cell>
          <cell r="E622" t="e">
            <v>#N/A</v>
          </cell>
          <cell r="F622" t="e">
            <v>#N/A</v>
          </cell>
        </row>
        <row r="623">
          <cell r="A623" t="e">
            <v>#N/A</v>
          </cell>
          <cell r="B623" t="str">
            <v>단가-455번</v>
          </cell>
          <cell r="C623" t="e">
            <v>#N/A</v>
          </cell>
          <cell r="D623" t="e">
            <v>#N/A</v>
          </cell>
          <cell r="E623" t="e">
            <v>#N/A</v>
          </cell>
          <cell r="F623" t="e">
            <v>#N/A</v>
          </cell>
        </row>
        <row r="624">
          <cell r="A624" t="e">
            <v>#N/A</v>
          </cell>
          <cell r="B624" t="str">
            <v>단가-456번</v>
          </cell>
          <cell r="C624" t="e">
            <v>#N/A</v>
          </cell>
          <cell r="D624" t="e">
            <v>#N/A</v>
          </cell>
          <cell r="E624" t="e">
            <v>#N/A</v>
          </cell>
          <cell r="F624" t="e">
            <v>#N/A</v>
          </cell>
        </row>
        <row r="625">
          <cell r="A625" t="e">
            <v>#N/A</v>
          </cell>
          <cell r="B625" t="str">
            <v>단가-457번</v>
          </cell>
          <cell r="C625" t="e">
            <v>#N/A</v>
          </cell>
          <cell r="D625" t="e">
            <v>#N/A</v>
          </cell>
          <cell r="E625" t="e">
            <v>#N/A</v>
          </cell>
          <cell r="F625" t="e">
            <v>#N/A</v>
          </cell>
        </row>
        <row r="626">
          <cell r="A626" t="e">
            <v>#N/A</v>
          </cell>
          <cell r="B626" t="str">
            <v>단가-458번</v>
          </cell>
          <cell r="C626" t="e">
            <v>#N/A</v>
          </cell>
          <cell r="D626" t="e">
            <v>#N/A</v>
          </cell>
          <cell r="E626" t="e">
            <v>#N/A</v>
          </cell>
          <cell r="F626" t="e">
            <v>#N/A</v>
          </cell>
        </row>
        <row r="627">
          <cell r="A627" t="e">
            <v>#N/A</v>
          </cell>
          <cell r="B627" t="str">
            <v>단가-459번</v>
          </cell>
          <cell r="C627" t="e">
            <v>#N/A</v>
          </cell>
          <cell r="D627" t="e">
            <v>#N/A</v>
          </cell>
          <cell r="E627" t="e">
            <v>#N/A</v>
          </cell>
          <cell r="F627" t="e">
            <v>#N/A</v>
          </cell>
        </row>
        <row r="628">
          <cell r="A628" t="e">
            <v>#N/A</v>
          </cell>
          <cell r="B628" t="str">
            <v>단가-460번</v>
          </cell>
          <cell r="C628" t="e">
            <v>#N/A</v>
          </cell>
          <cell r="D628" t="e">
            <v>#N/A</v>
          </cell>
          <cell r="E628" t="e">
            <v>#N/A</v>
          </cell>
          <cell r="F628" t="e">
            <v>#N/A</v>
          </cell>
        </row>
        <row r="629">
          <cell r="A629" t="e">
            <v>#N/A</v>
          </cell>
          <cell r="B629" t="str">
            <v>단가-461번</v>
          </cell>
          <cell r="C629" t="e">
            <v>#N/A</v>
          </cell>
          <cell r="D629" t="e">
            <v>#N/A</v>
          </cell>
          <cell r="E629" t="e">
            <v>#N/A</v>
          </cell>
          <cell r="F629" t="e">
            <v>#N/A</v>
          </cell>
        </row>
        <row r="630">
          <cell r="A630" t="e">
            <v>#N/A</v>
          </cell>
          <cell r="B630" t="str">
            <v>단가-462번</v>
          </cell>
          <cell r="C630" t="e">
            <v>#N/A</v>
          </cell>
          <cell r="D630" t="e">
            <v>#N/A</v>
          </cell>
          <cell r="E630" t="e">
            <v>#N/A</v>
          </cell>
          <cell r="F630" t="e">
            <v>#N/A</v>
          </cell>
        </row>
        <row r="631">
          <cell r="A631" t="e">
            <v>#N/A</v>
          </cell>
          <cell r="B631" t="str">
            <v>단가-463번</v>
          </cell>
          <cell r="C631" t="e">
            <v>#N/A</v>
          </cell>
          <cell r="D631" t="e">
            <v>#N/A</v>
          </cell>
          <cell r="E631" t="e">
            <v>#N/A</v>
          </cell>
          <cell r="F631" t="e">
            <v>#N/A</v>
          </cell>
        </row>
        <row r="632">
          <cell r="A632" t="e">
            <v>#N/A</v>
          </cell>
          <cell r="B632" t="str">
            <v>단가-464번</v>
          </cell>
          <cell r="C632" t="e">
            <v>#N/A</v>
          </cell>
          <cell r="D632" t="e">
            <v>#N/A</v>
          </cell>
          <cell r="E632" t="e">
            <v>#N/A</v>
          </cell>
          <cell r="F632" t="e">
            <v>#N/A</v>
          </cell>
        </row>
        <row r="633">
          <cell r="A633" t="e">
            <v>#N/A</v>
          </cell>
          <cell r="B633" t="str">
            <v>단가-465번</v>
          </cell>
          <cell r="C633" t="e">
            <v>#N/A</v>
          </cell>
          <cell r="D633" t="e">
            <v>#N/A</v>
          </cell>
          <cell r="E633" t="e">
            <v>#N/A</v>
          </cell>
          <cell r="F633" t="e">
            <v>#N/A</v>
          </cell>
        </row>
        <row r="634">
          <cell r="A634" t="e">
            <v>#N/A</v>
          </cell>
          <cell r="B634" t="str">
            <v>단가-466번</v>
          </cell>
          <cell r="C634" t="e">
            <v>#N/A</v>
          </cell>
          <cell r="D634" t="e">
            <v>#N/A</v>
          </cell>
          <cell r="E634" t="e">
            <v>#N/A</v>
          </cell>
          <cell r="F634" t="e">
            <v>#N/A</v>
          </cell>
        </row>
        <row r="635">
          <cell r="A635" t="e">
            <v>#N/A</v>
          </cell>
          <cell r="B635" t="str">
            <v>단가-467번</v>
          </cell>
          <cell r="C635" t="e">
            <v>#N/A</v>
          </cell>
          <cell r="D635" t="e">
            <v>#N/A</v>
          </cell>
          <cell r="E635" t="e">
            <v>#N/A</v>
          </cell>
          <cell r="F635" t="e">
            <v>#N/A</v>
          </cell>
        </row>
        <row r="636">
          <cell r="A636" t="e">
            <v>#N/A</v>
          </cell>
          <cell r="B636" t="str">
            <v>단가-468번</v>
          </cell>
          <cell r="C636" t="e">
            <v>#N/A</v>
          </cell>
          <cell r="D636" t="e">
            <v>#N/A</v>
          </cell>
          <cell r="E636" t="e">
            <v>#N/A</v>
          </cell>
          <cell r="F636" t="e">
            <v>#N/A</v>
          </cell>
        </row>
      </sheetData>
      <sheetData sheetId="8">
        <row r="1">
          <cell r="A1" t="str">
            <v>일  위  대  가  표</v>
          </cell>
        </row>
        <row r="3">
          <cell r="A3" t="str">
            <v>번호</v>
          </cell>
          <cell r="B3" t="str">
            <v>명     칭</v>
          </cell>
          <cell r="C3" t="str">
            <v>규    격</v>
          </cell>
          <cell r="D3" t="str">
            <v>구분</v>
          </cell>
          <cell r="E3" t="str">
            <v>단위</v>
          </cell>
          <cell r="F3" t="str">
            <v>수 량</v>
          </cell>
          <cell r="G3" t="str">
            <v>재  료  비</v>
          </cell>
          <cell r="I3" t="str">
            <v>노  무  비</v>
          </cell>
          <cell r="K3" t="str">
            <v>계</v>
          </cell>
        </row>
        <row r="4">
          <cell r="G4" t="str">
            <v>단   가</v>
          </cell>
          <cell r="H4" t="str">
            <v>금    액</v>
          </cell>
          <cell r="I4" t="str">
            <v>단   가</v>
          </cell>
          <cell r="J4" t="str">
            <v>금    액</v>
          </cell>
        </row>
        <row r="5">
          <cell r="A5" t="str">
            <v>제1호표</v>
          </cell>
          <cell r="B5" t="str">
            <v>철구조물가공조립</v>
          </cell>
          <cell r="E5" t="str">
            <v>KG</v>
          </cell>
        </row>
        <row r="7">
          <cell r="B7" t="str">
            <v>용접봉</v>
          </cell>
          <cell r="C7" t="str">
            <v>2.6mm(CR-13)</v>
          </cell>
          <cell r="D7" t="str">
            <v>용접봉2.6mm(CR-13)KG</v>
          </cell>
          <cell r="E7" t="str">
            <v>KG</v>
          </cell>
          <cell r="F7">
            <v>25.872</v>
          </cell>
          <cell r="G7">
            <v>3044</v>
          </cell>
          <cell r="H7">
            <v>78754</v>
          </cell>
          <cell r="I7">
            <v>0</v>
          </cell>
          <cell r="J7">
            <v>0</v>
          </cell>
          <cell r="K7">
            <v>78754</v>
          </cell>
        </row>
        <row r="8">
          <cell r="B8" t="str">
            <v>산소</v>
          </cell>
          <cell r="C8" t="str">
            <v>99%</v>
          </cell>
          <cell r="D8" t="str">
            <v>산소99%L</v>
          </cell>
          <cell r="E8" t="str">
            <v>L</v>
          </cell>
          <cell r="F8">
            <v>8820</v>
          </cell>
          <cell r="G8">
            <v>325</v>
          </cell>
          <cell r="H8">
            <v>2866500</v>
          </cell>
          <cell r="I8">
            <v>0</v>
          </cell>
          <cell r="J8">
            <v>0</v>
          </cell>
          <cell r="K8">
            <v>2866500</v>
          </cell>
        </row>
        <row r="9">
          <cell r="B9" t="str">
            <v>아세틸렌</v>
          </cell>
          <cell r="C9">
            <v>0.99960000000000004</v>
          </cell>
          <cell r="D9" t="str">
            <v>아세틸렌0.9996KG</v>
          </cell>
          <cell r="E9" t="str">
            <v>KG</v>
          </cell>
          <cell r="F9">
            <v>3.92</v>
          </cell>
          <cell r="G9">
            <v>13000</v>
          </cell>
          <cell r="H9">
            <v>50960</v>
          </cell>
          <cell r="I9">
            <v>0</v>
          </cell>
          <cell r="J9">
            <v>0</v>
          </cell>
          <cell r="K9">
            <v>50960</v>
          </cell>
        </row>
        <row r="10">
          <cell r="B10" t="str">
            <v>전력소요량</v>
          </cell>
          <cell r="D10" t="str">
            <v>전력소요량KWH</v>
          </cell>
          <cell r="E10" t="str">
            <v>KWH</v>
          </cell>
          <cell r="F10">
            <v>176.4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철공</v>
          </cell>
          <cell r="D11" t="str">
            <v>철공인</v>
          </cell>
          <cell r="E11" t="str">
            <v>인</v>
          </cell>
          <cell r="F11">
            <v>38.71</v>
          </cell>
          <cell r="G11">
            <v>0</v>
          </cell>
          <cell r="H11">
            <v>0</v>
          </cell>
          <cell r="I11">
            <v>178249</v>
          </cell>
          <cell r="J11">
            <v>6900018</v>
          </cell>
          <cell r="K11">
            <v>6900018</v>
          </cell>
        </row>
        <row r="12">
          <cell r="B12" t="str">
            <v>보통인부</v>
          </cell>
          <cell r="D12" t="str">
            <v>보통인부인</v>
          </cell>
          <cell r="E12" t="str">
            <v>인</v>
          </cell>
          <cell r="F12">
            <v>0.92400000000000004</v>
          </cell>
          <cell r="G12">
            <v>0</v>
          </cell>
          <cell r="H12">
            <v>0</v>
          </cell>
          <cell r="I12">
            <v>125427</v>
          </cell>
          <cell r="J12">
            <v>115894</v>
          </cell>
          <cell r="K12">
            <v>115894</v>
          </cell>
        </row>
        <row r="13">
          <cell r="B13" t="str">
            <v>용접공</v>
          </cell>
          <cell r="D13" t="str">
            <v>용접공인</v>
          </cell>
          <cell r="E13" t="str">
            <v>인</v>
          </cell>
          <cell r="F13">
            <v>3.64</v>
          </cell>
          <cell r="G13">
            <v>0</v>
          </cell>
          <cell r="H13">
            <v>0</v>
          </cell>
          <cell r="I13">
            <v>198711</v>
          </cell>
          <cell r="J13">
            <v>723308</v>
          </cell>
          <cell r="K13">
            <v>723308</v>
          </cell>
        </row>
        <row r="14">
          <cell r="B14" t="str">
            <v>특별인부</v>
          </cell>
          <cell r="D14" t="str">
            <v>특별인부인</v>
          </cell>
          <cell r="E14" t="str">
            <v>인</v>
          </cell>
          <cell r="F14">
            <v>1.036</v>
          </cell>
          <cell r="G14">
            <v>0</v>
          </cell>
          <cell r="H14">
            <v>0</v>
          </cell>
          <cell r="I14">
            <v>152019</v>
          </cell>
          <cell r="J14">
            <v>157491</v>
          </cell>
          <cell r="K14">
            <v>157491</v>
          </cell>
        </row>
        <row r="15">
          <cell r="B15" t="str">
            <v>기구손료</v>
          </cell>
          <cell r="C15" t="str">
            <v>인건비의3%</v>
          </cell>
          <cell r="D15" t="str">
            <v>기구손료인건비의3%식</v>
          </cell>
          <cell r="E15" t="str">
            <v>식</v>
          </cell>
          <cell r="F15">
            <v>1</v>
          </cell>
          <cell r="G15">
            <v>0</v>
          </cell>
          <cell r="H15">
            <v>236901</v>
          </cell>
          <cell r="I15">
            <v>0</v>
          </cell>
          <cell r="J15">
            <v>0</v>
          </cell>
          <cell r="K15">
            <v>236901</v>
          </cell>
        </row>
        <row r="16">
          <cell r="I16">
            <v>0</v>
          </cell>
        </row>
        <row r="17">
          <cell r="B17" t="str">
            <v>소계 (TON당 단가)</v>
          </cell>
          <cell r="H17">
            <v>3233115</v>
          </cell>
          <cell r="I17">
            <v>0</v>
          </cell>
          <cell r="J17">
            <v>7896711</v>
          </cell>
          <cell r="K17">
            <v>11129826</v>
          </cell>
        </row>
        <row r="18">
          <cell r="B18" t="str">
            <v>KG당 단가</v>
          </cell>
          <cell r="D18" t="str">
            <v>제1호표</v>
          </cell>
          <cell r="H18">
            <v>3233</v>
          </cell>
          <cell r="I18">
            <v>0</v>
          </cell>
          <cell r="J18">
            <v>7896</v>
          </cell>
          <cell r="K18">
            <v>11129</v>
          </cell>
        </row>
        <row r="21">
          <cell r="A21" t="str">
            <v>제2호표</v>
          </cell>
          <cell r="B21" t="str">
            <v>잡철물제작설치</v>
          </cell>
          <cell r="C21" t="str">
            <v>보통기준</v>
          </cell>
          <cell r="E21" t="str">
            <v>TON</v>
          </cell>
        </row>
        <row r="23">
          <cell r="B23" t="str">
            <v>용접봉</v>
          </cell>
          <cell r="C23" t="str">
            <v>2.6mm(CR-13)</v>
          </cell>
          <cell r="D23" t="str">
            <v>용접봉2.6mm(CR-13)KG</v>
          </cell>
          <cell r="E23" t="str">
            <v>KG</v>
          </cell>
          <cell r="F23">
            <v>22.175999999999998</v>
          </cell>
          <cell r="G23">
            <v>3044</v>
          </cell>
          <cell r="H23">
            <v>67503</v>
          </cell>
          <cell r="I23">
            <v>0</v>
          </cell>
          <cell r="J23">
            <v>0</v>
          </cell>
          <cell r="K23">
            <v>67503</v>
          </cell>
        </row>
        <row r="24">
          <cell r="B24" t="str">
            <v>산소</v>
          </cell>
          <cell r="C24" t="str">
            <v>99%</v>
          </cell>
          <cell r="D24" t="str">
            <v>산소99%L</v>
          </cell>
          <cell r="E24" t="str">
            <v>L</v>
          </cell>
          <cell r="F24">
            <v>7560</v>
          </cell>
          <cell r="G24">
            <v>325</v>
          </cell>
          <cell r="H24">
            <v>2457000</v>
          </cell>
          <cell r="I24">
            <v>0</v>
          </cell>
          <cell r="J24">
            <v>0</v>
          </cell>
          <cell r="K24">
            <v>2457000</v>
          </cell>
        </row>
        <row r="25">
          <cell r="B25" t="str">
            <v>아세틸렌</v>
          </cell>
          <cell r="C25">
            <v>0.99960000000000004</v>
          </cell>
          <cell r="D25" t="str">
            <v>아세틸렌0.9996KG</v>
          </cell>
          <cell r="E25" t="str">
            <v>KG</v>
          </cell>
          <cell r="F25">
            <v>3.36</v>
          </cell>
          <cell r="G25">
            <v>13000</v>
          </cell>
          <cell r="H25">
            <v>43680</v>
          </cell>
          <cell r="I25">
            <v>0</v>
          </cell>
          <cell r="J25">
            <v>0</v>
          </cell>
          <cell r="K25">
            <v>43680</v>
          </cell>
        </row>
        <row r="26">
          <cell r="B26" t="str">
            <v>전력소요량</v>
          </cell>
          <cell r="D26" t="str">
            <v>전력소요량KWH</v>
          </cell>
          <cell r="E26" t="str">
            <v>KWH</v>
          </cell>
          <cell r="F26">
            <v>151.19999999999999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 t="str">
            <v>용접기</v>
          </cell>
          <cell r="C27" t="str">
            <v>교류 500AMP</v>
          </cell>
          <cell r="D27" t="str">
            <v>용접기교류500AMPHR</v>
          </cell>
          <cell r="E27" t="str">
            <v>HR</v>
          </cell>
          <cell r="F27">
            <v>24.995999999999999</v>
          </cell>
          <cell r="G27">
            <v>124</v>
          </cell>
          <cell r="H27">
            <v>3099</v>
          </cell>
          <cell r="I27">
            <v>0</v>
          </cell>
          <cell r="J27">
            <v>0</v>
          </cell>
          <cell r="K27">
            <v>3099</v>
          </cell>
        </row>
        <row r="28">
          <cell r="B28" t="str">
            <v>절곡원</v>
          </cell>
          <cell r="D28" t="str">
            <v>절곡원인</v>
          </cell>
          <cell r="E28" t="str">
            <v>인</v>
          </cell>
          <cell r="F28">
            <v>33.18</v>
          </cell>
          <cell r="G28">
            <v>0</v>
          </cell>
          <cell r="H28">
            <v>0</v>
          </cell>
          <cell r="I28">
            <v>84511</v>
          </cell>
          <cell r="J28">
            <v>2804074</v>
          </cell>
          <cell r="K28">
            <v>2804074</v>
          </cell>
        </row>
        <row r="29">
          <cell r="B29" t="str">
            <v>보통인부</v>
          </cell>
          <cell r="D29" t="str">
            <v>보통인부인</v>
          </cell>
          <cell r="E29" t="str">
            <v>인</v>
          </cell>
          <cell r="F29">
            <v>0.79200000000000004</v>
          </cell>
          <cell r="G29">
            <v>0</v>
          </cell>
          <cell r="H29">
            <v>0</v>
          </cell>
          <cell r="I29">
            <v>125427</v>
          </cell>
          <cell r="J29">
            <v>99338</v>
          </cell>
          <cell r="K29">
            <v>99338</v>
          </cell>
        </row>
        <row r="30">
          <cell r="B30" t="str">
            <v>용접공</v>
          </cell>
          <cell r="D30" t="str">
            <v>용접공인</v>
          </cell>
          <cell r="E30" t="str">
            <v>인</v>
          </cell>
          <cell r="F30">
            <v>3.12</v>
          </cell>
          <cell r="G30">
            <v>0</v>
          </cell>
          <cell r="H30">
            <v>0</v>
          </cell>
          <cell r="I30">
            <v>198711</v>
          </cell>
          <cell r="J30">
            <v>619978</v>
          </cell>
          <cell r="K30">
            <v>619978</v>
          </cell>
        </row>
        <row r="31">
          <cell r="B31" t="str">
            <v>특별인부</v>
          </cell>
          <cell r="D31" t="str">
            <v>특별인부인</v>
          </cell>
          <cell r="E31" t="str">
            <v>인</v>
          </cell>
          <cell r="F31">
            <v>0.88800000000000001</v>
          </cell>
          <cell r="G31">
            <v>0</v>
          </cell>
          <cell r="H31">
            <v>0</v>
          </cell>
          <cell r="I31">
            <v>152019</v>
          </cell>
          <cell r="J31">
            <v>134992</v>
          </cell>
          <cell r="K31">
            <v>134992</v>
          </cell>
        </row>
        <row r="32">
          <cell r="B32" t="str">
            <v>기구손료</v>
          </cell>
          <cell r="C32" t="str">
            <v>인건비의3%</v>
          </cell>
          <cell r="D32" t="str">
            <v>기구손료인건비의3%식</v>
          </cell>
          <cell r="E32" t="str">
            <v>식</v>
          </cell>
          <cell r="F32">
            <v>1</v>
          </cell>
          <cell r="H32">
            <v>109751</v>
          </cell>
          <cell r="I32">
            <v>0</v>
          </cell>
          <cell r="J32">
            <v>0</v>
          </cell>
          <cell r="K32">
            <v>109751</v>
          </cell>
        </row>
        <row r="33">
          <cell r="I33">
            <v>0</v>
          </cell>
        </row>
        <row r="34">
          <cell r="B34" t="str">
            <v>소계(Ton당 단가)</v>
          </cell>
          <cell r="D34" t="str">
            <v>제2호표</v>
          </cell>
          <cell r="H34">
            <v>2681033</v>
          </cell>
          <cell r="I34">
            <v>0</v>
          </cell>
          <cell r="J34">
            <v>3658382</v>
          </cell>
          <cell r="K34">
            <v>6339415</v>
          </cell>
        </row>
        <row r="35">
          <cell r="B35" t="str">
            <v>KG 당  단가</v>
          </cell>
          <cell r="H35">
            <v>2681</v>
          </cell>
          <cell r="I35">
            <v>0</v>
          </cell>
          <cell r="J35">
            <v>3658</v>
          </cell>
          <cell r="K35">
            <v>6339</v>
          </cell>
        </row>
        <row r="38">
          <cell r="A38" t="str">
            <v>제3호표</v>
          </cell>
          <cell r="B38" t="str">
            <v>잡철물제작설치</v>
          </cell>
          <cell r="C38" t="str">
            <v>복잡기준</v>
          </cell>
          <cell r="E38" t="str">
            <v>TON</v>
          </cell>
        </row>
        <row r="40">
          <cell r="B40" t="str">
            <v>용접봉</v>
          </cell>
          <cell r="C40" t="str">
            <v>2.6mm(CR-13)</v>
          </cell>
          <cell r="D40" t="str">
            <v>용접봉2.6mm(CR-13)KG</v>
          </cell>
          <cell r="E40" t="str">
            <v>KG</v>
          </cell>
          <cell r="F40">
            <v>25.872</v>
          </cell>
          <cell r="G40">
            <v>3044</v>
          </cell>
          <cell r="H40">
            <v>78754</v>
          </cell>
          <cell r="I40">
            <v>0</v>
          </cell>
          <cell r="J40">
            <v>0</v>
          </cell>
          <cell r="K40">
            <v>78754</v>
          </cell>
        </row>
        <row r="41">
          <cell r="B41" t="str">
            <v>산소</v>
          </cell>
          <cell r="C41" t="str">
            <v>99%</v>
          </cell>
          <cell r="D41" t="str">
            <v>산소99%L</v>
          </cell>
          <cell r="E41" t="str">
            <v>L</v>
          </cell>
          <cell r="F41">
            <v>8820</v>
          </cell>
          <cell r="G41">
            <v>325</v>
          </cell>
          <cell r="H41">
            <v>2866500</v>
          </cell>
          <cell r="I41">
            <v>0</v>
          </cell>
          <cell r="J41">
            <v>0</v>
          </cell>
          <cell r="K41">
            <v>2866500</v>
          </cell>
        </row>
        <row r="42">
          <cell r="B42" t="str">
            <v>아세틸렌</v>
          </cell>
          <cell r="C42">
            <v>0.99960000000000004</v>
          </cell>
          <cell r="D42" t="str">
            <v>아세틸렌0.9996KG</v>
          </cell>
          <cell r="E42" t="str">
            <v>KG</v>
          </cell>
          <cell r="F42">
            <v>3.9199999999999995</v>
          </cell>
          <cell r="G42">
            <v>13000</v>
          </cell>
          <cell r="H42">
            <v>50960</v>
          </cell>
          <cell r="I42">
            <v>0</v>
          </cell>
          <cell r="J42">
            <v>0</v>
          </cell>
          <cell r="K42">
            <v>50960</v>
          </cell>
        </row>
        <row r="43">
          <cell r="B43" t="str">
            <v>전력소요량</v>
          </cell>
          <cell r="D43" t="str">
            <v>전력소요량KWH</v>
          </cell>
          <cell r="E43" t="str">
            <v>KWH</v>
          </cell>
          <cell r="F43">
            <v>176.39999999999998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절곡원</v>
          </cell>
          <cell r="D44" t="str">
            <v>절곡원인</v>
          </cell>
          <cell r="E44" t="str">
            <v>인</v>
          </cell>
          <cell r="F44">
            <v>38.709999999999994</v>
          </cell>
          <cell r="G44">
            <v>0</v>
          </cell>
          <cell r="H44">
            <v>0</v>
          </cell>
          <cell r="I44">
            <v>84511</v>
          </cell>
          <cell r="J44">
            <v>3271420</v>
          </cell>
          <cell r="K44">
            <v>3271420</v>
          </cell>
        </row>
        <row r="45">
          <cell r="B45" t="str">
            <v>보통인부</v>
          </cell>
          <cell r="D45" t="str">
            <v>보통인부인</v>
          </cell>
          <cell r="E45" t="str">
            <v>인</v>
          </cell>
          <cell r="F45">
            <v>0.92399999999999993</v>
          </cell>
          <cell r="G45">
            <v>0</v>
          </cell>
          <cell r="H45">
            <v>0</v>
          </cell>
          <cell r="I45">
            <v>125427</v>
          </cell>
          <cell r="J45">
            <v>115894</v>
          </cell>
          <cell r="K45">
            <v>115894</v>
          </cell>
        </row>
        <row r="46">
          <cell r="B46" t="str">
            <v>용접공</v>
          </cell>
          <cell r="D46" t="str">
            <v>용접공인</v>
          </cell>
          <cell r="E46" t="str">
            <v>인</v>
          </cell>
          <cell r="F46">
            <v>3.6399999999999997</v>
          </cell>
          <cell r="G46">
            <v>0</v>
          </cell>
          <cell r="H46">
            <v>0</v>
          </cell>
          <cell r="I46">
            <v>198711</v>
          </cell>
          <cell r="J46">
            <v>723308</v>
          </cell>
          <cell r="K46">
            <v>723308</v>
          </cell>
        </row>
        <row r="47">
          <cell r="B47" t="str">
            <v>특별인부</v>
          </cell>
          <cell r="D47" t="str">
            <v>특별인부인</v>
          </cell>
          <cell r="E47" t="str">
            <v>인</v>
          </cell>
          <cell r="F47">
            <v>1.036</v>
          </cell>
          <cell r="G47">
            <v>0</v>
          </cell>
          <cell r="H47">
            <v>0</v>
          </cell>
          <cell r="I47">
            <v>152019</v>
          </cell>
          <cell r="J47">
            <v>157491</v>
          </cell>
          <cell r="K47">
            <v>157491</v>
          </cell>
        </row>
        <row r="48">
          <cell r="B48" t="str">
            <v>기구손료</v>
          </cell>
          <cell r="C48" t="str">
            <v>인건비의3%</v>
          </cell>
          <cell r="D48" t="str">
            <v>기구손료인건비의3%식</v>
          </cell>
          <cell r="E48" t="str">
            <v>식</v>
          </cell>
          <cell r="F48">
            <v>1</v>
          </cell>
          <cell r="H48">
            <v>128043</v>
          </cell>
          <cell r="I48">
            <v>0</v>
          </cell>
          <cell r="J48">
            <v>0</v>
          </cell>
          <cell r="K48">
            <v>128043</v>
          </cell>
        </row>
        <row r="50">
          <cell r="B50" t="str">
            <v>소계(Ton당 단가)</v>
          </cell>
          <cell r="D50" t="str">
            <v>제3호표</v>
          </cell>
          <cell r="H50">
            <v>3124257</v>
          </cell>
          <cell r="J50">
            <v>4268113</v>
          </cell>
          <cell r="K50">
            <v>7392370</v>
          </cell>
        </row>
        <row r="51">
          <cell r="B51" t="str">
            <v>KG 당  단가</v>
          </cell>
          <cell r="H51">
            <v>3124</v>
          </cell>
          <cell r="J51">
            <v>4268</v>
          </cell>
          <cell r="K51">
            <v>7392</v>
          </cell>
        </row>
        <row r="54">
          <cell r="A54" t="str">
            <v>제4호표</v>
          </cell>
          <cell r="B54" t="str">
            <v>잡철물설치</v>
          </cell>
          <cell r="C54" t="str">
            <v>T1.2 GALV.</v>
          </cell>
          <cell r="D54" t="str">
            <v>제4호표</v>
          </cell>
          <cell r="E54" t="str">
            <v>M2</v>
          </cell>
          <cell r="H54">
            <v>24211</v>
          </cell>
          <cell r="J54">
            <v>33077</v>
          </cell>
          <cell r="K54">
            <v>57288</v>
          </cell>
        </row>
        <row r="55">
          <cell r="B55" t="str">
            <v>※ T1.2mm = 7.75KG/M2</v>
          </cell>
        </row>
        <row r="57">
          <cell r="A57" t="str">
            <v>제5호표</v>
          </cell>
          <cell r="B57" t="str">
            <v>잡철물설치</v>
          </cell>
          <cell r="C57" t="str">
            <v>T1.5 ST'L</v>
          </cell>
          <cell r="D57" t="str">
            <v>제5호표</v>
          </cell>
          <cell r="E57" t="str">
            <v>M2</v>
          </cell>
          <cell r="H57">
            <v>29428</v>
          </cell>
          <cell r="J57">
            <v>40204</v>
          </cell>
          <cell r="K57">
            <v>69632</v>
          </cell>
        </row>
        <row r="58">
          <cell r="B58" t="str">
            <v>※ T1.5mm = 9.42KG/M2</v>
          </cell>
        </row>
        <row r="60">
          <cell r="A60" t="str">
            <v>제6호표</v>
          </cell>
          <cell r="B60" t="str">
            <v>잡철물설치</v>
          </cell>
          <cell r="C60" t="str">
            <v>T1.6 GALV.</v>
          </cell>
          <cell r="D60" t="str">
            <v>제6호표</v>
          </cell>
          <cell r="E60" t="str">
            <v>M2</v>
          </cell>
          <cell r="H60">
            <v>39831</v>
          </cell>
          <cell r="J60">
            <v>54417</v>
          </cell>
          <cell r="K60">
            <v>94248</v>
          </cell>
        </row>
        <row r="61">
          <cell r="B61" t="str">
            <v>※ T1.6mm = 12.75KG/M2</v>
          </cell>
        </row>
        <row r="63">
          <cell r="A63" t="str">
            <v>제7호표</v>
          </cell>
          <cell r="B63" t="str">
            <v>잡철물설치</v>
          </cell>
          <cell r="C63" t="str">
            <v>T2.0 ST'L</v>
          </cell>
          <cell r="D63" t="str">
            <v>제7호표</v>
          </cell>
          <cell r="E63" t="str">
            <v>M2</v>
          </cell>
          <cell r="H63">
            <v>49078</v>
          </cell>
          <cell r="J63">
            <v>67050</v>
          </cell>
          <cell r="K63">
            <v>116128</v>
          </cell>
        </row>
        <row r="64">
          <cell r="B64" t="str">
            <v>※ T2.0mm = 15.71KG/M2</v>
          </cell>
        </row>
        <row r="66">
          <cell r="A66" t="str">
            <v>제8호표</v>
          </cell>
          <cell r="B66" t="str">
            <v>잡철물설치</v>
          </cell>
          <cell r="C66" t="str">
            <v>T2.3 ST'L</v>
          </cell>
          <cell r="D66" t="str">
            <v>제8호표</v>
          </cell>
          <cell r="E66" t="str">
            <v>M2</v>
          </cell>
          <cell r="H66">
            <v>56450</v>
          </cell>
          <cell r="J66">
            <v>77122</v>
          </cell>
          <cell r="K66">
            <v>133572</v>
          </cell>
        </row>
        <row r="67">
          <cell r="B67" t="str">
            <v>※ T2.3mm = 18.07KG/M2</v>
          </cell>
        </row>
        <row r="69">
          <cell r="A69" t="str">
            <v>제9호표</v>
          </cell>
          <cell r="B69" t="str">
            <v>잡철물설치</v>
          </cell>
          <cell r="C69" t="str">
            <v>T3.2 ST'L</v>
          </cell>
          <cell r="D69" t="str">
            <v>제9호표</v>
          </cell>
          <cell r="E69" t="str">
            <v>M2</v>
          </cell>
          <cell r="H69">
            <v>67373</v>
          </cell>
          <cell r="J69">
            <v>91925</v>
          </cell>
          <cell r="K69">
            <v>159298</v>
          </cell>
        </row>
        <row r="70">
          <cell r="B70" t="str">
            <v>※ T3.2mm = 25.13KG/M2</v>
          </cell>
        </row>
        <row r="72">
          <cell r="A72" t="str">
            <v>제10호표</v>
          </cell>
          <cell r="B72" t="str">
            <v>잡철물설치</v>
          </cell>
          <cell r="C72" t="str">
            <v>T4.0 ST'L</v>
          </cell>
          <cell r="D72" t="str">
            <v>제10호표</v>
          </cell>
          <cell r="E72" t="str">
            <v>M2</v>
          </cell>
          <cell r="H72">
            <v>98062</v>
          </cell>
          <cell r="J72">
            <v>133972</v>
          </cell>
          <cell r="K72">
            <v>232034</v>
          </cell>
        </row>
        <row r="73">
          <cell r="B73" t="str">
            <v>※ T4.0mm = 31.39KG/M2</v>
          </cell>
        </row>
        <row r="75">
          <cell r="A75" t="str">
            <v>제11호표</v>
          </cell>
          <cell r="B75" t="str">
            <v>잡철물설치</v>
          </cell>
          <cell r="C75" t="str">
            <v>T5.0 ST'L</v>
          </cell>
          <cell r="D75" t="str">
            <v>제11호표</v>
          </cell>
          <cell r="E75" t="str">
            <v>M2</v>
          </cell>
          <cell r="H75">
            <v>123054</v>
          </cell>
          <cell r="J75">
            <v>168116</v>
          </cell>
          <cell r="K75">
            <v>291170</v>
          </cell>
        </row>
        <row r="76">
          <cell r="B76" t="str">
            <v>※ T5.0mm = 39.39KG/M2</v>
          </cell>
        </row>
        <row r="78">
          <cell r="A78" t="str">
            <v>제12호표</v>
          </cell>
          <cell r="B78" t="str">
            <v>절단가공</v>
          </cell>
          <cell r="C78" t="str">
            <v>T1.2 GALV.</v>
          </cell>
          <cell r="E78" t="str">
            <v>M</v>
          </cell>
          <cell r="K78">
            <v>0</v>
          </cell>
        </row>
        <row r="80">
          <cell r="B80" t="str">
            <v>절단원</v>
          </cell>
          <cell r="D80" t="str">
            <v>절단원인</v>
          </cell>
          <cell r="E80" t="str">
            <v>인</v>
          </cell>
          <cell r="F80">
            <v>8.0000000000000002E-3</v>
          </cell>
          <cell r="G80">
            <v>0</v>
          </cell>
          <cell r="H80">
            <v>0</v>
          </cell>
          <cell r="I80">
            <v>88131</v>
          </cell>
          <cell r="J80">
            <v>705</v>
          </cell>
          <cell r="K80">
            <v>705</v>
          </cell>
        </row>
        <row r="81">
          <cell r="B81" t="str">
            <v>보통인부</v>
          </cell>
          <cell r="D81" t="str">
            <v>보통인부인</v>
          </cell>
          <cell r="E81" t="str">
            <v>인</v>
          </cell>
          <cell r="F81">
            <v>8.0000000000000002E-3</v>
          </cell>
          <cell r="G81">
            <v>0</v>
          </cell>
          <cell r="H81">
            <v>0</v>
          </cell>
          <cell r="I81">
            <v>125427</v>
          </cell>
          <cell r="J81">
            <v>1003</v>
          </cell>
          <cell r="K81">
            <v>1003</v>
          </cell>
        </row>
        <row r="82">
          <cell r="B82" t="str">
            <v>소계</v>
          </cell>
          <cell r="D82" t="str">
            <v>제12호표</v>
          </cell>
          <cell r="H82">
            <v>0</v>
          </cell>
          <cell r="J82">
            <v>1708</v>
          </cell>
          <cell r="K82">
            <v>1708</v>
          </cell>
        </row>
        <row r="84">
          <cell r="B84" t="str">
            <v>* 4'*8' 철판기준으로 3개소*1.21+3개소*2.42M= 10.89M  운반소요시간은 2분+ 절단소요시간 28분+각도펀칭10분=40분</v>
          </cell>
        </row>
        <row r="85">
          <cell r="B85" t="str">
            <v>그러므로 40분/10.89M=3.673분</v>
          </cell>
        </row>
        <row r="86">
          <cell r="B86" t="str">
            <v>*3.673/480=0.008</v>
          </cell>
        </row>
        <row r="88">
          <cell r="A88" t="str">
            <v>제13호표</v>
          </cell>
          <cell r="B88" t="str">
            <v>절단가공</v>
          </cell>
          <cell r="C88" t="str">
            <v>T1.6 GALV.</v>
          </cell>
          <cell r="D88" t="str">
            <v>제13호표</v>
          </cell>
          <cell r="E88" t="str">
            <v>M</v>
          </cell>
          <cell r="J88">
            <v>2049</v>
          </cell>
          <cell r="K88">
            <v>2049</v>
          </cell>
        </row>
        <row r="89">
          <cell r="B89" t="str">
            <v>※ T1.2의 120%</v>
          </cell>
        </row>
        <row r="91">
          <cell r="A91" t="str">
            <v>제14호표</v>
          </cell>
          <cell r="B91" t="str">
            <v>절단가공</v>
          </cell>
          <cell r="C91" t="str">
            <v>T2.0 ST'L</v>
          </cell>
          <cell r="D91" t="str">
            <v>제14호표</v>
          </cell>
          <cell r="E91" t="str">
            <v>M</v>
          </cell>
          <cell r="J91">
            <v>2391</v>
          </cell>
          <cell r="K91">
            <v>2391</v>
          </cell>
        </row>
        <row r="92">
          <cell r="B92" t="str">
            <v>※ T1.2의 140%</v>
          </cell>
        </row>
        <row r="94">
          <cell r="A94" t="str">
            <v>제15호표</v>
          </cell>
          <cell r="B94" t="str">
            <v>절단가공</v>
          </cell>
          <cell r="C94" t="str">
            <v>T2.3 ST'L</v>
          </cell>
          <cell r="D94" t="str">
            <v>제15호표</v>
          </cell>
          <cell r="E94" t="str">
            <v>M</v>
          </cell>
          <cell r="J94">
            <v>2562</v>
          </cell>
          <cell r="K94">
            <v>2562</v>
          </cell>
        </row>
        <row r="95">
          <cell r="B95" t="str">
            <v>※ T1.2의 150%</v>
          </cell>
        </row>
        <row r="97">
          <cell r="A97" t="str">
            <v>제16호표</v>
          </cell>
          <cell r="B97" t="str">
            <v>절단가공</v>
          </cell>
          <cell r="C97" t="str">
            <v>T3.2 ST'L</v>
          </cell>
          <cell r="D97" t="str">
            <v>제16호표</v>
          </cell>
          <cell r="E97" t="str">
            <v>M</v>
          </cell>
          <cell r="J97">
            <v>3074</v>
          </cell>
          <cell r="K97">
            <v>3074</v>
          </cell>
        </row>
        <row r="98">
          <cell r="B98" t="str">
            <v>※ T1.2의 180%</v>
          </cell>
        </row>
        <row r="100">
          <cell r="A100" t="str">
            <v>제17호표</v>
          </cell>
          <cell r="B100" t="str">
            <v>절단가공</v>
          </cell>
          <cell r="C100" t="str">
            <v>T4.0 ST'L</v>
          </cell>
          <cell r="D100" t="str">
            <v>제17호표</v>
          </cell>
          <cell r="E100" t="str">
            <v>M</v>
          </cell>
          <cell r="J100">
            <v>3416</v>
          </cell>
          <cell r="K100">
            <v>3416</v>
          </cell>
        </row>
        <row r="101">
          <cell r="B101" t="str">
            <v>※ T1.2의 200%</v>
          </cell>
        </row>
        <row r="103">
          <cell r="A103" t="str">
            <v>제18호표</v>
          </cell>
          <cell r="B103" t="str">
            <v>절단가공</v>
          </cell>
          <cell r="C103" t="str">
            <v>T5.0 ST'L</v>
          </cell>
          <cell r="D103" t="str">
            <v>제18호표</v>
          </cell>
          <cell r="E103" t="str">
            <v>M</v>
          </cell>
          <cell r="J103">
            <v>3757</v>
          </cell>
          <cell r="K103">
            <v>3757</v>
          </cell>
        </row>
        <row r="104">
          <cell r="B104" t="str">
            <v>※ T1.2의 220%</v>
          </cell>
        </row>
        <row r="106">
          <cell r="A106" t="str">
            <v>제19호표</v>
          </cell>
          <cell r="B106" t="str">
            <v>절단가공</v>
          </cell>
          <cell r="C106" t="str">
            <v>T8.0 ST'L</v>
          </cell>
          <cell r="D106" t="str">
            <v>제19호표</v>
          </cell>
          <cell r="E106" t="str">
            <v>M</v>
          </cell>
          <cell r="J106">
            <v>4099</v>
          </cell>
          <cell r="K106">
            <v>4099</v>
          </cell>
        </row>
        <row r="107">
          <cell r="B107" t="str">
            <v>※ T1.2의 240%</v>
          </cell>
        </row>
        <row r="109">
          <cell r="A109" t="str">
            <v>제20호표</v>
          </cell>
          <cell r="B109" t="str">
            <v>절단가공</v>
          </cell>
          <cell r="C109" t="str">
            <v>T1.2 S ST'L.</v>
          </cell>
          <cell r="D109" t="str">
            <v>제20호표</v>
          </cell>
          <cell r="E109" t="str">
            <v>M</v>
          </cell>
          <cell r="J109">
            <v>3416</v>
          </cell>
          <cell r="K109">
            <v>3416</v>
          </cell>
        </row>
        <row r="110">
          <cell r="B110" t="str">
            <v>※ T1.2의 200%</v>
          </cell>
        </row>
        <row r="112">
          <cell r="A112" t="str">
            <v>제21호표</v>
          </cell>
          <cell r="B112" t="str">
            <v>프레나가공</v>
          </cell>
          <cell r="C112" t="str">
            <v>T1.2 GALV.</v>
          </cell>
          <cell r="E112" t="str">
            <v>M</v>
          </cell>
          <cell r="K112">
            <v>0</v>
          </cell>
        </row>
        <row r="114">
          <cell r="B114" t="str">
            <v>프레나기조작원</v>
          </cell>
          <cell r="D114" t="str">
            <v>프레나기조작원인</v>
          </cell>
          <cell r="E114" t="str">
            <v>인</v>
          </cell>
          <cell r="F114">
            <v>8.9999999999999993E-3</v>
          </cell>
          <cell r="G114">
            <v>0</v>
          </cell>
          <cell r="H114">
            <v>0</v>
          </cell>
          <cell r="I114">
            <v>78123</v>
          </cell>
          <cell r="J114">
            <v>703</v>
          </cell>
          <cell r="K114">
            <v>703</v>
          </cell>
        </row>
        <row r="115">
          <cell r="B115" t="str">
            <v>보통인부</v>
          </cell>
          <cell r="D115" t="str">
            <v>보통인부인</v>
          </cell>
          <cell r="E115" t="str">
            <v>인</v>
          </cell>
          <cell r="F115">
            <v>8.9999999999999993E-3</v>
          </cell>
          <cell r="G115">
            <v>0</v>
          </cell>
          <cell r="H115">
            <v>0</v>
          </cell>
          <cell r="I115">
            <v>125427</v>
          </cell>
          <cell r="J115">
            <v>1128</v>
          </cell>
          <cell r="K115">
            <v>1128</v>
          </cell>
        </row>
        <row r="116">
          <cell r="B116" t="str">
            <v>소계</v>
          </cell>
          <cell r="D116" t="str">
            <v>제21호표</v>
          </cell>
          <cell r="H116">
            <v>0</v>
          </cell>
          <cell r="J116">
            <v>1831</v>
          </cell>
          <cell r="K116">
            <v>1831</v>
          </cell>
        </row>
        <row r="118">
          <cell r="B118" t="str">
            <v>*T 1.2 프레나가공 홈깊이0.6M/M  프레나기기 1회 왕복 소요시간 26초 + 대칭왕복 소요시간 34초</v>
          </cell>
        </row>
        <row r="119">
          <cell r="B119" t="str">
            <v>그러므로 4'*8'기준 1회 왕복은 1분</v>
          </cell>
        </row>
        <row r="120">
          <cell r="B120" t="str">
            <v>프레나가공 소요시간 1분 + 자재운반 소요시간 2분 + 기기장착 소요시간 7분 = 10분     10분/2.42M (4'*8'기준)=4.132분</v>
          </cell>
        </row>
        <row r="121">
          <cell r="B121" t="str">
            <v>*4.132/480=0.009</v>
          </cell>
        </row>
        <row r="123">
          <cell r="A123" t="str">
            <v>제22호표</v>
          </cell>
          <cell r="B123" t="str">
            <v>프레나가공</v>
          </cell>
          <cell r="C123" t="str">
            <v>T1.6 GALV.</v>
          </cell>
          <cell r="D123" t="str">
            <v>제22호표</v>
          </cell>
          <cell r="E123" t="str">
            <v>M</v>
          </cell>
          <cell r="J123">
            <v>2197</v>
          </cell>
          <cell r="K123">
            <v>2197</v>
          </cell>
        </row>
        <row r="124">
          <cell r="B124" t="str">
            <v>※ T1.2의 120%</v>
          </cell>
        </row>
        <row r="126">
          <cell r="A126" t="str">
            <v>제23호표</v>
          </cell>
          <cell r="B126" t="str">
            <v>프레나가공</v>
          </cell>
          <cell r="C126" t="str">
            <v>T2.0 ST'L</v>
          </cell>
          <cell r="D126" t="str">
            <v>제23호표</v>
          </cell>
          <cell r="E126" t="str">
            <v>M</v>
          </cell>
          <cell r="J126">
            <v>2563</v>
          </cell>
          <cell r="K126">
            <v>2563</v>
          </cell>
        </row>
        <row r="127">
          <cell r="B127" t="str">
            <v>※ T1.2의 140%</v>
          </cell>
        </row>
        <row r="129">
          <cell r="A129" t="str">
            <v>제24호표</v>
          </cell>
          <cell r="B129" t="str">
            <v>프레나가공</v>
          </cell>
          <cell r="C129" t="str">
            <v>T2.3 ST'L</v>
          </cell>
          <cell r="D129" t="str">
            <v>제24호표</v>
          </cell>
          <cell r="E129" t="str">
            <v>M</v>
          </cell>
          <cell r="J129">
            <v>2746</v>
          </cell>
          <cell r="K129">
            <v>2746</v>
          </cell>
        </row>
        <row r="130">
          <cell r="B130" t="str">
            <v>※ T1.2의 150%</v>
          </cell>
        </row>
        <row r="132">
          <cell r="A132" t="str">
            <v>제25호표</v>
          </cell>
          <cell r="B132" t="str">
            <v>프레나가공</v>
          </cell>
          <cell r="C132" t="str">
            <v>T3.2 ST'L</v>
          </cell>
          <cell r="D132" t="str">
            <v>제25호표</v>
          </cell>
          <cell r="E132" t="str">
            <v>M</v>
          </cell>
          <cell r="J132">
            <v>3295</v>
          </cell>
          <cell r="K132">
            <v>3295</v>
          </cell>
        </row>
        <row r="133">
          <cell r="B133" t="str">
            <v>※ T1.2의 180%</v>
          </cell>
        </row>
        <row r="135">
          <cell r="A135" t="str">
            <v>제26호표</v>
          </cell>
          <cell r="B135" t="str">
            <v>프레나가공</v>
          </cell>
          <cell r="C135" t="str">
            <v>T4.0 ST'L</v>
          </cell>
          <cell r="D135" t="str">
            <v>제26호표</v>
          </cell>
          <cell r="E135" t="str">
            <v>M</v>
          </cell>
          <cell r="J135">
            <v>3662</v>
          </cell>
          <cell r="K135">
            <v>3662</v>
          </cell>
        </row>
        <row r="136">
          <cell r="B136" t="str">
            <v>※ T1.2의 200%</v>
          </cell>
        </row>
        <row r="138">
          <cell r="A138" t="str">
            <v>제27호표</v>
          </cell>
          <cell r="B138" t="str">
            <v>프레나가공</v>
          </cell>
          <cell r="C138" t="str">
            <v>T5.0 ST'L</v>
          </cell>
          <cell r="D138" t="str">
            <v>제27호표</v>
          </cell>
          <cell r="E138" t="str">
            <v>M</v>
          </cell>
          <cell r="J138">
            <v>4028</v>
          </cell>
          <cell r="K138">
            <v>4028</v>
          </cell>
        </row>
        <row r="139">
          <cell r="B139" t="str">
            <v>※ T1.2의 220%</v>
          </cell>
        </row>
        <row r="141">
          <cell r="A141" t="str">
            <v>제28호표</v>
          </cell>
          <cell r="B141" t="str">
            <v>프레나가공</v>
          </cell>
          <cell r="C141" t="str">
            <v>T8.0 ST'L</v>
          </cell>
          <cell r="D141" t="str">
            <v>제28호표</v>
          </cell>
          <cell r="E141" t="str">
            <v>M</v>
          </cell>
          <cell r="J141">
            <v>4394</v>
          </cell>
          <cell r="K141">
            <v>4394</v>
          </cell>
        </row>
        <row r="142">
          <cell r="B142" t="str">
            <v>※ T1.2의 240%</v>
          </cell>
        </row>
        <row r="144">
          <cell r="A144" t="str">
            <v>제29호표</v>
          </cell>
          <cell r="B144" t="str">
            <v>프레나가공</v>
          </cell>
          <cell r="C144" t="str">
            <v>T1.2 S ST'L.</v>
          </cell>
          <cell r="D144" t="str">
            <v>제29호표</v>
          </cell>
          <cell r="E144" t="str">
            <v>M</v>
          </cell>
          <cell r="J144">
            <v>3662</v>
          </cell>
          <cell r="K144">
            <v>3662</v>
          </cell>
        </row>
        <row r="145">
          <cell r="B145" t="str">
            <v>※ T1.2의 200%</v>
          </cell>
        </row>
        <row r="147">
          <cell r="A147" t="str">
            <v>제30호표</v>
          </cell>
          <cell r="B147" t="str">
            <v>절곡가공</v>
          </cell>
          <cell r="C147" t="str">
            <v>T1.2 GALV.</v>
          </cell>
          <cell r="E147" t="str">
            <v>M</v>
          </cell>
          <cell r="K147">
            <v>0</v>
          </cell>
        </row>
        <row r="149">
          <cell r="B149" t="str">
            <v>절곡원</v>
          </cell>
          <cell r="D149" t="str">
            <v>절곡원인</v>
          </cell>
          <cell r="E149" t="str">
            <v>인</v>
          </cell>
          <cell r="F149">
            <v>8.0000000000000002E-3</v>
          </cell>
          <cell r="G149">
            <v>0</v>
          </cell>
          <cell r="H149">
            <v>0</v>
          </cell>
          <cell r="I149">
            <v>84511</v>
          </cell>
          <cell r="J149">
            <v>676</v>
          </cell>
          <cell r="K149">
            <v>676</v>
          </cell>
        </row>
        <row r="150">
          <cell r="B150" t="str">
            <v>보통인부</v>
          </cell>
          <cell r="D150" t="str">
            <v>보통인부인</v>
          </cell>
          <cell r="E150" t="str">
            <v>인</v>
          </cell>
          <cell r="F150">
            <v>8.0000000000000002E-3</v>
          </cell>
          <cell r="G150">
            <v>0</v>
          </cell>
          <cell r="H150">
            <v>0</v>
          </cell>
          <cell r="I150">
            <v>125427</v>
          </cell>
          <cell r="J150">
            <v>1003</v>
          </cell>
          <cell r="K150">
            <v>1003</v>
          </cell>
        </row>
        <row r="151">
          <cell r="B151" t="str">
            <v>소계</v>
          </cell>
          <cell r="D151" t="str">
            <v>제30호표</v>
          </cell>
          <cell r="H151">
            <v>0</v>
          </cell>
          <cell r="J151">
            <v>1679</v>
          </cell>
          <cell r="K151">
            <v>1679</v>
          </cell>
        </row>
        <row r="153">
          <cell r="B153" t="str">
            <v>*운반소요시간 2분</v>
          </cell>
        </row>
        <row r="154">
          <cell r="B154" t="str">
            <v>*절곡소요시간 2분</v>
          </cell>
        </row>
        <row r="155">
          <cell r="B155" t="str">
            <v>절곡각도점검,Q.C 소요시간  5분   그러므로 9분/2.42M=3.719분</v>
          </cell>
        </row>
        <row r="156">
          <cell r="B156" t="str">
            <v>*3.719/480=0.008</v>
          </cell>
        </row>
        <row r="158">
          <cell r="A158" t="str">
            <v>제31호표</v>
          </cell>
          <cell r="B158" t="str">
            <v>절곡가공</v>
          </cell>
          <cell r="C158" t="str">
            <v>T1.6 GALV.</v>
          </cell>
          <cell r="D158" t="str">
            <v>제31호표</v>
          </cell>
          <cell r="E158" t="str">
            <v>M</v>
          </cell>
          <cell r="J158">
            <v>2014</v>
          </cell>
          <cell r="K158">
            <v>2014</v>
          </cell>
        </row>
        <row r="159">
          <cell r="B159" t="str">
            <v>※ T1.2의 120%</v>
          </cell>
        </row>
        <row r="161">
          <cell r="A161" t="str">
            <v>제32호표</v>
          </cell>
          <cell r="B161" t="str">
            <v>절곡가공</v>
          </cell>
          <cell r="C161" t="str">
            <v>T2.0 ST'L</v>
          </cell>
          <cell r="D161" t="str">
            <v>제32호표</v>
          </cell>
          <cell r="E161" t="str">
            <v>M</v>
          </cell>
          <cell r="J161">
            <v>2350</v>
          </cell>
          <cell r="K161">
            <v>2350</v>
          </cell>
        </row>
        <row r="162">
          <cell r="B162" t="str">
            <v>※ T1.2의 140%</v>
          </cell>
        </row>
        <row r="164">
          <cell r="A164" t="str">
            <v>제33호표</v>
          </cell>
          <cell r="B164" t="str">
            <v>절곡가공</v>
          </cell>
          <cell r="C164" t="str">
            <v>T2.3 ST'L</v>
          </cell>
          <cell r="D164" t="str">
            <v>제33호표</v>
          </cell>
          <cell r="E164" t="str">
            <v>M</v>
          </cell>
          <cell r="J164">
            <v>2518</v>
          </cell>
          <cell r="K164">
            <v>2518</v>
          </cell>
        </row>
        <row r="165">
          <cell r="B165" t="str">
            <v>※ T1.2의 150%</v>
          </cell>
        </row>
        <row r="167">
          <cell r="A167" t="str">
            <v>제34호표</v>
          </cell>
          <cell r="B167" t="str">
            <v>절곡가공</v>
          </cell>
          <cell r="C167" t="str">
            <v>T3.2 ST'L</v>
          </cell>
          <cell r="D167" t="str">
            <v>제34호표</v>
          </cell>
          <cell r="E167" t="str">
            <v>M</v>
          </cell>
          <cell r="J167">
            <v>3022</v>
          </cell>
          <cell r="K167">
            <v>3022</v>
          </cell>
        </row>
        <row r="168">
          <cell r="B168" t="str">
            <v>※ T1.2의 180%</v>
          </cell>
        </row>
        <row r="170">
          <cell r="A170" t="str">
            <v>제35호표</v>
          </cell>
          <cell r="B170" t="str">
            <v>절곡가공</v>
          </cell>
          <cell r="C170" t="str">
            <v>T4.0 ST'L</v>
          </cell>
          <cell r="D170" t="str">
            <v>제35호표</v>
          </cell>
          <cell r="E170" t="str">
            <v>M</v>
          </cell>
          <cell r="J170">
            <v>3358</v>
          </cell>
          <cell r="K170">
            <v>3358</v>
          </cell>
        </row>
        <row r="171">
          <cell r="B171" t="str">
            <v>※ T1.2의 200%</v>
          </cell>
        </row>
        <row r="173">
          <cell r="A173" t="str">
            <v>제36호표</v>
          </cell>
          <cell r="B173" t="str">
            <v>절곡가공</v>
          </cell>
          <cell r="C173" t="str">
            <v>T5.0 ST'L</v>
          </cell>
          <cell r="D173" t="str">
            <v>제36호표</v>
          </cell>
          <cell r="E173" t="str">
            <v>M</v>
          </cell>
          <cell r="J173">
            <v>3693</v>
          </cell>
          <cell r="K173">
            <v>3693</v>
          </cell>
        </row>
        <row r="174">
          <cell r="B174" t="str">
            <v>※ T1.2의 220%</v>
          </cell>
        </row>
        <row r="176">
          <cell r="A176" t="str">
            <v>제37호표</v>
          </cell>
          <cell r="B176" t="str">
            <v>절곡가공</v>
          </cell>
          <cell r="C176" t="str">
            <v>T8.0 ST'L</v>
          </cell>
          <cell r="D176" t="str">
            <v>제37호표</v>
          </cell>
          <cell r="E176" t="str">
            <v>M</v>
          </cell>
          <cell r="J176">
            <v>4029</v>
          </cell>
          <cell r="K176">
            <v>4029</v>
          </cell>
        </row>
        <row r="177">
          <cell r="B177" t="str">
            <v>※ T1.2의 240%</v>
          </cell>
        </row>
        <row r="179">
          <cell r="A179" t="str">
            <v>제38호표</v>
          </cell>
          <cell r="B179" t="str">
            <v>절곡가공</v>
          </cell>
          <cell r="C179" t="str">
            <v>T1.2 S ST'L.</v>
          </cell>
          <cell r="D179" t="str">
            <v>제38호표</v>
          </cell>
          <cell r="E179" t="str">
            <v>M</v>
          </cell>
          <cell r="J179">
            <v>3358</v>
          </cell>
          <cell r="K179">
            <v>3358</v>
          </cell>
        </row>
        <row r="180">
          <cell r="B180" t="str">
            <v>※ T1.2의 200%</v>
          </cell>
        </row>
        <row r="182">
          <cell r="A182" t="str">
            <v>제39호표</v>
          </cell>
          <cell r="B182" t="str">
            <v>절단가공,용접제작</v>
          </cell>
          <cell r="E182" t="str">
            <v>M</v>
          </cell>
          <cell r="K182">
            <v>0</v>
          </cell>
        </row>
        <row r="184">
          <cell r="B184" t="str">
            <v>용접봉</v>
          </cell>
          <cell r="C184" t="str">
            <v>2.6mm(CR-13)</v>
          </cell>
          <cell r="D184" t="str">
            <v>용접봉2.6mm(CR-13)KG</v>
          </cell>
          <cell r="E184" t="str">
            <v>KG</v>
          </cell>
          <cell r="F184">
            <v>0.01</v>
          </cell>
          <cell r="G184">
            <v>3044</v>
          </cell>
          <cell r="H184">
            <v>30</v>
          </cell>
          <cell r="I184">
            <v>0</v>
          </cell>
          <cell r="J184">
            <v>0</v>
          </cell>
          <cell r="K184">
            <v>30</v>
          </cell>
        </row>
        <row r="185">
          <cell r="B185" t="str">
            <v>쇠톱기조작원</v>
          </cell>
          <cell r="D185" t="str">
            <v>쇠톱기조작원인</v>
          </cell>
          <cell r="E185" t="str">
            <v>인</v>
          </cell>
          <cell r="F185">
            <v>5.0000000000000001E-3</v>
          </cell>
          <cell r="G185">
            <v>0</v>
          </cell>
          <cell r="H185">
            <v>0</v>
          </cell>
          <cell r="I185">
            <v>77087</v>
          </cell>
          <cell r="J185">
            <v>385</v>
          </cell>
          <cell r="K185">
            <v>385</v>
          </cell>
        </row>
        <row r="186">
          <cell r="B186" t="str">
            <v>용접원</v>
          </cell>
          <cell r="D186" t="str">
            <v>용접원인</v>
          </cell>
          <cell r="E186" t="str">
            <v>인</v>
          </cell>
          <cell r="F186">
            <v>3.0000000000000001E-3</v>
          </cell>
          <cell r="G186">
            <v>0</v>
          </cell>
          <cell r="H186">
            <v>0</v>
          </cell>
          <cell r="I186">
            <v>88936</v>
          </cell>
          <cell r="J186">
            <v>266</v>
          </cell>
          <cell r="K186">
            <v>266</v>
          </cell>
        </row>
        <row r="187">
          <cell r="B187" t="str">
            <v>연마원</v>
          </cell>
          <cell r="D187" t="str">
            <v>연마원인</v>
          </cell>
          <cell r="E187" t="str">
            <v>인</v>
          </cell>
          <cell r="F187">
            <v>8.0000000000000002E-3</v>
          </cell>
          <cell r="G187">
            <v>0</v>
          </cell>
          <cell r="H187">
            <v>0</v>
          </cell>
          <cell r="I187">
            <v>79069</v>
          </cell>
          <cell r="J187">
            <v>632</v>
          </cell>
          <cell r="K187">
            <v>632</v>
          </cell>
        </row>
        <row r="188">
          <cell r="B188" t="str">
            <v>보통인부</v>
          </cell>
          <cell r="D188" t="str">
            <v>보통인부인</v>
          </cell>
          <cell r="E188" t="str">
            <v>인</v>
          </cell>
          <cell r="F188">
            <v>7.0000000000000001E-3</v>
          </cell>
          <cell r="G188">
            <v>0</v>
          </cell>
          <cell r="H188">
            <v>0</v>
          </cell>
          <cell r="I188">
            <v>125427</v>
          </cell>
          <cell r="J188">
            <v>877</v>
          </cell>
          <cell r="K188">
            <v>877</v>
          </cell>
        </row>
        <row r="189">
          <cell r="B189" t="str">
            <v>소계</v>
          </cell>
          <cell r="D189" t="str">
            <v>제39호표</v>
          </cell>
          <cell r="H189">
            <v>30</v>
          </cell>
          <cell r="J189">
            <v>2160</v>
          </cell>
          <cell r="K189">
            <v>2190</v>
          </cell>
        </row>
        <row r="191">
          <cell r="B191" t="str">
            <v>*쇠톱기조작원: 절단1회*4M기준=8.8분 그러므로 8.8분/4M=2.2분 (2.2/480=0.005)</v>
          </cell>
        </row>
        <row r="192">
          <cell r="B192" t="str">
            <v>*용접원  : 용접1개소*4M기준=5.2분 그러므로 5.2분/4M=1.3분 (1.3/480=0.003)</v>
          </cell>
        </row>
        <row r="193">
          <cell r="B193" t="str">
            <v>*연마원: 1개소*4M기준=16분 그러므로 16분/4M=4분 (4/480=0.008)</v>
          </cell>
        </row>
        <row r="194">
          <cell r="B194" t="str">
            <v>*보통인부  : (8.8분+5.2분)/4M=3.5분 (3.5/480=0.007)</v>
          </cell>
        </row>
        <row r="196">
          <cell r="A196" t="str">
            <v>제40호표</v>
          </cell>
          <cell r="B196" t="str">
            <v>우레탄칼라락카도장</v>
          </cell>
          <cell r="C196" t="str">
            <v>철재면기준</v>
          </cell>
          <cell r="E196" t="str">
            <v>M2</v>
          </cell>
        </row>
        <row r="198">
          <cell r="B198" t="str">
            <v>워시프라이머</v>
          </cell>
          <cell r="C198" t="str">
            <v>ZQL011</v>
          </cell>
          <cell r="D198" t="str">
            <v>워시프라이머ZQL011L</v>
          </cell>
          <cell r="E198" t="str">
            <v>L</v>
          </cell>
          <cell r="F198">
            <v>0.35</v>
          </cell>
          <cell r="G198">
            <v>6155</v>
          </cell>
          <cell r="H198">
            <v>2154</v>
          </cell>
          <cell r="I198">
            <v>0</v>
          </cell>
          <cell r="J198">
            <v>0</v>
          </cell>
          <cell r="K198">
            <v>2154</v>
          </cell>
        </row>
        <row r="199">
          <cell r="B199" t="str">
            <v>락카사페사(락카)</v>
          </cell>
          <cell r="C199" t="str">
            <v>DNL-4150</v>
          </cell>
          <cell r="D199" t="str">
            <v>락카사페사(락카)DNL-4150L</v>
          </cell>
          <cell r="E199" t="str">
            <v>L</v>
          </cell>
          <cell r="F199">
            <v>0.3</v>
          </cell>
          <cell r="G199">
            <v>5931</v>
          </cell>
          <cell r="H199">
            <v>1779</v>
          </cell>
          <cell r="I199">
            <v>0</v>
          </cell>
          <cell r="J199">
            <v>0</v>
          </cell>
          <cell r="K199">
            <v>1779</v>
          </cell>
        </row>
        <row r="200">
          <cell r="B200" t="str">
            <v>우레탄락카</v>
          </cell>
          <cell r="C200" t="str">
            <v>UR3600</v>
          </cell>
          <cell r="D200" t="str">
            <v>우레탄락카UR3600L</v>
          </cell>
          <cell r="E200" t="str">
            <v>L</v>
          </cell>
          <cell r="F200">
            <v>0.5</v>
          </cell>
          <cell r="G200">
            <v>16000</v>
          </cell>
          <cell r="H200">
            <v>8000</v>
          </cell>
          <cell r="I200">
            <v>0</v>
          </cell>
          <cell r="J200">
            <v>0</v>
          </cell>
          <cell r="K200">
            <v>8000</v>
          </cell>
        </row>
        <row r="201">
          <cell r="B201" t="str">
            <v>우레탄신너</v>
          </cell>
          <cell r="C201" t="str">
            <v>037U</v>
          </cell>
          <cell r="D201" t="str">
            <v>우레탄신너037UL</v>
          </cell>
          <cell r="E201" t="str">
            <v>L</v>
          </cell>
          <cell r="F201">
            <v>0.05</v>
          </cell>
          <cell r="G201">
            <v>5000</v>
          </cell>
          <cell r="H201">
            <v>250</v>
          </cell>
          <cell r="I201">
            <v>0</v>
          </cell>
          <cell r="J201">
            <v>0</v>
          </cell>
          <cell r="K201">
            <v>250</v>
          </cell>
        </row>
        <row r="202">
          <cell r="B202" t="str">
            <v>연마지</v>
          </cell>
          <cell r="C202" t="str">
            <v>#120</v>
          </cell>
          <cell r="D202" t="str">
            <v>연마지#120매</v>
          </cell>
          <cell r="E202" t="str">
            <v>매</v>
          </cell>
          <cell r="F202">
            <v>0.67500000000000004</v>
          </cell>
          <cell r="G202">
            <v>260</v>
          </cell>
          <cell r="H202">
            <v>175</v>
          </cell>
          <cell r="I202">
            <v>0</v>
          </cell>
          <cell r="J202">
            <v>0</v>
          </cell>
          <cell r="K202">
            <v>175</v>
          </cell>
        </row>
        <row r="203">
          <cell r="B203" t="str">
            <v>포리퍼티</v>
          </cell>
          <cell r="C203" t="str">
            <v>YGL017</v>
          </cell>
          <cell r="D203" t="str">
            <v>포리퍼티YGL017KG</v>
          </cell>
          <cell r="E203" t="str">
            <v>KG</v>
          </cell>
          <cell r="F203">
            <v>0.15</v>
          </cell>
          <cell r="G203">
            <v>6750</v>
          </cell>
          <cell r="H203">
            <v>1012</v>
          </cell>
          <cell r="I203">
            <v>0</v>
          </cell>
          <cell r="J203">
            <v>0</v>
          </cell>
          <cell r="K203">
            <v>1012</v>
          </cell>
        </row>
        <row r="204">
          <cell r="B204" t="str">
            <v>도장공</v>
          </cell>
          <cell r="D204" t="str">
            <v>도장공인</v>
          </cell>
          <cell r="E204" t="str">
            <v>인</v>
          </cell>
          <cell r="F204">
            <v>0.12000000000000001</v>
          </cell>
          <cell r="G204">
            <v>0</v>
          </cell>
          <cell r="H204">
            <v>0</v>
          </cell>
          <cell r="I204">
            <v>184508</v>
          </cell>
          <cell r="J204">
            <v>22140</v>
          </cell>
          <cell r="K204">
            <v>22140</v>
          </cell>
        </row>
        <row r="205">
          <cell r="B205" t="str">
            <v>보통인부</v>
          </cell>
          <cell r="D205" t="str">
            <v>보통인부인</v>
          </cell>
          <cell r="E205" t="str">
            <v>인</v>
          </cell>
          <cell r="F205">
            <v>1E-3</v>
          </cell>
          <cell r="G205">
            <v>0</v>
          </cell>
          <cell r="H205">
            <v>0</v>
          </cell>
          <cell r="I205">
            <v>125427</v>
          </cell>
          <cell r="J205">
            <v>125</v>
          </cell>
          <cell r="K205">
            <v>125</v>
          </cell>
        </row>
        <row r="206">
          <cell r="B206" t="str">
            <v>기구손료</v>
          </cell>
          <cell r="C206" t="str">
            <v>노무비의9%</v>
          </cell>
          <cell r="E206" t="str">
            <v>식</v>
          </cell>
          <cell r="F206">
            <v>1</v>
          </cell>
          <cell r="G206">
            <v>2003</v>
          </cell>
          <cell r="H206">
            <v>2003</v>
          </cell>
        </row>
        <row r="207">
          <cell r="B207" t="str">
            <v>잡자재비</v>
          </cell>
          <cell r="C207" t="str">
            <v>주재료비의6%</v>
          </cell>
          <cell r="E207" t="str">
            <v>식</v>
          </cell>
          <cell r="F207">
            <v>1</v>
          </cell>
          <cell r="G207">
            <v>730.98</v>
          </cell>
          <cell r="H207">
            <v>730</v>
          </cell>
        </row>
        <row r="208">
          <cell r="B208" t="str">
            <v>소계</v>
          </cell>
          <cell r="D208" t="str">
            <v>제40호표</v>
          </cell>
          <cell r="H208">
            <v>16103</v>
          </cell>
          <cell r="J208">
            <v>22265</v>
          </cell>
          <cell r="K208">
            <v>38368</v>
          </cell>
        </row>
        <row r="211">
          <cell r="A211" t="str">
            <v>제41호표</v>
          </cell>
          <cell r="B211" t="str">
            <v>바탕처리</v>
          </cell>
          <cell r="C211" t="str">
            <v>철재면기준</v>
          </cell>
          <cell r="E211" t="str">
            <v>M2</v>
          </cell>
        </row>
        <row r="213">
          <cell r="B213" t="str">
            <v>포리퍼티</v>
          </cell>
          <cell r="C213" t="str">
            <v>YGL017</v>
          </cell>
          <cell r="D213" t="str">
            <v>포리퍼티YGL017KG</v>
          </cell>
          <cell r="E213" t="str">
            <v>KG</v>
          </cell>
          <cell r="F213">
            <v>0.66</v>
          </cell>
          <cell r="G213">
            <v>6750</v>
          </cell>
          <cell r="H213">
            <v>4455</v>
          </cell>
          <cell r="I213">
            <v>0</v>
          </cell>
          <cell r="J213">
            <v>0</v>
          </cell>
          <cell r="K213">
            <v>4455</v>
          </cell>
        </row>
        <row r="214">
          <cell r="B214" t="str">
            <v>연마지</v>
          </cell>
          <cell r="C214" t="str">
            <v>#120</v>
          </cell>
          <cell r="D214" t="str">
            <v>연마지#120매</v>
          </cell>
          <cell r="E214" t="str">
            <v>매</v>
          </cell>
          <cell r="F214">
            <v>0.5</v>
          </cell>
          <cell r="G214">
            <v>260</v>
          </cell>
          <cell r="H214">
            <v>130</v>
          </cell>
          <cell r="I214">
            <v>0</v>
          </cell>
          <cell r="J214">
            <v>0</v>
          </cell>
          <cell r="K214">
            <v>130</v>
          </cell>
        </row>
        <row r="215">
          <cell r="B215" t="str">
            <v>도장공</v>
          </cell>
          <cell r="D215" t="str">
            <v>도장공인</v>
          </cell>
          <cell r="E215" t="str">
            <v>인</v>
          </cell>
          <cell r="F215">
            <v>8.3000000000000004E-2</v>
          </cell>
          <cell r="G215">
            <v>0</v>
          </cell>
          <cell r="H215">
            <v>0</v>
          </cell>
          <cell r="I215">
            <v>184508</v>
          </cell>
          <cell r="J215">
            <v>15314</v>
          </cell>
          <cell r="K215">
            <v>15314</v>
          </cell>
        </row>
        <row r="216">
          <cell r="B216" t="str">
            <v>기구손료</v>
          </cell>
          <cell r="C216" t="str">
            <v>인건비의2%</v>
          </cell>
          <cell r="D216" t="str">
            <v>기구손료인건비의2%식</v>
          </cell>
          <cell r="E216" t="str">
            <v>식</v>
          </cell>
          <cell r="F216">
            <v>1</v>
          </cell>
          <cell r="G216">
            <v>306</v>
          </cell>
          <cell r="H216">
            <v>306</v>
          </cell>
          <cell r="K216">
            <v>306</v>
          </cell>
        </row>
        <row r="217">
          <cell r="B217" t="str">
            <v>소계</v>
          </cell>
          <cell r="D217" t="str">
            <v>제41호표</v>
          </cell>
          <cell r="H217">
            <v>4891</v>
          </cell>
          <cell r="J217">
            <v>15314</v>
          </cell>
          <cell r="K217">
            <v>20205</v>
          </cell>
        </row>
        <row r="220">
          <cell r="A220" t="str">
            <v>제42호표</v>
          </cell>
          <cell r="B220" t="str">
            <v>방청페인트</v>
          </cell>
          <cell r="E220" t="str">
            <v>M2</v>
          </cell>
        </row>
        <row r="222">
          <cell r="B222" t="str">
            <v>광명단조합폐인트</v>
          </cell>
          <cell r="C222" t="str">
            <v>KSM6030-2</v>
          </cell>
          <cell r="D222" t="str">
            <v>광명단조합폐인트KSM6030-2L</v>
          </cell>
          <cell r="E222" t="str">
            <v>L</v>
          </cell>
          <cell r="F222">
            <v>0.161</v>
          </cell>
          <cell r="G222">
            <v>8983</v>
          </cell>
          <cell r="H222">
            <v>1446</v>
          </cell>
          <cell r="I222">
            <v>0</v>
          </cell>
          <cell r="J222">
            <v>0</v>
          </cell>
          <cell r="K222">
            <v>1446</v>
          </cell>
        </row>
        <row r="223">
          <cell r="B223" t="str">
            <v>신너</v>
          </cell>
          <cell r="C223" t="str">
            <v>KSM-6060,2종</v>
          </cell>
          <cell r="D223" t="str">
            <v>신너KSM-6060,2종L</v>
          </cell>
          <cell r="E223" t="str">
            <v>L</v>
          </cell>
          <cell r="F223">
            <v>8.0000000000000002E-3</v>
          </cell>
          <cell r="G223">
            <v>2711</v>
          </cell>
          <cell r="H223">
            <v>21</v>
          </cell>
          <cell r="I223">
            <v>0</v>
          </cell>
          <cell r="J223">
            <v>0</v>
          </cell>
          <cell r="K223">
            <v>21</v>
          </cell>
        </row>
        <row r="224">
          <cell r="B224" t="str">
            <v>연마지</v>
          </cell>
          <cell r="C224" t="str">
            <v>#120</v>
          </cell>
          <cell r="D224" t="str">
            <v>연마지#120매</v>
          </cell>
          <cell r="E224" t="str">
            <v>매</v>
          </cell>
          <cell r="F224">
            <v>0.01</v>
          </cell>
          <cell r="G224">
            <v>260</v>
          </cell>
          <cell r="H224">
            <v>2</v>
          </cell>
          <cell r="I224">
            <v>0</v>
          </cell>
          <cell r="J224">
            <v>0</v>
          </cell>
          <cell r="K224">
            <v>2</v>
          </cell>
        </row>
        <row r="225">
          <cell r="B225" t="str">
            <v>넝마</v>
          </cell>
          <cell r="C225" t="str">
            <v>면T/C 제품</v>
          </cell>
          <cell r="D225" t="str">
            <v>넝마면T/C제품KG</v>
          </cell>
          <cell r="E225" t="str">
            <v>KG</v>
          </cell>
          <cell r="F225">
            <v>0.01</v>
          </cell>
          <cell r="G225">
            <v>2000</v>
          </cell>
          <cell r="H225">
            <v>20</v>
          </cell>
          <cell r="I225">
            <v>0</v>
          </cell>
          <cell r="J225">
            <v>0</v>
          </cell>
          <cell r="K225">
            <v>20</v>
          </cell>
        </row>
        <row r="226">
          <cell r="B226" t="str">
            <v>도장공</v>
          </cell>
          <cell r="D226" t="str">
            <v>도장공인</v>
          </cell>
          <cell r="E226" t="str">
            <v>인</v>
          </cell>
          <cell r="F226">
            <v>0.03</v>
          </cell>
          <cell r="G226">
            <v>0</v>
          </cell>
          <cell r="H226">
            <v>0</v>
          </cell>
          <cell r="I226">
            <v>184508</v>
          </cell>
          <cell r="J226">
            <v>5535</v>
          </cell>
          <cell r="K226">
            <v>5535</v>
          </cell>
        </row>
        <row r="227">
          <cell r="B227" t="str">
            <v>보통인부</v>
          </cell>
          <cell r="D227" t="str">
            <v>보통인부인</v>
          </cell>
          <cell r="E227" t="str">
            <v>인</v>
          </cell>
          <cell r="F227">
            <v>6.0000000000000001E-3</v>
          </cell>
          <cell r="G227">
            <v>0</v>
          </cell>
          <cell r="H227">
            <v>0</v>
          </cell>
          <cell r="I227">
            <v>125427</v>
          </cell>
          <cell r="J227">
            <v>752</v>
          </cell>
          <cell r="K227">
            <v>752</v>
          </cell>
        </row>
        <row r="228">
          <cell r="B228" t="str">
            <v>잡자재비</v>
          </cell>
          <cell r="C228" t="str">
            <v>주재료비의3%</v>
          </cell>
          <cell r="E228" t="str">
            <v>식</v>
          </cell>
          <cell r="F228">
            <v>1</v>
          </cell>
          <cell r="G228">
            <v>88.02</v>
          </cell>
          <cell r="H228">
            <v>88</v>
          </cell>
        </row>
        <row r="229">
          <cell r="B229" t="str">
            <v>방청페인트</v>
          </cell>
          <cell r="D229" t="str">
            <v>방청페인트M2</v>
          </cell>
          <cell r="E229" t="str">
            <v>M2</v>
          </cell>
          <cell r="F229">
            <v>5.2999999999999999E-2</v>
          </cell>
          <cell r="G229">
            <v>1577</v>
          </cell>
          <cell r="H229">
            <v>83</v>
          </cell>
          <cell r="I229">
            <v>6287</v>
          </cell>
          <cell r="J229">
            <v>333</v>
          </cell>
          <cell r="K229">
            <v>416</v>
          </cell>
        </row>
        <row r="230">
          <cell r="B230" t="str">
            <v>소계</v>
          </cell>
          <cell r="D230" t="str">
            <v>제42호표</v>
          </cell>
          <cell r="H230">
            <v>1577</v>
          </cell>
          <cell r="J230">
            <v>6287</v>
          </cell>
          <cell r="K230">
            <v>7864</v>
          </cell>
        </row>
        <row r="233">
          <cell r="A233" t="str">
            <v>제43호표</v>
          </cell>
          <cell r="B233" t="str">
            <v>합판취부</v>
          </cell>
          <cell r="C233" t="str">
            <v>T11.5mm 2PLY</v>
          </cell>
          <cell r="E233" t="str">
            <v>M2</v>
          </cell>
        </row>
        <row r="235">
          <cell r="B235" t="str">
            <v>합판</v>
          </cell>
          <cell r="C235" t="str">
            <v>T11.5mm*4'*8'</v>
          </cell>
          <cell r="D235" t="str">
            <v>합판T11.5mm*4'*8'M2</v>
          </cell>
          <cell r="E235" t="str">
            <v>M2</v>
          </cell>
          <cell r="F235">
            <v>2.1</v>
          </cell>
          <cell r="G235">
            <v>8585</v>
          </cell>
          <cell r="H235">
            <v>18028</v>
          </cell>
          <cell r="I235">
            <v>0</v>
          </cell>
          <cell r="J235">
            <v>0</v>
          </cell>
          <cell r="K235">
            <v>18028</v>
          </cell>
        </row>
        <row r="236">
          <cell r="B236" t="str">
            <v>일반용철못</v>
          </cell>
          <cell r="C236" t="str">
            <v>N50</v>
          </cell>
          <cell r="D236" t="str">
            <v>일반용철못N50Kg</v>
          </cell>
          <cell r="E236" t="str">
            <v>Kg</v>
          </cell>
          <cell r="F236">
            <v>4.3999999999999997E-2</v>
          </cell>
          <cell r="G236">
            <v>1385</v>
          </cell>
          <cell r="H236">
            <v>60</v>
          </cell>
          <cell r="I236">
            <v>0</v>
          </cell>
          <cell r="J236">
            <v>0</v>
          </cell>
          <cell r="K236">
            <v>60</v>
          </cell>
        </row>
        <row r="237">
          <cell r="B237" t="str">
            <v>목공용접착제</v>
          </cell>
          <cell r="C237">
            <v>205</v>
          </cell>
          <cell r="D237" t="str">
            <v>목공용접착제205kg</v>
          </cell>
          <cell r="E237" t="str">
            <v>kg</v>
          </cell>
          <cell r="F237">
            <v>0.27</v>
          </cell>
          <cell r="G237">
            <v>3529</v>
          </cell>
          <cell r="H237">
            <v>952</v>
          </cell>
          <cell r="I237">
            <v>0</v>
          </cell>
          <cell r="J237">
            <v>0</v>
          </cell>
          <cell r="K237">
            <v>952</v>
          </cell>
        </row>
        <row r="238">
          <cell r="B238" t="str">
            <v>건축목공</v>
          </cell>
          <cell r="D238" t="str">
            <v>건축목공인</v>
          </cell>
          <cell r="E238" t="str">
            <v>인</v>
          </cell>
          <cell r="F238">
            <v>0.1656</v>
          </cell>
          <cell r="G238">
            <v>0</v>
          </cell>
          <cell r="H238">
            <v>0</v>
          </cell>
          <cell r="I238">
            <v>200925</v>
          </cell>
          <cell r="J238">
            <v>33273</v>
          </cell>
          <cell r="K238">
            <v>33273</v>
          </cell>
        </row>
        <row r="239">
          <cell r="B239" t="str">
            <v>보통인부</v>
          </cell>
          <cell r="D239" t="str">
            <v>보통인부인</v>
          </cell>
          <cell r="E239" t="str">
            <v>인</v>
          </cell>
          <cell r="F239">
            <v>1.84E-2</v>
          </cell>
          <cell r="G239">
            <v>0</v>
          </cell>
          <cell r="H239">
            <v>0</v>
          </cell>
          <cell r="I239">
            <v>125427</v>
          </cell>
          <cell r="J239">
            <v>2307</v>
          </cell>
          <cell r="K239">
            <v>2307</v>
          </cell>
        </row>
        <row r="240">
          <cell r="B240" t="str">
            <v>기구손료</v>
          </cell>
          <cell r="C240" t="str">
            <v>노무비의2%</v>
          </cell>
          <cell r="D240" t="str">
            <v>기구손료노무비의2%식</v>
          </cell>
          <cell r="E240" t="str">
            <v>식</v>
          </cell>
          <cell r="F240">
            <v>1</v>
          </cell>
          <cell r="G240">
            <v>711</v>
          </cell>
          <cell r="H240">
            <v>711</v>
          </cell>
          <cell r="K240">
            <v>711</v>
          </cell>
        </row>
        <row r="241">
          <cell r="B241" t="str">
            <v>소계</v>
          </cell>
          <cell r="D241" t="str">
            <v>제43호표</v>
          </cell>
          <cell r="H241">
            <v>19751</v>
          </cell>
          <cell r="J241">
            <v>35580</v>
          </cell>
          <cell r="K241">
            <v>55331</v>
          </cell>
        </row>
        <row r="244">
          <cell r="A244" t="str">
            <v>제44호표</v>
          </cell>
          <cell r="B244" t="str">
            <v>합판취부</v>
          </cell>
          <cell r="C244" t="str">
            <v>T8.5mm 1PLY</v>
          </cell>
          <cell r="E244" t="str">
            <v>M2</v>
          </cell>
        </row>
        <row r="246">
          <cell r="B246" t="str">
            <v>합판</v>
          </cell>
          <cell r="C246" t="str">
            <v>T8.5mm*4'*8'</v>
          </cell>
          <cell r="D246" t="str">
            <v>합판T8.5mm*4'*8'M2</v>
          </cell>
          <cell r="E246" t="str">
            <v>M2</v>
          </cell>
          <cell r="F246">
            <v>1.05</v>
          </cell>
          <cell r="G246">
            <v>6882</v>
          </cell>
          <cell r="H246">
            <v>7226</v>
          </cell>
          <cell r="I246">
            <v>0</v>
          </cell>
          <cell r="J246">
            <v>0</v>
          </cell>
          <cell r="K246">
            <v>7226</v>
          </cell>
        </row>
        <row r="247">
          <cell r="B247" t="str">
            <v>일반용철못</v>
          </cell>
          <cell r="C247" t="str">
            <v>N50</v>
          </cell>
          <cell r="D247" t="str">
            <v>일반용철못N50Kg</v>
          </cell>
          <cell r="E247" t="str">
            <v>Kg</v>
          </cell>
          <cell r="F247">
            <v>0.04</v>
          </cell>
          <cell r="G247">
            <v>1385</v>
          </cell>
          <cell r="H247">
            <v>55</v>
          </cell>
          <cell r="I247">
            <v>0</v>
          </cell>
          <cell r="J247">
            <v>0</v>
          </cell>
          <cell r="K247">
            <v>55</v>
          </cell>
        </row>
        <row r="248">
          <cell r="B248" t="str">
            <v>건축목공</v>
          </cell>
          <cell r="D248" t="str">
            <v>건축목공인</v>
          </cell>
          <cell r="E248" t="str">
            <v>인</v>
          </cell>
          <cell r="F248">
            <v>0.1656</v>
          </cell>
          <cell r="G248">
            <v>0</v>
          </cell>
          <cell r="H248">
            <v>0</v>
          </cell>
          <cell r="I248">
            <v>200925</v>
          </cell>
          <cell r="J248">
            <v>33273</v>
          </cell>
          <cell r="K248">
            <v>33273</v>
          </cell>
        </row>
        <row r="249">
          <cell r="B249" t="str">
            <v>보통인부</v>
          </cell>
          <cell r="D249" t="str">
            <v>보통인부인</v>
          </cell>
          <cell r="E249" t="str">
            <v>인</v>
          </cell>
          <cell r="F249">
            <v>0.1656</v>
          </cell>
          <cell r="G249">
            <v>0</v>
          </cell>
          <cell r="H249">
            <v>0</v>
          </cell>
          <cell r="I249">
            <v>125427</v>
          </cell>
          <cell r="J249">
            <v>20770</v>
          </cell>
          <cell r="K249">
            <v>20770</v>
          </cell>
        </row>
        <row r="250">
          <cell r="B250" t="str">
            <v>기구손료</v>
          </cell>
          <cell r="C250" t="str">
            <v>노무비의2%</v>
          </cell>
          <cell r="D250" t="str">
            <v>기구손료노무비의2%식</v>
          </cell>
          <cell r="E250" t="str">
            <v>식</v>
          </cell>
          <cell r="F250">
            <v>1</v>
          </cell>
          <cell r="G250">
            <v>1080</v>
          </cell>
          <cell r="H250">
            <v>1080</v>
          </cell>
          <cell r="K250">
            <v>1080</v>
          </cell>
        </row>
        <row r="251">
          <cell r="B251" t="str">
            <v>소계</v>
          </cell>
          <cell r="D251" t="str">
            <v>제44호표</v>
          </cell>
          <cell r="H251">
            <v>8361</v>
          </cell>
          <cell r="J251">
            <v>54043</v>
          </cell>
          <cell r="K251">
            <v>62404</v>
          </cell>
        </row>
        <row r="254">
          <cell r="A254" t="str">
            <v>제45호표</v>
          </cell>
          <cell r="B254" t="str">
            <v>코킹</v>
          </cell>
          <cell r="E254" t="str">
            <v>M</v>
          </cell>
        </row>
        <row r="256">
          <cell r="B256" t="str">
            <v>코레실</v>
          </cell>
          <cell r="C256" t="str">
            <v>SL907프리미엄</v>
          </cell>
          <cell r="D256" t="str">
            <v>코레실SL907프리미엄L</v>
          </cell>
          <cell r="E256" t="str">
            <v>L</v>
          </cell>
          <cell r="F256">
            <v>0.08</v>
          </cell>
          <cell r="G256">
            <v>10000</v>
          </cell>
          <cell r="H256">
            <v>800</v>
          </cell>
          <cell r="I256">
            <v>0</v>
          </cell>
          <cell r="J256">
            <v>0</v>
          </cell>
          <cell r="K256">
            <v>800</v>
          </cell>
        </row>
        <row r="257">
          <cell r="B257" t="str">
            <v>코킹공</v>
          </cell>
          <cell r="D257" t="str">
            <v>코킹공인</v>
          </cell>
          <cell r="E257" t="str">
            <v>인</v>
          </cell>
          <cell r="F257">
            <v>3.6999999999999998E-2</v>
          </cell>
          <cell r="G257">
            <v>0</v>
          </cell>
          <cell r="H257">
            <v>0</v>
          </cell>
          <cell r="I257">
            <v>163904</v>
          </cell>
          <cell r="J257">
            <v>6064</v>
          </cell>
          <cell r="K257">
            <v>6064</v>
          </cell>
        </row>
        <row r="258">
          <cell r="B258" t="str">
            <v>잡자재비</v>
          </cell>
          <cell r="C258" t="str">
            <v>주재료비의10%</v>
          </cell>
          <cell r="E258" t="str">
            <v>식</v>
          </cell>
          <cell r="F258">
            <v>1</v>
          </cell>
          <cell r="G258">
            <v>80</v>
          </cell>
          <cell r="H258">
            <v>80</v>
          </cell>
        </row>
        <row r="259">
          <cell r="B259" t="str">
            <v>소계</v>
          </cell>
          <cell r="D259" t="str">
            <v>제45호표</v>
          </cell>
          <cell r="H259">
            <v>880</v>
          </cell>
          <cell r="J259">
            <v>6064</v>
          </cell>
          <cell r="K259">
            <v>6944</v>
          </cell>
        </row>
        <row r="262">
          <cell r="A262" t="str">
            <v>제46호표</v>
          </cell>
          <cell r="B262" t="str">
            <v>각파이프(방청)</v>
          </cell>
          <cell r="C262" t="str">
            <v>40*40*1.4T</v>
          </cell>
          <cell r="E262" t="str">
            <v>M</v>
          </cell>
        </row>
        <row r="264">
          <cell r="B264" t="str">
            <v>각파이프</v>
          </cell>
          <cell r="C264" t="str">
            <v>40*40*1.4T</v>
          </cell>
          <cell r="D264" t="str">
            <v>각파이프40*40*1.4TKG</v>
          </cell>
          <cell r="E264" t="str">
            <v>KG</v>
          </cell>
          <cell r="F264">
            <v>1.7398500000000001</v>
          </cell>
          <cell r="G264">
            <v>1009</v>
          </cell>
          <cell r="H264">
            <v>1755</v>
          </cell>
          <cell r="I264">
            <v>0</v>
          </cell>
          <cell r="J264">
            <v>0</v>
          </cell>
          <cell r="K264">
            <v>1755</v>
          </cell>
        </row>
        <row r="265">
          <cell r="B265" t="str">
            <v>철구조물가공조립</v>
          </cell>
          <cell r="D265" t="str">
            <v>철구조물가공조립KG</v>
          </cell>
          <cell r="E265" t="str">
            <v>KG</v>
          </cell>
          <cell r="F265">
            <v>1.657</v>
          </cell>
          <cell r="G265">
            <v>3233</v>
          </cell>
          <cell r="H265">
            <v>5357</v>
          </cell>
          <cell r="I265">
            <v>7896</v>
          </cell>
          <cell r="J265">
            <v>13083</v>
          </cell>
          <cell r="K265">
            <v>18440</v>
          </cell>
        </row>
        <row r="266">
          <cell r="B266" t="str">
            <v>방청페인트</v>
          </cell>
          <cell r="D266" t="str">
            <v>방청페인트M2</v>
          </cell>
          <cell r="E266" t="str">
            <v>M2</v>
          </cell>
          <cell r="F266">
            <v>5.2999999999999999E-2</v>
          </cell>
          <cell r="G266">
            <v>1577</v>
          </cell>
          <cell r="H266">
            <v>83</v>
          </cell>
          <cell r="I266">
            <v>6287</v>
          </cell>
          <cell r="J266">
            <v>333</v>
          </cell>
          <cell r="K266">
            <v>416</v>
          </cell>
        </row>
        <row r="267">
          <cell r="B267" t="str">
            <v>소계</v>
          </cell>
          <cell r="D267" t="str">
            <v>제46호표</v>
          </cell>
          <cell r="H267">
            <v>7195</v>
          </cell>
          <cell r="J267">
            <v>13416</v>
          </cell>
          <cell r="K267">
            <v>20611</v>
          </cell>
        </row>
        <row r="270">
          <cell r="A270" t="str">
            <v>제47호표</v>
          </cell>
          <cell r="B270" t="str">
            <v>각파이프(방청)</v>
          </cell>
          <cell r="C270" t="str">
            <v>50*50*1.4T</v>
          </cell>
          <cell r="E270" t="str">
            <v>M</v>
          </cell>
        </row>
        <row r="272">
          <cell r="B272" t="str">
            <v>각파이프</v>
          </cell>
          <cell r="C272" t="str">
            <v>50*50*1.4T</v>
          </cell>
          <cell r="D272" t="str">
            <v>각파이프50*50*1.4TKG</v>
          </cell>
          <cell r="E272" t="str">
            <v>KG</v>
          </cell>
          <cell r="F272">
            <v>2.2010000000000001</v>
          </cell>
          <cell r="G272">
            <v>1007</v>
          </cell>
          <cell r="H272">
            <v>2216</v>
          </cell>
          <cell r="I272">
            <v>0</v>
          </cell>
          <cell r="J272">
            <v>0</v>
          </cell>
          <cell r="K272">
            <v>2216</v>
          </cell>
        </row>
        <row r="273">
          <cell r="B273" t="str">
            <v>철구조물가공조립</v>
          </cell>
          <cell r="D273" t="str">
            <v>철구조물가공조립KG</v>
          </cell>
          <cell r="E273" t="str">
            <v>KG</v>
          </cell>
          <cell r="F273">
            <v>2.097</v>
          </cell>
          <cell r="G273">
            <v>377</v>
          </cell>
          <cell r="H273">
            <v>790</v>
          </cell>
          <cell r="I273">
            <v>7896</v>
          </cell>
          <cell r="J273">
            <v>16557</v>
          </cell>
          <cell r="K273">
            <v>17347</v>
          </cell>
        </row>
        <row r="274">
          <cell r="B274" t="str">
            <v>방청페인트</v>
          </cell>
          <cell r="D274" t="str">
            <v>방청페인트M2</v>
          </cell>
          <cell r="E274" t="str">
            <v>M2</v>
          </cell>
          <cell r="F274">
            <v>6.7000000000000004E-2</v>
          </cell>
          <cell r="G274">
            <v>1577</v>
          </cell>
          <cell r="H274">
            <v>105</v>
          </cell>
          <cell r="I274">
            <v>6287</v>
          </cell>
          <cell r="J274">
            <v>421</v>
          </cell>
          <cell r="K274">
            <v>526</v>
          </cell>
        </row>
        <row r="275">
          <cell r="B275" t="str">
            <v>소계</v>
          </cell>
          <cell r="D275" t="str">
            <v>제47호표</v>
          </cell>
          <cell r="H275">
            <v>3111</v>
          </cell>
          <cell r="J275">
            <v>16978</v>
          </cell>
          <cell r="K275">
            <v>20089</v>
          </cell>
        </row>
        <row r="278">
          <cell r="A278" t="str">
            <v>제48호표</v>
          </cell>
          <cell r="B278" t="str">
            <v>각파이프(방청)</v>
          </cell>
          <cell r="C278" t="str">
            <v>100*50*2.3T</v>
          </cell>
          <cell r="E278" t="str">
            <v>M</v>
          </cell>
        </row>
        <row r="280">
          <cell r="B280" t="str">
            <v>각파이프</v>
          </cell>
          <cell r="C280" t="str">
            <v>100*50*2.3T</v>
          </cell>
          <cell r="D280" t="str">
            <v>각파이프100*50*2.3TKG</v>
          </cell>
          <cell r="E280" t="str">
            <v>KG</v>
          </cell>
          <cell r="F280">
            <v>5.4</v>
          </cell>
          <cell r="G280">
            <v>871</v>
          </cell>
          <cell r="H280">
            <v>4703</v>
          </cell>
          <cell r="I280">
            <v>0</v>
          </cell>
          <cell r="J280">
            <v>0</v>
          </cell>
          <cell r="K280">
            <v>4703</v>
          </cell>
        </row>
        <row r="281">
          <cell r="B281" t="str">
            <v>철구조물가공조립</v>
          </cell>
          <cell r="D281" t="str">
            <v>철구조물가공조립KG</v>
          </cell>
          <cell r="E281" t="str">
            <v>KG</v>
          </cell>
          <cell r="F281">
            <v>5.1440000000000001</v>
          </cell>
          <cell r="G281">
            <v>377</v>
          </cell>
          <cell r="H281">
            <v>1939</v>
          </cell>
          <cell r="I281">
            <v>7896</v>
          </cell>
          <cell r="J281">
            <v>40617</v>
          </cell>
          <cell r="K281">
            <v>42556</v>
          </cell>
        </row>
        <row r="282">
          <cell r="B282" t="str">
            <v>방청페인트</v>
          </cell>
          <cell r="D282" t="str">
            <v>방청페인트M2</v>
          </cell>
          <cell r="E282" t="str">
            <v>M2</v>
          </cell>
          <cell r="F282">
            <v>0.1</v>
          </cell>
          <cell r="G282">
            <v>1577</v>
          </cell>
          <cell r="H282">
            <v>157</v>
          </cell>
          <cell r="I282">
            <v>6287</v>
          </cell>
          <cell r="J282">
            <v>628</v>
          </cell>
          <cell r="K282">
            <v>785</v>
          </cell>
        </row>
        <row r="283">
          <cell r="B283" t="str">
            <v>소계</v>
          </cell>
          <cell r="D283" t="str">
            <v>제48호표</v>
          </cell>
          <cell r="H283">
            <v>6799</v>
          </cell>
          <cell r="J283">
            <v>41245</v>
          </cell>
          <cell r="K283">
            <v>48044</v>
          </cell>
        </row>
        <row r="286">
          <cell r="A286" t="str">
            <v>제49호표</v>
          </cell>
          <cell r="B286" t="str">
            <v>각파이프(방청)</v>
          </cell>
          <cell r="C286" t="str">
            <v>30*30*1.4T</v>
          </cell>
          <cell r="E286" t="str">
            <v>M</v>
          </cell>
        </row>
        <row r="288">
          <cell r="B288" t="str">
            <v>각파이프</v>
          </cell>
          <cell r="C288" t="str">
            <v>30*30*1.4T</v>
          </cell>
          <cell r="D288" t="str">
            <v>각파이프30*30*1.4TKG</v>
          </cell>
          <cell r="E288" t="str">
            <v>KG</v>
          </cell>
          <cell r="F288">
            <v>1.2789999999999999</v>
          </cell>
          <cell r="G288">
            <v>1018</v>
          </cell>
          <cell r="H288">
            <v>1302</v>
          </cell>
          <cell r="I288">
            <v>0</v>
          </cell>
          <cell r="J288">
            <v>0</v>
          </cell>
          <cell r="K288">
            <v>1302</v>
          </cell>
        </row>
        <row r="289">
          <cell r="B289" t="str">
            <v>철구조물가공조립</v>
          </cell>
          <cell r="D289" t="str">
            <v>철구조물가공조립KG</v>
          </cell>
          <cell r="E289" t="str">
            <v>KG</v>
          </cell>
          <cell r="F289">
            <v>1.218</v>
          </cell>
          <cell r="G289">
            <v>377</v>
          </cell>
          <cell r="H289">
            <v>459</v>
          </cell>
          <cell r="I289">
            <v>7896</v>
          </cell>
          <cell r="J289">
            <v>9617</v>
          </cell>
          <cell r="K289">
            <v>10076</v>
          </cell>
        </row>
        <row r="290">
          <cell r="B290" t="str">
            <v>방청페인트</v>
          </cell>
          <cell r="D290" t="str">
            <v>방청페인트M2</v>
          </cell>
          <cell r="E290" t="str">
            <v>M2</v>
          </cell>
          <cell r="F290">
            <v>0.4</v>
          </cell>
          <cell r="G290">
            <v>1577</v>
          </cell>
          <cell r="H290">
            <v>630</v>
          </cell>
          <cell r="I290">
            <v>6287</v>
          </cell>
          <cell r="J290">
            <v>2514</v>
          </cell>
          <cell r="K290">
            <v>3144</v>
          </cell>
        </row>
        <row r="291">
          <cell r="B291" t="str">
            <v>소계</v>
          </cell>
          <cell r="D291" t="str">
            <v>제49호표</v>
          </cell>
          <cell r="H291">
            <v>2391</v>
          </cell>
          <cell r="J291">
            <v>12131</v>
          </cell>
          <cell r="K291">
            <v>14522</v>
          </cell>
        </row>
        <row r="294">
          <cell r="A294" t="str">
            <v>제50호표</v>
          </cell>
          <cell r="B294" t="str">
            <v>L-형강(방청)</v>
          </cell>
          <cell r="C294" t="str">
            <v>50*50*4T</v>
          </cell>
          <cell r="E294" t="str">
            <v>M</v>
          </cell>
        </row>
        <row r="296">
          <cell r="B296" t="str">
            <v>L-형강</v>
          </cell>
          <cell r="C296" t="str">
            <v>50*50*4T</v>
          </cell>
          <cell r="D296" t="str">
            <v>L-형강50*50*4TKG</v>
          </cell>
          <cell r="E296" t="str">
            <v>KG</v>
          </cell>
          <cell r="F296">
            <v>3.2130000000000001</v>
          </cell>
          <cell r="G296">
            <v>875</v>
          </cell>
          <cell r="H296">
            <v>2811</v>
          </cell>
          <cell r="I296">
            <v>0</v>
          </cell>
          <cell r="J296">
            <v>0</v>
          </cell>
          <cell r="K296">
            <v>2811</v>
          </cell>
        </row>
        <row r="297">
          <cell r="B297" t="str">
            <v>철구조물가공조립</v>
          </cell>
          <cell r="D297" t="str">
            <v>철구조물가공조립KG</v>
          </cell>
          <cell r="E297" t="str">
            <v>KG</v>
          </cell>
          <cell r="F297">
            <v>3.06</v>
          </cell>
          <cell r="G297">
            <v>377</v>
          </cell>
          <cell r="H297">
            <v>1153</v>
          </cell>
          <cell r="I297">
            <v>7896</v>
          </cell>
          <cell r="J297">
            <v>24161</v>
          </cell>
          <cell r="K297">
            <v>25314</v>
          </cell>
        </row>
        <row r="298">
          <cell r="B298" t="str">
            <v>방청페인트</v>
          </cell>
          <cell r="D298" t="str">
            <v>방청페인트M2</v>
          </cell>
          <cell r="E298" t="str">
            <v>M2</v>
          </cell>
          <cell r="F298">
            <v>6.6666666666666666E-2</v>
          </cell>
          <cell r="G298">
            <v>1577</v>
          </cell>
          <cell r="H298">
            <v>105</v>
          </cell>
          <cell r="I298">
            <v>6287</v>
          </cell>
          <cell r="J298">
            <v>419</v>
          </cell>
          <cell r="K298">
            <v>524</v>
          </cell>
        </row>
        <row r="299">
          <cell r="B299" t="str">
            <v>소계</v>
          </cell>
          <cell r="D299" t="str">
            <v>제50호표</v>
          </cell>
          <cell r="H299">
            <v>4069</v>
          </cell>
          <cell r="J299">
            <v>24580</v>
          </cell>
          <cell r="K299">
            <v>28649</v>
          </cell>
        </row>
        <row r="302">
          <cell r="A302" t="str">
            <v>제51호표</v>
          </cell>
          <cell r="B302" t="str">
            <v>갈바후레임제작설치</v>
          </cell>
          <cell r="C302" t="str">
            <v>1.6T</v>
          </cell>
          <cell r="E302" t="str">
            <v>M2</v>
          </cell>
        </row>
        <row r="304">
          <cell r="B304" t="str">
            <v>철판</v>
          </cell>
          <cell r="C304" t="str">
            <v>T1.6 GALV.</v>
          </cell>
          <cell r="D304" t="str">
            <v>철판T1.6GALV.M2</v>
          </cell>
          <cell r="E304" t="str">
            <v>M2</v>
          </cell>
          <cell r="F304">
            <v>1.05</v>
          </cell>
          <cell r="G304">
            <v>12232</v>
          </cell>
          <cell r="H304">
            <v>12843</v>
          </cell>
          <cell r="I304">
            <v>0</v>
          </cell>
          <cell r="J304">
            <v>0</v>
          </cell>
          <cell r="K304">
            <v>12843</v>
          </cell>
        </row>
        <row r="305">
          <cell r="B305" t="str">
            <v>절단가공</v>
          </cell>
          <cell r="C305" t="str">
            <v>T1.6 GALV.</v>
          </cell>
          <cell r="D305" t="str">
            <v>절단가공T1.6GALV.M</v>
          </cell>
          <cell r="E305" t="str">
            <v>M</v>
          </cell>
          <cell r="F305">
            <v>1.9545454545454546</v>
          </cell>
          <cell r="G305">
            <v>0</v>
          </cell>
          <cell r="H305">
            <v>0</v>
          </cell>
          <cell r="I305">
            <v>2049</v>
          </cell>
          <cell r="J305">
            <v>4004</v>
          </cell>
          <cell r="K305">
            <v>4004</v>
          </cell>
        </row>
        <row r="306">
          <cell r="B306" t="str">
            <v>절단가공,용접제작</v>
          </cell>
          <cell r="D306" t="str">
            <v>절단가공,용접제작M</v>
          </cell>
          <cell r="E306" t="str">
            <v>M</v>
          </cell>
          <cell r="F306">
            <v>1.9545454545454546</v>
          </cell>
          <cell r="G306">
            <v>30</v>
          </cell>
          <cell r="H306">
            <v>58</v>
          </cell>
          <cell r="I306">
            <v>2160</v>
          </cell>
          <cell r="J306">
            <v>4221</v>
          </cell>
          <cell r="K306">
            <v>4279</v>
          </cell>
        </row>
        <row r="307">
          <cell r="B307" t="str">
            <v>잡철물설치</v>
          </cell>
          <cell r="C307" t="str">
            <v>T1.6 GALV.</v>
          </cell>
          <cell r="D307" t="str">
            <v>잡철물설치T1.6GALV.M2</v>
          </cell>
          <cell r="E307" t="str">
            <v>M2</v>
          </cell>
          <cell r="F307">
            <v>1.05</v>
          </cell>
          <cell r="G307">
            <v>3442</v>
          </cell>
          <cell r="H307">
            <v>3614</v>
          </cell>
          <cell r="I307">
            <v>54417</v>
          </cell>
          <cell r="J307">
            <v>57137</v>
          </cell>
          <cell r="K307">
            <v>60751</v>
          </cell>
        </row>
        <row r="308">
          <cell r="B308" t="str">
            <v>소계</v>
          </cell>
          <cell r="D308" t="str">
            <v>제51호표</v>
          </cell>
          <cell r="H308">
            <v>16515</v>
          </cell>
          <cell r="J308">
            <v>65362</v>
          </cell>
          <cell r="K308">
            <v>81877</v>
          </cell>
        </row>
        <row r="311">
          <cell r="A311" t="str">
            <v>제52호표</v>
          </cell>
          <cell r="B311" t="str">
            <v>갈바후레임제작설치</v>
          </cell>
          <cell r="C311" t="str">
            <v>1.2T</v>
          </cell>
          <cell r="E311" t="str">
            <v>M2</v>
          </cell>
        </row>
        <row r="313">
          <cell r="B313" t="str">
            <v>철판</v>
          </cell>
          <cell r="C313" t="str">
            <v>T1.2 GALV.</v>
          </cell>
          <cell r="D313" t="str">
            <v>철판T1.2GALV.M2</v>
          </cell>
          <cell r="E313" t="str">
            <v>M2</v>
          </cell>
          <cell r="F313">
            <v>1.05</v>
          </cell>
          <cell r="G313">
            <v>9232</v>
          </cell>
          <cell r="H313">
            <v>9693</v>
          </cell>
          <cell r="I313">
            <v>0</v>
          </cell>
          <cell r="J313">
            <v>0</v>
          </cell>
          <cell r="K313">
            <v>9693</v>
          </cell>
        </row>
        <row r="314">
          <cell r="B314" t="str">
            <v>절단가공</v>
          </cell>
          <cell r="C314" t="str">
            <v>T1.2 GALV.</v>
          </cell>
          <cell r="D314" t="str">
            <v>절단가공T1.2GALV.M</v>
          </cell>
          <cell r="E314" t="str">
            <v>M</v>
          </cell>
          <cell r="F314">
            <v>1.9545454545454546</v>
          </cell>
          <cell r="G314">
            <v>0</v>
          </cell>
          <cell r="H314">
            <v>0</v>
          </cell>
          <cell r="I314">
            <v>1708</v>
          </cell>
          <cell r="J314">
            <v>3338</v>
          </cell>
          <cell r="K314">
            <v>3338</v>
          </cell>
        </row>
        <row r="315">
          <cell r="B315" t="str">
            <v>절단가공,용접제작</v>
          </cell>
          <cell r="D315" t="str">
            <v>절단가공,용접제작M</v>
          </cell>
          <cell r="E315" t="str">
            <v>M</v>
          </cell>
          <cell r="F315">
            <v>1.9545454545454546</v>
          </cell>
          <cell r="G315">
            <v>30</v>
          </cell>
          <cell r="H315">
            <v>58</v>
          </cell>
          <cell r="I315">
            <v>2160</v>
          </cell>
          <cell r="J315">
            <v>4221</v>
          </cell>
          <cell r="K315">
            <v>4279</v>
          </cell>
        </row>
        <row r="316">
          <cell r="B316" t="str">
            <v>잡철물설치</v>
          </cell>
          <cell r="C316" t="str">
            <v>T1.2 GALV.</v>
          </cell>
          <cell r="D316" t="str">
            <v>잡철물설치T1.2GALV.M2</v>
          </cell>
          <cell r="E316" t="str">
            <v>M2</v>
          </cell>
          <cell r="F316">
            <v>1.05</v>
          </cell>
          <cell r="G316">
            <v>2092</v>
          </cell>
          <cell r="H316">
            <v>2196</v>
          </cell>
          <cell r="I316">
            <v>33077</v>
          </cell>
          <cell r="J316">
            <v>34730</v>
          </cell>
          <cell r="K316">
            <v>36926</v>
          </cell>
        </row>
        <row r="317">
          <cell r="B317" t="str">
            <v>소계</v>
          </cell>
          <cell r="D317" t="str">
            <v>제52호표</v>
          </cell>
          <cell r="H317">
            <v>11947</v>
          </cell>
          <cell r="J317">
            <v>42289</v>
          </cell>
          <cell r="K317">
            <v>54236</v>
          </cell>
        </row>
        <row r="320">
          <cell r="A320" t="str">
            <v>제53호표</v>
          </cell>
          <cell r="B320" t="str">
            <v>제품출하</v>
          </cell>
          <cell r="E320" t="str">
            <v>M</v>
          </cell>
        </row>
        <row r="322">
          <cell r="B322" t="str">
            <v>단순노무종사원</v>
          </cell>
          <cell r="D322" t="str">
            <v>단순노무종사원인</v>
          </cell>
          <cell r="E322" t="str">
            <v>인</v>
          </cell>
          <cell r="F322">
            <v>0.01</v>
          </cell>
          <cell r="G322">
            <v>0</v>
          </cell>
          <cell r="H322">
            <v>0</v>
          </cell>
          <cell r="I322">
            <v>72020</v>
          </cell>
          <cell r="J322">
            <v>720</v>
          </cell>
          <cell r="K322">
            <v>720</v>
          </cell>
        </row>
        <row r="323">
          <cell r="B323" t="str">
            <v>소계</v>
          </cell>
          <cell r="D323" t="str">
            <v>제53호표</v>
          </cell>
          <cell r="H323">
            <v>0</v>
          </cell>
          <cell r="J323">
            <v>720</v>
          </cell>
          <cell r="K323">
            <v>720</v>
          </cell>
        </row>
        <row r="326">
          <cell r="A326" t="str">
            <v>제54호표</v>
          </cell>
          <cell r="B326" t="str">
            <v>그림걸이레일몰딩</v>
          </cell>
          <cell r="C326" t="str">
            <v>1.6T</v>
          </cell>
          <cell r="E326" t="str">
            <v>M</v>
          </cell>
        </row>
        <row r="328">
          <cell r="B328" t="str">
            <v>철판</v>
          </cell>
          <cell r="C328" t="str">
            <v>T1.6 GALV.</v>
          </cell>
          <cell r="D328" t="str">
            <v>철판T1.6GALV.M2</v>
          </cell>
          <cell r="E328" t="str">
            <v>M2</v>
          </cell>
          <cell r="F328">
            <v>0.23100000000000001</v>
          </cell>
          <cell r="G328">
            <v>12232</v>
          </cell>
          <cell r="H328">
            <v>2825</v>
          </cell>
          <cell r="I328">
            <v>0</v>
          </cell>
          <cell r="J328">
            <v>0</v>
          </cell>
          <cell r="K328">
            <v>2825</v>
          </cell>
        </row>
        <row r="329">
          <cell r="B329" t="str">
            <v>잡철물설치</v>
          </cell>
          <cell r="C329" t="str">
            <v>T1.6 GALV.</v>
          </cell>
          <cell r="D329" t="str">
            <v>잡철물설치T1.6GALV.M2</v>
          </cell>
          <cell r="E329" t="str">
            <v>M2</v>
          </cell>
          <cell r="F329">
            <v>0.23100000000000001</v>
          </cell>
          <cell r="G329">
            <v>3442</v>
          </cell>
          <cell r="H329">
            <v>795</v>
          </cell>
          <cell r="I329">
            <v>54417</v>
          </cell>
          <cell r="J329">
            <v>12570</v>
          </cell>
          <cell r="K329">
            <v>13365</v>
          </cell>
        </row>
        <row r="330">
          <cell r="B330" t="str">
            <v>우레탄칼라락카도장</v>
          </cell>
          <cell r="C330" t="str">
            <v>철재면기준</v>
          </cell>
          <cell r="D330" t="str">
            <v>우레탄칼라락카도장철재면기준M2</v>
          </cell>
          <cell r="E330" t="str">
            <v>M2</v>
          </cell>
          <cell r="F330">
            <v>0.19090909090909089</v>
          </cell>
          <cell r="G330">
            <v>15992</v>
          </cell>
          <cell r="H330">
            <v>3053</v>
          </cell>
          <cell r="I330">
            <v>22265</v>
          </cell>
          <cell r="J330">
            <v>4250</v>
          </cell>
          <cell r="K330">
            <v>7303</v>
          </cell>
        </row>
        <row r="331">
          <cell r="B331" t="str">
            <v>소계</v>
          </cell>
          <cell r="D331" t="str">
            <v>제54호표</v>
          </cell>
          <cell r="H331">
            <v>6673</v>
          </cell>
          <cell r="J331">
            <v>16820</v>
          </cell>
          <cell r="K331">
            <v>23493</v>
          </cell>
        </row>
        <row r="334">
          <cell r="A334" t="str">
            <v>제55호표</v>
          </cell>
          <cell r="B334" t="str">
            <v>바탕처리</v>
          </cell>
          <cell r="C334" t="str">
            <v>도배퍼티</v>
          </cell>
          <cell r="E334" t="str">
            <v>M2</v>
          </cell>
        </row>
        <row r="336">
          <cell r="B336" t="str">
            <v>퍼티</v>
          </cell>
          <cell r="C336" t="str">
            <v>핸디코트</v>
          </cell>
          <cell r="D336" t="str">
            <v>퍼티핸디코트KG</v>
          </cell>
          <cell r="E336" t="str">
            <v>KG</v>
          </cell>
          <cell r="F336">
            <v>0.45300000000000001</v>
          </cell>
          <cell r="G336">
            <v>1030</v>
          </cell>
          <cell r="H336">
            <v>466</v>
          </cell>
          <cell r="I336">
            <v>0</v>
          </cell>
          <cell r="J336">
            <v>0</v>
          </cell>
          <cell r="K336">
            <v>466</v>
          </cell>
        </row>
        <row r="337">
          <cell r="B337" t="str">
            <v>연마포</v>
          </cell>
          <cell r="C337" t="str">
            <v>#120</v>
          </cell>
          <cell r="D337" t="str">
            <v>연마포#120매</v>
          </cell>
          <cell r="E337" t="str">
            <v>매</v>
          </cell>
          <cell r="F337">
            <v>0.123</v>
          </cell>
          <cell r="G337">
            <v>440</v>
          </cell>
          <cell r="H337">
            <v>54</v>
          </cell>
          <cell r="I337">
            <v>0</v>
          </cell>
          <cell r="J337">
            <v>0</v>
          </cell>
          <cell r="K337">
            <v>54</v>
          </cell>
        </row>
        <row r="338">
          <cell r="B338" t="str">
            <v>망사테이프</v>
          </cell>
          <cell r="D338" t="str">
            <v>망사테이프M</v>
          </cell>
          <cell r="E338" t="str">
            <v>M</v>
          </cell>
          <cell r="F338">
            <v>1.52</v>
          </cell>
          <cell r="G338">
            <v>320</v>
          </cell>
          <cell r="H338">
            <v>486</v>
          </cell>
          <cell r="I338">
            <v>0</v>
          </cell>
          <cell r="J338">
            <v>0</v>
          </cell>
          <cell r="K338">
            <v>486</v>
          </cell>
        </row>
        <row r="339">
          <cell r="B339" t="str">
            <v>도장공</v>
          </cell>
          <cell r="D339" t="str">
            <v>도장공인</v>
          </cell>
          <cell r="E339" t="str">
            <v>인</v>
          </cell>
          <cell r="F339">
            <v>3.5000000000000003E-2</v>
          </cell>
          <cell r="G339">
            <v>0</v>
          </cell>
          <cell r="H339">
            <v>0</v>
          </cell>
          <cell r="I339">
            <v>184508</v>
          </cell>
          <cell r="J339">
            <v>6457</v>
          </cell>
          <cell r="K339">
            <v>6457</v>
          </cell>
        </row>
        <row r="340">
          <cell r="B340" t="str">
            <v>보통인부</v>
          </cell>
          <cell r="D340" t="str">
            <v>보통인부인</v>
          </cell>
          <cell r="E340" t="str">
            <v>인</v>
          </cell>
          <cell r="F340">
            <v>0.01</v>
          </cell>
          <cell r="G340">
            <v>0</v>
          </cell>
          <cell r="H340">
            <v>0</v>
          </cell>
          <cell r="I340">
            <v>125427</v>
          </cell>
          <cell r="J340">
            <v>1254</v>
          </cell>
          <cell r="K340">
            <v>1254</v>
          </cell>
        </row>
        <row r="341">
          <cell r="B341" t="str">
            <v>기구손료</v>
          </cell>
          <cell r="C341" t="str">
            <v>인건비의2%</v>
          </cell>
          <cell r="D341" t="str">
            <v>기구손료인건비의2%식</v>
          </cell>
          <cell r="E341" t="str">
            <v>식</v>
          </cell>
          <cell r="F341">
            <v>1</v>
          </cell>
          <cell r="G341">
            <v>154</v>
          </cell>
          <cell r="H341">
            <v>154</v>
          </cell>
          <cell r="K341">
            <v>154</v>
          </cell>
        </row>
        <row r="342">
          <cell r="B342" t="str">
            <v>소계</v>
          </cell>
          <cell r="D342" t="str">
            <v>제55호표</v>
          </cell>
          <cell r="H342">
            <v>1160</v>
          </cell>
          <cell r="J342">
            <v>7711</v>
          </cell>
          <cell r="K342">
            <v>8871</v>
          </cell>
        </row>
        <row r="345">
          <cell r="A345" t="str">
            <v>제56호표</v>
          </cell>
          <cell r="B345" t="str">
            <v>내부도배</v>
          </cell>
          <cell r="C345" t="str">
            <v>세마직벽지</v>
          </cell>
          <cell r="E345" t="str">
            <v>M2</v>
          </cell>
        </row>
        <row r="347">
          <cell r="B347" t="str">
            <v>초배지</v>
          </cell>
          <cell r="C347" t="str">
            <v>양지A급</v>
          </cell>
          <cell r="D347" t="str">
            <v>초배지양지A급M2</v>
          </cell>
          <cell r="E347" t="str">
            <v>M2</v>
          </cell>
          <cell r="F347">
            <v>0.8</v>
          </cell>
          <cell r="G347">
            <v>253</v>
          </cell>
          <cell r="H347">
            <v>202</v>
          </cell>
          <cell r="I347">
            <v>0</v>
          </cell>
          <cell r="J347">
            <v>0</v>
          </cell>
          <cell r="K347">
            <v>202</v>
          </cell>
        </row>
        <row r="348">
          <cell r="B348" t="str">
            <v>세마직벽지</v>
          </cell>
          <cell r="C348" t="str">
            <v>1회 특수벽지</v>
          </cell>
          <cell r="D348" t="str">
            <v>세마직벽지1회특수벽지M2</v>
          </cell>
          <cell r="E348" t="str">
            <v>M2</v>
          </cell>
          <cell r="F348">
            <v>1.2</v>
          </cell>
          <cell r="G348">
            <v>38000</v>
          </cell>
          <cell r="H348">
            <v>45600</v>
          </cell>
          <cell r="I348">
            <v>0</v>
          </cell>
          <cell r="J348">
            <v>0</v>
          </cell>
          <cell r="K348">
            <v>45600</v>
          </cell>
        </row>
        <row r="349">
          <cell r="B349" t="str">
            <v>풀</v>
          </cell>
          <cell r="C349" t="str">
            <v>밀가루풀</v>
          </cell>
          <cell r="D349" t="str">
            <v>풀밀가루풀포</v>
          </cell>
          <cell r="E349" t="str">
            <v>포</v>
          </cell>
          <cell r="F349">
            <v>0.3</v>
          </cell>
          <cell r="G349">
            <v>4500</v>
          </cell>
          <cell r="H349">
            <v>1350</v>
          </cell>
          <cell r="I349">
            <v>0</v>
          </cell>
          <cell r="J349">
            <v>0</v>
          </cell>
          <cell r="K349">
            <v>1350</v>
          </cell>
        </row>
        <row r="350">
          <cell r="B350" t="str">
            <v>도배공</v>
          </cell>
          <cell r="D350" t="str">
            <v>도배공인</v>
          </cell>
          <cell r="E350" t="str">
            <v>인</v>
          </cell>
          <cell r="F350">
            <v>2.7E-2</v>
          </cell>
          <cell r="G350">
            <v>0</v>
          </cell>
          <cell r="H350">
            <v>0</v>
          </cell>
          <cell r="I350">
            <v>165558</v>
          </cell>
          <cell r="J350">
            <v>4470</v>
          </cell>
          <cell r="K350">
            <v>4470</v>
          </cell>
        </row>
        <row r="351">
          <cell r="B351" t="str">
            <v>보통인부</v>
          </cell>
          <cell r="D351" t="str">
            <v>보통인부인</v>
          </cell>
          <cell r="E351" t="str">
            <v>인</v>
          </cell>
          <cell r="F351">
            <v>6.0000000000000001E-3</v>
          </cell>
          <cell r="G351">
            <v>0</v>
          </cell>
          <cell r="H351">
            <v>0</v>
          </cell>
          <cell r="I351">
            <v>125427</v>
          </cell>
          <cell r="J351">
            <v>752</v>
          </cell>
          <cell r="K351">
            <v>752</v>
          </cell>
        </row>
        <row r="352">
          <cell r="B352" t="str">
            <v>소계</v>
          </cell>
          <cell r="D352" t="str">
            <v>제56호표</v>
          </cell>
          <cell r="H352">
            <v>47152</v>
          </cell>
          <cell r="J352">
            <v>5222</v>
          </cell>
          <cell r="K352">
            <v>52374</v>
          </cell>
        </row>
        <row r="356">
          <cell r="A356" t="str">
            <v>제57호표</v>
          </cell>
          <cell r="B356" t="str">
            <v>코아합판취부</v>
          </cell>
          <cell r="C356" t="str">
            <v>T18mm</v>
          </cell>
          <cell r="E356" t="str">
            <v>M2</v>
          </cell>
        </row>
        <row r="358">
          <cell r="B358" t="str">
            <v xml:space="preserve">코아합판 </v>
          </cell>
          <cell r="C358" t="str">
            <v>T18mm*4'*8'</v>
          </cell>
          <cell r="D358" t="str">
            <v>코아합판T18mm*4'*8'M2</v>
          </cell>
          <cell r="E358" t="str">
            <v>M2</v>
          </cell>
          <cell r="F358">
            <v>1.05</v>
          </cell>
          <cell r="G358">
            <v>10942</v>
          </cell>
          <cell r="H358">
            <v>11489</v>
          </cell>
          <cell r="I358">
            <v>0</v>
          </cell>
          <cell r="J358">
            <v>0</v>
          </cell>
          <cell r="K358">
            <v>11489</v>
          </cell>
        </row>
        <row r="359">
          <cell r="B359" t="str">
            <v>스테인리스작은나사</v>
          </cell>
          <cell r="C359" t="str">
            <v>m3*8mm</v>
          </cell>
          <cell r="D359" t="str">
            <v>스테인리스작은나사m3*8mmEA</v>
          </cell>
          <cell r="E359" t="str">
            <v>EA</v>
          </cell>
          <cell r="F359">
            <v>9</v>
          </cell>
          <cell r="G359">
            <v>12</v>
          </cell>
          <cell r="H359">
            <v>108</v>
          </cell>
          <cell r="I359">
            <v>0</v>
          </cell>
          <cell r="J359">
            <v>0</v>
          </cell>
          <cell r="K359">
            <v>108</v>
          </cell>
        </row>
        <row r="360">
          <cell r="B360" t="str">
            <v>건축목공</v>
          </cell>
          <cell r="D360" t="str">
            <v>건축목공인</v>
          </cell>
          <cell r="E360" t="str">
            <v>인</v>
          </cell>
          <cell r="F360">
            <v>0.09</v>
          </cell>
          <cell r="G360">
            <v>0</v>
          </cell>
          <cell r="H360">
            <v>0</v>
          </cell>
          <cell r="I360">
            <v>200925</v>
          </cell>
          <cell r="J360">
            <v>18083</v>
          </cell>
          <cell r="K360">
            <v>18083</v>
          </cell>
        </row>
        <row r="361">
          <cell r="B361" t="str">
            <v>보통인부</v>
          </cell>
          <cell r="D361" t="str">
            <v>보통인부인</v>
          </cell>
          <cell r="E361" t="str">
            <v>인</v>
          </cell>
          <cell r="F361">
            <v>0.01</v>
          </cell>
          <cell r="G361">
            <v>0</v>
          </cell>
          <cell r="H361">
            <v>0</v>
          </cell>
          <cell r="I361">
            <v>125427</v>
          </cell>
          <cell r="J361">
            <v>1254</v>
          </cell>
          <cell r="K361">
            <v>1254</v>
          </cell>
        </row>
        <row r="362">
          <cell r="B362" t="str">
            <v>소계</v>
          </cell>
          <cell r="D362" t="str">
            <v>제57호표</v>
          </cell>
          <cell r="H362">
            <v>11597</v>
          </cell>
          <cell r="J362">
            <v>19337</v>
          </cell>
          <cell r="K362">
            <v>30934</v>
          </cell>
        </row>
        <row r="365">
          <cell r="A365" t="str">
            <v>제58호표</v>
          </cell>
          <cell r="B365" t="str">
            <v>저반사 접합유리 끼우기(투과율99%)</v>
          </cell>
          <cell r="C365" t="str">
            <v>T10.76mm</v>
          </cell>
          <cell r="E365" t="str">
            <v>M2</v>
          </cell>
        </row>
        <row r="367">
          <cell r="B367" t="str">
            <v>저반사 접합유리(투과율99%)</v>
          </cell>
          <cell r="C367" t="str">
            <v>T10.76mm</v>
          </cell>
          <cell r="D367" t="str">
            <v>저반사접합유리(투과율99%)T10.76mmM2</v>
          </cell>
          <cell r="E367" t="str">
            <v>M2</v>
          </cell>
          <cell r="F367">
            <v>1.05</v>
          </cell>
          <cell r="G367">
            <v>1500000</v>
          </cell>
          <cell r="H367">
            <v>1575000</v>
          </cell>
          <cell r="I367">
            <v>0</v>
          </cell>
          <cell r="J367">
            <v>0</v>
          </cell>
          <cell r="K367">
            <v>1575000</v>
          </cell>
        </row>
        <row r="368">
          <cell r="B368" t="str">
            <v>넝마</v>
          </cell>
          <cell r="C368" t="str">
            <v>면T/C 제품</v>
          </cell>
          <cell r="D368" t="str">
            <v>넝마면T/C제품KG</v>
          </cell>
          <cell r="E368" t="str">
            <v>KG</v>
          </cell>
          <cell r="F368">
            <v>0.04</v>
          </cell>
          <cell r="G368">
            <v>2000</v>
          </cell>
          <cell r="H368">
            <v>80</v>
          </cell>
          <cell r="I368">
            <v>0</v>
          </cell>
          <cell r="J368">
            <v>0</v>
          </cell>
          <cell r="K368">
            <v>80</v>
          </cell>
        </row>
        <row r="369">
          <cell r="B369" t="str">
            <v>세제</v>
          </cell>
          <cell r="C369" t="str">
            <v>유리용</v>
          </cell>
          <cell r="D369" t="str">
            <v>세제유리용KG</v>
          </cell>
          <cell r="E369" t="str">
            <v>KG</v>
          </cell>
          <cell r="F369">
            <v>1.4999999999999999E-2</v>
          </cell>
          <cell r="G369">
            <v>2133</v>
          </cell>
          <cell r="H369">
            <v>31</v>
          </cell>
          <cell r="I369">
            <v>0</v>
          </cell>
          <cell r="J369">
            <v>0</v>
          </cell>
          <cell r="K369">
            <v>31</v>
          </cell>
        </row>
        <row r="370">
          <cell r="B370" t="str">
            <v>유리공</v>
          </cell>
          <cell r="D370" t="str">
            <v>유리공인</v>
          </cell>
          <cell r="E370" t="str">
            <v>인</v>
          </cell>
          <cell r="F370">
            <v>0.21</v>
          </cell>
          <cell r="G370">
            <v>0</v>
          </cell>
          <cell r="H370">
            <v>0</v>
          </cell>
          <cell r="I370">
            <v>181240</v>
          </cell>
          <cell r="J370">
            <v>38060</v>
          </cell>
          <cell r="K370">
            <v>38060</v>
          </cell>
        </row>
        <row r="371">
          <cell r="B371" t="str">
            <v>보통인부</v>
          </cell>
          <cell r="D371" t="str">
            <v>보통인부인</v>
          </cell>
          <cell r="E371" t="str">
            <v>인</v>
          </cell>
          <cell r="F371">
            <v>2.4E-2</v>
          </cell>
          <cell r="G371">
            <v>0</v>
          </cell>
          <cell r="H371">
            <v>0</v>
          </cell>
          <cell r="I371">
            <v>125427</v>
          </cell>
          <cell r="J371">
            <v>3010</v>
          </cell>
          <cell r="K371">
            <v>3010</v>
          </cell>
        </row>
        <row r="372">
          <cell r="B372" t="str">
            <v>소계</v>
          </cell>
          <cell r="D372" t="str">
            <v>제58호표</v>
          </cell>
          <cell r="H372">
            <v>1575111</v>
          </cell>
          <cell r="J372">
            <v>41070</v>
          </cell>
          <cell r="K372">
            <v>1616181</v>
          </cell>
        </row>
        <row r="375">
          <cell r="A375" t="str">
            <v>제59호표</v>
          </cell>
          <cell r="B375" t="str">
            <v>저반사 접합유리 끼우기(투과율98%)</v>
          </cell>
          <cell r="C375" t="str">
            <v>T10.76mm</v>
          </cell>
          <cell r="E375" t="str">
            <v>M2</v>
          </cell>
        </row>
        <row r="377">
          <cell r="B377" t="str">
            <v>저반사 접합유리(투과율98%)</v>
          </cell>
          <cell r="C377" t="str">
            <v>T10.76mm</v>
          </cell>
          <cell r="D377" t="str">
            <v>저반사접합유리(투과율98%)T10.76mmM2</v>
          </cell>
          <cell r="E377" t="str">
            <v>M2</v>
          </cell>
          <cell r="F377">
            <v>1.05</v>
          </cell>
          <cell r="G377">
            <v>1250000</v>
          </cell>
          <cell r="H377">
            <v>1312500</v>
          </cell>
          <cell r="I377">
            <v>0</v>
          </cell>
          <cell r="J377">
            <v>0</v>
          </cell>
          <cell r="K377">
            <v>1312500</v>
          </cell>
        </row>
        <row r="378">
          <cell r="B378" t="str">
            <v>넝마</v>
          </cell>
          <cell r="C378" t="str">
            <v>면T/C 제품</v>
          </cell>
          <cell r="D378" t="str">
            <v>넝마면T/C제품KG</v>
          </cell>
          <cell r="E378" t="str">
            <v>KG</v>
          </cell>
          <cell r="F378">
            <v>0.04</v>
          </cell>
          <cell r="G378">
            <v>2000</v>
          </cell>
          <cell r="H378">
            <v>80</v>
          </cell>
          <cell r="I378">
            <v>0</v>
          </cell>
          <cell r="J378">
            <v>0</v>
          </cell>
          <cell r="K378">
            <v>80</v>
          </cell>
        </row>
        <row r="379">
          <cell r="B379" t="str">
            <v>세제</v>
          </cell>
          <cell r="C379" t="str">
            <v>유리용</v>
          </cell>
          <cell r="D379" t="str">
            <v>세제유리용KG</v>
          </cell>
          <cell r="E379" t="str">
            <v>KG</v>
          </cell>
          <cell r="F379">
            <v>1.4999999999999999E-2</v>
          </cell>
          <cell r="G379">
            <v>2133</v>
          </cell>
          <cell r="H379">
            <v>31</v>
          </cell>
          <cell r="I379">
            <v>0</v>
          </cell>
          <cell r="J379">
            <v>0</v>
          </cell>
          <cell r="K379">
            <v>31</v>
          </cell>
        </row>
        <row r="380">
          <cell r="B380" t="str">
            <v>유리공</v>
          </cell>
          <cell r="D380" t="str">
            <v>유리공인</v>
          </cell>
          <cell r="E380" t="str">
            <v>인</v>
          </cell>
          <cell r="F380">
            <v>0.21</v>
          </cell>
          <cell r="G380">
            <v>0</v>
          </cell>
          <cell r="H380">
            <v>0</v>
          </cell>
          <cell r="I380">
            <v>181240</v>
          </cell>
          <cell r="J380">
            <v>38060</v>
          </cell>
          <cell r="K380">
            <v>38060</v>
          </cell>
        </row>
        <row r="381">
          <cell r="B381" t="str">
            <v>보통인부</v>
          </cell>
          <cell r="D381" t="str">
            <v>보통인부인</v>
          </cell>
          <cell r="E381" t="str">
            <v>인</v>
          </cell>
          <cell r="F381">
            <v>2.4E-2</v>
          </cell>
          <cell r="G381">
            <v>0</v>
          </cell>
          <cell r="H381">
            <v>0</v>
          </cell>
          <cell r="I381">
            <v>125427</v>
          </cell>
          <cell r="J381">
            <v>3010</v>
          </cell>
          <cell r="K381">
            <v>3010</v>
          </cell>
        </row>
        <row r="382">
          <cell r="B382" t="str">
            <v>소계</v>
          </cell>
          <cell r="D382" t="str">
            <v>제59호표</v>
          </cell>
          <cell r="H382">
            <v>1312611</v>
          </cell>
          <cell r="J382">
            <v>41070</v>
          </cell>
          <cell r="K382">
            <v>1353681</v>
          </cell>
        </row>
        <row r="385">
          <cell r="A385" t="str">
            <v>제60호표</v>
          </cell>
          <cell r="B385" t="str">
            <v>저반사 접합유리 끼우기(투과율96%)</v>
          </cell>
          <cell r="C385" t="str">
            <v>T10.76mm</v>
          </cell>
          <cell r="E385" t="str">
            <v>M2</v>
          </cell>
        </row>
        <row r="387">
          <cell r="B387" t="str">
            <v>저반사 접합유리(투과율96%)</v>
          </cell>
          <cell r="C387" t="str">
            <v>T10.76mm</v>
          </cell>
          <cell r="D387" t="str">
            <v>저반사접합유리(투과율96%)T10.76mmM2</v>
          </cell>
          <cell r="E387" t="str">
            <v>M2</v>
          </cell>
          <cell r="F387">
            <v>1.05</v>
          </cell>
          <cell r="G387">
            <v>980000</v>
          </cell>
          <cell r="H387">
            <v>1029000</v>
          </cell>
          <cell r="I387">
            <v>0</v>
          </cell>
          <cell r="J387">
            <v>0</v>
          </cell>
          <cell r="K387">
            <v>1029000</v>
          </cell>
        </row>
        <row r="388">
          <cell r="B388" t="str">
            <v>넝마</v>
          </cell>
          <cell r="C388" t="str">
            <v>면T/C 제품</v>
          </cell>
          <cell r="D388" t="str">
            <v>넝마면T/C제품KG</v>
          </cell>
          <cell r="E388" t="str">
            <v>KG</v>
          </cell>
          <cell r="F388">
            <v>0.04</v>
          </cell>
          <cell r="G388">
            <v>2000</v>
          </cell>
          <cell r="H388">
            <v>80</v>
          </cell>
          <cell r="I388">
            <v>0</v>
          </cell>
          <cell r="J388">
            <v>0</v>
          </cell>
          <cell r="K388">
            <v>80</v>
          </cell>
        </row>
        <row r="389">
          <cell r="B389" t="str">
            <v>세제</v>
          </cell>
          <cell r="C389" t="str">
            <v>유리용</v>
          </cell>
          <cell r="D389" t="str">
            <v>세제유리용KG</v>
          </cell>
          <cell r="E389" t="str">
            <v>KG</v>
          </cell>
          <cell r="F389">
            <v>1.4999999999999999E-2</v>
          </cell>
          <cell r="G389">
            <v>2133</v>
          </cell>
          <cell r="H389">
            <v>31</v>
          </cell>
          <cell r="I389">
            <v>0</v>
          </cell>
          <cell r="J389">
            <v>0</v>
          </cell>
          <cell r="K389">
            <v>31</v>
          </cell>
        </row>
        <row r="390">
          <cell r="B390" t="str">
            <v>유리공</v>
          </cell>
          <cell r="D390" t="str">
            <v>유리공인</v>
          </cell>
          <cell r="E390" t="str">
            <v>인</v>
          </cell>
          <cell r="F390">
            <v>0.21</v>
          </cell>
          <cell r="G390">
            <v>0</v>
          </cell>
          <cell r="H390">
            <v>0</v>
          </cell>
          <cell r="I390">
            <v>181240</v>
          </cell>
          <cell r="J390">
            <v>38060</v>
          </cell>
          <cell r="K390">
            <v>38060</v>
          </cell>
        </row>
        <row r="391">
          <cell r="B391" t="str">
            <v>보통인부</v>
          </cell>
          <cell r="D391" t="str">
            <v>보통인부인</v>
          </cell>
          <cell r="E391" t="str">
            <v>인</v>
          </cell>
          <cell r="F391">
            <v>2.4E-2</v>
          </cell>
          <cell r="G391">
            <v>0</v>
          </cell>
          <cell r="H391">
            <v>0</v>
          </cell>
          <cell r="I391">
            <v>125427</v>
          </cell>
          <cell r="J391">
            <v>3010</v>
          </cell>
          <cell r="K391">
            <v>3010</v>
          </cell>
        </row>
        <row r="392">
          <cell r="B392" t="str">
            <v>소계</v>
          </cell>
          <cell r="D392" t="str">
            <v>제60호표</v>
          </cell>
          <cell r="H392">
            <v>1029111</v>
          </cell>
          <cell r="J392">
            <v>41070</v>
          </cell>
          <cell r="K392">
            <v>1070181</v>
          </cell>
        </row>
        <row r="395">
          <cell r="A395" t="str">
            <v>제61호표</v>
          </cell>
          <cell r="B395" t="str">
            <v>화이트 접합유리 끼우기</v>
          </cell>
          <cell r="C395" t="str">
            <v>T10.76mm</v>
          </cell>
          <cell r="E395" t="str">
            <v>M2</v>
          </cell>
        </row>
        <row r="397">
          <cell r="B397" t="str">
            <v>화이트 접합유리</v>
          </cell>
          <cell r="C397" t="str">
            <v>T10.76mm</v>
          </cell>
          <cell r="D397" t="str">
            <v>화이트접합유리T10.76mmM2</v>
          </cell>
          <cell r="E397" t="str">
            <v>M2</v>
          </cell>
          <cell r="F397">
            <v>1.05</v>
          </cell>
          <cell r="G397">
            <v>209450</v>
          </cell>
          <cell r="H397">
            <v>219922</v>
          </cell>
          <cell r="I397">
            <v>0</v>
          </cell>
          <cell r="J397">
            <v>0</v>
          </cell>
          <cell r="K397">
            <v>219922</v>
          </cell>
        </row>
        <row r="398">
          <cell r="B398" t="str">
            <v>넝마</v>
          </cell>
          <cell r="C398" t="str">
            <v>면T/C 제품</v>
          </cell>
          <cell r="D398" t="str">
            <v>넝마면T/C제품KG</v>
          </cell>
          <cell r="E398" t="str">
            <v>KG</v>
          </cell>
          <cell r="F398">
            <v>0.04</v>
          </cell>
          <cell r="G398">
            <v>2000</v>
          </cell>
          <cell r="H398">
            <v>80</v>
          </cell>
          <cell r="I398">
            <v>0</v>
          </cell>
          <cell r="J398">
            <v>0</v>
          </cell>
          <cell r="K398">
            <v>80</v>
          </cell>
        </row>
        <row r="399">
          <cell r="B399" t="str">
            <v>세제</v>
          </cell>
          <cell r="C399" t="str">
            <v>유리용</v>
          </cell>
          <cell r="D399" t="str">
            <v>세제유리용KG</v>
          </cell>
          <cell r="E399" t="str">
            <v>KG</v>
          </cell>
          <cell r="F399">
            <v>1.4999999999999999E-2</v>
          </cell>
          <cell r="G399">
            <v>2133</v>
          </cell>
          <cell r="H399">
            <v>31</v>
          </cell>
          <cell r="I399">
            <v>0</v>
          </cell>
          <cell r="J399">
            <v>0</v>
          </cell>
          <cell r="K399">
            <v>31</v>
          </cell>
        </row>
        <row r="400">
          <cell r="B400" t="str">
            <v>유리공</v>
          </cell>
          <cell r="D400" t="str">
            <v>유리공인</v>
          </cell>
          <cell r="E400" t="str">
            <v>인</v>
          </cell>
          <cell r="F400">
            <v>0.21</v>
          </cell>
          <cell r="G400">
            <v>0</v>
          </cell>
          <cell r="H400">
            <v>0</v>
          </cell>
          <cell r="I400">
            <v>181240</v>
          </cell>
          <cell r="J400">
            <v>38060</v>
          </cell>
          <cell r="K400">
            <v>38060</v>
          </cell>
        </row>
        <row r="401">
          <cell r="B401" t="str">
            <v>보통인부</v>
          </cell>
          <cell r="D401" t="str">
            <v>보통인부인</v>
          </cell>
          <cell r="E401" t="str">
            <v>인</v>
          </cell>
          <cell r="F401">
            <v>2.4E-2</v>
          </cell>
          <cell r="G401">
            <v>0</v>
          </cell>
          <cell r="H401">
            <v>0</v>
          </cell>
          <cell r="I401">
            <v>125427</v>
          </cell>
          <cell r="J401">
            <v>3010</v>
          </cell>
          <cell r="K401">
            <v>3010</v>
          </cell>
        </row>
        <row r="402">
          <cell r="B402" t="str">
            <v>소계</v>
          </cell>
          <cell r="D402" t="str">
            <v>제61호표</v>
          </cell>
          <cell r="H402">
            <v>220033</v>
          </cell>
          <cell r="J402">
            <v>41070</v>
          </cell>
          <cell r="K402">
            <v>261103</v>
          </cell>
        </row>
        <row r="405">
          <cell r="A405" t="str">
            <v>제62호표</v>
          </cell>
          <cell r="B405" t="str">
            <v>투명 접합유리 끼우기</v>
          </cell>
          <cell r="C405" t="str">
            <v>T12.76mm (2,400*3,000기준)</v>
          </cell>
          <cell r="E405" t="str">
            <v>M2</v>
          </cell>
        </row>
        <row r="407">
          <cell r="B407" t="str">
            <v>투명 접합유리</v>
          </cell>
          <cell r="C407" t="str">
            <v>T12.76mm (2,400*3,000기준)</v>
          </cell>
          <cell r="D407" t="str">
            <v>투명접합유리T12.76mm(2,400*3,000기준)M2</v>
          </cell>
          <cell r="E407" t="str">
            <v>M2</v>
          </cell>
          <cell r="F407">
            <v>1.05</v>
          </cell>
          <cell r="G407">
            <v>143000</v>
          </cell>
          <cell r="H407">
            <v>150150</v>
          </cell>
          <cell r="I407">
            <v>0</v>
          </cell>
          <cell r="J407">
            <v>0</v>
          </cell>
          <cell r="K407">
            <v>150150</v>
          </cell>
        </row>
        <row r="408">
          <cell r="B408" t="str">
            <v>넝마</v>
          </cell>
          <cell r="C408" t="str">
            <v>면T/C 제품</v>
          </cell>
          <cell r="D408" t="str">
            <v>넝마면T/C제품KG</v>
          </cell>
          <cell r="E408" t="str">
            <v>KG</v>
          </cell>
          <cell r="F408">
            <v>0.04</v>
          </cell>
          <cell r="G408">
            <v>2000</v>
          </cell>
          <cell r="H408">
            <v>80</v>
          </cell>
          <cell r="I408">
            <v>0</v>
          </cell>
          <cell r="J408">
            <v>0</v>
          </cell>
          <cell r="K408">
            <v>80</v>
          </cell>
        </row>
        <row r="409">
          <cell r="B409" t="str">
            <v>세제</v>
          </cell>
          <cell r="C409" t="str">
            <v>유리용</v>
          </cell>
          <cell r="D409" t="str">
            <v>세제유리용KG</v>
          </cell>
          <cell r="E409" t="str">
            <v>KG</v>
          </cell>
          <cell r="F409">
            <v>1.4999999999999999E-2</v>
          </cell>
          <cell r="G409">
            <v>2133</v>
          </cell>
          <cell r="H409">
            <v>31</v>
          </cell>
          <cell r="I409">
            <v>0</v>
          </cell>
          <cell r="J409">
            <v>0</v>
          </cell>
          <cell r="K409">
            <v>31</v>
          </cell>
        </row>
        <row r="410">
          <cell r="B410" t="str">
            <v>유리공</v>
          </cell>
          <cell r="D410" t="str">
            <v>유리공인</v>
          </cell>
          <cell r="E410" t="str">
            <v>인</v>
          </cell>
          <cell r="F410">
            <v>0.38</v>
          </cell>
          <cell r="G410">
            <v>0</v>
          </cell>
          <cell r="H410">
            <v>0</v>
          </cell>
          <cell r="I410">
            <v>181240</v>
          </cell>
          <cell r="J410">
            <v>68871</v>
          </cell>
          <cell r="K410">
            <v>68871</v>
          </cell>
        </row>
        <row r="411">
          <cell r="B411" t="str">
            <v>보통인부</v>
          </cell>
          <cell r="D411" t="str">
            <v>보통인부인</v>
          </cell>
          <cell r="E411" t="str">
            <v>인</v>
          </cell>
          <cell r="F411">
            <v>2.4E-2</v>
          </cell>
          <cell r="G411">
            <v>0</v>
          </cell>
          <cell r="H411">
            <v>0</v>
          </cell>
          <cell r="I411">
            <v>125427</v>
          </cell>
          <cell r="J411">
            <v>3010</v>
          </cell>
          <cell r="K411">
            <v>3010</v>
          </cell>
        </row>
        <row r="412">
          <cell r="B412" t="str">
            <v>소계</v>
          </cell>
          <cell r="D412" t="str">
            <v>제62호표</v>
          </cell>
          <cell r="H412">
            <v>150261</v>
          </cell>
          <cell r="J412">
            <v>71881</v>
          </cell>
          <cell r="K412">
            <v>222142</v>
          </cell>
        </row>
        <row r="415">
          <cell r="A415" t="str">
            <v>제63호표</v>
          </cell>
          <cell r="B415" t="str">
            <v>화이트 접합유리 끼우기</v>
          </cell>
          <cell r="C415" t="str">
            <v>T12.76mm (2,400*3,400기준)</v>
          </cell>
          <cell r="E415" t="str">
            <v>M2</v>
          </cell>
        </row>
        <row r="417">
          <cell r="B417" t="str">
            <v>화이트 접합유리</v>
          </cell>
          <cell r="C417" t="str">
            <v>T12.76mm (2,400*3,400기준)</v>
          </cell>
          <cell r="D417" t="str">
            <v>화이트접합유리T12.76mm(2,400*3,400기준)M2</v>
          </cell>
          <cell r="E417" t="str">
            <v>M2</v>
          </cell>
          <cell r="F417">
            <v>1.05</v>
          </cell>
          <cell r="G417">
            <v>214450</v>
          </cell>
          <cell r="H417">
            <v>225172</v>
          </cell>
          <cell r="I417">
            <v>0</v>
          </cell>
          <cell r="J417">
            <v>0</v>
          </cell>
          <cell r="K417">
            <v>225172</v>
          </cell>
        </row>
        <row r="418">
          <cell r="B418" t="str">
            <v>넝마</v>
          </cell>
          <cell r="C418" t="str">
            <v>면T/C 제품</v>
          </cell>
          <cell r="D418" t="str">
            <v>넝마면T/C제품KG</v>
          </cell>
          <cell r="E418" t="str">
            <v>KG</v>
          </cell>
          <cell r="F418">
            <v>0.04</v>
          </cell>
          <cell r="G418">
            <v>2000</v>
          </cell>
          <cell r="H418">
            <v>80</v>
          </cell>
          <cell r="I418">
            <v>0</v>
          </cell>
          <cell r="J418">
            <v>0</v>
          </cell>
          <cell r="K418">
            <v>80</v>
          </cell>
        </row>
        <row r="419">
          <cell r="B419" t="str">
            <v>세제</v>
          </cell>
          <cell r="C419" t="str">
            <v>유리용</v>
          </cell>
          <cell r="D419" t="str">
            <v>세제유리용KG</v>
          </cell>
          <cell r="E419" t="str">
            <v>KG</v>
          </cell>
          <cell r="F419">
            <v>1.4999999999999999E-2</v>
          </cell>
          <cell r="G419">
            <v>2133</v>
          </cell>
          <cell r="H419">
            <v>31</v>
          </cell>
          <cell r="I419">
            <v>0</v>
          </cell>
          <cell r="J419">
            <v>0</v>
          </cell>
          <cell r="K419">
            <v>31</v>
          </cell>
        </row>
        <row r="420">
          <cell r="B420" t="str">
            <v>유리공</v>
          </cell>
          <cell r="D420" t="str">
            <v>유리공인</v>
          </cell>
          <cell r="E420" t="str">
            <v>인</v>
          </cell>
          <cell r="F420">
            <v>0.38</v>
          </cell>
          <cell r="G420">
            <v>0</v>
          </cell>
          <cell r="H420">
            <v>0</v>
          </cell>
          <cell r="I420">
            <v>181240</v>
          </cell>
          <cell r="J420">
            <v>68871</v>
          </cell>
          <cell r="K420">
            <v>68871</v>
          </cell>
        </row>
        <row r="421">
          <cell r="B421" t="str">
            <v>보통인부</v>
          </cell>
          <cell r="D421" t="str">
            <v>보통인부인</v>
          </cell>
          <cell r="E421" t="str">
            <v>인</v>
          </cell>
          <cell r="F421">
            <v>2.4E-2</v>
          </cell>
          <cell r="G421">
            <v>0</v>
          </cell>
          <cell r="H421">
            <v>0</v>
          </cell>
          <cell r="I421">
            <v>125427</v>
          </cell>
          <cell r="J421">
            <v>3010</v>
          </cell>
          <cell r="K421">
            <v>3010</v>
          </cell>
        </row>
        <row r="422">
          <cell r="B422" t="str">
            <v>소계</v>
          </cell>
          <cell r="D422" t="str">
            <v>제63호표</v>
          </cell>
          <cell r="H422">
            <v>225283</v>
          </cell>
          <cell r="J422">
            <v>71881</v>
          </cell>
          <cell r="K422">
            <v>297164</v>
          </cell>
        </row>
        <row r="425">
          <cell r="A425" t="str">
            <v>제64호표</v>
          </cell>
          <cell r="B425" t="str">
            <v>강화유리 끼우기</v>
          </cell>
          <cell r="C425" t="str">
            <v>T12mm</v>
          </cell>
          <cell r="E425" t="str">
            <v>M2</v>
          </cell>
        </row>
        <row r="427">
          <cell r="B427" t="str">
            <v>강화유리</v>
          </cell>
          <cell r="C427" t="str">
            <v>T12mm</v>
          </cell>
          <cell r="D427" t="str">
            <v>강화유리T12mmM2</v>
          </cell>
          <cell r="E427" t="str">
            <v>M2</v>
          </cell>
          <cell r="F427">
            <v>1.05</v>
          </cell>
          <cell r="G427">
            <v>38000</v>
          </cell>
          <cell r="H427">
            <v>39900</v>
          </cell>
          <cell r="I427">
            <v>0</v>
          </cell>
          <cell r="J427">
            <v>0</v>
          </cell>
          <cell r="K427">
            <v>39900</v>
          </cell>
        </row>
        <row r="428">
          <cell r="B428" t="str">
            <v>넝마</v>
          </cell>
          <cell r="C428" t="str">
            <v>면T/C 제품</v>
          </cell>
          <cell r="D428" t="str">
            <v>넝마면T/C제품KG</v>
          </cell>
          <cell r="E428" t="str">
            <v>KG</v>
          </cell>
          <cell r="F428">
            <v>0.04</v>
          </cell>
          <cell r="G428">
            <v>2000</v>
          </cell>
          <cell r="H428">
            <v>80</v>
          </cell>
          <cell r="I428">
            <v>0</v>
          </cell>
          <cell r="J428">
            <v>0</v>
          </cell>
          <cell r="K428">
            <v>80</v>
          </cell>
        </row>
        <row r="429">
          <cell r="B429" t="str">
            <v>세제</v>
          </cell>
          <cell r="C429" t="str">
            <v>유리용</v>
          </cell>
          <cell r="D429" t="str">
            <v>세제유리용KG</v>
          </cell>
          <cell r="E429" t="str">
            <v>KG</v>
          </cell>
          <cell r="F429">
            <v>1.4999999999999999E-2</v>
          </cell>
          <cell r="G429">
            <v>2133</v>
          </cell>
          <cell r="H429">
            <v>31</v>
          </cell>
          <cell r="I429">
            <v>0</v>
          </cell>
          <cell r="J429">
            <v>0</v>
          </cell>
          <cell r="K429">
            <v>31</v>
          </cell>
        </row>
        <row r="430">
          <cell r="B430" t="str">
            <v>유리공</v>
          </cell>
          <cell r="D430" t="str">
            <v>유리공인</v>
          </cell>
          <cell r="E430" t="str">
            <v>인</v>
          </cell>
          <cell r="F430">
            <v>0.38</v>
          </cell>
          <cell r="G430">
            <v>0</v>
          </cell>
          <cell r="H430">
            <v>0</v>
          </cell>
          <cell r="I430">
            <v>181240</v>
          </cell>
          <cell r="J430">
            <v>68871</v>
          </cell>
          <cell r="K430">
            <v>68871</v>
          </cell>
        </row>
        <row r="431">
          <cell r="B431" t="str">
            <v>보통인부</v>
          </cell>
          <cell r="D431" t="str">
            <v>보통인부인</v>
          </cell>
          <cell r="E431" t="str">
            <v>인</v>
          </cell>
          <cell r="F431">
            <v>2.4E-2</v>
          </cell>
          <cell r="G431">
            <v>0</v>
          </cell>
          <cell r="H431">
            <v>0</v>
          </cell>
          <cell r="I431">
            <v>125427</v>
          </cell>
          <cell r="J431">
            <v>3010</v>
          </cell>
          <cell r="K431">
            <v>3010</v>
          </cell>
        </row>
        <row r="432">
          <cell r="B432" t="str">
            <v>소계</v>
          </cell>
          <cell r="D432" t="str">
            <v>제64호표</v>
          </cell>
          <cell r="H432">
            <v>40011</v>
          </cell>
          <cell r="J432">
            <v>71881</v>
          </cell>
          <cell r="K432">
            <v>111892</v>
          </cell>
        </row>
        <row r="436">
          <cell r="A436" t="str">
            <v>제65호표</v>
          </cell>
          <cell r="B436" t="str">
            <v>강화유리 끼우기</v>
          </cell>
          <cell r="C436" t="str">
            <v>T10mm</v>
          </cell>
          <cell r="E436" t="str">
            <v>M2</v>
          </cell>
        </row>
        <row r="438">
          <cell r="B438" t="str">
            <v>강화유리</v>
          </cell>
          <cell r="C438" t="str">
            <v>T10mm</v>
          </cell>
          <cell r="D438" t="str">
            <v>강화유리T10mmM2</v>
          </cell>
          <cell r="E438" t="str">
            <v>M2</v>
          </cell>
          <cell r="F438">
            <v>1.05</v>
          </cell>
          <cell r="G438">
            <v>32000</v>
          </cell>
          <cell r="H438">
            <v>33600</v>
          </cell>
          <cell r="I438">
            <v>0</v>
          </cell>
          <cell r="J438">
            <v>0</v>
          </cell>
          <cell r="K438">
            <v>33600</v>
          </cell>
        </row>
        <row r="439">
          <cell r="B439" t="str">
            <v>넝마</v>
          </cell>
          <cell r="C439" t="str">
            <v>면T/C 제품</v>
          </cell>
          <cell r="D439" t="str">
            <v>넝마면T/C제품KG</v>
          </cell>
          <cell r="E439" t="str">
            <v>KG</v>
          </cell>
          <cell r="F439">
            <v>0.04</v>
          </cell>
          <cell r="G439">
            <v>2000</v>
          </cell>
          <cell r="H439">
            <v>80</v>
          </cell>
          <cell r="I439">
            <v>0</v>
          </cell>
          <cell r="J439">
            <v>0</v>
          </cell>
          <cell r="K439">
            <v>80</v>
          </cell>
        </row>
        <row r="440">
          <cell r="B440" t="str">
            <v>세제</v>
          </cell>
          <cell r="C440" t="str">
            <v>유리용</v>
          </cell>
          <cell r="D440" t="str">
            <v>세제유리용KG</v>
          </cell>
          <cell r="E440" t="str">
            <v>KG</v>
          </cell>
          <cell r="F440">
            <v>1.4999999999999999E-2</v>
          </cell>
          <cell r="G440">
            <v>2133</v>
          </cell>
          <cell r="H440">
            <v>31</v>
          </cell>
          <cell r="I440">
            <v>0</v>
          </cell>
          <cell r="J440">
            <v>0</v>
          </cell>
          <cell r="K440">
            <v>31</v>
          </cell>
        </row>
        <row r="441">
          <cell r="B441" t="str">
            <v>유리공</v>
          </cell>
          <cell r="D441" t="str">
            <v>유리공인</v>
          </cell>
          <cell r="E441" t="str">
            <v>인</v>
          </cell>
          <cell r="F441">
            <v>0.21</v>
          </cell>
          <cell r="G441">
            <v>0</v>
          </cell>
          <cell r="H441">
            <v>0</v>
          </cell>
          <cell r="I441">
            <v>181240</v>
          </cell>
          <cell r="J441">
            <v>38060</v>
          </cell>
          <cell r="K441">
            <v>38060</v>
          </cell>
        </row>
        <row r="442">
          <cell r="B442" t="str">
            <v>보통인부</v>
          </cell>
          <cell r="D442" t="str">
            <v>보통인부인</v>
          </cell>
          <cell r="E442" t="str">
            <v>인</v>
          </cell>
          <cell r="F442">
            <v>2.4E-2</v>
          </cell>
          <cell r="G442">
            <v>0</v>
          </cell>
          <cell r="H442">
            <v>0</v>
          </cell>
          <cell r="I442">
            <v>125427</v>
          </cell>
          <cell r="J442">
            <v>3010</v>
          </cell>
          <cell r="K442">
            <v>3010</v>
          </cell>
        </row>
        <row r="443">
          <cell r="B443" t="str">
            <v>소계</v>
          </cell>
          <cell r="D443" t="str">
            <v>제65호표</v>
          </cell>
          <cell r="H443">
            <v>33711</v>
          </cell>
          <cell r="J443">
            <v>41070</v>
          </cell>
          <cell r="K443">
            <v>74781</v>
          </cell>
        </row>
        <row r="447">
          <cell r="A447" t="str">
            <v>제66호표</v>
          </cell>
          <cell r="B447" t="str">
            <v>강화유리 끼우기</v>
          </cell>
          <cell r="C447" t="str">
            <v>T8mm</v>
          </cell>
          <cell r="E447" t="str">
            <v>M2</v>
          </cell>
        </row>
        <row r="449">
          <cell r="B449" t="str">
            <v>강화유리</v>
          </cell>
          <cell r="C449" t="str">
            <v>T10mm</v>
          </cell>
          <cell r="D449" t="str">
            <v>강화유리T10mmM2</v>
          </cell>
          <cell r="E449" t="str">
            <v>M2</v>
          </cell>
          <cell r="F449">
            <v>1.05</v>
          </cell>
          <cell r="G449">
            <v>32000</v>
          </cell>
          <cell r="H449">
            <v>33600</v>
          </cell>
          <cell r="I449">
            <v>0</v>
          </cell>
          <cell r="J449">
            <v>0</v>
          </cell>
          <cell r="K449">
            <v>33600</v>
          </cell>
        </row>
        <row r="450">
          <cell r="B450" t="str">
            <v>넝마</v>
          </cell>
          <cell r="C450" t="str">
            <v>면T/C 제품</v>
          </cell>
          <cell r="D450" t="str">
            <v>넝마면T/C제품KG</v>
          </cell>
          <cell r="E450" t="str">
            <v>KG</v>
          </cell>
          <cell r="F450">
            <v>0.04</v>
          </cell>
          <cell r="G450">
            <v>2000</v>
          </cell>
          <cell r="H450">
            <v>80</v>
          </cell>
          <cell r="I450">
            <v>0</v>
          </cell>
          <cell r="J450">
            <v>0</v>
          </cell>
          <cell r="K450">
            <v>80</v>
          </cell>
        </row>
        <row r="451">
          <cell r="B451" t="str">
            <v>세제</v>
          </cell>
          <cell r="C451" t="str">
            <v>유리용</v>
          </cell>
          <cell r="D451" t="str">
            <v>세제유리용KG</v>
          </cell>
          <cell r="E451" t="str">
            <v>KG</v>
          </cell>
          <cell r="F451">
            <v>1.4999999999999999E-2</v>
          </cell>
          <cell r="G451">
            <v>2133</v>
          </cell>
          <cell r="H451">
            <v>31</v>
          </cell>
          <cell r="I451">
            <v>0</v>
          </cell>
          <cell r="J451">
            <v>0</v>
          </cell>
          <cell r="K451">
            <v>31</v>
          </cell>
        </row>
        <row r="452">
          <cell r="B452" t="str">
            <v>유리공</v>
          </cell>
          <cell r="D452" t="str">
            <v>유리공인</v>
          </cell>
          <cell r="E452" t="str">
            <v>인</v>
          </cell>
          <cell r="F452">
            <v>0.19</v>
          </cell>
          <cell r="G452">
            <v>0</v>
          </cell>
          <cell r="H452">
            <v>0</v>
          </cell>
          <cell r="I452">
            <v>181240</v>
          </cell>
          <cell r="J452">
            <v>34435</v>
          </cell>
          <cell r="K452">
            <v>34435</v>
          </cell>
        </row>
        <row r="453">
          <cell r="B453" t="str">
            <v>보통인부</v>
          </cell>
          <cell r="D453" t="str">
            <v>보통인부인</v>
          </cell>
          <cell r="E453" t="str">
            <v>인</v>
          </cell>
          <cell r="F453">
            <v>2.4E-2</v>
          </cell>
          <cell r="G453">
            <v>0</v>
          </cell>
          <cell r="H453">
            <v>0</v>
          </cell>
          <cell r="I453">
            <v>125427</v>
          </cell>
          <cell r="J453">
            <v>3010</v>
          </cell>
          <cell r="K453">
            <v>3010</v>
          </cell>
        </row>
        <row r="454">
          <cell r="B454" t="str">
            <v>소계</v>
          </cell>
          <cell r="D454" t="str">
            <v>제66호표</v>
          </cell>
          <cell r="H454">
            <v>33711</v>
          </cell>
          <cell r="J454">
            <v>37445</v>
          </cell>
          <cell r="K454">
            <v>71156</v>
          </cell>
        </row>
        <row r="457">
          <cell r="A457" t="str">
            <v>제67호표</v>
          </cell>
          <cell r="B457" t="str">
            <v>조명용아크릴 가공 설치</v>
          </cell>
          <cell r="C457" t="str">
            <v>T5mm</v>
          </cell>
          <cell r="E457" t="str">
            <v>M2</v>
          </cell>
        </row>
        <row r="459">
          <cell r="B459" t="str">
            <v xml:space="preserve">조명용아크릴 </v>
          </cell>
          <cell r="C459" t="str">
            <v>T5mm</v>
          </cell>
          <cell r="D459" t="str">
            <v>조명용아크릴T5mmm2</v>
          </cell>
          <cell r="E459" t="str">
            <v>m2</v>
          </cell>
          <cell r="F459">
            <v>1.05</v>
          </cell>
          <cell r="G459">
            <v>71000</v>
          </cell>
          <cell r="H459">
            <v>74550</v>
          </cell>
          <cell r="I459">
            <v>0</v>
          </cell>
          <cell r="J459">
            <v>0</v>
          </cell>
          <cell r="K459">
            <v>74550</v>
          </cell>
        </row>
        <row r="460">
          <cell r="B460" t="str">
            <v>유리공</v>
          </cell>
          <cell r="D460" t="str">
            <v>유리공인</v>
          </cell>
          <cell r="E460" t="str">
            <v>인</v>
          </cell>
          <cell r="F460">
            <v>0.106</v>
          </cell>
          <cell r="G460">
            <v>0</v>
          </cell>
          <cell r="H460">
            <v>0</v>
          </cell>
          <cell r="I460">
            <v>181240</v>
          </cell>
          <cell r="J460">
            <v>19211</v>
          </cell>
          <cell r="K460">
            <v>19211</v>
          </cell>
        </row>
        <row r="461">
          <cell r="B461" t="str">
            <v>소계</v>
          </cell>
          <cell r="D461" t="str">
            <v>제67호표</v>
          </cell>
          <cell r="H461">
            <v>74550</v>
          </cell>
          <cell r="J461">
            <v>19211</v>
          </cell>
          <cell r="K461">
            <v>93761</v>
          </cell>
        </row>
        <row r="464">
          <cell r="A464" t="str">
            <v>제68호표</v>
          </cell>
          <cell r="B464" t="str">
            <v>진열장석고보드취부</v>
          </cell>
          <cell r="C464" t="str">
            <v>T9.5mm*2PLY</v>
          </cell>
          <cell r="E464" t="str">
            <v>M2</v>
          </cell>
        </row>
        <row r="466">
          <cell r="B466" t="str">
            <v>석고보드</v>
          </cell>
          <cell r="C466" t="str">
            <v>T9.5mm*900*1,800</v>
          </cell>
          <cell r="D466" t="str">
            <v>석고보드T9.5mm*900*1,800M2</v>
          </cell>
          <cell r="E466" t="str">
            <v>M2</v>
          </cell>
          <cell r="F466">
            <v>2.1</v>
          </cell>
          <cell r="G466">
            <v>2407</v>
          </cell>
          <cell r="H466">
            <v>5054</v>
          </cell>
          <cell r="I466">
            <v>0</v>
          </cell>
          <cell r="J466">
            <v>0</v>
          </cell>
          <cell r="K466">
            <v>5054</v>
          </cell>
        </row>
        <row r="467">
          <cell r="B467" t="str">
            <v>스테인리스작은나사</v>
          </cell>
          <cell r="C467" t="str">
            <v>m3*8mm</v>
          </cell>
          <cell r="D467" t="str">
            <v>스테인리스작은나사m3*8mmEA</v>
          </cell>
          <cell r="E467" t="str">
            <v>EA</v>
          </cell>
          <cell r="F467">
            <v>42</v>
          </cell>
          <cell r="G467">
            <v>12</v>
          </cell>
          <cell r="H467">
            <v>504</v>
          </cell>
          <cell r="I467">
            <v>0</v>
          </cell>
          <cell r="J467">
            <v>0</v>
          </cell>
          <cell r="K467">
            <v>504</v>
          </cell>
        </row>
        <row r="468">
          <cell r="B468" t="str">
            <v>목공용접착제</v>
          </cell>
          <cell r="C468">
            <v>205</v>
          </cell>
          <cell r="D468" t="str">
            <v>목공용접착제205kg</v>
          </cell>
          <cell r="E468" t="str">
            <v>kg</v>
          </cell>
          <cell r="F468">
            <v>0.27</v>
          </cell>
          <cell r="G468">
            <v>3529</v>
          </cell>
          <cell r="H468">
            <v>952</v>
          </cell>
          <cell r="I468">
            <v>0</v>
          </cell>
          <cell r="J468">
            <v>0</v>
          </cell>
          <cell r="K468">
            <v>952</v>
          </cell>
        </row>
        <row r="469">
          <cell r="B469" t="str">
            <v>M-BAR</v>
          </cell>
          <cell r="C469" t="str">
            <v>50*20*0.8T</v>
          </cell>
          <cell r="D469" t="str">
            <v>M-BAR50*20*0.8Tm</v>
          </cell>
          <cell r="E469" t="str">
            <v>m</v>
          </cell>
          <cell r="F469">
            <v>3.3</v>
          </cell>
          <cell r="G469">
            <v>3500</v>
          </cell>
          <cell r="H469">
            <v>11550</v>
          </cell>
          <cell r="I469">
            <v>0</v>
          </cell>
          <cell r="J469">
            <v>0</v>
          </cell>
          <cell r="K469">
            <v>11550</v>
          </cell>
        </row>
        <row r="470">
          <cell r="B470" t="str">
            <v>내장공</v>
          </cell>
          <cell r="D470" t="str">
            <v>내장공인</v>
          </cell>
          <cell r="E470" t="str">
            <v>인</v>
          </cell>
          <cell r="F470">
            <v>4.5999999999999999E-2</v>
          </cell>
          <cell r="G470">
            <v>0</v>
          </cell>
          <cell r="H470">
            <v>0</v>
          </cell>
          <cell r="I470">
            <v>189600</v>
          </cell>
          <cell r="J470">
            <v>8721</v>
          </cell>
          <cell r="K470">
            <v>8721</v>
          </cell>
        </row>
        <row r="471">
          <cell r="B471" t="str">
            <v>보통인부</v>
          </cell>
          <cell r="D471" t="str">
            <v>보통인부인</v>
          </cell>
          <cell r="E471" t="str">
            <v>인</v>
          </cell>
          <cell r="F471">
            <v>2.3E-2</v>
          </cell>
          <cell r="G471">
            <v>0</v>
          </cell>
          <cell r="H471">
            <v>0</v>
          </cell>
          <cell r="I471">
            <v>125427</v>
          </cell>
          <cell r="J471">
            <v>2884</v>
          </cell>
          <cell r="K471">
            <v>2884</v>
          </cell>
        </row>
        <row r="472">
          <cell r="B472" t="str">
            <v>용접공</v>
          </cell>
          <cell r="E472" t="str">
            <v>인</v>
          </cell>
          <cell r="F472">
            <v>0.05</v>
          </cell>
          <cell r="G472">
            <v>0</v>
          </cell>
          <cell r="H472">
            <v>0</v>
          </cell>
          <cell r="I472">
            <v>198711</v>
          </cell>
          <cell r="J472">
            <v>9935</v>
          </cell>
          <cell r="K472">
            <v>9935</v>
          </cell>
        </row>
        <row r="473">
          <cell r="B473" t="str">
            <v>기구손료</v>
          </cell>
          <cell r="C473" t="str">
            <v>인건비의1%</v>
          </cell>
          <cell r="D473" t="str">
            <v>기구손료인건비의1%식</v>
          </cell>
          <cell r="E473" t="str">
            <v>식</v>
          </cell>
          <cell r="F473">
            <v>1</v>
          </cell>
          <cell r="G473">
            <v>215</v>
          </cell>
          <cell r="H473">
            <v>215</v>
          </cell>
          <cell r="I473">
            <v>0</v>
          </cell>
          <cell r="J473">
            <v>0</v>
          </cell>
          <cell r="K473">
            <v>215</v>
          </cell>
        </row>
        <row r="474">
          <cell r="B474" t="str">
            <v>소계</v>
          </cell>
          <cell r="D474" t="str">
            <v>제68호표</v>
          </cell>
          <cell r="H474">
            <v>18275</v>
          </cell>
          <cell r="J474">
            <v>21540</v>
          </cell>
          <cell r="K474">
            <v>39815</v>
          </cell>
        </row>
        <row r="477">
          <cell r="A477" t="str">
            <v>제69호표</v>
          </cell>
          <cell r="B477" t="str">
            <v>알루미늄판취부</v>
          </cell>
          <cell r="C477" t="str">
            <v>4T*900*1800</v>
          </cell>
          <cell r="E477" t="str">
            <v>M2</v>
          </cell>
        </row>
        <row r="479">
          <cell r="B479" t="str">
            <v>알루미늄판</v>
          </cell>
          <cell r="C479" t="str">
            <v>4T*900*1800</v>
          </cell>
          <cell r="D479" t="str">
            <v>알루미늄판4T*900*1800M2</v>
          </cell>
          <cell r="E479" t="str">
            <v>M2</v>
          </cell>
          <cell r="F479">
            <v>1</v>
          </cell>
          <cell r="G479">
            <v>130000</v>
          </cell>
          <cell r="H479">
            <v>130000</v>
          </cell>
          <cell r="I479">
            <v>0</v>
          </cell>
          <cell r="J479">
            <v>0</v>
          </cell>
          <cell r="K479">
            <v>130000</v>
          </cell>
        </row>
        <row r="480">
          <cell r="B480" t="str">
            <v>스테인리스작은나사</v>
          </cell>
          <cell r="C480" t="str">
            <v>m3*8mm</v>
          </cell>
          <cell r="D480" t="str">
            <v>스테인리스작은나사m3*8mmEA</v>
          </cell>
          <cell r="E480" t="str">
            <v>EA</v>
          </cell>
          <cell r="F480">
            <v>16</v>
          </cell>
          <cell r="G480">
            <v>12</v>
          </cell>
          <cell r="H480">
            <v>192</v>
          </cell>
          <cell r="I480">
            <v>0</v>
          </cell>
          <cell r="J480">
            <v>0</v>
          </cell>
          <cell r="K480">
            <v>192</v>
          </cell>
        </row>
        <row r="481">
          <cell r="B481" t="str">
            <v>절단원</v>
          </cell>
          <cell r="E481" t="str">
            <v>인</v>
          </cell>
          <cell r="F481">
            <v>3.7999999999999999E-2</v>
          </cell>
          <cell r="G481">
            <v>0</v>
          </cell>
          <cell r="H481">
            <v>0</v>
          </cell>
          <cell r="I481">
            <v>88131</v>
          </cell>
          <cell r="J481">
            <v>3348</v>
          </cell>
          <cell r="K481">
            <v>3348</v>
          </cell>
        </row>
        <row r="482">
          <cell r="B482" t="str">
            <v>작업반장</v>
          </cell>
          <cell r="D482" t="str">
            <v>작업반장인</v>
          </cell>
          <cell r="E482" t="str">
            <v>인</v>
          </cell>
          <cell r="F482">
            <v>0.09</v>
          </cell>
          <cell r="G482">
            <v>0</v>
          </cell>
          <cell r="H482">
            <v>0</v>
          </cell>
          <cell r="I482">
            <v>108234</v>
          </cell>
          <cell r="J482">
            <v>9741</v>
          </cell>
          <cell r="K482">
            <v>9741</v>
          </cell>
        </row>
        <row r="483">
          <cell r="B483" t="str">
            <v>단순노무종사원</v>
          </cell>
          <cell r="D483" t="str">
            <v>단순노무종사원인</v>
          </cell>
          <cell r="E483" t="str">
            <v>인</v>
          </cell>
          <cell r="F483">
            <v>2.3E-2</v>
          </cell>
          <cell r="G483">
            <v>0</v>
          </cell>
          <cell r="H483">
            <v>0</v>
          </cell>
          <cell r="I483">
            <v>72020</v>
          </cell>
          <cell r="J483">
            <v>1656</v>
          </cell>
          <cell r="K483">
            <v>1656</v>
          </cell>
        </row>
        <row r="484">
          <cell r="B484" t="str">
            <v>소계</v>
          </cell>
          <cell r="D484" t="str">
            <v>제69호표</v>
          </cell>
          <cell r="H484">
            <v>130192</v>
          </cell>
          <cell r="J484">
            <v>14745</v>
          </cell>
          <cell r="K484">
            <v>144937</v>
          </cell>
        </row>
        <row r="487">
          <cell r="A487" t="str">
            <v>제70호표</v>
          </cell>
          <cell r="B487" t="str">
            <v>진열장석고보드취부</v>
          </cell>
          <cell r="C487" t="str">
            <v>T9.5mm*1PLY</v>
          </cell>
          <cell r="E487" t="str">
            <v>M2</v>
          </cell>
        </row>
        <row r="489">
          <cell r="B489" t="str">
            <v>석고보드</v>
          </cell>
          <cell r="C489" t="str">
            <v>T9.5mm*900*1,800</v>
          </cell>
          <cell r="D489" t="str">
            <v>석고보드T9.5mm*900*1,800M2</v>
          </cell>
          <cell r="E489" t="str">
            <v>M2</v>
          </cell>
          <cell r="F489">
            <v>1.05</v>
          </cell>
          <cell r="G489">
            <v>2407</v>
          </cell>
          <cell r="H489">
            <v>2527</v>
          </cell>
          <cell r="I489">
            <v>0</v>
          </cell>
          <cell r="J489">
            <v>0</v>
          </cell>
          <cell r="K489">
            <v>2527</v>
          </cell>
        </row>
        <row r="490">
          <cell r="B490" t="str">
            <v>스테인리스작은나사</v>
          </cell>
          <cell r="C490" t="str">
            <v>m3*8mm</v>
          </cell>
          <cell r="D490" t="str">
            <v>스테인리스작은나사m3*8mmEA</v>
          </cell>
          <cell r="E490" t="str">
            <v>EA</v>
          </cell>
          <cell r="F490">
            <v>21</v>
          </cell>
          <cell r="G490">
            <v>12</v>
          </cell>
          <cell r="H490">
            <v>252</v>
          </cell>
          <cell r="I490">
            <v>0</v>
          </cell>
          <cell r="J490">
            <v>0</v>
          </cell>
          <cell r="K490">
            <v>252</v>
          </cell>
        </row>
        <row r="491">
          <cell r="B491" t="str">
            <v>M-BAR</v>
          </cell>
          <cell r="C491" t="str">
            <v>50*20*0.8T</v>
          </cell>
          <cell r="D491" t="str">
            <v>M-BAR50*20*0.8Tm</v>
          </cell>
          <cell r="E491" t="str">
            <v>m</v>
          </cell>
          <cell r="F491">
            <v>3.3</v>
          </cell>
          <cell r="G491">
            <v>3500</v>
          </cell>
          <cell r="H491">
            <v>11550</v>
          </cell>
          <cell r="I491">
            <v>0</v>
          </cell>
          <cell r="J491">
            <v>0</v>
          </cell>
          <cell r="K491">
            <v>11550</v>
          </cell>
        </row>
        <row r="492">
          <cell r="B492" t="str">
            <v>내장공</v>
          </cell>
          <cell r="D492" t="str">
            <v>내장공인</v>
          </cell>
          <cell r="E492" t="str">
            <v>인</v>
          </cell>
          <cell r="F492">
            <v>3.3000000000000002E-2</v>
          </cell>
          <cell r="G492">
            <v>0</v>
          </cell>
          <cell r="H492">
            <v>0</v>
          </cell>
          <cell r="I492">
            <v>189600</v>
          </cell>
          <cell r="J492">
            <v>6256</v>
          </cell>
          <cell r="K492">
            <v>6256</v>
          </cell>
        </row>
        <row r="493">
          <cell r="B493" t="str">
            <v>보통인부</v>
          </cell>
          <cell r="D493" t="str">
            <v>보통인부인</v>
          </cell>
          <cell r="E493" t="str">
            <v>인</v>
          </cell>
          <cell r="F493">
            <v>1.6E-2</v>
          </cell>
          <cell r="G493">
            <v>0</v>
          </cell>
          <cell r="H493">
            <v>0</v>
          </cell>
          <cell r="I493">
            <v>125427</v>
          </cell>
          <cell r="J493">
            <v>2006</v>
          </cell>
          <cell r="K493">
            <v>2006</v>
          </cell>
        </row>
        <row r="494">
          <cell r="B494" t="str">
            <v>용접공</v>
          </cell>
          <cell r="E494" t="str">
            <v>인</v>
          </cell>
          <cell r="F494">
            <v>0.05</v>
          </cell>
          <cell r="G494">
            <v>0</v>
          </cell>
          <cell r="H494">
            <v>0</v>
          </cell>
          <cell r="I494">
            <v>198711</v>
          </cell>
          <cell r="J494">
            <v>9935</v>
          </cell>
          <cell r="K494">
            <v>9935</v>
          </cell>
        </row>
        <row r="495">
          <cell r="B495" t="str">
            <v>기구손료</v>
          </cell>
          <cell r="C495" t="str">
            <v>인건비의1%</v>
          </cell>
          <cell r="D495" t="str">
            <v>기구손료인건비의1%식</v>
          </cell>
          <cell r="E495" t="str">
            <v>식</v>
          </cell>
          <cell r="F495">
            <v>1</v>
          </cell>
          <cell r="G495">
            <v>181</v>
          </cell>
          <cell r="H495">
            <v>181</v>
          </cell>
          <cell r="I495">
            <v>0</v>
          </cell>
          <cell r="J495">
            <v>0</v>
          </cell>
          <cell r="K495">
            <v>181</v>
          </cell>
        </row>
        <row r="496">
          <cell r="B496" t="str">
            <v>소계</v>
          </cell>
          <cell r="D496" t="str">
            <v>제70호표</v>
          </cell>
          <cell r="H496">
            <v>14510</v>
          </cell>
          <cell r="J496">
            <v>18197</v>
          </cell>
          <cell r="K496">
            <v>32707</v>
          </cell>
        </row>
        <row r="499">
          <cell r="A499" t="str">
            <v>제71호표</v>
          </cell>
          <cell r="B499" t="str">
            <v>먹메김</v>
          </cell>
          <cell r="E499" t="str">
            <v>㎡</v>
          </cell>
        </row>
        <row r="501">
          <cell r="B501" t="str">
            <v>건축목공</v>
          </cell>
          <cell r="D501" t="str">
            <v>건축목공인</v>
          </cell>
          <cell r="E501" t="str">
            <v>인</v>
          </cell>
          <cell r="F501">
            <v>2.9000000000000001E-2</v>
          </cell>
          <cell r="G501">
            <v>0</v>
          </cell>
          <cell r="H501">
            <v>0</v>
          </cell>
          <cell r="I501">
            <v>200925</v>
          </cell>
          <cell r="J501">
            <v>5826</v>
          </cell>
          <cell r="K501">
            <v>5826</v>
          </cell>
        </row>
        <row r="503">
          <cell r="B503" t="str">
            <v>- 건축목공 : 0.0255(사무소 마감부)</v>
          </cell>
        </row>
        <row r="504">
          <cell r="B504" t="str">
            <v>소계</v>
          </cell>
          <cell r="D504" t="str">
            <v>제71호표</v>
          </cell>
          <cell r="H504">
            <v>0</v>
          </cell>
          <cell r="J504">
            <v>5826</v>
          </cell>
          <cell r="K504">
            <v>5826</v>
          </cell>
        </row>
        <row r="507">
          <cell r="A507" t="str">
            <v>제72호표</v>
          </cell>
          <cell r="B507" t="str">
            <v>석고보드 시공</v>
          </cell>
          <cell r="C507" t="str">
            <v>THK9.5mm 2PLY(천장면)</v>
          </cell>
          <cell r="E507" t="str">
            <v>M2</v>
          </cell>
        </row>
        <row r="509">
          <cell r="B509" t="str">
            <v>석고보드</v>
          </cell>
          <cell r="C509" t="str">
            <v>T9.5mm*900*1,800</v>
          </cell>
          <cell r="D509" t="str">
            <v>석고보드T9.5mm*900*1,800M2</v>
          </cell>
          <cell r="E509" t="str">
            <v>M2</v>
          </cell>
          <cell r="F509">
            <v>2.2000000000000002</v>
          </cell>
          <cell r="G509">
            <v>2407</v>
          </cell>
          <cell r="H509">
            <v>5295</v>
          </cell>
          <cell r="I509">
            <v>0</v>
          </cell>
          <cell r="J509">
            <v>0</v>
          </cell>
          <cell r="K509">
            <v>5295</v>
          </cell>
        </row>
        <row r="510">
          <cell r="B510" t="str">
            <v>집성스크류</v>
          </cell>
          <cell r="C510" t="str">
            <v>#8 25mm</v>
          </cell>
          <cell r="D510" t="str">
            <v>집성스크류#825mmEA</v>
          </cell>
          <cell r="E510" t="str">
            <v>EA</v>
          </cell>
          <cell r="F510">
            <v>42.33</v>
          </cell>
          <cell r="G510">
            <v>12</v>
          </cell>
          <cell r="H510">
            <v>507</v>
          </cell>
          <cell r="I510">
            <v>0</v>
          </cell>
          <cell r="J510">
            <v>0</v>
          </cell>
          <cell r="K510">
            <v>507</v>
          </cell>
        </row>
        <row r="511">
          <cell r="B511" t="str">
            <v>일반용철못</v>
          </cell>
          <cell r="C511" t="str">
            <v>N75</v>
          </cell>
          <cell r="D511" t="str">
            <v>일반용철못N75Kg</v>
          </cell>
          <cell r="E511" t="str">
            <v>Kg</v>
          </cell>
          <cell r="F511">
            <v>3.5000000000000003E-2</v>
          </cell>
          <cell r="G511">
            <v>1375</v>
          </cell>
          <cell r="H511">
            <v>48</v>
          </cell>
          <cell r="I511">
            <v>0</v>
          </cell>
          <cell r="J511">
            <v>0</v>
          </cell>
          <cell r="K511">
            <v>48</v>
          </cell>
        </row>
        <row r="512">
          <cell r="B512" t="str">
            <v>목공용접착제</v>
          </cell>
          <cell r="C512">
            <v>205</v>
          </cell>
          <cell r="D512" t="str">
            <v>목공용접착제205kg</v>
          </cell>
          <cell r="E512" t="str">
            <v>kg</v>
          </cell>
          <cell r="F512">
            <v>0.27</v>
          </cell>
          <cell r="G512">
            <v>3529</v>
          </cell>
          <cell r="H512">
            <v>952</v>
          </cell>
          <cell r="I512">
            <v>0</v>
          </cell>
          <cell r="J512">
            <v>0</v>
          </cell>
          <cell r="K512">
            <v>952</v>
          </cell>
        </row>
        <row r="513">
          <cell r="B513" t="str">
            <v>내장공</v>
          </cell>
          <cell r="D513" t="str">
            <v>내장공인</v>
          </cell>
          <cell r="E513" t="str">
            <v>인</v>
          </cell>
          <cell r="F513">
            <v>5.9799999999999999E-2</v>
          </cell>
          <cell r="G513">
            <v>0</v>
          </cell>
          <cell r="H513">
            <v>0</v>
          </cell>
          <cell r="I513">
            <v>189600</v>
          </cell>
          <cell r="J513">
            <v>11338</v>
          </cell>
          <cell r="K513">
            <v>11338</v>
          </cell>
        </row>
        <row r="514">
          <cell r="B514" t="str">
            <v>보통인부</v>
          </cell>
          <cell r="D514" t="str">
            <v>보통인부인</v>
          </cell>
          <cell r="E514" t="str">
            <v>인</v>
          </cell>
          <cell r="F514">
            <v>2.9899999999999999E-2</v>
          </cell>
          <cell r="G514">
            <v>0</v>
          </cell>
          <cell r="H514">
            <v>0</v>
          </cell>
          <cell r="I514">
            <v>125427</v>
          </cell>
          <cell r="J514">
            <v>3750</v>
          </cell>
          <cell r="K514">
            <v>3750</v>
          </cell>
        </row>
        <row r="515">
          <cell r="B515" t="str">
            <v>기구손료</v>
          </cell>
          <cell r="C515" t="str">
            <v>노무비의 1%</v>
          </cell>
          <cell r="D515" t="str">
            <v>기구손료노무비의1%식</v>
          </cell>
          <cell r="E515" t="str">
            <v>식</v>
          </cell>
          <cell r="F515">
            <v>1</v>
          </cell>
          <cell r="G515">
            <v>150</v>
          </cell>
          <cell r="H515">
            <v>150</v>
          </cell>
          <cell r="K515">
            <v>150</v>
          </cell>
        </row>
        <row r="516">
          <cell r="B516" t="str">
            <v>소계</v>
          </cell>
          <cell r="D516" t="str">
            <v>제72호표</v>
          </cell>
          <cell r="H516">
            <v>6952</v>
          </cell>
          <cell r="J516">
            <v>15088</v>
          </cell>
          <cell r="K516">
            <v>22040</v>
          </cell>
        </row>
        <row r="519">
          <cell r="A519" t="str">
            <v>제73호표</v>
          </cell>
          <cell r="B519" t="str">
            <v>석고보드 시공</v>
          </cell>
          <cell r="C519" t="str">
            <v>THK9.5mm 2PLY(벽체면)</v>
          </cell>
          <cell r="E519" t="str">
            <v>M2</v>
          </cell>
        </row>
        <row r="521">
          <cell r="B521" t="str">
            <v>석고보드</v>
          </cell>
          <cell r="C521" t="str">
            <v>T9.5mm*900*1,800</v>
          </cell>
          <cell r="D521" t="str">
            <v>석고보드T9.5mm*900*1,800M2</v>
          </cell>
          <cell r="E521" t="str">
            <v>M2</v>
          </cell>
          <cell r="F521">
            <v>2.2000000000000002</v>
          </cell>
          <cell r="G521">
            <v>2407</v>
          </cell>
          <cell r="H521">
            <v>5295</v>
          </cell>
          <cell r="I521">
            <v>0</v>
          </cell>
          <cell r="J521">
            <v>0</v>
          </cell>
          <cell r="K521">
            <v>5295</v>
          </cell>
        </row>
        <row r="522">
          <cell r="B522" t="str">
            <v>집성스크류</v>
          </cell>
          <cell r="C522" t="str">
            <v>#8 25mm</v>
          </cell>
          <cell r="D522" t="str">
            <v>집성스크류#825mmEA</v>
          </cell>
          <cell r="E522" t="str">
            <v>EA</v>
          </cell>
          <cell r="F522">
            <v>42.33</v>
          </cell>
          <cell r="G522">
            <v>12</v>
          </cell>
          <cell r="H522">
            <v>507</v>
          </cell>
          <cell r="I522">
            <v>0</v>
          </cell>
          <cell r="J522">
            <v>0</v>
          </cell>
          <cell r="K522">
            <v>507</v>
          </cell>
        </row>
        <row r="523">
          <cell r="B523" t="str">
            <v>일반용철못</v>
          </cell>
          <cell r="C523" t="str">
            <v>N75</v>
          </cell>
          <cell r="D523" t="str">
            <v>일반용철못N75Kg</v>
          </cell>
          <cell r="E523" t="str">
            <v>Kg</v>
          </cell>
          <cell r="F523">
            <v>3.5000000000000003E-2</v>
          </cell>
          <cell r="G523">
            <v>1375</v>
          </cell>
          <cell r="H523">
            <v>48</v>
          </cell>
          <cell r="I523">
            <v>0</v>
          </cell>
          <cell r="J523">
            <v>0</v>
          </cell>
          <cell r="K523">
            <v>48</v>
          </cell>
        </row>
        <row r="524">
          <cell r="B524" t="str">
            <v>목공용접착제</v>
          </cell>
          <cell r="C524">
            <v>205</v>
          </cell>
          <cell r="D524" t="str">
            <v>목공용접착제205kg</v>
          </cell>
          <cell r="E524" t="str">
            <v>kg</v>
          </cell>
          <cell r="F524">
            <v>0.27</v>
          </cell>
          <cell r="G524">
            <v>3529</v>
          </cell>
          <cell r="H524">
            <v>952</v>
          </cell>
          <cell r="I524">
            <v>0</v>
          </cell>
          <cell r="J524">
            <v>0</v>
          </cell>
          <cell r="K524">
            <v>952</v>
          </cell>
        </row>
        <row r="525">
          <cell r="B525" t="str">
            <v>내장공</v>
          </cell>
          <cell r="D525" t="str">
            <v>내장공인</v>
          </cell>
          <cell r="E525" t="str">
            <v>인</v>
          </cell>
          <cell r="F525">
            <v>4.5999999999999999E-2</v>
          </cell>
          <cell r="G525">
            <v>0</v>
          </cell>
          <cell r="H525">
            <v>0</v>
          </cell>
          <cell r="I525">
            <v>189600</v>
          </cell>
          <cell r="J525">
            <v>8721</v>
          </cell>
          <cell r="K525">
            <v>8721</v>
          </cell>
        </row>
        <row r="526">
          <cell r="B526" t="str">
            <v>보통인부</v>
          </cell>
          <cell r="D526" t="str">
            <v>보통인부인</v>
          </cell>
          <cell r="E526" t="str">
            <v>인</v>
          </cell>
          <cell r="F526">
            <v>2.3E-2</v>
          </cell>
          <cell r="G526">
            <v>0</v>
          </cell>
          <cell r="H526">
            <v>0</v>
          </cell>
          <cell r="I526">
            <v>125427</v>
          </cell>
          <cell r="J526">
            <v>2884</v>
          </cell>
          <cell r="K526">
            <v>2884</v>
          </cell>
        </row>
        <row r="527">
          <cell r="B527" t="str">
            <v>기구손료</v>
          </cell>
          <cell r="C527" t="str">
            <v>노무비의 1%</v>
          </cell>
          <cell r="D527" t="str">
            <v>기구손료노무비의1%식</v>
          </cell>
          <cell r="E527" t="str">
            <v>식</v>
          </cell>
          <cell r="F527">
            <v>1</v>
          </cell>
          <cell r="G527">
            <v>116</v>
          </cell>
          <cell r="H527">
            <v>116</v>
          </cell>
          <cell r="K527">
            <v>116</v>
          </cell>
        </row>
        <row r="528">
          <cell r="B528" t="str">
            <v>소계</v>
          </cell>
          <cell r="D528" t="str">
            <v>제73호표</v>
          </cell>
          <cell r="H528">
            <v>6918</v>
          </cell>
          <cell r="J528">
            <v>11605</v>
          </cell>
          <cell r="K528">
            <v>18523</v>
          </cell>
        </row>
        <row r="531">
          <cell r="A531" t="str">
            <v>제74호표</v>
          </cell>
          <cell r="B531" t="str">
            <v>석고보드 시공</v>
          </cell>
          <cell r="C531" t="str">
            <v>THK9.5mm 1PLY(벽체면)</v>
          </cell>
          <cell r="E531" t="str">
            <v>M2</v>
          </cell>
        </row>
        <row r="533">
          <cell r="B533" t="str">
            <v>석고보드</v>
          </cell>
          <cell r="C533" t="str">
            <v>T9.5mm*900*1,800</v>
          </cell>
          <cell r="D533" t="str">
            <v>석고보드T9.5mm*900*1,800M2</v>
          </cell>
          <cell r="E533" t="str">
            <v>M2</v>
          </cell>
          <cell r="F533">
            <v>1.1000000000000001</v>
          </cell>
          <cell r="G533">
            <v>2407</v>
          </cell>
          <cell r="H533">
            <v>2647</v>
          </cell>
          <cell r="I533">
            <v>0</v>
          </cell>
          <cell r="J533">
            <v>0</v>
          </cell>
          <cell r="K533">
            <v>2647</v>
          </cell>
        </row>
        <row r="534">
          <cell r="B534" t="str">
            <v>집성스크류</v>
          </cell>
          <cell r="C534" t="str">
            <v>#8 25mm</v>
          </cell>
          <cell r="D534" t="str">
            <v>집성스크류#825mmEA</v>
          </cell>
          <cell r="E534" t="str">
            <v>EA</v>
          </cell>
          <cell r="F534">
            <v>42.33</v>
          </cell>
          <cell r="G534">
            <v>12</v>
          </cell>
          <cell r="H534">
            <v>507</v>
          </cell>
          <cell r="I534">
            <v>0</v>
          </cell>
          <cell r="J534">
            <v>0</v>
          </cell>
          <cell r="K534">
            <v>507</v>
          </cell>
        </row>
        <row r="535">
          <cell r="B535" t="str">
            <v>내장공</v>
          </cell>
          <cell r="D535" t="str">
            <v>내장공인</v>
          </cell>
          <cell r="E535" t="str">
            <v>인</v>
          </cell>
          <cell r="F535">
            <v>3.3000000000000002E-2</v>
          </cell>
          <cell r="G535">
            <v>0</v>
          </cell>
          <cell r="H535">
            <v>0</v>
          </cell>
          <cell r="I535">
            <v>189600</v>
          </cell>
          <cell r="J535">
            <v>6256</v>
          </cell>
          <cell r="K535">
            <v>6256</v>
          </cell>
        </row>
        <row r="536">
          <cell r="B536" t="str">
            <v>보통인부</v>
          </cell>
          <cell r="D536" t="str">
            <v>보통인부인</v>
          </cell>
          <cell r="E536" t="str">
            <v>인</v>
          </cell>
          <cell r="F536">
            <v>1.6E-2</v>
          </cell>
          <cell r="G536">
            <v>0</v>
          </cell>
          <cell r="H536">
            <v>0</v>
          </cell>
          <cell r="I536">
            <v>125427</v>
          </cell>
          <cell r="J536">
            <v>2006</v>
          </cell>
          <cell r="K536">
            <v>2006</v>
          </cell>
        </row>
        <row r="537">
          <cell r="B537" t="str">
            <v>기구손료</v>
          </cell>
          <cell r="C537" t="str">
            <v>노무비의 1%</v>
          </cell>
          <cell r="D537" t="str">
            <v>기구손료노무비의1%식</v>
          </cell>
          <cell r="E537" t="str">
            <v>식</v>
          </cell>
          <cell r="F537">
            <v>1</v>
          </cell>
          <cell r="G537">
            <v>82</v>
          </cell>
          <cell r="H537">
            <v>82</v>
          </cell>
          <cell r="K537">
            <v>82</v>
          </cell>
        </row>
        <row r="538">
          <cell r="B538" t="str">
            <v>소계</v>
          </cell>
          <cell r="D538" t="str">
            <v>제74호표</v>
          </cell>
          <cell r="H538">
            <v>3236</v>
          </cell>
          <cell r="J538">
            <v>8262</v>
          </cell>
          <cell r="K538">
            <v>11498</v>
          </cell>
        </row>
        <row r="541">
          <cell r="A541" t="str">
            <v>제75호표</v>
          </cell>
          <cell r="B541" t="str">
            <v>친환경수성페인트</v>
          </cell>
          <cell r="C541" t="str">
            <v>벽체</v>
          </cell>
          <cell r="E541" t="str">
            <v>M2</v>
          </cell>
        </row>
        <row r="543">
          <cell r="B543" t="str">
            <v>친환경수성페인트</v>
          </cell>
          <cell r="C543" t="str">
            <v>내부수성도료</v>
          </cell>
          <cell r="D543" t="str">
            <v>친환경수성페인트내부수성도료ℓ</v>
          </cell>
          <cell r="E543" t="str">
            <v>ℓ</v>
          </cell>
          <cell r="F543">
            <v>0.25600000000000001</v>
          </cell>
          <cell r="G543">
            <v>5705</v>
          </cell>
          <cell r="H543">
            <v>1460</v>
          </cell>
          <cell r="I543">
            <v>0</v>
          </cell>
          <cell r="J543">
            <v>0</v>
          </cell>
          <cell r="K543">
            <v>1460</v>
          </cell>
        </row>
        <row r="544">
          <cell r="B544" t="str">
            <v>도장공</v>
          </cell>
          <cell r="D544" t="str">
            <v>도장공인</v>
          </cell>
          <cell r="E544" t="str">
            <v>인</v>
          </cell>
          <cell r="F544">
            <v>7.0000000000000007E-2</v>
          </cell>
          <cell r="G544">
            <v>0</v>
          </cell>
          <cell r="H544">
            <v>0</v>
          </cell>
          <cell r="I544">
            <v>184508</v>
          </cell>
          <cell r="J544">
            <v>12915</v>
          </cell>
          <cell r="K544">
            <v>12915</v>
          </cell>
        </row>
        <row r="545">
          <cell r="B545" t="str">
            <v>잡재료비</v>
          </cell>
          <cell r="C545" t="str">
            <v>주재료비의 6%</v>
          </cell>
          <cell r="D545" t="str">
            <v>잡재료비주재료비의6%식</v>
          </cell>
          <cell r="E545" t="str">
            <v>식</v>
          </cell>
          <cell r="F545">
            <v>1</v>
          </cell>
          <cell r="G545">
            <v>87.6</v>
          </cell>
          <cell r="H545">
            <v>87</v>
          </cell>
          <cell r="K545">
            <v>87</v>
          </cell>
        </row>
        <row r="546">
          <cell r="B546" t="str">
            <v>기구손료</v>
          </cell>
          <cell r="C546" t="str">
            <v>노무비의 9%</v>
          </cell>
          <cell r="D546" t="str">
            <v>기구손료노무비의9%식</v>
          </cell>
          <cell r="E546" t="str">
            <v>식</v>
          </cell>
          <cell r="F546">
            <v>1</v>
          </cell>
          <cell r="G546">
            <v>1256</v>
          </cell>
          <cell r="H546">
            <v>1256</v>
          </cell>
          <cell r="K546">
            <v>1256</v>
          </cell>
        </row>
        <row r="547">
          <cell r="B547" t="str">
            <v>퍼티</v>
          </cell>
          <cell r="C547" t="str">
            <v>핸디코트</v>
          </cell>
          <cell r="D547" t="str">
            <v>퍼티핸디코트Kg</v>
          </cell>
          <cell r="E547" t="str">
            <v>Kg</v>
          </cell>
          <cell r="F547">
            <v>0.08</v>
          </cell>
          <cell r="G547">
            <v>1030</v>
          </cell>
          <cell r="H547">
            <v>82</v>
          </cell>
          <cell r="I547">
            <v>0</v>
          </cell>
          <cell r="J547">
            <v>0</v>
          </cell>
          <cell r="K547">
            <v>82</v>
          </cell>
        </row>
        <row r="548">
          <cell r="B548" t="str">
            <v>연마포</v>
          </cell>
          <cell r="C548" t="str">
            <v>#120</v>
          </cell>
          <cell r="D548" t="str">
            <v>연마포#120매</v>
          </cell>
          <cell r="E548" t="str">
            <v>매</v>
          </cell>
          <cell r="F548">
            <v>0.05</v>
          </cell>
          <cell r="G548">
            <v>440</v>
          </cell>
          <cell r="H548">
            <v>22</v>
          </cell>
          <cell r="I548">
            <v>0</v>
          </cell>
          <cell r="J548">
            <v>0</v>
          </cell>
          <cell r="K548">
            <v>22</v>
          </cell>
        </row>
        <row r="549">
          <cell r="B549" t="str">
            <v>도장공</v>
          </cell>
          <cell r="D549" t="str">
            <v>도장공인</v>
          </cell>
          <cell r="E549" t="str">
            <v>인</v>
          </cell>
          <cell r="F549">
            <v>5.0000000000000001E-3</v>
          </cell>
          <cell r="G549">
            <v>0</v>
          </cell>
          <cell r="H549">
            <v>0</v>
          </cell>
          <cell r="I549">
            <v>184508</v>
          </cell>
          <cell r="J549">
            <v>922</v>
          </cell>
          <cell r="K549">
            <v>922</v>
          </cell>
        </row>
        <row r="550">
          <cell r="B550" t="str">
            <v>보통인부</v>
          </cell>
          <cell r="D550" t="str">
            <v>보통인부인</v>
          </cell>
          <cell r="E550" t="str">
            <v>인</v>
          </cell>
          <cell r="F550">
            <v>1E-3</v>
          </cell>
          <cell r="G550">
            <v>0</v>
          </cell>
          <cell r="H550">
            <v>0</v>
          </cell>
          <cell r="I550">
            <v>125427</v>
          </cell>
          <cell r="J550">
            <v>125</v>
          </cell>
          <cell r="K550">
            <v>125</v>
          </cell>
        </row>
        <row r="551">
          <cell r="B551" t="str">
            <v>소계</v>
          </cell>
          <cell r="D551" t="str">
            <v>제75호표</v>
          </cell>
          <cell r="H551">
            <v>2907</v>
          </cell>
          <cell r="J551">
            <v>13962</v>
          </cell>
          <cell r="K551">
            <v>16869</v>
          </cell>
        </row>
        <row r="554">
          <cell r="A554" t="str">
            <v>제76호표</v>
          </cell>
          <cell r="B554" t="str">
            <v>바탕만들기</v>
          </cell>
          <cell r="C554" t="str">
            <v>목재 석고면</v>
          </cell>
          <cell r="E554" t="str">
            <v>M2</v>
          </cell>
        </row>
        <row r="556">
          <cell r="B556" t="str">
            <v>퍼티</v>
          </cell>
          <cell r="C556" t="str">
            <v>핸디코트</v>
          </cell>
          <cell r="D556" t="str">
            <v>퍼티핸디코트Kg</v>
          </cell>
          <cell r="E556" t="str">
            <v>Kg</v>
          </cell>
          <cell r="F556">
            <v>0.66700000000000004</v>
          </cell>
          <cell r="G556">
            <v>1030</v>
          </cell>
          <cell r="H556">
            <v>687</v>
          </cell>
          <cell r="I556">
            <v>0</v>
          </cell>
          <cell r="J556">
            <v>0</v>
          </cell>
          <cell r="K556">
            <v>687</v>
          </cell>
        </row>
        <row r="557">
          <cell r="B557" t="str">
            <v>휠러</v>
          </cell>
          <cell r="C557" t="str">
            <v>외부용 25kg</v>
          </cell>
          <cell r="D557" t="str">
            <v>휠러외부용25kgKg</v>
          </cell>
          <cell r="E557" t="str">
            <v>Kg</v>
          </cell>
          <cell r="F557">
            <v>0.32500000000000001</v>
          </cell>
          <cell r="G557">
            <v>1650</v>
          </cell>
          <cell r="H557">
            <v>536</v>
          </cell>
          <cell r="I557">
            <v>0</v>
          </cell>
          <cell r="J557">
            <v>0</v>
          </cell>
          <cell r="K557">
            <v>536</v>
          </cell>
        </row>
        <row r="558">
          <cell r="B558" t="str">
            <v>연마지</v>
          </cell>
          <cell r="C558" t="str">
            <v>#120</v>
          </cell>
          <cell r="D558" t="str">
            <v>연마지#120매</v>
          </cell>
          <cell r="E558" t="str">
            <v>매</v>
          </cell>
          <cell r="F558">
            <v>0.18</v>
          </cell>
          <cell r="G558">
            <v>260</v>
          </cell>
          <cell r="H558">
            <v>46</v>
          </cell>
          <cell r="I558">
            <v>0</v>
          </cell>
          <cell r="J558">
            <v>0</v>
          </cell>
          <cell r="K558">
            <v>46</v>
          </cell>
        </row>
        <row r="559">
          <cell r="B559" t="str">
            <v>화이버테이프</v>
          </cell>
          <cell r="D559" t="str">
            <v>화이버테이프m</v>
          </cell>
          <cell r="E559" t="str">
            <v>m</v>
          </cell>
          <cell r="F559">
            <v>1.52</v>
          </cell>
          <cell r="G559">
            <v>60</v>
          </cell>
          <cell r="H559">
            <v>91</v>
          </cell>
          <cell r="I559">
            <v>0</v>
          </cell>
          <cell r="J559">
            <v>0</v>
          </cell>
          <cell r="K559">
            <v>91</v>
          </cell>
        </row>
        <row r="560">
          <cell r="B560" t="str">
            <v>도장공</v>
          </cell>
          <cell r="D560" t="str">
            <v>도장공인</v>
          </cell>
          <cell r="E560" t="str">
            <v>인</v>
          </cell>
          <cell r="F560">
            <v>6.6000000000000003E-2</v>
          </cell>
          <cell r="G560">
            <v>0</v>
          </cell>
          <cell r="H560">
            <v>0</v>
          </cell>
          <cell r="I560">
            <v>184508</v>
          </cell>
          <cell r="J560">
            <v>12177</v>
          </cell>
          <cell r="K560">
            <v>12177</v>
          </cell>
        </row>
        <row r="561">
          <cell r="B561" t="str">
            <v>보통인부</v>
          </cell>
          <cell r="D561" t="str">
            <v>보통인부인</v>
          </cell>
          <cell r="E561" t="str">
            <v>인</v>
          </cell>
          <cell r="F561">
            <v>1.7999999999999999E-2</v>
          </cell>
          <cell r="G561">
            <v>0</v>
          </cell>
          <cell r="H561">
            <v>0</v>
          </cell>
          <cell r="I561">
            <v>125427</v>
          </cell>
          <cell r="J561">
            <v>2257</v>
          </cell>
          <cell r="K561">
            <v>2257</v>
          </cell>
        </row>
        <row r="562">
          <cell r="B562" t="str">
            <v>기구손료</v>
          </cell>
          <cell r="C562" t="str">
            <v>노무비의 2%</v>
          </cell>
          <cell r="D562" t="str">
            <v>기구손료노무비의2%식</v>
          </cell>
          <cell r="E562" t="str">
            <v>식</v>
          </cell>
          <cell r="F562">
            <v>1</v>
          </cell>
          <cell r="G562">
            <v>288</v>
          </cell>
          <cell r="H562">
            <v>288</v>
          </cell>
          <cell r="K562">
            <v>288</v>
          </cell>
        </row>
        <row r="563">
          <cell r="B563" t="str">
            <v>소계</v>
          </cell>
          <cell r="D563" t="str">
            <v>제76호표</v>
          </cell>
          <cell r="H563">
            <v>1648</v>
          </cell>
          <cell r="J563">
            <v>14434</v>
          </cell>
          <cell r="K563">
            <v>16082</v>
          </cell>
        </row>
        <row r="566">
          <cell r="A566" t="str">
            <v>제77호표</v>
          </cell>
          <cell r="B566" t="str">
            <v>칼라락카칠</v>
          </cell>
          <cell r="C566" t="str">
            <v>목재 석고면</v>
          </cell>
          <cell r="E566" t="str">
            <v>M2</v>
          </cell>
        </row>
        <row r="568">
          <cell r="B568" t="str">
            <v>쉐락니스</v>
          </cell>
          <cell r="D568" t="str">
            <v>쉐락니스L</v>
          </cell>
          <cell r="E568" t="str">
            <v>L</v>
          </cell>
          <cell r="F568">
            <v>0.01</v>
          </cell>
          <cell r="G568">
            <v>4850</v>
          </cell>
          <cell r="H568">
            <v>48</v>
          </cell>
          <cell r="I568">
            <v>0</v>
          </cell>
          <cell r="J568">
            <v>0</v>
          </cell>
          <cell r="K568">
            <v>48</v>
          </cell>
        </row>
        <row r="569">
          <cell r="B569" t="str">
            <v>락카사페사(락카)</v>
          </cell>
          <cell r="C569" t="str">
            <v>DNL-4150</v>
          </cell>
          <cell r="D569" t="str">
            <v>락카사페사(락카)DNL-4150L</v>
          </cell>
          <cell r="E569" t="str">
            <v>L</v>
          </cell>
          <cell r="F569">
            <v>0.3</v>
          </cell>
          <cell r="G569">
            <v>5931</v>
          </cell>
          <cell r="H569">
            <v>1779</v>
          </cell>
          <cell r="I569">
            <v>0</v>
          </cell>
          <cell r="J569">
            <v>0</v>
          </cell>
          <cell r="K569">
            <v>1779</v>
          </cell>
        </row>
        <row r="570">
          <cell r="B570" t="str">
            <v>신너</v>
          </cell>
          <cell r="C570" t="str">
            <v>KSM6060-3</v>
          </cell>
          <cell r="D570" t="str">
            <v>신너KSM6060-3L</v>
          </cell>
          <cell r="E570" t="str">
            <v>L</v>
          </cell>
          <cell r="F570">
            <v>0.19500000000000001</v>
          </cell>
          <cell r="G570">
            <v>2577</v>
          </cell>
          <cell r="H570">
            <v>502</v>
          </cell>
          <cell r="I570">
            <v>0</v>
          </cell>
          <cell r="J570">
            <v>0</v>
          </cell>
          <cell r="K570">
            <v>502</v>
          </cell>
        </row>
        <row r="571">
          <cell r="B571" t="str">
            <v>칼라락카</v>
          </cell>
          <cell r="C571" t="str">
            <v>CL440</v>
          </cell>
          <cell r="D571" t="str">
            <v>칼라락카CL440L</v>
          </cell>
          <cell r="E571" t="str">
            <v>L</v>
          </cell>
          <cell r="F571">
            <v>0.5</v>
          </cell>
          <cell r="G571">
            <v>6467</v>
          </cell>
          <cell r="H571">
            <v>3233</v>
          </cell>
          <cell r="I571">
            <v>0</v>
          </cell>
          <cell r="J571">
            <v>0</v>
          </cell>
          <cell r="K571">
            <v>3233</v>
          </cell>
        </row>
        <row r="572">
          <cell r="B572" t="str">
            <v>연마지</v>
          </cell>
          <cell r="C572" t="str">
            <v>#120</v>
          </cell>
          <cell r="D572" t="str">
            <v>연마지#120매</v>
          </cell>
          <cell r="E572" t="str">
            <v>매</v>
          </cell>
          <cell r="F572">
            <v>0.5</v>
          </cell>
          <cell r="G572">
            <v>260</v>
          </cell>
          <cell r="H572">
            <v>130</v>
          </cell>
          <cell r="I572">
            <v>0</v>
          </cell>
          <cell r="J572">
            <v>0</v>
          </cell>
          <cell r="K572">
            <v>130</v>
          </cell>
        </row>
        <row r="573">
          <cell r="B573" t="str">
            <v>퍼티</v>
          </cell>
          <cell r="C573" t="str">
            <v>핸디코트</v>
          </cell>
          <cell r="D573" t="str">
            <v>퍼티핸디코트Kg</v>
          </cell>
          <cell r="E573" t="str">
            <v>Kg</v>
          </cell>
          <cell r="F573">
            <v>0.15</v>
          </cell>
          <cell r="G573">
            <v>1030</v>
          </cell>
          <cell r="H573">
            <v>154</v>
          </cell>
          <cell r="I573">
            <v>0</v>
          </cell>
          <cell r="J573">
            <v>0</v>
          </cell>
          <cell r="K573">
            <v>154</v>
          </cell>
        </row>
        <row r="574">
          <cell r="B574" t="str">
            <v>도장공</v>
          </cell>
          <cell r="D574" t="str">
            <v>도장공인</v>
          </cell>
          <cell r="E574" t="str">
            <v>인</v>
          </cell>
          <cell r="F574">
            <v>0.12000000000000001</v>
          </cell>
          <cell r="G574">
            <v>0</v>
          </cell>
          <cell r="H574">
            <v>0</v>
          </cell>
          <cell r="I574">
            <v>184508</v>
          </cell>
          <cell r="J574">
            <v>22140</v>
          </cell>
          <cell r="K574">
            <v>22140</v>
          </cell>
        </row>
        <row r="575">
          <cell r="B575" t="str">
            <v>보통인부</v>
          </cell>
          <cell r="D575" t="str">
            <v>보통인부인</v>
          </cell>
          <cell r="E575" t="str">
            <v>인</v>
          </cell>
          <cell r="F575">
            <v>1E-3</v>
          </cell>
          <cell r="G575">
            <v>0</v>
          </cell>
          <cell r="H575">
            <v>0</v>
          </cell>
          <cell r="I575">
            <v>125427</v>
          </cell>
          <cell r="J575">
            <v>125</v>
          </cell>
          <cell r="K575">
            <v>125</v>
          </cell>
        </row>
        <row r="576">
          <cell r="B576" t="str">
            <v>잡자재비</v>
          </cell>
          <cell r="C576" t="str">
            <v>주재료비의6%</v>
          </cell>
          <cell r="E576" t="str">
            <v>식</v>
          </cell>
          <cell r="F576">
            <v>1</v>
          </cell>
          <cell r="G576">
            <v>350.76</v>
          </cell>
          <cell r="H576">
            <v>350</v>
          </cell>
          <cell r="K576">
            <v>350</v>
          </cell>
        </row>
        <row r="577">
          <cell r="B577" t="str">
            <v>기구손료</v>
          </cell>
          <cell r="C577" t="str">
            <v>노무비의 9%</v>
          </cell>
          <cell r="D577" t="str">
            <v>기구손료노무비의9%식</v>
          </cell>
          <cell r="E577" t="str">
            <v>식</v>
          </cell>
          <cell r="F577">
            <v>1</v>
          </cell>
          <cell r="G577">
            <v>2003</v>
          </cell>
          <cell r="H577">
            <v>2003</v>
          </cell>
          <cell r="K577">
            <v>2003</v>
          </cell>
        </row>
        <row r="578">
          <cell r="B578" t="str">
            <v>소계</v>
          </cell>
          <cell r="D578" t="str">
            <v>제77호표</v>
          </cell>
          <cell r="H578">
            <v>8199</v>
          </cell>
          <cell r="J578">
            <v>22265</v>
          </cell>
          <cell r="K578">
            <v>30464</v>
          </cell>
        </row>
        <row r="581">
          <cell r="A581" t="str">
            <v>제78호표</v>
          </cell>
          <cell r="B581" t="str">
            <v>mdf 취부</v>
          </cell>
          <cell r="C581" t="str">
            <v>T9mm</v>
          </cell>
          <cell r="E581" t="str">
            <v>㎡</v>
          </cell>
        </row>
        <row r="583">
          <cell r="B583" t="str">
            <v>mdf</v>
          </cell>
          <cell r="C583" t="str">
            <v>T9mm*4'*8'</v>
          </cell>
          <cell r="D583" t="str">
            <v>mdfT9mm*4'*8'M2</v>
          </cell>
          <cell r="E583" t="str">
            <v>M2</v>
          </cell>
          <cell r="F583">
            <v>1.05</v>
          </cell>
          <cell r="G583">
            <v>4006</v>
          </cell>
          <cell r="H583">
            <v>4206</v>
          </cell>
          <cell r="I583">
            <v>0</v>
          </cell>
          <cell r="J583">
            <v>0</v>
          </cell>
          <cell r="K583">
            <v>4206</v>
          </cell>
        </row>
        <row r="584">
          <cell r="B584" t="str">
            <v>목공용접착제</v>
          </cell>
          <cell r="C584">
            <v>205</v>
          </cell>
          <cell r="D584" t="str">
            <v>목공용접착제205kg</v>
          </cell>
          <cell r="E584" t="str">
            <v>kg</v>
          </cell>
          <cell r="F584">
            <v>0.27</v>
          </cell>
          <cell r="G584">
            <v>3529</v>
          </cell>
          <cell r="H584">
            <v>952</v>
          </cell>
          <cell r="I584">
            <v>0</v>
          </cell>
          <cell r="J584">
            <v>0</v>
          </cell>
          <cell r="K584">
            <v>952</v>
          </cell>
        </row>
        <row r="585">
          <cell r="B585" t="str">
            <v>일반용철못</v>
          </cell>
          <cell r="C585" t="str">
            <v>N50</v>
          </cell>
          <cell r="D585" t="str">
            <v>일반용철못N50kg</v>
          </cell>
          <cell r="E585" t="str">
            <v>kg</v>
          </cell>
          <cell r="F585">
            <v>4.0000000000000001E-3</v>
          </cell>
          <cell r="G585">
            <v>1385</v>
          </cell>
          <cell r="H585">
            <v>5</v>
          </cell>
          <cell r="I585">
            <v>0</v>
          </cell>
          <cell r="J585">
            <v>0</v>
          </cell>
          <cell r="K585">
            <v>5</v>
          </cell>
        </row>
        <row r="586">
          <cell r="B586" t="str">
            <v>건축목공</v>
          </cell>
          <cell r="D586" t="str">
            <v>건축목공인</v>
          </cell>
          <cell r="E586" t="str">
            <v>인</v>
          </cell>
          <cell r="F586">
            <v>6.5000000000000002E-2</v>
          </cell>
          <cell r="G586">
            <v>0</v>
          </cell>
          <cell r="H586">
            <v>0</v>
          </cell>
          <cell r="I586">
            <v>200925</v>
          </cell>
          <cell r="J586">
            <v>13060</v>
          </cell>
          <cell r="K586">
            <v>13060</v>
          </cell>
        </row>
        <row r="587">
          <cell r="B587" t="str">
            <v>보통인부</v>
          </cell>
          <cell r="D587" t="str">
            <v>보통인부인</v>
          </cell>
          <cell r="E587" t="str">
            <v>인</v>
          </cell>
          <cell r="F587">
            <v>7.0000000000000001E-3</v>
          </cell>
          <cell r="G587">
            <v>0</v>
          </cell>
          <cell r="H587">
            <v>0</v>
          </cell>
          <cell r="I587">
            <v>125427</v>
          </cell>
          <cell r="J587">
            <v>877</v>
          </cell>
          <cell r="K587">
            <v>877</v>
          </cell>
        </row>
        <row r="588">
          <cell r="B588" t="str">
            <v>기구손료</v>
          </cell>
          <cell r="C588" t="str">
            <v>노무비의2%</v>
          </cell>
          <cell r="D588" t="str">
            <v>기구손료노무비의2%식</v>
          </cell>
          <cell r="E588" t="str">
            <v>식</v>
          </cell>
          <cell r="F588">
            <v>1</v>
          </cell>
          <cell r="G588">
            <v>278</v>
          </cell>
          <cell r="H588">
            <v>278</v>
          </cell>
          <cell r="K588">
            <v>278</v>
          </cell>
        </row>
        <row r="589">
          <cell r="B589" t="str">
            <v>소계</v>
          </cell>
          <cell r="D589" t="str">
            <v>제78호표</v>
          </cell>
          <cell r="H589">
            <v>5441</v>
          </cell>
          <cell r="J589">
            <v>13937</v>
          </cell>
          <cell r="K589">
            <v>19378</v>
          </cell>
        </row>
        <row r="592">
          <cell r="A592" t="str">
            <v>제79호표</v>
          </cell>
          <cell r="B592" t="str">
            <v>유물보조대</v>
          </cell>
          <cell r="C592" t="str">
            <v>MDF 9mm위 천도배</v>
          </cell>
          <cell r="E592" t="str">
            <v>㎡</v>
          </cell>
        </row>
        <row r="594">
          <cell r="B594" t="str">
            <v>바탕처리</v>
          </cell>
          <cell r="C594" t="str">
            <v>도배퍼티</v>
          </cell>
          <cell r="D594" t="str">
            <v>바탕처리도배퍼티M2</v>
          </cell>
          <cell r="E594" t="str">
            <v>M2</v>
          </cell>
          <cell r="F594">
            <v>1.05</v>
          </cell>
          <cell r="G594">
            <v>1160</v>
          </cell>
          <cell r="H594">
            <v>1218</v>
          </cell>
          <cell r="I594">
            <v>7711</v>
          </cell>
          <cell r="J594">
            <v>8096</v>
          </cell>
          <cell r="K594">
            <v>9314</v>
          </cell>
        </row>
        <row r="595">
          <cell r="B595" t="str">
            <v>내부도배</v>
          </cell>
          <cell r="C595" t="str">
            <v>세마직벽지</v>
          </cell>
          <cell r="D595" t="str">
            <v>내부도배세마직벽지M2</v>
          </cell>
          <cell r="E595" t="str">
            <v>M2</v>
          </cell>
          <cell r="F595">
            <v>1.05</v>
          </cell>
          <cell r="G595">
            <v>47152</v>
          </cell>
          <cell r="H595">
            <v>49509</v>
          </cell>
          <cell r="I595">
            <v>5222</v>
          </cell>
          <cell r="J595">
            <v>5483</v>
          </cell>
          <cell r="K595">
            <v>54992</v>
          </cell>
        </row>
        <row r="596">
          <cell r="B596" t="str">
            <v>mdf 취부</v>
          </cell>
          <cell r="C596" t="str">
            <v>T9mm</v>
          </cell>
          <cell r="D596" t="str">
            <v>mdf취부T9mm㎡</v>
          </cell>
          <cell r="E596" t="str">
            <v>㎡</v>
          </cell>
          <cell r="F596">
            <v>1.05</v>
          </cell>
          <cell r="G596">
            <v>5441</v>
          </cell>
          <cell r="H596">
            <v>5713</v>
          </cell>
          <cell r="I596">
            <v>13937</v>
          </cell>
          <cell r="J596">
            <v>14633</v>
          </cell>
          <cell r="K596">
            <v>20346</v>
          </cell>
        </row>
        <row r="597">
          <cell r="B597" t="str">
            <v>소계</v>
          </cell>
          <cell r="D597" t="str">
            <v>제79호표</v>
          </cell>
          <cell r="H597">
            <v>56440</v>
          </cell>
          <cell r="J597">
            <v>28212</v>
          </cell>
          <cell r="K597">
            <v>84652</v>
          </cell>
        </row>
        <row r="600">
          <cell r="A600" t="str">
            <v>제80호표</v>
          </cell>
          <cell r="B600" t="str">
            <v>레일트랙</v>
          </cell>
          <cell r="E600" t="str">
            <v>m</v>
          </cell>
        </row>
        <row r="602">
          <cell r="B602" t="str">
            <v>멀티트랙</v>
          </cell>
          <cell r="C602" t="str">
            <v>트랙레일(1회로)</v>
          </cell>
          <cell r="D602" t="str">
            <v>멀티트랙트랙레일(1회로)m</v>
          </cell>
          <cell r="E602" t="str">
            <v>m</v>
          </cell>
          <cell r="F602">
            <v>1.05</v>
          </cell>
          <cell r="G602">
            <v>23800</v>
          </cell>
          <cell r="H602">
            <v>24990</v>
          </cell>
          <cell r="I602">
            <v>0</v>
          </cell>
          <cell r="J602">
            <v>0</v>
          </cell>
          <cell r="K602">
            <v>24990</v>
          </cell>
        </row>
        <row r="603">
          <cell r="B603" t="str">
            <v>내선전공</v>
          </cell>
          <cell r="D603" t="str">
            <v>내선전공인</v>
          </cell>
          <cell r="E603" t="str">
            <v>인</v>
          </cell>
          <cell r="F603">
            <v>0.252</v>
          </cell>
          <cell r="G603">
            <v>0</v>
          </cell>
          <cell r="H603">
            <v>0</v>
          </cell>
          <cell r="I603">
            <v>225408</v>
          </cell>
          <cell r="J603">
            <v>56802</v>
          </cell>
          <cell r="K603">
            <v>56802</v>
          </cell>
        </row>
        <row r="604">
          <cell r="B604" t="str">
            <v>공구손료</v>
          </cell>
          <cell r="D604" t="str">
            <v>공구손료식</v>
          </cell>
          <cell r="E604" t="str">
            <v>식</v>
          </cell>
          <cell r="F604">
            <v>1</v>
          </cell>
          <cell r="G604">
            <v>524</v>
          </cell>
          <cell r="H604">
            <v>524</v>
          </cell>
          <cell r="J604">
            <v>0</v>
          </cell>
          <cell r="K604">
            <v>524</v>
          </cell>
        </row>
        <row r="605">
          <cell r="B605" t="str">
            <v>소계</v>
          </cell>
          <cell r="D605" t="str">
            <v>제80호표</v>
          </cell>
          <cell r="H605">
            <v>25514</v>
          </cell>
          <cell r="J605">
            <v>56802</v>
          </cell>
          <cell r="K605">
            <v>82316</v>
          </cell>
        </row>
        <row r="608">
          <cell r="A608" t="str">
            <v>제81호표</v>
          </cell>
          <cell r="B608" t="str">
            <v>LED 포인트조명설치(벽부형)</v>
          </cell>
          <cell r="C608" t="str">
            <v>15W이하</v>
          </cell>
          <cell r="E608" t="str">
            <v>ea</v>
          </cell>
        </row>
        <row r="610">
          <cell r="B610" t="str">
            <v>박물관용led 램프</v>
          </cell>
          <cell r="C610" t="str">
            <v>핀스포트형(벽부형)</v>
          </cell>
          <cell r="D610" t="str">
            <v>박물관용led램프핀스포트형(벽부형)EA</v>
          </cell>
          <cell r="E610" t="str">
            <v>EA</v>
          </cell>
          <cell r="F610">
            <v>1.05</v>
          </cell>
          <cell r="G610">
            <v>170000</v>
          </cell>
          <cell r="H610">
            <v>178500</v>
          </cell>
          <cell r="I610">
            <v>0</v>
          </cell>
          <cell r="J610">
            <v>0</v>
          </cell>
          <cell r="K610">
            <v>178500</v>
          </cell>
        </row>
        <row r="611">
          <cell r="B611" t="str">
            <v>내선전공</v>
          </cell>
          <cell r="D611" t="str">
            <v>내선전공인</v>
          </cell>
          <cell r="E611" t="str">
            <v>인</v>
          </cell>
          <cell r="F611">
            <v>0.11700000000000001</v>
          </cell>
          <cell r="G611">
            <v>0</v>
          </cell>
          <cell r="H611">
            <v>0</v>
          </cell>
          <cell r="I611">
            <v>225408</v>
          </cell>
          <cell r="J611">
            <v>26372</v>
          </cell>
          <cell r="K611">
            <v>26372</v>
          </cell>
        </row>
        <row r="613">
          <cell r="B613" t="str">
            <v>소계</v>
          </cell>
          <cell r="D613" t="str">
            <v>제81호표</v>
          </cell>
          <cell r="H613">
            <v>178500</v>
          </cell>
          <cell r="J613">
            <v>26372</v>
          </cell>
          <cell r="K613">
            <v>204872</v>
          </cell>
        </row>
        <row r="616">
          <cell r="A616" t="str">
            <v>제82호표</v>
          </cell>
          <cell r="B616" t="str">
            <v>LED 포인트조명설치(독립장형)</v>
          </cell>
          <cell r="C616" t="str">
            <v>15W이하</v>
          </cell>
          <cell r="E616" t="str">
            <v>ea</v>
          </cell>
        </row>
        <row r="618">
          <cell r="B618" t="str">
            <v>박물관용led 램프</v>
          </cell>
          <cell r="C618" t="str">
            <v>핀스포트형(독립장형)</v>
          </cell>
          <cell r="D618" t="str">
            <v>박물관용led램프핀스포트형(독립장형)EA</v>
          </cell>
          <cell r="E618" t="str">
            <v>EA</v>
          </cell>
          <cell r="F618">
            <v>1.05</v>
          </cell>
          <cell r="G618">
            <v>110000</v>
          </cell>
          <cell r="H618">
            <v>115500</v>
          </cell>
          <cell r="I618">
            <v>0</v>
          </cell>
          <cell r="J618">
            <v>0</v>
          </cell>
          <cell r="K618">
            <v>115500</v>
          </cell>
        </row>
        <row r="619">
          <cell r="B619" t="str">
            <v>내선전공</v>
          </cell>
          <cell r="D619" t="str">
            <v>내선전공인</v>
          </cell>
          <cell r="E619" t="str">
            <v>인</v>
          </cell>
          <cell r="F619">
            <v>0.11700000000000001</v>
          </cell>
          <cell r="G619">
            <v>0</v>
          </cell>
          <cell r="H619">
            <v>0</v>
          </cell>
          <cell r="I619">
            <v>225408</v>
          </cell>
          <cell r="J619">
            <v>26372</v>
          </cell>
          <cell r="K619">
            <v>26372</v>
          </cell>
        </row>
        <row r="621">
          <cell r="B621" t="str">
            <v>소계</v>
          </cell>
          <cell r="D621" t="str">
            <v>제82호표</v>
          </cell>
          <cell r="H621">
            <v>115500</v>
          </cell>
          <cell r="J621">
            <v>26372</v>
          </cell>
          <cell r="K621">
            <v>141872</v>
          </cell>
        </row>
        <row r="624">
          <cell r="A624" t="str">
            <v>제83호표</v>
          </cell>
          <cell r="B624" t="str">
            <v>LED bar조명설치</v>
          </cell>
          <cell r="C624" t="str">
            <v>30W이하</v>
          </cell>
          <cell r="E624" t="str">
            <v>M</v>
          </cell>
        </row>
        <row r="626">
          <cell r="B626" t="str">
            <v>박물관용led BAR</v>
          </cell>
          <cell r="C626" t="str">
            <v>상부천장용</v>
          </cell>
          <cell r="D626" t="str">
            <v>박물관용ledBAR상부천장용M</v>
          </cell>
          <cell r="E626" t="str">
            <v>M</v>
          </cell>
          <cell r="F626">
            <v>1.05</v>
          </cell>
          <cell r="G626">
            <v>100000</v>
          </cell>
          <cell r="H626">
            <v>105000</v>
          </cell>
          <cell r="I626">
            <v>0</v>
          </cell>
          <cell r="J626">
            <v>0</v>
          </cell>
          <cell r="K626">
            <v>105000</v>
          </cell>
        </row>
        <row r="627">
          <cell r="B627" t="str">
            <v>내선전공</v>
          </cell>
          <cell r="D627" t="str">
            <v>내선전공인</v>
          </cell>
          <cell r="E627" t="str">
            <v>인</v>
          </cell>
          <cell r="F627">
            <v>0.11700000000000001</v>
          </cell>
          <cell r="G627">
            <v>0</v>
          </cell>
          <cell r="H627">
            <v>0</v>
          </cell>
          <cell r="I627">
            <v>225408</v>
          </cell>
          <cell r="J627">
            <v>26372</v>
          </cell>
          <cell r="K627">
            <v>26372</v>
          </cell>
        </row>
        <row r="629">
          <cell r="B629" t="str">
            <v>소계</v>
          </cell>
          <cell r="D629" t="str">
            <v>제83호표</v>
          </cell>
          <cell r="H629">
            <v>105000</v>
          </cell>
          <cell r="J629">
            <v>26372</v>
          </cell>
          <cell r="K629">
            <v>131372</v>
          </cell>
        </row>
        <row r="632">
          <cell r="A632" t="str">
            <v>제84호표</v>
          </cell>
          <cell r="B632" t="str">
            <v>LED 포인트조명 컨트롤제작설치</v>
          </cell>
          <cell r="C632" t="str">
            <v>컨트롤러(24채널)</v>
          </cell>
          <cell r="E632" t="str">
            <v>set</v>
          </cell>
        </row>
        <row r="634">
          <cell r="B634" t="str">
            <v>박물관용led 램프</v>
          </cell>
          <cell r="C634" t="str">
            <v>컨트롤러(24채널)</v>
          </cell>
          <cell r="D634" t="str">
            <v>박물관용led램프컨트롤러(24채널)set</v>
          </cell>
          <cell r="E634" t="str">
            <v>set</v>
          </cell>
          <cell r="F634">
            <v>1</v>
          </cell>
          <cell r="G634">
            <v>800000</v>
          </cell>
          <cell r="H634">
            <v>800000</v>
          </cell>
          <cell r="I634">
            <v>0</v>
          </cell>
          <cell r="J634">
            <v>0</v>
          </cell>
          <cell r="K634">
            <v>800000</v>
          </cell>
        </row>
        <row r="635">
          <cell r="B635" t="str">
            <v>내선전공</v>
          </cell>
          <cell r="D635" t="str">
            <v>내선전공인</v>
          </cell>
          <cell r="E635" t="str">
            <v>인</v>
          </cell>
          <cell r="F635">
            <v>0.6</v>
          </cell>
          <cell r="G635">
            <v>0</v>
          </cell>
          <cell r="H635">
            <v>0</v>
          </cell>
          <cell r="I635">
            <v>225408</v>
          </cell>
          <cell r="J635">
            <v>135244</v>
          </cell>
          <cell r="K635">
            <v>135244</v>
          </cell>
        </row>
        <row r="637">
          <cell r="B637" t="str">
            <v>소계</v>
          </cell>
          <cell r="D637" t="str">
            <v>제84호표</v>
          </cell>
          <cell r="H637">
            <v>800000</v>
          </cell>
          <cell r="J637">
            <v>135244</v>
          </cell>
          <cell r="K637">
            <v>935244</v>
          </cell>
        </row>
        <row r="640">
          <cell r="A640" t="str">
            <v>제85호표</v>
          </cell>
          <cell r="B640" t="str">
            <v>LED 포인트조명 컨트롤제작설치</v>
          </cell>
          <cell r="C640" t="str">
            <v>컨트롤러(16채널)</v>
          </cell>
          <cell r="E640" t="str">
            <v>set</v>
          </cell>
        </row>
        <row r="642">
          <cell r="B642" t="str">
            <v>박물관용led 램프</v>
          </cell>
          <cell r="C642" t="str">
            <v>컨트롤러(16채널)</v>
          </cell>
          <cell r="D642" t="str">
            <v>박물관용led램프컨트롤러(16채널)set</v>
          </cell>
          <cell r="E642" t="str">
            <v>set</v>
          </cell>
          <cell r="F642">
            <v>1</v>
          </cell>
          <cell r="G642">
            <v>650000</v>
          </cell>
          <cell r="H642">
            <v>650000</v>
          </cell>
          <cell r="I642">
            <v>0</v>
          </cell>
          <cell r="J642">
            <v>0</v>
          </cell>
          <cell r="K642">
            <v>650000</v>
          </cell>
        </row>
        <row r="643">
          <cell r="B643" t="str">
            <v>내선전공</v>
          </cell>
          <cell r="D643" t="str">
            <v>내선전공인</v>
          </cell>
          <cell r="E643" t="str">
            <v>인</v>
          </cell>
          <cell r="F643">
            <v>0.4</v>
          </cell>
          <cell r="G643">
            <v>0</v>
          </cell>
          <cell r="H643">
            <v>0</v>
          </cell>
          <cell r="I643">
            <v>225408</v>
          </cell>
          <cell r="J643">
            <v>90163</v>
          </cell>
          <cell r="K643">
            <v>90163</v>
          </cell>
        </row>
        <row r="645">
          <cell r="B645" t="str">
            <v>소계</v>
          </cell>
          <cell r="D645" t="str">
            <v>제85호표</v>
          </cell>
          <cell r="H645">
            <v>650000</v>
          </cell>
          <cell r="J645">
            <v>90163</v>
          </cell>
          <cell r="K645">
            <v>740163</v>
          </cell>
        </row>
        <row r="648">
          <cell r="A648" t="str">
            <v>제86호표</v>
          </cell>
          <cell r="B648" t="str">
            <v>LED 포인트조명 컨트롤제작설치</v>
          </cell>
          <cell r="C648" t="str">
            <v>컨트롤러(8채널)</v>
          </cell>
          <cell r="E648" t="str">
            <v>set</v>
          </cell>
        </row>
        <row r="650">
          <cell r="B650" t="str">
            <v>박물관용led 램프</v>
          </cell>
          <cell r="C650" t="str">
            <v>컨트롤러(8채널)</v>
          </cell>
          <cell r="D650" t="str">
            <v>박물관용led램프컨트롤러(8채널)set</v>
          </cell>
          <cell r="E650" t="str">
            <v>set</v>
          </cell>
          <cell r="F650">
            <v>1</v>
          </cell>
          <cell r="G650">
            <v>600000</v>
          </cell>
          <cell r="H650">
            <v>600000</v>
          </cell>
          <cell r="I650">
            <v>0</v>
          </cell>
          <cell r="J650">
            <v>0</v>
          </cell>
          <cell r="K650">
            <v>600000</v>
          </cell>
        </row>
        <row r="651">
          <cell r="B651" t="str">
            <v>내선전공</v>
          </cell>
          <cell r="D651" t="str">
            <v>내선전공인</v>
          </cell>
          <cell r="E651" t="str">
            <v>인</v>
          </cell>
          <cell r="F651">
            <v>0.4</v>
          </cell>
          <cell r="G651">
            <v>0</v>
          </cell>
          <cell r="H651">
            <v>0</v>
          </cell>
          <cell r="I651">
            <v>225408</v>
          </cell>
          <cell r="J651">
            <v>90163</v>
          </cell>
          <cell r="K651">
            <v>90163</v>
          </cell>
        </row>
        <row r="653">
          <cell r="B653" t="str">
            <v>소계</v>
          </cell>
          <cell r="D653" t="str">
            <v>제86호표</v>
          </cell>
          <cell r="H653">
            <v>600000</v>
          </cell>
          <cell r="J653">
            <v>90163</v>
          </cell>
          <cell r="K653">
            <v>690163</v>
          </cell>
        </row>
        <row r="656">
          <cell r="A656" t="str">
            <v>제87호표</v>
          </cell>
          <cell r="B656" t="str">
            <v>LED bar조명 컨트롤제작설치</v>
          </cell>
          <cell r="C656" t="str">
            <v>컨트롤러</v>
          </cell>
          <cell r="E656" t="str">
            <v>set</v>
          </cell>
        </row>
        <row r="658">
          <cell r="B658" t="str">
            <v>박물관용led BAR</v>
          </cell>
          <cell r="C658" t="str">
            <v>컨트롤러</v>
          </cell>
          <cell r="D658" t="str">
            <v>박물관용ledBAR컨트롤러set</v>
          </cell>
          <cell r="E658" t="str">
            <v>set</v>
          </cell>
          <cell r="F658">
            <v>1</v>
          </cell>
          <cell r="G658">
            <v>400000</v>
          </cell>
          <cell r="H658">
            <v>400000</v>
          </cell>
          <cell r="I658">
            <v>0</v>
          </cell>
          <cell r="J658">
            <v>0</v>
          </cell>
          <cell r="K658">
            <v>400000</v>
          </cell>
        </row>
        <row r="659">
          <cell r="B659" t="str">
            <v>LED 파워컨트롤러</v>
          </cell>
          <cell r="C659" t="str">
            <v>SMPS</v>
          </cell>
          <cell r="D659" t="str">
            <v>LED파워컨트롤러SMPSEA</v>
          </cell>
          <cell r="E659" t="str">
            <v>EA</v>
          </cell>
          <cell r="F659">
            <v>1</v>
          </cell>
          <cell r="G659">
            <v>130000</v>
          </cell>
          <cell r="H659">
            <v>130000</v>
          </cell>
          <cell r="I659">
            <v>0</v>
          </cell>
          <cell r="J659">
            <v>0</v>
          </cell>
          <cell r="K659">
            <v>130000</v>
          </cell>
        </row>
        <row r="660">
          <cell r="B660" t="str">
            <v>내선전공</v>
          </cell>
          <cell r="D660" t="str">
            <v>내선전공인</v>
          </cell>
          <cell r="E660" t="str">
            <v>인</v>
          </cell>
          <cell r="F660">
            <v>0.5</v>
          </cell>
          <cell r="G660">
            <v>0</v>
          </cell>
          <cell r="H660">
            <v>0</v>
          </cell>
          <cell r="I660">
            <v>225408</v>
          </cell>
          <cell r="J660">
            <v>112704</v>
          </cell>
          <cell r="K660">
            <v>112704</v>
          </cell>
        </row>
        <row r="662">
          <cell r="B662" t="str">
            <v>소계</v>
          </cell>
          <cell r="D662" t="str">
            <v>제87호표</v>
          </cell>
          <cell r="H662">
            <v>530000</v>
          </cell>
          <cell r="J662">
            <v>112704</v>
          </cell>
          <cell r="K662">
            <v>642704</v>
          </cell>
        </row>
        <row r="665">
          <cell r="A665" t="str">
            <v>제88호표</v>
          </cell>
          <cell r="B665" t="str">
            <v>피아노경첩 제작설치</v>
          </cell>
          <cell r="E665" t="str">
            <v>M</v>
          </cell>
        </row>
        <row r="667">
          <cell r="B667" t="str">
            <v>피아노경첩</v>
          </cell>
          <cell r="D667" t="str">
            <v>피아노경첩M</v>
          </cell>
          <cell r="E667" t="str">
            <v>M</v>
          </cell>
          <cell r="F667">
            <v>1.05</v>
          </cell>
          <cell r="G667">
            <v>12000</v>
          </cell>
          <cell r="H667">
            <v>12600</v>
          </cell>
          <cell r="I667">
            <v>0</v>
          </cell>
          <cell r="J667">
            <v>0</v>
          </cell>
          <cell r="K667">
            <v>12600</v>
          </cell>
        </row>
        <row r="668">
          <cell r="B668" t="str">
            <v>절단가공,용접제작</v>
          </cell>
          <cell r="D668" t="str">
            <v>절단가공,용접제작M</v>
          </cell>
          <cell r="E668" t="str">
            <v>M</v>
          </cell>
          <cell r="F668">
            <v>1</v>
          </cell>
          <cell r="G668">
            <v>30</v>
          </cell>
          <cell r="H668">
            <v>30</v>
          </cell>
          <cell r="I668">
            <v>2160</v>
          </cell>
          <cell r="J668">
            <v>2160</v>
          </cell>
          <cell r="K668">
            <v>2190</v>
          </cell>
        </row>
        <row r="669">
          <cell r="B669" t="str">
            <v>절단원</v>
          </cell>
          <cell r="D669" t="str">
            <v>절단원인</v>
          </cell>
          <cell r="E669" t="str">
            <v>인</v>
          </cell>
          <cell r="F669">
            <v>0.1</v>
          </cell>
          <cell r="G669">
            <v>0</v>
          </cell>
          <cell r="H669">
            <v>0</v>
          </cell>
          <cell r="I669">
            <v>88131</v>
          </cell>
          <cell r="J669">
            <v>8813</v>
          </cell>
          <cell r="K669">
            <v>8813</v>
          </cell>
        </row>
        <row r="670">
          <cell r="B670" t="str">
            <v>소계</v>
          </cell>
          <cell r="D670" t="str">
            <v>제88호표</v>
          </cell>
          <cell r="H670">
            <v>12630</v>
          </cell>
          <cell r="J670">
            <v>10973</v>
          </cell>
          <cell r="K670">
            <v>23603</v>
          </cell>
        </row>
        <row r="673">
          <cell r="A673" t="str">
            <v>제89호표</v>
          </cell>
          <cell r="B673" t="str">
            <v>LOCK SET 제작설치</v>
          </cell>
          <cell r="C673" t="str">
            <v>시건장치</v>
          </cell>
          <cell r="E673" t="str">
            <v>set</v>
          </cell>
        </row>
        <row r="675">
          <cell r="B675" t="str">
            <v>LOCK SET</v>
          </cell>
          <cell r="C675" t="str">
            <v>TWO PIN</v>
          </cell>
          <cell r="D675" t="str">
            <v>LOCKSETTWOPINEA</v>
          </cell>
          <cell r="E675" t="str">
            <v>EA</v>
          </cell>
          <cell r="F675">
            <v>1.05</v>
          </cell>
          <cell r="G675">
            <v>30000</v>
          </cell>
          <cell r="H675">
            <v>31500</v>
          </cell>
          <cell r="I675">
            <v>0</v>
          </cell>
          <cell r="J675">
            <v>0</v>
          </cell>
          <cell r="K675">
            <v>31500</v>
          </cell>
        </row>
        <row r="676">
          <cell r="B676" t="str">
            <v>LOCK SET보강</v>
          </cell>
          <cell r="D676" t="str">
            <v>LOCKSET보강EA</v>
          </cell>
          <cell r="E676" t="str">
            <v>EA</v>
          </cell>
          <cell r="F676">
            <v>1.05</v>
          </cell>
          <cell r="G676">
            <v>15000</v>
          </cell>
          <cell r="H676">
            <v>15750</v>
          </cell>
          <cell r="I676">
            <v>0</v>
          </cell>
          <cell r="J676">
            <v>0</v>
          </cell>
          <cell r="K676">
            <v>15750</v>
          </cell>
        </row>
        <row r="677">
          <cell r="B677" t="str">
            <v>철판</v>
          </cell>
          <cell r="C677" t="str">
            <v>T1.6 GALV.</v>
          </cell>
          <cell r="D677" t="str">
            <v>철판T1.6GALV.M2</v>
          </cell>
          <cell r="E677" t="str">
            <v>M2</v>
          </cell>
          <cell r="F677">
            <v>0.03</v>
          </cell>
          <cell r="G677">
            <v>12232</v>
          </cell>
          <cell r="H677">
            <v>366</v>
          </cell>
          <cell r="I677">
            <v>0</v>
          </cell>
          <cell r="J677">
            <v>0</v>
          </cell>
          <cell r="K677">
            <v>366</v>
          </cell>
        </row>
        <row r="678">
          <cell r="B678" t="str">
            <v>잡철물설치</v>
          </cell>
          <cell r="C678" t="str">
            <v>T1.6 GALV.</v>
          </cell>
          <cell r="D678" t="str">
            <v>잡철물설치T1.6GALV.M2</v>
          </cell>
          <cell r="E678" t="str">
            <v>M2</v>
          </cell>
          <cell r="F678">
            <v>0.03</v>
          </cell>
          <cell r="G678">
            <v>39831</v>
          </cell>
          <cell r="H678">
            <v>1194</v>
          </cell>
          <cell r="I678">
            <v>54417</v>
          </cell>
          <cell r="J678">
            <v>1632</v>
          </cell>
          <cell r="K678">
            <v>2826</v>
          </cell>
        </row>
        <row r="679">
          <cell r="B679" t="str">
            <v>절단가공,용접제작</v>
          </cell>
          <cell r="D679" t="str">
            <v>절단가공,용접제작M</v>
          </cell>
          <cell r="E679" t="str">
            <v>M</v>
          </cell>
          <cell r="F679">
            <v>1</v>
          </cell>
          <cell r="G679">
            <v>30</v>
          </cell>
          <cell r="H679">
            <v>30</v>
          </cell>
          <cell r="I679">
            <v>2160</v>
          </cell>
          <cell r="J679">
            <v>2160</v>
          </cell>
          <cell r="K679">
            <v>2190</v>
          </cell>
        </row>
        <row r="680">
          <cell r="B680" t="str">
            <v>절단원</v>
          </cell>
          <cell r="D680" t="str">
            <v>절단원인</v>
          </cell>
          <cell r="E680" t="str">
            <v>인</v>
          </cell>
          <cell r="F680">
            <v>0.1</v>
          </cell>
          <cell r="G680">
            <v>0</v>
          </cell>
          <cell r="H680">
            <v>0</v>
          </cell>
          <cell r="I680">
            <v>88131</v>
          </cell>
          <cell r="J680">
            <v>8813</v>
          </cell>
          <cell r="K680">
            <v>8813</v>
          </cell>
        </row>
        <row r="681">
          <cell r="B681" t="str">
            <v>소계</v>
          </cell>
          <cell r="D681" t="str">
            <v>제89호표</v>
          </cell>
          <cell r="H681">
            <v>48840</v>
          </cell>
          <cell r="J681">
            <v>12605</v>
          </cell>
          <cell r="K681">
            <v>61445</v>
          </cell>
        </row>
        <row r="684">
          <cell r="A684" t="str">
            <v>제90호표</v>
          </cell>
          <cell r="B684" t="str">
            <v>유압쇽업쇼바 제작설치</v>
          </cell>
          <cell r="C684" t="str">
            <v>20kg</v>
          </cell>
          <cell r="E684" t="str">
            <v>set</v>
          </cell>
        </row>
        <row r="686">
          <cell r="B686" t="str">
            <v>유압쇽업쇼바</v>
          </cell>
          <cell r="C686" t="str">
            <v>20kg</v>
          </cell>
          <cell r="D686" t="str">
            <v>유압쇽업쇼바20kgSET</v>
          </cell>
          <cell r="E686" t="str">
            <v>SET</v>
          </cell>
          <cell r="F686">
            <v>1</v>
          </cell>
          <cell r="G686">
            <v>20000</v>
          </cell>
          <cell r="H686">
            <v>20000</v>
          </cell>
          <cell r="I686">
            <v>0</v>
          </cell>
          <cell r="J686">
            <v>0</v>
          </cell>
          <cell r="K686">
            <v>20000</v>
          </cell>
        </row>
        <row r="687">
          <cell r="B687" t="str">
            <v>유압쇽업쇼바 보강</v>
          </cell>
          <cell r="C687" t="str">
            <v>T4.5mm 레이져 가공</v>
          </cell>
          <cell r="D687" t="str">
            <v>유압쇽업쇼바보강T4.5mm레이져가공ea</v>
          </cell>
          <cell r="E687" t="str">
            <v>ea</v>
          </cell>
          <cell r="F687">
            <v>2</v>
          </cell>
          <cell r="G687">
            <v>9000</v>
          </cell>
          <cell r="H687">
            <v>18000</v>
          </cell>
          <cell r="I687">
            <v>0</v>
          </cell>
          <cell r="J687">
            <v>0</v>
          </cell>
          <cell r="K687">
            <v>18000</v>
          </cell>
        </row>
        <row r="688">
          <cell r="B688" t="str">
            <v>잡철물설치</v>
          </cell>
          <cell r="C688" t="str">
            <v>T1.6 GALV.</v>
          </cell>
          <cell r="D688" t="str">
            <v>잡철물설치T1.6GALV.M2</v>
          </cell>
          <cell r="E688" t="str">
            <v>M2</v>
          </cell>
          <cell r="F688">
            <v>0.03</v>
          </cell>
          <cell r="G688">
            <v>39831</v>
          </cell>
          <cell r="H688">
            <v>1194</v>
          </cell>
          <cell r="I688">
            <v>54417</v>
          </cell>
          <cell r="J688">
            <v>1632</v>
          </cell>
          <cell r="K688">
            <v>2826</v>
          </cell>
        </row>
        <row r="689">
          <cell r="B689" t="str">
            <v>절단가공,용접제작</v>
          </cell>
          <cell r="D689" t="str">
            <v>절단가공,용접제작M</v>
          </cell>
          <cell r="E689" t="str">
            <v>M</v>
          </cell>
          <cell r="F689">
            <v>1</v>
          </cell>
          <cell r="G689">
            <v>30</v>
          </cell>
          <cell r="H689">
            <v>30</v>
          </cell>
          <cell r="I689">
            <v>2160</v>
          </cell>
          <cell r="J689">
            <v>2160</v>
          </cell>
          <cell r="K689">
            <v>2190</v>
          </cell>
        </row>
        <row r="690">
          <cell r="B690" t="str">
            <v>소계</v>
          </cell>
          <cell r="D690" t="str">
            <v>제90호표</v>
          </cell>
          <cell r="H690">
            <v>39224</v>
          </cell>
          <cell r="J690">
            <v>3792</v>
          </cell>
          <cell r="K690">
            <v>43016</v>
          </cell>
        </row>
        <row r="693">
          <cell r="A693" t="str">
            <v>제91호표</v>
          </cell>
          <cell r="B693" t="str">
            <v>유압쇽업쇼바 제작설치</v>
          </cell>
          <cell r="C693" t="str">
            <v>40kg</v>
          </cell>
          <cell r="E693" t="str">
            <v>set</v>
          </cell>
        </row>
        <row r="695">
          <cell r="B695" t="str">
            <v>유압쇽업쇼바</v>
          </cell>
          <cell r="C695" t="str">
            <v>40kg</v>
          </cell>
          <cell r="D695" t="str">
            <v>유압쇽업쇼바40kgSET</v>
          </cell>
          <cell r="E695" t="str">
            <v>SET</v>
          </cell>
          <cell r="F695">
            <v>1</v>
          </cell>
          <cell r="G695">
            <v>30000</v>
          </cell>
          <cell r="H695">
            <v>30000</v>
          </cell>
          <cell r="I695">
            <v>0</v>
          </cell>
          <cell r="J695">
            <v>0</v>
          </cell>
          <cell r="K695">
            <v>30000</v>
          </cell>
        </row>
        <row r="696">
          <cell r="B696" t="str">
            <v>유압쇽업쇼바 보강</v>
          </cell>
          <cell r="C696" t="str">
            <v>T4.5mm 레이져 가공</v>
          </cell>
          <cell r="D696" t="str">
            <v>유압쇽업쇼바보강T4.5mm레이져가공ea</v>
          </cell>
          <cell r="E696" t="str">
            <v>ea</v>
          </cell>
          <cell r="F696">
            <v>2</v>
          </cell>
          <cell r="G696">
            <v>9000</v>
          </cell>
          <cell r="H696">
            <v>18000</v>
          </cell>
          <cell r="I696">
            <v>0</v>
          </cell>
          <cell r="J696">
            <v>0</v>
          </cell>
          <cell r="K696">
            <v>18000</v>
          </cell>
        </row>
        <row r="697">
          <cell r="B697" t="str">
            <v>잡철물설치</v>
          </cell>
          <cell r="C697" t="str">
            <v>T1.6 GALV.</v>
          </cell>
          <cell r="D697" t="str">
            <v>잡철물설치T1.6GALV.M2</v>
          </cell>
          <cell r="E697" t="str">
            <v>M2</v>
          </cell>
          <cell r="F697">
            <v>0.03</v>
          </cell>
          <cell r="G697">
            <v>39831</v>
          </cell>
          <cell r="H697">
            <v>1194</v>
          </cell>
          <cell r="I697">
            <v>54417</v>
          </cell>
          <cell r="J697">
            <v>1632</v>
          </cell>
          <cell r="K697">
            <v>2826</v>
          </cell>
        </row>
        <row r="698">
          <cell r="B698" t="str">
            <v>절단가공,용접제작</v>
          </cell>
          <cell r="D698" t="str">
            <v>절단가공,용접제작M</v>
          </cell>
          <cell r="E698" t="str">
            <v>M</v>
          </cell>
          <cell r="F698">
            <v>1</v>
          </cell>
          <cell r="G698">
            <v>30</v>
          </cell>
          <cell r="H698">
            <v>30</v>
          </cell>
          <cell r="I698">
            <v>2160</v>
          </cell>
          <cell r="J698">
            <v>2160</v>
          </cell>
          <cell r="K698">
            <v>2190</v>
          </cell>
        </row>
        <row r="699">
          <cell r="B699" t="str">
            <v>소계</v>
          </cell>
          <cell r="D699" t="str">
            <v>제91호표</v>
          </cell>
          <cell r="H699">
            <v>49224</v>
          </cell>
          <cell r="J699">
            <v>3792</v>
          </cell>
          <cell r="K699">
            <v>53016</v>
          </cell>
        </row>
        <row r="702">
          <cell r="A702" t="str">
            <v>제92호표</v>
          </cell>
          <cell r="B702" t="str">
            <v>AL.패킹바 제작설치</v>
          </cell>
          <cell r="E702" t="str">
            <v>M</v>
          </cell>
        </row>
        <row r="704">
          <cell r="B704" t="str">
            <v>AL.패킹바</v>
          </cell>
          <cell r="D704" t="str">
            <v>AL.패킹바M</v>
          </cell>
          <cell r="E704" t="str">
            <v>M</v>
          </cell>
          <cell r="F704">
            <v>1.05</v>
          </cell>
          <cell r="G704">
            <v>5000</v>
          </cell>
          <cell r="H704">
            <v>5250</v>
          </cell>
          <cell r="I704">
            <v>0</v>
          </cell>
          <cell r="J704">
            <v>0</v>
          </cell>
          <cell r="K704">
            <v>5250</v>
          </cell>
        </row>
        <row r="705">
          <cell r="B705" t="str">
            <v>특별인부</v>
          </cell>
          <cell r="D705" t="str">
            <v>특별인부인</v>
          </cell>
          <cell r="E705" t="str">
            <v>인</v>
          </cell>
          <cell r="F705">
            <v>1.4999999999999999E-2</v>
          </cell>
          <cell r="G705">
            <v>0</v>
          </cell>
          <cell r="H705">
            <v>0</v>
          </cell>
          <cell r="I705">
            <v>152019</v>
          </cell>
          <cell r="J705">
            <v>2280</v>
          </cell>
          <cell r="K705">
            <v>2280</v>
          </cell>
        </row>
        <row r="706">
          <cell r="B706" t="str">
            <v>보통인부</v>
          </cell>
          <cell r="D706" t="str">
            <v>보통인부인</v>
          </cell>
          <cell r="E706" t="str">
            <v>인</v>
          </cell>
          <cell r="F706">
            <v>0.01</v>
          </cell>
          <cell r="G706">
            <v>0</v>
          </cell>
          <cell r="H706">
            <v>0</v>
          </cell>
          <cell r="I706">
            <v>125427</v>
          </cell>
          <cell r="J706">
            <v>1254</v>
          </cell>
          <cell r="K706">
            <v>1254</v>
          </cell>
        </row>
        <row r="707">
          <cell r="B707" t="str">
            <v>소계</v>
          </cell>
          <cell r="D707" t="str">
            <v>제92호표</v>
          </cell>
          <cell r="H707">
            <v>5250</v>
          </cell>
          <cell r="J707">
            <v>3534</v>
          </cell>
          <cell r="K707">
            <v>8784</v>
          </cell>
        </row>
        <row r="710">
          <cell r="A710" t="str">
            <v>제93호표</v>
          </cell>
          <cell r="B710" t="str">
            <v>밀폐패킹 설치</v>
          </cell>
          <cell r="C710" t="str">
            <v>소형</v>
          </cell>
          <cell r="E710" t="str">
            <v>M</v>
          </cell>
        </row>
        <row r="712">
          <cell r="B712" t="str">
            <v>밀폐패킹</v>
          </cell>
          <cell r="C712" t="str">
            <v>소형</v>
          </cell>
          <cell r="D712" t="str">
            <v>밀폐패킹소형M</v>
          </cell>
          <cell r="E712" t="str">
            <v>M</v>
          </cell>
          <cell r="F712">
            <v>1.05</v>
          </cell>
          <cell r="G712">
            <v>6000</v>
          </cell>
          <cell r="H712">
            <v>6300</v>
          </cell>
          <cell r="I712">
            <v>0</v>
          </cell>
          <cell r="J712">
            <v>0</v>
          </cell>
          <cell r="K712">
            <v>6300</v>
          </cell>
        </row>
        <row r="713">
          <cell r="B713" t="str">
            <v>특별인부</v>
          </cell>
          <cell r="D713" t="str">
            <v>특별인부인</v>
          </cell>
          <cell r="E713" t="str">
            <v>인</v>
          </cell>
          <cell r="F713">
            <v>0.01</v>
          </cell>
          <cell r="G713">
            <v>0</v>
          </cell>
          <cell r="H713">
            <v>0</v>
          </cell>
          <cell r="I713">
            <v>152019</v>
          </cell>
          <cell r="J713">
            <v>1520</v>
          </cell>
          <cell r="K713">
            <v>1520</v>
          </cell>
        </row>
        <row r="714">
          <cell r="B714" t="str">
            <v>보통인부</v>
          </cell>
          <cell r="D714" t="str">
            <v>보통인부인</v>
          </cell>
          <cell r="E714" t="str">
            <v>인</v>
          </cell>
          <cell r="F714">
            <v>7.0000000000000001E-3</v>
          </cell>
          <cell r="G714">
            <v>0</v>
          </cell>
          <cell r="H714">
            <v>0</v>
          </cell>
          <cell r="I714">
            <v>125427</v>
          </cell>
          <cell r="J714">
            <v>877</v>
          </cell>
          <cell r="K714">
            <v>877</v>
          </cell>
        </row>
        <row r="715">
          <cell r="B715" t="str">
            <v>소계</v>
          </cell>
          <cell r="D715" t="str">
            <v>제93호표</v>
          </cell>
          <cell r="H715">
            <v>6300</v>
          </cell>
          <cell r="J715">
            <v>2397</v>
          </cell>
          <cell r="K715">
            <v>8697</v>
          </cell>
        </row>
        <row r="718">
          <cell r="A718" t="str">
            <v>제94호표</v>
          </cell>
          <cell r="B718" t="str">
            <v>밀폐패킹 설치</v>
          </cell>
          <cell r="C718" t="str">
            <v>대형</v>
          </cell>
          <cell r="E718" t="str">
            <v>M</v>
          </cell>
        </row>
        <row r="720">
          <cell r="B720" t="str">
            <v>밀폐패킹</v>
          </cell>
          <cell r="C720" t="str">
            <v>대형</v>
          </cell>
          <cell r="D720" t="str">
            <v>밀폐패킹대형M</v>
          </cell>
          <cell r="E720" t="str">
            <v>M</v>
          </cell>
          <cell r="F720">
            <v>1.05</v>
          </cell>
          <cell r="G720">
            <v>9000</v>
          </cell>
          <cell r="H720">
            <v>9450</v>
          </cell>
          <cell r="I720">
            <v>0</v>
          </cell>
          <cell r="J720">
            <v>0</v>
          </cell>
          <cell r="K720">
            <v>9450</v>
          </cell>
        </row>
        <row r="721">
          <cell r="B721" t="str">
            <v>특별인부</v>
          </cell>
          <cell r="D721" t="str">
            <v>특별인부인</v>
          </cell>
          <cell r="E721" t="str">
            <v>인</v>
          </cell>
          <cell r="F721">
            <v>0.01</v>
          </cell>
          <cell r="G721">
            <v>0</v>
          </cell>
          <cell r="H721">
            <v>0</v>
          </cell>
          <cell r="I721">
            <v>152019</v>
          </cell>
          <cell r="J721">
            <v>1520</v>
          </cell>
          <cell r="K721">
            <v>1520</v>
          </cell>
        </row>
        <row r="722">
          <cell r="B722" t="str">
            <v>보통인부</v>
          </cell>
          <cell r="D722" t="str">
            <v>보통인부인</v>
          </cell>
          <cell r="E722" t="str">
            <v>인</v>
          </cell>
          <cell r="F722">
            <v>7.0000000000000001E-3</v>
          </cell>
          <cell r="G722">
            <v>0</v>
          </cell>
          <cell r="H722">
            <v>0</v>
          </cell>
          <cell r="I722">
            <v>125427</v>
          </cell>
          <cell r="J722">
            <v>877</v>
          </cell>
          <cell r="K722">
            <v>877</v>
          </cell>
        </row>
        <row r="723">
          <cell r="B723" t="str">
            <v>소계</v>
          </cell>
          <cell r="D723" t="str">
            <v>제94호표</v>
          </cell>
          <cell r="H723">
            <v>9450</v>
          </cell>
          <cell r="J723">
            <v>2397</v>
          </cell>
          <cell r="K723">
            <v>11847</v>
          </cell>
        </row>
        <row r="726">
          <cell r="A726" t="str">
            <v>제95호표</v>
          </cell>
          <cell r="B726" t="str">
            <v>AL.사출유리후렘 제작설치</v>
          </cell>
          <cell r="C726" t="str">
            <v>벽부장(상부)</v>
          </cell>
          <cell r="E726" t="str">
            <v>M</v>
          </cell>
        </row>
        <row r="728">
          <cell r="B728" t="str">
            <v>AL.사출유리후렘성형가공</v>
          </cell>
          <cell r="C728" t="str">
            <v>벽부장(상부)205</v>
          </cell>
          <cell r="D728" t="str">
            <v>AL.사출유리후렘성형가공벽부장(상부)205M</v>
          </cell>
          <cell r="E728" t="str">
            <v>M</v>
          </cell>
          <cell r="F728">
            <v>1.05</v>
          </cell>
          <cell r="G728">
            <v>200000</v>
          </cell>
          <cell r="H728">
            <v>210000</v>
          </cell>
          <cell r="I728">
            <v>0</v>
          </cell>
          <cell r="J728">
            <v>0</v>
          </cell>
          <cell r="K728">
            <v>210000</v>
          </cell>
        </row>
        <row r="729">
          <cell r="B729" t="str">
            <v>특별인부</v>
          </cell>
          <cell r="D729" t="str">
            <v>특별인부인</v>
          </cell>
          <cell r="E729" t="str">
            <v>인</v>
          </cell>
          <cell r="F729">
            <v>0.3</v>
          </cell>
          <cell r="G729">
            <v>0</v>
          </cell>
          <cell r="H729">
            <v>0</v>
          </cell>
          <cell r="I729">
            <v>152019</v>
          </cell>
          <cell r="J729">
            <v>45605</v>
          </cell>
          <cell r="K729">
            <v>45605</v>
          </cell>
        </row>
        <row r="730">
          <cell r="B730" t="str">
            <v>보통인부</v>
          </cell>
          <cell r="D730" t="str">
            <v>보통인부인</v>
          </cell>
          <cell r="E730" t="str">
            <v>인</v>
          </cell>
          <cell r="F730">
            <v>0.06</v>
          </cell>
          <cell r="G730">
            <v>0</v>
          </cell>
          <cell r="H730">
            <v>0</v>
          </cell>
          <cell r="I730">
            <v>125427</v>
          </cell>
          <cell r="J730">
            <v>7525</v>
          </cell>
          <cell r="K730">
            <v>7525</v>
          </cell>
        </row>
        <row r="731">
          <cell r="B731" t="str">
            <v>소계</v>
          </cell>
          <cell r="D731" t="str">
            <v>제95호표</v>
          </cell>
          <cell r="H731">
            <v>210000</v>
          </cell>
          <cell r="J731">
            <v>53130</v>
          </cell>
          <cell r="K731">
            <v>263130</v>
          </cell>
        </row>
        <row r="734">
          <cell r="A734" t="str">
            <v>제96호표</v>
          </cell>
          <cell r="B734" t="str">
            <v>AL.사출유리후렘 제작설치</v>
          </cell>
          <cell r="C734" t="str">
            <v>벽부장(하부)</v>
          </cell>
          <cell r="E734" t="str">
            <v>M</v>
          </cell>
        </row>
        <row r="736">
          <cell r="B736" t="str">
            <v>AL.사출유리후렘성형가공</v>
          </cell>
          <cell r="C736" t="str">
            <v>벽부장(하부)117</v>
          </cell>
          <cell r="D736" t="str">
            <v>AL.사출유리후렘성형가공벽부장(하부)117M</v>
          </cell>
          <cell r="E736" t="str">
            <v>M</v>
          </cell>
          <cell r="F736">
            <v>1.05</v>
          </cell>
          <cell r="G736">
            <v>120000</v>
          </cell>
          <cell r="H736">
            <v>126000</v>
          </cell>
          <cell r="I736">
            <v>0</v>
          </cell>
          <cell r="J736">
            <v>0</v>
          </cell>
          <cell r="K736">
            <v>126000</v>
          </cell>
        </row>
        <row r="737">
          <cell r="B737" t="str">
            <v>특별인부</v>
          </cell>
          <cell r="D737" t="str">
            <v>특별인부인</v>
          </cell>
          <cell r="E737" t="str">
            <v>인</v>
          </cell>
          <cell r="F737">
            <v>0.2</v>
          </cell>
          <cell r="G737">
            <v>0</v>
          </cell>
          <cell r="H737">
            <v>0</v>
          </cell>
          <cell r="I737">
            <v>152019</v>
          </cell>
          <cell r="J737">
            <v>30403</v>
          </cell>
          <cell r="K737">
            <v>30403</v>
          </cell>
        </row>
        <row r="738">
          <cell r="B738" t="str">
            <v>보통인부</v>
          </cell>
          <cell r="D738" t="str">
            <v>보통인부인</v>
          </cell>
          <cell r="E738" t="str">
            <v>인</v>
          </cell>
          <cell r="F738">
            <v>0.04</v>
          </cell>
          <cell r="G738">
            <v>0</v>
          </cell>
          <cell r="H738">
            <v>0</v>
          </cell>
          <cell r="I738">
            <v>125427</v>
          </cell>
          <cell r="J738">
            <v>5017</v>
          </cell>
          <cell r="K738">
            <v>5017</v>
          </cell>
        </row>
        <row r="739">
          <cell r="B739" t="str">
            <v>소계</v>
          </cell>
          <cell r="D739" t="str">
            <v>제96호표</v>
          </cell>
          <cell r="H739">
            <v>126000</v>
          </cell>
          <cell r="J739">
            <v>35420</v>
          </cell>
          <cell r="K739">
            <v>161420</v>
          </cell>
        </row>
        <row r="742">
          <cell r="A742" t="str">
            <v>제97호표</v>
          </cell>
          <cell r="B742" t="str">
            <v>AL.사출유리후렘 제작설치</v>
          </cell>
          <cell r="C742" t="str">
            <v>독립장(상부)</v>
          </cell>
          <cell r="E742" t="str">
            <v>M</v>
          </cell>
        </row>
        <row r="744">
          <cell r="B744" t="str">
            <v>AL.사출유리후렘성형가공</v>
          </cell>
          <cell r="C744" t="str">
            <v>독립장(상부)150</v>
          </cell>
          <cell r="D744" t="str">
            <v>AL.사출유리후렘성형가공독립장(상부)150M</v>
          </cell>
          <cell r="E744" t="str">
            <v>M</v>
          </cell>
          <cell r="F744">
            <v>1.05</v>
          </cell>
          <cell r="G744">
            <v>150000</v>
          </cell>
          <cell r="H744">
            <v>157500</v>
          </cell>
          <cell r="I744">
            <v>0</v>
          </cell>
          <cell r="J744">
            <v>0</v>
          </cell>
          <cell r="K744">
            <v>157500</v>
          </cell>
        </row>
        <row r="745">
          <cell r="B745" t="str">
            <v>특별인부</v>
          </cell>
          <cell r="D745" t="str">
            <v>특별인부인</v>
          </cell>
          <cell r="E745" t="str">
            <v>인</v>
          </cell>
          <cell r="F745">
            <v>0.3</v>
          </cell>
          <cell r="G745">
            <v>0</v>
          </cell>
          <cell r="H745">
            <v>0</v>
          </cell>
          <cell r="I745">
            <v>152019</v>
          </cell>
          <cell r="J745">
            <v>45605</v>
          </cell>
          <cell r="K745">
            <v>45605</v>
          </cell>
        </row>
        <row r="746">
          <cell r="B746" t="str">
            <v>보통인부</v>
          </cell>
          <cell r="D746" t="str">
            <v>보통인부인</v>
          </cell>
          <cell r="E746" t="str">
            <v>인</v>
          </cell>
          <cell r="F746">
            <v>0.06</v>
          </cell>
          <cell r="G746">
            <v>0</v>
          </cell>
          <cell r="H746">
            <v>0</v>
          </cell>
          <cell r="I746">
            <v>125427</v>
          </cell>
          <cell r="J746">
            <v>7525</v>
          </cell>
          <cell r="K746">
            <v>7525</v>
          </cell>
        </row>
        <row r="747">
          <cell r="B747" t="str">
            <v>소계</v>
          </cell>
          <cell r="D747" t="str">
            <v>제97호표</v>
          </cell>
          <cell r="H747">
            <v>157500</v>
          </cell>
          <cell r="J747">
            <v>53130</v>
          </cell>
          <cell r="K747">
            <v>210630</v>
          </cell>
        </row>
        <row r="750">
          <cell r="A750" t="str">
            <v>제98호표</v>
          </cell>
          <cell r="B750" t="str">
            <v>AL.사출유리후렘 제작설치</v>
          </cell>
          <cell r="C750" t="str">
            <v>독립장(하부)</v>
          </cell>
          <cell r="E750" t="str">
            <v>M</v>
          </cell>
        </row>
        <row r="752">
          <cell r="B752" t="str">
            <v>AL.사출유리후렘성형가공</v>
          </cell>
          <cell r="C752" t="str">
            <v>독립장(하부)103</v>
          </cell>
          <cell r="D752" t="str">
            <v>AL.사출유리후렘성형가공독립장(하부)103M</v>
          </cell>
          <cell r="E752" t="str">
            <v>M</v>
          </cell>
          <cell r="F752">
            <v>1.05</v>
          </cell>
          <cell r="G752">
            <v>110000</v>
          </cell>
          <cell r="H752">
            <v>115500</v>
          </cell>
          <cell r="I752">
            <v>0</v>
          </cell>
          <cell r="J752">
            <v>0</v>
          </cell>
          <cell r="K752">
            <v>115500</v>
          </cell>
        </row>
        <row r="753">
          <cell r="B753" t="str">
            <v>특별인부</v>
          </cell>
          <cell r="D753" t="str">
            <v>특별인부인</v>
          </cell>
          <cell r="E753" t="str">
            <v>인</v>
          </cell>
          <cell r="F753">
            <v>0.2</v>
          </cell>
          <cell r="G753">
            <v>0</v>
          </cell>
          <cell r="H753">
            <v>0</v>
          </cell>
          <cell r="I753">
            <v>152019</v>
          </cell>
          <cell r="J753">
            <v>30403</v>
          </cell>
          <cell r="K753">
            <v>30403</v>
          </cell>
        </row>
        <row r="754">
          <cell r="B754" t="str">
            <v>보통인부</v>
          </cell>
          <cell r="D754" t="str">
            <v>보통인부인</v>
          </cell>
          <cell r="E754" t="str">
            <v>인</v>
          </cell>
          <cell r="F754">
            <v>0.04</v>
          </cell>
          <cell r="G754">
            <v>0</v>
          </cell>
          <cell r="H754">
            <v>0</v>
          </cell>
          <cell r="I754">
            <v>125427</v>
          </cell>
          <cell r="J754">
            <v>5017</v>
          </cell>
          <cell r="K754">
            <v>5017</v>
          </cell>
        </row>
        <row r="755">
          <cell r="B755" t="str">
            <v>소계</v>
          </cell>
          <cell r="D755" t="str">
            <v>제98호표</v>
          </cell>
          <cell r="H755">
            <v>115500</v>
          </cell>
          <cell r="J755">
            <v>35420</v>
          </cell>
          <cell r="K755">
            <v>150920</v>
          </cell>
        </row>
        <row r="758">
          <cell r="A758" t="str">
            <v>제99호표</v>
          </cell>
          <cell r="B758" t="str">
            <v>AL.사출유리후렘 제작설치</v>
          </cell>
          <cell r="C758" t="str">
            <v>독립장(하부)</v>
          </cell>
          <cell r="E758" t="str">
            <v>M</v>
          </cell>
        </row>
        <row r="760">
          <cell r="B760" t="str">
            <v>AL.사출유리후렘성형가공</v>
          </cell>
          <cell r="C760" t="str">
            <v>독립장(하부)103</v>
          </cell>
          <cell r="D760" t="str">
            <v>AL.사출유리후렘성형가공독립장(하부)103M</v>
          </cell>
          <cell r="E760" t="str">
            <v>M</v>
          </cell>
          <cell r="F760">
            <v>1.05</v>
          </cell>
          <cell r="G760">
            <v>110000</v>
          </cell>
          <cell r="H760">
            <v>115500</v>
          </cell>
          <cell r="I760">
            <v>0</v>
          </cell>
          <cell r="J760">
            <v>0</v>
          </cell>
          <cell r="K760">
            <v>115500</v>
          </cell>
        </row>
        <row r="761">
          <cell r="B761" t="str">
            <v>특별인부</v>
          </cell>
          <cell r="D761" t="str">
            <v>특별인부인</v>
          </cell>
          <cell r="E761" t="str">
            <v>인</v>
          </cell>
          <cell r="F761">
            <v>0.08</v>
          </cell>
          <cell r="G761">
            <v>0</v>
          </cell>
          <cell r="H761">
            <v>0</v>
          </cell>
          <cell r="I761">
            <v>152019</v>
          </cell>
          <cell r="J761">
            <v>12161</v>
          </cell>
          <cell r="K761">
            <v>12161</v>
          </cell>
        </row>
        <row r="762">
          <cell r="B762" t="str">
            <v>보통인부</v>
          </cell>
          <cell r="D762" t="str">
            <v>보통인부인</v>
          </cell>
          <cell r="E762" t="str">
            <v>인</v>
          </cell>
          <cell r="F762">
            <v>0.01</v>
          </cell>
          <cell r="G762">
            <v>0</v>
          </cell>
          <cell r="H762">
            <v>0</v>
          </cell>
          <cell r="I762">
            <v>125427</v>
          </cell>
          <cell r="J762">
            <v>1254</v>
          </cell>
          <cell r="K762">
            <v>1254</v>
          </cell>
        </row>
        <row r="763">
          <cell r="B763" t="str">
            <v>소계</v>
          </cell>
          <cell r="D763" t="str">
            <v>제99호표</v>
          </cell>
          <cell r="H763">
            <v>115500</v>
          </cell>
          <cell r="J763">
            <v>13415</v>
          </cell>
          <cell r="K763">
            <v>128915</v>
          </cell>
        </row>
        <row r="766">
          <cell r="A766" t="str">
            <v>제100호표</v>
          </cell>
          <cell r="B766" t="str">
            <v>LM가이드시스템가공설치</v>
          </cell>
          <cell r="C766" t="str">
            <v>Ø25</v>
          </cell>
          <cell r="E766" t="str">
            <v>SET</v>
          </cell>
        </row>
        <row r="768">
          <cell r="B768" t="str">
            <v>LM가이드시스템</v>
          </cell>
          <cell r="C768" t="str">
            <v>Ø25</v>
          </cell>
          <cell r="D768" t="str">
            <v>LM가이드시스템Ø25SET</v>
          </cell>
          <cell r="E768" t="str">
            <v>SET</v>
          </cell>
          <cell r="F768">
            <v>1.05</v>
          </cell>
          <cell r="G768">
            <v>120000</v>
          </cell>
          <cell r="H768">
            <v>126000</v>
          </cell>
          <cell r="I768">
            <v>0</v>
          </cell>
          <cell r="J768">
            <v>0</v>
          </cell>
          <cell r="K768">
            <v>126000</v>
          </cell>
        </row>
        <row r="769">
          <cell r="B769" t="str">
            <v>LM가이드시스템 보강판</v>
          </cell>
          <cell r="C769" t="str">
            <v>T10mm 레이져 가공</v>
          </cell>
          <cell r="D769" t="str">
            <v>LM가이드시스템보강판T10mm레이져가공ea</v>
          </cell>
          <cell r="E769" t="str">
            <v>ea</v>
          </cell>
          <cell r="F769">
            <v>1</v>
          </cell>
          <cell r="G769">
            <v>18000</v>
          </cell>
          <cell r="H769">
            <v>18000</v>
          </cell>
          <cell r="I769">
            <v>0</v>
          </cell>
          <cell r="J769">
            <v>0</v>
          </cell>
          <cell r="K769">
            <v>18000</v>
          </cell>
        </row>
        <row r="770">
          <cell r="B770" t="str">
            <v>용접공</v>
          </cell>
          <cell r="D770" t="str">
            <v>용접공인</v>
          </cell>
          <cell r="E770" t="str">
            <v>인</v>
          </cell>
          <cell r="F770">
            <v>0.04</v>
          </cell>
          <cell r="G770">
            <v>0</v>
          </cell>
          <cell r="H770">
            <v>0</v>
          </cell>
          <cell r="I770">
            <v>198711</v>
          </cell>
          <cell r="J770">
            <v>7948</v>
          </cell>
          <cell r="K770">
            <v>7948</v>
          </cell>
        </row>
        <row r="771">
          <cell r="B771" t="str">
            <v>특별인부</v>
          </cell>
          <cell r="D771" t="str">
            <v>특별인부인</v>
          </cell>
          <cell r="E771" t="str">
            <v>인</v>
          </cell>
          <cell r="F771">
            <v>0.06</v>
          </cell>
          <cell r="G771">
            <v>0</v>
          </cell>
          <cell r="H771">
            <v>0</v>
          </cell>
          <cell r="I771">
            <v>152019</v>
          </cell>
          <cell r="J771">
            <v>9121</v>
          </cell>
          <cell r="K771">
            <v>9121</v>
          </cell>
        </row>
        <row r="772">
          <cell r="B772" t="str">
            <v>보통인부</v>
          </cell>
          <cell r="D772" t="str">
            <v>보통인부인</v>
          </cell>
          <cell r="E772" t="str">
            <v>인</v>
          </cell>
          <cell r="F772">
            <v>0.01</v>
          </cell>
          <cell r="G772">
            <v>0</v>
          </cell>
          <cell r="H772">
            <v>0</v>
          </cell>
          <cell r="I772">
            <v>125427</v>
          </cell>
          <cell r="J772">
            <v>1254</v>
          </cell>
          <cell r="K772">
            <v>1254</v>
          </cell>
        </row>
        <row r="773">
          <cell r="B773" t="str">
            <v>소계</v>
          </cell>
          <cell r="D773" t="str">
            <v>제100호표</v>
          </cell>
          <cell r="H773">
            <v>144000</v>
          </cell>
          <cell r="J773">
            <v>18323</v>
          </cell>
          <cell r="K773">
            <v>162323</v>
          </cell>
        </row>
        <row r="776">
          <cell r="A776" t="str">
            <v>제101호표</v>
          </cell>
          <cell r="B776" t="str">
            <v>모터구동시스템 설치</v>
          </cell>
          <cell r="C776" t="str">
            <v>웜기어 전동실린더</v>
          </cell>
          <cell r="E776" t="str">
            <v>SET</v>
          </cell>
        </row>
        <row r="778">
          <cell r="B778" t="str">
            <v>모터구동시스템</v>
          </cell>
          <cell r="C778" t="str">
            <v>웜기어 전동실린더</v>
          </cell>
          <cell r="D778" t="str">
            <v>모터구동시스템웜기어전동실린더SET</v>
          </cell>
          <cell r="E778" t="str">
            <v>SET</v>
          </cell>
          <cell r="F778">
            <v>1.05</v>
          </cell>
          <cell r="G778">
            <v>300000</v>
          </cell>
          <cell r="H778">
            <v>315000</v>
          </cell>
          <cell r="I778">
            <v>0</v>
          </cell>
          <cell r="J778">
            <v>0</v>
          </cell>
          <cell r="K778">
            <v>315000</v>
          </cell>
        </row>
        <row r="779">
          <cell r="B779" t="str">
            <v>모터구동시스템 보강</v>
          </cell>
          <cell r="C779" t="str">
            <v>T10mm 레이져 가공</v>
          </cell>
          <cell r="D779" t="str">
            <v>모터구동시스템보강T10mm레이져가공ea</v>
          </cell>
          <cell r="E779" t="str">
            <v>ea</v>
          </cell>
          <cell r="F779">
            <v>1</v>
          </cell>
          <cell r="G779">
            <v>38000</v>
          </cell>
          <cell r="H779">
            <v>38000</v>
          </cell>
          <cell r="I779">
            <v>0</v>
          </cell>
          <cell r="J779">
            <v>0</v>
          </cell>
          <cell r="K779">
            <v>38000</v>
          </cell>
        </row>
        <row r="780">
          <cell r="B780" t="str">
            <v>내선전공</v>
          </cell>
          <cell r="D780" t="str">
            <v>내선전공인</v>
          </cell>
          <cell r="E780" t="str">
            <v>인</v>
          </cell>
          <cell r="F780">
            <v>0.28000000000000003</v>
          </cell>
          <cell r="G780">
            <v>0</v>
          </cell>
          <cell r="H780">
            <v>0</v>
          </cell>
          <cell r="I780">
            <v>225408</v>
          </cell>
          <cell r="J780">
            <v>63114</v>
          </cell>
          <cell r="K780">
            <v>63114</v>
          </cell>
        </row>
        <row r="781">
          <cell r="B781" t="str">
            <v>용접공</v>
          </cell>
          <cell r="D781" t="str">
            <v>용접공인</v>
          </cell>
          <cell r="E781" t="str">
            <v>인</v>
          </cell>
          <cell r="F781">
            <v>0.09</v>
          </cell>
          <cell r="G781">
            <v>0</v>
          </cell>
          <cell r="H781">
            <v>0</v>
          </cell>
          <cell r="I781">
            <v>198711</v>
          </cell>
          <cell r="J781">
            <v>17883</v>
          </cell>
          <cell r="K781">
            <v>17883</v>
          </cell>
        </row>
        <row r="782">
          <cell r="B782" t="str">
            <v>특별인부</v>
          </cell>
          <cell r="D782" t="str">
            <v>특별인부인</v>
          </cell>
          <cell r="E782" t="str">
            <v>인</v>
          </cell>
          <cell r="F782">
            <v>7.0000000000000007E-2</v>
          </cell>
          <cell r="G782">
            <v>0</v>
          </cell>
          <cell r="H782">
            <v>0</v>
          </cell>
          <cell r="I782">
            <v>152019</v>
          </cell>
          <cell r="J782">
            <v>10641</v>
          </cell>
          <cell r="K782">
            <v>10641</v>
          </cell>
        </row>
        <row r="783">
          <cell r="B783" t="str">
            <v>보통인부</v>
          </cell>
          <cell r="D783" t="str">
            <v>보통인부인</v>
          </cell>
          <cell r="E783" t="str">
            <v>인</v>
          </cell>
          <cell r="F783">
            <v>0.04</v>
          </cell>
          <cell r="G783">
            <v>0</v>
          </cell>
          <cell r="H783">
            <v>0</v>
          </cell>
          <cell r="I783">
            <v>125427</v>
          </cell>
          <cell r="J783">
            <v>5017</v>
          </cell>
          <cell r="K783">
            <v>5017</v>
          </cell>
        </row>
        <row r="784">
          <cell r="B784" t="str">
            <v>소계</v>
          </cell>
          <cell r="D784" t="str">
            <v>제101호표</v>
          </cell>
          <cell r="H784">
            <v>353000</v>
          </cell>
          <cell r="J784">
            <v>96655</v>
          </cell>
          <cell r="K784">
            <v>449655</v>
          </cell>
        </row>
        <row r="787">
          <cell r="A787" t="str">
            <v>제102호표</v>
          </cell>
          <cell r="B787" t="str">
            <v>베어링레일및가공 설치</v>
          </cell>
          <cell r="C787" t="str">
            <v>22*42 2.3T 가공</v>
          </cell>
          <cell r="E787" t="str">
            <v>M</v>
          </cell>
        </row>
        <row r="789">
          <cell r="B789" t="str">
            <v>베어링레일및가공</v>
          </cell>
          <cell r="C789" t="str">
            <v>22*42 2.3T 가공</v>
          </cell>
          <cell r="D789" t="str">
            <v>베어링레일및가공22*422.3T가공M</v>
          </cell>
          <cell r="E789" t="str">
            <v>M</v>
          </cell>
          <cell r="F789">
            <v>1.05</v>
          </cell>
          <cell r="G789">
            <v>130000</v>
          </cell>
          <cell r="H789">
            <v>136500</v>
          </cell>
          <cell r="I789">
            <v>0</v>
          </cell>
          <cell r="J789">
            <v>0</v>
          </cell>
          <cell r="K789">
            <v>136500</v>
          </cell>
        </row>
        <row r="790">
          <cell r="B790" t="str">
            <v>특별인부</v>
          </cell>
          <cell r="D790" t="str">
            <v>특별인부인</v>
          </cell>
          <cell r="E790" t="str">
            <v>인</v>
          </cell>
          <cell r="F790">
            <v>0.2</v>
          </cell>
          <cell r="G790">
            <v>0</v>
          </cell>
          <cell r="H790">
            <v>0</v>
          </cell>
          <cell r="I790">
            <v>152019</v>
          </cell>
          <cell r="J790">
            <v>30403</v>
          </cell>
          <cell r="K790">
            <v>30403</v>
          </cell>
        </row>
        <row r="791">
          <cell r="B791" t="str">
            <v>보통인부</v>
          </cell>
          <cell r="D791" t="str">
            <v>보통인부인</v>
          </cell>
          <cell r="E791" t="str">
            <v>인</v>
          </cell>
          <cell r="F791">
            <v>0.04</v>
          </cell>
          <cell r="G791">
            <v>0</v>
          </cell>
          <cell r="H791">
            <v>0</v>
          </cell>
          <cell r="I791">
            <v>125427</v>
          </cell>
          <cell r="J791">
            <v>5017</v>
          </cell>
          <cell r="K791">
            <v>5017</v>
          </cell>
        </row>
        <row r="792">
          <cell r="B792" t="str">
            <v>소계</v>
          </cell>
          <cell r="D792" t="str">
            <v>제102호표</v>
          </cell>
          <cell r="H792">
            <v>136500</v>
          </cell>
          <cell r="J792">
            <v>35420</v>
          </cell>
          <cell r="K792">
            <v>171920</v>
          </cell>
        </row>
        <row r="795">
          <cell r="A795" t="str">
            <v>제103호표</v>
          </cell>
          <cell r="B795" t="str">
            <v>베어링레일및가공 설치</v>
          </cell>
          <cell r="C795" t="str">
            <v>22*42 2.3T 가공(2단)</v>
          </cell>
          <cell r="E795" t="str">
            <v>M</v>
          </cell>
        </row>
        <row r="797">
          <cell r="B797" t="str">
            <v>베어링레일및가공</v>
          </cell>
          <cell r="C797" t="str">
            <v>22*42 2.3T 가공</v>
          </cell>
          <cell r="D797" t="str">
            <v>베어링레일및가공22*422.3T가공M</v>
          </cell>
          <cell r="E797" t="str">
            <v>M</v>
          </cell>
          <cell r="F797">
            <v>2.1</v>
          </cell>
          <cell r="G797">
            <v>130000</v>
          </cell>
          <cell r="H797">
            <v>273000</v>
          </cell>
          <cell r="I797">
            <v>0</v>
          </cell>
          <cell r="J797">
            <v>0</v>
          </cell>
          <cell r="K797">
            <v>273000</v>
          </cell>
        </row>
        <row r="798">
          <cell r="B798" t="str">
            <v>특별인부</v>
          </cell>
          <cell r="D798" t="str">
            <v>특별인부인</v>
          </cell>
          <cell r="E798" t="str">
            <v>인</v>
          </cell>
          <cell r="F798">
            <v>0.4</v>
          </cell>
          <cell r="G798">
            <v>0</v>
          </cell>
          <cell r="H798">
            <v>0</v>
          </cell>
          <cell r="I798">
            <v>152019</v>
          </cell>
          <cell r="J798">
            <v>60807</v>
          </cell>
          <cell r="K798">
            <v>60807</v>
          </cell>
        </row>
        <row r="799">
          <cell r="B799" t="str">
            <v>보통인부</v>
          </cell>
          <cell r="D799" t="str">
            <v>보통인부인</v>
          </cell>
          <cell r="E799" t="str">
            <v>인</v>
          </cell>
          <cell r="F799">
            <v>0.08</v>
          </cell>
          <cell r="G799">
            <v>0</v>
          </cell>
          <cell r="H799">
            <v>0</v>
          </cell>
          <cell r="I799">
            <v>125427</v>
          </cell>
          <cell r="J799">
            <v>10034</v>
          </cell>
          <cell r="K799">
            <v>10034</v>
          </cell>
        </row>
        <row r="800">
          <cell r="B800" t="str">
            <v>소계</v>
          </cell>
          <cell r="D800" t="str">
            <v>제103호표</v>
          </cell>
          <cell r="H800">
            <v>273000</v>
          </cell>
          <cell r="J800">
            <v>70841</v>
          </cell>
          <cell r="K800">
            <v>343841</v>
          </cell>
        </row>
        <row r="803">
          <cell r="A803" t="str">
            <v>제104호표</v>
          </cell>
          <cell r="B803" t="str">
            <v>슬라이딩베어링 가공조립</v>
          </cell>
          <cell r="C803" t="str">
            <v>Ø26</v>
          </cell>
          <cell r="E803" t="str">
            <v>ea</v>
          </cell>
        </row>
        <row r="805">
          <cell r="B805" t="str">
            <v>슬라이딩베어링</v>
          </cell>
          <cell r="C805" t="str">
            <v>Ø26</v>
          </cell>
          <cell r="D805" t="str">
            <v>슬라이딩베어링Ø26ea</v>
          </cell>
          <cell r="E805" t="str">
            <v>ea</v>
          </cell>
          <cell r="F805">
            <v>1</v>
          </cell>
          <cell r="G805">
            <v>6500</v>
          </cell>
          <cell r="H805">
            <v>6500</v>
          </cell>
          <cell r="I805">
            <v>0</v>
          </cell>
          <cell r="J805">
            <v>0</v>
          </cell>
          <cell r="K805">
            <v>6500</v>
          </cell>
        </row>
        <row r="806">
          <cell r="B806" t="str">
            <v>특별인부</v>
          </cell>
          <cell r="D806" t="str">
            <v>특별인부인</v>
          </cell>
          <cell r="E806" t="str">
            <v>인</v>
          </cell>
          <cell r="F806">
            <v>1.7999999999999999E-2</v>
          </cell>
          <cell r="G806">
            <v>0</v>
          </cell>
          <cell r="H806">
            <v>0</v>
          </cell>
          <cell r="I806">
            <v>152019</v>
          </cell>
          <cell r="J806">
            <v>2736</v>
          </cell>
          <cell r="K806">
            <v>2736</v>
          </cell>
        </row>
        <row r="807">
          <cell r="B807" t="str">
            <v>보통인부</v>
          </cell>
          <cell r="D807" t="str">
            <v>보통인부인</v>
          </cell>
          <cell r="E807" t="str">
            <v>인</v>
          </cell>
          <cell r="F807">
            <v>8.9999999999999993E-3</v>
          </cell>
          <cell r="G807">
            <v>0</v>
          </cell>
          <cell r="H807">
            <v>0</v>
          </cell>
          <cell r="I807">
            <v>125427</v>
          </cell>
          <cell r="J807">
            <v>1128</v>
          </cell>
          <cell r="K807">
            <v>1128</v>
          </cell>
        </row>
        <row r="808">
          <cell r="B808" t="str">
            <v>소계</v>
          </cell>
          <cell r="D808" t="str">
            <v>제104호표</v>
          </cell>
          <cell r="H808">
            <v>6500</v>
          </cell>
          <cell r="J808">
            <v>3864</v>
          </cell>
          <cell r="K808">
            <v>10364</v>
          </cell>
        </row>
        <row r="811">
          <cell r="A811" t="str">
            <v>제105호표</v>
          </cell>
          <cell r="B811" t="str">
            <v>베어링 붓싱가공조립</v>
          </cell>
          <cell r="C811" t="str">
            <v>#6200</v>
          </cell>
          <cell r="E811" t="str">
            <v>ea</v>
          </cell>
        </row>
        <row r="813">
          <cell r="B813" t="str">
            <v>베어링 붓싱가공</v>
          </cell>
          <cell r="C813" t="str">
            <v>#6200</v>
          </cell>
          <cell r="D813" t="str">
            <v>베어링붓싱가공#6200ea</v>
          </cell>
          <cell r="E813" t="str">
            <v>ea</v>
          </cell>
          <cell r="F813">
            <v>1</v>
          </cell>
          <cell r="G813">
            <v>6000</v>
          </cell>
          <cell r="H813">
            <v>6000</v>
          </cell>
          <cell r="I813">
            <v>0</v>
          </cell>
          <cell r="J813">
            <v>0</v>
          </cell>
          <cell r="K813">
            <v>6000</v>
          </cell>
        </row>
        <row r="814">
          <cell r="B814" t="str">
            <v>특별인부</v>
          </cell>
          <cell r="D814" t="str">
            <v>특별인부인</v>
          </cell>
          <cell r="E814" t="str">
            <v>인</v>
          </cell>
          <cell r="F814">
            <v>1.7999999999999999E-2</v>
          </cell>
          <cell r="G814">
            <v>0</v>
          </cell>
          <cell r="H814">
            <v>0</v>
          </cell>
          <cell r="I814">
            <v>152019</v>
          </cell>
          <cell r="J814">
            <v>2736</v>
          </cell>
          <cell r="K814">
            <v>2736</v>
          </cell>
        </row>
        <row r="815">
          <cell r="B815" t="str">
            <v>보통인부</v>
          </cell>
          <cell r="D815" t="str">
            <v>보통인부인</v>
          </cell>
          <cell r="E815" t="str">
            <v>인</v>
          </cell>
          <cell r="F815">
            <v>8.9999999999999993E-3</v>
          </cell>
          <cell r="G815">
            <v>0</v>
          </cell>
          <cell r="H815">
            <v>0</v>
          </cell>
          <cell r="I815">
            <v>125427</v>
          </cell>
          <cell r="J815">
            <v>1128</v>
          </cell>
          <cell r="K815">
            <v>1128</v>
          </cell>
        </row>
        <row r="816">
          <cell r="B816" t="str">
            <v>소계</v>
          </cell>
          <cell r="D816" t="str">
            <v>제105호표</v>
          </cell>
          <cell r="H816">
            <v>6000</v>
          </cell>
          <cell r="J816">
            <v>3864</v>
          </cell>
          <cell r="K816">
            <v>9864</v>
          </cell>
        </row>
        <row r="819">
          <cell r="A819" t="str">
            <v>제106호표</v>
          </cell>
          <cell r="B819" t="str">
            <v>그림걸이레일 설치</v>
          </cell>
          <cell r="E819" t="str">
            <v>M</v>
          </cell>
        </row>
        <row r="821">
          <cell r="B821" t="str">
            <v>그림걸이레일</v>
          </cell>
          <cell r="D821" t="str">
            <v>그림걸이레일M</v>
          </cell>
          <cell r="E821" t="str">
            <v>M</v>
          </cell>
          <cell r="F821">
            <v>1</v>
          </cell>
          <cell r="G821">
            <v>6500</v>
          </cell>
          <cell r="H821">
            <v>6500</v>
          </cell>
          <cell r="I821">
            <v>0</v>
          </cell>
          <cell r="J821">
            <v>0</v>
          </cell>
          <cell r="K821">
            <v>6500</v>
          </cell>
        </row>
        <row r="822">
          <cell r="B822" t="str">
            <v>특별인부</v>
          </cell>
          <cell r="D822" t="str">
            <v>특별인부인</v>
          </cell>
          <cell r="E822" t="str">
            <v>인</v>
          </cell>
          <cell r="F822">
            <v>0.02</v>
          </cell>
          <cell r="G822">
            <v>0</v>
          </cell>
          <cell r="H822">
            <v>0</v>
          </cell>
          <cell r="I822">
            <v>152019</v>
          </cell>
          <cell r="J822">
            <v>3040</v>
          </cell>
          <cell r="K822">
            <v>3040</v>
          </cell>
        </row>
        <row r="823">
          <cell r="B823" t="str">
            <v>보통인부</v>
          </cell>
          <cell r="D823" t="str">
            <v>보통인부인</v>
          </cell>
          <cell r="E823" t="str">
            <v>인</v>
          </cell>
          <cell r="F823">
            <v>0.01</v>
          </cell>
          <cell r="G823">
            <v>0</v>
          </cell>
          <cell r="H823">
            <v>0</v>
          </cell>
          <cell r="I823">
            <v>125427</v>
          </cell>
          <cell r="J823">
            <v>1254</v>
          </cell>
          <cell r="K823">
            <v>1254</v>
          </cell>
        </row>
        <row r="824">
          <cell r="B824" t="str">
            <v>소계</v>
          </cell>
          <cell r="D824" t="str">
            <v>제106호표</v>
          </cell>
          <cell r="H824">
            <v>6500</v>
          </cell>
          <cell r="J824">
            <v>4294</v>
          </cell>
          <cell r="K824">
            <v>10794</v>
          </cell>
        </row>
        <row r="827">
          <cell r="A827" t="str">
            <v>제107호표</v>
          </cell>
          <cell r="B827" t="str">
            <v>센터베어링및스톱파 가공조립</v>
          </cell>
          <cell r="C827" t="str">
            <v>벽부형</v>
          </cell>
          <cell r="E827" t="str">
            <v>SET</v>
          </cell>
        </row>
        <row r="829">
          <cell r="B829" t="str">
            <v>센터베어링및스톱파</v>
          </cell>
          <cell r="C829" t="str">
            <v>벽부형</v>
          </cell>
          <cell r="D829" t="str">
            <v>센터베어링및스톱파벽부형ea</v>
          </cell>
          <cell r="E829" t="str">
            <v>ea</v>
          </cell>
          <cell r="F829">
            <v>1</v>
          </cell>
          <cell r="G829">
            <v>80000</v>
          </cell>
          <cell r="H829">
            <v>80000</v>
          </cell>
          <cell r="I829">
            <v>0</v>
          </cell>
          <cell r="J829">
            <v>0</v>
          </cell>
          <cell r="K829">
            <v>80000</v>
          </cell>
        </row>
        <row r="830">
          <cell r="B830" t="str">
            <v>센터베어링가이드</v>
          </cell>
          <cell r="C830" t="str">
            <v>T2.3mm 가공</v>
          </cell>
          <cell r="D830" t="str">
            <v>센터베어링가이드T2.3mm가공ea</v>
          </cell>
          <cell r="E830" t="str">
            <v>ea</v>
          </cell>
          <cell r="F830">
            <v>1</v>
          </cell>
          <cell r="G830">
            <v>15000</v>
          </cell>
          <cell r="H830">
            <v>15000</v>
          </cell>
          <cell r="I830">
            <v>0</v>
          </cell>
          <cell r="J830">
            <v>0</v>
          </cell>
          <cell r="K830">
            <v>15000</v>
          </cell>
        </row>
        <row r="831">
          <cell r="B831" t="str">
            <v>내선전공</v>
          </cell>
          <cell r="D831" t="str">
            <v>내선전공인</v>
          </cell>
          <cell r="E831" t="str">
            <v>인</v>
          </cell>
          <cell r="F831">
            <v>0.15</v>
          </cell>
          <cell r="G831">
            <v>0</v>
          </cell>
          <cell r="H831">
            <v>0</v>
          </cell>
          <cell r="I831">
            <v>225408</v>
          </cell>
          <cell r="J831">
            <v>33811</v>
          </cell>
          <cell r="K831">
            <v>33811</v>
          </cell>
        </row>
        <row r="832">
          <cell r="B832" t="str">
            <v>용접공</v>
          </cell>
          <cell r="D832" t="str">
            <v>용접공인</v>
          </cell>
          <cell r="E832" t="str">
            <v>인</v>
          </cell>
          <cell r="F832">
            <v>6.5000000000000002E-2</v>
          </cell>
          <cell r="G832">
            <v>0</v>
          </cell>
          <cell r="H832">
            <v>0</v>
          </cell>
          <cell r="I832">
            <v>198711</v>
          </cell>
          <cell r="J832">
            <v>12916</v>
          </cell>
          <cell r="K832">
            <v>12916</v>
          </cell>
        </row>
        <row r="833">
          <cell r="B833" t="str">
            <v>특별인부</v>
          </cell>
          <cell r="D833" t="str">
            <v>특별인부인</v>
          </cell>
          <cell r="E833" t="str">
            <v>인</v>
          </cell>
          <cell r="F833">
            <v>0.03</v>
          </cell>
          <cell r="G833">
            <v>0</v>
          </cell>
          <cell r="H833">
            <v>0</v>
          </cell>
          <cell r="I833">
            <v>152019</v>
          </cell>
          <cell r="J833">
            <v>4560</v>
          </cell>
          <cell r="K833">
            <v>4560</v>
          </cell>
        </row>
        <row r="834">
          <cell r="B834" t="str">
            <v>보통인부</v>
          </cell>
          <cell r="D834" t="str">
            <v>보통인부인</v>
          </cell>
          <cell r="E834" t="str">
            <v>인</v>
          </cell>
          <cell r="F834">
            <v>0.01</v>
          </cell>
          <cell r="G834">
            <v>0</v>
          </cell>
          <cell r="H834">
            <v>0</v>
          </cell>
          <cell r="I834">
            <v>125427</v>
          </cell>
          <cell r="J834">
            <v>1254</v>
          </cell>
          <cell r="K834">
            <v>1254</v>
          </cell>
        </row>
        <row r="835">
          <cell r="B835" t="str">
            <v>소계</v>
          </cell>
          <cell r="D835" t="str">
            <v>제107호표</v>
          </cell>
          <cell r="H835">
            <v>95000</v>
          </cell>
          <cell r="J835">
            <v>52541</v>
          </cell>
          <cell r="K835">
            <v>147541</v>
          </cell>
        </row>
        <row r="838">
          <cell r="A838" t="str">
            <v>제108호표</v>
          </cell>
          <cell r="B838" t="str">
            <v>센터베어링및스톱파 가공조립</v>
          </cell>
          <cell r="C838" t="str">
            <v>독립형1단</v>
          </cell>
          <cell r="E838" t="str">
            <v>SET</v>
          </cell>
        </row>
        <row r="840">
          <cell r="B840" t="str">
            <v>센터베어링및스톱파</v>
          </cell>
          <cell r="C840" t="str">
            <v>독립형1단</v>
          </cell>
          <cell r="D840" t="str">
            <v>센터베어링및스톱파독립형1단ea</v>
          </cell>
          <cell r="E840" t="str">
            <v>ea</v>
          </cell>
          <cell r="F840">
            <v>1</v>
          </cell>
          <cell r="G840">
            <v>70000</v>
          </cell>
          <cell r="H840">
            <v>70000</v>
          </cell>
          <cell r="I840">
            <v>0</v>
          </cell>
          <cell r="J840">
            <v>0</v>
          </cell>
          <cell r="K840">
            <v>70000</v>
          </cell>
        </row>
        <row r="841">
          <cell r="B841" t="str">
            <v>센터베어링가이드</v>
          </cell>
          <cell r="C841" t="str">
            <v>T2.3mm 가공</v>
          </cell>
          <cell r="D841" t="str">
            <v>센터베어링가이드T2.3mm가공ea</v>
          </cell>
          <cell r="E841" t="str">
            <v>ea</v>
          </cell>
          <cell r="F841">
            <v>1</v>
          </cell>
          <cell r="G841">
            <v>15000</v>
          </cell>
          <cell r="H841">
            <v>15000</v>
          </cell>
          <cell r="I841">
            <v>0</v>
          </cell>
          <cell r="J841">
            <v>0</v>
          </cell>
          <cell r="K841">
            <v>15000</v>
          </cell>
        </row>
        <row r="842">
          <cell r="B842" t="str">
            <v>내선전공</v>
          </cell>
          <cell r="D842" t="str">
            <v>내선전공인</v>
          </cell>
          <cell r="E842" t="str">
            <v>인</v>
          </cell>
          <cell r="F842">
            <v>0.1</v>
          </cell>
          <cell r="G842">
            <v>0</v>
          </cell>
          <cell r="H842">
            <v>0</v>
          </cell>
          <cell r="I842">
            <v>225408</v>
          </cell>
          <cell r="J842">
            <v>22540</v>
          </cell>
          <cell r="K842">
            <v>22540</v>
          </cell>
        </row>
        <row r="843">
          <cell r="B843" t="str">
            <v>용접공</v>
          </cell>
          <cell r="D843" t="str">
            <v>용접공인</v>
          </cell>
          <cell r="E843" t="str">
            <v>인</v>
          </cell>
          <cell r="F843">
            <v>4.4999999999999998E-2</v>
          </cell>
          <cell r="G843">
            <v>0</v>
          </cell>
          <cell r="H843">
            <v>0</v>
          </cell>
          <cell r="I843">
            <v>198711</v>
          </cell>
          <cell r="J843">
            <v>8941</v>
          </cell>
          <cell r="K843">
            <v>8941</v>
          </cell>
        </row>
        <row r="844">
          <cell r="B844" t="str">
            <v>특별인부</v>
          </cell>
          <cell r="D844" t="str">
            <v>특별인부인</v>
          </cell>
          <cell r="E844" t="str">
            <v>인</v>
          </cell>
          <cell r="F844">
            <v>0.2</v>
          </cell>
          <cell r="G844">
            <v>0</v>
          </cell>
          <cell r="H844">
            <v>0</v>
          </cell>
          <cell r="I844">
            <v>152019</v>
          </cell>
          <cell r="J844">
            <v>30403</v>
          </cell>
          <cell r="K844">
            <v>30403</v>
          </cell>
        </row>
        <row r="845">
          <cell r="B845" t="str">
            <v>보통인부</v>
          </cell>
          <cell r="D845" t="str">
            <v>보통인부인</v>
          </cell>
          <cell r="E845" t="str">
            <v>인</v>
          </cell>
          <cell r="F845">
            <v>8.0000000000000002E-3</v>
          </cell>
          <cell r="G845">
            <v>0</v>
          </cell>
          <cell r="H845">
            <v>0</v>
          </cell>
          <cell r="I845">
            <v>125427</v>
          </cell>
          <cell r="J845">
            <v>1003</v>
          </cell>
          <cell r="K845">
            <v>1003</v>
          </cell>
        </row>
        <row r="846">
          <cell r="B846" t="str">
            <v>소계</v>
          </cell>
          <cell r="D846" t="str">
            <v>제108호표</v>
          </cell>
          <cell r="H846">
            <v>85000</v>
          </cell>
          <cell r="J846">
            <v>62887</v>
          </cell>
          <cell r="K846">
            <v>147887</v>
          </cell>
        </row>
        <row r="849">
          <cell r="A849" t="str">
            <v>제109호표</v>
          </cell>
          <cell r="B849" t="str">
            <v>센터베어링및스톱파 가공조립</v>
          </cell>
          <cell r="C849" t="str">
            <v>독립형2단</v>
          </cell>
          <cell r="E849" t="str">
            <v>SET</v>
          </cell>
        </row>
        <row r="851">
          <cell r="B851" t="str">
            <v>센터베어링및스톱파</v>
          </cell>
          <cell r="C851" t="str">
            <v>독립형2단</v>
          </cell>
          <cell r="D851" t="str">
            <v>센터베어링및스톱파독립형2단ea</v>
          </cell>
          <cell r="E851" t="str">
            <v>ea</v>
          </cell>
          <cell r="F851">
            <v>1</v>
          </cell>
          <cell r="G851">
            <v>100000</v>
          </cell>
          <cell r="H851">
            <v>100000</v>
          </cell>
          <cell r="I851">
            <v>0</v>
          </cell>
          <cell r="J851">
            <v>0</v>
          </cell>
          <cell r="K851">
            <v>100000</v>
          </cell>
        </row>
        <row r="852">
          <cell r="B852" t="str">
            <v>센터베어링가이드</v>
          </cell>
          <cell r="C852" t="str">
            <v>T2.3mm 가공</v>
          </cell>
          <cell r="D852" t="str">
            <v>센터베어링가이드T2.3mm가공ea</v>
          </cell>
          <cell r="E852" t="str">
            <v>ea</v>
          </cell>
          <cell r="F852">
            <v>2</v>
          </cell>
          <cell r="G852">
            <v>15000</v>
          </cell>
          <cell r="H852">
            <v>30000</v>
          </cell>
          <cell r="I852">
            <v>0</v>
          </cell>
          <cell r="J852">
            <v>0</v>
          </cell>
          <cell r="K852">
            <v>30000</v>
          </cell>
        </row>
        <row r="853">
          <cell r="B853" t="str">
            <v>내선전공</v>
          </cell>
          <cell r="D853" t="str">
            <v>내선전공인</v>
          </cell>
          <cell r="E853" t="str">
            <v>인</v>
          </cell>
          <cell r="F853">
            <v>0.2</v>
          </cell>
          <cell r="G853">
            <v>0</v>
          </cell>
          <cell r="H853">
            <v>0</v>
          </cell>
          <cell r="I853">
            <v>225408</v>
          </cell>
          <cell r="J853">
            <v>45081</v>
          </cell>
          <cell r="K853">
            <v>45081</v>
          </cell>
        </row>
        <row r="854">
          <cell r="B854" t="str">
            <v>용접공</v>
          </cell>
          <cell r="D854" t="str">
            <v>용접공인</v>
          </cell>
          <cell r="E854" t="str">
            <v>인</v>
          </cell>
          <cell r="F854">
            <v>8.5000000000000006E-2</v>
          </cell>
          <cell r="G854">
            <v>0</v>
          </cell>
          <cell r="H854">
            <v>0</v>
          </cell>
          <cell r="I854">
            <v>198711</v>
          </cell>
          <cell r="J854">
            <v>16890</v>
          </cell>
          <cell r="K854">
            <v>16890</v>
          </cell>
        </row>
        <row r="855">
          <cell r="B855" t="str">
            <v>특별인부</v>
          </cell>
          <cell r="D855" t="str">
            <v>특별인부인</v>
          </cell>
          <cell r="E855" t="str">
            <v>인</v>
          </cell>
          <cell r="F855">
            <v>0.04</v>
          </cell>
          <cell r="G855">
            <v>0</v>
          </cell>
          <cell r="H855">
            <v>0</v>
          </cell>
          <cell r="I855">
            <v>152019</v>
          </cell>
          <cell r="J855">
            <v>6080</v>
          </cell>
          <cell r="K855">
            <v>6080</v>
          </cell>
        </row>
        <row r="856">
          <cell r="B856" t="str">
            <v>보통인부</v>
          </cell>
          <cell r="D856" t="str">
            <v>보통인부인</v>
          </cell>
          <cell r="E856" t="str">
            <v>인</v>
          </cell>
          <cell r="F856">
            <v>1.4999999999999999E-2</v>
          </cell>
          <cell r="G856">
            <v>0</v>
          </cell>
          <cell r="H856">
            <v>0</v>
          </cell>
          <cell r="I856">
            <v>125427</v>
          </cell>
          <cell r="J856">
            <v>1881</v>
          </cell>
          <cell r="K856">
            <v>1881</v>
          </cell>
        </row>
        <row r="857">
          <cell r="B857" t="str">
            <v>소계</v>
          </cell>
          <cell r="D857" t="str">
            <v>제109호표</v>
          </cell>
          <cell r="H857">
            <v>130000</v>
          </cell>
          <cell r="J857">
            <v>69932</v>
          </cell>
          <cell r="K857">
            <v>199932</v>
          </cell>
        </row>
        <row r="860">
          <cell r="A860" t="str">
            <v>제110호표</v>
          </cell>
          <cell r="B860" t="str">
            <v>전후진 전동콘트롤 제작설치</v>
          </cell>
          <cell r="C860" t="str">
            <v>벽부형</v>
          </cell>
          <cell r="E860" t="str">
            <v>SET</v>
          </cell>
        </row>
        <row r="862">
          <cell r="B862" t="str">
            <v>전후진 전동콘트롤라</v>
          </cell>
          <cell r="C862" t="str">
            <v>벽부형</v>
          </cell>
          <cell r="D862" t="str">
            <v>전후진전동콘트롤라벽부형SET</v>
          </cell>
          <cell r="E862" t="str">
            <v>SET</v>
          </cell>
          <cell r="F862">
            <v>1</v>
          </cell>
          <cell r="G862">
            <v>900000</v>
          </cell>
          <cell r="H862">
            <v>900000</v>
          </cell>
          <cell r="I862">
            <v>0</v>
          </cell>
          <cell r="J862">
            <v>0</v>
          </cell>
          <cell r="K862">
            <v>900000</v>
          </cell>
        </row>
        <row r="863">
          <cell r="B863" t="str">
            <v>통신설비공</v>
          </cell>
          <cell r="D863" t="str">
            <v>통신설비공인</v>
          </cell>
          <cell r="E863" t="str">
            <v>인</v>
          </cell>
          <cell r="F863">
            <v>0.2</v>
          </cell>
          <cell r="G863">
            <v>0</v>
          </cell>
          <cell r="H863">
            <v>0</v>
          </cell>
          <cell r="I863">
            <v>224927</v>
          </cell>
          <cell r="J863">
            <v>44985</v>
          </cell>
          <cell r="K863">
            <v>44985</v>
          </cell>
        </row>
        <row r="864">
          <cell r="B864" t="str">
            <v>보통인부</v>
          </cell>
          <cell r="D864" t="str">
            <v>보통인부인</v>
          </cell>
          <cell r="E864" t="str">
            <v>인</v>
          </cell>
          <cell r="F864">
            <v>0.16</v>
          </cell>
          <cell r="G864">
            <v>0</v>
          </cell>
          <cell r="H864">
            <v>0</v>
          </cell>
          <cell r="I864">
            <v>125427</v>
          </cell>
          <cell r="J864">
            <v>20068</v>
          </cell>
          <cell r="K864">
            <v>20068</v>
          </cell>
        </row>
        <row r="865">
          <cell r="B865" t="str">
            <v>소계</v>
          </cell>
          <cell r="D865" t="str">
            <v>제110호표</v>
          </cell>
          <cell r="H865">
            <v>900000</v>
          </cell>
          <cell r="J865">
            <v>65053</v>
          </cell>
          <cell r="K865">
            <v>965053</v>
          </cell>
        </row>
        <row r="868">
          <cell r="A868" t="str">
            <v>제111호표</v>
          </cell>
          <cell r="B868" t="str">
            <v>전후진 전동콘트롤 제작설치</v>
          </cell>
          <cell r="C868" t="str">
            <v>독립형</v>
          </cell>
          <cell r="E868" t="str">
            <v>SET</v>
          </cell>
        </row>
        <row r="870">
          <cell r="B870" t="str">
            <v>전후진 전동콘트롤라</v>
          </cell>
          <cell r="C870" t="str">
            <v>독립형</v>
          </cell>
          <cell r="D870" t="str">
            <v>전후진전동콘트롤라독립형SET</v>
          </cell>
          <cell r="E870" t="str">
            <v>SET</v>
          </cell>
          <cell r="F870">
            <v>1</v>
          </cell>
          <cell r="G870">
            <v>400000</v>
          </cell>
          <cell r="H870">
            <v>400000</v>
          </cell>
          <cell r="I870">
            <v>0</v>
          </cell>
          <cell r="J870">
            <v>0</v>
          </cell>
          <cell r="K870">
            <v>400000</v>
          </cell>
        </row>
        <row r="871">
          <cell r="B871" t="str">
            <v>통신설비공</v>
          </cell>
          <cell r="D871" t="str">
            <v>통신설비공인</v>
          </cell>
          <cell r="E871" t="str">
            <v>인</v>
          </cell>
          <cell r="F871">
            <v>0.2</v>
          </cell>
          <cell r="G871">
            <v>0</v>
          </cell>
          <cell r="H871">
            <v>0</v>
          </cell>
          <cell r="I871">
            <v>224927</v>
          </cell>
          <cell r="J871">
            <v>44985</v>
          </cell>
          <cell r="K871">
            <v>44985</v>
          </cell>
        </row>
        <row r="872">
          <cell r="B872" t="str">
            <v>보통인부</v>
          </cell>
          <cell r="D872" t="str">
            <v>보통인부인</v>
          </cell>
          <cell r="E872" t="str">
            <v>인</v>
          </cell>
          <cell r="F872">
            <v>0.16</v>
          </cell>
          <cell r="G872">
            <v>0</v>
          </cell>
          <cell r="H872">
            <v>0</v>
          </cell>
          <cell r="I872">
            <v>125427</v>
          </cell>
          <cell r="J872">
            <v>20068</v>
          </cell>
          <cell r="K872">
            <v>20068</v>
          </cell>
        </row>
        <row r="873">
          <cell r="B873" t="str">
            <v>소계</v>
          </cell>
          <cell r="D873" t="str">
            <v>제111호표</v>
          </cell>
          <cell r="H873">
            <v>400000</v>
          </cell>
          <cell r="J873">
            <v>65053</v>
          </cell>
          <cell r="K873">
            <v>465053</v>
          </cell>
        </row>
        <row r="876">
          <cell r="A876" t="str">
            <v>제112호표</v>
          </cell>
          <cell r="B876" t="str">
            <v>LED전반조명CASE제작설치</v>
          </cell>
          <cell r="C876" t="str">
            <v>도장포함</v>
          </cell>
          <cell r="E876" t="str">
            <v>M</v>
          </cell>
        </row>
        <row r="878">
          <cell r="B878" t="str">
            <v>갈바후레임제작설치</v>
          </cell>
          <cell r="C878" t="str">
            <v>1.2T</v>
          </cell>
          <cell r="D878" t="str">
            <v>갈바후레임제작설치1.2TM2</v>
          </cell>
          <cell r="E878" t="str">
            <v>M2</v>
          </cell>
          <cell r="F878">
            <v>0.55000000000000004</v>
          </cell>
          <cell r="G878">
            <v>11947</v>
          </cell>
          <cell r="H878">
            <v>6570</v>
          </cell>
          <cell r="I878">
            <v>42289</v>
          </cell>
          <cell r="J878">
            <v>23258</v>
          </cell>
          <cell r="K878">
            <v>29828</v>
          </cell>
        </row>
        <row r="879">
          <cell r="B879" t="str">
            <v>알루미늄판취부</v>
          </cell>
          <cell r="C879" t="str">
            <v>4T*900*1800</v>
          </cell>
          <cell r="D879" t="str">
            <v>알루미늄판취부4T*900*1800M2</v>
          </cell>
          <cell r="E879" t="str">
            <v>M2</v>
          </cell>
          <cell r="F879">
            <v>0.16</v>
          </cell>
          <cell r="G879">
            <v>130192</v>
          </cell>
          <cell r="H879">
            <v>20830</v>
          </cell>
          <cell r="I879">
            <v>14745</v>
          </cell>
          <cell r="J879">
            <v>2359</v>
          </cell>
          <cell r="K879">
            <v>23189</v>
          </cell>
        </row>
        <row r="880">
          <cell r="B880" t="str">
            <v>우레탄칼라락카도장</v>
          </cell>
          <cell r="C880" t="str">
            <v>철재면기준</v>
          </cell>
          <cell r="D880" t="str">
            <v>우레탄칼라락카도장철재면기준M2</v>
          </cell>
          <cell r="E880" t="str">
            <v>M2</v>
          </cell>
          <cell r="F880">
            <v>1.1000000000000001</v>
          </cell>
          <cell r="G880">
            <v>16103</v>
          </cell>
          <cell r="H880">
            <v>17713</v>
          </cell>
          <cell r="I880">
            <v>22265</v>
          </cell>
          <cell r="J880">
            <v>24491</v>
          </cell>
          <cell r="K880">
            <v>42204</v>
          </cell>
        </row>
        <row r="881">
          <cell r="B881" t="str">
            <v>바탕처리</v>
          </cell>
          <cell r="C881" t="str">
            <v>철재면기준</v>
          </cell>
          <cell r="D881" t="str">
            <v>바탕처리철재면기준M2</v>
          </cell>
          <cell r="E881" t="str">
            <v>M2</v>
          </cell>
          <cell r="F881">
            <v>1.1000000000000001</v>
          </cell>
          <cell r="G881">
            <v>4891</v>
          </cell>
          <cell r="H881">
            <v>5380</v>
          </cell>
          <cell r="I881">
            <v>15314</v>
          </cell>
          <cell r="J881">
            <v>16845</v>
          </cell>
          <cell r="K881">
            <v>22225</v>
          </cell>
        </row>
        <row r="882">
          <cell r="B882" t="str">
            <v>특별인부</v>
          </cell>
          <cell r="D882" t="str">
            <v>특별인부인</v>
          </cell>
          <cell r="E882" t="str">
            <v>인</v>
          </cell>
          <cell r="F882">
            <v>0.08</v>
          </cell>
          <cell r="G882">
            <v>0</v>
          </cell>
          <cell r="H882">
            <v>0</v>
          </cell>
          <cell r="I882">
            <v>152019</v>
          </cell>
          <cell r="J882">
            <v>12161</v>
          </cell>
          <cell r="K882">
            <v>12161</v>
          </cell>
        </row>
        <row r="883">
          <cell r="B883" t="str">
            <v>보통인부</v>
          </cell>
          <cell r="D883" t="str">
            <v>보통인부인</v>
          </cell>
          <cell r="E883" t="str">
            <v>인</v>
          </cell>
          <cell r="F883">
            <v>0.04</v>
          </cell>
          <cell r="G883">
            <v>0</v>
          </cell>
          <cell r="H883">
            <v>0</v>
          </cell>
          <cell r="I883">
            <v>125427</v>
          </cell>
          <cell r="J883">
            <v>5017</v>
          </cell>
          <cell r="K883">
            <v>5017</v>
          </cell>
        </row>
        <row r="884">
          <cell r="B884" t="str">
            <v>소계</v>
          </cell>
          <cell r="D884" t="str">
            <v>제112호표</v>
          </cell>
          <cell r="H884">
            <v>50493</v>
          </cell>
          <cell r="J884">
            <v>84131</v>
          </cell>
          <cell r="K884">
            <v>134624</v>
          </cell>
        </row>
        <row r="887">
          <cell r="A887" t="str">
            <v>제113호표</v>
          </cell>
          <cell r="B887" t="str">
            <v>CASTER&amp;ADJUSTER 제작설치</v>
          </cell>
          <cell r="E887" t="str">
            <v>ea</v>
          </cell>
        </row>
        <row r="889">
          <cell r="B889" t="str">
            <v>CASTER&amp;ADJUSTER</v>
          </cell>
          <cell r="D889" t="str">
            <v>CASTER&amp;ADJUSTERea</v>
          </cell>
          <cell r="E889" t="str">
            <v>ea</v>
          </cell>
          <cell r="F889">
            <v>1</v>
          </cell>
          <cell r="G889">
            <v>40000</v>
          </cell>
          <cell r="H889">
            <v>40000</v>
          </cell>
          <cell r="I889">
            <v>0</v>
          </cell>
          <cell r="J889">
            <v>0</v>
          </cell>
          <cell r="K889">
            <v>40000</v>
          </cell>
        </row>
        <row r="890">
          <cell r="B890" t="str">
            <v>CASTER&amp;ADJUSTER보강</v>
          </cell>
          <cell r="C890" t="str">
            <v>T4.5mm 레이져 가공</v>
          </cell>
          <cell r="D890" t="str">
            <v>CASTER&amp;ADJUSTER보강T4.5mm레이져가공ea</v>
          </cell>
          <cell r="E890" t="str">
            <v>ea</v>
          </cell>
          <cell r="F890">
            <v>1</v>
          </cell>
          <cell r="G890">
            <v>10000</v>
          </cell>
          <cell r="H890">
            <v>10000</v>
          </cell>
          <cell r="I890">
            <v>0</v>
          </cell>
          <cell r="J890">
            <v>0</v>
          </cell>
          <cell r="K890">
            <v>10000</v>
          </cell>
        </row>
        <row r="891">
          <cell r="B891" t="str">
            <v>잡철물설치</v>
          </cell>
          <cell r="C891" t="str">
            <v>T1.6 GALV.</v>
          </cell>
          <cell r="D891" t="str">
            <v>잡철물설치T1.6GALV.M2</v>
          </cell>
          <cell r="E891" t="str">
            <v>M2</v>
          </cell>
          <cell r="F891">
            <v>0.03</v>
          </cell>
          <cell r="G891">
            <v>39831</v>
          </cell>
          <cell r="H891">
            <v>1194</v>
          </cell>
          <cell r="I891">
            <v>54417</v>
          </cell>
          <cell r="J891">
            <v>1632</v>
          </cell>
          <cell r="K891">
            <v>2826</v>
          </cell>
        </row>
        <row r="892">
          <cell r="B892" t="str">
            <v>절단가공,용접제작</v>
          </cell>
          <cell r="D892" t="str">
            <v>절단가공,용접제작M</v>
          </cell>
          <cell r="E892" t="str">
            <v>M</v>
          </cell>
          <cell r="F892">
            <v>1</v>
          </cell>
          <cell r="G892">
            <v>30</v>
          </cell>
          <cell r="H892">
            <v>30</v>
          </cell>
          <cell r="I892">
            <v>2160</v>
          </cell>
          <cell r="J892">
            <v>2160</v>
          </cell>
          <cell r="K892">
            <v>2190</v>
          </cell>
        </row>
        <row r="893">
          <cell r="B893" t="str">
            <v>소계</v>
          </cell>
          <cell r="D893" t="str">
            <v>제113호표</v>
          </cell>
          <cell r="H893">
            <v>51224</v>
          </cell>
          <cell r="J893">
            <v>3792</v>
          </cell>
          <cell r="K893">
            <v>55016</v>
          </cell>
        </row>
        <row r="896">
          <cell r="A896" t="str">
            <v>제114호표</v>
          </cell>
          <cell r="B896" t="str">
            <v>5면장 유리후레임</v>
          </cell>
          <cell r="C896" t="str">
            <v>T3.2</v>
          </cell>
          <cell r="E896" t="str">
            <v>M2</v>
          </cell>
        </row>
        <row r="898">
          <cell r="B898" t="str">
            <v>철판</v>
          </cell>
          <cell r="C898" t="str">
            <v>T3.2 GALV.</v>
          </cell>
          <cell r="D898" t="str">
            <v>철판T3.2GALV.M2</v>
          </cell>
          <cell r="E898" t="str">
            <v>M2</v>
          </cell>
          <cell r="F898">
            <v>1.05</v>
          </cell>
          <cell r="G898">
            <v>21030</v>
          </cell>
          <cell r="H898">
            <v>22081</v>
          </cell>
          <cell r="I898">
            <v>0</v>
          </cell>
          <cell r="J898">
            <v>0</v>
          </cell>
          <cell r="K898">
            <v>22081</v>
          </cell>
        </row>
        <row r="899">
          <cell r="B899" t="str">
            <v>잡철물설치</v>
          </cell>
          <cell r="C899" t="str">
            <v>T3.2 ST'L</v>
          </cell>
          <cell r="D899" t="str">
            <v>잡철물설치T3.2ST'LM2</v>
          </cell>
          <cell r="E899" t="str">
            <v>M2</v>
          </cell>
          <cell r="F899">
            <v>1.05</v>
          </cell>
          <cell r="G899">
            <v>67373</v>
          </cell>
          <cell r="H899">
            <v>70741</v>
          </cell>
          <cell r="I899">
            <v>91598</v>
          </cell>
          <cell r="J899">
            <v>96177</v>
          </cell>
          <cell r="K899">
            <v>166918</v>
          </cell>
        </row>
        <row r="900">
          <cell r="B900" t="str">
            <v>소계</v>
          </cell>
          <cell r="D900" t="str">
            <v>제114호표</v>
          </cell>
          <cell r="H900">
            <v>92822</v>
          </cell>
          <cell r="J900">
            <v>96177</v>
          </cell>
          <cell r="K900">
            <v>188999</v>
          </cell>
        </row>
        <row r="903">
          <cell r="A903" t="str">
            <v>제115호표</v>
          </cell>
          <cell r="B903" t="str">
            <v>인테리어필름붙임</v>
          </cell>
          <cell r="C903" t="str">
            <v>넓은면</v>
          </cell>
          <cell r="E903" t="str">
            <v>M2</v>
          </cell>
        </row>
        <row r="905">
          <cell r="B905" t="str">
            <v>인테리어필름지</v>
          </cell>
          <cell r="C905" t="str">
            <v xml:space="preserve">방염 </v>
          </cell>
          <cell r="D905" t="str">
            <v>인테리어필름지방염㎡</v>
          </cell>
          <cell r="E905" t="str">
            <v>㎡</v>
          </cell>
          <cell r="F905">
            <v>1.2</v>
          </cell>
          <cell r="G905">
            <v>34000</v>
          </cell>
          <cell r="H905">
            <v>40800</v>
          </cell>
          <cell r="I905">
            <v>0</v>
          </cell>
          <cell r="J905">
            <v>0</v>
          </cell>
          <cell r="K905">
            <v>40800</v>
          </cell>
        </row>
        <row r="906">
          <cell r="B906" t="str">
            <v>접착제</v>
          </cell>
          <cell r="C906" t="str">
            <v>수성프라이머나-2000</v>
          </cell>
          <cell r="D906" t="str">
            <v>접착제수성프라이머나-2000Kg</v>
          </cell>
          <cell r="E906" t="str">
            <v>Kg</v>
          </cell>
          <cell r="F906">
            <v>3.2099999999999997E-2</v>
          </cell>
          <cell r="G906">
            <v>5400</v>
          </cell>
          <cell r="H906">
            <v>173</v>
          </cell>
          <cell r="I906">
            <v>0</v>
          </cell>
          <cell r="J906">
            <v>0</v>
          </cell>
          <cell r="K906">
            <v>173</v>
          </cell>
        </row>
        <row r="907">
          <cell r="B907" t="str">
            <v>내장공</v>
          </cell>
          <cell r="D907" t="str">
            <v>내장공인</v>
          </cell>
          <cell r="E907" t="str">
            <v>인</v>
          </cell>
          <cell r="F907">
            <v>0.121</v>
          </cell>
          <cell r="G907">
            <v>0</v>
          </cell>
          <cell r="H907">
            <v>0</v>
          </cell>
          <cell r="I907">
            <v>177322</v>
          </cell>
          <cell r="J907">
            <v>21455</v>
          </cell>
          <cell r="K907">
            <v>21455</v>
          </cell>
        </row>
        <row r="908">
          <cell r="B908" t="str">
            <v>보통인부</v>
          </cell>
          <cell r="D908" t="str">
            <v>보통인부인</v>
          </cell>
          <cell r="E908" t="str">
            <v>인</v>
          </cell>
          <cell r="F908">
            <v>0.1045</v>
          </cell>
          <cell r="G908">
            <v>0</v>
          </cell>
          <cell r="H908">
            <v>0</v>
          </cell>
          <cell r="I908">
            <v>118130</v>
          </cell>
          <cell r="J908">
            <v>12344</v>
          </cell>
          <cell r="K908">
            <v>12344</v>
          </cell>
        </row>
        <row r="909">
          <cell r="B909" t="str">
            <v>소계</v>
          </cell>
          <cell r="D909" t="str">
            <v>제115호표</v>
          </cell>
          <cell r="H909">
            <v>40973</v>
          </cell>
          <cell r="J909">
            <v>33799</v>
          </cell>
          <cell r="K909">
            <v>74772</v>
          </cell>
        </row>
      </sheetData>
      <sheetData sheetId="9">
        <row r="1">
          <cell r="B1" t="str">
            <v>단  가  조  사  비  교  표</v>
          </cell>
        </row>
        <row r="2">
          <cell r="L2" t="str">
            <v>2019년 01월 조사</v>
          </cell>
        </row>
        <row r="3">
          <cell r="B3" t="str">
            <v>번호</v>
          </cell>
          <cell r="C3" t="str">
            <v>재  료  명</v>
          </cell>
          <cell r="D3" t="str">
            <v>재질 및 규격</v>
          </cell>
          <cell r="E3" t="str">
            <v>단위</v>
          </cell>
          <cell r="F3" t="str">
            <v>물가자료</v>
          </cell>
          <cell r="H3" t="str">
            <v>물가정보</v>
          </cell>
          <cell r="J3" t="str">
            <v>견적단가-1</v>
          </cell>
          <cell r="K3" t="str">
            <v>견적단가-2</v>
          </cell>
          <cell r="L3" t="str">
            <v>적용단가(100%)</v>
          </cell>
        </row>
        <row r="4">
          <cell r="F4" t="str">
            <v>단 가</v>
          </cell>
          <cell r="G4" t="str">
            <v>Page</v>
          </cell>
          <cell r="H4" t="str">
            <v>단 가</v>
          </cell>
          <cell r="I4" t="str">
            <v>Page</v>
          </cell>
          <cell r="N4">
            <v>1</v>
          </cell>
        </row>
        <row r="5">
          <cell r="B5" t="str">
            <v>단가-1번</v>
          </cell>
          <cell r="C5" t="str">
            <v>L-형강</v>
          </cell>
          <cell r="D5" t="str">
            <v>50*50*4T</v>
          </cell>
          <cell r="E5" t="str">
            <v>Kg</v>
          </cell>
          <cell r="F5">
            <v>2509</v>
          </cell>
          <cell r="G5">
            <v>45</v>
          </cell>
          <cell r="H5">
            <v>875</v>
          </cell>
          <cell r="I5" t="str">
            <v>Ⅰ-56</v>
          </cell>
          <cell r="L5">
            <v>875</v>
          </cell>
        </row>
        <row r="6">
          <cell r="B6" t="str">
            <v>단가-2번</v>
          </cell>
          <cell r="C6" t="str">
            <v>철판</v>
          </cell>
          <cell r="D6" t="str">
            <v>T1.2 GALV.</v>
          </cell>
          <cell r="E6" t="str">
            <v>M2</v>
          </cell>
          <cell r="F6">
            <v>9377</v>
          </cell>
          <cell r="G6">
            <v>54</v>
          </cell>
          <cell r="H6">
            <v>9232</v>
          </cell>
          <cell r="I6" t="str">
            <v>Ⅰ-66</v>
          </cell>
          <cell r="L6">
            <v>9232</v>
          </cell>
        </row>
        <row r="7">
          <cell r="B7" t="str">
            <v>단가-3번</v>
          </cell>
          <cell r="C7" t="str">
            <v>철판</v>
          </cell>
          <cell r="D7" t="str">
            <v>T1.6 GALV.</v>
          </cell>
          <cell r="E7" t="str">
            <v>M2</v>
          </cell>
          <cell r="F7">
            <v>12232</v>
          </cell>
          <cell r="G7">
            <v>54</v>
          </cell>
          <cell r="H7">
            <v>12299</v>
          </cell>
          <cell r="I7" t="str">
            <v>Ⅰ-66</v>
          </cell>
          <cell r="L7">
            <v>12232</v>
          </cell>
        </row>
        <row r="8">
          <cell r="B8" t="str">
            <v>단가-4번</v>
          </cell>
          <cell r="C8" t="str">
            <v>철판</v>
          </cell>
          <cell r="D8" t="str">
            <v>T3.2 GALV.</v>
          </cell>
          <cell r="E8" t="str">
            <v>M2</v>
          </cell>
          <cell r="F8">
            <v>21030</v>
          </cell>
          <cell r="G8">
            <v>54</v>
          </cell>
          <cell r="H8">
            <v>23095</v>
          </cell>
          <cell r="I8" t="str">
            <v>Ⅰ-66</v>
          </cell>
          <cell r="L8">
            <v>21030</v>
          </cell>
        </row>
        <row r="9">
          <cell r="B9" t="str">
            <v>단가-5번</v>
          </cell>
          <cell r="C9" t="str">
            <v>각파이프</v>
          </cell>
          <cell r="D9" t="str">
            <v>30*30*1.4T</v>
          </cell>
          <cell r="E9" t="str">
            <v>Kg</v>
          </cell>
          <cell r="G9">
            <v>64</v>
          </cell>
          <cell r="H9">
            <v>1018</v>
          </cell>
          <cell r="I9" t="str">
            <v>Ⅰ-75</v>
          </cell>
          <cell r="L9">
            <v>1018</v>
          </cell>
        </row>
        <row r="10">
          <cell r="B10" t="str">
            <v>단가-6번</v>
          </cell>
          <cell r="C10" t="str">
            <v>각파이프</v>
          </cell>
          <cell r="D10" t="str">
            <v>40*20*2.3T</v>
          </cell>
          <cell r="E10" t="str">
            <v>Kg</v>
          </cell>
          <cell r="F10">
            <v>857</v>
          </cell>
          <cell r="G10">
            <v>64</v>
          </cell>
          <cell r="H10">
            <v>966</v>
          </cell>
          <cell r="I10" t="str">
            <v>Ⅰ-75</v>
          </cell>
          <cell r="L10">
            <v>857</v>
          </cell>
        </row>
        <row r="11">
          <cell r="B11" t="str">
            <v>단가-7번</v>
          </cell>
          <cell r="C11" t="str">
            <v>각파이프</v>
          </cell>
          <cell r="D11" t="str">
            <v>40*40*1.4T</v>
          </cell>
          <cell r="E11" t="str">
            <v>Kg</v>
          </cell>
          <cell r="G11">
            <v>64</v>
          </cell>
          <cell r="H11">
            <v>1009</v>
          </cell>
          <cell r="I11" t="str">
            <v>Ⅰ-75</v>
          </cell>
          <cell r="L11">
            <v>1009</v>
          </cell>
        </row>
        <row r="12">
          <cell r="B12" t="str">
            <v>단가-8번</v>
          </cell>
          <cell r="C12" t="str">
            <v>각파이프</v>
          </cell>
          <cell r="D12" t="str">
            <v>50*50*1.4T</v>
          </cell>
          <cell r="E12" t="str">
            <v>Kg</v>
          </cell>
          <cell r="G12">
            <v>64</v>
          </cell>
          <cell r="H12">
            <v>1007</v>
          </cell>
          <cell r="I12" t="str">
            <v>Ⅰ-75</v>
          </cell>
          <cell r="L12">
            <v>1007</v>
          </cell>
        </row>
        <row r="13">
          <cell r="B13" t="str">
            <v>단가-9번</v>
          </cell>
          <cell r="C13" t="str">
            <v>각파이프</v>
          </cell>
          <cell r="D13" t="str">
            <v>100*50*2.3T</v>
          </cell>
          <cell r="E13" t="str">
            <v>Kg</v>
          </cell>
          <cell r="F13">
            <v>871</v>
          </cell>
          <cell r="G13">
            <v>64</v>
          </cell>
          <cell r="H13">
            <v>956</v>
          </cell>
          <cell r="I13" t="str">
            <v>Ⅰ-75</v>
          </cell>
          <cell r="L13">
            <v>871</v>
          </cell>
        </row>
        <row r="14">
          <cell r="B14" t="str">
            <v>단가-10번</v>
          </cell>
          <cell r="C14" t="str">
            <v>일반용철못</v>
          </cell>
          <cell r="D14" t="str">
            <v>N25</v>
          </cell>
          <cell r="E14" t="str">
            <v>Kg</v>
          </cell>
          <cell r="F14">
            <v>1585</v>
          </cell>
          <cell r="G14">
            <v>67</v>
          </cell>
          <cell r="H14">
            <v>1540</v>
          </cell>
          <cell r="I14" t="str">
            <v>Ⅰ-86</v>
          </cell>
          <cell r="L14">
            <v>1540</v>
          </cell>
        </row>
        <row r="15">
          <cell r="B15" t="str">
            <v>단가-11번</v>
          </cell>
          <cell r="C15" t="str">
            <v>일반용철못</v>
          </cell>
          <cell r="D15" t="str">
            <v>N50</v>
          </cell>
          <cell r="E15" t="str">
            <v>Kg</v>
          </cell>
          <cell r="F15">
            <v>1477</v>
          </cell>
          <cell r="G15">
            <v>67</v>
          </cell>
          <cell r="H15">
            <v>1385</v>
          </cell>
          <cell r="I15" t="str">
            <v>Ⅰ-86</v>
          </cell>
          <cell r="L15">
            <v>1385</v>
          </cell>
        </row>
        <row r="16">
          <cell r="B16" t="str">
            <v>단가-12번</v>
          </cell>
          <cell r="C16" t="str">
            <v>일반용철못</v>
          </cell>
          <cell r="D16" t="str">
            <v>N75</v>
          </cell>
          <cell r="E16" t="str">
            <v>Kg</v>
          </cell>
          <cell r="F16">
            <v>1437</v>
          </cell>
          <cell r="G16">
            <v>67</v>
          </cell>
          <cell r="H16">
            <v>1375</v>
          </cell>
          <cell r="I16" t="str">
            <v>Ⅰ-86</v>
          </cell>
          <cell r="L16">
            <v>1375</v>
          </cell>
        </row>
        <row r="17">
          <cell r="B17" t="str">
            <v>단가-13번</v>
          </cell>
          <cell r="C17" t="str">
            <v>전산볼트</v>
          </cell>
          <cell r="D17" t="str">
            <v>M8</v>
          </cell>
          <cell r="E17" t="str">
            <v>M</v>
          </cell>
          <cell r="F17">
            <v>722</v>
          </cell>
          <cell r="G17">
            <v>86</v>
          </cell>
          <cell r="H17">
            <v>584</v>
          </cell>
          <cell r="I17" t="str">
            <v>Ⅰ-99</v>
          </cell>
          <cell r="L17">
            <v>584</v>
          </cell>
        </row>
        <row r="18">
          <cell r="B18" t="str">
            <v>단가-14번</v>
          </cell>
          <cell r="C18" t="str">
            <v>스트롱앙카</v>
          </cell>
          <cell r="D18" t="str">
            <v>Ø6mm</v>
          </cell>
          <cell r="E18" t="str">
            <v>EA</v>
          </cell>
          <cell r="F18">
            <v>130</v>
          </cell>
          <cell r="G18">
            <v>92</v>
          </cell>
          <cell r="H18">
            <v>131</v>
          </cell>
          <cell r="I18" t="str">
            <v>Ⅰ-105</v>
          </cell>
          <cell r="L18">
            <v>130</v>
          </cell>
        </row>
        <row r="19">
          <cell r="B19" t="str">
            <v>단가-15번</v>
          </cell>
          <cell r="C19" t="str">
            <v>스테인리스작은나사</v>
          </cell>
          <cell r="D19" t="str">
            <v>M3*8mm</v>
          </cell>
          <cell r="E19" t="str">
            <v>EA</v>
          </cell>
          <cell r="F19">
            <v>13</v>
          </cell>
          <cell r="G19">
            <v>95</v>
          </cell>
          <cell r="H19">
            <v>12</v>
          </cell>
          <cell r="I19" t="str">
            <v>Ⅰ-96</v>
          </cell>
          <cell r="L19">
            <v>12</v>
          </cell>
        </row>
        <row r="20">
          <cell r="B20" t="str">
            <v>단가-16번</v>
          </cell>
          <cell r="C20" t="str">
            <v>집성스크류</v>
          </cell>
          <cell r="D20" t="str">
            <v>#8 25mm</v>
          </cell>
          <cell r="E20" t="str">
            <v>EA</v>
          </cell>
          <cell r="F20">
            <v>12</v>
          </cell>
          <cell r="G20">
            <v>95</v>
          </cell>
          <cell r="H20">
            <v>12</v>
          </cell>
          <cell r="I20" t="str">
            <v>Ⅰ-96</v>
          </cell>
          <cell r="L20">
            <v>12</v>
          </cell>
        </row>
        <row r="21">
          <cell r="B21" t="str">
            <v>단가-17번</v>
          </cell>
          <cell r="C21" t="str">
            <v>코레실</v>
          </cell>
          <cell r="D21" t="str">
            <v>SL907프리미엄</v>
          </cell>
          <cell r="E21" t="str">
            <v>L</v>
          </cell>
          <cell r="F21">
            <v>12666</v>
          </cell>
          <cell r="G21">
            <v>526</v>
          </cell>
          <cell r="H21">
            <v>10000</v>
          </cell>
          <cell r="I21" t="str">
            <v>Ⅱ-63</v>
          </cell>
          <cell r="L21">
            <v>10000</v>
          </cell>
        </row>
        <row r="22">
          <cell r="B22" t="str">
            <v>단가-18번</v>
          </cell>
          <cell r="C22" t="str">
            <v>광명단조합폐인트</v>
          </cell>
          <cell r="D22" t="str">
            <v>KSM6030-2</v>
          </cell>
          <cell r="E22" t="str">
            <v>L</v>
          </cell>
          <cell r="F22">
            <v>8983</v>
          </cell>
          <cell r="G22">
            <v>631</v>
          </cell>
          <cell r="H22">
            <v>11350</v>
          </cell>
          <cell r="I22" t="str">
            <v>Ⅱ-84</v>
          </cell>
          <cell r="L22">
            <v>8983</v>
          </cell>
        </row>
        <row r="23">
          <cell r="B23" t="str">
            <v>단가-19번</v>
          </cell>
          <cell r="C23" t="str">
            <v>비닐페인트</v>
          </cell>
          <cell r="D23" t="str">
            <v>WB290</v>
          </cell>
          <cell r="E23" t="str">
            <v>L</v>
          </cell>
          <cell r="F23">
            <v>5705</v>
          </cell>
          <cell r="G23">
            <v>628</v>
          </cell>
          <cell r="H23">
            <v>5725</v>
          </cell>
          <cell r="I23" t="str">
            <v>Ⅱ-86</v>
          </cell>
          <cell r="L23">
            <v>5705</v>
          </cell>
        </row>
        <row r="24">
          <cell r="B24" t="str">
            <v>단가-20번</v>
          </cell>
          <cell r="C24" t="str">
            <v>신너</v>
          </cell>
          <cell r="D24" t="str">
            <v>KSM-6060,1종</v>
          </cell>
          <cell r="E24" t="str">
            <v>L</v>
          </cell>
          <cell r="F24">
            <v>2711</v>
          </cell>
          <cell r="G24">
            <v>632</v>
          </cell>
          <cell r="H24">
            <v>3194</v>
          </cell>
          <cell r="I24" t="str">
            <v>Ⅱ-88</v>
          </cell>
          <cell r="L24">
            <v>2711</v>
          </cell>
        </row>
        <row r="25">
          <cell r="B25" t="str">
            <v>단가-21번</v>
          </cell>
          <cell r="C25" t="str">
            <v>신너</v>
          </cell>
          <cell r="D25" t="str">
            <v>KSM-6060,2종</v>
          </cell>
          <cell r="E25" t="str">
            <v>L</v>
          </cell>
          <cell r="F25">
            <v>2711</v>
          </cell>
          <cell r="G25">
            <v>632</v>
          </cell>
          <cell r="H25">
            <v>3338</v>
          </cell>
          <cell r="I25" t="str">
            <v>Ⅱ-88</v>
          </cell>
          <cell r="L25">
            <v>2711</v>
          </cell>
        </row>
        <row r="26">
          <cell r="B26" t="str">
            <v>단가-22번</v>
          </cell>
          <cell r="C26" t="str">
            <v>신너</v>
          </cell>
          <cell r="D26" t="str">
            <v>KSM6060-3</v>
          </cell>
          <cell r="E26" t="str">
            <v>L</v>
          </cell>
          <cell r="F26">
            <v>2577</v>
          </cell>
          <cell r="G26">
            <v>632</v>
          </cell>
          <cell r="H26">
            <v>3022</v>
          </cell>
          <cell r="I26" t="str">
            <v>Ⅱ-88</v>
          </cell>
          <cell r="L26">
            <v>2577</v>
          </cell>
        </row>
        <row r="27">
          <cell r="B27" t="str">
            <v>단가-23번</v>
          </cell>
          <cell r="C27" t="str">
            <v>칼라락카</v>
          </cell>
          <cell r="D27" t="str">
            <v>CL440</v>
          </cell>
          <cell r="E27" t="str">
            <v>L</v>
          </cell>
          <cell r="F27">
            <v>6467</v>
          </cell>
          <cell r="G27">
            <v>632</v>
          </cell>
          <cell r="H27">
            <v>7116</v>
          </cell>
          <cell r="I27" t="str">
            <v>Ⅱ-89</v>
          </cell>
          <cell r="L27">
            <v>6467</v>
          </cell>
        </row>
        <row r="28">
          <cell r="B28" t="str">
            <v>단가-24번</v>
          </cell>
          <cell r="C28" t="str">
            <v>우레탄신너</v>
          </cell>
          <cell r="D28" t="str">
            <v>037U</v>
          </cell>
          <cell r="E28" t="str">
            <v>L</v>
          </cell>
          <cell r="F28">
            <v>5000</v>
          </cell>
          <cell r="G28">
            <v>632</v>
          </cell>
          <cell r="H28">
            <v>5000</v>
          </cell>
          <cell r="I28" t="str">
            <v>Ⅱ-88</v>
          </cell>
          <cell r="L28">
            <v>5000</v>
          </cell>
        </row>
        <row r="29">
          <cell r="B29" t="str">
            <v>단가-25번</v>
          </cell>
          <cell r="C29" t="str">
            <v>락카사페사(락카)</v>
          </cell>
          <cell r="D29" t="str">
            <v>DNL-4150</v>
          </cell>
          <cell r="E29" t="str">
            <v>L</v>
          </cell>
          <cell r="F29">
            <v>5931</v>
          </cell>
          <cell r="G29">
            <v>632</v>
          </cell>
          <cell r="H29">
            <v>6261</v>
          </cell>
          <cell r="I29" t="str">
            <v>Ⅱ-88</v>
          </cell>
          <cell r="L29">
            <v>5931</v>
          </cell>
        </row>
        <row r="30">
          <cell r="B30" t="str">
            <v>단가-26번</v>
          </cell>
          <cell r="C30" t="str">
            <v>포리퍼티</v>
          </cell>
          <cell r="D30" t="str">
            <v>YGL017</v>
          </cell>
          <cell r="E30" t="str">
            <v>KG</v>
          </cell>
          <cell r="F30">
            <v>6750</v>
          </cell>
          <cell r="G30">
            <v>636</v>
          </cell>
          <cell r="H30">
            <v>6750</v>
          </cell>
          <cell r="I30" t="str">
            <v>Ⅱ-88</v>
          </cell>
          <cell r="L30">
            <v>6750</v>
          </cell>
        </row>
        <row r="31">
          <cell r="B31" t="str">
            <v>단가-27번</v>
          </cell>
          <cell r="C31" t="str">
            <v>워시프라이머</v>
          </cell>
          <cell r="D31" t="str">
            <v>ZQL011</v>
          </cell>
          <cell r="E31" t="str">
            <v>L</v>
          </cell>
          <cell r="F31">
            <v>6155</v>
          </cell>
          <cell r="G31">
            <v>631</v>
          </cell>
          <cell r="H31">
            <v>6155</v>
          </cell>
          <cell r="I31" t="str">
            <v>Ⅱ-91</v>
          </cell>
          <cell r="L31">
            <v>6155</v>
          </cell>
        </row>
        <row r="32">
          <cell r="B32" t="str">
            <v>단가-28번</v>
          </cell>
          <cell r="C32" t="str">
            <v>우레탄락카</v>
          </cell>
          <cell r="D32" t="str">
            <v>UR3600</v>
          </cell>
          <cell r="E32" t="str">
            <v>L</v>
          </cell>
          <cell r="F32">
            <v>16000</v>
          </cell>
          <cell r="G32">
            <v>638</v>
          </cell>
          <cell r="L32">
            <v>16000</v>
          </cell>
        </row>
        <row r="33">
          <cell r="B33" t="str">
            <v>단가-29번</v>
          </cell>
          <cell r="C33" t="str">
            <v xml:space="preserve">코아합판 </v>
          </cell>
          <cell r="D33" t="str">
            <v>T18mm*4'*8'</v>
          </cell>
          <cell r="E33" t="str">
            <v>M2</v>
          </cell>
          <cell r="F33">
            <v>10942</v>
          </cell>
          <cell r="G33">
            <v>691</v>
          </cell>
          <cell r="H33">
            <v>11649</v>
          </cell>
          <cell r="I33" t="str">
            <v>Ⅱ-181</v>
          </cell>
          <cell r="L33">
            <v>10942</v>
          </cell>
        </row>
        <row r="34">
          <cell r="B34" t="str">
            <v>단가-30번</v>
          </cell>
          <cell r="C34" t="str">
            <v>합판</v>
          </cell>
          <cell r="D34" t="str">
            <v>T8.5mm*4'*8'</v>
          </cell>
          <cell r="E34" t="str">
            <v>M2</v>
          </cell>
          <cell r="F34">
            <v>6882</v>
          </cell>
          <cell r="G34">
            <v>691</v>
          </cell>
          <cell r="H34">
            <v>7696</v>
          </cell>
          <cell r="I34" t="str">
            <v>Ⅱ-181</v>
          </cell>
          <cell r="L34">
            <v>6882</v>
          </cell>
        </row>
        <row r="35">
          <cell r="B35" t="str">
            <v>단가-31번</v>
          </cell>
          <cell r="C35" t="str">
            <v>합판</v>
          </cell>
          <cell r="D35" t="str">
            <v>T11.5mm*4'*8'</v>
          </cell>
          <cell r="E35" t="str">
            <v>M2</v>
          </cell>
          <cell r="F35">
            <v>8585</v>
          </cell>
          <cell r="G35">
            <v>691</v>
          </cell>
          <cell r="H35">
            <v>9606</v>
          </cell>
          <cell r="I35" t="str">
            <v>Ⅱ-181</v>
          </cell>
          <cell r="L35">
            <v>8585</v>
          </cell>
        </row>
        <row r="36">
          <cell r="B36" t="str">
            <v>단가-32번</v>
          </cell>
          <cell r="C36" t="str">
            <v>합판</v>
          </cell>
          <cell r="D36" t="str">
            <v>T15mm*4'*8'</v>
          </cell>
          <cell r="E36" t="str">
            <v>M2</v>
          </cell>
          <cell r="F36">
            <v>12323</v>
          </cell>
          <cell r="G36">
            <v>691</v>
          </cell>
          <cell r="H36">
            <v>13488</v>
          </cell>
          <cell r="I36" t="str">
            <v>Ⅱ-181</v>
          </cell>
          <cell r="L36">
            <v>12323</v>
          </cell>
        </row>
        <row r="37">
          <cell r="B37" t="str">
            <v>단가-33번</v>
          </cell>
          <cell r="C37" t="str">
            <v>mdf</v>
          </cell>
          <cell r="D37" t="str">
            <v>T9mm*4'*8'</v>
          </cell>
          <cell r="E37" t="str">
            <v>M2</v>
          </cell>
          <cell r="F37">
            <v>4612</v>
          </cell>
          <cell r="G37">
            <v>690</v>
          </cell>
          <cell r="H37">
            <v>4006</v>
          </cell>
          <cell r="I37" t="str">
            <v>Ⅱ-182</v>
          </cell>
          <cell r="L37">
            <v>4006</v>
          </cell>
        </row>
        <row r="38">
          <cell r="B38" t="str">
            <v>단가-34번</v>
          </cell>
          <cell r="C38" t="str">
            <v>mdf</v>
          </cell>
          <cell r="D38" t="str">
            <v>T12mm*4'*8'</v>
          </cell>
          <cell r="E38" t="str">
            <v>M2</v>
          </cell>
          <cell r="F38">
            <v>6026</v>
          </cell>
          <cell r="G38">
            <v>690</v>
          </cell>
          <cell r="H38">
            <v>5454</v>
          </cell>
          <cell r="I38" t="str">
            <v>Ⅱ-182</v>
          </cell>
          <cell r="L38">
            <v>5454</v>
          </cell>
        </row>
        <row r="39">
          <cell r="B39" t="str">
            <v>단가-35번</v>
          </cell>
          <cell r="C39" t="str">
            <v>mdf</v>
          </cell>
          <cell r="D39" t="str">
            <v>T15mm*4'*8'</v>
          </cell>
          <cell r="E39" t="str">
            <v>M2</v>
          </cell>
          <cell r="F39">
            <v>7441</v>
          </cell>
          <cell r="G39">
            <v>690</v>
          </cell>
          <cell r="H39">
            <v>6632</v>
          </cell>
          <cell r="I39" t="str">
            <v>Ⅱ-182</v>
          </cell>
          <cell r="L39">
            <v>6632</v>
          </cell>
        </row>
        <row r="40">
          <cell r="B40" t="str">
            <v>단가-36번</v>
          </cell>
          <cell r="C40" t="str">
            <v>초배지</v>
          </cell>
          <cell r="D40" t="str">
            <v>양지A급</v>
          </cell>
          <cell r="E40" t="str">
            <v>M2</v>
          </cell>
          <cell r="F40">
            <v>254</v>
          </cell>
          <cell r="G40">
            <v>711</v>
          </cell>
          <cell r="H40">
            <v>253</v>
          </cell>
          <cell r="I40" t="str">
            <v>Ⅱ-243</v>
          </cell>
          <cell r="L40">
            <v>253</v>
          </cell>
        </row>
        <row r="41">
          <cell r="B41" t="str">
            <v>단가-37번</v>
          </cell>
          <cell r="C41" t="str">
            <v>용접봉</v>
          </cell>
          <cell r="D41" t="str">
            <v>2.6mm(CR-13)</v>
          </cell>
          <cell r="E41" t="str">
            <v>KG</v>
          </cell>
          <cell r="F41">
            <v>3280</v>
          </cell>
          <cell r="G41">
            <v>1395</v>
          </cell>
          <cell r="H41">
            <v>3044</v>
          </cell>
          <cell r="I41" t="str">
            <v>Ⅰ-917</v>
          </cell>
          <cell r="L41">
            <v>3044</v>
          </cell>
        </row>
        <row r="42">
          <cell r="B42" t="str">
            <v>단가-38번</v>
          </cell>
          <cell r="C42" t="str">
            <v>연마포</v>
          </cell>
          <cell r="D42" t="str">
            <v>#120</v>
          </cell>
          <cell r="E42" t="str">
            <v>매</v>
          </cell>
          <cell r="F42">
            <v>440</v>
          </cell>
          <cell r="G42">
            <v>1420</v>
          </cell>
          <cell r="H42">
            <v>528</v>
          </cell>
          <cell r="I42" t="str">
            <v>Ⅰ-951</v>
          </cell>
          <cell r="L42">
            <v>440</v>
          </cell>
        </row>
        <row r="43">
          <cell r="B43" t="str">
            <v>단가-39번</v>
          </cell>
          <cell r="C43" t="str">
            <v>휘발유</v>
          </cell>
          <cell r="D43" t="str">
            <v>고급휘발유 탱크로리</v>
          </cell>
          <cell r="E43" t="str">
            <v>L</v>
          </cell>
          <cell r="F43">
            <v>1785</v>
          </cell>
          <cell r="G43" t="str">
            <v>하-32</v>
          </cell>
          <cell r="H43">
            <v>1595</v>
          </cell>
          <cell r="I43" t="str">
            <v>Ⅱ-560</v>
          </cell>
          <cell r="L43">
            <v>1595</v>
          </cell>
        </row>
        <row r="44">
          <cell r="B44" t="str">
            <v>단가-40번</v>
          </cell>
          <cell r="C44" t="str">
            <v>산소</v>
          </cell>
          <cell r="D44" t="str">
            <v>99%</v>
          </cell>
          <cell r="E44" t="str">
            <v>L</v>
          </cell>
          <cell r="F44">
            <v>375</v>
          </cell>
          <cell r="G44" t="str">
            <v>하-33</v>
          </cell>
          <cell r="H44">
            <v>325</v>
          </cell>
          <cell r="I44" t="str">
            <v>Ⅱ-561</v>
          </cell>
          <cell r="L44">
            <v>325</v>
          </cell>
        </row>
        <row r="45">
          <cell r="B45" t="str">
            <v>단가-41번</v>
          </cell>
          <cell r="C45" t="str">
            <v>아세틸렌</v>
          </cell>
          <cell r="D45">
            <v>0.99960000000000004</v>
          </cell>
          <cell r="E45" t="str">
            <v>KG</v>
          </cell>
          <cell r="F45">
            <v>17000</v>
          </cell>
          <cell r="G45" t="str">
            <v>하-33</v>
          </cell>
          <cell r="H45">
            <v>13000</v>
          </cell>
          <cell r="I45" t="str">
            <v>Ⅱ-561</v>
          </cell>
          <cell r="L45">
            <v>13000</v>
          </cell>
        </row>
        <row r="46">
          <cell r="B46" t="str">
            <v>단가-42번</v>
          </cell>
          <cell r="C46" t="str">
            <v>넝마</v>
          </cell>
          <cell r="D46" t="str">
            <v>면T/C 제품</v>
          </cell>
          <cell r="E46" t="str">
            <v>KG</v>
          </cell>
          <cell r="H46">
            <v>2000</v>
          </cell>
          <cell r="I46" t="str">
            <v>Ⅱ-643</v>
          </cell>
          <cell r="L46">
            <v>2000</v>
          </cell>
        </row>
        <row r="47">
          <cell r="B47" t="str">
            <v>단가-43번</v>
          </cell>
          <cell r="C47" t="str">
            <v>세제</v>
          </cell>
          <cell r="D47" t="str">
            <v>유리용</v>
          </cell>
          <cell r="E47" t="str">
            <v>KG</v>
          </cell>
          <cell r="F47">
            <v>2133.3333333333335</v>
          </cell>
          <cell r="G47" t="str">
            <v>하-117</v>
          </cell>
          <cell r="L47">
            <v>2133</v>
          </cell>
        </row>
        <row r="48">
          <cell r="B48" t="str">
            <v>단가-44번</v>
          </cell>
          <cell r="C48" t="str">
            <v>전력소요량</v>
          </cell>
          <cell r="E48" t="str">
            <v>KWH</v>
          </cell>
          <cell r="L48">
            <v>0</v>
          </cell>
        </row>
        <row r="49">
          <cell r="B49" t="str">
            <v>단가-45번</v>
          </cell>
          <cell r="C49" t="str">
            <v>본드</v>
          </cell>
          <cell r="D49" t="str">
            <v>도배용</v>
          </cell>
          <cell r="E49" t="str">
            <v>KG</v>
          </cell>
          <cell r="F49">
            <v>2500</v>
          </cell>
          <cell r="G49">
            <v>711</v>
          </cell>
          <cell r="L49">
            <v>2500</v>
          </cell>
        </row>
        <row r="50">
          <cell r="B50" t="str">
            <v>단가-46번</v>
          </cell>
          <cell r="C50" t="str">
            <v>석고보드</v>
          </cell>
          <cell r="D50" t="str">
            <v>T9.5mm*900*1,800</v>
          </cell>
          <cell r="E50" t="str">
            <v>M2</v>
          </cell>
          <cell r="F50">
            <v>2407</v>
          </cell>
          <cell r="G50">
            <v>698</v>
          </cell>
          <cell r="H50">
            <v>2592</v>
          </cell>
          <cell r="I50" t="str">
            <v>Ⅱ-182</v>
          </cell>
          <cell r="L50">
            <v>2407</v>
          </cell>
        </row>
        <row r="51">
          <cell r="B51" t="str">
            <v>단가-47번</v>
          </cell>
          <cell r="C51" t="str">
            <v>풀</v>
          </cell>
          <cell r="D51" t="str">
            <v>밀가루풀</v>
          </cell>
          <cell r="E51" t="str">
            <v>포</v>
          </cell>
          <cell r="F51">
            <v>4500</v>
          </cell>
          <cell r="G51">
            <v>711</v>
          </cell>
          <cell r="H51">
            <v>5000</v>
          </cell>
          <cell r="I51" t="str">
            <v>Ⅱ-243</v>
          </cell>
          <cell r="L51">
            <v>4500</v>
          </cell>
        </row>
        <row r="52">
          <cell r="B52" t="str">
            <v>단가-48번</v>
          </cell>
          <cell r="C52" t="str">
            <v>골판지 원단(보양지)</v>
          </cell>
          <cell r="D52" t="str">
            <v>2종</v>
          </cell>
          <cell r="E52" t="str">
            <v>㎡</v>
          </cell>
          <cell r="F52">
            <v>1164</v>
          </cell>
          <cell r="G52" t="str">
            <v>하-45</v>
          </cell>
          <cell r="H52">
            <v>890</v>
          </cell>
          <cell r="I52" t="str">
            <v>Ⅱ-627</v>
          </cell>
          <cell r="L52">
            <v>890</v>
          </cell>
        </row>
        <row r="53">
          <cell r="B53" t="str">
            <v>단가-49번</v>
          </cell>
          <cell r="C53" t="str">
            <v>가새</v>
          </cell>
          <cell r="D53" t="str">
            <v>L:1,518-2개</v>
          </cell>
          <cell r="E53" t="str">
            <v>조</v>
          </cell>
          <cell r="F53">
            <v>8000</v>
          </cell>
          <cell r="G53">
            <v>146</v>
          </cell>
          <cell r="H53">
            <v>9300</v>
          </cell>
          <cell r="I53" t="str">
            <v>Ⅱ-148</v>
          </cell>
          <cell r="L53">
            <v>8000</v>
          </cell>
        </row>
        <row r="54">
          <cell r="B54" t="str">
            <v>단가-50번</v>
          </cell>
          <cell r="C54" t="str">
            <v>인서트</v>
          </cell>
          <cell r="D54" t="str">
            <v xml:space="preserve"> 9mm</v>
          </cell>
          <cell r="E54" t="str">
            <v>개</v>
          </cell>
          <cell r="F54">
            <v>180</v>
          </cell>
          <cell r="G54">
            <v>543</v>
          </cell>
          <cell r="H54">
            <v>180</v>
          </cell>
          <cell r="I54" t="str">
            <v>Ⅱ-246</v>
          </cell>
          <cell r="L54">
            <v>180</v>
          </cell>
        </row>
        <row r="55">
          <cell r="B55" t="str">
            <v>단가-51번</v>
          </cell>
          <cell r="C55" t="str">
            <v>용접기</v>
          </cell>
          <cell r="D55" t="str">
            <v>교류 500AMP</v>
          </cell>
          <cell r="E55" t="str">
            <v>HR</v>
          </cell>
          <cell r="F55">
            <v>124</v>
          </cell>
          <cell r="G55">
            <v>1394</v>
          </cell>
          <cell r="L55">
            <v>124</v>
          </cell>
        </row>
        <row r="56">
          <cell r="B56" t="str">
            <v>단가-52번</v>
          </cell>
          <cell r="C56" t="str">
            <v>신너</v>
          </cell>
          <cell r="D56" t="str">
            <v>KSM6060-3</v>
          </cell>
          <cell r="E56" t="str">
            <v>ℓ</v>
          </cell>
          <cell r="F56">
            <v>2577</v>
          </cell>
          <cell r="G56">
            <v>632</v>
          </cell>
          <cell r="H56">
            <v>3022</v>
          </cell>
          <cell r="I56" t="str">
            <v>Ⅱ-88</v>
          </cell>
          <cell r="L56">
            <v>2577</v>
          </cell>
        </row>
        <row r="57">
          <cell r="B57" t="str">
            <v>단가-53번</v>
          </cell>
          <cell r="C57" t="str">
            <v>바퀴</v>
          </cell>
          <cell r="D57" t="str">
            <v>6"</v>
          </cell>
          <cell r="E57" t="str">
            <v>EA</v>
          </cell>
          <cell r="F57">
            <v>13600</v>
          </cell>
          <cell r="G57">
            <v>1430</v>
          </cell>
          <cell r="H57">
            <v>12000</v>
          </cell>
          <cell r="I57" t="str">
            <v>Ⅰ-944</v>
          </cell>
          <cell r="L57">
            <v>12000</v>
          </cell>
        </row>
        <row r="58">
          <cell r="B58" t="str">
            <v>단가-54번</v>
          </cell>
          <cell r="C58" t="str">
            <v>방수소켓</v>
          </cell>
          <cell r="D58" t="str">
            <v>6A 250V</v>
          </cell>
          <cell r="E58" t="str">
            <v>EA</v>
          </cell>
          <cell r="L58">
            <v>0</v>
          </cell>
        </row>
        <row r="59">
          <cell r="B59" t="str">
            <v>단가-55번</v>
          </cell>
          <cell r="C59" t="str">
            <v>백열전구</v>
          </cell>
          <cell r="D59" t="str">
            <v>220V 100W</v>
          </cell>
          <cell r="E59" t="str">
            <v>등</v>
          </cell>
          <cell r="F59">
            <v>700</v>
          </cell>
          <cell r="G59">
            <v>1217</v>
          </cell>
          <cell r="L59">
            <v>700</v>
          </cell>
        </row>
        <row r="60">
          <cell r="B60" t="str">
            <v>단가-56번</v>
          </cell>
          <cell r="C60" t="str">
            <v>목공용접착제</v>
          </cell>
          <cell r="D60">
            <v>205</v>
          </cell>
          <cell r="E60" t="str">
            <v>kg</v>
          </cell>
          <cell r="F60">
            <v>3529</v>
          </cell>
          <cell r="G60">
            <v>711</v>
          </cell>
          <cell r="H60">
            <v>4500</v>
          </cell>
          <cell r="I60" t="str">
            <v>Ⅱ-673</v>
          </cell>
          <cell r="L60">
            <v>3529</v>
          </cell>
        </row>
        <row r="61">
          <cell r="B61" t="str">
            <v>단가-57번</v>
          </cell>
          <cell r="C61" t="str">
            <v>AL 몰딩</v>
          </cell>
          <cell r="D61" t="str">
            <v>w형 1.0*15*15*15*15</v>
          </cell>
          <cell r="E61" t="str">
            <v>m</v>
          </cell>
          <cell r="F61">
            <v>1890</v>
          </cell>
          <cell r="G61">
            <v>543</v>
          </cell>
          <cell r="H61">
            <v>1890</v>
          </cell>
          <cell r="I61" t="str">
            <v>Ⅱ-246</v>
          </cell>
          <cell r="L61">
            <v>1890</v>
          </cell>
        </row>
        <row r="62">
          <cell r="B62" t="str">
            <v>단가-58번</v>
          </cell>
          <cell r="C62" t="str">
            <v>전선</v>
          </cell>
          <cell r="D62" t="str">
            <v>600V IV 2.0mm*3C</v>
          </cell>
          <cell r="E62" t="str">
            <v>m</v>
          </cell>
          <cell r="F62">
            <v>980</v>
          </cell>
          <cell r="G62">
            <v>1085</v>
          </cell>
          <cell r="L62">
            <v>980</v>
          </cell>
        </row>
        <row r="63">
          <cell r="B63" t="str">
            <v>단가-59번</v>
          </cell>
          <cell r="C63" t="str">
            <v>접착제</v>
          </cell>
          <cell r="D63" t="str">
            <v>석고본드</v>
          </cell>
          <cell r="E63" t="str">
            <v>Kg</v>
          </cell>
          <cell r="F63">
            <v>436</v>
          </cell>
          <cell r="G63">
            <v>698</v>
          </cell>
          <cell r="H63">
            <v>456</v>
          </cell>
          <cell r="I63" t="str">
            <v>Ⅱ-182</v>
          </cell>
          <cell r="L63">
            <v>436</v>
          </cell>
        </row>
        <row r="64">
          <cell r="B64" t="str">
            <v>단가-60번</v>
          </cell>
          <cell r="C64" t="str">
            <v>BRACE 찬넬</v>
          </cell>
          <cell r="D64" t="str">
            <v>0.8T   67*40</v>
          </cell>
          <cell r="E64" t="str">
            <v>m</v>
          </cell>
          <cell r="F64">
            <v>2140</v>
          </cell>
          <cell r="G64">
            <v>543</v>
          </cell>
          <cell r="H64">
            <v>2120</v>
          </cell>
          <cell r="I64" t="str">
            <v>Ⅱ-244</v>
          </cell>
          <cell r="L64">
            <v>2120</v>
          </cell>
        </row>
        <row r="65">
          <cell r="B65" t="str">
            <v>단가-61번</v>
          </cell>
          <cell r="C65" t="str">
            <v>공포</v>
          </cell>
          <cell r="D65" t="str">
            <v>C6,8-11m</v>
          </cell>
          <cell r="E65" t="str">
            <v>ea</v>
          </cell>
          <cell r="F65">
            <v>125</v>
          </cell>
          <cell r="G65">
            <v>1419</v>
          </cell>
          <cell r="L65">
            <v>125</v>
          </cell>
        </row>
        <row r="66">
          <cell r="B66" t="str">
            <v>단가-62번</v>
          </cell>
          <cell r="C66" t="str">
            <v>HILTPIN</v>
          </cell>
          <cell r="D66" t="str">
            <v>DX-450</v>
          </cell>
          <cell r="E66" t="str">
            <v>EA</v>
          </cell>
          <cell r="F66">
            <v>84</v>
          </cell>
          <cell r="G66">
            <v>1416</v>
          </cell>
          <cell r="L66">
            <v>84</v>
          </cell>
        </row>
        <row r="67">
          <cell r="B67" t="str">
            <v>단가-63번</v>
          </cell>
          <cell r="C67" t="str">
            <v>친환경수성페인트</v>
          </cell>
          <cell r="D67" t="str">
            <v>내부수성도료</v>
          </cell>
          <cell r="E67" t="str">
            <v>ℓ</v>
          </cell>
          <cell r="F67">
            <v>6300</v>
          </cell>
          <cell r="G67">
            <v>628</v>
          </cell>
          <cell r="H67">
            <v>5705</v>
          </cell>
          <cell r="I67" t="str">
            <v>Ⅱ-86</v>
          </cell>
          <cell r="L67">
            <v>5705</v>
          </cell>
        </row>
        <row r="68">
          <cell r="B68" t="str">
            <v>단가-64번</v>
          </cell>
          <cell r="C68" t="str">
            <v>퍼티</v>
          </cell>
          <cell r="D68" t="str">
            <v>핸디코트</v>
          </cell>
          <cell r="E68" t="str">
            <v>Kg</v>
          </cell>
          <cell r="F68">
            <v>1030</v>
          </cell>
          <cell r="G68">
            <v>636</v>
          </cell>
          <cell r="H68">
            <v>1127</v>
          </cell>
          <cell r="I68" t="str">
            <v>Ⅱ-89</v>
          </cell>
          <cell r="L68">
            <v>1030</v>
          </cell>
        </row>
        <row r="69">
          <cell r="B69" t="str">
            <v>단가-65번</v>
          </cell>
          <cell r="C69" t="str">
            <v>휠러</v>
          </cell>
          <cell r="D69" t="str">
            <v>외부용 25kg</v>
          </cell>
          <cell r="E69" t="str">
            <v>Kg</v>
          </cell>
          <cell r="F69">
            <v>1650</v>
          </cell>
          <cell r="G69">
            <v>636</v>
          </cell>
          <cell r="L69">
            <v>1650</v>
          </cell>
        </row>
        <row r="70">
          <cell r="B70" t="str">
            <v>단가-66번</v>
          </cell>
          <cell r="C70" t="str">
            <v>연마지</v>
          </cell>
          <cell r="D70" t="str">
            <v>#120</v>
          </cell>
          <cell r="E70" t="str">
            <v>매</v>
          </cell>
          <cell r="F70">
            <v>260</v>
          </cell>
          <cell r="G70">
            <v>1420</v>
          </cell>
          <cell r="H70">
            <v>319</v>
          </cell>
          <cell r="I70" t="str">
            <v>Ⅰ-951</v>
          </cell>
          <cell r="L70">
            <v>260</v>
          </cell>
        </row>
        <row r="71">
          <cell r="B71" t="str">
            <v>단가-67번</v>
          </cell>
          <cell r="C71" t="str">
            <v>인테리어필름지</v>
          </cell>
          <cell r="D71" t="str">
            <v>방염</v>
          </cell>
          <cell r="E71" t="str">
            <v>㎡</v>
          </cell>
          <cell r="F71">
            <v>34000</v>
          </cell>
          <cell r="G71">
            <v>700</v>
          </cell>
          <cell r="H71">
            <v>34000</v>
          </cell>
          <cell r="I71" t="str">
            <v>Ⅱ-239</v>
          </cell>
          <cell r="L71">
            <v>34000</v>
          </cell>
        </row>
        <row r="72">
          <cell r="B72" t="str">
            <v>단가-68번</v>
          </cell>
          <cell r="C72" t="str">
            <v>접착제</v>
          </cell>
          <cell r="D72" t="str">
            <v>수성프라이머나-2000</v>
          </cell>
          <cell r="E72" t="str">
            <v>Kg</v>
          </cell>
          <cell r="H72">
            <v>5400</v>
          </cell>
          <cell r="I72" t="str">
            <v>Ⅰ-118</v>
          </cell>
          <cell r="L72">
            <v>5400</v>
          </cell>
        </row>
        <row r="73">
          <cell r="B73" t="str">
            <v>단가-69번</v>
          </cell>
          <cell r="C73" t="str">
            <v>강화유리</v>
          </cell>
          <cell r="D73" t="str">
            <v>T12mm</v>
          </cell>
          <cell r="E73" t="str">
            <v>M2</v>
          </cell>
          <cell r="F73">
            <v>40000</v>
          </cell>
          <cell r="G73">
            <v>626</v>
          </cell>
          <cell r="H73">
            <v>38000</v>
          </cell>
          <cell r="I73" t="str">
            <v>Ⅱ-152</v>
          </cell>
          <cell r="L73">
            <v>38000</v>
          </cell>
        </row>
        <row r="74">
          <cell r="B74" t="str">
            <v>단가-70번</v>
          </cell>
          <cell r="C74" t="str">
            <v>강화유리</v>
          </cell>
          <cell r="D74" t="str">
            <v>T10mm</v>
          </cell>
          <cell r="E74" t="str">
            <v>M2</v>
          </cell>
          <cell r="F74">
            <v>32000</v>
          </cell>
          <cell r="G74">
            <v>626</v>
          </cell>
          <cell r="H74">
            <v>33400</v>
          </cell>
          <cell r="I74" t="str">
            <v>Ⅱ-152</v>
          </cell>
          <cell r="L74">
            <v>32000</v>
          </cell>
        </row>
        <row r="75">
          <cell r="B75" t="str">
            <v>단가-71번</v>
          </cell>
          <cell r="C75" t="str">
            <v>강화유리</v>
          </cell>
          <cell r="D75" t="str">
            <v>T8mm</v>
          </cell>
          <cell r="E75" t="str">
            <v>M2</v>
          </cell>
          <cell r="F75">
            <v>25000</v>
          </cell>
          <cell r="G75">
            <v>626</v>
          </cell>
          <cell r="H75">
            <v>26300</v>
          </cell>
          <cell r="I75" t="str">
            <v>Ⅱ-152</v>
          </cell>
          <cell r="L75">
            <v>25000</v>
          </cell>
        </row>
        <row r="76">
          <cell r="B76" t="str">
            <v>단가-72번</v>
          </cell>
          <cell r="C76" t="str">
            <v>쉐락니스</v>
          </cell>
          <cell r="E76" t="str">
            <v>L</v>
          </cell>
          <cell r="J76">
            <v>4850</v>
          </cell>
          <cell r="K76">
            <v>5000</v>
          </cell>
          <cell r="L76">
            <v>4850</v>
          </cell>
        </row>
        <row r="77">
          <cell r="B77" t="str">
            <v>단가-73번</v>
          </cell>
          <cell r="C77" t="str">
            <v>화이버테이프</v>
          </cell>
          <cell r="E77" t="str">
            <v>m</v>
          </cell>
          <cell r="J77">
            <v>60</v>
          </cell>
          <cell r="K77">
            <v>65</v>
          </cell>
          <cell r="L77">
            <v>60</v>
          </cell>
        </row>
        <row r="78">
          <cell r="B78" t="str">
            <v>단가-74번</v>
          </cell>
          <cell r="C78" t="str">
            <v>M-BAR</v>
          </cell>
          <cell r="D78" t="str">
            <v>50*20*0.8T</v>
          </cell>
          <cell r="E78" t="str">
            <v>M</v>
          </cell>
          <cell r="J78">
            <v>3500</v>
          </cell>
          <cell r="K78">
            <v>3800</v>
          </cell>
          <cell r="L78">
            <v>3500</v>
          </cell>
        </row>
        <row r="79">
          <cell r="B79" t="str">
            <v>단가-75번</v>
          </cell>
          <cell r="C79" t="str">
            <v>그림걸이레일</v>
          </cell>
          <cell r="E79" t="str">
            <v>M</v>
          </cell>
          <cell r="J79">
            <v>6500</v>
          </cell>
          <cell r="K79">
            <v>11500</v>
          </cell>
          <cell r="L79">
            <v>6500</v>
          </cell>
        </row>
        <row r="80">
          <cell r="B80" t="str">
            <v>단가-76번</v>
          </cell>
          <cell r="C80" t="str">
            <v>망사테이프</v>
          </cell>
          <cell r="E80" t="str">
            <v>M</v>
          </cell>
          <cell r="J80">
            <v>320</v>
          </cell>
          <cell r="K80">
            <v>350</v>
          </cell>
          <cell r="L80">
            <v>320</v>
          </cell>
        </row>
        <row r="81">
          <cell r="B81" t="str">
            <v>단가-77번</v>
          </cell>
          <cell r="C81" t="str">
            <v>면취</v>
          </cell>
          <cell r="E81" t="str">
            <v>M</v>
          </cell>
          <cell r="J81">
            <v>11000</v>
          </cell>
          <cell r="K81">
            <v>12000</v>
          </cell>
          <cell r="L81">
            <v>11000</v>
          </cell>
        </row>
        <row r="82">
          <cell r="B82" t="str">
            <v>단가-78번</v>
          </cell>
          <cell r="C82" t="str">
            <v>피아노경첩</v>
          </cell>
          <cell r="E82" t="str">
            <v>M</v>
          </cell>
          <cell r="J82">
            <v>12000</v>
          </cell>
          <cell r="K82">
            <v>13000</v>
          </cell>
          <cell r="L82">
            <v>12000</v>
          </cell>
        </row>
        <row r="83">
          <cell r="B83" t="str">
            <v>단가-79번</v>
          </cell>
          <cell r="C83" t="str">
            <v>매입경첩</v>
          </cell>
          <cell r="D83" t="str">
            <v>중형</v>
          </cell>
          <cell r="E83" t="str">
            <v>set</v>
          </cell>
          <cell r="J83">
            <v>35000</v>
          </cell>
          <cell r="K83">
            <v>42000</v>
          </cell>
          <cell r="L83">
            <v>35000</v>
          </cell>
        </row>
        <row r="84">
          <cell r="B84" t="str">
            <v>단가-80번</v>
          </cell>
          <cell r="C84" t="str">
            <v>AL.패킹바</v>
          </cell>
          <cell r="E84" t="str">
            <v>M</v>
          </cell>
          <cell r="J84">
            <v>5000</v>
          </cell>
          <cell r="K84">
            <v>6500</v>
          </cell>
          <cell r="L84">
            <v>5000</v>
          </cell>
        </row>
        <row r="85">
          <cell r="B85" t="str">
            <v>단가-81번</v>
          </cell>
          <cell r="C85" t="str">
            <v>밀폐패킹</v>
          </cell>
          <cell r="D85" t="str">
            <v>소형</v>
          </cell>
          <cell r="E85" t="str">
            <v>M</v>
          </cell>
          <cell r="J85">
            <v>6000</v>
          </cell>
          <cell r="K85">
            <v>8000</v>
          </cell>
          <cell r="L85">
            <v>6000</v>
          </cell>
        </row>
        <row r="86">
          <cell r="B86" t="str">
            <v>단가-82번</v>
          </cell>
          <cell r="C86" t="str">
            <v>밀폐패킹</v>
          </cell>
          <cell r="D86" t="str">
            <v>대형</v>
          </cell>
          <cell r="E86" t="str">
            <v>M</v>
          </cell>
          <cell r="J86">
            <v>9000</v>
          </cell>
          <cell r="K86">
            <v>11000</v>
          </cell>
          <cell r="L86">
            <v>9000</v>
          </cell>
        </row>
        <row r="87">
          <cell r="B87" t="str">
            <v>단가-83번</v>
          </cell>
          <cell r="C87" t="str">
            <v>LOCK SET</v>
          </cell>
          <cell r="D87" t="str">
            <v>TWO PIN</v>
          </cell>
          <cell r="E87" t="str">
            <v>EA</v>
          </cell>
          <cell r="J87">
            <v>30000</v>
          </cell>
          <cell r="K87">
            <v>36000</v>
          </cell>
          <cell r="L87">
            <v>30000</v>
          </cell>
        </row>
        <row r="88">
          <cell r="B88" t="str">
            <v>단가-84번</v>
          </cell>
          <cell r="C88" t="str">
            <v>LOCK SET보강</v>
          </cell>
          <cell r="E88" t="str">
            <v>EA</v>
          </cell>
          <cell r="J88">
            <v>15000</v>
          </cell>
          <cell r="K88">
            <v>20000</v>
          </cell>
          <cell r="L88">
            <v>15000</v>
          </cell>
        </row>
        <row r="89">
          <cell r="B89" t="str">
            <v>단가-85번</v>
          </cell>
          <cell r="C89" t="str">
            <v>세마직벽지</v>
          </cell>
          <cell r="D89" t="str">
            <v>1회 특수벽지</v>
          </cell>
          <cell r="E89" t="str">
            <v>M2</v>
          </cell>
          <cell r="J89">
            <v>38000</v>
          </cell>
          <cell r="K89">
            <v>42000</v>
          </cell>
          <cell r="L89">
            <v>38000</v>
          </cell>
        </row>
        <row r="90">
          <cell r="B90" t="str">
            <v>단가-86번</v>
          </cell>
          <cell r="C90" t="str">
            <v>LED 전반조명 CASE</v>
          </cell>
          <cell r="E90" t="str">
            <v>M</v>
          </cell>
          <cell r="J90">
            <v>140000</v>
          </cell>
          <cell r="K90">
            <v>150000</v>
          </cell>
          <cell r="L90">
            <v>140000</v>
          </cell>
        </row>
        <row r="91">
          <cell r="B91" t="str">
            <v>단가-87번</v>
          </cell>
          <cell r="C91" t="str">
            <v>AL.사출유리후렘성형가공</v>
          </cell>
          <cell r="D91" t="str">
            <v>벽부장(상부)205</v>
          </cell>
          <cell r="E91" t="str">
            <v>M</v>
          </cell>
          <cell r="J91">
            <v>200000</v>
          </cell>
          <cell r="K91">
            <v>250000</v>
          </cell>
          <cell r="L91">
            <v>200000</v>
          </cell>
        </row>
        <row r="92">
          <cell r="B92" t="str">
            <v>단가-88번</v>
          </cell>
          <cell r="C92" t="str">
            <v>AL.사출유리후렘성형가공</v>
          </cell>
          <cell r="D92" t="str">
            <v>벽부장(하부)117</v>
          </cell>
          <cell r="E92" t="str">
            <v>M</v>
          </cell>
          <cell r="J92">
            <v>120000</v>
          </cell>
          <cell r="K92">
            <v>150000</v>
          </cell>
          <cell r="L92">
            <v>120000</v>
          </cell>
        </row>
        <row r="93">
          <cell r="B93" t="str">
            <v>단가-89번</v>
          </cell>
          <cell r="C93" t="str">
            <v>AL.사출유리후렘성형가공</v>
          </cell>
          <cell r="D93" t="str">
            <v>독립장(상부)150</v>
          </cell>
          <cell r="E93" t="str">
            <v>M</v>
          </cell>
          <cell r="J93">
            <v>150000</v>
          </cell>
          <cell r="K93">
            <v>190000</v>
          </cell>
          <cell r="L93">
            <v>150000</v>
          </cell>
        </row>
        <row r="94">
          <cell r="B94" t="str">
            <v>단가-90번</v>
          </cell>
          <cell r="C94" t="str">
            <v>AL.사출유리후렘성형가공</v>
          </cell>
          <cell r="D94" t="str">
            <v>독립장(하부)103</v>
          </cell>
          <cell r="E94" t="str">
            <v>M</v>
          </cell>
          <cell r="J94">
            <v>110000</v>
          </cell>
          <cell r="K94">
            <v>150000</v>
          </cell>
          <cell r="L94">
            <v>110000</v>
          </cell>
        </row>
        <row r="95">
          <cell r="B95" t="str">
            <v>단가-91번</v>
          </cell>
          <cell r="C95" t="str">
            <v>LM가이드시스템</v>
          </cell>
          <cell r="D95" t="str">
            <v>Ø25</v>
          </cell>
          <cell r="E95" t="str">
            <v>SET</v>
          </cell>
          <cell r="J95">
            <v>120000</v>
          </cell>
          <cell r="K95">
            <v>150000</v>
          </cell>
          <cell r="L95">
            <v>120000</v>
          </cell>
        </row>
        <row r="96">
          <cell r="B96" t="str">
            <v>단가-92번</v>
          </cell>
          <cell r="C96" t="str">
            <v>LM가이드(조명용)</v>
          </cell>
          <cell r="D96" t="str">
            <v>Ø25</v>
          </cell>
          <cell r="E96" t="str">
            <v>SET</v>
          </cell>
          <cell r="J96">
            <v>110000</v>
          </cell>
          <cell r="K96">
            <v>140000</v>
          </cell>
          <cell r="L96">
            <v>110000</v>
          </cell>
        </row>
        <row r="97">
          <cell r="B97" t="str">
            <v>단가-93번</v>
          </cell>
          <cell r="C97" t="str">
            <v>LM가이드시스템보강판</v>
          </cell>
          <cell r="D97" t="str">
            <v>T10mm 레이져 가공</v>
          </cell>
          <cell r="E97" t="str">
            <v>ea</v>
          </cell>
          <cell r="J97">
            <v>18000</v>
          </cell>
          <cell r="K97">
            <v>19000</v>
          </cell>
          <cell r="L97">
            <v>18000</v>
          </cell>
        </row>
        <row r="98">
          <cell r="B98" t="str">
            <v>단가-94번</v>
          </cell>
          <cell r="C98" t="str">
            <v>모터구동시스템</v>
          </cell>
          <cell r="D98" t="str">
            <v>웜기어 전동실린더</v>
          </cell>
          <cell r="E98" t="str">
            <v>SET</v>
          </cell>
          <cell r="J98">
            <v>300000</v>
          </cell>
          <cell r="K98">
            <v>400000</v>
          </cell>
          <cell r="L98">
            <v>300000</v>
          </cell>
        </row>
        <row r="99">
          <cell r="B99" t="str">
            <v>단가-95번</v>
          </cell>
          <cell r="C99" t="str">
            <v>모터구동시스템보강</v>
          </cell>
          <cell r="D99" t="str">
            <v>T10mm 레이져 가공</v>
          </cell>
          <cell r="E99" t="str">
            <v>ea</v>
          </cell>
          <cell r="J99">
            <v>38000</v>
          </cell>
          <cell r="K99">
            <v>39000</v>
          </cell>
          <cell r="L99">
            <v>38000</v>
          </cell>
        </row>
        <row r="100">
          <cell r="B100" t="str">
            <v>단가-96번</v>
          </cell>
          <cell r="C100" t="str">
            <v>베어링레일및가공</v>
          </cell>
          <cell r="D100" t="str">
            <v>22*42 2.3T 가공</v>
          </cell>
          <cell r="E100" t="str">
            <v>M</v>
          </cell>
          <cell r="J100">
            <v>130000</v>
          </cell>
          <cell r="K100">
            <v>200000</v>
          </cell>
          <cell r="L100">
            <v>130000</v>
          </cell>
        </row>
        <row r="101">
          <cell r="B101" t="str">
            <v>단가-97번</v>
          </cell>
          <cell r="C101" t="str">
            <v>슬라이딩베어링</v>
          </cell>
          <cell r="D101" t="str">
            <v>Ø26</v>
          </cell>
          <cell r="E101" t="str">
            <v>EA</v>
          </cell>
          <cell r="J101">
            <v>6500</v>
          </cell>
          <cell r="K101">
            <v>7000</v>
          </cell>
          <cell r="L101">
            <v>6500</v>
          </cell>
        </row>
        <row r="102">
          <cell r="B102" t="str">
            <v>단가-98번</v>
          </cell>
          <cell r="C102" t="str">
            <v>베어링붓싱가공</v>
          </cell>
          <cell r="D102" t="str">
            <v>#6200</v>
          </cell>
          <cell r="E102" t="str">
            <v>EA</v>
          </cell>
          <cell r="J102">
            <v>6000</v>
          </cell>
          <cell r="K102">
            <v>6300</v>
          </cell>
          <cell r="L102">
            <v>6000</v>
          </cell>
        </row>
        <row r="103">
          <cell r="B103" t="str">
            <v>단가-99번</v>
          </cell>
          <cell r="C103" t="str">
            <v>센터베어링및스톱파</v>
          </cell>
          <cell r="D103" t="str">
            <v>벽부형</v>
          </cell>
          <cell r="E103" t="str">
            <v>ea</v>
          </cell>
          <cell r="J103">
            <v>80000</v>
          </cell>
          <cell r="K103">
            <v>100000</v>
          </cell>
          <cell r="L103">
            <v>80000</v>
          </cell>
        </row>
        <row r="104">
          <cell r="B104" t="str">
            <v>단가-100번</v>
          </cell>
          <cell r="C104" t="str">
            <v>센터베어링및스톱파</v>
          </cell>
          <cell r="D104" t="str">
            <v>독립형1단</v>
          </cell>
          <cell r="E104" t="str">
            <v>ea</v>
          </cell>
          <cell r="J104">
            <v>70000</v>
          </cell>
          <cell r="K104">
            <v>120000</v>
          </cell>
          <cell r="L104">
            <v>70000</v>
          </cell>
        </row>
        <row r="105">
          <cell r="B105" t="str">
            <v>단가-101번</v>
          </cell>
          <cell r="C105" t="str">
            <v>센터베어링및스톱파</v>
          </cell>
          <cell r="D105" t="str">
            <v>독립형2단</v>
          </cell>
          <cell r="E105" t="str">
            <v>ea</v>
          </cell>
          <cell r="J105">
            <v>100000</v>
          </cell>
          <cell r="K105">
            <v>150000</v>
          </cell>
          <cell r="L105">
            <v>100000</v>
          </cell>
        </row>
        <row r="106">
          <cell r="B106" t="str">
            <v>단가-102번</v>
          </cell>
          <cell r="C106" t="str">
            <v>센터베어링가이드</v>
          </cell>
          <cell r="D106" t="str">
            <v>T2.3mm 가공</v>
          </cell>
          <cell r="E106" t="str">
            <v>ea</v>
          </cell>
          <cell r="J106">
            <v>15000</v>
          </cell>
          <cell r="K106">
            <v>18000</v>
          </cell>
          <cell r="L106">
            <v>15000</v>
          </cell>
        </row>
        <row r="107">
          <cell r="B107" t="str">
            <v>단가-103번</v>
          </cell>
          <cell r="C107" t="str">
            <v>CASTER&amp;ADJUSTER</v>
          </cell>
          <cell r="E107" t="str">
            <v>EA</v>
          </cell>
          <cell r="J107">
            <v>40000</v>
          </cell>
          <cell r="K107">
            <v>50000</v>
          </cell>
          <cell r="L107">
            <v>40000</v>
          </cell>
        </row>
        <row r="108">
          <cell r="B108" t="str">
            <v>단가-104번</v>
          </cell>
          <cell r="C108" t="str">
            <v>CASTER&amp;ADJUSTER보강</v>
          </cell>
          <cell r="D108" t="str">
            <v>T4.5mm 레이져 가공</v>
          </cell>
          <cell r="E108" t="str">
            <v>EA</v>
          </cell>
          <cell r="J108">
            <v>10000</v>
          </cell>
          <cell r="K108">
            <v>15000</v>
          </cell>
          <cell r="L108">
            <v>10000</v>
          </cell>
        </row>
        <row r="109">
          <cell r="B109" t="str">
            <v>단가-105번</v>
          </cell>
          <cell r="C109" t="str">
            <v>유압쇽업쇼바</v>
          </cell>
          <cell r="D109" t="str">
            <v>20kg</v>
          </cell>
          <cell r="E109" t="str">
            <v>SET</v>
          </cell>
          <cell r="J109">
            <v>20000</v>
          </cell>
          <cell r="K109">
            <v>25000</v>
          </cell>
          <cell r="L109">
            <v>20000</v>
          </cell>
        </row>
        <row r="110">
          <cell r="B110" t="str">
            <v>단가-106번</v>
          </cell>
          <cell r="C110" t="str">
            <v>유압쇽업쇼바</v>
          </cell>
          <cell r="D110" t="str">
            <v>40kg</v>
          </cell>
          <cell r="E110" t="str">
            <v>SET</v>
          </cell>
          <cell r="J110">
            <v>30000</v>
          </cell>
          <cell r="K110">
            <v>40000</v>
          </cell>
          <cell r="L110">
            <v>30000</v>
          </cell>
        </row>
        <row r="111">
          <cell r="B111" t="str">
            <v>단가-107번</v>
          </cell>
          <cell r="C111" t="str">
            <v>유압쇽업쇼바 보강</v>
          </cell>
          <cell r="D111" t="str">
            <v>T4.5mm 레이져 가공</v>
          </cell>
          <cell r="E111" t="str">
            <v>ea</v>
          </cell>
          <cell r="J111">
            <v>9000</v>
          </cell>
          <cell r="K111">
            <v>11000</v>
          </cell>
          <cell r="L111">
            <v>9000</v>
          </cell>
        </row>
        <row r="112">
          <cell r="B112" t="str">
            <v>단가-108번</v>
          </cell>
          <cell r="C112" t="str">
            <v>이동식배면판(전동식)</v>
          </cell>
          <cell r="D112" t="str">
            <v>4800*3400</v>
          </cell>
          <cell r="E112" t="str">
            <v>SET</v>
          </cell>
          <cell r="J112">
            <v>11000000</v>
          </cell>
          <cell r="K112">
            <v>12000000</v>
          </cell>
          <cell r="L112">
            <v>11000000</v>
          </cell>
        </row>
        <row r="113">
          <cell r="B113" t="str">
            <v>단가-109번</v>
          </cell>
          <cell r="C113" t="str">
            <v>이동식배면판(전동식)</v>
          </cell>
          <cell r="D113" t="str">
            <v>7200*3400</v>
          </cell>
          <cell r="E113" t="str">
            <v>SET</v>
          </cell>
          <cell r="J113">
            <v>15000000</v>
          </cell>
          <cell r="K113">
            <v>17000000</v>
          </cell>
          <cell r="L113">
            <v>15000000</v>
          </cell>
        </row>
        <row r="114">
          <cell r="B114" t="str">
            <v>단가-110번</v>
          </cell>
          <cell r="C114" t="str">
            <v>저반사 접합유리(투과율99%)</v>
          </cell>
          <cell r="D114" t="str">
            <v>T10.76mm</v>
          </cell>
          <cell r="E114" t="str">
            <v>M2</v>
          </cell>
          <cell r="J114">
            <v>1500000</v>
          </cell>
          <cell r="K114">
            <v>1550000</v>
          </cell>
          <cell r="L114">
            <v>1500000</v>
          </cell>
        </row>
        <row r="115">
          <cell r="B115" t="str">
            <v>단가-111번</v>
          </cell>
          <cell r="C115" t="str">
            <v>저반사 접합유리(투과율98%)</v>
          </cell>
          <cell r="D115" t="str">
            <v>T10.76mm</v>
          </cell>
          <cell r="E115" t="str">
            <v>M2</v>
          </cell>
          <cell r="J115">
            <v>1250000</v>
          </cell>
          <cell r="K115">
            <v>1300000</v>
          </cell>
          <cell r="L115">
            <v>1250000</v>
          </cell>
        </row>
        <row r="116">
          <cell r="B116" t="str">
            <v>단가-112번</v>
          </cell>
          <cell r="C116" t="str">
            <v>저반사 접합유리(투과율96%)</v>
          </cell>
          <cell r="D116" t="str">
            <v>T10.76mm</v>
          </cell>
          <cell r="E116" t="str">
            <v>M2</v>
          </cell>
          <cell r="J116">
            <v>980000</v>
          </cell>
          <cell r="K116">
            <v>1030000</v>
          </cell>
          <cell r="L116">
            <v>980000</v>
          </cell>
        </row>
        <row r="117">
          <cell r="B117" t="str">
            <v>단가-113번</v>
          </cell>
          <cell r="C117" t="str">
            <v>화이트 접합유리</v>
          </cell>
          <cell r="D117" t="str">
            <v>T10.76mm</v>
          </cell>
          <cell r="E117" t="str">
            <v>M2</v>
          </cell>
          <cell r="J117">
            <v>210000</v>
          </cell>
          <cell r="K117">
            <v>225000</v>
          </cell>
          <cell r="L117">
            <v>209450</v>
          </cell>
        </row>
        <row r="118">
          <cell r="B118" t="str">
            <v>단가-114번</v>
          </cell>
          <cell r="C118" t="str">
            <v>화이트 접합유리</v>
          </cell>
          <cell r="D118" t="str">
            <v>T12.76mm (2,400*3,400기준)</v>
          </cell>
          <cell r="E118" t="str">
            <v>M2</v>
          </cell>
          <cell r="J118">
            <v>215000</v>
          </cell>
          <cell r="K118">
            <v>230000</v>
          </cell>
          <cell r="L118">
            <v>214450</v>
          </cell>
        </row>
        <row r="119">
          <cell r="B119" t="str">
            <v>단가-115번</v>
          </cell>
          <cell r="C119" t="str">
            <v>투명 접합유리</v>
          </cell>
          <cell r="D119" t="str">
            <v>T12.76mm (2,400*3,000기준)</v>
          </cell>
          <cell r="E119" t="str">
            <v>M2</v>
          </cell>
          <cell r="J119">
            <v>145000</v>
          </cell>
          <cell r="K119">
            <v>143000</v>
          </cell>
          <cell r="L119">
            <v>143000</v>
          </cell>
        </row>
        <row r="120">
          <cell r="B120" t="str">
            <v>단가-116번</v>
          </cell>
          <cell r="C120" t="str">
            <v>투명 접합유리</v>
          </cell>
          <cell r="D120" t="str">
            <v>T12.76mm (2,400*3,400기준)</v>
          </cell>
          <cell r="E120" t="str">
            <v>M2</v>
          </cell>
          <cell r="J120">
            <v>198000</v>
          </cell>
          <cell r="K120">
            <v>199000</v>
          </cell>
          <cell r="L120">
            <v>198000</v>
          </cell>
        </row>
        <row r="121">
          <cell r="B121" t="str">
            <v>단가-117번</v>
          </cell>
          <cell r="C121" t="str">
            <v>투명 접합유리</v>
          </cell>
          <cell r="D121" t="str">
            <v>T10.76mm</v>
          </cell>
          <cell r="E121" t="str">
            <v>M2</v>
          </cell>
          <cell r="J121">
            <v>135000</v>
          </cell>
          <cell r="K121">
            <v>150000</v>
          </cell>
          <cell r="L121">
            <v>135000</v>
          </cell>
        </row>
        <row r="122">
          <cell r="B122" t="str">
            <v>단가-118번</v>
          </cell>
          <cell r="C122" t="str">
            <v>투명 접합유리</v>
          </cell>
          <cell r="D122" t="str">
            <v>T6.38mm</v>
          </cell>
          <cell r="E122" t="str">
            <v>M2</v>
          </cell>
          <cell r="J122">
            <v>110000</v>
          </cell>
          <cell r="K122">
            <v>120000</v>
          </cell>
          <cell r="L122">
            <v>110000</v>
          </cell>
        </row>
        <row r="123">
          <cell r="B123" t="str">
            <v>단가-119번</v>
          </cell>
          <cell r="C123" t="str">
            <v>조명용 아크릴</v>
          </cell>
          <cell r="D123" t="str">
            <v>T5mm</v>
          </cell>
          <cell r="E123" t="str">
            <v>m2</v>
          </cell>
          <cell r="J123">
            <v>71000</v>
          </cell>
          <cell r="K123">
            <v>85000</v>
          </cell>
          <cell r="L123">
            <v>71000</v>
          </cell>
        </row>
        <row r="124">
          <cell r="B124" t="str">
            <v>단가-120번</v>
          </cell>
          <cell r="C124" t="str">
            <v>박물관용led 램프</v>
          </cell>
          <cell r="D124" t="str">
            <v>트랙형</v>
          </cell>
          <cell r="E124" t="str">
            <v>set</v>
          </cell>
          <cell r="J124">
            <v>480000</v>
          </cell>
          <cell r="K124">
            <v>500000</v>
          </cell>
          <cell r="L124">
            <v>480000</v>
          </cell>
        </row>
        <row r="125">
          <cell r="B125" t="str">
            <v>단가-121번</v>
          </cell>
          <cell r="C125" t="str">
            <v>박물관용led 램프</v>
          </cell>
          <cell r="D125" t="str">
            <v>핀스포트형(벽부형)</v>
          </cell>
          <cell r="E125" t="str">
            <v>EA</v>
          </cell>
          <cell r="J125">
            <v>170000</v>
          </cell>
          <cell r="K125">
            <v>200000</v>
          </cell>
          <cell r="L125">
            <v>170000</v>
          </cell>
        </row>
        <row r="126">
          <cell r="B126" t="str">
            <v>단가-122번</v>
          </cell>
          <cell r="C126" t="str">
            <v>박물관용led 램프</v>
          </cell>
          <cell r="D126" t="str">
            <v>핀스포트형(독립장형)</v>
          </cell>
          <cell r="E126" t="str">
            <v>EA</v>
          </cell>
          <cell r="J126">
            <v>110000</v>
          </cell>
          <cell r="K126">
            <v>150000</v>
          </cell>
          <cell r="L126">
            <v>110000</v>
          </cell>
        </row>
        <row r="127">
          <cell r="B127" t="str">
            <v>단가-123번</v>
          </cell>
          <cell r="C127" t="str">
            <v>박물관용led BAR</v>
          </cell>
          <cell r="D127" t="str">
            <v>상부천장용</v>
          </cell>
          <cell r="E127" t="str">
            <v>M</v>
          </cell>
          <cell r="J127">
            <v>100000</v>
          </cell>
          <cell r="K127">
            <v>135000</v>
          </cell>
          <cell r="L127">
            <v>100000</v>
          </cell>
        </row>
        <row r="128">
          <cell r="B128" t="str">
            <v>단가-124번</v>
          </cell>
          <cell r="C128" t="str">
            <v>알루미늄판</v>
          </cell>
          <cell r="D128" t="str">
            <v>4T*900*1800</v>
          </cell>
          <cell r="E128" t="str">
            <v>M2</v>
          </cell>
          <cell r="J128">
            <v>130000</v>
          </cell>
          <cell r="K128">
            <v>150000</v>
          </cell>
          <cell r="L128">
            <v>130000</v>
          </cell>
        </row>
        <row r="129">
          <cell r="B129" t="str">
            <v>단가-125번</v>
          </cell>
          <cell r="C129" t="str">
            <v>박물관용led 램프</v>
          </cell>
          <cell r="D129" t="str">
            <v>컨트롤러(24채널)</v>
          </cell>
          <cell r="E129" t="str">
            <v>set</v>
          </cell>
          <cell r="J129">
            <v>800000</v>
          </cell>
          <cell r="K129">
            <v>1000000</v>
          </cell>
          <cell r="L129">
            <v>800000</v>
          </cell>
        </row>
        <row r="130">
          <cell r="B130" t="str">
            <v>단가-126번</v>
          </cell>
          <cell r="C130" t="str">
            <v>박물관용led 램프</v>
          </cell>
          <cell r="D130" t="str">
            <v>컨트롤러(16채널)</v>
          </cell>
          <cell r="E130" t="str">
            <v>set</v>
          </cell>
          <cell r="J130">
            <v>650000</v>
          </cell>
          <cell r="K130">
            <v>850000</v>
          </cell>
          <cell r="L130">
            <v>650000</v>
          </cell>
        </row>
        <row r="131">
          <cell r="B131" t="str">
            <v>단가-127번</v>
          </cell>
          <cell r="C131" t="str">
            <v>박물관용led 램프</v>
          </cell>
          <cell r="D131" t="str">
            <v>컨트롤러(8채널)</v>
          </cell>
          <cell r="E131" t="str">
            <v>set</v>
          </cell>
          <cell r="J131">
            <v>600000</v>
          </cell>
          <cell r="K131">
            <v>700000</v>
          </cell>
          <cell r="L131">
            <v>600000</v>
          </cell>
        </row>
        <row r="132">
          <cell r="B132" t="str">
            <v>단가-128번</v>
          </cell>
          <cell r="C132" t="str">
            <v>박물관용led BAR</v>
          </cell>
          <cell r="D132" t="str">
            <v>컨트롤러</v>
          </cell>
          <cell r="E132" t="str">
            <v>set</v>
          </cell>
          <cell r="J132">
            <v>400000</v>
          </cell>
          <cell r="K132">
            <v>550000</v>
          </cell>
          <cell r="L132">
            <v>400000</v>
          </cell>
        </row>
        <row r="133">
          <cell r="B133" t="str">
            <v>단가-129번</v>
          </cell>
          <cell r="C133" t="str">
            <v>전후진 전동콘트롤라</v>
          </cell>
          <cell r="D133" t="str">
            <v>벽부형</v>
          </cell>
          <cell r="E133" t="str">
            <v>SET</v>
          </cell>
          <cell r="J133">
            <v>900000</v>
          </cell>
          <cell r="K133">
            <v>1150000</v>
          </cell>
          <cell r="L133">
            <v>900000</v>
          </cell>
        </row>
        <row r="134">
          <cell r="B134" t="str">
            <v>단가-130번</v>
          </cell>
          <cell r="C134" t="str">
            <v>전후진 전동콘트롤라</v>
          </cell>
          <cell r="D134" t="str">
            <v>독립형</v>
          </cell>
          <cell r="E134" t="str">
            <v>SET</v>
          </cell>
          <cell r="J134">
            <v>400000</v>
          </cell>
          <cell r="K134">
            <v>500000</v>
          </cell>
          <cell r="L134">
            <v>400000</v>
          </cell>
        </row>
        <row r="135">
          <cell r="B135" t="str">
            <v>단가-131번</v>
          </cell>
          <cell r="C135" t="str">
            <v>LED 파워컨트롤러</v>
          </cell>
          <cell r="D135" t="str">
            <v>SMPS</v>
          </cell>
          <cell r="E135" t="str">
            <v>EA</v>
          </cell>
          <cell r="J135">
            <v>130000</v>
          </cell>
          <cell r="K135">
            <v>160000</v>
          </cell>
          <cell r="L135">
            <v>130000</v>
          </cell>
        </row>
        <row r="136">
          <cell r="B136" t="str">
            <v>단가-132번</v>
          </cell>
          <cell r="C136" t="str">
            <v>멀티트랙</v>
          </cell>
          <cell r="D136" t="str">
            <v>트랙레일(1회로)</v>
          </cell>
          <cell r="E136" t="str">
            <v>M</v>
          </cell>
          <cell r="J136">
            <v>23800</v>
          </cell>
          <cell r="K136">
            <v>32000</v>
          </cell>
          <cell r="L136">
            <v>23800</v>
          </cell>
        </row>
        <row r="137">
          <cell r="B137" t="str">
            <v>단가-133번</v>
          </cell>
          <cell r="C137" t="str">
            <v>멀티트랙</v>
          </cell>
          <cell r="D137" t="str">
            <v>연결소켓(1회로)</v>
          </cell>
          <cell r="E137" t="str">
            <v>EA</v>
          </cell>
          <cell r="J137">
            <v>12200</v>
          </cell>
          <cell r="K137">
            <v>15000</v>
          </cell>
          <cell r="L137">
            <v>12200</v>
          </cell>
        </row>
        <row r="138">
          <cell r="B138" t="str">
            <v>단가-134번</v>
          </cell>
          <cell r="C138" t="str">
            <v>멀티트랙</v>
          </cell>
          <cell r="D138" t="str">
            <v>S/F(1회로)</v>
          </cell>
          <cell r="E138" t="str">
            <v>SET</v>
          </cell>
          <cell r="J138">
            <v>15750</v>
          </cell>
          <cell r="K138">
            <v>22000</v>
          </cell>
          <cell r="L138">
            <v>15750</v>
          </cell>
        </row>
        <row r="139">
          <cell r="B139" t="str">
            <v>단가-135번</v>
          </cell>
          <cell r="C139" t="str">
            <v>내부 사이드 도어</v>
          </cell>
          <cell r="E139" t="str">
            <v>SET</v>
          </cell>
          <cell r="J139">
            <v>1100000</v>
          </cell>
          <cell r="K139">
            <v>1200000</v>
          </cell>
          <cell r="L139">
            <v>1100000</v>
          </cell>
        </row>
        <row r="140">
          <cell r="B140" t="str">
            <v>단가-136번</v>
          </cell>
          <cell r="C140" t="str">
            <v>외부 포켓 도어</v>
          </cell>
          <cell r="E140" t="str">
            <v>SET</v>
          </cell>
          <cell r="J140">
            <v>1150000</v>
          </cell>
          <cell r="K140">
            <v>1300000</v>
          </cell>
          <cell r="L140">
            <v>1150000</v>
          </cell>
        </row>
      </sheetData>
      <sheetData sheetId="10">
        <row r="2">
          <cell r="E2" t="str">
            <v xml:space="preserve">2019.1 발표 </v>
          </cell>
          <cell r="F2" t="str">
            <v>2019적용</v>
          </cell>
        </row>
        <row r="3">
          <cell r="B3" t="str">
            <v>직   종   명</v>
          </cell>
          <cell r="C3" t="str">
            <v>기본금(적용)</v>
          </cell>
          <cell r="E3" t="str">
            <v>상여금</v>
          </cell>
          <cell r="F3" t="str">
            <v>퇴직급여충담금</v>
          </cell>
          <cell r="G3" t="str">
            <v>계</v>
          </cell>
          <cell r="H3">
            <v>1</v>
          </cell>
        </row>
        <row r="4">
          <cell r="C4" t="str">
            <v>주 1)</v>
          </cell>
          <cell r="E4" t="str">
            <v>주 2)</v>
          </cell>
          <cell r="F4" t="str">
            <v>주 3)</v>
          </cell>
        </row>
        <row r="5">
          <cell r="B5" t="str">
            <v>절곡원</v>
          </cell>
          <cell r="C5">
            <v>84511</v>
          </cell>
          <cell r="D5" t="str">
            <v>제조임율-12</v>
          </cell>
          <cell r="G5">
            <v>84511</v>
          </cell>
        </row>
        <row r="6">
          <cell r="B6" t="str">
            <v>쇠톱기조작원</v>
          </cell>
          <cell r="C6">
            <v>77087</v>
          </cell>
          <cell r="D6" t="str">
            <v>제조임율-30</v>
          </cell>
          <cell r="G6">
            <v>77087</v>
          </cell>
        </row>
        <row r="7">
          <cell r="B7" t="str">
            <v>절단원</v>
          </cell>
          <cell r="C7">
            <v>88131</v>
          </cell>
          <cell r="D7" t="str">
            <v>제조임율-32</v>
          </cell>
          <cell r="G7">
            <v>88131</v>
          </cell>
        </row>
        <row r="8">
          <cell r="B8" t="str">
            <v>프레나기조작원</v>
          </cell>
          <cell r="C8">
            <v>78123</v>
          </cell>
          <cell r="D8" t="str">
            <v>제조임율-38</v>
          </cell>
          <cell r="G8">
            <v>78123</v>
          </cell>
        </row>
        <row r="9">
          <cell r="B9" t="str">
            <v>용접원</v>
          </cell>
          <cell r="C9">
            <v>88936</v>
          </cell>
          <cell r="D9" t="str">
            <v>제조임율-50</v>
          </cell>
          <cell r="G9">
            <v>88936</v>
          </cell>
        </row>
        <row r="10">
          <cell r="B10" t="str">
            <v>연마원</v>
          </cell>
          <cell r="C10">
            <v>79069</v>
          </cell>
          <cell r="D10" t="str">
            <v>제조임율-52</v>
          </cell>
          <cell r="G10">
            <v>79069</v>
          </cell>
        </row>
        <row r="11">
          <cell r="B11" t="str">
            <v>도장원(취부)</v>
          </cell>
          <cell r="C11">
            <v>88334</v>
          </cell>
          <cell r="D11" t="str">
            <v>제조임율-55</v>
          </cell>
          <cell r="G11">
            <v>88334</v>
          </cell>
        </row>
        <row r="12">
          <cell r="B12" t="str">
            <v>단순노무종사원</v>
          </cell>
          <cell r="C12">
            <v>72020</v>
          </cell>
          <cell r="D12" t="str">
            <v>제조임율-135</v>
          </cell>
          <cell r="G12">
            <v>72020</v>
          </cell>
        </row>
        <row r="13">
          <cell r="B13" t="str">
            <v>작업반장</v>
          </cell>
          <cell r="C13">
            <v>108234</v>
          </cell>
          <cell r="D13" t="str">
            <v>제조임율-136</v>
          </cell>
          <cell r="G13">
            <v>108234</v>
          </cell>
        </row>
        <row r="14">
          <cell r="B14" t="str">
            <v>보통인부</v>
          </cell>
          <cell r="C14">
            <v>125427</v>
          </cell>
          <cell r="D14" t="str">
            <v>건설노임-1002</v>
          </cell>
          <cell r="G14">
            <v>125427</v>
          </cell>
        </row>
        <row r="15">
          <cell r="B15" t="str">
            <v>특별인부</v>
          </cell>
          <cell r="C15">
            <v>152019</v>
          </cell>
          <cell r="D15" t="str">
            <v>건설노임-1003</v>
          </cell>
          <cell r="G15">
            <v>152019</v>
          </cell>
        </row>
        <row r="16">
          <cell r="B16" t="str">
            <v>비계공</v>
          </cell>
          <cell r="C16">
            <v>224359</v>
          </cell>
          <cell r="D16" t="str">
            <v>건설노임-1006</v>
          </cell>
          <cell r="G16">
            <v>224359</v>
          </cell>
        </row>
        <row r="17">
          <cell r="B17" t="str">
            <v>철공</v>
          </cell>
          <cell r="C17">
            <v>178249</v>
          </cell>
          <cell r="D17" t="str">
            <v>건설노임-1009</v>
          </cell>
          <cell r="G17">
            <v>178249</v>
          </cell>
        </row>
        <row r="18">
          <cell r="B18" t="str">
            <v>용접공</v>
          </cell>
          <cell r="C18">
            <v>198711</v>
          </cell>
          <cell r="D18" t="str">
            <v>건설노임-1012</v>
          </cell>
          <cell r="G18">
            <v>198711</v>
          </cell>
        </row>
        <row r="19">
          <cell r="B19" t="str">
            <v>건축목공</v>
          </cell>
          <cell r="C19">
            <v>200925</v>
          </cell>
          <cell r="D19" t="str">
            <v>건설노임-1023</v>
          </cell>
          <cell r="G19">
            <v>200925</v>
          </cell>
        </row>
        <row r="20">
          <cell r="B20" t="str">
            <v>유리공</v>
          </cell>
          <cell r="C20">
            <v>181240</v>
          </cell>
          <cell r="D20" t="str">
            <v>건설노임-1025</v>
          </cell>
          <cell r="G20">
            <v>181240</v>
          </cell>
        </row>
        <row r="21">
          <cell r="B21" t="str">
            <v>도장공</v>
          </cell>
          <cell r="C21">
            <v>184508</v>
          </cell>
          <cell r="D21" t="str">
            <v>건설노임-1029</v>
          </cell>
          <cell r="G21">
            <v>184508</v>
          </cell>
        </row>
        <row r="22">
          <cell r="B22" t="str">
            <v>내장공</v>
          </cell>
          <cell r="C22">
            <v>189600</v>
          </cell>
          <cell r="D22" t="str">
            <v>건설노임-1030</v>
          </cell>
          <cell r="G22">
            <v>189600</v>
          </cell>
        </row>
        <row r="23">
          <cell r="B23" t="str">
            <v>도배공</v>
          </cell>
          <cell r="C23">
            <v>165558</v>
          </cell>
          <cell r="D23" t="str">
            <v>건설노임-1031</v>
          </cell>
          <cell r="G23">
            <v>165558</v>
          </cell>
        </row>
        <row r="24">
          <cell r="B24" t="str">
            <v>내선전공</v>
          </cell>
          <cell r="C24">
            <v>225408</v>
          </cell>
          <cell r="D24" t="str">
            <v>건설노임-1075</v>
          </cell>
          <cell r="G24">
            <v>225408</v>
          </cell>
        </row>
        <row r="25">
          <cell r="B25" t="str">
            <v>통신설비공</v>
          </cell>
          <cell r="C25">
            <v>224927</v>
          </cell>
          <cell r="D25" t="str">
            <v>건설노임-1087</v>
          </cell>
          <cell r="G25">
            <v>224927</v>
          </cell>
        </row>
        <row r="26">
          <cell r="B26" t="str">
            <v>코킹공</v>
          </cell>
          <cell r="C26">
            <v>163904</v>
          </cell>
          <cell r="D26" t="str">
            <v>건설노임-5007</v>
          </cell>
          <cell r="G26">
            <v>163904</v>
          </cell>
        </row>
      </sheetData>
      <sheetData sheetId="1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전체계약집계표"/>
      <sheetName val="요인별증감내역(전시) (2)"/>
      <sheetName val="원가"/>
      <sheetName val="내역서"/>
      <sheetName val="산출"/>
      <sheetName val="일위목록"/>
      <sheetName val="일위대가"/>
      <sheetName val="단가"/>
      <sheetName val="노임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건명: 국립전주박물관 선비문화실 개편</v>
          </cell>
        </row>
      </sheetData>
      <sheetData sheetId="5" refreshError="1"/>
      <sheetData sheetId="6">
        <row r="1">
          <cell r="B1" t="str">
            <v>일 위 대 가  목 록 표</v>
          </cell>
        </row>
        <row r="2">
          <cell r="B2" t="str">
            <v>건명: 국립전주박물관 선비문화실 개편</v>
          </cell>
        </row>
        <row r="3">
          <cell r="A3" t="str">
            <v>구   분</v>
          </cell>
          <cell r="B3" t="str">
            <v>번  호</v>
          </cell>
          <cell r="C3" t="str">
            <v>명      칭</v>
          </cell>
          <cell r="D3" t="str">
            <v>규      격</v>
          </cell>
          <cell r="E3" t="str">
            <v>단 위</v>
          </cell>
          <cell r="F3" t="str">
            <v>재 료 비</v>
          </cell>
          <cell r="G3" t="str">
            <v>노 무 비</v>
          </cell>
          <cell r="H3" t="str">
            <v>계</v>
          </cell>
        </row>
        <row r="4">
          <cell r="A4" t="str">
            <v>철구조물가공조립KG</v>
          </cell>
          <cell r="B4" t="str">
            <v>제1호표</v>
          </cell>
          <cell r="C4" t="str">
            <v>철구조물가공조립</v>
          </cell>
          <cell r="D4" t="str">
            <v/>
          </cell>
          <cell r="E4" t="str">
            <v>KG</v>
          </cell>
          <cell r="F4">
            <v>377</v>
          </cell>
          <cell r="G4">
            <v>7802</v>
          </cell>
          <cell r="H4">
            <v>8179</v>
          </cell>
        </row>
        <row r="5">
          <cell r="A5" t="str">
            <v>잡철물제작설치보통기준TON</v>
          </cell>
          <cell r="B5" t="str">
            <v>제2호표</v>
          </cell>
          <cell r="C5" t="str">
            <v>잡철물제작설치</v>
          </cell>
          <cell r="D5" t="str">
            <v>보통기준</v>
          </cell>
          <cell r="E5" t="str">
            <v>TON</v>
          </cell>
          <cell r="F5">
            <v>234996</v>
          </cell>
          <cell r="G5">
            <v>3645806</v>
          </cell>
          <cell r="H5">
            <v>3880802</v>
          </cell>
        </row>
        <row r="6">
          <cell r="A6" t="str">
            <v>잡철물제작설치복잡기준TON</v>
          </cell>
          <cell r="B6" t="str">
            <v>제3호표</v>
          </cell>
          <cell r="C6" t="str">
            <v>잡철물제작설치</v>
          </cell>
          <cell r="D6" t="str">
            <v>복잡기준</v>
          </cell>
          <cell r="E6" t="str">
            <v>TON</v>
          </cell>
          <cell r="F6">
            <v>270547</v>
          </cell>
          <cell r="G6">
            <v>4253441</v>
          </cell>
          <cell r="H6">
            <v>4523988</v>
          </cell>
        </row>
        <row r="7">
          <cell r="A7" t="str">
            <v>잡철물설치T1.2GALV.M2</v>
          </cell>
          <cell r="B7" t="str">
            <v>제4호표</v>
          </cell>
          <cell r="C7" t="str">
            <v>잡철물설치</v>
          </cell>
          <cell r="D7" t="str">
            <v>T1.2 GALV.</v>
          </cell>
          <cell r="E7" t="str">
            <v>M2</v>
          </cell>
          <cell r="F7">
            <v>2092</v>
          </cell>
          <cell r="G7">
            <v>32960</v>
          </cell>
          <cell r="H7">
            <v>35052</v>
          </cell>
        </row>
        <row r="8">
          <cell r="A8" t="str">
            <v>잡철물설치T1.5ST'LM2</v>
          </cell>
          <cell r="B8" t="str">
            <v>제5호표</v>
          </cell>
          <cell r="C8" t="str">
            <v>잡철물설치</v>
          </cell>
          <cell r="D8" t="str">
            <v>T1.5 ST'L</v>
          </cell>
          <cell r="E8" t="str">
            <v>M2</v>
          </cell>
          <cell r="F8">
            <v>2543</v>
          </cell>
          <cell r="G8">
            <v>40063</v>
          </cell>
          <cell r="H8">
            <v>42606</v>
          </cell>
        </row>
        <row r="9">
          <cell r="A9" t="str">
            <v>잡철물설치T1.6GALV.M2</v>
          </cell>
          <cell r="B9" t="str">
            <v>제6호표</v>
          </cell>
          <cell r="C9" t="str">
            <v>잡철물설치</v>
          </cell>
          <cell r="D9" t="str">
            <v>T1.6 GALV.</v>
          </cell>
          <cell r="E9" t="str">
            <v>M2</v>
          </cell>
          <cell r="F9">
            <v>3442</v>
          </cell>
          <cell r="G9">
            <v>54225</v>
          </cell>
          <cell r="H9">
            <v>57667</v>
          </cell>
        </row>
        <row r="10">
          <cell r="A10" t="str">
            <v>잡철물설치T2.0ST'LM2</v>
          </cell>
          <cell r="B10" t="str">
            <v>제7호표</v>
          </cell>
          <cell r="C10" t="str">
            <v>잡철물설치</v>
          </cell>
          <cell r="D10" t="str">
            <v>T2.0 ST'L</v>
          </cell>
          <cell r="E10" t="str">
            <v>M2</v>
          </cell>
          <cell r="F10">
            <v>4241</v>
          </cell>
          <cell r="G10">
            <v>66814</v>
          </cell>
          <cell r="H10">
            <v>71055</v>
          </cell>
        </row>
        <row r="11">
          <cell r="A11" t="str">
            <v>잡철물설치T2.3ST'LM2</v>
          </cell>
          <cell r="B11" t="str">
            <v>제8호표</v>
          </cell>
          <cell r="C11" t="str">
            <v>잡철물설치</v>
          </cell>
          <cell r="D11" t="str">
            <v>T2.3 ST'L</v>
          </cell>
          <cell r="E11" t="str">
            <v>M2</v>
          </cell>
          <cell r="F11">
            <v>4878</v>
          </cell>
          <cell r="G11">
            <v>76851</v>
          </cell>
          <cell r="H11">
            <v>81729</v>
          </cell>
        </row>
        <row r="12">
          <cell r="A12" t="str">
            <v>잡철물설치T3.2ST'LM2</v>
          </cell>
          <cell r="B12" t="str">
            <v>제9호표</v>
          </cell>
          <cell r="C12" t="str">
            <v>잡철물설치</v>
          </cell>
          <cell r="D12" t="str">
            <v>T3.2 ST'L</v>
          </cell>
          <cell r="E12" t="str">
            <v>M2</v>
          </cell>
          <cell r="F12">
            <v>5880</v>
          </cell>
          <cell r="G12">
            <v>91598</v>
          </cell>
          <cell r="H12">
            <v>97478</v>
          </cell>
        </row>
        <row r="13">
          <cell r="A13" t="str">
            <v>잡철물설치T4.0ST'LM2</v>
          </cell>
          <cell r="B13" t="str">
            <v>제10호표</v>
          </cell>
          <cell r="C13" t="str">
            <v>잡철물설치</v>
          </cell>
          <cell r="D13" t="str">
            <v>T4.0 ST'L</v>
          </cell>
          <cell r="E13" t="str">
            <v>M2</v>
          </cell>
          <cell r="F13">
            <v>8475</v>
          </cell>
          <cell r="G13">
            <v>133501</v>
          </cell>
          <cell r="H13">
            <v>141976</v>
          </cell>
        </row>
        <row r="14">
          <cell r="A14" t="str">
            <v>잡철물설치T5.0ST'LM2</v>
          </cell>
          <cell r="B14" t="str">
            <v>제11호표</v>
          </cell>
          <cell r="C14" t="str">
            <v>잡철물설치</v>
          </cell>
          <cell r="D14" t="str">
            <v>T5.0 ST'L</v>
          </cell>
          <cell r="E14" t="str">
            <v>M2</v>
          </cell>
          <cell r="F14">
            <v>10635</v>
          </cell>
          <cell r="G14">
            <v>167525</v>
          </cell>
          <cell r="H14">
            <v>178160</v>
          </cell>
        </row>
        <row r="15">
          <cell r="A15" t="str">
            <v>절단가공T1.2GALV.M</v>
          </cell>
          <cell r="B15" t="str">
            <v>제12호표</v>
          </cell>
          <cell r="C15" t="str">
            <v>절단가공</v>
          </cell>
          <cell r="D15" t="str">
            <v>T1.2 GALV.</v>
          </cell>
          <cell r="E15" t="str">
            <v>M</v>
          </cell>
          <cell r="F15">
            <v>0</v>
          </cell>
          <cell r="G15">
            <v>1651</v>
          </cell>
          <cell r="H15">
            <v>1651</v>
          </cell>
        </row>
        <row r="16">
          <cell r="A16" t="str">
            <v>절단가공T1.6GALV.M</v>
          </cell>
          <cell r="B16" t="str">
            <v>제13호표</v>
          </cell>
          <cell r="C16" t="str">
            <v>절단가공</v>
          </cell>
          <cell r="D16" t="str">
            <v>T1.6 GALV.</v>
          </cell>
          <cell r="E16" t="str">
            <v>M</v>
          </cell>
          <cell r="F16">
            <v>0</v>
          </cell>
          <cell r="G16">
            <v>1981</v>
          </cell>
          <cell r="H16">
            <v>1981</v>
          </cell>
        </row>
        <row r="17">
          <cell r="A17" t="str">
            <v>절단가공T2.0ST'LM</v>
          </cell>
          <cell r="B17" t="str">
            <v>제14호표</v>
          </cell>
          <cell r="C17" t="str">
            <v>절단가공</v>
          </cell>
          <cell r="D17" t="str">
            <v>T2.0 ST'L</v>
          </cell>
          <cell r="E17" t="str">
            <v>M</v>
          </cell>
          <cell r="F17">
            <v>0</v>
          </cell>
          <cell r="G17">
            <v>2311</v>
          </cell>
          <cell r="H17">
            <v>2311</v>
          </cell>
        </row>
        <row r="18">
          <cell r="A18" t="str">
            <v>절단가공T2.3ST'LM</v>
          </cell>
          <cell r="B18" t="str">
            <v>제15호표</v>
          </cell>
          <cell r="C18" t="str">
            <v>절단가공</v>
          </cell>
          <cell r="D18" t="str">
            <v>T2.3 ST'L</v>
          </cell>
          <cell r="E18" t="str">
            <v>M</v>
          </cell>
          <cell r="F18">
            <v>0</v>
          </cell>
          <cell r="G18">
            <v>2476</v>
          </cell>
          <cell r="H18">
            <v>2476</v>
          </cell>
        </row>
        <row r="19">
          <cell r="A19" t="str">
            <v>절단가공T3.2ST'LM</v>
          </cell>
          <cell r="B19" t="str">
            <v>제16호표</v>
          </cell>
          <cell r="C19" t="str">
            <v>절단가공</v>
          </cell>
          <cell r="D19" t="str">
            <v>T3.2 ST'L</v>
          </cell>
          <cell r="E19" t="str">
            <v>M</v>
          </cell>
          <cell r="F19">
            <v>0</v>
          </cell>
          <cell r="G19">
            <v>2971</v>
          </cell>
          <cell r="H19">
            <v>2971</v>
          </cell>
        </row>
        <row r="20">
          <cell r="A20" t="str">
            <v>절단가공T4.0ST'LM</v>
          </cell>
          <cell r="B20" t="str">
            <v>제17호표</v>
          </cell>
          <cell r="C20" t="str">
            <v>절단가공</v>
          </cell>
          <cell r="D20" t="str">
            <v>T4.0 ST'L</v>
          </cell>
          <cell r="E20" t="str">
            <v>M</v>
          </cell>
          <cell r="F20">
            <v>0</v>
          </cell>
          <cell r="G20">
            <v>3302</v>
          </cell>
          <cell r="H20">
            <v>3302</v>
          </cell>
        </row>
        <row r="21">
          <cell r="A21" t="str">
            <v>절단가공T5.0ST'LM</v>
          </cell>
          <cell r="B21" t="str">
            <v>제18호표</v>
          </cell>
          <cell r="C21" t="str">
            <v>절단가공</v>
          </cell>
          <cell r="D21" t="str">
            <v>T5.0 ST'L</v>
          </cell>
          <cell r="E21" t="str">
            <v>M</v>
          </cell>
          <cell r="F21">
            <v>0</v>
          </cell>
          <cell r="G21">
            <v>3632</v>
          </cell>
          <cell r="H21">
            <v>3632</v>
          </cell>
        </row>
        <row r="22">
          <cell r="A22" t="str">
            <v>절단가공T8.0ST'LM</v>
          </cell>
          <cell r="B22" t="str">
            <v>제19호표</v>
          </cell>
          <cell r="C22" t="str">
            <v>절단가공</v>
          </cell>
          <cell r="D22" t="str">
            <v>T8.0 ST'L</v>
          </cell>
          <cell r="E22" t="str">
            <v>M</v>
          </cell>
          <cell r="F22">
            <v>0</v>
          </cell>
          <cell r="G22">
            <v>3962</v>
          </cell>
          <cell r="H22">
            <v>3962</v>
          </cell>
        </row>
        <row r="23">
          <cell r="A23" t="str">
            <v>절단가공T1.2SST'L.M</v>
          </cell>
          <cell r="B23" t="str">
            <v>제20호표</v>
          </cell>
          <cell r="C23" t="str">
            <v>절단가공</v>
          </cell>
          <cell r="D23" t="str">
            <v>T1.2 S ST'L.</v>
          </cell>
          <cell r="E23" t="str">
            <v>M</v>
          </cell>
          <cell r="F23">
            <v>0</v>
          </cell>
          <cell r="G23">
            <v>3302</v>
          </cell>
          <cell r="H23">
            <v>3302</v>
          </cell>
        </row>
        <row r="24">
          <cell r="A24" t="str">
            <v>프레나가공T1.2GALV.M</v>
          </cell>
          <cell r="B24" t="str">
            <v>제21호표</v>
          </cell>
          <cell r="C24" t="str">
            <v>프레나가공</v>
          </cell>
          <cell r="D24" t="str">
            <v>T1.2 GALV.</v>
          </cell>
          <cell r="E24" t="str">
            <v>M</v>
          </cell>
          <cell r="F24">
            <v>0</v>
          </cell>
          <cell r="G24">
            <v>1763</v>
          </cell>
          <cell r="H24">
            <v>1763</v>
          </cell>
        </row>
        <row r="25">
          <cell r="A25" t="str">
            <v>프레나가공T1.6GALV.M</v>
          </cell>
          <cell r="B25" t="str">
            <v>제22호표</v>
          </cell>
          <cell r="C25" t="str">
            <v>프레나가공</v>
          </cell>
          <cell r="D25" t="str">
            <v>T1.6 GALV.</v>
          </cell>
          <cell r="E25" t="str">
            <v>M</v>
          </cell>
          <cell r="F25">
            <v>0</v>
          </cell>
          <cell r="G25">
            <v>2115</v>
          </cell>
          <cell r="H25">
            <v>2115</v>
          </cell>
        </row>
        <row r="26">
          <cell r="A26" t="str">
            <v>프레나가공T2.0ST'LM</v>
          </cell>
          <cell r="B26" t="str">
            <v>제23호표</v>
          </cell>
          <cell r="C26" t="str">
            <v>프레나가공</v>
          </cell>
          <cell r="D26" t="str">
            <v>T2.0 ST'L</v>
          </cell>
          <cell r="E26" t="str">
            <v>M</v>
          </cell>
          <cell r="F26">
            <v>0</v>
          </cell>
          <cell r="G26">
            <v>2468</v>
          </cell>
          <cell r="H26">
            <v>2468</v>
          </cell>
        </row>
        <row r="27">
          <cell r="A27" t="str">
            <v>프레나가공T2.3ST'LM</v>
          </cell>
          <cell r="B27" t="str">
            <v>제24호표</v>
          </cell>
          <cell r="C27" t="str">
            <v>프레나가공</v>
          </cell>
          <cell r="D27" t="str">
            <v>T2.3 ST'L</v>
          </cell>
          <cell r="E27" t="str">
            <v>M</v>
          </cell>
          <cell r="F27">
            <v>0</v>
          </cell>
          <cell r="G27">
            <v>2644</v>
          </cell>
          <cell r="H27">
            <v>2644</v>
          </cell>
        </row>
        <row r="28">
          <cell r="A28" t="str">
            <v>프레나가공T3.2ST'LM</v>
          </cell>
          <cell r="B28" t="str">
            <v>제25호표</v>
          </cell>
          <cell r="C28" t="str">
            <v>프레나가공</v>
          </cell>
          <cell r="D28" t="str">
            <v>T3.2 ST'L</v>
          </cell>
          <cell r="E28" t="str">
            <v>M</v>
          </cell>
          <cell r="F28">
            <v>0</v>
          </cell>
          <cell r="G28">
            <v>3173</v>
          </cell>
          <cell r="H28">
            <v>3173</v>
          </cell>
        </row>
        <row r="29">
          <cell r="A29" t="str">
            <v>프레나가공T4.0ST'LM</v>
          </cell>
          <cell r="B29" t="str">
            <v>제26호표</v>
          </cell>
          <cell r="C29" t="str">
            <v>프레나가공</v>
          </cell>
          <cell r="D29" t="str">
            <v>T4.0 ST'L</v>
          </cell>
          <cell r="E29" t="str">
            <v>M</v>
          </cell>
          <cell r="F29">
            <v>0</v>
          </cell>
          <cell r="G29">
            <v>3526</v>
          </cell>
          <cell r="H29">
            <v>3526</v>
          </cell>
        </row>
        <row r="30">
          <cell r="A30" t="str">
            <v>프레나가공T5.0ST'LM</v>
          </cell>
          <cell r="B30" t="str">
            <v>제27호표</v>
          </cell>
          <cell r="C30" t="str">
            <v>프레나가공</v>
          </cell>
          <cell r="D30" t="str">
            <v>T5.0 ST'L</v>
          </cell>
          <cell r="E30" t="str">
            <v>M</v>
          </cell>
          <cell r="F30">
            <v>0</v>
          </cell>
          <cell r="G30">
            <v>3878</v>
          </cell>
          <cell r="H30">
            <v>3878</v>
          </cell>
        </row>
        <row r="31">
          <cell r="A31" t="str">
            <v>프레나가공T8.0ST'LM</v>
          </cell>
          <cell r="B31" t="str">
            <v>제28호표</v>
          </cell>
          <cell r="C31" t="str">
            <v>프레나가공</v>
          </cell>
          <cell r="D31" t="str">
            <v>T8.0 ST'L</v>
          </cell>
          <cell r="E31" t="str">
            <v>M</v>
          </cell>
          <cell r="F31">
            <v>0</v>
          </cell>
          <cell r="G31">
            <v>4231</v>
          </cell>
          <cell r="H31">
            <v>4231</v>
          </cell>
        </row>
        <row r="32">
          <cell r="A32" t="str">
            <v>프레나가공T1.2SST'L.M</v>
          </cell>
          <cell r="B32" t="str">
            <v>제29호표</v>
          </cell>
          <cell r="C32" t="str">
            <v>프레나가공</v>
          </cell>
          <cell r="D32" t="str">
            <v>T1.2 S ST'L.</v>
          </cell>
          <cell r="E32" t="str">
            <v>M</v>
          </cell>
          <cell r="F32">
            <v>0</v>
          </cell>
          <cell r="G32">
            <v>3526</v>
          </cell>
          <cell r="H32">
            <v>3526</v>
          </cell>
        </row>
        <row r="33">
          <cell r="A33" t="str">
            <v>절곡가공T1.2GALV.M</v>
          </cell>
          <cell r="B33" t="str">
            <v>제30호표</v>
          </cell>
          <cell r="C33" t="str">
            <v>절곡가공</v>
          </cell>
          <cell r="D33" t="str">
            <v>T1.2 GALV.</v>
          </cell>
          <cell r="E33" t="str">
            <v>M</v>
          </cell>
          <cell r="F33">
            <v>0</v>
          </cell>
          <cell r="G33">
            <v>1635</v>
          </cell>
          <cell r="H33">
            <v>1635</v>
          </cell>
        </row>
        <row r="34">
          <cell r="A34" t="str">
            <v>절곡가공T1.6GALV.M</v>
          </cell>
          <cell r="B34" t="str">
            <v>제31호표</v>
          </cell>
          <cell r="C34" t="str">
            <v>절곡가공</v>
          </cell>
          <cell r="D34" t="str">
            <v>T1.6 GALV.</v>
          </cell>
          <cell r="E34" t="str">
            <v>M</v>
          </cell>
          <cell r="F34">
            <v>0</v>
          </cell>
          <cell r="G34">
            <v>1962</v>
          </cell>
          <cell r="H34">
            <v>1962</v>
          </cell>
        </row>
        <row r="35">
          <cell r="A35" t="str">
            <v>절곡가공T2.0ST'LM</v>
          </cell>
          <cell r="B35" t="str">
            <v>제32호표</v>
          </cell>
          <cell r="C35" t="str">
            <v>절곡가공</v>
          </cell>
          <cell r="D35" t="str">
            <v>T2.0 ST'L</v>
          </cell>
          <cell r="E35" t="str">
            <v>M</v>
          </cell>
          <cell r="F35">
            <v>0</v>
          </cell>
          <cell r="G35">
            <v>2289</v>
          </cell>
          <cell r="H35">
            <v>2289</v>
          </cell>
        </row>
        <row r="36">
          <cell r="A36" t="str">
            <v>절곡가공T2.3ST'LM</v>
          </cell>
          <cell r="B36" t="str">
            <v>제33호표</v>
          </cell>
          <cell r="C36" t="str">
            <v>절곡가공</v>
          </cell>
          <cell r="D36" t="str">
            <v>T2.3 ST'L</v>
          </cell>
          <cell r="E36" t="str">
            <v>M</v>
          </cell>
          <cell r="F36">
            <v>0</v>
          </cell>
          <cell r="G36">
            <v>2452</v>
          </cell>
          <cell r="H36">
            <v>2452</v>
          </cell>
        </row>
        <row r="37">
          <cell r="A37" t="str">
            <v>절곡가공T3.2ST'LM</v>
          </cell>
          <cell r="B37" t="str">
            <v>제34호표</v>
          </cell>
          <cell r="C37" t="str">
            <v>절곡가공</v>
          </cell>
          <cell r="D37" t="str">
            <v>T3.2 ST'L</v>
          </cell>
          <cell r="E37" t="str">
            <v>M</v>
          </cell>
          <cell r="F37">
            <v>0</v>
          </cell>
          <cell r="G37">
            <v>2943</v>
          </cell>
          <cell r="H37">
            <v>2943</v>
          </cell>
        </row>
        <row r="38">
          <cell r="A38" t="str">
            <v>절곡가공T4.0ST'LM</v>
          </cell>
          <cell r="B38" t="str">
            <v>제35호표</v>
          </cell>
          <cell r="C38" t="str">
            <v>절곡가공</v>
          </cell>
          <cell r="D38" t="str">
            <v>T4.0 ST'L</v>
          </cell>
          <cell r="E38" t="str">
            <v>M</v>
          </cell>
          <cell r="F38">
            <v>0</v>
          </cell>
          <cell r="G38">
            <v>3270</v>
          </cell>
          <cell r="H38">
            <v>3270</v>
          </cell>
        </row>
        <row r="39">
          <cell r="A39" t="str">
            <v>절곡가공T5.0ST'LM</v>
          </cell>
          <cell r="B39" t="str">
            <v>제36호표</v>
          </cell>
          <cell r="C39" t="str">
            <v>절곡가공</v>
          </cell>
          <cell r="D39" t="str">
            <v>T5.0 ST'L</v>
          </cell>
          <cell r="E39" t="str">
            <v>M</v>
          </cell>
          <cell r="F39">
            <v>0</v>
          </cell>
          <cell r="G39">
            <v>3597</v>
          </cell>
          <cell r="H39">
            <v>3597</v>
          </cell>
        </row>
        <row r="40">
          <cell r="A40" t="str">
            <v>절곡가공T8.0ST'LM</v>
          </cell>
          <cell r="B40" t="str">
            <v>제37호표</v>
          </cell>
          <cell r="C40" t="str">
            <v>절곡가공</v>
          </cell>
          <cell r="D40" t="str">
            <v>T8.0 ST'L</v>
          </cell>
          <cell r="E40" t="str">
            <v>M</v>
          </cell>
          <cell r="F40">
            <v>0</v>
          </cell>
          <cell r="G40">
            <v>3924</v>
          </cell>
          <cell r="H40">
            <v>3924</v>
          </cell>
        </row>
        <row r="41">
          <cell r="A41" t="str">
            <v>절곡가공T1.2SST'L.M</v>
          </cell>
          <cell r="B41" t="str">
            <v>제38호표</v>
          </cell>
          <cell r="C41" t="str">
            <v>절곡가공</v>
          </cell>
          <cell r="D41" t="str">
            <v>T1.2 S ST'L.</v>
          </cell>
          <cell r="E41" t="str">
            <v>M</v>
          </cell>
          <cell r="F41">
            <v>0</v>
          </cell>
          <cell r="G41">
            <v>3270</v>
          </cell>
          <cell r="H41">
            <v>3270</v>
          </cell>
        </row>
        <row r="42">
          <cell r="A42" t="str">
            <v>절단가공,용접제작M</v>
          </cell>
          <cell r="B42" t="str">
            <v>제39호표</v>
          </cell>
          <cell r="C42" t="str">
            <v>절단가공,용접제작</v>
          </cell>
          <cell r="D42" t="str">
            <v/>
          </cell>
          <cell r="E42" t="str">
            <v>M</v>
          </cell>
          <cell r="F42">
            <v>30</v>
          </cell>
          <cell r="G42">
            <v>2138</v>
          </cell>
          <cell r="H42">
            <v>2168</v>
          </cell>
        </row>
        <row r="43">
          <cell r="A43" t="str">
            <v>우레탄칼라락카도장철재면기준M2</v>
          </cell>
          <cell r="B43" t="str">
            <v>제40호표</v>
          </cell>
          <cell r="C43" t="str">
            <v>우레탄칼라락카도장</v>
          </cell>
          <cell r="D43" t="str">
            <v>철재면기준</v>
          </cell>
          <cell r="E43" t="str">
            <v>M2</v>
          </cell>
          <cell r="F43">
            <v>15992</v>
          </cell>
          <cell r="G43">
            <v>21031</v>
          </cell>
          <cell r="H43">
            <v>37023</v>
          </cell>
        </row>
        <row r="44">
          <cell r="A44" t="str">
            <v>바탕처리철재면기준M2</v>
          </cell>
          <cell r="B44" t="str">
            <v>제41호표</v>
          </cell>
          <cell r="C44" t="str">
            <v>바탕처리</v>
          </cell>
          <cell r="D44" t="str">
            <v>철재면기준</v>
          </cell>
          <cell r="E44" t="str">
            <v>M2</v>
          </cell>
          <cell r="F44">
            <v>4874</v>
          </cell>
          <cell r="G44">
            <v>14464</v>
          </cell>
          <cell r="H44">
            <v>19338</v>
          </cell>
        </row>
        <row r="45">
          <cell r="A45" t="str">
            <v>방청페인트M2</v>
          </cell>
          <cell r="B45" t="str">
            <v>제42호표</v>
          </cell>
          <cell r="C45" t="str">
            <v>방청페인트</v>
          </cell>
          <cell r="D45" t="str">
            <v/>
          </cell>
          <cell r="E45" t="str">
            <v>M2</v>
          </cell>
          <cell r="F45">
            <v>1577</v>
          </cell>
          <cell r="G45">
            <v>5936</v>
          </cell>
          <cell r="H45">
            <v>7513</v>
          </cell>
        </row>
        <row r="46">
          <cell r="A46" t="str">
            <v>합판취부T11.5mm2PLYM2</v>
          </cell>
          <cell r="B46" t="str">
            <v>제43호표</v>
          </cell>
          <cell r="C46" t="str">
            <v>합판취부</v>
          </cell>
          <cell r="D46" t="str">
            <v>T11.5mm 2PLY</v>
          </cell>
          <cell r="E46" t="str">
            <v>M2</v>
          </cell>
          <cell r="F46">
            <v>19706</v>
          </cell>
          <cell r="G46">
            <v>33343</v>
          </cell>
          <cell r="H46">
            <v>53049</v>
          </cell>
        </row>
        <row r="47">
          <cell r="A47" t="str">
            <v>합판취부T8.5mm1PLYM2</v>
          </cell>
          <cell r="B47" t="str">
            <v>제44호표</v>
          </cell>
          <cell r="C47" t="str">
            <v>합판취부</v>
          </cell>
          <cell r="D47" t="str">
            <v>T8.5mm 1PLY</v>
          </cell>
          <cell r="E47" t="str">
            <v>M2</v>
          </cell>
          <cell r="F47">
            <v>7697</v>
          </cell>
          <cell r="G47">
            <v>20839</v>
          </cell>
          <cell r="H47">
            <v>28536</v>
          </cell>
        </row>
        <row r="48">
          <cell r="A48" t="str">
            <v>코킹M</v>
          </cell>
          <cell r="B48" t="str">
            <v>제45호표</v>
          </cell>
          <cell r="C48" t="str">
            <v>코킹</v>
          </cell>
          <cell r="D48" t="str">
            <v/>
          </cell>
          <cell r="E48" t="str">
            <v>M</v>
          </cell>
          <cell r="F48">
            <v>880</v>
          </cell>
          <cell r="G48">
            <v>6064</v>
          </cell>
          <cell r="H48">
            <v>6944</v>
          </cell>
        </row>
        <row r="49">
          <cell r="A49" t="str">
            <v>각파이프(방청)40*40*1.4TM</v>
          </cell>
          <cell r="B49" t="str">
            <v>제46호표</v>
          </cell>
          <cell r="C49" t="str">
            <v>각파이프(방청)</v>
          </cell>
          <cell r="D49" t="str">
            <v>40*40*1.4T</v>
          </cell>
          <cell r="E49" t="str">
            <v>M</v>
          </cell>
          <cell r="F49">
            <v>2462</v>
          </cell>
          <cell r="G49">
            <v>13241</v>
          </cell>
          <cell r="H49">
            <v>15703</v>
          </cell>
        </row>
        <row r="50">
          <cell r="A50" t="str">
            <v>각파이프(방청)50*50*1.4TM</v>
          </cell>
          <cell r="B50" t="str">
            <v>제47호표</v>
          </cell>
          <cell r="C50" t="str">
            <v>각파이프(방청)</v>
          </cell>
          <cell r="D50" t="str">
            <v>50*50*1.4T</v>
          </cell>
          <cell r="E50" t="str">
            <v>M</v>
          </cell>
          <cell r="F50">
            <v>3111</v>
          </cell>
          <cell r="G50">
            <v>16757</v>
          </cell>
          <cell r="H50">
            <v>19868</v>
          </cell>
        </row>
        <row r="51">
          <cell r="A51" t="str">
            <v>각파이프(방청)100*50*2.3TM</v>
          </cell>
          <cell r="B51" t="str">
            <v>제48호표</v>
          </cell>
          <cell r="C51" t="str">
            <v>각파이프(방청)</v>
          </cell>
          <cell r="D51" t="str">
            <v>100*50*2.3T</v>
          </cell>
          <cell r="E51" t="str">
            <v>M</v>
          </cell>
          <cell r="F51">
            <v>6799</v>
          </cell>
          <cell r="G51">
            <v>40726</v>
          </cell>
          <cell r="H51">
            <v>47525</v>
          </cell>
        </row>
        <row r="52">
          <cell r="A52" t="str">
            <v>각파이프(방청)30*30*1.4TM</v>
          </cell>
          <cell r="B52" t="str">
            <v>제49호표</v>
          </cell>
          <cell r="C52" t="str">
            <v>각파이프(방청)</v>
          </cell>
          <cell r="D52" t="str">
            <v>30*30*1.4T</v>
          </cell>
          <cell r="E52" t="str">
            <v>M</v>
          </cell>
          <cell r="F52">
            <v>2391</v>
          </cell>
          <cell r="G52">
            <v>11876</v>
          </cell>
          <cell r="H52">
            <v>14267</v>
          </cell>
        </row>
        <row r="53">
          <cell r="A53" t="str">
            <v>L-형강(방청)50*50*4TM</v>
          </cell>
          <cell r="B53" t="str">
            <v>제50호표</v>
          </cell>
          <cell r="C53" t="str">
            <v>L-형강(방청)</v>
          </cell>
          <cell r="D53" t="str">
            <v>50*50*4T</v>
          </cell>
          <cell r="E53" t="str">
            <v>M</v>
          </cell>
          <cell r="F53">
            <v>4069</v>
          </cell>
          <cell r="G53">
            <v>24269</v>
          </cell>
          <cell r="H53">
            <v>28338</v>
          </cell>
        </row>
        <row r="54">
          <cell r="A54" t="str">
            <v>갈바후레임제작설치1.6TM2</v>
          </cell>
          <cell r="B54" t="str">
            <v>제51호표</v>
          </cell>
          <cell r="C54" t="str">
            <v>갈바후레임제작설치</v>
          </cell>
          <cell r="D54" t="str">
            <v>1.6T</v>
          </cell>
          <cell r="E54" t="str">
            <v>M2</v>
          </cell>
          <cell r="F54">
            <v>16515</v>
          </cell>
          <cell r="G54">
            <v>64985</v>
          </cell>
          <cell r="H54">
            <v>81500</v>
          </cell>
        </row>
        <row r="55">
          <cell r="A55" t="str">
            <v>갈바후레임제작설치1.2TM2</v>
          </cell>
          <cell r="B55" t="str">
            <v>제52호표</v>
          </cell>
          <cell r="C55" t="str">
            <v>갈바후레임제작설치</v>
          </cell>
          <cell r="D55" t="str">
            <v>1.2T</v>
          </cell>
          <cell r="E55" t="str">
            <v>M2</v>
          </cell>
          <cell r="F55">
            <v>11947</v>
          </cell>
          <cell r="G55">
            <v>42012</v>
          </cell>
          <cell r="H55">
            <v>53959</v>
          </cell>
        </row>
        <row r="56">
          <cell r="A56" t="str">
            <v>제품출하M</v>
          </cell>
          <cell r="B56" t="str">
            <v>제53호표</v>
          </cell>
          <cell r="C56" t="str">
            <v>제품출하</v>
          </cell>
          <cell r="D56" t="str">
            <v/>
          </cell>
          <cell r="E56" t="str">
            <v>M</v>
          </cell>
          <cell r="F56">
            <v>0</v>
          </cell>
          <cell r="G56">
            <v>718</v>
          </cell>
          <cell r="H56">
            <v>718</v>
          </cell>
        </row>
        <row r="57">
          <cell r="A57" t="str">
            <v>그림걸이레일몰딩1.6TM</v>
          </cell>
          <cell r="B57" t="str">
            <v>제54호표</v>
          </cell>
          <cell r="C57" t="str">
            <v>그림걸이레일몰딩</v>
          </cell>
          <cell r="D57" t="str">
            <v>1.6T</v>
          </cell>
          <cell r="E57" t="str">
            <v>M</v>
          </cell>
          <cell r="F57">
            <v>6673</v>
          </cell>
          <cell r="G57">
            <v>16540</v>
          </cell>
          <cell r="H57">
            <v>23213</v>
          </cell>
        </row>
        <row r="58">
          <cell r="A58" t="str">
            <v>바탕처리도배퍼티M2</v>
          </cell>
          <cell r="B58" t="str">
            <v>제55호표</v>
          </cell>
          <cell r="C58" t="str">
            <v>바탕처리</v>
          </cell>
          <cell r="D58" t="str">
            <v>도배퍼티</v>
          </cell>
          <cell r="E58" t="str">
            <v>M2</v>
          </cell>
          <cell r="F58">
            <v>1078</v>
          </cell>
          <cell r="G58">
            <v>7280</v>
          </cell>
          <cell r="H58">
            <v>8358</v>
          </cell>
        </row>
        <row r="59">
          <cell r="A59" t="str">
            <v>내부도배세마직벽지M2</v>
          </cell>
          <cell r="B59" t="str">
            <v>제56호표</v>
          </cell>
          <cell r="C59" t="str">
            <v>내부도배</v>
          </cell>
          <cell r="D59" t="str">
            <v>세마직벽지</v>
          </cell>
          <cell r="E59" t="str">
            <v>M2</v>
          </cell>
          <cell r="F59">
            <v>54592</v>
          </cell>
          <cell r="G59">
            <v>4966</v>
          </cell>
          <cell r="H59">
            <v>59558</v>
          </cell>
        </row>
        <row r="60">
          <cell r="A60" t="str">
            <v>코아합판취부T18mmM2</v>
          </cell>
          <cell r="B60" t="str">
            <v>제57호표</v>
          </cell>
          <cell r="C60" t="str">
            <v>코아합판취부</v>
          </cell>
          <cell r="D60" t="str">
            <v>T18mm</v>
          </cell>
          <cell r="E60" t="str">
            <v>M2</v>
          </cell>
          <cell r="F60">
            <v>11597</v>
          </cell>
          <cell r="G60">
            <v>18121</v>
          </cell>
          <cell r="H60">
            <v>29718</v>
          </cell>
        </row>
        <row r="61">
          <cell r="A61" t="str">
            <v>저반사접합유리끼우기(투과율99%)T10.76mmM2</v>
          </cell>
          <cell r="B61" t="str">
            <v>제58호표</v>
          </cell>
          <cell r="C61" t="str">
            <v>저반사 접합유리 끼우기(투과율99%)</v>
          </cell>
          <cell r="D61" t="str">
            <v>T10.76mm</v>
          </cell>
          <cell r="E61" t="str">
            <v>M2</v>
          </cell>
          <cell r="F61">
            <v>1338861</v>
          </cell>
          <cell r="G61">
            <v>37965</v>
          </cell>
          <cell r="H61">
            <v>1376826</v>
          </cell>
        </row>
        <row r="62">
          <cell r="A62" t="str">
            <v>저반사접합유리끼우기(투과율98%)T10.76mmM2</v>
          </cell>
          <cell r="B62" t="str">
            <v>제59호표</v>
          </cell>
          <cell r="C62" t="str">
            <v>저반사 접합유리 끼우기(투과율98%)</v>
          </cell>
          <cell r="D62" t="str">
            <v>T10.76mm</v>
          </cell>
          <cell r="E62" t="str">
            <v>M2</v>
          </cell>
          <cell r="F62">
            <v>1115736</v>
          </cell>
          <cell r="G62">
            <v>37965</v>
          </cell>
          <cell r="H62">
            <v>1153701</v>
          </cell>
        </row>
        <row r="63">
          <cell r="A63" t="str">
            <v>저반사접합유리끼우기(투과율96%)T10.76mmM2</v>
          </cell>
          <cell r="B63" t="str">
            <v>제60호표</v>
          </cell>
          <cell r="C63" t="str">
            <v>저반사 접합유리 끼우기(투과율96%)</v>
          </cell>
          <cell r="D63" t="str">
            <v>T10.76mm</v>
          </cell>
          <cell r="E63" t="str">
            <v>M2</v>
          </cell>
          <cell r="F63">
            <v>874761</v>
          </cell>
          <cell r="G63">
            <v>37965</v>
          </cell>
          <cell r="H63">
            <v>912726</v>
          </cell>
        </row>
        <row r="64">
          <cell r="A64" t="str">
            <v>화이트접합유리끼우기T10.76mmM2</v>
          </cell>
          <cell r="B64" t="str">
            <v>제61호표</v>
          </cell>
          <cell r="C64" t="str">
            <v>화이트 접합유리 끼우기</v>
          </cell>
          <cell r="D64" t="str">
            <v>T10.76mm</v>
          </cell>
          <cell r="E64" t="str">
            <v>M2</v>
          </cell>
          <cell r="F64">
            <v>267861</v>
          </cell>
          <cell r="G64">
            <v>37965</v>
          </cell>
          <cell r="H64">
            <v>305826</v>
          </cell>
        </row>
        <row r="65">
          <cell r="A65" t="str">
            <v>투명접합유리끼우기T12.76mm(2,400*3,000기준)M2</v>
          </cell>
          <cell r="B65" t="str">
            <v>제62호표</v>
          </cell>
          <cell r="C65" t="str">
            <v>투명 접합유리 끼우기</v>
          </cell>
          <cell r="D65" t="str">
            <v>T12.76mm (2,400*3,000기준)</v>
          </cell>
          <cell r="E65" t="str">
            <v>M2</v>
          </cell>
          <cell r="F65">
            <v>127738</v>
          </cell>
          <cell r="G65">
            <v>66404</v>
          </cell>
          <cell r="H65">
            <v>194142</v>
          </cell>
        </row>
        <row r="66">
          <cell r="A66" t="str">
            <v>투명접합유리끼우기T12.76mm(2,400*3,400기준)M2</v>
          </cell>
          <cell r="B66" t="str">
            <v>제63호표</v>
          </cell>
          <cell r="C66" t="str">
            <v>투명 접합유리 끼우기</v>
          </cell>
          <cell r="D66" t="str">
            <v>T12.76mm (2,400*3,400기준)</v>
          </cell>
          <cell r="E66" t="str">
            <v>M2</v>
          </cell>
          <cell r="F66">
            <v>176826</v>
          </cell>
          <cell r="G66">
            <v>66404</v>
          </cell>
          <cell r="H66">
            <v>243230</v>
          </cell>
        </row>
        <row r="67">
          <cell r="A67" t="str">
            <v>강화유리끼우기T12mmM2</v>
          </cell>
          <cell r="B67" t="str">
            <v>제64호표</v>
          </cell>
          <cell r="C67" t="str">
            <v>강화유리 끼우기</v>
          </cell>
          <cell r="D67" t="str">
            <v>T12mm</v>
          </cell>
          <cell r="E67" t="str">
            <v>M2</v>
          </cell>
          <cell r="F67">
            <v>40011</v>
          </cell>
          <cell r="G67">
            <v>66404</v>
          </cell>
          <cell r="H67">
            <v>106415</v>
          </cell>
        </row>
        <row r="68">
          <cell r="A68" t="str">
            <v>강화유리끼우기T10mmM2</v>
          </cell>
          <cell r="B68" t="str">
            <v>제65호표</v>
          </cell>
          <cell r="C68" t="str">
            <v>강화유리 끼우기</v>
          </cell>
          <cell r="D68" t="str">
            <v>T10mm</v>
          </cell>
          <cell r="E68" t="str">
            <v>M2</v>
          </cell>
          <cell r="F68">
            <v>33711</v>
          </cell>
          <cell r="G68">
            <v>37965</v>
          </cell>
          <cell r="H68">
            <v>71676</v>
          </cell>
        </row>
        <row r="69">
          <cell r="A69" t="str">
            <v>강화유리끼우기T8mmM2</v>
          </cell>
          <cell r="B69" t="str">
            <v>제66호표</v>
          </cell>
          <cell r="C69" t="str">
            <v>강화유리 끼우기</v>
          </cell>
          <cell r="D69" t="str">
            <v>T8mm</v>
          </cell>
          <cell r="E69" t="str">
            <v>M2</v>
          </cell>
          <cell r="F69">
            <v>33711</v>
          </cell>
          <cell r="G69">
            <v>34619</v>
          </cell>
          <cell r="H69">
            <v>68330</v>
          </cell>
        </row>
        <row r="70">
          <cell r="A70" t="str">
            <v>조명용아크릴가공설치T5mmM2</v>
          </cell>
          <cell r="B70" t="str">
            <v>제67호표</v>
          </cell>
          <cell r="C70" t="str">
            <v>조명용아크릴 가공 설치</v>
          </cell>
          <cell r="D70" t="str">
            <v>T5mm</v>
          </cell>
          <cell r="E70" t="str">
            <v>M2</v>
          </cell>
          <cell r="F70">
            <v>75862</v>
          </cell>
          <cell r="G70">
            <v>17732</v>
          </cell>
          <cell r="H70">
            <v>93594</v>
          </cell>
        </row>
        <row r="71">
          <cell r="A71" t="str">
            <v>진열장석고보드취부T9.5mm*2PLYM2</v>
          </cell>
          <cell r="B71" t="str">
            <v>제68호표</v>
          </cell>
          <cell r="C71" t="str">
            <v>진열장석고보드취부</v>
          </cell>
          <cell r="D71" t="str">
            <v>T9.5mm*2PLY</v>
          </cell>
          <cell r="E71" t="str">
            <v>M2</v>
          </cell>
          <cell r="F71">
            <v>16525</v>
          </cell>
          <cell r="G71">
            <v>19889</v>
          </cell>
          <cell r="H71">
            <v>36414</v>
          </cell>
        </row>
        <row r="72">
          <cell r="A72" t="str">
            <v>알루미늄판취부4T*900*1800M2</v>
          </cell>
          <cell r="B72" t="str">
            <v>제69호표</v>
          </cell>
          <cell r="C72" t="str">
            <v>알루미늄판취부</v>
          </cell>
          <cell r="D72" t="str">
            <v>4T*900*1800</v>
          </cell>
          <cell r="E72" t="str">
            <v>M2</v>
          </cell>
          <cell r="F72">
            <v>136192</v>
          </cell>
          <cell r="G72">
            <v>18061</v>
          </cell>
          <cell r="H72">
            <v>154253</v>
          </cell>
        </row>
        <row r="73">
          <cell r="A73" t="str">
            <v>진열장석고보드취부T9.5mm*1PLYM2</v>
          </cell>
          <cell r="B73" t="str">
            <v>제70호표</v>
          </cell>
          <cell r="C73" t="str">
            <v>진열장석고보드취부</v>
          </cell>
          <cell r="D73" t="str">
            <v>T9.5mm*1PLY</v>
          </cell>
          <cell r="E73" t="str">
            <v>M2</v>
          </cell>
          <cell r="F73">
            <v>12763</v>
          </cell>
          <cell r="G73">
            <v>16758</v>
          </cell>
          <cell r="H73">
            <v>29521</v>
          </cell>
        </row>
        <row r="74">
          <cell r="A74" t="str">
            <v>먹메김㎡</v>
          </cell>
          <cell r="B74" t="str">
            <v>제71호표</v>
          </cell>
          <cell r="C74" t="str">
            <v>먹메김</v>
          </cell>
          <cell r="D74" t="str">
            <v/>
          </cell>
          <cell r="E74" t="str">
            <v>㎡</v>
          </cell>
          <cell r="F74">
            <v>0</v>
          </cell>
          <cell r="G74">
            <v>5458</v>
          </cell>
          <cell r="H74">
            <v>5458</v>
          </cell>
        </row>
        <row r="75">
          <cell r="A75" t="str">
            <v>석고보드시공THK9.5mm2PLY(천장면)M2</v>
          </cell>
          <cell r="B75" t="str">
            <v>제72호표</v>
          </cell>
          <cell r="C75" t="str">
            <v>석고보드 시공</v>
          </cell>
          <cell r="D75" t="str">
            <v>THK9.5mm 2PLY(천장면)</v>
          </cell>
          <cell r="E75" t="str">
            <v>M2</v>
          </cell>
          <cell r="F75">
            <v>6943</v>
          </cell>
          <cell r="G75">
            <v>14135</v>
          </cell>
          <cell r="H75">
            <v>21078</v>
          </cell>
        </row>
        <row r="76">
          <cell r="A76" t="str">
            <v>석고보드시공THK9.5mm2PLY(벽체면)M2</v>
          </cell>
          <cell r="B76" t="str">
            <v>제73호표</v>
          </cell>
          <cell r="C76" t="str">
            <v>석고보드 시공</v>
          </cell>
          <cell r="D76" t="str">
            <v>THK9.5mm 2PLY(벽체면)</v>
          </cell>
          <cell r="E76" t="str">
            <v>M2</v>
          </cell>
          <cell r="F76">
            <v>6910</v>
          </cell>
          <cell r="G76">
            <v>10872</v>
          </cell>
          <cell r="H76">
            <v>17782</v>
          </cell>
        </row>
        <row r="77">
          <cell r="A77" t="str">
            <v>석고보드시공THK9.5mm1PLY(벽체면)M2</v>
          </cell>
          <cell r="B77" t="str">
            <v>제74호표</v>
          </cell>
          <cell r="C77" t="str">
            <v>석고보드 시공</v>
          </cell>
          <cell r="D77" t="str">
            <v>THK9.5mm 1PLY(벽체면)</v>
          </cell>
          <cell r="E77" t="str">
            <v>M2</v>
          </cell>
          <cell r="F77">
            <v>3231</v>
          </cell>
          <cell r="G77">
            <v>7741</v>
          </cell>
          <cell r="H77">
            <v>10972</v>
          </cell>
        </row>
        <row r="78">
          <cell r="A78" t="str">
            <v>친환경수성페인트벽체M2</v>
          </cell>
          <cell r="B78" t="str">
            <v>제75호표</v>
          </cell>
          <cell r="C78" t="str">
            <v>친환경수성페인트</v>
          </cell>
          <cell r="D78" t="str">
            <v>벽체</v>
          </cell>
          <cell r="E78" t="str">
            <v>M2</v>
          </cell>
          <cell r="F78">
            <v>2837</v>
          </cell>
          <cell r="G78">
            <v>13188</v>
          </cell>
          <cell r="H78">
            <v>16025</v>
          </cell>
        </row>
        <row r="79">
          <cell r="A79" t="str">
            <v>바탕만들기목재석고면M2</v>
          </cell>
          <cell r="B79" t="str">
            <v>제76호표</v>
          </cell>
          <cell r="C79" t="str">
            <v>바탕만들기</v>
          </cell>
          <cell r="D79" t="str">
            <v>목재 석고면</v>
          </cell>
          <cell r="E79" t="str">
            <v>M2</v>
          </cell>
          <cell r="F79">
            <v>1541</v>
          </cell>
          <cell r="G79">
            <v>13628</v>
          </cell>
          <cell r="H79">
            <v>15169</v>
          </cell>
        </row>
        <row r="80">
          <cell r="A80" t="str">
            <v>칼라락카칠목재석고면M2</v>
          </cell>
          <cell r="B80" t="str">
            <v>제77호표</v>
          </cell>
          <cell r="C80" t="str">
            <v>칼라락카칠</v>
          </cell>
          <cell r="D80" t="str">
            <v>목재 석고면</v>
          </cell>
          <cell r="E80" t="str">
            <v>M2</v>
          </cell>
          <cell r="F80">
            <v>8081</v>
          </cell>
          <cell r="G80">
            <v>21031</v>
          </cell>
          <cell r="H80">
            <v>29112</v>
          </cell>
        </row>
        <row r="81">
          <cell r="A81" t="str">
            <v>mdf취부T9mm㎡</v>
          </cell>
          <cell r="B81" t="str">
            <v>제78호표</v>
          </cell>
          <cell r="C81" t="str">
            <v>mdf 취부</v>
          </cell>
          <cell r="D81" t="str">
            <v>T9mm</v>
          </cell>
          <cell r="E81" t="str">
            <v>㎡</v>
          </cell>
          <cell r="F81">
            <v>5424</v>
          </cell>
          <cell r="G81">
            <v>13060</v>
          </cell>
          <cell r="H81">
            <v>18484</v>
          </cell>
        </row>
        <row r="82">
          <cell r="A82" t="str">
            <v>유물보조대MDF9mm위천도배㎡</v>
          </cell>
          <cell r="B82" t="str">
            <v>제79호표</v>
          </cell>
          <cell r="C82" t="str">
            <v>유물보조대</v>
          </cell>
          <cell r="D82" t="str">
            <v>MDF 9mm위 천도배</v>
          </cell>
          <cell r="E82" t="str">
            <v>㎡</v>
          </cell>
          <cell r="F82">
            <v>64147</v>
          </cell>
          <cell r="G82">
            <v>26571</v>
          </cell>
          <cell r="H82">
            <v>90718</v>
          </cell>
        </row>
        <row r="83">
          <cell r="A83" t="str">
            <v>레일트랙m</v>
          </cell>
          <cell r="B83" t="str">
            <v>제80호표</v>
          </cell>
          <cell r="C83" t="str">
            <v>레일트랙</v>
          </cell>
          <cell r="D83" t="str">
            <v/>
          </cell>
          <cell r="E83" t="str">
            <v>m</v>
          </cell>
          <cell r="F83">
            <v>21765</v>
          </cell>
          <cell r="G83">
            <v>53480</v>
          </cell>
          <cell r="H83">
            <v>75245</v>
          </cell>
        </row>
        <row r="84">
          <cell r="A84" t="str">
            <v>LED포인트조명설치(벽부형)15W이하ea</v>
          </cell>
          <cell r="B84" t="str">
            <v>제81호표</v>
          </cell>
          <cell r="C84" t="str">
            <v>LED 포인트조명설치(벽부형)</v>
          </cell>
          <cell r="D84" t="str">
            <v>15W이하</v>
          </cell>
          <cell r="E84" t="str">
            <v>ea</v>
          </cell>
          <cell r="F84">
            <v>178500</v>
          </cell>
          <cell r="G84">
            <v>24830</v>
          </cell>
          <cell r="H84">
            <v>203330</v>
          </cell>
        </row>
        <row r="85">
          <cell r="A85" t="str">
            <v>LED포인트조명설치(독립장형)15W이하ea</v>
          </cell>
          <cell r="B85" t="str">
            <v>제82호표</v>
          </cell>
          <cell r="C85" t="str">
            <v>LED 포인트조명설치(독립장형)</v>
          </cell>
          <cell r="D85" t="str">
            <v>15W이하</v>
          </cell>
          <cell r="E85" t="str">
            <v>ea</v>
          </cell>
          <cell r="F85">
            <v>133875</v>
          </cell>
          <cell r="G85">
            <v>24830</v>
          </cell>
          <cell r="H85">
            <v>158705</v>
          </cell>
        </row>
        <row r="86">
          <cell r="A86" t="str">
            <v>LEDbar조명설치30W이하M</v>
          </cell>
          <cell r="B86" t="str">
            <v>제83호표</v>
          </cell>
          <cell r="C86" t="str">
            <v>LED bar조명설치</v>
          </cell>
          <cell r="D86" t="str">
            <v>30W이하</v>
          </cell>
          <cell r="E86" t="str">
            <v>M</v>
          </cell>
          <cell r="F86">
            <v>107100</v>
          </cell>
          <cell r="G86">
            <v>24830</v>
          </cell>
          <cell r="H86">
            <v>131930</v>
          </cell>
        </row>
        <row r="87">
          <cell r="A87" t="str">
            <v>LED포인트조명컨트롤제작설치컨트롤러(24채널)set</v>
          </cell>
          <cell r="B87" t="str">
            <v>제84호표</v>
          </cell>
          <cell r="C87" t="str">
            <v>LED 포인트조명 컨트롤제작설치</v>
          </cell>
          <cell r="D87" t="str">
            <v>컨트롤러(24채널)</v>
          </cell>
          <cell r="E87" t="str">
            <v>set</v>
          </cell>
          <cell r="F87">
            <v>807500</v>
          </cell>
          <cell r="G87">
            <v>127335</v>
          </cell>
          <cell r="H87">
            <v>934835</v>
          </cell>
        </row>
        <row r="88">
          <cell r="A88" t="str">
            <v>LED포인트조명컨트롤제작설치컨트롤러(16채널)set</v>
          </cell>
          <cell r="B88" t="str">
            <v>제85호표</v>
          </cell>
          <cell r="C88" t="str">
            <v>LED 포인트조명 컨트롤제작설치</v>
          </cell>
          <cell r="D88" t="str">
            <v>컨트롤러(16채널)</v>
          </cell>
          <cell r="E88" t="str">
            <v>set</v>
          </cell>
          <cell r="F88">
            <v>680000</v>
          </cell>
          <cell r="G88">
            <v>84890</v>
          </cell>
          <cell r="H88">
            <v>764890</v>
          </cell>
        </row>
        <row r="89">
          <cell r="A89" t="str">
            <v>LED포인트조명컨트롤제작설치컨트롤러(8채널)set</v>
          </cell>
          <cell r="B89" t="str">
            <v>제86호표</v>
          </cell>
          <cell r="C89" t="str">
            <v>LED 포인트조명 컨트롤제작설치</v>
          </cell>
          <cell r="D89" t="str">
            <v>컨트롤러(8채널)</v>
          </cell>
          <cell r="E89" t="str">
            <v>set</v>
          </cell>
          <cell r="F89">
            <v>552500</v>
          </cell>
          <cell r="G89">
            <v>84890</v>
          </cell>
          <cell r="H89">
            <v>637390</v>
          </cell>
        </row>
        <row r="90">
          <cell r="A90" t="str">
            <v>LEDbar조명컨트롤제작설치컨트롤러set</v>
          </cell>
          <cell r="B90" t="str">
            <v>제87호표</v>
          </cell>
          <cell r="C90" t="str">
            <v>LED bar조명 컨트롤제작설치</v>
          </cell>
          <cell r="D90" t="str">
            <v>컨트롤러</v>
          </cell>
          <cell r="E90" t="str">
            <v>set</v>
          </cell>
          <cell r="F90">
            <v>544000</v>
          </cell>
          <cell r="G90">
            <v>106113</v>
          </cell>
          <cell r="H90">
            <v>650113</v>
          </cell>
        </row>
        <row r="91">
          <cell r="A91" t="str">
            <v>피아노경첩제작설치M</v>
          </cell>
          <cell r="B91" t="str">
            <v>제88호표</v>
          </cell>
          <cell r="C91" t="str">
            <v>피아노경첩 제작설치</v>
          </cell>
          <cell r="D91" t="str">
            <v/>
          </cell>
          <cell r="E91" t="str">
            <v>M</v>
          </cell>
          <cell r="F91">
            <v>10740</v>
          </cell>
          <cell r="G91">
            <v>10975</v>
          </cell>
          <cell r="H91">
            <v>21715</v>
          </cell>
        </row>
        <row r="92">
          <cell r="A92" t="str">
            <v>LOCKSET제작설치시건장치set</v>
          </cell>
          <cell r="B92" t="str">
            <v>제89호표</v>
          </cell>
          <cell r="C92" t="str">
            <v>LOCK SET 제작설치</v>
          </cell>
          <cell r="D92" t="str">
            <v>시건장치</v>
          </cell>
          <cell r="E92" t="str">
            <v>set</v>
          </cell>
          <cell r="F92">
            <v>47801</v>
          </cell>
          <cell r="G92">
            <v>12601</v>
          </cell>
          <cell r="H92">
            <v>60402</v>
          </cell>
        </row>
        <row r="93">
          <cell r="A93" t="str">
            <v>유압쇽업쇼바제작설치20kgset</v>
          </cell>
          <cell r="B93" t="str">
            <v>제90호표</v>
          </cell>
          <cell r="C93" t="str">
            <v>유압쇽업쇼바 제작설치</v>
          </cell>
          <cell r="D93" t="str">
            <v>20kg</v>
          </cell>
          <cell r="E93" t="str">
            <v>set</v>
          </cell>
          <cell r="F93">
            <v>46883</v>
          </cell>
          <cell r="G93">
            <v>3764</v>
          </cell>
          <cell r="H93">
            <v>50647</v>
          </cell>
        </row>
        <row r="94">
          <cell r="A94" t="str">
            <v>유압쇽업쇼바제작설치40kgset</v>
          </cell>
          <cell r="B94" t="str">
            <v>제91호표</v>
          </cell>
          <cell r="C94" t="str">
            <v>유압쇽업쇼바 제작설치</v>
          </cell>
          <cell r="D94" t="str">
            <v>40kg</v>
          </cell>
          <cell r="E94" t="str">
            <v>set</v>
          </cell>
          <cell r="F94">
            <v>63883</v>
          </cell>
          <cell r="G94">
            <v>3764</v>
          </cell>
          <cell r="H94">
            <v>67647</v>
          </cell>
        </row>
        <row r="95">
          <cell r="A95" t="str">
            <v>AL.패킹바제작설치M</v>
          </cell>
          <cell r="B95" t="str">
            <v>제92호표</v>
          </cell>
          <cell r="C95" t="str">
            <v>AL.패킹바 제작설치</v>
          </cell>
          <cell r="D95" t="str">
            <v/>
          </cell>
          <cell r="E95" t="str">
            <v>M</v>
          </cell>
          <cell r="F95">
            <v>5355</v>
          </cell>
          <cell r="G95">
            <v>3303</v>
          </cell>
          <cell r="H95">
            <v>8658</v>
          </cell>
        </row>
        <row r="96">
          <cell r="A96" t="str">
            <v>밀폐패킹설치소형M</v>
          </cell>
          <cell r="B96" t="str">
            <v>제93호표</v>
          </cell>
          <cell r="C96" t="str">
            <v>밀폐패킹 설치</v>
          </cell>
          <cell r="D96" t="str">
            <v>소형</v>
          </cell>
          <cell r="E96" t="str">
            <v>M</v>
          </cell>
          <cell r="F96">
            <v>6247</v>
          </cell>
          <cell r="G96">
            <v>2241</v>
          </cell>
          <cell r="H96">
            <v>8488</v>
          </cell>
        </row>
        <row r="97">
          <cell r="A97" t="str">
            <v>밀폐패킹설치대형M</v>
          </cell>
          <cell r="B97" t="str">
            <v>제94호표</v>
          </cell>
          <cell r="C97" t="str">
            <v>밀폐패킹 설치</v>
          </cell>
          <cell r="D97" t="str">
            <v>대형</v>
          </cell>
          <cell r="E97" t="str">
            <v>M</v>
          </cell>
          <cell r="F97">
            <v>8925</v>
          </cell>
          <cell r="G97">
            <v>2241</v>
          </cell>
          <cell r="H97">
            <v>11166</v>
          </cell>
        </row>
        <row r="98">
          <cell r="A98" t="str">
            <v>AL.사출유리후렘제작설치벽부장(상부)M</v>
          </cell>
          <cell r="B98" t="str">
            <v>제95호표</v>
          </cell>
          <cell r="C98" t="str">
            <v>AL.사출유리후렘 제작설치</v>
          </cell>
          <cell r="D98" t="str">
            <v>벽부장(상부)</v>
          </cell>
          <cell r="E98" t="str">
            <v>M</v>
          </cell>
          <cell r="F98">
            <v>232050</v>
          </cell>
          <cell r="G98">
            <v>49539</v>
          </cell>
          <cell r="H98">
            <v>281589</v>
          </cell>
        </row>
        <row r="99">
          <cell r="A99" t="str">
            <v>AL.사출유리후렘제작설치벽부장(하부)M</v>
          </cell>
          <cell r="B99" t="str">
            <v>제96호표</v>
          </cell>
          <cell r="C99" t="str">
            <v>AL.사출유리후렘 제작설치</v>
          </cell>
          <cell r="D99" t="str">
            <v>벽부장(하부)</v>
          </cell>
          <cell r="E99" t="str">
            <v>M</v>
          </cell>
          <cell r="F99">
            <v>124950</v>
          </cell>
          <cell r="G99">
            <v>33026</v>
          </cell>
          <cell r="H99">
            <v>157976</v>
          </cell>
        </row>
        <row r="100">
          <cell r="A100" t="str">
            <v>AL.사출유리후렘제작설치독립장(상부)M</v>
          </cell>
          <cell r="B100" t="str">
            <v>제97호표</v>
          </cell>
          <cell r="C100" t="str">
            <v>AL.사출유리후렘 제작설치</v>
          </cell>
          <cell r="D100" t="str">
            <v>독립장(상부)</v>
          </cell>
          <cell r="E100" t="str">
            <v>M</v>
          </cell>
          <cell r="F100">
            <v>142800</v>
          </cell>
          <cell r="G100">
            <v>49539</v>
          </cell>
          <cell r="H100">
            <v>192339</v>
          </cell>
        </row>
        <row r="101">
          <cell r="A101" t="str">
            <v>AL.사출유리후렘제작설치독립장(하부)M</v>
          </cell>
          <cell r="B101" t="str">
            <v>제98호표</v>
          </cell>
          <cell r="C101" t="str">
            <v>AL.사출유리후렘 제작설치</v>
          </cell>
          <cell r="D101" t="str">
            <v>독립장(하부)</v>
          </cell>
          <cell r="E101" t="str">
            <v>M</v>
          </cell>
          <cell r="F101">
            <v>107100</v>
          </cell>
          <cell r="G101">
            <v>33026</v>
          </cell>
          <cell r="H101">
            <v>140126</v>
          </cell>
        </row>
        <row r="102">
          <cell r="A102" t="str">
            <v>AL.사출유리후렘제작설치독립장(하부)M</v>
          </cell>
          <cell r="B102" t="str">
            <v>제99호표</v>
          </cell>
          <cell r="C102" t="str">
            <v>AL.사출유리후렘 제작설치</v>
          </cell>
          <cell r="D102" t="str">
            <v>독립장(하부)</v>
          </cell>
          <cell r="E102" t="str">
            <v>M</v>
          </cell>
          <cell r="F102">
            <v>107100</v>
          </cell>
          <cell r="G102">
            <v>12501</v>
          </cell>
          <cell r="H102">
            <v>119601</v>
          </cell>
        </row>
        <row r="103">
          <cell r="A103" t="str">
            <v>LM가이드시스템가공설치Ø25SET</v>
          </cell>
          <cell r="B103" t="str">
            <v>제100호표</v>
          </cell>
          <cell r="C103" t="str">
            <v>LM가이드시스템가공설치</v>
          </cell>
          <cell r="D103" t="str">
            <v>Ø25</v>
          </cell>
          <cell r="E103" t="str">
            <v>SET</v>
          </cell>
          <cell r="F103">
            <v>131325</v>
          </cell>
          <cell r="G103">
            <v>16885</v>
          </cell>
          <cell r="H103">
            <v>148210</v>
          </cell>
        </row>
        <row r="104">
          <cell r="A104" t="str">
            <v>모터구동시스템설치웜기어전동실린더SET</v>
          </cell>
          <cell r="B104" t="str">
            <v>제101호표</v>
          </cell>
          <cell r="C104" t="str">
            <v>모터구동시스템 설치</v>
          </cell>
          <cell r="D104" t="str">
            <v>웜기어 전동실린더</v>
          </cell>
          <cell r="E104" t="str">
            <v>SET</v>
          </cell>
          <cell r="F104">
            <v>433925</v>
          </cell>
          <cell r="G104">
            <v>90284</v>
          </cell>
          <cell r="H104">
            <v>524209</v>
          </cell>
        </row>
        <row r="105">
          <cell r="A105" t="str">
            <v>베어링레일및가공설치22*422.3T가공M</v>
          </cell>
          <cell r="B105" t="str">
            <v>제102호표</v>
          </cell>
          <cell r="C105" t="str">
            <v>베어링레일및가공 설치</v>
          </cell>
          <cell r="D105" t="str">
            <v>22*42 2.3T 가공</v>
          </cell>
          <cell r="E105" t="str">
            <v>M</v>
          </cell>
          <cell r="F105">
            <v>133875</v>
          </cell>
          <cell r="G105">
            <v>33026</v>
          </cell>
          <cell r="H105">
            <v>166901</v>
          </cell>
        </row>
        <row r="106">
          <cell r="A106" t="str">
            <v>베어링레일및가공설치22*422.3T가공(2단)M</v>
          </cell>
          <cell r="B106" t="str">
            <v>제103호표</v>
          </cell>
          <cell r="C106" t="str">
            <v>베어링레일및가공 설치</v>
          </cell>
          <cell r="D106" t="str">
            <v>22*42 2.3T 가공(2단)</v>
          </cell>
          <cell r="E106" t="str">
            <v>M</v>
          </cell>
          <cell r="F106">
            <v>267750</v>
          </cell>
          <cell r="G106">
            <v>66052</v>
          </cell>
          <cell r="H106">
            <v>333802</v>
          </cell>
        </row>
        <row r="107">
          <cell r="A107" t="str">
            <v>슬라이딩베어링가공조립Ø26ea</v>
          </cell>
          <cell r="B107" t="str">
            <v>제104호표</v>
          </cell>
          <cell r="C107" t="str">
            <v>슬라이딩베어링 가공조립</v>
          </cell>
          <cell r="D107" t="str">
            <v>Ø26</v>
          </cell>
          <cell r="E107" t="str">
            <v>ea</v>
          </cell>
          <cell r="F107">
            <v>5525</v>
          </cell>
          <cell r="G107">
            <v>3610</v>
          </cell>
          <cell r="H107">
            <v>9135</v>
          </cell>
        </row>
        <row r="108">
          <cell r="A108" t="str">
            <v>베어링붓싱가공조립#6200ea</v>
          </cell>
          <cell r="B108" t="str">
            <v>제105호표</v>
          </cell>
          <cell r="C108" t="str">
            <v>베어링 붓싱가공조립</v>
          </cell>
          <cell r="D108" t="str">
            <v>#6200</v>
          </cell>
          <cell r="E108" t="str">
            <v>ea</v>
          </cell>
          <cell r="F108">
            <v>5100</v>
          </cell>
          <cell r="G108">
            <v>3610</v>
          </cell>
          <cell r="H108">
            <v>8710</v>
          </cell>
        </row>
        <row r="109">
          <cell r="A109" t="str">
            <v>그림걸이레일설치M</v>
          </cell>
          <cell r="B109" t="str">
            <v>제106호표</v>
          </cell>
          <cell r="C109" t="str">
            <v>그림걸이레일 설치</v>
          </cell>
          <cell r="D109" t="str">
            <v/>
          </cell>
          <cell r="E109" t="str">
            <v>M</v>
          </cell>
          <cell r="F109">
            <v>5525</v>
          </cell>
          <cell r="G109">
            <v>4011</v>
          </cell>
          <cell r="H109">
            <v>9536</v>
          </cell>
        </row>
        <row r="110">
          <cell r="A110" t="str">
            <v>센터베어링및스톱파가공조립벽부형SET</v>
          </cell>
          <cell r="B110" t="str">
            <v>제107호표</v>
          </cell>
          <cell r="C110" t="str">
            <v>센터베어링및스톱파 가공조립</v>
          </cell>
          <cell r="D110" t="str">
            <v>벽부형</v>
          </cell>
          <cell r="E110" t="str">
            <v>SET</v>
          </cell>
          <cell r="F110">
            <v>97750</v>
          </cell>
          <cell r="G110">
            <v>48981</v>
          </cell>
          <cell r="H110">
            <v>146731</v>
          </cell>
        </row>
        <row r="111">
          <cell r="A111" t="str">
            <v>센터베어링및스톱파가공조립독립형1단SET</v>
          </cell>
          <cell r="B111" t="str">
            <v>제108호표</v>
          </cell>
          <cell r="C111" t="str">
            <v>센터베어링및스톱파 가공조립</v>
          </cell>
          <cell r="D111" t="str">
            <v>독립형1단</v>
          </cell>
          <cell r="E111" t="str">
            <v>SET</v>
          </cell>
          <cell r="F111">
            <v>80750</v>
          </cell>
          <cell r="G111">
            <v>58583</v>
          </cell>
          <cell r="H111">
            <v>139333</v>
          </cell>
        </row>
        <row r="112">
          <cell r="A112" t="str">
            <v>센터베어링및스톱파가공조립독립형2단SET</v>
          </cell>
          <cell r="B112" t="str">
            <v>제109호표</v>
          </cell>
          <cell r="C112" t="str">
            <v>센터베어링및스톱파 가공조립</v>
          </cell>
          <cell r="D112" t="str">
            <v>독립형2단</v>
          </cell>
          <cell r="E112" t="str">
            <v>SET</v>
          </cell>
          <cell r="F112">
            <v>127500</v>
          </cell>
          <cell r="G112">
            <v>65205</v>
          </cell>
          <cell r="H112">
            <v>192705</v>
          </cell>
        </row>
        <row r="113">
          <cell r="A113" t="str">
            <v>전후진전동콘트롤제작설치벽부형SET</v>
          </cell>
          <cell r="B113" t="str">
            <v>제110호표</v>
          </cell>
          <cell r="C113" t="str">
            <v>전후진 전동콘트롤 제작설치</v>
          </cell>
          <cell r="D113" t="str">
            <v>벽부형</v>
          </cell>
          <cell r="E113" t="str">
            <v>SET</v>
          </cell>
          <cell r="F113">
            <v>892500</v>
          </cell>
          <cell r="G113">
            <v>62710</v>
          </cell>
          <cell r="H113">
            <v>955210</v>
          </cell>
        </row>
        <row r="114">
          <cell r="A114" t="str">
            <v>전후진전동콘트롤제작설치독립형SET</v>
          </cell>
          <cell r="B114" t="str">
            <v>제111호표</v>
          </cell>
          <cell r="C114" t="str">
            <v>전후진 전동콘트롤 제작설치</v>
          </cell>
          <cell r="D114" t="str">
            <v>독립형</v>
          </cell>
          <cell r="E114" t="str">
            <v>SET</v>
          </cell>
          <cell r="F114">
            <v>425000</v>
          </cell>
          <cell r="G114">
            <v>62710</v>
          </cell>
          <cell r="H114">
            <v>487710</v>
          </cell>
        </row>
        <row r="115">
          <cell r="A115" t="str">
            <v>LED전반조명CASE제작설치도장포함M</v>
          </cell>
          <cell r="B115" t="str">
            <v>제112호표</v>
          </cell>
          <cell r="C115" t="str">
            <v>LED전반조명CASE제작설치</v>
          </cell>
          <cell r="D115" t="str">
            <v>도장포함</v>
          </cell>
          <cell r="E115" t="str">
            <v>M</v>
          </cell>
          <cell r="F115">
            <v>51312</v>
          </cell>
          <cell r="G115">
            <v>81084</v>
          </cell>
          <cell r="H115">
            <v>132396</v>
          </cell>
        </row>
        <row r="116">
          <cell r="A116" t="str">
            <v>CASTER&amp;ADJUSTER제작설치ea</v>
          </cell>
          <cell r="B116" t="str">
            <v>제113호표</v>
          </cell>
          <cell r="C116" t="str">
            <v>CASTER&amp;ADJUSTER 제작설치</v>
          </cell>
          <cell r="D116" t="str">
            <v/>
          </cell>
          <cell r="E116" t="str">
            <v>ea</v>
          </cell>
          <cell r="F116">
            <v>45183</v>
          </cell>
          <cell r="G116">
            <v>3764</v>
          </cell>
          <cell r="H116">
            <v>48947</v>
          </cell>
        </row>
        <row r="117">
          <cell r="A117" t="str">
            <v>하부조명설치폴대형ea</v>
          </cell>
          <cell r="B117" t="str">
            <v>제114호표</v>
          </cell>
          <cell r="C117" t="str">
            <v>하부조명 설치</v>
          </cell>
          <cell r="D117" t="str">
            <v>폴대형</v>
          </cell>
          <cell r="E117" t="str">
            <v>ea</v>
          </cell>
          <cell r="F117" t="e">
            <v>#N/A</v>
          </cell>
          <cell r="G117" t="e">
            <v>#N/A</v>
          </cell>
          <cell r="H117" t="e">
            <v>#N/A</v>
          </cell>
        </row>
        <row r="118">
          <cell r="A118" t="str">
            <v>5면장유리후레임T3.2M2</v>
          </cell>
          <cell r="B118" t="str">
            <v>제115호표</v>
          </cell>
          <cell r="C118" t="str">
            <v>5면장 유리후레임</v>
          </cell>
          <cell r="D118" t="str">
            <v>T3.2</v>
          </cell>
          <cell r="E118" t="str">
            <v>M2</v>
          </cell>
          <cell r="F118">
            <v>28255</v>
          </cell>
          <cell r="G118">
            <v>96177</v>
          </cell>
          <cell r="H118">
            <v>124432</v>
          </cell>
        </row>
        <row r="119">
          <cell r="A119" t="str">
            <v>인테리어필름붙임넓은면M2</v>
          </cell>
          <cell r="B119" t="str">
            <v>제116호표</v>
          </cell>
          <cell r="C119" t="str">
            <v>인테리어필름붙임</v>
          </cell>
          <cell r="D119" t="str">
            <v>넓은면</v>
          </cell>
          <cell r="E119" t="str">
            <v>M2</v>
          </cell>
          <cell r="F119">
            <v>40973</v>
          </cell>
          <cell r="G119">
            <v>33799</v>
          </cell>
          <cell r="H119">
            <v>74772</v>
          </cell>
        </row>
        <row r="120">
          <cell r="A120" t="e">
            <v>#N/A</v>
          </cell>
          <cell r="B120" t="str">
            <v>제117호표</v>
          </cell>
          <cell r="C120" t="e">
            <v>#N/A</v>
          </cell>
          <cell r="D120" t="e">
            <v>#N/A</v>
          </cell>
          <cell r="E120" t="e">
            <v>#N/A</v>
          </cell>
          <cell r="F120" t="e">
            <v>#N/A</v>
          </cell>
          <cell r="G120" t="e">
            <v>#N/A</v>
          </cell>
          <cell r="H120" t="e">
            <v>#N/A</v>
          </cell>
        </row>
        <row r="121">
          <cell r="A121" t="e">
            <v>#N/A</v>
          </cell>
          <cell r="B121" t="str">
            <v>제118호표</v>
          </cell>
          <cell r="C121" t="e">
            <v>#N/A</v>
          </cell>
          <cell r="D121" t="e">
            <v>#N/A</v>
          </cell>
          <cell r="E121" t="e">
            <v>#N/A</v>
          </cell>
          <cell r="F121" t="e">
            <v>#N/A</v>
          </cell>
          <cell r="G121" t="e">
            <v>#N/A</v>
          </cell>
          <cell r="H121" t="e">
            <v>#N/A</v>
          </cell>
        </row>
        <row r="175">
          <cell r="A175" t="str">
            <v>구   분</v>
          </cell>
          <cell r="B175" t="str">
            <v>번  호</v>
          </cell>
          <cell r="C175" t="str">
            <v>명      칭</v>
          </cell>
          <cell r="D175" t="str">
            <v>규      격</v>
          </cell>
          <cell r="E175" t="str">
            <v>단 위</v>
          </cell>
          <cell r="F175" t="str">
            <v>재 료 비</v>
          </cell>
          <cell r="G175" t="str">
            <v>비  고</v>
          </cell>
        </row>
        <row r="176">
          <cell r="A176" t="str">
            <v>L-형강50*50*4TKg</v>
          </cell>
          <cell r="B176" t="str">
            <v>단가-1번</v>
          </cell>
          <cell r="C176" t="str">
            <v>L-형강</v>
          </cell>
          <cell r="D176" t="str">
            <v>50*50*4T</v>
          </cell>
          <cell r="E176" t="str">
            <v>Kg</v>
          </cell>
          <cell r="F176">
            <v>875</v>
          </cell>
        </row>
        <row r="177">
          <cell r="A177" t="str">
            <v>철판T1.2GALV.M2</v>
          </cell>
          <cell r="B177" t="str">
            <v>단가-2번</v>
          </cell>
          <cell r="C177" t="str">
            <v>철판</v>
          </cell>
          <cell r="D177" t="str">
            <v>T1.2 GALV.</v>
          </cell>
          <cell r="E177" t="str">
            <v>M2</v>
          </cell>
          <cell r="F177">
            <v>9232</v>
          </cell>
        </row>
        <row r="178">
          <cell r="A178" t="str">
            <v>철판T1.6GALV.M2</v>
          </cell>
          <cell r="B178" t="str">
            <v>단가-3번</v>
          </cell>
          <cell r="C178" t="str">
            <v>철판</v>
          </cell>
          <cell r="D178" t="str">
            <v>T1.6 GALV.</v>
          </cell>
          <cell r="E178" t="str">
            <v>M2</v>
          </cell>
          <cell r="F178">
            <v>12232</v>
          </cell>
        </row>
        <row r="179">
          <cell r="A179" t="str">
            <v>철판T3.2GALV.M2</v>
          </cell>
          <cell r="B179" t="str">
            <v>단가-4번</v>
          </cell>
          <cell r="C179" t="str">
            <v>철판</v>
          </cell>
          <cell r="D179" t="str">
            <v>T3.2 GALV.</v>
          </cell>
          <cell r="E179" t="str">
            <v>M2</v>
          </cell>
          <cell r="F179">
            <v>21030</v>
          </cell>
        </row>
        <row r="180">
          <cell r="A180" t="str">
            <v>각파이프30*30*1.4TKg</v>
          </cell>
          <cell r="B180" t="str">
            <v>단가-5번</v>
          </cell>
          <cell r="C180" t="str">
            <v>각파이프</v>
          </cell>
          <cell r="D180" t="str">
            <v>30*30*1.4T</v>
          </cell>
          <cell r="E180" t="str">
            <v>Kg</v>
          </cell>
          <cell r="F180">
            <v>1018</v>
          </cell>
        </row>
        <row r="181">
          <cell r="A181" t="str">
            <v>각파이프40*20*2.3TKg</v>
          </cell>
          <cell r="B181" t="str">
            <v>단가-6번</v>
          </cell>
          <cell r="C181" t="str">
            <v>각파이프</v>
          </cell>
          <cell r="D181" t="str">
            <v>40*20*2.3T</v>
          </cell>
          <cell r="E181" t="str">
            <v>Kg</v>
          </cell>
          <cell r="F181">
            <v>857</v>
          </cell>
        </row>
        <row r="182">
          <cell r="A182" t="str">
            <v>각파이프40*40*1.4TKg</v>
          </cell>
          <cell r="B182" t="str">
            <v>단가-7번</v>
          </cell>
          <cell r="C182" t="str">
            <v>각파이프</v>
          </cell>
          <cell r="D182" t="str">
            <v>40*40*1.4T</v>
          </cell>
          <cell r="E182" t="str">
            <v>Kg</v>
          </cell>
          <cell r="F182">
            <v>1009</v>
          </cell>
        </row>
        <row r="183">
          <cell r="A183" t="str">
            <v>각파이프50*50*1.4TKg</v>
          </cell>
          <cell r="B183" t="str">
            <v>단가-8번</v>
          </cell>
          <cell r="C183" t="str">
            <v>각파이프</v>
          </cell>
          <cell r="D183" t="str">
            <v>50*50*1.4T</v>
          </cell>
          <cell r="E183" t="str">
            <v>Kg</v>
          </cell>
          <cell r="F183">
            <v>1007</v>
          </cell>
        </row>
        <row r="184">
          <cell r="A184" t="str">
            <v>각파이프100*50*2.3TKg</v>
          </cell>
          <cell r="B184" t="str">
            <v>단가-9번</v>
          </cell>
          <cell r="C184" t="str">
            <v>각파이프</v>
          </cell>
          <cell r="D184" t="str">
            <v>100*50*2.3T</v>
          </cell>
          <cell r="E184" t="str">
            <v>Kg</v>
          </cell>
          <cell r="F184">
            <v>871</v>
          </cell>
        </row>
        <row r="185">
          <cell r="A185" t="str">
            <v>일반용철못N25Kg</v>
          </cell>
          <cell r="B185" t="str">
            <v>단가-10번</v>
          </cell>
          <cell r="C185" t="str">
            <v>일반용철못</v>
          </cell>
          <cell r="D185" t="str">
            <v>N25</v>
          </cell>
          <cell r="E185" t="str">
            <v>Kg</v>
          </cell>
          <cell r="F185">
            <v>1540</v>
          </cell>
        </row>
        <row r="186">
          <cell r="A186" t="str">
            <v>일반용철못N50Kg</v>
          </cell>
          <cell r="B186" t="str">
            <v>단가-11번</v>
          </cell>
          <cell r="C186" t="str">
            <v>일반용철못</v>
          </cell>
          <cell r="D186" t="str">
            <v>N50</v>
          </cell>
          <cell r="E186" t="str">
            <v>Kg</v>
          </cell>
          <cell r="F186">
            <v>1385</v>
          </cell>
        </row>
        <row r="187">
          <cell r="A187" t="str">
            <v>일반용철못N75Kg</v>
          </cell>
          <cell r="B187" t="str">
            <v>단가-12번</v>
          </cell>
          <cell r="C187" t="str">
            <v>일반용철못</v>
          </cell>
          <cell r="D187" t="str">
            <v>N75</v>
          </cell>
          <cell r="E187" t="str">
            <v>Kg</v>
          </cell>
          <cell r="F187">
            <v>1375</v>
          </cell>
        </row>
        <row r="188">
          <cell r="A188" t="str">
            <v>전산볼트M8M</v>
          </cell>
          <cell r="B188" t="str">
            <v>단가-13번</v>
          </cell>
          <cell r="C188" t="str">
            <v>전산볼트</v>
          </cell>
          <cell r="D188" t="str">
            <v>M8</v>
          </cell>
          <cell r="E188" t="str">
            <v>M</v>
          </cell>
          <cell r="F188">
            <v>584</v>
          </cell>
        </row>
        <row r="189">
          <cell r="A189" t="str">
            <v>스트롱앙카Ø6mmEA</v>
          </cell>
          <cell r="B189" t="str">
            <v>단가-14번</v>
          </cell>
          <cell r="C189" t="str">
            <v>스트롱앙카</v>
          </cell>
          <cell r="D189" t="str">
            <v>Ø6mm</v>
          </cell>
          <cell r="E189" t="str">
            <v>EA</v>
          </cell>
          <cell r="F189">
            <v>130</v>
          </cell>
        </row>
        <row r="190">
          <cell r="A190" t="str">
            <v>스테인리스작은나사M3*8mmEA</v>
          </cell>
          <cell r="B190" t="str">
            <v>단가-15번</v>
          </cell>
          <cell r="C190" t="str">
            <v>스테인리스작은나사</v>
          </cell>
          <cell r="D190" t="str">
            <v>M3*8mm</v>
          </cell>
          <cell r="E190" t="str">
            <v>EA</v>
          </cell>
          <cell r="F190">
            <v>12</v>
          </cell>
        </row>
        <row r="191">
          <cell r="A191" t="str">
            <v>집성스크류#825mmEA</v>
          </cell>
          <cell r="B191" t="str">
            <v>단가-16번</v>
          </cell>
          <cell r="C191" t="str">
            <v>집성스크류</v>
          </cell>
          <cell r="D191" t="str">
            <v>#8 25mm</v>
          </cell>
          <cell r="E191" t="str">
            <v>EA</v>
          </cell>
          <cell r="F191">
            <v>12</v>
          </cell>
        </row>
        <row r="192">
          <cell r="A192" t="str">
            <v>코레실SL907프리미엄L</v>
          </cell>
          <cell r="B192" t="str">
            <v>단가-17번</v>
          </cell>
          <cell r="C192" t="str">
            <v>코레실</v>
          </cell>
          <cell r="D192" t="str">
            <v>SL907프리미엄</v>
          </cell>
          <cell r="E192" t="str">
            <v>L</v>
          </cell>
          <cell r="F192">
            <v>10000</v>
          </cell>
        </row>
        <row r="193">
          <cell r="A193" t="str">
            <v>광명단조합폐인트KSM6030-2L</v>
          </cell>
          <cell r="B193" t="str">
            <v>단가-18번</v>
          </cell>
          <cell r="C193" t="str">
            <v>광명단조합폐인트</v>
          </cell>
          <cell r="D193" t="str">
            <v>KSM6030-2</v>
          </cell>
          <cell r="E193" t="str">
            <v>L</v>
          </cell>
          <cell r="F193">
            <v>8983</v>
          </cell>
        </row>
        <row r="194">
          <cell r="A194" t="str">
            <v>비닐페인트WB290L</v>
          </cell>
          <cell r="B194" t="str">
            <v>단가-19번</v>
          </cell>
          <cell r="C194" t="str">
            <v>비닐페인트</v>
          </cell>
          <cell r="D194" t="str">
            <v>WB290</v>
          </cell>
          <cell r="E194" t="str">
            <v>L</v>
          </cell>
          <cell r="F194">
            <v>5705</v>
          </cell>
        </row>
        <row r="195">
          <cell r="A195" t="str">
            <v>신너KSM-6060,1종L</v>
          </cell>
          <cell r="B195" t="str">
            <v>단가-20번</v>
          </cell>
          <cell r="C195" t="str">
            <v>신너</v>
          </cell>
          <cell r="D195" t="str">
            <v>KSM-6060,1종</v>
          </cell>
          <cell r="E195" t="str">
            <v>L</v>
          </cell>
          <cell r="F195">
            <v>2711</v>
          </cell>
        </row>
        <row r="196">
          <cell r="A196" t="str">
            <v>신너KSM-6060,2종L</v>
          </cell>
          <cell r="B196" t="str">
            <v>단가-21번</v>
          </cell>
          <cell r="C196" t="str">
            <v>신너</v>
          </cell>
          <cell r="D196" t="str">
            <v>KSM-6060,2종</v>
          </cell>
          <cell r="E196" t="str">
            <v>L</v>
          </cell>
          <cell r="F196">
            <v>2711</v>
          </cell>
        </row>
        <row r="197">
          <cell r="A197" t="str">
            <v>신너KSM6060-3L</v>
          </cell>
          <cell r="B197" t="str">
            <v>단가-22번</v>
          </cell>
          <cell r="C197" t="str">
            <v>신너</v>
          </cell>
          <cell r="D197" t="str">
            <v>KSM6060-3</v>
          </cell>
          <cell r="E197" t="str">
            <v>L</v>
          </cell>
          <cell r="F197">
            <v>2577</v>
          </cell>
        </row>
        <row r="198">
          <cell r="A198" t="str">
            <v>칼라락카CL440L</v>
          </cell>
          <cell r="B198" t="str">
            <v>단가-23번</v>
          </cell>
          <cell r="C198" t="str">
            <v>칼라락카</v>
          </cell>
          <cell r="D198" t="str">
            <v>CL440</v>
          </cell>
          <cell r="E198" t="str">
            <v>L</v>
          </cell>
          <cell r="F198">
            <v>6467</v>
          </cell>
        </row>
        <row r="199">
          <cell r="A199" t="str">
            <v>우레탄신너037UL</v>
          </cell>
          <cell r="B199" t="str">
            <v>단가-24번</v>
          </cell>
          <cell r="C199" t="str">
            <v>우레탄신너</v>
          </cell>
          <cell r="D199" t="str">
            <v>037U</v>
          </cell>
          <cell r="E199" t="str">
            <v>L</v>
          </cell>
          <cell r="F199">
            <v>5000</v>
          </cell>
        </row>
        <row r="200">
          <cell r="A200" t="str">
            <v>락카사페사(락카)DNL-4150L</v>
          </cell>
          <cell r="B200" t="str">
            <v>단가-25번</v>
          </cell>
          <cell r="C200" t="str">
            <v>락카사페사(락카)</v>
          </cell>
          <cell r="D200" t="str">
            <v>DNL-4150</v>
          </cell>
          <cell r="E200" t="str">
            <v>L</v>
          </cell>
          <cell r="F200">
            <v>5931</v>
          </cell>
        </row>
        <row r="201">
          <cell r="A201" t="str">
            <v>포리퍼티YGL017KG</v>
          </cell>
          <cell r="B201" t="str">
            <v>단가-26번</v>
          </cell>
          <cell r="C201" t="str">
            <v>포리퍼티</v>
          </cell>
          <cell r="D201" t="str">
            <v>YGL017</v>
          </cell>
          <cell r="E201" t="str">
            <v>KG</v>
          </cell>
          <cell r="F201">
            <v>6750</v>
          </cell>
        </row>
        <row r="202">
          <cell r="A202" t="str">
            <v>워시프라이머ZQL011L</v>
          </cell>
          <cell r="B202" t="str">
            <v>단가-27번</v>
          </cell>
          <cell r="C202" t="str">
            <v>워시프라이머</v>
          </cell>
          <cell r="D202" t="str">
            <v>ZQL011</v>
          </cell>
          <cell r="E202" t="str">
            <v>L</v>
          </cell>
          <cell r="F202">
            <v>6155</v>
          </cell>
        </row>
        <row r="203">
          <cell r="A203" t="str">
            <v>우레탄락카UR3600L</v>
          </cell>
          <cell r="B203" t="str">
            <v>단가-28번</v>
          </cell>
          <cell r="C203" t="str">
            <v>우레탄락카</v>
          </cell>
          <cell r="D203" t="str">
            <v>UR3600</v>
          </cell>
          <cell r="E203" t="str">
            <v>L</v>
          </cell>
          <cell r="F203">
            <v>16000</v>
          </cell>
        </row>
        <row r="204">
          <cell r="A204" t="str">
            <v>코아합판T18mm*4'*8'M2</v>
          </cell>
          <cell r="B204" t="str">
            <v>단가-29번</v>
          </cell>
          <cell r="C204" t="str">
            <v xml:space="preserve">코아합판 </v>
          </cell>
          <cell r="D204" t="str">
            <v>T18mm*4'*8'</v>
          </cell>
          <cell r="E204" t="str">
            <v>M2</v>
          </cell>
          <cell r="F204">
            <v>10942</v>
          </cell>
        </row>
        <row r="205">
          <cell r="A205" t="str">
            <v>합판T8.5mm*4'*8'M2</v>
          </cell>
          <cell r="B205" t="str">
            <v>단가-30번</v>
          </cell>
          <cell r="C205" t="str">
            <v>합판</v>
          </cell>
          <cell r="D205" t="str">
            <v>T8.5mm*4'*8'</v>
          </cell>
          <cell r="E205" t="str">
            <v>M2</v>
          </cell>
          <cell r="F205">
            <v>6882</v>
          </cell>
        </row>
        <row r="206">
          <cell r="A206" t="str">
            <v>합판T11.5mm*4'*8'M2</v>
          </cell>
          <cell r="B206" t="str">
            <v>단가-31번</v>
          </cell>
          <cell r="C206" t="str">
            <v>합판</v>
          </cell>
          <cell r="D206" t="str">
            <v>T11.5mm*4'*8'</v>
          </cell>
          <cell r="E206" t="str">
            <v>M2</v>
          </cell>
          <cell r="F206">
            <v>8585</v>
          </cell>
        </row>
        <row r="207">
          <cell r="A207" t="str">
            <v>합판T15mm*4'*8'M2</v>
          </cell>
          <cell r="B207" t="str">
            <v>단가-32번</v>
          </cell>
          <cell r="C207" t="str">
            <v>합판</v>
          </cell>
          <cell r="D207" t="str">
            <v>T15mm*4'*8'</v>
          </cell>
          <cell r="E207" t="str">
            <v>M2</v>
          </cell>
          <cell r="F207">
            <v>12323</v>
          </cell>
        </row>
        <row r="208">
          <cell r="A208" t="str">
            <v>mdfT9mm*4'*8'M2</v>
          </cell>
          <cell r="B208" t="str">
            <v>단가-33번</v>
          </cell>
          <cell r="C208" t="str">
            <v>mdf</v>
          </cell>
          <cell r="D208" t="str">
            <v>T9mm*4'*8'</v>
          </cell>
          <cell r="E208" t="str">
            <v>M2</v>
          </cell>
          <cell r="F208">
            <v>4006</v>
          </cell>
        </row>
        <row r="209">
          <cell r="A209" t="str">
            <v>mdfT12mm*4'*8'M2</v>
          </cell>
          <cell r="B209" t="str">
            <v>단가-34번</v>
          </cell>
          <cell r="C209" t="str">
            <v>mdf</v>
          </cell>
          <cell r="D209" t="str">
            <v>T12mm*4'*8'</v>
          </cell>
          <cell r="E209" t="str">
            <v>M2</v>
          </cell>
          <cell r="F209">
            <v>5454</v>
          </cell>
        </row>
        <row r="210">
          <cell r="A210" t="str">
            <v>mdfT15mm*4'*8'M2</v>
          </cell>
          <cell r="B210" t="str">
            <v>단가-35번</v>
          </cell>
          <cell r="C210" t="str">
            <v>mdf</v>
          </cell>
          <cell r="D210" t="str">
            <v>T15mm*4'*8'</v>
          </cell>
          <cell r="E210" t="str">
            <v>M2</v>
          </cell>
          <cell r="F210">
            <v>6632</v>
          </cell>
        </row>
        <row r="211">
          <cell r="A211" t="str">
            <v>초배지양지A급M2</v>
          </cell>
          <cell r="B211" t="str">
            <v>단가-36번</v>
          </cell>
          <cell r="C211" t="str">
            <v>초배지</v>
          </cell>
          <cell r="D211" t="str">
            <v>양지A급</v>
          </cell>
          <cell r="E211" t="str">
            <v>M2</v>
          </cell>
          <cell r="F211">
            <v>253</v>
          </cell>
        </row>
        <row r="212">
          <cell r="A212" t="str">
            <v>용접봉2.6mm(CR-13)KG</v>
          </cell>
          <cell r="B212" t="str">
            <v>단가-37번</v>
          </cell>
          <cell r="C212" t="str">
            <v>용접봉</v>
          </cell>
          <cell r="D212" t="str">
            <v>2.6mm(CR-13)</v>
          </cell>
          <cell r="E212" t="str">
            <v>KG</v>
          </cell>
          <cell r="F212">
            <v>3044</v>
          </cell>
        </row>
        <row r="213">
          <cell r="A213" t="str">
            <v>연마포#120매</v>
          </cell>
          <cell r="B213" t="str">
            <v>단가-38번</v>
          </cell>
          <cell r="C213" t="str">
            <v>연마포</v>
          </cell>
          <cell r="D213" t="str">
            <v>#120</v>
          </cell>
          <cell r="E213" t="str">
            <v>매</v>
          </cell>
          <cell r="F213">
            <v>440</v>
          </cell>
        </row>
        <row r="214">
          <cell r="A214" t="str">
            <v>휘발유고급휘발유탱크로리L</v>
          </cell>
          <cell r="B214" t="str">
            <v>단가-39번</v>
          </cell>
          <cell r="C214" t="str">
            <v>휘발유</v>
          </cell>
          <cell r="D214" t="str">
            <v>고급휘발유 탱크로리</v>
          </cell>
          <cell r="E214" t="str">
            <v>L</v>
          </cell>
          <cell r="F214">
            <v>1595</v>
          </cell>
        </row>
        <row r="215">
          <cell r="A215" t="str">
            <v>산소99%L</v>
          </cell>
          <cell r="B215" t="str">
            <v>단가-40번</v>
          </cell>
          <cell r="C215" t="str">
            <v>산소</v>
          </cell>
          <cell r="D215" t="str">
            <v>99%</v>
          </cell>
          <cell r="E215" t="str">
            <v>L</v>
          </cell>
          <cell r="F215">
            <v>325</v>
          </cell>
        </row>
        <row r="216">
          <cell r="A216" t="str">
            <v>아세틸렌0.9996KG</v>
          </cell>
          <cell r="B216" t="str">
            <v>단가-41번</v>
          </cell>
          <cell r="C216" t="str">
            <v>아세틸렌</v>
          </cell>
          <cell r="D216">
            <v>0.99960000000000004</v>
          </cell>
          <cell r="E216" t="str">
            <v>KG</v>
          </cell>
          <cell r="F216">
            <v>13000</v>
          </cell>
        </row>
        <row r="217">
          <cell r="A217" t="str">
            <v>넝마면T/C제품KG</v>
          </cell>
          <cell r="B217" t="str">
            <v>단가-42번</v>
          </cell>
          <cell r="C217" t="str">
            <v>넝마</v>
          </cell>
          <cell r="D217" t="str">
            <v>면T/C 제품</v>
          </cell>
          <cell r="E217" t="str">
            <v>KG</v>
          </cell>
          <cell r="F217">
            <v>2000</v>
          </cell>
        </row>
        <row r="218">
          <cell r="A218" t="str">
            <v>세제유리용KG</v>
          </cell>
          <cell r="B218" t="str">
            <v>단가-43번</v>
          </cell>
          <cell r="C218" t="str">
            <v>세제</v>
          </cell>
          <cell r="D218" t="str">
            <v>유리용</v>
          </cell>
          <cell r="E218" t="str">
            <v>KG</v>
          </cell>
          <cell r="F218">
            <v>2133</v>
          </cell>
        </row>
        <row r="219">
          <cell r="A219" t="str">
            <v>전력소요량KWH</v>
          </cell>
          <cell r="B219" t="str">
            <v>단가-44번</v>
          </cell>
          <cell r="C219" t="str">
            <v>전력소요량</v>
          </cell>
          <cell r="D219" t="str">
            <v/>
          </cell>
          <cell r="E219" t="str">
            <v>KWH</v>
          </cell>
          <cell r="F219">
            <v>75</v>
          </cell>
        </row>
        <row r="220">
          <cell r="A220" t="str">
            <v>본드도배용KG</v>
          </cell>
          <cell r="B220" t="str">
            <v>단가-45번</v>
          </cell>
          <cell r="C220" t="str">
            <v>본드</v>
          </cell>
          <cell r="D220" t="str">
            <v>도배용</v>
          </cell>
          <cell r="E220" t="str">
            <v>KG</v>
          </cell>
          <cell r="F220">
            <v>2500</v>
          </cell>
        </row>
        <row r="221">
          <cell r="A221" t="str">
            <v>석고보드T9.5mm*900*1,800M2</v>
          </cell>
          <cell r="B221" t="str">
            <v>단가-46번</v>
          </cell>
          <cell r="C221" t="str">
            <v>석고보드</v>
          </cell>
          <cell r="D221" t="str">
            <v>T9.5mm*900*1,800</v>
          </cell>
          <cell r="E221" t="str">
            <v>M2</v>
          </cell>
          <cell r="F221">
            <v>2407</v>
          </cell>
        </row>
        <row r="222">
          <cell r="A222" t="str">
            <v>풀밀가루풀포</v>
          </cell>
          <cell r="B222" t="str">
            <v>단가-47번</v>
          </cell>
          <cell r="C222" t="str">
            <v>풀</v>
          </cell>
          <cell r="D222" t="str">
            <v>밀가루풀</v>
          </cell>
          <cell r="E222" t="str">
            <v>포</v>
          </cell>
          <cell r="F222">
            <v>4500</v>
          </cell>
        </row>
        <row r="223">
          <cell r="A223" t="str">
            <v>골판지원단(보양지)2종㎡</v>
          </cell>
          <cell r="B223" t="str">
            <v>단가-48번</v>
          </cell>
          <cell r="C223" t="str">
            <v>골판지 원단(보양지)</v>
          </cell>
          <cell r="D223" t="str">
            <v>2종</v>
          </cell>
          <cell r="E223" t="str">
            <v>㎡</v>
          </cell>
          <cell r="F223">
            <v>890</v>
          </cell>
        </row>
        <row r="224">
          <cell r="A224" t="str">
            <v>가새L:1,518-2개조</v>
          </cell>
          <cell r="B224" t="str">
            <v>단가-49번</v>
          </cell>
          <cell r="C224" t="str">
            <v>가새</v>
          </cell>
          <cell r="D224" t="str">
            <v>L:1,518-2개</v>
          </cell>
          <cell r="E224" t="str">
            <v>조</v>
          </cell>
          <cell r="F224">
            <v>8000</v>
          </cell>
        </row>
        <row r="225">
          <cell r="A225" t="str">
            <v>인서트9mm개</v>
          </cell>
          <cell r="B225" t="str">
            <v>단가-50번</v>
          </cell>
          <cell r="C225" t="str">
            <v>인서트</v>
          </cell>
          <cell r="D225" t="str">
            <v xml:space="preserve"> 9mm</v>
          </cell>
          <cell r="E225" t="str">
            <v>개</v>
          </cell>
          <cell r="F225">
            <v>180</v>
          </cell>
        </row>
        <row r="226">
          <cell r="A226" t="str">
            <v>용접기교류500AMPHR</v>
          </cell>
          <cell r="B226" t="str">
            <v>단가-51번</v>
          </cell>
          <cell r="C226" t="str">
            <v>용접기</v>
          </cell>
          <cell r="D226" t="str">
            <v>교류 500AMP</v>
          </cell>
          <cell r="E226" t="str">
            <v>HR</v>
          </cell>
          <cell r="F226">
            <v>124</v>
          </cell>
        </row>
        <row r="227">
          <cell r="A227" t="str">
            <v>신너KSM6060-3ℓ</v>
          </cell>
          <cell r="B227" t="str">
            <v>단가-52번</v>
          </cell>
          <cell r="C227" t="str">
            <v>신너</v>
          </cell>
          <cell r="D227" t="str">
            <v>KSM6060-3</v>
          </cell>
          <cell r="E227" t="str">
            <v>ℓ</v>
          </cell>
          <cell r="F227">
            <v>2577</v>
          </cell>
        </row>
        <row r="228">
          <cell r="A228" t="str">
            <v>바퀴6"EA</v>
          </cell>
          <cell r="B228" t="str">
            <v>단가-53번</v>
          </cell>
          <cell r="C228" t="str">
            <v>바퀴</v>
          </cell>
          <cell r="D228" t="str">
            <v>6"</v>
          </cell>
          <cell r="E228" t="str">
            <v>EA</v>
          </cell>
          <cell r="F228">
            <v>12000</v>
          </cell>
        </row>
        <row r="229">
          <cell r="A229" t="str">
            <v>방수소켓6A250VEA</v>
          </cell>
          <cell r="B229" t="str">
            <v>단가-54번</v>
          </cell>
          <cell r="C229" t="str">
            <v>방수소켓</v>
          </cell>
          <cell r="D229" t="str">
            <v>6A 250V</v>
          </cell>
          <cell r="E229" t="str">
            <v>EA</v>
          </cell>
          <cell r="F229">
            <v>743</v>
          </cell>
        </row>
        <row r="230">
          <cell r="A230" t="str">
            <v>백열전구220V100W등</v>
          </cell>
          <cell r="B230" t="str">
            <v>단가-55번</v>
          </cell>
          <cell r="C230" t="str">
            <v>백열전구</v>
          </cell>
          <cell r="D230" t="str">
            <v>220V 100W</v>
          </cell>
          <cell r="E230" t="str">
            <v>등</v>
          </cell>
          <cell r="F230">
            <v>700</v>
          </cell>
        </row>
        <row r="231">
          <cell r="A231" t="str">
            <v>목공용접착제205kg</v>
          </cell>
          <cell r="B231" t="str">
            <v>단가-56번</v>
          </cell>
          <cell r="C231" t="str">
            <v>목공용접착제</v>
          </cell>
          <cell r="D231">
            <v>205</v>
          </cell>
          <cell r="E231" t="str">
            <v>kg</v>
          </cell>
          <cell r="F231">
            <v>3529</v>
          </cell>
        </row>
        <row r="232">
          <cell r="A232" t="str">
            <v>AL몰딩w형1.0*15*15*15*15m</v>
          </cell>
          <cell r="B232" t="str">
            <v>단가-57번</v>
          </cell>
          <cell r="C232" t="str">
            <v>AL 몰딩</v>
          </cell>
          <cell r="D232" t="str">
            <v>w형 1.0*15*15*15*15</v>
          </cell>
          <cell r="E232" t="str">
            <v>m</v>
          </cell>
          <cell r="F232">
            <v>1890</v>
          </cell>
        </row>
        <row r="233">
          <cell r="A233" t="str">
            <v>전선600VIV2.0mm*3Cm</v>
          </cell>
          <cell r="B233" t="str">
            <v>단가-58번</v>
          </cell>
          <cell r="C233" t="str">
            <v>전선</v>
          </cell>
          <cell r="D233" t="str">
            <v>600V IV 2.0mm*3C</v>
          </cell>
          <cell r="E233" t="str">
            <v>m</v>
          </cell>
          <cell r="F233">
            <v>980</v>
          </cell>
        </row>
        <row r="234">
          <cell r="A234" t="str">
            <v>접착제석고본드Kg</v>
          </cell>
          <cell r="B234" t="str">
            <v>단가-59번</v>
          </cell>
          <cell r="C234" t="str">
            <v>접착제</v>
          </cell>
          <cell r="D234" t="str">
            <v>석고본드</v>
          </cell>
          <cell r="E234" t="str">
            <v>Kg</v>
          </cell>
          <cell r="F234">
            <v>436</v>
          </cell>
        </row>
        <row r="235">
          <cell r="A235" t="str">
            <v>BRACE찬넬0.8T67*40m</v>
          </cell>
          <cell r="B235" t="str">
            <v>단가-60번</v>
          </cell>
          <cell r="C235" t="str">
            <v>BRACE 찬넬</v>
          </cell>
          <cell r="D235" t="str">
            <v>0.8T   67*40</v>
          </cell>
          <cell r="E235" t="str">
            <v>m</v>
          </cell>
          <cell r="F235">
            <v>2120</v>
          </cell>
        </row>
        <row r="236">
          <cell r="A236" t="str">
            <v>공포C6,8-11mea</v>
          </cell>
          <cell r="B236" t="str">
            <v>단가-61번</v>
          </cell>
          <cell r="C236" t="str">
            <v>공포</v>
          </cell>
          <cell r="D236" t="str">
            <v>C6,8-11m</v>
          </cell>
          <cell r="E236" t="str">
            <v>ea</v>
          </cell>
          <cell r="F236">
            <v>125</v>
          </cell>
        </row>
        <row r="237">
          <cell r="A237" t="str">
            <v>HILTPINDX-450EA</v>
          </cell>
          <cell r="B237" t="str">
            <v>단가-62번</v>
          </cell>
          <cell r="C237" t="str">
            <v>HILTPIN</v>
          </cell>
          <cell r="D237" t="str">
            <v>DX-450</v>
          </cell>
          <cell r="E237" t="str">
            <v>EA</v>
          </cell>
          <cell r="F237">
            <v>84</v>
          </cell>
        </row>
        <row r="238">
          <cell r="A238" t="str">
            <v>친환경수성페인트내부수성도료ℓ</v>
          </cell>
          <cell r="B238" t="str">
            <v>단가-63번</v>
          </cell>
          <cell r="C238" t="str">
            <v>친환경수성페인트</v>
          </cell>
          <cell r="D238" t="str">
            <v>내부수성도료</v>
          </cell>
          <cell r="E238" t="str">
            <v>ℓ</v>
          </cell>
          <cell r="F238">
            <v>5705</v>
          </cell>
        </row>
        <row r="239">
          <cell r="A239" t="str">
            <v>퍼티핸디코트Kg</v>
          </cell>
          <cell r="B239" t="str">
            <v>단가-64번</v>
          </cell>
          <cell r="C239" t="str">
            <v>퍼티</v>
          </cell>
          <cell r="D239" t="str">
            <v>핸디코트</v>
          </cell>
          <cell r="E239" t="str">
            <v>Kg</v>
          </cell>
          <cell r="F239">
            <v>1030</v>
          </cell>
        </row>
        <row r="240">
          <cell r="A240" t="str">
            <v>휠러외부용25kgKg</v>
          </cell>
          <cell r="B240" t="str">
            <v>단가-65번</v>
          </cell>
          <cell r="C240" t="str">
            <v>휠러</v>
          </cell>
          <cell r="D240" t="str">
            <v>외부용 25kg</v>
          </cell>
          <cell r="E240" t="str">
            <v>Kg</v>
          </cell>
          <cell r="F240">
            <v>1650</v>
          </cell>
        </row>
        <row r="241">
          <cell r="A241" t="str">
            <v>연마지#120매</v>
          </cell>
          <cell r="B241" t="str">
            <v>단가-66번</v>
          </cell>
          <cell r="C241" t="str">
            <v>연마지</v>
          </cell>
          <cell r="D241" t="str">
            <v>#120</v>
          </cell>
          <cell r="E241" t="str">
            <v>매</v>
          </cell>
          <cell r="F241">
            <v>260</v>
          </cell>
        </row>
        <row r="242">
          <cell r="A242" t="str">
            <v>인테리어필름지방염㎡</v>
          </cell>
          <cell r="B242" t="str">
            <v>단가-67번</v>
          </cell>
          <cell r="C242" t="str">
            <v>인테리어필름지</v>
          </cell>
          <cell r="D242" t="str">
            <v>방염</v>
          </cell>
          <cell r="E242" t="str">
            <v>㎡</v>
          </cell>
          <cell r="F242">
            <v>34000</v>
          </cell>
        </row>
        <row r="243">
          <cell r="A243" t="str">
            <v>접착제수성프라이머나-2000Kg</v>
          </cell>
          <cell r="B243" t="str">
            <v>단가-68번</v>
          </cell>
          <cell r="C243" t="str">
            <v>접착제</v>
          </cell>
          <cell r="D243" t="str">
            <v>수성프라이머나-2000</v>
          </cell>
          <cell r="E243" t="str">
            <v>Kg</v>
          </cell>
          <cell r="F243">
            <v>5400</v>
          </cell>
        </row>
        <row r="244">
          <cell r="A244" t="str">
            <v>쉐락니스L</v>
          </cell>
          <cell r="B244" t="str">
            <v>단가-69번</v>
          </cell>
          <cell r="C244" t="str">
            <v>쉐락니스</v>
          </cell>
          <cell r="D244" t="str">
            <v/>
          </cell>
          <cell r="E244" t="str">
            <v>L</v>
          </cell>
          <cell r="F244">
            <v>4122</v>
          </cell>
        </row>
        <row r="245">
          <cell r="A245" t="str">
            <v>화이버테이프m</v>
          </cell>
          <cell r="B245" t="str">
            <v>단가-70번</v>
          </cell>
          <cell r="C245" t="str">
            <v>화이버테이프</v>
          </cell>
          <cell r="D245" t="str">
            <v/>
          </cell>
          <cell r="E245" t="str">
            <v>m</v>
          </cell>
          <cell r="F245">
            <v>0</v>
          </cell>
        </row>
        <row r="246">
          <cell r="A246" t="str">
            <v>M-BAR50*20*0.8TM</v>
          </cell>
          <cell r="B246" t="str">
            <v>단가-71번</v>
          </cell>
          <cell r="C246" t="str">
            <v>M-BAR</v>
          </cell>
          <cell r="D246" t="str">
            <v>50*20*0.8T</v>
          </cell>
          <cell r="E246" t="str">
            <v>M</v>
          </cell>
          <cell r="F246">
            <v>2975</v>
          </cell>
        </row>
        <row r="247">
          <cell r="A247" t="str">
            <v>그림걸이레일M</v>
          </cell>
          <cell r="B247" t="str">
            <v>단가-72번</v>
          </cell>
          <cell r="C247" t="str">
            <v>그림걸이레일</v>
          </cell>
          <cell r="D247" t="str">
            <v/>
          </cell>
          <cell r="E247" t="str">
            <v>M</v>
          </cell>
          <cell r="F247">
            <v>5525</v>
          </cell>
        </row>
        <row r="248">
          <cell r="A248" t="str">
            <v>망사테이프M</v>
          </cell>
          <cell r="B248" t="str">
            <v>단가-73번</v>
          </cell>
          <cell r="C248" t="str">
            <v>망사테이프</v>
          </cell>
          <cell r="D248" t="str">
            <v/>
          </cell>
          <cell r="E248" t="str">
            <v>M</v>
          </cell>
          <cell r="F248">
            <v>272</v>
          </cell>
        </row>
        <row r="249">
          <cell r="A249" t="str">
            <v>면취M</v>
          </cell>
          <cell r="B249" t="str">
            <v>단가-74번</v>
          </cell>
          <cell r="C249" t="str">
            <v>면취</v>
          </cell>
          <cell r="D249" t="str">
            <v/>
          </cell>
          <cell r="E249" t="str">
            <v>M</v>
          </cell>
          <cell r="F249">
            <v>4250</v>
          </cell>
        </row>
        <row r="250">
          <cell r="A250" t="str">
            <v>피아노경첩M</v>
          </cell>
          <cell r="B250" t="str">
            <v>단가-75번</v>
          </cell>
          <cell r="C250" t="str">
            <v>피아노경첩</v>
          </cell>
          <cell r="D250" t="str">
            <v/>
          </cell>
          <cell r="E250" t="str">
            <v>M</v>
          </cell>
          <cell r="F250">
            <v>10200</v>
          </cell>
        </row>
        <row r="251">
          <cell r="A251" t="str">
            <v>매입경첩중형set</v>
          </cell>
          <cell r="B251" t="str">
            <v>단가-76번</v>
          </cell>
          <cell r="C251" t="str">
            <v>매입경첩</v>
          </cell>
          <cell r="D251" t="str">
            <v>중형</v>
          </cell>
          <cell r="E251" t="str">
            <v>set</v>
          </cell>
          <cell r="F251">
            <v>34000</v>
          </cell>
        </row>
        <row r="252">
          <cell r="A252" t="str">
            <v>AL.패킹바M</v>
          </cell>
          <cell r="B252" t="str">
            <v>단가-77번</v>
          </cell>
          <cell r="C252" t="str">
            <v>AL.패킹바</v>
          </cell>
          <cell r="D252" t="str">
            <v/>
          </cell>
          <cell r="E252" t="str">
            <v>M</v>
          </cell>
          <cell r="F252">
            <v>5100</v>
          </cell>
        </row>
        <row r="253">
          <cell r="A253" t="str">
            <v>밀폐패킹소형M</v>
          </cell>
          <cell r="B253" t="str">
            <v>단가-78번</v>
          </cell>
          <cell r="C253" t="str">
            <v>밀폐패킹</v>
          </cell>
          <cell r="D253" t="str">
            <v>소형</v>
          </cell>
          <cell r="E253" t="str">
            <v>M</v>
          </cell>
          <cell r="F253">
            <v>5950</v>
          </cell>
        </row>
        <row r="254">
          <cell r="A254" t="str">
            <v>밀폐패킹대형M</v>
          </cell>
          <cell r="B254" t="str">
            <v>단가-79번</v>
          </cell>
          <cell r="C254" t="str">
            <v>밀폐패킹</v>
          </cell>
          <cell r="D254" t="str">
            <v>대형</v>
          </cell>
          <cell r="E254" t="str">
            <v>M</v>
          </cell>
          <cell r="F254">
            <v>8500</v>
          </cell>
        </row>
        <row r="255">
          <cell r="A255" t="str">
            <v>LOCKSETTWOPINEA</v>
          </cell>
          <cell r="B255" t="str">
            <v>단가-80번</v>
          </cell>
          <cell r="C255" t="str">
            <v>LOCK SET</v>
          </cell>
          <cell r="D255" t="str">
            <v>TWO PIN</v>
          </cell>
          <cell r="E255" t="str">
            <v>EA</v>
          </cell>
          <cell r="F255">
            <v>29750</v>
          </cell>
        </row>
        <row r="256">
          <cell r="A256" t="str">
            <v>LOCKSET보강EA</v>
          </cell>
          <cell r="B256" t="str">
            <v>단가-81번</v>
          </cell>
          <cell r="C256" t="str">
            <v>LOCK SET보강</v>
          </cell>
          <cell r="D256" t="str">
            <v/>
          </cell>
          <cell r="E256" t="str">
            <v>EA</v>
          </cell>
          <cell r="F256">
            <v>15300</v>
          </cell>
        </row>
        <row r="257">
          <cell r="A257" t="str">
            <v>세마직벽지1회특수벽지M2</v>
          </cell>
          <cell r="B257" t="str">
            <v>단가-82번</v>
          </cell>
          <cell r="C257" t="str">
            <v>세마직벽지</v>
          </cell>
          <cell r="D257" t="str">
            <v>1회 특수벽지</v>
          </cell>
          <cell r="E257" t="str">
            <v>M2</v>
          </cell>
          <cell r="F257">
            <v>44200</v>
          </cell>
        </row>
        <row r="258">
          <cell r="A258" t="str">
            <v>LED전반조명CASEM</v>
          </cell>
          <cell r="B258" t="str">
            <v>단가-83번</v>
          </cell>
          <cell r="C258" t="str">
            <v>LED 전반조명 CASE</v>
          </cell>
          <cell r="D258" t="str">
            <v/>
          </cell>
          <cell r="E258" t="str">
            <v>M</v>
          </cell>
          <cell r="F258">
            <v>136000</v>
          </cell>
        </row>
        <row r="259">
          <cell r="A259" t="str">
            <v>AL.사출유리후렘성형가공벽부장(상부)205M</v>
          </cell>
          <cell r="B259" t="str">
            <v>단가-84번</v>
          </cell>
          <cell r="C259" t="str">
            <v>AL.사출유리후렘성형가공</v>
          </cell>
          <cell r="D259" t="str">
            <v>벽부장(상부)205</v>
          </cell>
          <cell r="E259" t="str">
            <v>M</v>
          </cell>
          <cell r="F259">
            <v>221000</v>
          </cell>
        </row>
        <row r="260">
          <cell r="A260" t="str">
            <v>AL.사출유리후렘성형가공벽부장(하부)117M</v>
          </cell>
          <cell r="B260" t="str">
            <v>단가-85번</v>
          </cell>
          <cell r="C260" t="str">
            <v>AL.사출유리후렘성형가공</v>
          </cell>
          <cell r="D260" t="str">
            <v>벽부장(하부)117</v>
          </cell>
          <cell r="E260" t="str">
            <v>M</v>
          </cell>
          <cell r="F260">
            <v>119000</v>
          </cell>
        </row>
        <row r="261">
          <cell r="A261" t="str">
            <v>AL.사출유리후렘성형가공독립장(상부)150M</v>
          </cell>
          <cell r="B261" t="str">
            <v>단가-86번</v>
          </cell>
          <cell r="C261" t="str">
            <v>AL.사출유리후렘성형가공</v>
          </cell>
          <cell r="D261" t="str">
            <v>독립장(상부)150</v>
          </cell>
          <cell r="E261" t="str">
            <v>M</v>
          </cell>
          <cell r="F261">
            <v>136000</v>
          </cell>
        </row>
        <row r="262">
          <cell r="A262" t="str">
            <v>AL.사출유리후렘성형가공독립장(하부)103M</v>
          </cell>
          <cell r="B262" t="str">
            <v>단가-87번</v>
          </cell>
          <cell r="C262" t="str">
            <v>AL.사출유리후렘성형가공</v>
          </cell>
          <cell r="D262" t="str">
            <v>독립장(하부)103</v>
          </cell>
          <cell r="E262" t="str">
            <v>M</v>
          </cell>
          <cell r="F262">
            <v>102000</v>
          </cell>
        </row>
        <row r="263">
          <cell r="A263" t="str">
            <v>LM가이드시스템Ø25SET</v>
          </cell>
          <cell r="B263" t="str">
            <v>단가-88번</v>
          </cell>
          <cell r="C263" t="str">
            <v>LM가이드시스템</v>
          </cell>
          <cell r="D263" t="str">
            <v>Ø25</v>
          </cell>
          <cell r="E263" t="str">
            <v>SET</v>
          </cell>
          <cell r="F263">
            <v>110500</v>
          </cell>
        </row>
        <row r="264">
          <cell r="A264" t="str">
            <v>LM가이드(조명용)Ø25SET</v>
          </cell>
          <cell r="B264" t="str">
            <v>단가-89번</v>
          </cell>
          <cell r="C264" t="str">
            <v>LM가이드(조명용)</v>
          </cell>
          <cell r="D264" t="str">
            <v>Ø25</v>
          </cell>
          <cell r="E264" t="str">
            <v>SET</v>
          </cell>
          <cell r="F264">
            <v>110500</v>
          </cell>
        </row>
        <row r="265">
          <cell r="A265" t="str">
            <v>LM가이드시스템보강판T10mm레이져가공ea</v>
          </cell>
          <cell r="B265" t="str">
            <v>단가-90번</v>
          </cell>
          <cell r="C265" t="str">
            <v>LM가이드시스템보강판</v>
          </cell>
          <cell r="D265" t="str">
            <v>T10mm 레이져 가공</v>
          </cell>
          <cell r="E265" t="str">
            <v>ea</v>
          </cell>
          <cell r="F265">
            <v>15300</v>
          </cell>
        </row>
        <row r="266">
          <cell r="A266" t="str">
            <v>모터구동시스템웜기어전동실린더SET</v>
          </cell>
          <cell r="B266" t="str">
            <v>단가-91번</v>
          </cell>
          <cell r="C266" t="str">
            <v>모터구동시스템</v>
          </cell>
          <cell r="D266" t="str">
            <v>웜기어 전동실린더</v>
          </cell>
          <cell r="E266" t="str">
            <v>SET</v>
          </cell>
          <cell r="F266">
            <v>382500</v>
          </cell>
        </row>
        <row r="267">
          <cell r="A267" t="str">
            <v>모터구동시스템보강T10mm레이져가공ea</v>
          </cell>
          <cell r="B267" t="str">
            <v>단가-92번</v>
          </cell>
          <cell r="C267" t="str">
            <v>모터구동시스템보강</v>
          </cell>
          <cell r="D267" t="str">
            <v>T10mm 레이져 가공</v>
          </cell>
          <cell r="E267" t="str">
            <v>ea</v>
          </cell>
          <cell r="F267">
            <v>32300</v>
          </cell>
        </row>
        <row r="268">
          <cell r="A268" t="str">
            <v>베어링레일및가공22*422.3T가공M</v>
          </cell>
          <cell r="B268" t="str">
            <v>단가-93번</v>
          </cell>
          <cell r="C268" t="str">
            <v>베어링레일및가공</v>
          </cell>
          <cell r="D268" t="str">
            <v>22*42 2.3T 가공</v>
          </cell>
          <cell r="E268" t="str">
            <v>M</v>
          </cell>
          <cell r="F268">
            <v>127500</v>
          </cell>
        </row>
        <row r="269">
          <cell r="A269" t="str">
            <v>슬라이딩베어링Ø26EA</v>
          </cell>
          <cell r="B269" t="str">
            <v>단가-94번</v>
          </cell>
          <cell r="C269" t="str">
            <v>슬라이딩베어링</v>
          </cell>
          <cell r="D269" t="str">
            <v>Ø26</v>
          </cell>
          <cell r="E269" t="str">
            <v>EA</v>
          </cell>
          <cell r="F269">
            <v>5525</v>
          </cell>
        </row>
        <row r="270">
          <cell r="A270" t="str">
            <v>베어링붓싱가공#6200EA</v>
          </cell>
          <cell r="B270" t="str">
            <v>단가-95번</v>
          </cell>
          <cell r="C270" t="str">
            <v>베어링붓싱가공</v>
          </cell>
          <cell r="D270" t="str">
            <v>#6200</v>
          </cell>
          <cell r="E270" t="str">
            <v>EA</v>
          </cell>
          <cell r="F270">
            <v>5100</v>
          </cell>
        </row>
        <row r="271">
          <cell r="A271" t="str">
            <v>센터베어링및스톱파벽부형ea</v>
          </cell>
          <cell r="B271" t="str">
            <v>단가-96번</v>
          </cell>
          <cell r="C271" t="str">
            <v>센터베어링및스톱파</v>
          </cell>
          <cell r="D271" t="str">
            <v>벽부형</v>
          </cell>
          <cell r="E271" t="str">
            <v>ea</v>
          </cell>
          <cell r="F271">
            <v>85000</v>
          </cell>
        </row>
        <row r="272">
          <cell r="A272" t="str">
            <v>센터베어링및스톱파독립형1단ea</v>
          </cell>
          <cell r="B272" t="str">
            <v>단가-97번</v>
          </cell>
          <cell r="C272" t="str">
            <v>센터베어링및스톱파</v>
          </cell>
          <cell r="D272" t="str">
            <v>독립형1단</v>
          </cell>
          <cell r="E272" t="str">
            <v>ea</v>
          </cell>
          <cell r="F272">
            <v>68000</v>
          </cell>
        </row>
        <row r="273">
          <cell r="A273" t="str">
            <v>센터베어링및스톱파독립형2단ea</v>
          </cell>
          <cell r="B273" t="str">
            <v>단가-98번</v>
          </cell>
          <cell r="C273" t="str">
            <v>센터베어링및스톱파</v>
          </cell>
          <cell r="D273" t="str">
            <v>독립형2단</v>
          </cell>
          <cell r="E273" t="str">
            <v>ea</v>
          </cell>
          <cell r="F273">
            <v>102000</v>
          </cell>
        </row>
        <row r="274">
          <cell r="A274" t="str">
            <v>센터베어링가이드T2.3mm가공ea</v>
          </cell>
          <cell r="B274" t="str">
            <v>단가-99번</v>
          </cell>
          <cell r="C274" t="str">
            <v>센터베어링가이드</v>
          </cell>
          <cell r="D274" t="str">
            <v>T2.3mm 가공</v>
          </cell>
          <cell r="E274" t="str">
            <v>ea</v>
          </cell>
          <cell r="F274">
            <v>12750</v>
          </cell>
        </row>
        <row r="275">
          <cell r="A275" t="str">
            <v>CASTER&amp;ADJUSTEREA</v>
          </cell>
          <cell r="B275" t="str">
            <v>단가-100번</v>
          </cell>
          <cell r="C275" t="str">
            <v>CASTER&amp;ADJUSTER</v>
          </cell>
          <cell r="D275" t="str">
            <v/>
          </cell>
          <cell r="E275" t="str">
            <v>EA</v>
          </cell>
          <cell r="F275">
            <v>38250</v>
          </cell>
        </row>
        <row r="276">
          <cell r="A276" t="str">
            <v>CASTER&amp;ADJUSTER보강T4.5mm레이져가공EA</v>
          </cell>
          <cell r="B276" t="str">
            <v>단가-101번</v>
          </cell>
          <cell r="C276" t="str">
            <v>CASTER&amp;ADJUSTER보강</v>
          </cell>
          <cell r="D276" t="str">
            <v>T4.5mm 레이져 가공</v>
          </cell>
          <cell r="E276" t="str">
            <v>EA</v>
          </cell>
          <cell r="F276">
            <v>6800</v>
          </cell>
        </row>
        <row r="277">
          <cell r="A277" t="str">
            <v>유압쇽업쇼바20kgSET</v>
          </cell>
          <cell r="B277" t="str">
            <v>단가-102번</v>
          </cell>
          <cell r="C277" t="str">
            <v>유압쇽업쇼바</v>
          </cell>
          <cell r="D277" t="str">
            <v>20kg</v>
          </cell>
          <cell r="E277" t="str">
            <v>SET</v>
          </cell>
          <cell r="F277">
            <v>29750</v>
          </cell>
        </row>
        <row r="278">
          <cell r="A278" t="str">
            <v>유압쇽업쇼바40kgSET</v>
          </cell>
          <cell r="B278" t="str">
            <v>단가-103번</v>
          </cell>
          <cell r="C278" t="str">
            <v>유압쇽업쇼바</v>
          </cell>
          <cell r="D278" t="str">
            <v>40kg</v>
          </cell>
          <cell r="E278" t="str">
            <v>SET</v>
          </cell>
          <cell r="F278">
            <v>46750</v>
          </cell>
        </row>
        <row r="279">
          <cell r="A279" t="str">
            <v>유압쇽업쇼바보강T4.5mm레이져가공ea</v>
          </cell>
          <cell r="B279" t="str">
            <v>단가-104번</v>
          </cell>
          <cell r="C279" t="str">
            <v>유압쇽업쇼바 보강</v>
          </cell>
          <cell r="D279" t="str">
            <v>T4.5mm 레이져 가공</v>
          </cell>
          <cell r="E279" t="str">
            <v>ea</v>
          </cell>
          <cell r="F279">
            <v>8500</v>
          </cell>
        </row>
        <row r="280">
          <cell r="A280" t="str">
            <v>이동식배면판(전동식)4800*3400SET</v>
          </cell>
          <cell r="B280" t="str">
            <v>단가-105번</v>
          </cell>
          <cell r="C280" t="str">
            <v>이동식배면판(전동식)</v>
          </cell>
          <cell r="D280" t="str">
            <v>4800*3400</v>
          </cell>
          <cell r="E280" t="str">
            <v>SET</v>
          </cell>
          <cell r="F280">
            <v>9350000</v>
          </cell>
        </row>
        <row r="281">
          <cell r="A281" t="str">
            <v>이동식배면판(전동식)7200*3400SET</v>
          </cell>
          <cell r="B281" t="str">
            <v>단가-106번</v>
          </cell>
          <cell r="C281" t="str">
            <v>이동식배면판(전동식)</v>
          </cell>
          <cell r="D281" t="str">
            <v>7200*3400</v>
          </cell>
          <cell r="E281" t="str">
            <v>SET</v>
          </cell>
          <cell r="F281">
            <v>12750000</v>
          </cell>
        </row>
        <row r="282">
          <cell r="A282" t="str">
            <v>저반사접합유리(투과율99%)T10.76mmM2</v>
          </cell>
          <cell r="B282" t="str">
            <v>단가-107번</v>
          </cell>
          <cell r="C282" t="str">
            <v>저반사 접합유리(투과율99%)</v>
          </cell>
          <cell r="D282" t="str">
            <v>T10.76mm</v>
          </cell>
          <cell r="E282" t="str">
            <v>M2</v>
          </cell>
          <cell r="F282">
            <v>1275000</v>
          </cell>
        </row>
        <row r="283">
          <cell r="A283" t="str">
            <v>저반사접합유리(투과율98%)T10.76mmM2</v>
          </cell>
          <cell r="B283" t="str">
            <v>단가-108번</v>
          </cell>
          <cell r="C283" t="str">
            <v>저반사 접합유리(투과율98%)</v>
          </cell>
          <cell r="D283" t="str">
            <v>T10.76mm</v>
          </cell>
          <cell r="E283" t="str">
            <v>M2</v>
          </cell>
          <cell r="F283">
            <v>1062500</v>
          </cell>
        </row>
        <row r="284">
          <cell r="A284" t="str">
            <v>저반사접합유리(투과율96%)T10.76mmM2</v>
          </cell>
          <cell r="B284" t="str">
            <v>단가-109번</v>
          </cell>
          <cell r="C284" t="str">
            <v>저반사 접합유리(투과율96%)</v>
          </cell>
          <cell r="D284" t="str">
            <v>T10.76mm</v>
          </cell>
          <cell r="E284" t="str">
            <v>M2</v>
          </cell>
          <cell r="F284">
            <v>833000</v>
          </cell>
        </row>
        <row r="285">
          <cell r="A285" t="str">
            <v>화이트접합유리T10.76mmM2</v>
          </cell>
          <cell r="B285" t="str">
            <v>단가-110번</v>
          </cell>
          <cell r="C285" t="str">
            <v>화이트 접합유리</v>
          </cell>
          <cell r="D285" t="str">
            <v>T10.76mm</v>
          </cell>
          <cell r="E285" t="str">
            <v>M2</v>
          </cell>
          <cell r="F285">
            <v>255000</v>
          </cell>
        </row>
        <row r="286">
          <cell r="A286" t="str">
            <v>투명접합유리T12.76mm(2,400*3,000기준)M2</v>
          </cell>
          <cell r="B286" t="str">
            <v>단가-111번</v>
          </cell>
          <cell r="C286" t="str">
            <v>투명 접합유리</v>
          </cell>
          <cell r="D286" t="str">
            <v>T12.76mm (2,400*3,000기준)</v>
          </cell>
          <cell r="E286" t="str">
            <v>M2</v>
          </cell>
          <cell r="F286">
            <v>121550</v>
          </cell>
        </row>
        <row r="287">
          <cell r="A287" t="str">
            <v>투명접합유리T12.76mm(2,400*3,400기준)M2</v>
          </cell>
          <cell r="B287" t="str">
            <v>단가-112번</v>
          </cell>
          <cell r="C287" t="str">
            <v>투명 접합유리</v>
          </cell>
          <cell r="D287" t="str">
            <v>T12.76mm (2,400*3,400기준)</v>
          </cell>
          <cell r="E287" t="str">
            <v>M2</v>
          </cell>
          <cell r="F287">
            <v>168300</v>
          </cell>
        </row>
        <row r="288">
          <cell r="A288" t="str">
            <v>투명접합유리T10.76mmM2</v>
          </cell>
          <cell r="B288" t="str">
            <v>단가-113번</v>
          </cell>
          <cell r="C288" t="str">
            <v>투명 접합유리</v>
          </cell>
          <cell r="D288" t="str">
            <v>T10.76mm</v>
          </cell>
          <cell r="E288" t="str">
            <v>M2</v>
          </cell>
          <cell r="F288">
            <v>114750</v>
          </cell>
        </row>
        <row r="289">
          <cell r="A289" t="str">
            <v>투명접합유리T6.38mmM2</v>
          </cell>
          <cell r="B289" t="str">
            <v>단가-114번</v>
          </cell>
          <cell r="C289" t="str">
            <v>투명 접합유리</v>
          </cell>
          <cell r="D289" t="str">
            <v>T6.38mm</v>
          </cell>
          <cell r="E289" t="str">
            <v>M2</v>
          </cell>
          <cell r="F289">
            <v>93500</v>
          </cell>
        </row>
        <row r="290">
          <cell r="A290" t="str">
            <v>강화유리T12mmM2</v>
          </cell>
          <cell r="B290" t="str">
            <v>단가-115번</v>
          </cell>
          <cell r="C290" t="str">
            <v>강화유리</v>
          </cell>
          <cell r="D290" t="str">
            <v>T12mm</v>
          </cell>
          <cell r="E290" t="str">
            <v>M2</v>
          </cell>
          <cell r="F290">
            <v>38000</v>
          </cell>
        </row>
        <row r="291">
          <cell r="A291" t="str">
            <v>강화유리T10mmM2</v>
          </cell>
          <cell r="B291" t="str">
            <v>단가-116번</v>
          </cell>
          <cell r="C291" t="str">
            <v>강화유리</v>
          </cell>
          <cell r="D291" t="str">
            <v>T10mm</v>
          </cell>
          <cell r="E291" t="str">
            <v>M2</v>
          </cell>
          <cell r="F291">
            <v>32000</v>
          </cell>
        </row>
        <row r="292">
          <cell r="A292" t="str">
            <v>강화유리T8mmM2</v>
          </cell>
          <cell r="B292" t="str">
            <v>단가-117번</v>
          </cell>
          <cell r="C292" t="str">
            <v>강화유리</v>
          </cell>
          <cell r="D292" t="str">
            <v>T8mm</v>
          </cell>
          <cell r="E292" t="str">
            <v>M2</v>
          </cell>
          <cell r="F292">
            <v>25000</v>
          </cell>
        </row>
        <row r="293">
          <cell r="A293" t="str">
            <v>조명용아크릴T5mmm2</v>
          </cell>
          <cell r="B293" t="str">
            <v>단가-118번</v>
          </cell>
          <cell r="C293" t="str">
            <v>조명용 아크릴</v>
          </cell>
          <cell r="D293" t="str">
            <v>T5mm</v>
          </cell>
          <cell r="E293" t="str">
            <v>m2</v>
          </cell>
          <cell r="F293">
            <v>72250</v>
          </cell>
        </row>
        <row r="294">
          <cell r="A294" t="str">
            <v>박물관용led램프트랙형set</v>
          </cell>
          <cell r="B294" t="str">
            <v>단가-119번</v>
          </cell>
          <cell r="C294" t="str">
            <v>박물관용led 램프</v>
          </cell>
          <cell r="D294" t="str">
            <v>트랙형</v>
          </cell>
          <cell r="E294" t="str">
            <v>set</v>
          </cell>
          <cell r="F294">
            <v>408000</v>
          </cell>
        </row>
        <row r="295">
          <cell r="A295" t="str">
            <v>박물관용led램프폴대형set</v>
          </cell>
          <cell r="B295" t="str">
            <v>단가-120번</v>
          </cell>
          <cell r="C295" t="str">
            <v>박물관용led 램프</v>
          </cell>
          <cell r="D295" t="str">
            <v>폴대형</v>
          </cell>
          <cell r="E295" t="str">
            <v>set</v>
          </cell>
          <cell r="F295">
            <v>297500</v>
          </cell>
        </row>
        <row r="296">
          <cell r="A296" t="str">
            <v>박물관용led램프핀스포트형(벽부형)EA</v>
          </cell>
          <cell r="B296" t="str">
            <v>단가-121번</v>
          </cell>
          <cell r="C296" t="str">
            <v>박물관용led 램프</v>
          </cell>
          <cell r="D296" t="str">
            <v>핀스포트형(벽부형)</v>
          </cell>
          <cell r="E296" t="str">
            <v>EA</v>
          </cell>
          <cell r="F296">
            <v>170000</v>
          </cell>
        </row>
        <row r="297">
          <cell r="A297" t="str">
            <v>박물관용led램프핀스포트형(독립장형)EA</v>
          </cell>
          <cell r="B297" t="str">
            <v>단가-122번</v>
          </cell>
          <cell r="C297" t="str">
            <v>박물관용led 램프</v>
          </cell>
          <cell r="D297" t="str">
            <v>핀스포트형(독립장형)</v>
          </cell>
          <cell r="E297" t="str">
            <v>EA</v>
          </cell>
          <cell r="F297">
            <v>127500</v>
          </cell>
        </row>
        <row r="298">
          <cell r="A298" t="str">
            <v>박물관용ledBAR상부천장용M</v>
          </cell>
          <cell r="B298" t="str">
            <v>단가-123번</v>
          </cell>
          <cell r="C298" t="str">
            <v>박물관용led BAR</v>
          </cell>
          <cell r="D298" t="str">
            <v>상부천장용</v>
          </cell>
          <cell r="E298" t="str">
            <v>M</v>
          </cell>
          <cell r="F298">
            <v>102000</v>
          </cell>
        </row>
        <row r="299">
          <cell r="A299" t="str">
            <v>박물관용ledBAR바타입M</v>
          </cell>
          <cell r="B299" t="str">
            <v>단가-124번</v>
          </cell>
          <cell r="C299" t="str">
            <v>박물관용led BAR</v>
          </cell>
          <cell r="D299" t="str">
            <v xml:space="preserve">바타입 </v>
          </cell>
          <cell r="E299" t="str">
            <v>M</v>
          </cell>
          <cell r="F299">
            <v>650250</v>
          </cell>
        </row>
        <row r="300">
          <cell r="A300" t="str">
            <v>알루미늄판4T*900*1800M2</v>
          </cell>
          <cell r="B300" t="str">
            <v>단가-125번</v>
          </cell>
          <cell r="C300" t="str">
            <v>알루미늄판</v>
          </cell>
          <cell r="D300" t="str">
            <v>4T*900*1800</v>
          </cell>
          <cell r="E300" t="str">
            <v>M2</v>
          </cell>
          <cell r="F300">
            <v>136000</v>
          </cell>
        </row>
        <row r="301">
          <cell r="A301" t="str">
            <v>박물관용led램프컨트롤러(24채널)set</v>
          </cell>
          <cell r="B301" t="str">
            <v>단가-126번</v>
          </cell>
          <cell r="C301" t="str">
            <v>박물관용led 램프</v>
          </cell>
          <cell r="D301" t="str">
            <v>컨트롤러(24채널)</v>
          </cell>
          <cell r="E301" t="str">
            <v>set</v>
          </cell>
          <cell r="F301">
            <v>807500</v>
          </cell>
        </row>
        <row r="302">
          <cell r="A302" t="str">
            <v>박물관용led램프컨트롤러(16채널)set</v>
          </cell>
          <cell r="B302" t="str">
            <v>단가-127번</v>
          </cell>
          <cell r="C302" t="str">
            <v>박물관용led 램프</v>
          </cell>
          <cell r="D302" t="str">
            <v>컨트롤러(16채널)</v>
          </cell>
          <cell r="E302" t="str">
            <v>set</v>
          </cell>
          <cell r="F302">
            <v>680000</v>
          </cell>
        </row>
        <row r="303">
          <cell r="A303" t="str">
            <v>박물관용led램프컨트롤러(8채널)set</v>
          </cell>
          <cell r="B303" t="str">
            <v>단가-128번</v>
          </cell>
          <cell r="C303" t="str">
            <v>박물관용led 램프</v>
          </cell>
          <cell r="D303" t="str">
            <v>컨트롤러(8채널)</v>
          </cell>
          <cell r="E303" t="str">
            <v>set</v>
          </cell>
          <cell r="F303">
            <v>552500</v>
          </cell>
        </row>
        <row r="304">
          <cell r="A304" t="str">
            <v>박물관용ledBAR컨트롤러set</v>
          </cell>
          <cell r="B304" t="str">
            <v>단가-129번</v>
          </cell>
          <cell r="C304" t="str">
            <v>박물관용led BAR</v>
          </cell>
          <cell r="D304" t="str">
            <v>컨트롤러</v>
          </cell>
          <cell r="E304" t="str">
            <v>set</v>
          </cell>
          <cell r="F304">
            <v>425000</v>
          </cell>
        </row>
        <row r="305">
          <cell r="A305" t="str">
            <v>전후진전동콘트롤라벽부형SET</v>
          </cell>
          <cell r="B305" t="str">
            <v>단가-130번</v>
          </cell>
          <cell r="C305" t="str">
            <v>전후진 전동콘트롤라</v>
          </cell>
          <cell r="D305" t="str">
            <v>벽부형</v>
          </cell>
          <cell r="E305" t="str">
            <v>SET</v>
          </cell>
          <cell r="F305">
            <v>892500</v>
          </cell>
        </row>
        <row r="306">
          <cell r="A306" t="str">
            <v>전후진전동콘트롤라독립형SET</v>
          </cell>
          <cell r="B306" t="str">
            <v>단가-131번</v>
          </cell>
          <cell r="C306" t="str">
            <v>전후진 전동콘트롤라</v>
          </cell>
          <cell r="D306" t="str">
            <v>독립형</v>
          </cell>
          <cell r="E306" t="str">
            <v>SET</v>
          </cell>
          <cell r="F306">
            <v>425000</v>
          </cell>
        </row>
        <row r="307">
          <cell r="A307" t="str">
            <v>LED파워컨트롤러SMPSEA</v>
          </cell>
          <cell r="B307" t="str">
            <v>단가-132번</v>
          </cell>
          <cell r="C307" t="str">
            <v>LED 파워컨트롤러</v>
          </cell>
          <cell r="D307" t="str">
            <v>SMPS</v>
          </cell>
          <cell r="E307" t="str">
            <v>EA</v>
          </cell>
          <cell r="F307">
            <v>119000</v>
          </cell>
        </row>
        <row r="308">
          <cell r="A308" t="str">
            <v>멀티트랙트랙레일(1회로)M</v>
          </cell>
          <cell r="B308" t="str">
            <v>단가-133번</v>
          </cell>
          <cell r="C308" t="str">
            <v>멀티트랙</v>
          </cell>
          <cell r="D308" t="str">
            <v>트랙레일(1회로)</v>
          </cell>
          <cell r="E308" t="str">
            <v>M</v>
          </cell>
          <cell r="F308">
            <v>20230</v>
          </cell>
        </row>
        <row r="309">
          <cell r="A309" t="str">
            <v>멀티트랙연결소켓(1회로)EA</v>
          </cell>
          <cell r="B309" t="str">
            <v>단가-134번</v>
          </cell>
          <cell r="C309" t="str">
            <v>멀티트랙</v>
          </cell>
          <cell r="D309" t="str">
            <v>연결소켓(1회로)</v>
          </cell>
          <cell r="E309" t="str">
            <v>EA</v>
          </cell>
          <cell r="F309">
            <v>10370</v>
          </cell>
        </row>
        <row r="310">
          <cell r="A310" t="str">
            <v>멀티트랙S/F(1회로)SET</v>
          </cell>
          <cell r="B310" t="str">
            <v>단가-135번</v>
          </cell>
          <cell r="C310" t="str">
            <v>멀티트랙</v>
          </cell>
          <cell r="D310" t="str">
            <v>S/F(1회로)</v>
          </cell>
          <cell r="E310" t="str">
            <v>SET</v>
          </cell>
          <cell r="F310">
            <v>13387</v>
          </cell>
        </row>
        <row r="311">
          <cell r="A311" t="str">
            <v>보호망와이어메쉬EA</v>
          </cell>
          <cell r="B311" t="str">
            <v>단가-136번</v>
          </cell>
          <cell r="C311" t="str">
            <v>보호망</v>
          </cell>
          <cell r="D311" t="str">
            <v>와이어메쉬</v>
          </cell>
          <cell r="E311" t="str">
            <v>EA</v>
          </cell>
          <cell r="F311">
            <v>252</v>
          </cell>
        </row>
        <row r="312">
          <cell r="A312" t="str">
            <v>오일샤페사WP-PO-402600ℓ</v>
          </cell>
          <cell r="B312" t="str">
            <v>단가-137번</v>
          </cell>
          <cell r="C312" t="str">
            <v>오일샤페사</v>
          </cell>
          <cell r="D312" t="str">
            <v>WP-PO-402600</v>
          </cell>
          <cell r="E312" t="str">
            <v>ℓ</v>
          </cell>
          <cell r="F312">
            <v>2890</v>
          </cell>
        </row>
        <row r="313">
          <cell r="A313" t="str">
            <v>하도프라이머ℓ</v>
          </cell>
          <cell r="B313" t="str">
            <v>단가-138번</v>
          </cell>
          <cell r="C313" t="str">
            <v>하도 프라이머</v>
          </cell>
          <cell r="D313" t="str">
            <v/>
          </cell>
          <cell r="E313" t="str">
            <v>ℓ</v>
          </cell>
          <cell r="F313">
            <v>3251</v>
          </cell>
        </row>
        <row r="314">
          <cell r="A314" t="str">
            <v>내부사이드도어SET</v>
          </cell>
          <cell r="B314" t="str">
            <v>단가-139번</v>
          </cell>
          <cell r="C314" t="str">
            <v>내부 사이드 도어</v>
          </cell>
          <cell r="D314" t="str">
            <v/>
          </cell>
          <cell r="E314" t="str">
            <v>SET</v>
          </cell>
          <cell r="F314">
            <v>935000</v>
          </cell>
        </row>
        <row r="315">
          <cell r="A315" t="str">
            <v>외부포켓도어SET</v>
          </cell>
          <cell r="B315" t="str">
            <v>단가-140번</v>
          </cell>
          <cell r="C315" t="str">
            <v>외부 포켓 도어</v>
          </cell>
          <cell r="D315" t="str">
            <v/>
          </cell>
          <cell r="E315" t="str">
            <v>SET</v>
          </cell>
          <cell r="F315">
            <v>977500</v>
          </cell>
        </row>
        <row r="316">
          <cell r="A316" t="e">
            <v>#N/A</v>
          </cell>
          <cell r="B316" t="str">
            <v>단가-141번</v>
          </cell>
          <cell r="C316" t="e">
            <v>#N/A</v>
          </cell>
          <cell r="D316" t="e">
            <v>#N/A</v>
          </cell>
          <cell r="E316" t="e">
            <v>#N/A</v>
          </cell>
          <cell r="F316" t="e">
            <v>#N/A</v>
          </cell>
        </row>
        <row r="317">
          <cell r="A317" t="e">
            <v>#N/A</v>
          </cell>
          <cell r="B317" t="str">
            <v>단가-141번</v>
          </cell>
          <cell r="C317" t="e">
            <v>#N/A</v>
          </cell>
          <cell r="D317" t="e">
            <v>#N/A</v>
          </cell>
          <cell r="E317" t="e">
            <v>#N/A</v>
          </cell>
          <cell r="F317" t="e">
            <v>#N/A</v>
          </cell>
        </row>
        <row r="318">
          <cell r="A318" t="e">
            <v>#N/A</v>
          </cell>
          <cell r="B318" t="str">
            <v>단가-142번</v>
          </cell>
          <cell r="C318" t="e">
            <v>#N/A</v>
          </cell>
          <cell r="D318" t="e">
            <v>#N/A</v>
          </cell>
          <cell r="E318" t="e">
            <v>#N/A</v>
          </cell>
          <cell r="F318" t="e">
            <v>#N/A</v>
          </cell>
        </row>
        <row r="319">
          <cell r="A319" t="e">
            <v>#N/A</v>
          </cell>
          <cell r="B319" t="str">
            <v>단가-143번</v>
          </cell>
          <cell r="C319" t="e">
            <v>#N/A</v>
          </cell>
          <cell r="D319" t="e">
            <v>#N/A</v>
          </cell>
          <cell r="E319" t="e">
            <v>#N/A</v>
          </cell>
          <cell r="F319" t="e">
            <v>#N/A</v>
          </cell>
        </row>
        <row r="320">
          <cell r="A320" t="e">
            <v>#N/A</v>
          </cell>
          <cell r="B320" t="str">
            <v>단가-144번</v>
          </cell>
          <cell r="C320" t="e">
            <v>#N/A</v>
          </cell>
          <cell r="D320" t="e">
            <v>#N/A</v>
          </cell>
          <cell r="E320" t="e">
            <v>#N/A</v>
          </cell>
          <cell r="F320" t="e">
            <v>#N/A</v>
          </cell>
        </row>
        <row r="321">
          <cell r="A321" t="e">
            <v>#N/A</v>
          </cell>
          <cell r="B321" t="str">
            <v>단가-145번</v>
          </cell>
          <cell r="C321" t="e">
            <v>#N/A</v>
          </cell>
          <cell r="D321" t="e">
            <v>#N/A</v>
          </cell>
          <cell r="E321" t="e">
            <v>#N/A</v>
          </cell>
          <cell r="F321" t="e">
            <v>#N/A</v>
          </cell>
        </row>
        <row r="322">
          <cell r="A322" t="e">
            <v>#N/A</v>
          </cell>
          <cell r="B322" t="str">
            <v>단가-146번</v>
          </cell>
          <cell r="C322" t="e">
            <v>#N/A</v>
          </cell>
          <cell r="D322" t="e">
            <v>#N/A</v>
          </cell>
          <cell r="E322" t="e">
            <v>#N/A</v>
          </cell>
          <cell r="F322" t="e">
            <v>#N/A</v>
          </cell>
        </row>
        <row r="323">
          <cell r="A323" t="e">
            <v>#N/A</v>
          </cell>
          <cell r="B323" t="str">
            <v>단가-147번</v>
          </cell>
          <cell r="C323" t="e">
            <v>#N/A</v>
          </cell>
          <cell r="D323" t="e">
            <v>#N/A</v>
          </cell>
          <cell r="E323" t="e">
            <v>#N/A</v>
          </cell>
          <cell r="F323" t="e">
            <v>#N/A</v>
          </cell>
        </row>
        <row r="324">
          <cell r="A324" t="e">
            <v>#N/A</v>
          </cell>
          <cell r="B324" t="str">
            <v>단가-148번</v>
          </cell>
          <cell r="C324" t="e">
            <v>#N/A</v>
          </cell>
          <cell r="D324" t="e">
            <v>#N/A</v>
          </cell>
          <cell r="E324" t="e">
            <v>#N/A</v>
          </cell>
          <cell r="F324" t="e">
            <v>#N/A</v>
          </cell>
        </row>
        <row r="325">
          <cell r="A325" t="e">
            <v>#N/A</v>
          </cell>
          <cell r="B325" t="str">
            <v>단가-149번</v>
          </cell>
          <cell r="C325" t="e">
            <v>#N/A</v>
          </cell>
          <cell r="D325" t="e">
            <v>#N/A</v>
          </cell>
          <cell r="E325" t="e">
            <v>#N/A</v>
          </cell>
          <cell r="F325" t="e">
            <v>#N/A</v>
          </cell>
        </row>
        <row r="326">
          <cell r="A326" t="e">
            <v>#N/A</v>
          </cell>
          <cell r="B326" t="str">
            <v>단가-150번</v>
          </cell>
          <cell r="C326" t="e">
            <v>#N/A</v>
          </cell>
          <cell r="D326" t="e">
            <v>#N/A</v>
          </cell>
          <cell r="E326" t="e">
            <v>#N/A</v>
          </cell>
          <cell r="F326" t="e">
            <v>#N/A</v>
          </cell>
        </row>
        <row r="327">
          <cell r="A327" t="e">
            <v>#N/A</v>
          </cell>
          <cell r="B327" t="str">
            <v>단가-151번</v>
          </cell>
          <cell r="C327" t="e">
            <v>#N/A</v>
          </cell>
          <cell r="D327" t="e">
            <v>#N/A</v>
          </cell>
          <cell r="E327" t="e">
            <v>#N/A</v>
          </cell>
          <cell r="F327" t="e">
            <v>#N/A</v>
          </cell>
        </row>
        <row r="328">
          <cell r="A328" t="e">
            <v>#N/A</v>
          </cell>
          <cell r="B328" t="str">
            <v>단가-152번</v>
          </cell>
          <cell r="C328" t="e">
            <v>#N/A</v>
          </cell>
          <cell r="D328" t="e">
            <v>#N/A</v>
          </cell>
          <cell r="E328" t="e">
            <v>#N/A</v>
          </cell>
          <cell r="F328" t="e">
            <v>#N/A</v>
          </cell>
        </row>
        <row r="329">
          <cell r="A329" t="e">
            <v>#N/A</v>
          </cell>
          <cell r="B329" t="str">
            <v>단가-153번</v>
          </cell>
          <cell r="C329" t="e">
            <v>#N/A</v>
          </cell>
          <cell r="D329" t="e">
            <v>#N/A</v>
          </cell>
          <cell r="E329" t="e">
            <v>#N/A</v>
          </cell>
          <cell r="F329" t="e">
            <v>#N/A</v>
          </cell>
        </row>
        <row r="330">
          <cell r="A330" t="e">
            <v>#N/A</v>
          </cell>
          <cell r="B330" t="str">
            <v>단가-154번</v>
          </cell>
          <cell r="C330" t="e">
            <v>#N/A</v>
          </cell>
          <cell r="D330" t="e">
            <v>#N/A</v>
          </cell>
          <cell r="E330" t="e">
            <v>#N/A</v>
          </cell>
          <cell r="F330" t="e">
            <v>#N/A</v>
          </cell>
        </row>
        <row r="331">
          <cell r="A331" t="e">
            <v>#N/A</v>
          </cell>
          <cell r="B331" t="str">
            <v>단가-155번</v>
          </cell>
          <cell r="C331" t="e">
            <v>#N/A</v>
          </cell>
          <cell r="D331" t="e">
            <v>#N/A</v>
          </cell>
          <cell r="E331" t="e">
            <v>#N/A</v>
          </cell>
          <cell r="F331" t="e">
            <v>#N/A</v>
          </cell>
        </row>
        <row r="332">
          <cell r="A332" t="e">
            <v>#N/A</v>
          </cell>
          <cell r="B332" t="str">
            <v>단가-156번</v>
          </cell>
          <cell r="C332" t="e">
            <v>#N/A</v>
          </cell>
          <cell r="D332" t="e">
            <v>#N/A</v>
          </cell>
          <cell r="E332" t="e">
            <v>#N/A</v>
          </cell>
          <cell r="F332" t="e">
            <v>#N/A</v>
          </cell>
        </row>
        <row r="333">
          <cell r="A333" t="e">
            <v>#N/A</v>
          </cell>
          <cell r="B333" t="str">
            <v>단가-157번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</row>
        <row r="334">
          <cell r="A334" t="e">
            <v>#N/A</v>
          </cell>
          <cell r="B334" t="str">
            <v>단가-158번</v>
          </cell>
          <cell r="C334" t="e">
            <v>#N/A</v>
          </cell>
          <cell r="D334" t="e">
            <v>#N/A</v>
          </cell>
          <cell r="E334" t="e">
            <v>#N/A</v>
          </cell>
          <cell r="F334" t="e">
            <v>#N/A</v>
          </cell>
        </row>
        <row r="335">
          <cell r="A335" t="e">
            <v>#N/A</v>
          </cell>
          <cell r="B335" t="str">
            <v>단가-159번</v>
          </cell>
          <cell r="C335" t="e">
            <v>#N/A</v>
          </cell>
          <cell r="D335" t="e">
            <v>#N/A</v>
          </cell>
          <cell r="E335" t="e">
            <v>#N/A</v>
          </cell>
          <cell r="F335" t="e">
            <v>#N/A</v>
          </cell>
        </row>
        <row r="336">
          <cell r="A336" t="e">
            <v>#N/A</v>
          </cell>
          <cell r="B336" t="str">
            <v>단가-160번</v>
          </cell>
          <cell r="C336" t="e">
            <v>#N/A</v>
          </cell>
          <cell r="D336" t="e">
            <v>#N/A</v>
          </cell>
          <cell r="E336" t="e">
            <v>#N/A</v>
          </cell>
          <cell r="F336" t="e">
            <v>#N/A</v>
          </cell>
        </row>
        <row r="337">
          <cell r="A337" t="e">
            <v>#N/A</v>
          </cell>
          <cell r="B337" t="str">
            <v>단가-161번</v>
          </cell>
          <cell r="C337" t="e">
            <v>#N/A</v>
          </cell>
          <cell r="D337" t="e">
            <v>#N/A</v>
          </cell>
          <cell r="E337" t="e">
            <v>#N/A</v>
          </cell>
          <cell r="F337" t="e">
            <v>#N/A</v>
          </cell>
        </row>
        <row r="338">
          <cell r="A338" t="e">
            <v>#N/A</v>
          </cell>
          <cell r="B338" t="str">
            <v>단가-162번</v>
          </cell>
          <cell r="C338" t="e">
            <v>#N/A</v>
          </cell>
          <cell r="D338" t="e">
            <v>#N/A</v>
          </cell>
          <cell r="E338" t="e">
            <v>#N/A</v>
          </cell>
          <cell r="F338" t="e">
            <v>#N/A</v>
          </cell>
        </row>
        <row r="339">
          <cell r="A339" t="e">
            <v>#N/A</v>
          </cell>
          <cell r="B339" t="str">
            <v>단가-163번</v>
          </cell>
          <cell r="C339" t="e">
            <v>#N/A</v>
          </cell>
          <cell r="D339" t="e">
            <v>#N/A</v>
          </cell>
          <cell r="E339" t="e">
            <v>#N/A</v>
          </cell>
          <cell r="F339" t="e">
            <v>#N/A</v>
          </cell>
        </row>
        <row r="340">
          <cell r="A340" t="e">
            <v>#N/A</v>
          </cell>
          <cell r="B340" t="str">
            <v>단가-164번</v>
          </cell>
          <cell r="C340" t="e">
            <v>#N/A</v>
          </cell>
          <cell r="D340" t="e">
            <v>#N/A</v>
          </cell>
          <cell r="E340" t="e">
            <v>#N/A</v>
          </cell>
          <cell r="F340" t="e">
            <v>#N/A</v>
          </cell>
        </row>
        <row r="341">
          <cell r="A341" t="e">
            <v>#N/A</v>
          </cell>
          <cell r="B341" t="str">
            <v>단가-165번</v>
          </cell>
          <cell r="C341" t="e">
            <v>#N/A</v>
          </cell>
          <cell r="D341" t="e">
            <v>#N/A</v>
          </cell>
          <cell r="E341" t="e">
            <v>#N/A</v>
          </cell>
          <cell r="F341" t="e">
            <v>#N/A</v>
          </cell>
        </row>
        <row r="342">
          <cell r="A342" t="e">
            <v>#N/A</v>
          </cell>
          <cell r="B342" t="str">
            <v>단가-166번</v>
          </cell>
          <cell r="C342" t="e">
            <v>#N/A</v>
          </cell>
          <cell r="D342" t="e">
            <v>#N/A</v>
          </cell>
          <cell r="E342" t="e">
            <v>#N/A</v>
          </cell>
          <cell r="F342" t="e">
            <v>#N/A</v>
          </cell>
        </row>
        <row r="343">
          <cell r="A343" t="e">
            <v>#N/A</v>
          </cell>
          <cell r="B343" t="str">
            <v>단가-167번</v>
          </cell>
          <cell r="C343" t="e">
            <v>#N/A</v>
          </cell>
          <cell r="D343" t="e">
            <v>#N/A</v>
          </cell>
          <cell r="E343" t="e">
            <v>#N/A</v>
          </cell>
          <cell r="F343" t="e">
            <v>#N/A</v>
          </cell>
        </row>
        <row r="344">
          <cell r="A344" t="e">
            <v>#N/A</v>
          </cell>
          <cell r="B344" t="str">
            <v>단가-168번</v>
          </cell>
          <cell r="C344" t="e">
            <v>#N/A</v>
          </cell>
          <cell r="D344" t="e">
            <v>#N/A</v>
          </cell>
          <cell r="E344" t="e">
            <v>#N/A</v>
          </cell>
          <cell r="F344" t="e">
            <v>#N/A</v>
          </cell>
        </row>
        <row r="345">
          <cell r="A345" t="e">
            <v>#N/A</v>
          </cell>
          <cell r="B345" t="str">
            <v>단가-169번</v>
          </cell>
          <cell r="C345" t="e">
            <v>#N/A</v>
          </cell>
          <cell r="D345" t="e">
            <v>#N/A</v>
          </cell>
          <cell r="E345" t="e">
            <v>#N/A</v>
          </cell>
          <cell r="F345" t="e">
            <v>#N/A</v>
          </cell>
        </row>
        <row r="346">
          <cell r="A346" t="e">
            <v>#N/A</v>
          </cell>
          <cell r="B346" t="str">
            <v>단가-170번</v>
          </cell>
          <cell r="C346" t="e">
            <v>#N/A</v>
          </cell>
          <cell r="D346" t="e">
            <v>#N/A</v>
          </cell>
          <cell r="E346" t="e">
            <v>#N/A</v>
          </cell>
          <cell r="F346" t="e">
            <v>#N/A</v>
          </cell>
        </row>
        <row r="347">
          <cell r="A347" t="e">
            <v>#N/A</v>
          </cell>
          <cell r="B347" t="str">
            <v>단가-171번</v>
          </cell>
          <cell r="C347" t="e">
            <v>#N/A</v>
          </cell>
          <cell r="D347" t="e">
            <v>#N/A</v>
          </cell>
          <cell r="E347" t="e">
            <v>#N/A</v>
          </cell>
          <cell r="F347" t="e">
            <v>#N/A</v>
          </cell>
        </row>
        <row r="348">
          <cell r="A348" t="e">
            <v>#N/A</v>
          </cell>
          <cell r="B348" t="str">
            <v>단가-172번</v>
          </cell>
          <cell r="C348" t="e">
            <v>#N/A</v>
          </cell>
          <cell r="D348" t="e">
            <v>#N/A</v>
          </cell>
          <cell r="E348" t="e">
            <v>#N/A</v>
          </cell>
          <cell r="F348" t="e">
            <v>#N/A</v>
          </cell>
        </row>
        <row r="349">
          <cell r="A349" t="e">
            <v>#N/A</v>
          </cell>
          <cell r="B349" t="str">
            <v>단가-173번</v>
          </cell>
          <cell r="C349" t="e">
            <v>#N/A</v>
          </cell>
          <cell r="D349" t="e">
            <v>#N/A</v>
          </cell>
          <cell r="E349" t="e">
            <v>#N/A</v>
          </cell>
          <cell r="F349" t="e">
            <v>#N/A</v>
          </cell>
        </row>
        <row r="350">
          <cell r="A350" t="e">
            <v>#N/A</v>
          </cell>
          <cell r="B350" t="str">
            <v>단가-174번</v>
          </cell>
          <cell r="C350" t="e">
            <v>#N/A</v>
          </cell>
          <cell r="D350" t="e">
            <v>#N/A</v>
          </cell>
          <cell r="E350" t="e">
            <v>#N/A</v>
          </cell>
          <cell r="F350" t="e">
            <v>#N/A</v>
          </cell>
        </row>
        <row r="351">
          <cell r="A351" t="e">
            <v>#N/A</v>
          </cell>
          <cell r="B351" t="str">
            <v>단가-175번</v>
          </cell>
          <cell r="C351" t="e">
            <v>#N/A</v>
          </cell>
          <cell r="D351" t="e">
            <v>#N/A</v>
          </cell>
          <cell r="E351" t="e">
            <v>#N/A</v>
          </cell>
          <cell r="F351" t="e">
            <v>#N/A</v>
          </cell>
        </row>
        <row r="352">
          <cell r="A352" t="e">
            <v>#N/A</v>
          </cell>
          <cell r="B352" t="str">
            <v>단가-176번</v>
          </cell>
          <cell r="C352" t="e">
            <v>#N/A</v>
          </cell>
          <cell r="D352" t="e">
            <v>#N/A</v>
          </cell>
          <cell r="E352" t="e">
            <v>#N/A</v>
          </cell>
          <cell r="F352" t="e">
            <v>#N/A</v>
          </cell>
        </row>
        <row r="353">
          <cell r="A353" t="e">
            <v>#N/A</v>
          </cell>
          <cell r="B353" t="str">
            <v>단가-177번</v>
          </cell>
          <cell r="C353" t="e">
            <v>#N/A</v>
          </cell>
          <cell r="D353" t="e">
            <v>#N/A</v>
          </cell>
          <cell r="E353" t="e">
            <v>#N/A</v>
          </cell>
          <cell r="F353" t="e">
            <v>#N/A</v>
          </cell>
        </row>
        <row r="354">
          <cell r="A354" t="e">
            <v>#N/A</v>
          </cell>
          <cell r="B354" t="str">
            <v>단가-178번</v>
          </cell>
          <cell r="C354" t="e">
            <v>#N/A</v>
          </cell>
          <cell r="D354" t="e">
            <v>#N/A</v>
          </cell>
          <cell r="E354" t="e">
            <v>#N/A</v>
          </cell>
          <cell r="F354" t="e">
            <v>#N/A</v>
          </cell>
        </row>
        <row r="355">
          <cell r="A355" t="e">
            <v>#N/A</v>
          </cell>
          <cell r="B355" t="str">
            <v>단가-179번</v>
          </cell>
          <cell r="C355" t="e">
            <v>#N/A</v>
          </cell>
          <cell r="D355" t="e">
            <v>#N/A</v>
          </cell>
          <cell r="E355" t="e">
            <v>#N/A</v>
          </cell>
          <cell r="F355" t="e">
            <v>#N/A</v>
          </cell>
        </row>
        <row r="356">
          <cell r="A356" t="e">
            <v>#N/A</v>
          </cell>
          <cell r="B356" t="str">
            <v>단가-180번</v>
          </cell>
          <cell r="C356" t="e">
            <v>#N/A</v>
          </cell>
          <cell r="D356" t="e">
            <v>#N/A</v>
          </cell>
          <cell r="E356" t="e">
            <v>#N/A</v>
          </cell>
          <cell r="F356" t="e">
            <v>#N/A</v>
          </cell>
        </row>
        <row r="357">
          <cell r="A357" t="e">
            <v>#N/A</v>
          </cell>
          <cell r="B357" t="str">
            <v>단가-181번</v>
          </cell>
          <cell r="C357" t="e">
            <v>#N/A</v>
          </cell>
          <cell r="D357" t="e">
            <v>#N/A</v>
          </cell>
          <cell r="E357" t="e">
            <v>#N/A</v>
          </cell>
          <cell r="F357" t="e">
            <v>#N/A</v>
          </cell>
        </row>
        <row r="358">
          <cell r="A358" t="e">
            <v>#N/A</v>
          </cell>
          <cell r="B358" t="str">
            <v>단가-182번</v>
          </cell>
          <cell r="C358" t="e">
            <v>#N/A</v>
          </cell>
          <cell r="D358" t="e">
            <v>#N/A</v>
          </cell>
          <cell r="E358" t="e">
            <v>#N/A</v>
          </cell>
          <cell r="F358" t="e">
            <v>#N/A</v>
          </cell>
        </row>
        <row r="359">
          <cell r="A359" t="e">
            <v>#N/A</v>
          </cell>
          <cell r="B359" t="str">
            <v>단가-183번</v>
          </cell>
          <cell r="C359" t="e">
            <v>#N/A</v>
          </cell>
          <cell r="D359" t="e">
            <v>#N/A</v>
          </cell>
          <cell r="E359" t="e">
            <v>#N/A</v>
          </cell>
          <cell r="F359" t="e">
            <v>#N/A</v>
          </cell>
        </row>
        <row r="360">
          <cell r="A360" t="e">
            <v>#N/A</v>
          </cell>
          <cell r="B360" t="str">
            <v>단가-184번</v>
          </cell>
          <cell r="C360" t="e">
            <v>#N/A</v>
          </cell>
          <cell r="D360" t="e">
            <v>#N/A</v>
          </cell>
          <cell r="E360" t="e">
            <v>#N/A</v>
          </cell>
          <cell r="F360" t="e">
            <v>#N/A</v>
          </cell>
        </row>
        <row r="361">
          <cell r="A361" t="e">
            <v>#N/A</v>
          </cell>
          <cell r="B361" t="str">
            <v>단가-185번</v>
          </cell>
          <cell r="C361" t="e">
            <v>#N/A</v>
          </cell>
          <cell r="D361" t="e">
            <v>#N/A</v>
          </cell>
          <cell r="E361" t="e">
            <v>#N/A</v>
          </cell>
          <cell r="F361" t="e">
            <v>#N/A</v>
          </cell>
        </row>
        <row r="362">
          <cell r="A362" t="e">
            <v>#N/A</v>
          </cell>
          <cell r="B362" t="str">
            <v>단가-186번</v>
          </cell>
          <cell r="C362" t="e">
            <v>#N/A</v>
          </cell>
          <cell r="D362" t="e">
            <v>#N/A</v>
          </cell>
          <cell r="E362" t="e">
            <v>#N/A</v>
          </cell>
          <cell r="F362" t="e">
            <v>#N/A</v>
          </cell>
        </row>
        <row r="363">
          <cell r="A363" t="e">
            <v>#N/A</v>
          </cell>
          <cell r="B363" t="str">
            <v>단가-187번</v>
          </cell>
          <cell r="C363" t="e">
            <v>#N/A</v>
          </cell>
          <cell r="D363" t="e">
            <v>#N/A</v>
          </cell>
          <cell r="E363" t="e">
            <v>#N/A</v>
          </cell>
          <cell r="F363" t="e">
            <v>#N/A</v>
          </cell>
        </row>
        <row r="364">
          <cell r="A364" t="e">
            <v>#N/A</v>
          </cell>
          <cell r="B364" t="str">
            <v>단가-188번</v>
          </cell>
          <cell r="C364" t="e">
            <v>#N/A</v>
          </cell>
          <cell r="D364" t="e">
            <v>#N/A</v>
          </cell>
          <cell r="E364" t="e">
            <v>#N/A</v>
          </cell>
          <cell r="F364" t="e">
            <v>#N/A</v>
          </cell>
        </row>
        <row r="365">
          <cell r="A365" t="e">
            <v>#N/A</v>
          </cell>
          <cell r="B365" t="str">
            <v>단가-189번</v>
          </cell>
          <cell r="C365" t="e">
            <v>#N/A</v>
          </cell>
          <cell r="D365" t="e">
            <v>#N/A</v>
          </cell>
          <cell r="E365" t="e">
            <v>#N/A</v>
          </cell>
          <cell r="F365" t="e">
            <v>#N/A</v>
          </cell>
        </row>
        <row r="366">
          <cell r="A366" t="e">
            <v>#N/A</v>
          </cell>
          <cell r="B366" t="str">
            <v>단가-190번</v>
          </cell>
          <cell r="C366" t="e">
            <v>#N/A</v>
          </cell>
          <cell r="D366" t="e">
            <v>#N/A</v>
          </cell>
          <cell r="E366" t="e">
            <v>#N/A</v>
          </cell>
          <cell r="F366" t="e">
            <v>#N/A</v>
          </cell>
        </row>
        <row r="367">
          <cell r="A367" t="e">
            <v>#N/A</v>
          </cell>
          <cell r="B367" t="str">
            <v>단가-191번</v>
          </cell>
          <cell r="C367" t="e">
            <v>#N/A</v>
          </cell>
          <cell r="D367" t="e">
            <v>#N/A</v>
          </cell>
          <cell r="E367" t="e">
            <v>#N/A</v>
          </cell>
          <cell r="F367" t="e">
            <v>#N/A</v>
          </cell>
        </row>
        <row r="368">
          <cell r="A368" t="e">
            <v>#N/A</v>
          </cell>
          <cell r="B368" t="str">
            <v>단가-192번</v>
          </cell>
          <cell r="C368" t="e">
            <v>#N/A</v>
          </cell>
          <cell r="D368" t="e">
            <v>#N/A</v>
          </cell>
          <cell r="E368" t="e">
            <v>#N/A</v>
          </cell>
          <cell r="F368" t="e">
            <v>#N/A</v>
          </cell>
        </row>
        <row r="369">
          <cell r="A369" t="e">
            <v>#N/A</v>
          </cell>
          <cell r="B369" t="str">
            <v>단가-193번</v>
          </cell>
          <cell r="C369" t="e">
            <v>#N/A</v>
          </cell>
          <cell r="D369" t="e">
            <v>#N/A</v>
          </cell>
          <cell r="E369" t="e">
            <v>#N/A</v>
          </cell>
          <cell r="F369" t="e">
            <v>#N/A</v>
          </cell>
        </row>
        <row r="370">
          <cell r="A370" t="e">
            <v>#N/A</v>
          </cell>
          <cell r="B370" t="str">
            <v>단가-194번</v>
          </cell>
          <cell r="C370" t="e">
            <v>#N/A</v>
          </cell>
          <cell r="D370" t="e">
            <v>#N/A</v>
          </cell>
          <cell r="E370" t="e">
            <v>#N/A</v>
          </cell>
          <cell r="F370" t="e">
            <v>#N/A</v>
          </cell>
        </row>
        <row r="371">
          <cell r="A371" t="e">
            <v>#N/A</v>
          </cell>
          <cell r="B371" t="str">
            <v>단가-195번</v>
          </cell>
          <cell r="C371" t="e">
            <v>#N/A</v>
          </cell>
          <cell r="D371" t="e">
            <v>#N/A</v>
          </cell>
          <cell r="E371" t="e">
            <v>#N/A</v>
          </cell>
          <cell r="F371" t="e">
            <v>#N/A</v>
          </cell>
        </row>
        <row r="372">
          <cell r="A372" t="e">
            <v>#N/A</v>
          </cell>
          <cell r="B372" t="str">
            <v>단가-196번</v>
          </cell>
          <cell r="C372" t="e">
            <v>#N/A</v>
          </cell>
          <cell r="D372" t="e">
            <v>#N/A</v>
          </cell>
          <cell r="E372" t="e">
            <v>#N/A</v>
          </cell>
          <cell r="F372" t="e">
            <v>#N/A</v>
          </cell>
        </row>
        <row r="373">
          <cell r="A373" t="e">
            <v>#N/A</v>
          </cell>
          <cell r="B373" t="str">
            <v>단가-197번</v>
          </cell>
          <cell r="C373" t="e">
            <v>#N/A</v>
          </cell>
          <cell r="D373" t="e">
            <v>#N/A</v>
          </cell>
          <cell r="E373" t="e">
            <v>#N/A</v>
          </cell>
          <cell r="F373" t="e">
            <v>#N/A</v>
          </cell>
        </row>
        <row r="374">
          <cell r="A374" t="e">
            <v>#N/A</v>
          </cell>
          <cell r="B374" t="str">
            <v>단가-198번</v>
          </cell>
          <cell r="C374" t="e">
            <v>#N/A</v>
          </cell>
          <cell r="D374" t="e">
            <v>#N/A</v>
          </cell>
          <cell r="E374" t="e">
            <v>#N/A</v>
          </cell>
          <cell r="F374" t="e">
            <v>#N/A</v>
          </cell>
        </row>
        <row r="375">
          <cell r="A375" t="e">
            <v>#N/A</v>
          </cell>
          <cell r="B375" t="str">
            <v>단가-199번</v>
          </cell>
          <cell r="C375" t="e">
            <v>#N/A</v>
          </cell>
          <cell r="D375" t="e">
            <v>#N/A</v>
          </cell>
          <cell r="E375" t="e">
            <v>#N/A</v>
          </cell>
          <cell r="F375" t="e">
            <v>#N/A</v>
          </cell>
        </row>
        <row r="376">
          <cell r="A376" t="e">
            <v>#N/A</v>
          </cell>
          <cell r="B376" t="str">
            <v>단가-200번</v>
          </cell>
          <cell r="C376" t="e">
            <v>#N/A</v>
          </cell>
          <cell r="D376" t="e">
            <v>#N/A</v>
          </cell>
          <cell r="E376" t="e">
            <v>#N/A</v>
          </cell>
          <cell r="F376" t="e">
            <v>#N/A</v>
          </cell>
        </row>
        <row r="377">
          <cell r="A377" t="e">
            <v>#N/A</v>
          </cell>
          <cell r="B377" t="str">
            <v>단가-201번</v>
          </cell>
          <cell r="C377" t="e">
            <v>#N/A</v>
          </cell>
          <cell r="D377" t="e">
            <v>#N/A</v>
          </cell>
          <cell r="E377" t="e">
            <v>#N/A</v>
          </cell>
          <cell r="F377" t="e">
            <v>#N/A</v>
          </cell>
        </row>
        <row r="378">
          <cell r="A378" t="e">
            <v>#N/A</v>
          </cell>
          <cell r="B378" t="str">
            <v>단가-202번</v>
          </cell>
          <cell r="C378" t="e">
            <v>#N/A</v>
          </cell>
          <cell r="D378" t="e">
            <v>#N/A</v>
          </cell>
          <cell r="E378" t="e">
            <v>#N/A</v>
          </cell>
          <cell r="F378" t="e">
            <v>#N/A</v>
          </cell>
        </row>
        <row r="379">
          <cell r="A379" t="e">
            <v>#N/A</v>
          </cell>
          <cell r="B379" t="str">
            <v>단가-203번</v>
          </cell>
          <cell r="C379" t="e">
            <v>#N/A</v>
          </cell>
          <cell r="D379" t="e">
            <v>#N/A</v>
          </cell>
          <cell r="E379" t="e">
            <v>#N/A</v>
          </cell>
          <cell r="F379" t="e">
            <v>#N/A</v>
          </cell>
        </row>
        <row r="380">
          <cell r="A380" t="e">
            <v>#N/A</v>
          </cell>
          <cell r="B380" t="str">
            <v>단가-204번</v>
          </cell>
          <cell r="C380" t="e">
            <v>#N/A</v>
          </cell>
          <cell r="D380" t="e">
            <v>#N/A</v>
          </cell>
          <cell r="E380" t="e">
            <v>#N/A</v>
          </cell>
          <cell r="F380" t="e">
            <v>#N/A</v>
          </cell>
        </row>
        <row r="381">
          <cell r="A381" t="e">
            <v>#N/A</v>
          </cell>
          <cell r="B381" t="str">
            <v>단가-205번</v>
          </cell>
          <cell r="C381" t="e">
            <v>#N/A</v>
          </cell>
          <cell r="D381" t="e">
            <v>#N/A</v>
          </cell>
          <cell r="E381" t="e">
            <v>#N/A</v>
          </cell>
          <cell r="F381" t="e">
            <v>#N/A</v>
          </cell>
        </row>
        <row r="382">
          <cell r="A382" t="e">
            <v>#N/A</v>
          </cell>
          <cell r="B382" t="str">
            <v>단가-206번</v>
          </cell>
          <cell r="C382" t="e">
            <v>#N/A</v>
          </cell>
          <cell r="D382" t="e">
            <v>#N/A</v>
          </cell>
          <cell r="E382" t="e">
            <v>#N/A</v>
          </cell>
          <cell r="F382" t="e">
            <v>#N/A</v>
          </cell>
        </row>
        <row r="383">
          <cell r="A383" t="e">
            <v>#N/A</v>
          </cell>
          <cell r="B383" t="str">
            <v>단가-207번</v>
          </cell>
          <cell r="C383" t="e">
            <v>#N/A</v>
          </cell>
          <cell r="D383" t="e">
            <v>#N/A</v>
          </cell>
          <cell r="E383" t="e">
            <v>#N/A</v>
          </cell>
          <cell r="F383" t="e">
            <v>#N/A</v>
          </cell>
        </row>
        <row r="384">
          <cell r="A384" t="e">
            <v>#N/A</v>
          </cell>
          <cell r="B384" t="str">
            <v>단가-208번</v>
          </cell>
          <cell r="C384" t="e">
            <v>#N/A</v>
          </cell>
          <cell r="D384" t="e">
            <v>#N/A</v>
          </cell>
          <cell r="E384" t="e">
            <v>#N/A</v>
          </cell>
          <cell r="F384" t="e">
            <v>#N/A</v>
          </cell>
        </row>
        <row r="385">
          <cell r="A385" t="e">
            <v>#N/A</v>
          </cell>
          <cell r="B385" t="str">
            <v>단가-209번</v>
          </cell>
          <cell r="C385" t="e">
            <v>#N/A</v>
          </cell>
          <cell r="D385" t="e">
            <v>#N/A</v>
          </cell>
          <cell r="E385" t="e">
            <v>#N/A</v>
          </cell>
          <cell r="F385" t="e">
            <v>#N/A</v>
          </cell>
        </row>
        <row r="386">
          <cell r="A386" t="e">
            <v>#N/A</v>
          </cell>
          <cell r="B386" t="str">
            <v>단가-210번</v>
          </cell>
          <cell r="C386" t="e">
            <v>#N/A</v>
          </cell>
          <cell r="D386" t="e">
            <v>#N/A</v>
          </cell>
          <cell r="E386" t="e">
            <v>#N/A</v>
          </cell>
          <cell r="F386" t="e">
            <v>#N/A</v>
          </cell>
        </row>
        <row r="387">
          <cell r="A387" t="e">
            <v>#N/A</v>
          </cell>
          <cell r="B387" t="str">
            <v>단가-211번</v>
          </cell>
          <cell r="C387" t="e">
            <v>#N/A</v>
          </cell>
          <cell r="D387" t="e">
            <v>#N/A</v>
          </cell>
          <cell r="E387" t="e">
            <v>#N/A</v>
          </cell>
          <cell r="F387" t="e">
            <v>#N/A</v>
          </cell>
        </row>
        <row r="388">
          <cell r="A388" t="e">
            <v>#N/A</v>
          </cell>
          <cell r="B388" t="str">
            <v>단가-212번</v>
          </cell>
          <cell r="C388" t="e">
            <v>#N/A</v>
          </cell>
          <cell r="D388" t="e">
            <v>#N/A</v>
          </cell>
          <cell r="E388" t="e">
            <v>#N/A</v>
          </cell>
          <cell r="F388" t="e">
            <v>#N/A</v>
          </cell>
        </row>
        <row r="389">
          <cell r="A389" t="e">
            <v>#N/A</v>
          </cell>
          <cell r="B389" t="str">
            <v>단가-213번</v>
          </cell>
          <cell r="C389" t="e">
            <v>#N/A</v>
          </cell>
          <cell r="D389" t="e">
            <v>#N/A</v>
          </cell>
          <cell r="E389" t="e">
            <v>#N/A</v>
          </cell>
          <cell r="F389" t="e">
            <v>#N/A</v>
          </cell>
        </row>
        <row r="390">
          <cell r="A390" t="e">
            <v>#N/A</v>
          </cell>
          <cell r="B390" t="str">
            <v>단가-214번</v>
          </cell>
          <cell r="C390" t="e">
            <v>#N/A</v>
          </cell>
          <cell r="D390" t="e">
            <v>#N/A</v>
          </cell>
          <cell r="E390" t="e">
            <v>#N/A</v>
          </cell>
          <cell r="F390" t="e">
            <v>#N/A</v>
          </cell>
        </row>
        <row r="391">
          <cell r="A391" t="e">
            <v>#N/A</v>
          </cell>
          <cell r="B391" t="str">
            <v>단가-215번</v>
          </cell>
          <cell r="C391" t="e">
            <v>#N/A</v>
          </cell>
          <cell r="D391" t="e">
            <v>#N/A</v>
          </cell>
          <cell r="E391" t="e">
            <v>#N/A</v>
          </cell>
          <cell r="F391" t="e">
            <v>#N/A</v>
          </cell>
        </row>
        <row r="392">
          <cell r="A392" t="e">
            <v>#N/A</v>
          </cell>
          <cell r="B392" t="str">
            <v>단가-216번</v>
          </cell>
          <cell r="C392" t="e">
            <v>#N/A</v>
          </cell>
          <cell r="D392" t="e">
            <v>#N/A</v>
          </cell>
          <cell r="E392" t="e">
            <v>#N/A</v>
          </cell>
          <cell r="F392" t="e">
            <v>#N/A</v>
          </cell>
        </row>
        <row r="393">
          <cell r="A393" t="e">
            <v>#N/A</v>
          </cell>
          <cell r="B393" t="str">
            <v>단가-217번</v>
          </cell>
          <cell r="C393" t="e">
            <v>#N/A</v>
          </cell>
          <cell r="D393" t="e">
            <v>#N/A</v>
          </cell>
          <cell r="E393" t="e">
            <v>#N/A</v>
          </cell>
          <cell r="F393" t="e">
            <v>#N/A</v>
          </cell>
        </row>
        <row r="394">
          <cell r="A394" t="e">
            <v>#N/A</v>
          </cell>
          <cell r="B394" t="str">
            <v>단가-218번</v>
          </cell>
          <cell r="C394" t="e">
            <v>#N/A</v>
          </cell>
          <cell r="D394" t="e">
            <v>#N/A</v>
          </cell>
          <cell r="E394" t="e">
            <v>#N/A</v>
          </cell>
          <cell r="F394" t="e">
            <v>#N/A</v>
          </cell>
        </row>
        <row r="395">
          <cell r="A395" t="e">
            <v>#N/A</v>
          </cell>
          <cell r="B395" t="str">
            <v>단가-219번</v>
          </cell>
          <cell r="C395" t="e">
            <v>#N/A</v>
          </cell>
          <cell r="D395" t="e">
            <v>#N/A</v>
          </cell>
          <cell r="E395" t="e">
            <v>#N/A</v>
          </cell>
          <cell r="F395" t="e">
            <v>#N/A</v>
          </cell>
        </row>
        <row r="396">
          <cell r="A396" t="e">
            <v>#N/A</v>
          </cell>
          <cell r="B396" t="str">
            <v>단가-220번</v>
          </cell>
          <cell r="C396" t="e">
            <v>#N/A</v>
          </cell>
          <cell r="D396" t="e">
            <v>#N/A</v>
          </cell>
          <cell r="E396" t="e">
            <v>#N/A</v>
          </cell>
          <cell r="F396" t="e">
            <v>#N/A</v>
          </cell>
        </row>
        <row r="397">
          <cell r="A397" t="e">
            <v>#N/A</v>
          </cell>
          <cell r="B397" t="str">
            <v>단가-221번</v>
          </cell>
          <cell r="C397" t="e">
            <v>#N/A</v>
          </cell>
          <cell r="D397" t="e">
            <v>#N/A</v>
          </cell>
          <cell r="E397" t="e">
            <v>#N/A</v>
          </cell>
          <cell r="F397" t="e">
            <v>#N/A</v>
          </cell>
        </row>
        <row r="398">
          <cell r="A398" t="e">
            <v>#N/A</v>
          </cell>
          <cell r="B398" t="str">
            <v>단가-222번</v>
          </cell>
          <cell r="C398" t="e">
            <v>#N/A</v>
          </cell>
          <cell r="D398" t="e">
            <v>#N/A</v>
          </cell>
          <cell r="E398" t="e">
            <v>#N/A</v>
          </cell>
          <cell r="F398" t="e">
            <v>#N/A</v>
          </cell>
        </row>
        <row r="399">
          <cell r="A399" t="e">
            <v>#N/A</v>
          </cell>
          <cell r="B399" t="str">
            <v>단가-223번</v>
          </cell>
          <cell r="C399" t="e">
            <v>#N/A</v>
          </cell>
          <cell r="D399" t="e">
            <v>#N/A</v>
          </cell>
          <cell r="E399" t="e">
            <v>#N/A</v>
          </cell>
          <cell r="F399" t="e">
            <v>#N/A</v>
          </cell>
        </row>
        <row r="400">
          <cell r="A400" t="e">
            <v>#N/A</v>
          </cell>
          <cell r="B400" t="str">
            <v>단가-224번</v>
          </cell>
          <cell r="C400" t="e">
            <v>#N/A</v>
          </cell>
          <cell r="D400" t="e">
            <v>#N/A</v>
          </cell>
          <cell r="E400" t="e">
            <v>#N/A</v>
          </cell>
          <cell r="F400" t="e">
            <v>#N/A</v>
          </cell>
        </row>
        <row r="401">
          <cell r="A401" t="e">
            <v>#N/A</v>
          </cell>
          <cell r="B401" t="str">
            <v>단가-225번</v>
          </cell>
          <cell r="C401" t="e">
            <v>#N/A</v>
          </cell>
          <cell r="D401" t="e">
            <v>#N/A</v>
          </cell>
          <cell r="E401" t="e">
            <v>#N/A</v>
          </cell>
          <cell r="F401" t="e">
            <v>#N/A</v>
          </cell>
        </row>
        <row r="402">
          <cell r="A402" t="e">
            <v>#N/A</v>
          </cell>
          <cell r="B402" t="str">
            <v>단가-225번</v>
          </cell>
          <cell r="C402" t="e">
            <v>#N/A</v>
          </cell>
          <cell r="D402" t="e">
            <v>#N/A</v>
          </cell>
          <cell r="E402" t="e">
            <v>#N/A</v>
          </cell>
          <cell r="F402" t="e">
            <v>#N/A</v>
          </cell>
        </row>
        <row r="403">
          <cell r="A403" t="e">
            <v>#N/A</v>
          </cell>
          <cell r="B403" t="str">
            <v>단가-226번</v>
          </cell>
          <cell r="C403" t="e">
            <v>#N/A</v>
          </cell>
          <cell r="D403" t="e">
            <v>#N/A</v>
          </cell>
          <cell r="E403" t="e">
            <v>#N/A</v>
          </cell>
          <cell r="F403" t="e">
            <v>#N/A</v>
          </cell>
        </row>
        <row r="404">
          <cell r="A404" t="e">
            <v>#N/A</v>
          </cell>
          <cell r="B404" t="str">
            <v>단가-227번</v>
          </cell>
          <cell r="C404" t="e">
            <v>#N/A</v>
          </cell>
          <cell r="D404" t="e">
            <v>#N/A</v>
          </cell>
          <cell r="E404" t="e">
            <v>#N/A</v>
          </cell>
          <cell r="F404" t="e">
            <v>#N/A</v>
          </cell>
        </row>
        <row r="405">
          <cell r="A405" t="e">
            <v>#N/A</v>
          </cell>
          <cell r="B405" t="str">
            <v>단가-228번</v>
          </cell>
          <cell r="C405" t="e">
            <v>#N/A</v>
          </cell>
          <cell r="D405" t="e">
            <v>#N/A</v>
          </cell>
          <cell r="E405" t="e">
            <v>#N/A</v>
          </cell>
          <cell r="F405" t="e">
            <v>#N/A</v>
          </cell>
        </row>
        <row r="406">
          <cell r="A406" t="e">
            <v>#N/A</v>
          </cell>
          <cell r="B406" t="str">
            <v>단가-229번</v>
          </cell>
          <cell r="C406" t="e">
            <v>#N/A</v>
          </cell>
          <cell r="D406" t="e">
            <v>#N/A</v>
          </cell>
          <cell r="E406" t="e">
            <v>#N/A</v>
          </cell>
          <cell r="F406" t="e">
            <v>#N/A</v>
          </cell>
        </row>
        <row r="407">
          <cell r="A407" t="e">
            <v>#N/A</v>
          </cell>
          <cell r="B407" t="str">
            <v>단가-230번</v>
          </cell>
          <cell r="C407" t="e">
            <v>#N/A</v>
          </cell>
          <cell r="D407" t="e">
            <v>#N/A</v>
          </cell>
          <cell r="E407" t="e">
            <v>#N/A</v>
          </cell>
          <cell r="F407" t="e">
            <v>#N/A</v>
          </cell>
        </row>
        <row r="408">
          <cell r="A408" t="e">
            <v>#N/A</v>
          </cell>
          <cell r="B408" t="str">
            <v>단가-231번</v>
          </cell>
          <cell r="C408" t="e">
            <v>#N/A</v>
          </cell>
          <cell r="D408" t="e">
            <v>#N/A</v>
          </cell>
          <cell r="E408" t="e">
            <v>#N/A</v>
          </cell>
          <cell r="F408" t="e">
            <v>#N/A</v>
          </cell>
        </row>
        <row r="409">
          <cell r="A409" t="e">
            <v>#N/A</v>
          </cell>
          <cell r="B409" t="str">
            <v>단가-232번</v>
          </cell>
          <cell r="C409" t="e">
            <v>#N/A</v>
          </cell>
          <cell r="D409" t="e">
            <v>#N/A</v>
          </cell>
          <cell r="E409" t="e">
            <v>#N/A</v>
          </cell>
          <cell r="F409" t="e">
            <v>#N/A</v>
          </cell>
        </row>
        <row r="410">
          <cell r="A410" t="e">
            <v>#N/A</v>
          </cell>
          <cell r="B410" t="str">
            <v>단가-233번</v>
          </cell>
          <cell r="C410" t="e">
            <v>#N/A</v>
          </cell>
          <cell r="D410" t="e">
            <v>#N/A</v>
          </cell>
          <cell r="E410" t="e">
            <v>#N/A</v>
          </cell>
          <cell r="F410" t="e">
            <v>#N/A</v>
          </cell>
        </row>
        <row r="411">
          <cell r="A411" t="e">
            <v>#N/A</v>
          </cell>
          <cell r="B411" t="str">
            <v>단가-234번</v>
          </cell>
          <cell r="C411" t="e">
            <v>#N/A</v>
          </cell>
          <cell r="D411" t="e">
            <v>#N/A</v>
          </cell>
          <cell r="E411" t="e">
            <v>#N/A</v>
          </cell>
          <cell r="F411" t="e">
            <v>#N/A</v>
          </cell>
        </row>
        <row r="412">
          <cell r="A412" t="e">
            <v>#N/A</v>
          </cell>
          <cell r="B412" t="str">
            <v>단가-235번</v>
          </cell>
          <cell r="C412" t="e">
            <v>#N/A</v>
          </cell>
          <cell r="D412" t="e">
            <v>#N/A</v>
          </cell>
          <cell r="E412" t="e">
            <v>#N/A</v>
          </cell>
          <cell r="F412" t="e">
            <v>#N/A</v>
          </cell>
        </row>
        <row r="413">
          <cell r="A413" t="e">
            <v>#N/A</v>
          </cell>
          <cell r="B413" t="str">
            <v>단가-236번</v>
          </cell>
          <cell r="C413" t="e">
            <v>#N/A</v>
          </cell>
          <cell r="D413" t="e">
            <v>#N/A</v>
          </cell>
          <cell r="E413" t="e">
            <v>#N/A</v>
          </cell>
          <cell r="F413" t="e">
            <v>#N/A</v>
          </cell>
        </row>
        <row r="414">
          <cell r="A414" t="e">
            <v>#N/A</v>
          </cell>
          <cell r="B414" t="str">
            <v>단가-237번</v>
          </cell>
          <cell r="C414" t="e">
            <v>#N/A</v>
          </cell>
          <cell r="D414" t="e">
            <v>#N/A</v>
          </cell>
          <cell r="E414" t="e">
            <v>#N/A</v>
          </cell>
          <cell r="F414" t="e">
            <v>#N/A</v>
          </cell>
        </row>
        <row r="415">
          <cell r="A415" t="e">
            <v>#N/A</v>
          </cell>
          <cell r="B415" t="str">
            <v>단가-238번</v>
          </cell>
          <cell r="C415" t="e">
            <v>#N/A</v>
          </cell>
          <cell r="D415" t="e">
            <v>#N/A</v>
          </cell>
          <cell r="E415" t="e">
            <v>#N/A</v>
          </cell>
          <cell r="F415" t="e">
            <v>#N/A</v>
          </cell>
        </row>
        <row r="416">
          <cell r="A416" t="e">
            <v>#N/A</v>
          </cell>
          <cell r="B416" t="str">
            <v>단가-239번</v>
          </cell>
          <cell r="C416" t="e">
            <v>#N/A</v>
          </cell>
          <cell r="D416" t="e">
            <v>#N/A</v>
          </cell>
          <cell r="E416" t="e">
            <v>#N/A</v>
          </cell>
          <cell r="F416" t="e">
            <v>#N/A</v>
          </cell>
        </row>
        <row r="417">
          <cell r="A417" t="e">
            <v>#N/A</v>
          </cell>
          <cell r="B417" t="str">
            <v>단가-240번</v>
          </cell>
          <cell r="C417" t="e">
            <v>#N/A</v>
          </cell>
          <cell r="D417" t="e">
            <v>#N/A</v>
          </cell>
          <cell r="E417" t="e">
            <v>#N/A</v>
          </cell>
          <cell r="F417" t="e">
            <v>#N/A</v>
          </cell>
        </row>
        <row r="418">
          <cell r="A418" t="e">
            <v>#N/A</v>
          </cell>
          <cell r="B418" t="str">
            <v>단가-241번</v>
          </cell>
          <cell r="C418" t="e">
            <v>#N/A</v>
          </cell>
          <cell r="D418" t="e">
            <v>#N/A</v>
          </cell>
          <cell r="E418" t="e">
            <v>#N/A</v>
          </cell>
          <cell r="F418" t="e">
            <v>#N/A</v>
          </cell>
        </row>
        <row r="419">
          <cell r="A419" t="e">
            <v>#N/A</v>
          </cell>
          <cell r="B419" t="str">
            <v>단가-242번</v>
          </cell>
          <cell r="C419" t="e">
            <v>#N/A</v>
          </cell>
          <cell r="D419" t="e">
            <v>#N/A</v>
          </cell>
          <cell r="E419" t="e">
            <v>#N/A</v>
          </cell>
          <cell r="F419" t="e">
            <v>#N/A</v>
          </cell>
        </row>
        <row r="420">
          <cell r="A420" t="e">
            <v>#N/A</v>
          </cell>
          <cell r="B420" t="str">
            <v>단가-243번</v>
          </cell>
          <cell r="C420" t="e">
            <v>#N/A</v>
          </cell>
          <cell r="D420" t="e">
            <v>#N/A</v>
          </cell>
          <cell r="E420" t="e">
            <v>#N/A</v>
          </cell>
          <cell r="F420" t="e">
            <v>#N/A</v>
          </cell>
        </row>
        <row r="421">
          <cell r="A421" t="e">
            <v>#N/A</v>
          </cell>
          <cell r="B421" t="str">
            <v>단가-244번</v>
          </cell>
          <cell r="C421" t="e">
            <v>#N/A</v>
          </cell>
          <cell r="D421" t="e">
            <v>#N/A</v>
          </cell>
          <cell r="E421" t="e">
            <v>#N/A</v>
          </cell>
          <cell r="F421" t="e">
            <v>#N/A</v>
          </cell>
        </row>
        <row r="422">
          <cell r="A422" t="e">
            <v>#N/A</v>
          </cell>
          <cell r="B422" t="str">
            <v>단가-245번</v>
          </cell>
          <cell r="C422" t="e">
            <v>#N/A</v>
          </cell>
          <cell r="D422" t="e">
            <v>#N/A</v>
          </cell>
          <cell r="E422" t="e">
            <v>#N/A</v>
          </cell>
          <cell r="F422" t="e">
            <v>#N/A</v>
          </cell>
        </row>
        <row r="423">
          <cell r="A423" t="e">
            <v>#N/A</v>
          </cell>
          <cell r="B423" t="str">
            <v>단가-246번</v>
          </cell>
          <cell r="C423" t="e">
            <v>#N/A</v>
          </cell>
          <cell r="D423" t="e">
            <v>#N/A</v>
          </cell>
          <cell r="E423" t="e">
            <v>#N/A</v>
          </cell>
          <cell r="F423" t="e">
            <v>#N/A</v>
          </cell>
        </row>
        <row r="424">
          <cell r="A424" t="e">
            <v>#N/A</v>
          </cell>
          <cell r="B424" t="str">
            <v>단가-247번</v>
          </cell>
          <cell r="C424" t="e">
            <v>#N/A</v>
          </cell>
          <cell r="D424" t="e">
            <v>#N/A</v>
          </cell>
          <cell r="E424" t="e">
            <v>#N/A</v>
          </cell>
          <cell r="F424" t="e">
            <v>#N/A</v>
          </cell>
        </row>
        <row r="425">
          <cell r="A425" t="e">
            <v>#N/A</v>
          </cell>
          <cell r="B425" t="str">
            <v>단가-248번</v>
          </cell>
          <cell r="C425" t="e">
            <v>#N/A</v>
          </cell>
          <cell r="D425" t="e">
            <v>#N/A</v>
          </cell>
          <cell r="E425" t="e">
            <v>#N/A</v>
          </cell>
          <cell r="F425" t="e">
            <v>#N/A</v>
          </cell>
        </row>
        <row r="426">
          <cell r="A426" t="e">
            <v>#N/A</v>
          </cell>
          <cell r="B426" t="str">
            <v>단가-249번</v>
          </cell>
          <cell r="C426" t="e">
            <v>#N/A</v>
          </cell>
          <cell r="D426" t="e">
            <v>#N/A</v>
          </cell>
          <cell r="E426" t="e">
            <v>#N/A</v>
          </cell>
          <cell r="F426" t="e">
            <v>#N/A</v>
          </cell>
        </row>
        <row r="427">
          <cell r="A427" t="e">
            <v>#N/A</v>
          </cell>
          <cell r="B427" t="str">
            <v>단가-250번</v>
          </cell>
          <cell r="C427" t="e">
            <v>#N/A</v>
          </cell>
          <cell r="D427" t="e">
            <v>#N/A</v>
          </cell>
          <cell r="E427" t="e">
            <v>#N/A</v>
          </cell>
          <cell r="F427" t="e">
            <v>#N/A</v>
          </cell>
        </row>
        <row r="428">
          <cell r="A428" t="e">
            <v>#N/A</v>
          </cell>
          <cell r="B428" t="str">
            <v>단가-251번</v>
          </cell>
          <cell r="C428" t="e">
            <v>#N/A</v>
          </cell>
          <cell r="D428" t="e">
            <v>#N/A</v>
          </cell>
          <cell r="E428" t="e">
            <v>#N/A</v>
          </cell>
          <cell r="F428" t="e">
            <v>#N/A</v>
          </cell>
        </row>
        <row r="429">
          <cell r="A429" t="e">
            <v>#N/A</v>
          </cell>
          <cell r="B429" t="str">
            <v>단가-252번</v>
          </cell>
          <cell r="C429" t="e">
            <v>#N/A</v>
          </cell>
          <cell r="D429" t="e">
            <v>#N/A</v>
          </cell>
          <cell r="E429" t="e">
            <v>#N/A</v>
          </cell>
          <cell r="F429" t="e">
            <v>#N/A</v>
          </cell>
        </row>
        <row r="430">
          <cell r="A430" t="e">
            <v>#N/A</v>
          </cell>
          <cell r="B430" t="str">
            <v>단가-253번</v>
          </cell>
          <cell r="C430" t="e">
            <v>#N/A</v>
          </cell>
          <cell r="D430" t="e">
            <v>#N/A</v>
          </cell>
          <cell r="E430" t="e">
            <v>#N/A</v>
          </cell>
          <cell r="F430" t="e">
            <v>#N/A</v>
          </cell>
        </row>
        <row r="431">
          <cell r="A431" t="e">
            <v>#N/A</v>
          </cell>
          <cell r="B431" t="str">
            <v>단가-254번</v>
          </cell>
          <cell r="C431" t="e">
            <v>#N/A</v>
          </cell>
          <cell r="D431" t="e">
            <v>#N/A</v>
          </cell>
          <cell r="E431" t="e">
            <v>#N/A</v>
          </cell>
          <cell r="F431" t="e">
            <v>#N/A</v>
          </cell>
        </row>
        <row r="432">
          <cell r="A432" t="e">
            <v>#N/A</v>
          </cell>
          <cell r="B432" t="str">
            <v>단가-255번</v>
          </cell>
          <cell r="C432" t="e">
            <v>#N/A</v>
          </cell>
          <cell r="D432" t="e">
            <v>#N/A</v>
          </cell>
          <cell r="E432" t="e">
            <v>#N/A</v>
          </cell>
          <cell r="F432" t="e">
            <v>#N/A</v>
          </cell>
        </row>
        <row r="433">
          <cell r="A433" t="e">
            <v>#N/A</v>
          </cell>
          <cell r="B433" t="str">
            <v>단가-256번</v>
          </cell>
          <cell r="C433" t="e">
            <v>#N/A</v>
          </cell>
          <cell r="D433" t="e">
            <v>#N/A</v>
          </cell>
          <cell r="E433" t="e">
            <v>#N/A</v>
          </cell>
          <cell r="F433" t="e">
            <v>#N/A</v>
          </cell>
        </row>
        <row r="434">
          <cell r="A434" t="e">
            <v>#N/A</v>
          </cell>
          <cell r="B434" t="str">
            <v>단가-257번</v>
          </cell>
          <cell r="C434" t="e">
            <v>#N/A</v>
          </cell>
          <cell r="D434" t="e">
            <v>#N/A</v>
          </cell>
          <cell r="E434" t="e">
            <v>#N/A</v>
          </cell>
          <cell r="F434" t="e">
            <v>#N/A</v>
          </cell>
        </row>
        <row r="435">
          <cell r="A435" t="e">
            <v>#N/A</v>
          </cell>
          <cell r="B435" t="str">
            <v>단가-258번</v>
          </cell>
          <cell r="C435" t="e">
            <v>#N/A</v>
          </cell>
          <cell r="D435" t="e">
            <v>#N/A</v>
          </cell>
          <cell r="E435" t="e">
            <v>#N/A</v>
          </cell>
          <cell r="F435" t="e">
            <v>#N/A</v>
          </cell>
        </row>
        <row r="436">
          <cell r="A436" t="e">
            <v>#N/A</v>
          </cell>
          <cell r="B436" t="str">
            <v>단가-259번</v>
          </cell>
          <cell r="C436" t="e">
            <v>#N/A</v>
          </cell>
          <cell r="D436" t="e">
            <v>#N/A</v>
          </cell>
          <cell r="E436" t="e">
            <v>#N/A</v>
          </cell>
          <cell r="F436" t="e">
            <v>#N/A</v>
          </cell>
        </row>
        <row r="437">
          <cell r="A437" t="e">
            <v>#N/A</v>
          </cell>
          <cell r="B437" t="str">
            <v>단가-260번</v>
          </cell>
          <cell r="C437" t="e">
            <v>#N/A</v>
          </cell>
          <cell r="D437" t="e">
            <v>#N/A</v>
          </cell>
          <cell r="E437" t="e">
            <v>#N/A</v>
          </cell>
          <cell r="F437" t="e">
            <v>#N/A</v>
          </cell>
        </row>
        <row r="438">
          <cell r="A438" t="e">
            <v>#N/A</v>
          </cell>
          <cell r="B438" t="str">
            <v>단가-261번</v>
          </cell>
          <cell r="C438" t="e">
            <v>#N/A</v>
          </cell>
          <cell r="D438" t="e">
            <v>#N/A</v>
          </cell>
          <cell r="E438" t="e">
            <v>#N/A</v>
          </cell>
          <cell r="F438" t="e">
            <v>#N/A</v>
          </cell>
        </row>
        <row r="439">
          <cell r="A439" t="e">
            <v>#N/A</v>
          </cell>
          <cell r="B439" t="str">
            <v>단가-262번</v>
          </cell>
          <cell r="C439" t="e">
            <v>#N/A</v>
          </cell>
          <cell r="D439" t="e">
            <v>#N/A</v>
          </cell>
          <cell r="E439" t="e">
            <v>#N/A</v>
          </cell>
          <cell r="F439" t="e">
            <v>#N/A</v>
          </cell>
        </row>
        <row r="440">
          <cell r="A440" t="e">
            <v>#N/A</v>
          </cell>
          <cell r="B440" t="str">
            <v>단가-263번</v>
          </cell>
          <cell r="C440" t="e">
            <v>#N/A</v>
          </cell>
          <cell r="D440" t="e">
            <v>#N/A</v>
          </cell>
          <cell r="E440" t="e">
            <v>#N/A</v>
          </cell>
          <cell r="F440" t="e">
            <v>#N/A</v>
          </cell>
        </row>
        <row r="441">
          <cell r="A441" t="e">
            <v>#N/A</v>
          </cell>
          <cell r="B441" t="str">
            <v>단가-264번</v>
          </cell>
          <cell r="C441" t="e">
            <v>#N/A</v>
          </cell>
          <cell r="D441" t="e">
            <v>#N/A</v>
          </cell>
          <cell r="E441" t="e">
            <v>#N/A</v>
          </cell>
          <cell r="F441" t="e">
            <v>#N/A</v>
          </cell>
        </row>
        <row r="442">
          <cell r="A442" t="e">
            <v>#N/A</v>
          </cell>
          <cell r="B442" t="str">
            <v>단가-265번</v>
          </cell>
          <cell r="C442" t="e">
            <v>#N/A</v>
          </cell>
          <cell r="D442" t="e">
            <v>#N/A</v>
          </cell>
          <cell r="E442" t="e">
            <v>#N/A</v>
          </cell>
          <cell r="F442" t="e">
            <v>#N/A</v>
          </cell>
        </row>
        <row r="443">
          <cell r="A443" t="e">
            <v>#N/A</v>
          </cell>
          <cell r="B443" t="str">
            <v>단가-266번</v>
          </cell>
          <cell r="C443" t="e">
            <v>#N/A</v>
          </cell>
          <cell r="D443" t="e">
            <v>#N/A</v>
          </cell>
          <cell r="E443" t="e">
            <v>#N/A</v>
          </cell>
          <cell r="F443" t="e">
            <v>#N/A</v>
          </cell>
        </row>
        <row r="444">
          <cell r="A444" t="e">
            <v>#N/A</v>
          </cell>
          <cell r="B444" t="str">
            <v>단가-267번</v>
          </cell>
          <cell r="C444" t="e">
            <v>#N/A</v>
          </cell>
          <cell r="D444" t="e">
            <v>#N/A</v>
          </cell>
          <cell r="E444" t="e">
            <v>#N/A</v>
          </cell>
          <cell r="F444" t="e">
            <v>#N/A</v>
          </cell>
        </row>
        <row r="445">
          <cell r="A445" t="e">
            <v>#N/A</v>
          </cell>
          <cell r="B445" t="str">
            <v>단가-268번</v>
          </cell>
          <cell r="C445" t="e">
            <v>#N/A</v>
          </cell>
          <cell r="D445" t="e">
            <v>#N/A</v>
          </cell>
          <cell r="E445" t="e">
            <v>#N/A</v>
          </cell>
          <cell r="F445" t="e">
            <v>#N/A</v>
          </cell>
        </row>
        <row r="446">
          <cell r="A446" t="e">
            <v>#N/A</v>
          </cell>
          <cell r="B446" t="str">
            <v>단가-269번</v>
          </cell>
          <cell r="C446" t="e">
            <v>#N/A</v>
          </cell>
          <cell r="D446" t="e">
            <v>#N/A</v>
          </cell>
          <cell r="E446" t="e">
            <v>#N/A</v>
          </cell>
          <cell r="F446" t="e">
            <v>#N/A</v>
          </cell>
        </row>
        <row r="447">
          <cell r="A447" t="e">
            <v>#N/A</v>
          </cell>
          <cell r="B447" t="str">
            <v>단가-270번</v>
          </cell>
          <cell r="C447" t="e">
            <v>#N/A</v>
          </cell>
          <cell r="D447" t="e">
            <v>#N/A</v>
          </cell>
          <cell r="E447" t="e">
            <v>#N/A</v>
          </cell>
          <cell r="F447" t="e">
            <v>#N/A</v>
          </cell>
        </row>
        <row r="448">
          <cell r="A448" t="e">
            <v>#N/A</v>
          </cell>
          <cell r="B448" t="str">
            <v>단가-271번</v>
          </cell>
          <cell r="C448" t="e">
            <v>#N/A</v>
          </cell>
          <cell r="D448" t="e">
            <v>#N/A</v>
          </cell>
          <cell r="E448" t="e">
            <v>#N/A</v>
          </cell>
          <cell r="F448" t="e">
            <v>#N/A</v>
          </cell>
        </row>
        <row r="449">
          <cell r="A449" t="e">
            <v>#N/A</v>
          </cell>
          <cell r="B449" t="str">
            <v>단가-272번</v>
          </cell>
          <cell r="C449" t="e">
            <v>#N/A</v>
          </cell>
          <cell r="D449" t="e">
            <v>#N/A</v>
          </cell>
          <cell r="E449" t="e">
            <v>#N/A</v>
          </cell>
          <cell r="F449" t="e">
            <v>#N/A</v>
          </cell>
        </row>
        <row r="450">
          <cell r="A450" t="e">
            <v>#N/A</v>
          </cell>
          <cell r="B450" t="str">
            <v>단가-273번</v>
          </cell>
          <cell r="C450" t="e">
            <v>#N/A</v>
          </cell>
          <cell r="D450" t="e">
            <v>#N/A</v>
          </cell>
          <cell r="E450" t="e">
            <v>#N/A</v>
          </cell>
          <cell r="F450" t="e">
            <v>#N/A</v>
          </cell>
        </row>
        <row r="451">
          <cell r="A451" t="e">
            <v>#N/A</v>
          </cell>
          <cell r="B451" t="str">
            <v>단가-274번</v>
          </cell>
          <cell r="C451" t="e">
            <v>#N/A</v>
          </cell>
          <cell r="D451" t="e">
            <v>#N/A</v>
          </cell>
          <cell r="E451" t="e">
            <v>#N/A</v>
          </cell>
          <cell r="F451" t="e">
            <v>#N/A</v>
          </cell>
        </row>
        <row r="452">
          <cell r="A452" t="e">
            <v>#N/A</v>
          </cell>
          <cell r="B452" t="str">
            <v>단가-275번</v>
          </cell>
          <cell r="C452" t="e">
            <v>#N/A</v>
          </cell>
          <cell r="D452" t="e">
            <v>#N/A</v>
          </cell>
          <cell r="E452" t="e">
            <v>#N/A</v>
          </cell>
          <cell r="F452" t="e">
            <v>#N/A</v>
          </cell>
        </row>
        <row r="453">
          <cell r="A453" t="e">
            <v>#N/A</v>
          </cell>
          <cell r="B453" t="str">
            <v>단가-276번</v>
          </cell>
          <cell r="C453" t="e">
            <v>#N/A</v>
          </cell>
          <cell r="D453" t="e">
            <v>#N/A</v>
          </cell>
          <cell r="E453" t="e">
            <v>#N/A</v>
          </cell>
          <cell r="F453" t="e">
            <v>#N/A</v>
          </cell>
        </row>
        <row r="454">
          <cell r="A454" t="e">
            <v>#N/A</v>
          </cell>
          <cell r="B454" t="str">
            <v>단가-277번</v>
          </cell>
          <cell r="C454" t="e">
            <v>#N/A</v>
          </cell>
          <cell r="D454" t="e">
            <v>#N/A</v>
          </cell>
          <cell r="E454" t="e">
            <v>#N/A</v>
          </cell>
          <cell r="F454" t="e">
            <v>#N/A</v>
          </cell>
        </row>
        <row r="455">
          <cell r="A455" t="e">
            <v>#N/A</v>
          </cell>
          <cell r="B455" t="str">
            <v>단가-278번</v>
          </cell>
          <cell r="C455" t="e">
            <v>#N/A</v>
          </cell>
          <cell r="D455" t="e">
            <v>#N/A</v>
          </cell>
          <cell r="E455" t="e">
            <v>#N/A</v>
          </cell>
          <cell r="F455" t="e">
            <v>#N/A</v>
          </cell>
        </row>
        <row r="456">
          <cell r="A456" t="e">
            <v>#N/A</v>
          </cell>
          <cell r="B456" t="str">
            <v>단가-279번</v>
          </cell>
          <cell r="C456" t="e">
            <v>#N/A</v>
          </cell>
          <cell r="D456" t="e">
            <v>#N/A</v>
          </cell>
          <cell r="E456" t="e">
            <v>#N/A</v>
          </cell>
          <cell r="F456" t="e">
            <v>#N/A</v>
          </cell>
        </row>
        <row r="457">
          <cell r="A457" t="e">
            <v>#N/A</v>
          </cell>
          <cell r="B457" t="str">
            <v>단가-280번</v>
          </cell>
          <cell r="C457" t="e">
            <v>#N/A</v>
          </cell>
          <cell r="D457" t="e">
            <v>#N/A</v>
          </cell>
          <cell r="E457" t="e">
            <v>#N/A</v>
          </cell>
          <cell r="F457" t="e">
            <v>#N/A</v>
          </cell>
        </row>
        <row r="458">
          <cell r="A458" t="e">
            <v>#N/A</v>
          </cell>
          <cell r="B458" t="str">
            <v>단가-281번</v>
          </cell>
          <cell r="C458" t="e">
            <v>#N/A</v>
          </cell>
          <cell r="D458" t="e">
            <v>#N/A</v>
          </cell>
          <cell r="E458" t="e">
            <v>#N/A</v>
          </cell>
          <cell r="F458" t="e">
            <v>#N/A</v>
          </cell>
        </row>
        <row r="459">
          <cell r="A459" t="e">
            <v>#N/A</v>
          </cell>
          <cell r="B459" t="str">
            <v>단가-282번</v>
          </cell>
          <cell r="C459" t="e">
            <v>#N/A</v>
          </cell>
          <cell r="D459" t="e">
            <v>#N/A</v>
          </cell>
          <cell r="E459" t="e">
            <v>#N/A</v>
          </cell>
          <cell r="F459" t="e">
            <v>#N/A</v>
          </cell>
        </row>
        <row r="460">
          <cell r="A460" t="e">
            <v>#N/A</v>
          </cell>
          <cell r="B460" t="str">
            <v>단가-283번</v>
          </cell>
          <cell r="C460" t="e">
            <v>#N/A</v>
          </cell>
          <cell r="D460" t="e">
            <v>#N/A</v>
          </cell>
          <cell r="E460" t="e">
            <v>#N/A</v>
          </cell>
          <cell r="F460" t="e">
            <v>#N/A</v>
          </cell>
        </row>
        <row r="461">
          <cell r="A461" t="e">
            <v>#N/A</v>
          </cell>
          <cell r="B461" t="str">
            <v>단가-284번</v>
          </cell>
          <cell r="C461" t="e">
            <v>#N/A</v>
          </cell>
          <cell r="D461" t="e">
            <v>#N/A</v>
          </cell>
          <cell r="E461" t="e">
            <v>#N/A</v>
          </cell>
          <cell r="F461" t="e">
            <v>#N/A</v>
          </cell>
        </row>
        <row r="462">
          <cell r="A462" t="e">
            <v>#N/A</v>
          </cell>
          <cell r="B462" t="str">
            <v>단가-285번</v>
          </cell>
          <cell r="C462" t="e">
            <v>#N/A</v>
          </cell>
          <cell r="D462" t="e">
            <v>#N/A</v>
          </cell>
          <cell r="E462" t="e">
            <v>#N/A</v>
          </cell>
          <cell r="F462" t="e">
            <v>#N/A</v>
          </cell>
        </row>
        <row r="463">
          <cell r="A463" t="e">
            <v>#N/A</v>
          </cell>
          <cell r="B463" t="str">
            <v>단가-286번</v>
          </cell>
          <cell r="C463" t="e">
            <v>#N/A</v>
          </cell>
          <cell r="D463" t="e">
            <v>#N/A</v>
          </cell>
          <cell r="E463" t="e">
            <v>#N/A</v>
          </cell>
          <cell r="F463" t="e">
            <v>#N/A</v>
          </cell>
        </row>
        <row r="464">
          <cell r="A464" t="e">
            <v>#N/A</v>
          </cell>
          <cell r="B464" t="str">
            <v>단가-287번</v>
          </cell>
          <cell r="C464" t="e">
            <v>#N/A</v>
          </cell>
          <cell r="D464" t="e">
            <v>#N/A</v>
          </cell>
          <cell r="E464" t="e">
            <v>#N/A</v>
          </cell>
          <cell r="F464" t="e">
            <v>#N/A</v>
          </cell>
        </row>
        <row r="465">
          <cell r="A465" t="e">
            <v>#N/A</v>
          </cell>
          <cell r="B465" t="str">
            <v>단가-288번</v>
          </cell>
          <cell r="C465" t="e">
            <v>#N/A</v>
          </cell>
          <cell r="D465" t="e">
            <v>#N/A</v>
          </cell>
          <cell r="E465" t="e">
            <v>#N/A</v>
          </cell>
          <cell r="F465" t="e">
            <v>#N/A</v>
          </cell>
        </row>
        <row r="466">
          <cell r="A466" t="e">
            <v>#N/A</v>
          </cell>
          <cell r="B466" t="str">
            <v>단가-289번</v>
          </cell>
          <cell r="C466" t="e">
            <v>#N/A</v>
          </cell>
          <cell r="D466" t="e">
            <v>#N/A</v>
          </cell>
          <cell r="E466" t="e">
            <v>#N/A</v>
          </cell>
          <cell r="F466" t="e">
            <v>#N/A</v>
          </cell>
        </row>
        <row r="467">
          <cell r="A467" t="e">
            <v>#N/A</v>
          </cell>
          <cell r="B467" t="str">
            <v>단가-290번</v>
          </cell>
          <cell r="C467" t="e">
            <v>#N/A</v>
          </cell>
          <cell r="D467" t="e">
            <v>#N/A</v>
          </cell>
          <cell r="E467" t="e">
            <v>#N/A</v>
          </cell>
          <cell r="F467" t="e">
            <v>#N/A</v>
          </cell>
        </row>
        <row r="468">
          <cell r="A468" t="e">
            <v>#N/A</v>
          </cell>
          <cell r="B468" t="str">
            <v>단가-291번</v>
          </cell>
          <cell r="C468" t="e">
            <v>#N/A</v>
          </cell>
          <cell r="D468" t="e">
            <v>#N/A</v>
          </cell>
          <cell r="E468" t="e">
            <v>#N/A</v>
          </cell>
          <cell r="F468" t="e">
            <v>#N/A</v>
          </cell>
        </row>
        <row r="469">
          <cell r="A469" t="e">
            <v>#N/A</v>
          </cell>
          <cell r="B469" t="str">
            <v>단가-292번</v>
          </cell>
          <cell r="C469" t="e">
            <v>#N/A</v>
          </cell>
          <cell r="D469" t="e">
            <v>#N/A</v>
          </cell>
          <cell r="E469" t="e">
            <v>#N/A</v>
          </cell>
          <cell r="F469" t="e">
            <v>#N/A</v>
          </cell>
        </row>
        <row r="470">
          <cell r="A470" t="e">
            <v>#N/A</v>
          </cell>
          <cell r="B470" t="str">
            <v>단가-293번</v>
          </cell>
          <cell r="C470" t="e">
            <v>#N/A</v>
          </cell>
          <cell r="D470" t="e">
            <v>#N/A</v>
          </cell>
          <cell r="E470" t="e">
            <v>#N/A</v>
          </cell>
          <cell r="F470" t="e">
            <v>#N/A</v>
          </cell>
        </row>
        <row r="471">
          <cell r="A471" t="e">
            <v>#N/A</v>
          </cell>
          <cell r="B471" t="str">
            <v>단가-294번</v>
          </cell>
          <cell r="C471" t="e">
            <v>#N/A</v>
          </cell>
          <cell r="D471" t="e">
            <v>#N/A</v>
          </cell>
          <cell r="E471" t="e">
            <v>#N/A</v>
          </cell>
          <cell r="F471" t="e">
            <v>#N/A</v>
          </cell>
        </row>
        <row r="472">
          <cell r="A472" t="e">
            <v>#N/A</v>
          </cell>
          <cell r="B472" t="str">
            <v>단가-295번</v>
          </cell>
          <cell r="C472" t="e">
            <v>#N/A</v>
          </cell>
          <cell r="D472" t="e">
            <v>#N/A</v>
          </cell>
          <cell r="E472" t="e">
            <v>#N/A</v>
          </cell>
          <cell r="F472" t="e">
            <v>#N/A</v>
          </cell>
        </row>
        <row r="473">
          <cell r="A473" t="e">
            <v>#N/A</v>
          </cell>
          <cell r="B473" t="str">
            <v>단가-296번</v>
          </cell>
          <cell r="C473" t="e">
            <v>#N/A</v>
          </cell>
          <cell r="D473" t="e">
            <v>#N/A</v>
          </cell>
          <cell r="E473" t="e">
            <v>#N/A</v>
          </cell>
          <cell r="F473" t="e">
            <v>#N/A</v>
          </cell>
        </row>
        <row r="474">
          <cell r="A474" t="e">
            <v>#N/A</v>
          </cell>
          <cell r="B474" t="str">
            <v>단가-297번</v>
          </cell>
          <cell r="C474" t="e">
            <v>#N/A</v>
          </cell>
          <cell r="D474" t="e">
            <v>#N/A</v>
          </cell>
          <cell r="E474" t="e">
            <v>#N/A</v>
          </cell>
          <cell r="F474" t="e">
            <v>#N/A</v>
          </cell>
        </row>
        <row r="475">
          <cell r="A475" t="e">
            <v>#N/A</v>
          </cell>
          <cell r="B475" t="str">
            <v>단가-298번</v>
          </cell>
          <cell r="C475" t="e">
            <v>#N/A</v>
          </cell>
          <cell r="D475" t="e">
            <v>#N/A</v>
          </cell>
          <cell r="E475" t="e">
            <v>#N/A</v>
          </cell>
          <cell r="F475" t="e">
            <v>#N/A</v>
          </cell>
        </row>
        <row r="476">
          <cell r="A476" t="e">
            <v>#N/A</v>
          </cell>
          <cell r="B476" t="str">
            <v>단가-299번</v>
          </cell>
          <cell r="C476" t="e">
            <v>#N/A</v>
          </cell>
          <cell r="D476" t="e">
            <v>#N/A</v>
          </cell>
          <cell r="E476" t="e">
            <v>#N/A</v>
          </cell>
          <cell r="F476" t="e">
            <v>#N/A</v>
          </cell>
        </row>
        <row r="477">
          <cell r="A477" t="e">
            <v>#N/A</v>
          </cell>
          <cell r="B477" t="str">
            <v>단가-300번</v>
          </cell>
          <cell r="C477" t="e">
            <v>#N/A</v>
          </cell>
          <cell r="D477" t="e">
            <v>#N/A</v>
          </cell>
          <cell r="E477" t="e">
            <v>#N/A</v>
          </cell>
          <cell r="F477" t="e">
            <v>#N/A</v>
          </cell>
        </row>
        <row r="478">
          <cell r="A478" t="e">
            <v>#N/A</v>
          </cell>
          <cell r="B478" t="str">
            <v>단가-301번</v>
          </cell>
          <cell r="C478" t="e">
            <v>#N/A</v>
          </cell>
          <cell r="D478" t="e">
            <v>#N/A</v>
          </cell>
          <cell r="E478" t="e">
            <v>#N/A</v>
          </cell>
          <cell r="F478" t="e">
            <v>#N/A</v>
          </cell>
        </row>
        <row r="479">
          <cell r="A479" t="e">
            <v>#N/A</v>
          </cell>
          <cell r="B479" t="str">
            <v>단가-302번</v>
          </cell>
          <cell r="C479" t="e">
            <v>#N/A</v>
          </cell>
          <cell r="D479" t="e">
            <v>#N/A</v>
          </cell>
          <cell r="E479" t="e">
            <v>#N/A</v>
          </cell>
          <cell r="F479" t="e">
            <v>#N/A</v>
          </cell>
        </row>
        <row r="480">
          <cell r="A480" t="e">
            <v>#N/A</v>
          </cell>
          <cell r="B480" t="str">
            <v>단가-303번</v>
          </cell>
          <cell r="C480" t="e">
            <v>#N/A</v>
          </cell>
          <cell r="D480" t="e">
            <v>#N/A</v>
          </cell>
          <cell r="E480" t="e">
            <v>#N/A</v>
          </cell>
          <cell r="F480" t="e">
            <v>#N/A</v>
          </cell>
        </row>
        <row r="481">
          <cell r="A481" t="e">
            <v>#N/A</v>
          </cell>
          <cell r="B481" t="str">
            <v>단가-304번</v>
          </cell>
          <cell r="C481" t="e">
            <v>#N/A</v>
          </cell>
          <cell r="D481" t="e">
            <v>#N/A</v>
          </cell>
          <cell r="E481" t="e">
            <v>#N/A</v>
          </cell>
          <cell r="F481" t="e">
            <v>#N/A</v>
          </cell>
        </row>
        <row r="482">
          <cell r="A482" t="e">
            <v>#N/A</v>
          </cell>
          <cell r="B482" t="str">
            <v>단가-305번</v>
          </cell>
          <cell r="C482" t="e">
            <v>#N/A</v>
          </cell>
          <cell r="D482" t="e">
            <v>#N/A</v>
          </cell>
          <cell r="E482" t="e">
            <v>#N/A</v>
          </cell>
          <cell r="F482" t="e">
            <v>#N/A</v>
          </cell>
        </row>
        <row r="483">
          <cell r="A483" t="e">
            <v>#N/A</v>
          </cell>
          <cell r="B483" t="str">
            <v>단가-306번</v>
          </cell>
          <cell r="C483" t="e">
            <v>#N/A</v>
          </cell>
          <cell r="D483" t="e">
            <v>#N/A</v>
          </cell>
          <cell r="E483" t="e">
            <v>#N/A</v>
          </cell>
          <cell r="F483" t="e">
            <v>#N/A</v>
          </cell>
        </row>
        <row r="484">
          <cell r="A484" t="e">
            <v>#N/A</v>
          </cell>
          <cell r="B484" t="str">
            <v>단가-307번</v>
          </cell>
          <cell r="C484" t="e">
            <v>#N/A</v>
          </cell>
          <cell r="D484" t="e">
            <v>#N/A</v>
          </cell>
          <cell r="E484" t="e">
            <v>#N/A</v>
          </cell>
          <cell r="F484" t="e">
            <v>#N/A</v>
          </cell>
        </row>
        <row r="485">
          <cell r="A485" t="e">
            <v>#N/A</v>
          </cell>
          <cell r="B485" t="str">
            <v>단가-308번</v>
          </cell>
          <cell r="C485" t="e">
            <v>#N/A</v>
          </cell>
          <cell r="D485" t="e">
            <v>#N/A</v>
          </cell>
          <cell r="E485" t="e">
            <v>#N/A</v>
          </cell>
          <cell r="F485" t="e">
            <v>#N/A</v>
          </cell>
        </row>
        <row r="486">
          <cell r="A486" t="e">
            <v>#N/A</v>
          </cell>
          <cell r="B486" t="str">
            <v>단가-309번</v>
          </cell>
          <cell r="C486" t="e">
            <v>#N/A</v>
          </cell>
          <cell r="D486" t="e">
            <v>#N/A</v>
          </cell>
          <cell r="E486" t="e">
            <v>#N/A</v>
          </cell>
          <cell r="F486" t="e">
            <v>#N/A</v>
          </cell>
        </row>
        <row r="487">
          <cell r="A487" t="e">
            <v>#N/A</v>
          </cell>
          <cell r="B487" t="str">
            <v>단가-310번</v>
          </cell>
          <cell r="C487" t="e">
            <v>#N/A</v>
          </cell>
          <cell r="D487" t="e">
            <v>#N/A</v>
          </cell>
          <cell r="E487" t="e">
            <v>#N/A</v>
          </cell>
          <cell r="F487" t="e">
            <v>#N/A</v>
          </cell>
        </row>
        <row r="488">
          <cell r="A488" t="e">
            <v>#N/A</v>
          </cell>
          <cell r="B488" t="str">
            <v>단가-311번</v>
          </cell>
          <cell r="C488" t="e">
            <v>#N/A</v>
          </cell>
          <cell r="D488" t="e">
            <v>#N/A</v>
          </cell>
          <cell r="E488" t="e">
            <v>#N/A</v>
          </cell>
          <cell r="F488" t="e">
            <v>#N/A</v>
          </cell>
        </row>
        <row r="489">
          <cell r="A489" t="e">
            <v>#N/A</v>
          </cell>
          <cell r="B489" t="str">
            <v>단가-312번</v>
          </cell>
          <cell r="C489" t="e">
            <v>#N/A</v>
          </cell>
          <cell r="D489" t="e">
            <v>#N/A</v>
          </cell>
          <cell r="E489" t="e">
            <v>#N/A</v>
          </cell>
          <cell r="F489" t="e">
            <v>#N/A</v>
          </cell>
        </row>
        <row r="490">
          <cell r="A490" t="e">
            <v>#N/A</v>
          </cell>
          <cell r="B490" t="str">
            <v>단가-313번</v>
          </cell>
          <cell r="C490" t="e">
            <v>#N/A</v>
          </cell>
          <cell r="D490" t="e">
            <v>#N/A</v>
          </cell>
          <cell r="E490" t="e">
            <v>#N/A</v>
          </cell>
          <cell r="F490" t="e">
            <v>#N/A</v>
          </cell>
        </row>
        <row r="491">
          <cell r="A491" t="e">
            <v>#N/A</v>
          </cell>
          <cell r="B491" t="str">
            <v>단가-314번</v>
          </cell>
          <cell r="C491" t="e">
            <v>#N/A</v>
          </cell>
          <cell r="D491" t="e">
            <v>#N/A</v>
          </cell>
          <cell r="E491" t="e">
            <v>#N/A</v>
          </cell>
          <cell r="F491" t="e">
            <v>#N/A</v>
          </cell>
        </row>
        <row r="492">
          <cell r="A492" t="e">
            <v>#N/A</v>
          </cell>
          <cell r="B492" t="str">
            <v>단가-315번</v>
          </cell>
          <cell r="C492" t="e">
            <v>#N/A</v>
          </cell>
          <cell r="D492" t="e">
            <v>#N/A</v>
          </cell>
          <cell r="E492" t="e">
            <v>#N/A</v>
          </cell>
          <cell r="F492" t="e">
            <v>#N/A</v>
          </cell>
        </row>
        <row r="493">
          <cell r="A493" t="e">
            <v>#N/A</v>
          </cell>
          <cell r="B493" t="str">
            <v>단가-316번</v>
          </cell>
          <cell r="C493" t="e">
            <v>#N/A</v>
          </cell>
          <cell r="D493" t="e">
            <v>#N/A</v>
          </cell>
          <cell r="E493" t="e">
            <v>#N/A</v>
          </cell>
          <cell r="F493" t="e">
            <v>#N/A</v>
          </cell>
        </row>
        <row r="494">
          <cell r="A494" t="e">
            <v>#N/A</v>
          </cell>
          <cell r="B494" t="str">
            <v>단가-317번</v>
          </cell>
          <cell r="C494" t="e">
            <v>#N/A</v>
          </cell>
          <cell r="D494" t="e">
            <v>#N/A</v>
          </cell>
          <cell r="E494" t="e">
            <v>#N/A</v>
          </cell>
          <cell r="F494" t="e">
            <v>#N/A</v>
          </cell>
        </row>
        <row r="495">
          <cell r="A495" t="e">
            <v>#N/A</v>
          </cell>
          <cell r="B495" t="str">
            <v>단가-318번</v>
          </cell>
          <cell r="C495" t="e">
            <v>#N/A</v>
          </cell>
          <cell r="D495" t="e">
            <v>#N/A</v>
          </cell>
          <cell r="E495" t="e">
            <v>#N/A</v>
          </cell>
          <cell r="F495" t="e">
            <v>#N/A</v>
          </cell>
        </row>
        <row r="496">
          <cell r="A496" t="e">
            <v>#N/A</v>
          </cell>
          <cell r="B496" t="str">
            <v>단가-319번</v>
          </cell>
          <cell r="C496" t="e">
            <v>#N/A</v>
          </cell>
          <cell r="D496" t="e">
            <v>#N/A</v>
          </cell>
          <cell r="E496" t="e">
            <v>#N/A</v>
          </cell>
          <cell r="F496" t="e">
            <v>#N/A</v>
          </cell>
        </row>
        <row r="497">
          <cell r="A497" t="e">
            <v>#N/A</v>
          </cell>
          <cell r="B497" t="str">
            <v>단가-320번</v>
          </cell>
          <cell r="C497" t="e">
            <v>#N/A</v>
          </cell>
          <cell r="D497" t="e">
            <v>#N/A</v>
          </cell>
          <cell r="E497" t="e">
            <v>#N/A</v>
          </cell>
          <cell r="F497" t="e">
            <v>#N/A</v>
          </cell>
        </row>
        <row r="498">
          <cell r="A498" t="e">
            <v>#N/A</v>
          </cell>
          <cell r="B498" t="str">
            <v>단가-321번</v>
          </cell>
          <cell r="C498" t="e">
            <v>#N/A</v>
          </cell>
          <cell r="D498" t="e">
            <v>#N/A</v>
          </cell>
          <cell r="E498" t="e">
            <v>#N/A</v>
          </cell>
          <cell r="F498" t="e">
            <v>#N/A</v>
          </cell>
        </row>
        <row r="499">
          <cell r="A499" t="e">
            <v>#N/A</v>
          </cell>
          <cell r="B499" t="str">
            <v>단가-322번</v>
          </cell>
          <cell r="C499" t="e">
            <v>#N/A</v>
          </cell>
          <cell r="D499" t="e">
            <v>#N/A</v>
          </cell>
          <cell r="E499" t="e">
            <v>#N/A</v>
          </cell>
          <cell r="F499" t="e">
            <v>#N/A</v>
          </cell>
        </row>
        <row r="500">
          <cell r="A500" t="e">
            <v>#N/A</v>
          </cell>
          <cell r="B500" t="str">
            <v>단가-323번</v>
          </cell>
          <cell r="C500" t="e">
            <v>#N/A</v>
          </cell>
          <cell r="D500" t="e">
            <v>#N/A</v>
          </cell>
          <cell r="E500" t="e">
            <v>#N/A</v>
          </cell>
          <cell r="F500" t="e">
            <v>#N/A</v>
          </cell>
        </row>
        <row r="501">
          <cell r="A501" t="e">
            <v>#N/A</v>
          </cell>
          <cell r="B501" t="str">
            <v>단가-324번</v>
          </cell>
          <cell r="C501" t="e">
            <v>#N/A</v>
          </cell>
          <cell r="D501" t="e">
            <v>#N/A</v>
          </cell>
          <cell r="E501" t="e">
            <v>#N/A</v>
          </cell>
          <cell r="F501" t="e">
            <v>#N/A</v>
          </cell>
        </row>
        <row r="502">
          <cell r="A502" t="e">
            <v>#N/A</v>
          </cell>
          <cell r="B502" t="str">
            <v>단가-325번</v>
          </cell>
          <cell r="C502" t="e">
            <v>#N/A</v>
          </cell>
          <cell r="D502" t="e">
            <v>#N/A</v>
          </cell>
          <cell r="E502" t="e">
            <v>#N/A</v>
          </cell>
          <cell r="F502" t="e">
            <v>#N/A</v>
          </cell>
        </row>
        <row r="503">
          <cell r="A503" t="e">
            <v>#N/A</v>
          </cell>
          <cell r="B503" t="str">
            <v>단가-326번</v>
          </cell>
          <cell r="C503" t="e">
            <v>#N/A</v>
          </cell>
          <cell r="D503" t="e">
            <v>#N/A</v>
          </cell>
          <cell r="E503" t="e">
            <v>#N/A</v>
          </cell>
          <cell r="F503" t="e">
            <v>#N/A</v>
          </cell>
        </row>
        <row r="504">
          <cell r="A504" t="e">
            <v>#N/A</v>
          </cell>
          <cell r="B504" t="str">
            <v>단가-327번</v>
          </cell>
          <cell r="C504" t="e">
            <v>#N/A</v>
          </cell>
          <cell r="D504" t="e">
            <v>#N/A</v>
          </cell>
          <cell r="E504" t="e">
            <v>#N/A</v>
          </cell>
          <cell r="F504" t="e">
            <v>#N/A</v>
          </cell>
        </row>
        <row r="505">
          <cell r="A505" t="e">
            <v>#N/A</v>
          </cell>
          <cell r="B505" t="str">
            <v>단가-328번</v>
          </cell>
          <cell r="C505" t="e">
            <v>#N/A</v>
          </cell>
          <cell r="D505" t="e">
            <v>#N/A</v>
          </cell>
          <cell r="E505" t="e">
            <v>#N/A</v>
          </cell>
          <cell r="F505" t="e">
            <v>#N/A</v>
          </cell>
        </row>
        <row r="506">
          <cell r="A506" t="e">
            <v>#N/A</v>
          </cell>
          <cell r="B506" t="str">
            <v>단가-329번</v>
          </cell>
          <cell r="C506" t="e">
            <v>#N/A</v>
          </cell>
          <cell r="D506" t="e">
            <v>#N/A</v>
          </cell>
          <cell r="E506" t="e">
            <v>#N/A</v>
          </cell>
          <cell r="F506" t="e">
            <v>#N/A</v>
          </cell>
        </row>
        <row r="507">
          <cell r="A507" t="e">
            <v>#N/A</v>
          </cell>
          <cell r="B507" t="str">
            <v>단가-330번</v>
          </cell>
          <cell r="C507" t="e">
            <v>#N/A</v>
          </cell>
          <cell r="D507" t="e">
            <v>#N/A</v>
          </cell>
          <cell r="E507" t="e">
            <v>#N/A</v>
          </cell>
          <cell r="F507" t="e">
            <v>#N/A</v>
          </cell>
        </row>
        <row r="508">
          <cell r="A508" t="e">
            <v>#N/A</v>
          </cell>
          <cell r="B508" t="str">
            <v>단가-331번</v>
          </cell>
          <cell r="C508" t="e">
            <v>#N/A</v>
          </cell>
          <cell r="D508" t="e">
            <v>#N/A</v>
          </cell>
          <cell r="E508" t="e">
            <v>#N/A</v>
          </cell>
          <cell r="F508" t="e">
            <v>#N/A</v>
          </cell>
        </row>
        <row r="509">
          <cell r="A509" t="e">
            <v>#N/A</v>
          </cell>
          <cell r="B509" t="str">
            <v>단가-332번</v>
          </cell>
          <cell r="C509" t="e">
            <v>#N/A</v>
          </cell>
          <cell r="D509" t="e">
            <v>#N/A</v>
          </cell>
          <cell r="E509" t="e">
            <v>#N/A</v>
          </cell>
          <cell r="F509" t="e">
            <v>#N/A</v>
          </cell>
        </row>
        <row r="510">
          <cell r="A510" t="e">
            <v>#N/A</v>
          </cell>
          <cell r="B510" t="str">
            <v>단가-333번</v>
          </cell>
          <cell r="C510" t="e">
            <v>#N/A</v>
          </cell>
          <cell r="D510" t="e">
            <v>#N/A</v>
          </cell>
          <cell r="E510" t="e">
            <v>#N/A</v>
          </cell>
          <cell r="F510" t="e">
            <v>#N/A</v>
          </cell>
        </row>
        <row r="511">
          <cell r="A511" t="e">
            <v>#N/A</v>
          </cell>
          <cell r="B511" t="str">
            <v>단가-334번</v>
          </cell>
          <cell r="C511" t="e">
            <v>#N/A</v>
          </cell>
          <cell r="D511" t="e">
            <v>#N/A</v>
          </cell>
          <cell r="E511" t="e">
            <v>#N/A</v>
          </cell>
          <cell r="F511" t="e">
            <v>#N/A</v>
          </cell>
        </row>
        <row r="512">
          <cell r="A512" t="e">
            <v>#N/A</v>
          </cell>
          <cell r="B512" t="str">
            <v>단가-335번</v>
          </cell>
          <cell r="C512" t="e">
            <v>#N/A</v>
          </cell>
          <cell r="D512" t="e">
            <v>#N/A</v>
          </cell>
          <cell r="E512" t="e">
            <v>#N/A</v>
          </cell>
          <cell r="F512" t="e">
            <v>#N/A</v>
          </cell>
        </row>
        <row r="513">
          <cell r="A513" t="e">
            <v>#N/A</v>
          </cell>
          <cell r="B513" t="str">
            <v>단가-336번</v>
          </cell>
          <cell r="C513" t="e">
            <v>#N/A</v>
          </cell>
          <cell r="D513" t="e">
            <v>#N/A</v>
          </cell>
          <cell r="E513" t="e">
            <v>#N/A</v>
          </cell>
          <cell r="F513" t="e">
            <v>#N/A</v>
          </cell>
        </row>
        <row r="514">
          <cell r="A514" t="e">
            <v>#N/A</v>
          </cell>
          <cell r="B514" t="str">
            <v>단가-337번</v>
          </cell>
          <cell r="C514" t="e">
            <v>#N/A</v>
          </cell>
          <cell r="D514" t="e">
            <v>#N/A</v>
          </cell>
          <cell r="E514" t="e">
            <v>#N/A</v>
          </cell>
          <cell r="F514" t="e">
            <v>#N/A</v>
          </cell>
        </row>
        <row r="515">
          <cell r="A515" t="e">
            <v>#N/A</v>
          </cell>
          <cell r="B515" t="str">
            <v>단가-338번</v>
          </cell>
          <cell r="C515" t="e">
            <v>#N/A</v>
          </cell>
          <cell r="D515" t="e">
            <v>#N/A</v>
          </cell>
          <cell r="E515" t="e">
            <v>#N/A</v>
          </cell>
          <cell r="F515" t="e">
            <v>#N/A</v>
          </cell>
        </row>
        <row r="516">
          <cell r="A516" t="e">
            <v>#N/A</v>
          </cell>
          <cell r="B516" t="str">
            <v>단가-339번</v>
          </cell>
          <cell r="C516" t="e">
            <v>#N/A</v>
          </cell>
          <cell r="D516" t="e">
            <v>#N/A</v>
          </cell>
          <cell r="E516" t="e">
            <v>#N/A</v>
          </cell>
          <cell r="F516" t="e">
            <v>#N/A</v>
          </cell>
        </row>
        <row r="517">
          <cell r="A517" t="e">
            <v>#N/A</v>
          </cell>
          <cell r="B517" t="str">
            <v>단가-340번</v>
          </cell>
          <cell r="C517" t="e">
            <v>#N/A</v>
          </cell>
          <cell r="D517" t="e">
            <v>#N/A</v>
          </cell>
          <cell r="E517" t="e">
            <v>#N/A</v>
          </cell>
          <cell r="F517" t="e">
            <v>#N/A</v>
          </cell>
        </row>
        <row r="518">
          <cell r="A518" t="e">
            <v>#N/A</v>
          </cell>
          <cell r="B518" t="str">
            <v>단가-341번</v>
          </cell>
          <cell r="C518" t="e">
            <v>#N/A</v>
          </cell>
          <cell r="D518" t="e">
            <v>#N/A</v>
          </cell>
          <cell r="E518" t="e">
            <v>#N/A</v>
          </cell>
          <cell r="F518" t="e">
            <v>#N/A</v>
          </cell>
        </row>
        <row r="519">
          <cell r="A519" t="e">
            <v>#N/A</v>
          </cell>
          <cell r="B519" t="str">
            <v>단가-342번</v>
          </cell>
          <cell r="C519" t="e">
            <v>#N/A</v>
          </cell>
          <cell r="D519" t="e">
            <v>#N/A</v>
          </cell>
          <cell r="E519" t="e">
            <v>#N/A</v>
          </cell>
          <cell r="F519" t="e">
            <v>#N/A</v>
          </cell>
        </row>
        <row r="520">
          <cell r="A520" t="e">
            <v>#N/A</v>
          </cell>
          <cell r="B520" t="str">
            <v>단가-343번</v>
          </cell>
          <cell r="C520" t="e">
            <v>#N/A</v>
          </cell>
          <cell r="D520" t="e">
            <v>#N/A</v>
          </cell>
          <cell r="E520" t="e">
            <v>#N/A</v>
          </cell>
          <cell r="F520" t="e">
            <v>#N/A</v>
          </cell>
        </row>
        <row r="521">
          <cell r="A521" t="e">
            <v>#N/A</v>
          </cell>
          <cell r="B521" t="str">
            <v>단가-344번</v>
          </cell>
          <cell r="C521" t="e">
            <v>#N/A</v>
          </cell>
          <cell r="D521" t="e">
            <v>#N/A</v>
          </cell>
          <cell r="E521" t="e">
            <v>#N/A</v>
          </cell>
          <cell r="F521" t="e">
            <v>#N/A</v>
          </cell>
        </row>
        <row r="522">
          <cell r="A522" t="e">
            <v>#N/A</v>
          </cell>
          <cell r="B522" t="str">
            <v>단가-345번</v>
          </cell>
          <cell r="C522" t="e">
            <v>#N/A</v>
          </cell>
          <cell r="D522" t="e">
            <v>#N/A</v>
          </cell>
          <cell r="E522" t="e">
            <v>#N/A</v>
          </cell>
          <cell r="F522" t="e">
            <v>#N/A</v>
          </cell>
        </row>
        <row r="523">
          <cell r="A523" t="e">
            <v>#N/A</v>
          </cell>
          <cell r="B523" t="str">
            <v>단가-346번</v>
          </cell>
          <cell r="C523" t="e">
            <v>#N/A</v>
          </cell>
          <cell r="D523" t="e">
            <v>#N/A</v>
          </cell>
          <cell r="E523" t="e">
            <v>#N/A</v>
          </cell>
          <cell r="F523" t="e">
            <v>#N/A</v>
          </cell>
        </row>
        <row r="524">
          <cell r="A524" t="e">
            <v>#N/A</v>
          </cell>
          <cell r="B524" t="str">
            <v>단가-347번</v>
          </cell>
          <cell r="C524" t="e">
            <v>#N/A</v>
          </cell>
          <cell r="D524" t="e">
            <v>#N/A</v>
          </cell>
          <cell r="E524" t="e">
            <v>#N/A</v>
          </cell>
          <cell r="F524" t="e">
            <v>#N/A</v>
          </cell>
        </row>
        <row r="525">
          <cell r="A525" t="e">
            <v>#N/A</v>
          </cell>
          <cell r="B525" t="str">
            <v>단가-348번</v>
          </cell>
          <cell r="C525" t="e">
            <v>#N/A</v>
          </cell>
          <cell r="D525" t="e">
            <v>#N/A</v>
          </cell>
          <cell r="E525" t="e">
            <v>#N/A</v>
          </cell>
          <cell r="F525" t="e">
            <v>#N/A</v>
          </cell>
        </row>
        <row r="526">
          <cell r="A526" t="e">
            <v>#N/A</v>
          </cell>
          <cell r="B526" t="str">
            <v>단가-349번</v>
          </cell>
          <cell r="C526" t="e">
            <v>#N/A</v>
          </cell>
          <cell r="D526" t="e">
            <v>#N/A</v>
          </cell>
          <cell r="E526" t="e">
            <v>#N/A</v>
          </cell>
          <cell r="F526" t="e">
            <v>#N/A</v>
          </cell>
        </row>
        <row r="527">
          <cell r="A527" t="e">
            <v>#N/A</v>
          </cell>
          <cell r="B527" t="str">
            <v>단가-350번</v>
          </cell>
          <cell r="C527" t="e">
            <v>#N/A</v>
          </cell>
          <cell r="D527" t="e">
            <v>#N/A</v>
          </cell>
          <cell r="E527" t="e">
            <v>#N/A</v>
          </cell>
          <cell r="F527" t="e">
            <v>#N/A</v>
          </cell>
        </row>
        <row r="528">
          <cell r="A528" t="e">
            <v>#N/A</v>
          </cell>
          <cell r="B528" t="str">
            <v>단가-351번</v>
          </cell>
          <cell r="C528" t="e">
            <v>#N/A</v>
          </cell>
          <cell r="D528" t="e">
            <v>#N/A</v>
          </cell>
          <cell r="E528" t="e">
            <v>#N/A</v>
          </cell>
          <cell r="F528" t="e">
            <v>#N/A</v>
          </cell>
        </row>
        <row r="529">
          <cell r="A529" t="e">
            <v>#N/A</v>
          </cell>
          <cell r="B529" t="str">
            <v>단가-352번</v>
          </cell>
          <cell r="C529" t="e">
            <v>#N/A</v>
          </cell>
          <cell r="D529" t="e">
            <v>#N/A</v>
          </cell>
          <cell r="E529" t="e">
            <v>#N/A</v>
          </cell>
          <cell r="F529" t="e">
            <v>#N/A</v>
          </cell>
        </row>
        <row r="530">
          <cell r="A530" t="e">
            <v>#N/A</v>
          </cell>
          <cell r="B530" t="str">
            <v>단가-353번</v>
          </cell>
          <cell r="C530" t="e">
            <v>#N/A</v>
          </cell>
          <cell r="D530" t="e">
            <v>#N/A</v>
          </cell>
          <cell r="E530" t="e">
            <v>#N/A</v>
          </cell>
          <cell r="F530" t="e">
            <v>#N/A</v>
          </cell>
        </row>
        <row r="531">
          <cell r="A531" t="e">
            <v>#N/A</v>
          </cell>
          <cell r="B531" t="str">
            <v>단가-354번</v>
          </cell>
          <cell r="C531" t="e">
            <v>#N/A</v>
          </cell>
          <cell r="D531" t="e">
            <v>#N/A</v>
          </cell>
          <cell r="E531" t="e">
            <v>#N/A</v>
          </cell>
          <cell r="F531" t="e">
            <v>#N/A</v>
          </cell>
        </row>
        <row r="532">
          <cell r="A532" t="e">
            <v>#N/A</v>
          </cell>
          <cell r="B532" t="str">
            <v>단가-355번</v>
          </cell>
          <cell r="C532" t="e">
            <v>#N/A</v>
          </cell>
          <cell r="D532" t="e">
            <v>#N/A</v>
          </cell>
          <cell r="E532" t="e">
            <v>#N/A</v>
          </cell>
          <cell r="F532" t="e">
            <v>#N/A</v>
          </cell>
        </row>
        <row r="533">
          <cell r="A533" t="e">
            <v>#N/A</v>
          </cell>
          <cell r="B533" t="str">
            <v>단가-356번</v>
          </cell>
          <cell r="C533" t="e">
            <v>#N/A</v>
          </cell>
          <cell r="D533" t="e">
            <v>#N/A</v>
          </cell>
          <cell r="E533" t="e">
            <v>#N/A</v>
          </cell>
          <cell r="F533" t="e">
            <v>#N/A</v>
          </cell>
        </row>
        <row r="534">
          <cell r="A534" t="e">
            <v>#N/A</v>
          </cell>
          <cell r="B534" t="str">
            <v>단가-357번</v>
          </cell>
          <cell r="C534" t="e">
            <v>#N/A</v>
          </cell>
          <cell r="D534" t="e">
            <v>#N/A</v>
          </cell>
          <cell r="E534" t="e">
            <v>#N/A</v>
          </cell>
          <cell r="F534" t="e">
            <v>#N/A</v>
          </cell>
        </row>
        <row r="535">
          <cell r="A535" t="e">
            <v>#N/A</v>
          </cell>
          <cell r="B535" t="str">
            <v>단가-358번</v>
          </cell>
          <cell r="C535" t="e">
            <v>#N/A</v>
          </cell>
          <cell r="D535" t="e">
            <v>#N/A</v>
          </cell>
          <cell r="E535" t="e">
            <v>#N/A</v>
          </cell>
          <cell r="F535" t="e">
            <v>#N/A</v>
          </cell>
        </row>
        <row r="536">
          <cell r="A536" t="e">
            <v>#N/A</v>
          </cell>
          <cell r="B536" t="str">
            <v>단가-359번</v>
          </cell>
          <cell r="C536" t="e">
            <v>#N/A</v>
          </cell>
          <cell r="D536" t="e">
            <v>#N/A</v>
          </cell>
          <cell r="E536" t="e">
            <v>#N/A</v>
          </cell>
          <cell r="F536" t="e">
            <v>#N/A</v>
          </cell>
        </row>
        <row r="537">
          <cell r="A537" t="e">
            <v>#N/A</v>
          </cell>
          <cell r="B537" t="str">
            <v>단가-360번</v>
          </cell>
          <cell r="C537" t="e">
            <v>#N/A</v>
          </cell>
          <cell r="D537" t="e">
            <v>#N/A</v>
          </cell>
          <cell r="E537" t="e">
            <v>#N/A</v>
          </cell>
          <cell r="F537" t="e">
            <v>#N/A</v>
          </cell>
        </row>
        <row r="538">
          <cell r="A538" t="e">
            <v>#N/A</v>
          </cell>
          <cell r="B538" t="str">
            <v>단가-361번</v>
          </cell>
          <cell r="C538" t="e">
            <v>#N/A</v>
          </cell>
          <cell r="D538" t="e">
            <v>#N/A</v>
          </cell>
          <cell r="E538" t="e">
            <v>#N/A</v>
          </cell>
          <cell r="F538" t="e">
            <v>#N/A</v>
          </cell>
        </row>
        <row r="539">
          <cell r="A539" t="e">
            <v>#N/A</v>
          </cell>
          <cell r="B539" t="str">
            <v>단가-362번</v>
          </cell>
          <cell r="C539" t="e">
            <v>#N/A</v>
          </cell>
          <cell r="D539" t="e">
            <v>#N/A</v>
          </cell>
          <cell r="E539" t="e">
            <v>#N/A</v>
          </cell>
          <cell r="F539" t="e">
            <v>#N/A</v>
          </cell>
        </row>
        <row r="540">
          <cell r="A540" t="e">
            <v>#N/A</v>
          </cell>
          <cell r="B540" t="str">
            <v>단가-363번</v>
          </cell>
          <cell r="C540" t="e">
            <v>#N/A</v>
          </cell>
          <cell r="D540" t="e">
            <v>#N/A</v>
          </cell>
          <cell r="E540" t="e">
            <v>#N/A</v>
          </cell>
          <cell r="F540" t="e">
            <v>#N/A</v>
          </cell>
        </row>
        <row r="541">
          <cell r="A541" t="e">
            <v>#N/A</v>
          </cell>
          <cell r="B541" t="str">
            <v>단가-364번</v>
          </cell>
          <cell r="C541" t="e">
            <v>#N/A</v>
          </cell>
          <cell r="D541" t="e">
            <v>#N/A</v>
          </cell>
          <cell r="E541" t="e">
            <v>#N/A</v>
          </cell>
          <cell r="F541" t="e">
            <v>#N/A</v>
          </cell>
        </row>
        <row r="542">
          <cell r="A542" t="e">
            <v>#N/A</v>
          </cell>
          <cell r="B542" t="str">
            <v>단가-365번</v>
          </cell>
          <cell r="C542" t="e">
            <v>#N/A</v>
          </cell>
          <cell r="D542" t="e">
            <v>#N/A</v>
          </cell>
          <cell r="E542" t="e">
            <v>#N/A</v>
          </cell>
          <cell r="F542" t="e">
            <v>#N/A</v>
          </cell>
        </row>
        <row r="543">
          <cell r="A543" t="e">
            <v>#N/A</v>
          </cell>
          <cell r="B543" t="str">
            <v>단가-366번</v>
          </cell>
          <cell r="C543" t="e">
            <v>#N/A</v>
          </cell>
          <cell r="D543" t="e">
            <v>#N/A</v>
          </cell>
          <cell r="E543" t="e">
            <v>#N/A</v>
          </cell>
          <cell r="F543" t="e">
            <v>#N/A</v>
          </cell>
        </row>
        <row r="544">
          <cell r="A544" t="e">
            <v>#N/A</v>
          </cell>
          <cell r="B544" t="str">
            <v>단가-367번</v>
          </cell>
          <cell r="C544" t="e">
            <v>#N/A</v>
          </cell>
          <cell r="D544" t="e">
            <v>#N/A</v>
          </cell>
          <cell r="E544" t="e">
            <v>#N/A</v>
          </cell>
          <cell r="F544" t="e">
            <v>#N/A</v>
          </cell>
        </row>
        <row r="545">
          <cell r="A545" t="e">
            <v>#N/A</v>
          </cell>
          <cell r="B545" t="str">
            <v>단가-368번</v>
          </cell>
          <cell r="C545" t="e">
            <v>#N/A</v>
          </cell>
          <cell r="D545" t="e">
            <v>#N/A</v>
          </cell>
          <cell r="E545" t="e">
            <v>#N/A</v>
          </cell>
          <cell r="F545" t="e">
            <v>#N/A</v>
          </cell>
        </row>
        <row r="546">
          <cell r="A546" t="e">
            <v>#N/A</v>
          </cell>
          <cell r="B546" t="str">
            <v>단가-369번</v>
          </cell>
          <cell r="C546" t="e">
            <v>#N/A</v>
          </cell>
          <cell r="D546" t="e">
            <v>#N/A</v>
          </cell>
          <cell r="E546" t="e">
            <v>#N/A</v>
          </cell>
          <cell r="F546" t="e">
            <v>#N/A</v>
          </cell>
        </row>
        <row r="547">
          <cell r="A547" t="e">
            <v>#N/A</v>
          </cell>
          <cell r="B547" t="str">
            <v>단가-370번</v>
          </cell>
          <cell r="C547" t="e">
            <v>#N/A</v>
          </cell>
          <cell r="D547" t="e">
            <v>#N/A</v>
          </cell>
          <cell r="E547" t="e">
            <v>#N/A</v>
          </cell>
          <cell r="F547" t="e">
            <v>#N/A</v>
          </cell>
        </row>
        <row r="548">
          <cell r="A548" t="e">
            <v>#N/A</v>
          </cell>
          <cell r="B548" t="str">
            <v>단가-371번</v>
          </cell>
          <cell r="C548" t="e">
            <v>#N/A</v>
          </cell>
          <cell r="D548" t="e">
            <v>#N/A</v>
          </cell>
          <cell r="E548" t="e">
            <v>#N/A</v>
          </cell>
          <cell r="F548" t="e">
            <v>#N/A</v>
          </cell>
        </row>
        <row r="549">
          <cell r="A549" t="e">
            <v>#N/A</v>
          </cell>
          <cell r="B549" t="str">
            <v>단가-372번</v>
          </cell>
          <cell r="C549" t="e">
            <v>#N/A</v>
          </cell>
          <cell r="D549" t="e">
            <v>#N/A</v>
          </cell>
          <cell r="E549" t="e">
            <v>#N/A</v>
          </cell>
          <cell r="F549" t="e">
            <v>#N/A</v>
          </cell>
        </row>
        <row r="550">
          <cell r="A550" t="e">
            <v>#N/A</v>
          </cell>
          <cell r="B550" t="str">
            <v>단가-373번</v>
          </cell>
          <cell r="C550" t="e">
            <v>#N/A</v>
          </cell>
          <cell r="D550" t="e">
            <v>#N/A</v>
          </cell>
          <cell r="E550" t="e">
            <v>#N/A</v>
          </cell>
          <cell r="F550" t="e">
            <v>#N/A</v>
          </cell>
        </row>
        <row r="551">
          <cell r="A551" t="e">
            <v>#N/A</v>
          </cell>
          <cell r="B551" t="str">
            <v>단가-374번</v>
          </cell>
          <cell r="C551" t="e">
            <v>#N/A</v>
          </cell>
          <cell r="D551" t="e">
            <v>#N/A</v>
          </cell>
          <cell r="E551" t="e">
            <v>#N/A</v>
          </cell>
          <cell r="F551" t="e">
            <v>#N/A</v>
          </cell>
        </row>
        <row r="552">
          <cell r="A552" t="e">
            <v>#N/A</v>
          </cell>
          <cell r="B552" t="str">
            <v>단가-375번</v>
          </cell>
          <cell r="C552" t="e">
            <v>#N/A</v>
          </cell>
          <cell r="D552" t="e">
            <v>#N/A</v>
          </cell>
          <cell r="E552" t="e">
            <v>#N/A</v>
          </cell>
          <cell r="F552" t="e">
            <v>#N/A</v>
          </cell>
        </row>
        <row r="553">
          <cell r="A553" t="e">
            <v>#N/A</v>
          </cell>
          <cell r="B553" t="str">
            <v>단가-376번</v>
          </cell>
          <cell r="C553" t="e">
            <v>#N/A</v>
          </cell>
          <cell r="D553" t="e">
            <v>#N/A</v>
          </cell>
          <cell r="E553" t="e">
            <v>#N/A</v>
          </cell>
          <cell r="F553" t="e">
            <v>#N/A</v>
          </cell>
        </row>
        <row r="554">
          <cell r="A554" t="e">
            <v>#N/A</v>
          </cell>
          <cell r="B554" t="str">
            <v>단가-377번</v>
          </cell>
          <cell r="C554" t="e">
            <v>#N/A</v>
          </cell>
          <cell r="D554" t="e">
            <v>#N/A</v>
          </cell>
          <cell r="E554" t="e">
            <v>#N/A</v>
          </cell>
          <cell r="F554" t="e">
            <v>#N/A</v>
          </cell>
        </row>
        <row r="555">
          <cell r="A555" t="e">
            <v>#N/A</v>
          </cell>
          <cell r="B555" t="str">
            <v>단가-378번</v>
          </cell>
          <cell r="C555" t="e">
            <v>#N/A</v>
          </cell>
          <cell r="D555" t="e">
            <v>#N/A</v>
          </cell>
          <cell r="E555" t="e">
            <v>#N/A</v>
          </cell>
          <cell r="F555" t="e">
            <v>#N/A</v>
          </cell>
        </row>
        <row r="556">
          <cell r="A556" t="e">
            <v>#N/A</v>
          </cell>
          <cell r="B556" t="str">
            <v>단가-379번</v>
          </cell>
          <cell r="C556" t="e">
            <v>#N/A</v>
          </cell>
          <cell r="D556" t="e">
            <v>#N/A</v>
          </cell>
          <cell r="E556" t="e">
            <v>#N/A</v>
          </cell>
          <cell r="F556" t="e">
            <v>#N/A</v>
          </cell>
        </row>
        <row r="557">
          <cell r="A557" t="e">
            <v>#N/A</v>
          </cell>
          <cell r="B557" t="str">
            <v>단가-380번</v>
          </cell>
          <cell r="C557" t="e">
            <v>#N/A</v>
          </cell>
          <cell r="D557" t="e">
            <v>#N/A</v>
          </cell>
          <cell r="E557" t="e">
            <v>#N/A</v>
          </cell>
          <cell r="F557" t="e">
            <v>#N/A</v>
          </cell>
        </row>
        <row r="558">
          <cell r="A558" t="e">
            <v>#N/A</v>
          </cell>
          <cell r="B558" t="str">
            <v>단가-381번</v>
          </cell>
          <cell r="C558" t="e">
            <v>#N/A</v>
          </cell>
          <cell r="D558" t="e">
            <v>#N/A</v>
          </cell>
          <cell r="E558" t="e">
            <v>#N/A</v>
          </cell>
          <cell r="F558" t="e">
            <v>#N/A</v>
          </cell>
        </row>
        <row r="559">
          <cell r="A559" t="e">
            <v>#N/A</v>
          </cell>
          <cell r="B559" t="str">
            <v>단가-382번</v>
          </cell>
          <cell r="C559" t="e">
            <v>#N/A</v>
          </cell>
          <cell r="D559" t="e">
            <v>#N/A</v>
          </cell>
          <cell r="E559" t="e">
            <v>#N/A</v>
          </cell>
          <cell r="F559" t="e">
            <v>#N/A</v>
          </cell>
        </row>
        <row r="560">
          <cell r="A560" t="e">
            <v>#N/A</v>
          </cell>
          <cell r="B560" t="str">
            <v>단가-383번</v>
          </cell>
          <cell r="C560" t="e">
            <v>#N/A</v>
          </cell>
          <cell r="D560" t="e">
            <v>#N/A</v>
          </cell>
          <cell r="E560" t="e">
            <v>#N/A</v>
          </cell>
          <cell r="F560" t="e">
            <v>#N/A</v>
          </cell>
        </row>
        <row r="561">
          <cell r="A561" t="e">
            <v>#N/A</v>
          </cell>
          <cell r="B561" t="str">
            <v>단가-384번</v>
          </cell>
          <cell r="C561" t="e">
            <v>#N/A</v>
          </cell>
          <cell r="D561" t="e">
            <v>#N/A</v>
          </cell>
          <cell r="E561" t="e">
            <v>#N/A</v>
          </cell>
          <cell r="F561" t="e">
            <v>#N/A</v>
          </cell>
        </row>
        <row r="562">
          <cell r="A562" t="e">
            <v>#N/A</v>
          </cell>
          <cell r="B562" t="str">
            <v>단가-385번</v>
          </cell>
          <cell r="C562" t="e">
            <v>#N/A</v>
          </cell>
          <cell r="D562" t="e">
            <v>#N/A</v>
          </cell>
          <cell r="E562" t="e">
            <v>#N/A</v>
          </cell>
          <cell r="F562" t="e">
            <v>#N/A</v>
          </cell>
        </row>
        <row r="563">
          <cell r="A563" t="e">
            <v>#N/A</v>
          </cell>
          <cell r="B563" t="str">
            <v>단가-386번</v>
          </cell>
          <cell r="C563" t="e">
            <v>#N/A</v>
          </cell>
          <cell r="D563" t="e">
            <v>#N/A</v>
          </cell>
          <cell r="E563" t="e">
            <v>#N/A</v>
          </cell>
          <cell r="F563" t="e">
            <v>#N/A</v>
          </cell>
        </row>
        <row r="564">
          <cell r="A564" t="e">
            <v>#N/A</v>
          </cell>
          <cell r="B564" t="str">
            <v>단가-387번</v>
          </cell>
          <cell r="C564" t="e">
            <v>#N/A</v>
          </cell>
          <cell r="D564" t="e">
            <v>#N/A</v>
          </cell>
          <cell r="E564" t="e">
            <v>#N/A</v>
          </cell>
          <cell r="F564" t="e">
            <v>#N/A</v>
          </cell>
        </row>
        <row r="565">
          <cell r="A565" t="e">
            <v>#N/A</v>
          </cell>
          <cell r="B565" t="str">
            <v>단가-388번</v>
          </cell>
          <cell r="C565" t="e">
            <v>#N/A</v>
          </cell>
          <cell r="D565" t="e">
            <v>#N/A</v>
          </cell>
          <cell r="E565" t="e">
            <v>#N/A</v>
          </cell>
          <cell r="F565" t="e">
            <v>#N/A</v>
          </cell>
        </row>
        <row r="566">
          <cell r="A566" t="e">
            <v>#N/A</v>
          </cell>
          <cell r="B566" t="str">
            <v>단가-389번</v>
          </cell>
          <cell r="C566" t="e">
            <v>#N/A</v>
          </cell>
          <cell r="D566" t="e">
            <v>#N/A</v>
          </cell>
          <cell r="E566" t="e">
            <v>#N/A</v>
          </cell>
          <cell r="F566" t="e">
            <v>#N/A</v>
          </cell>
        </row>
        <row r="567">
          <cell r="A567" t="e">
            <v>#N/A</v>
          </cell>
          <cell r="B567" t="str">
            <v>단가-390번</v>
          </cell>
          <cell r="C567" t="e">
            <v>#N/A</v>
          </cell>
          <cell r="D567" t="e">
            <v>#N/A</v>
          </cell>
          <cell r="E567" t="e">
            <v>#N/A</v>
          </cell>
          <cell r="F567" t="e">
            <v>#N/A</v>
          </cell>
        </row>
        <row r="568">
          <cell r="A568" t="e">
            <v>#N/A</v>
          </cell>
          <cell r="B568" t="str">
            <v>단가-391번</v>
          </cell>
          <cell r="C568" t="e">
            <v>#N/A</v>
          </cell>
          <cell r="D568" t="e">
            <v>#N/A</v>
          </cell>
          <cell r="E568" t="e">
            <v>#N/A</v>
          </cell>
          <cell r="F568" t="e">
            <v>#N/A</v>
          </cell>
        </row>
        <row r="569">
          <cell r="A569" t="e">
            <v>#N/A</v>
          </cell>
          <cell r="B569" t="str">
            <v>단가-392번</v>
          </cell>
          <cell r="C569" t="e">
            <v>#N/A</v>
          </cell>
          <cell r="D569" t="e">
            <v>#N/A</v>
          </cell>
          <cell r="E569" t="e">
            <v>#N/A</v>
          </cell>
          <cell r="F569" t="e">
            <v>#N/A</v>
          </cell>
        </row>
        <row r="570">
          <cell r="A570" t="e">
            <v>#N/A</v>
          </cell>
          <cell r="B570" t="str">
            <v>단가-393번</v>
          </cell>
          <cell r="C570" t="e">
            <v>#N/A</v>
          </cell>
          <cell r="D570" t="e">
            <v>#N/A</v>
          </cell>
          <cell r="E570" t="e">
            <v>#N/A</v>
          </cell>
          <cell r="F570" t="e">
            <v>#N/A</v>
          </cell>
        </row>
        <row r="571">
          <cell r="A571" t="e">
            <v>#N/A</v>
          </cell>
          <cell r="B571" t="str">
            <v>단가-394번</v>
          </cell>
          <cell r="C571" t="e">
            <v>#N/A</v>
          </cell>
          <cell r="D571" t="e">
            <v>#N/A</v>
          </cell>
          <cell r="E571" t="e">
            <v>#N/A</v>
          </cell>
          <cell r="F571" t="e">
            <v>#N/A</v>
          </cell>
        </row>
        <row r="572">
          <cell r="A572" t="e">
            <v>#N/A</v>
          </cell>
          <cell r="B572" t="str">
            <v>단가-395번</v>
          </cell>
          <cell r="C572" t="e">
            <v>#N/A</v>
          </cell>
          <cell r="D572" t="e">
            <v>#N/A</v>
          </cell>
          <cell r="E572" t="e">
            <v>#N/A</v>
          </cell>
          <cell r="F572" t="e">
            <v>#N/A</v>
          </cell>
        </row>
        <row r="573">
          <cell r="A573" t="e">
            <v>#N/A</v>
          </cell>
          <cell r="B573" t="str">
            <v>단가-396번</v>
          </cell>
          <cell r="C573" t="e">
            <v>#N/A</v>
          </cell>
          <cell r="D573" t="e">
            <v>#N/A</v>
          </cell>
          <cell r="E573" t="e">
            <v>#N/A</v>
          </cell>
          <cell r="F573" t="e">
            <v>#N/A</v>
          </cell>
        </row>
        <row r="574">
          <cell r="A574" t="e">
            <v>#N/A</v>
          </cell>
          <cell r="B574" t="str">
            <v>단가-397번</v>
          </cell>
          <cell r="C574" t="e">
            <v>#N/A</v>
          </cell>
          <cell r="D574" t="e">
            <v>#N/A</v>
          </cell>
          <cell r="E574" t="e">
            <v>#N/A</v>
          </cell>
          <cell r="F574" t="e">
            <v>#N/A</v>
          </cell>
        </row>
        <row r="575">
          <cell r="A575" t="e">
            <v>#N/A</v>
          </cell>
          <cell r="B575" t="str">
            <v>단가-398번</v>
          </cell>
          <cell r="C575" t="e">
            <v>#N/A</v>
          </cell>
          <cell r="D575" t="e">
            <v>#N/A</v>
          </cell>
          <cell r="E575" t="e">
            <v>#N/A</v>
          </cell>
          <cell r="F575" t="e">
            <v>#N/A</v>
          </cell>
        </row>
        <row r="576">
          <cell r="A576" t="e">
            <v>#N/A</v>
          </cell>
          <cell r="B576" t="str">
            <v>단가-399번</v>
          </cell>
          <cell r="C576" t="e">
            <v>#N/A</v>
          </cell>
          <cell r="D576" t="e">
            <v>#N/A</v>
          </cell>
          <cell r="E576" t="e">
            <v>#N/A</v>
          </cell>
          <cell r="F576" t="e">
            <v>#N/A</v>
          </cell>
        </row>
        <row r="577">
          <cell r="A577" t="e">
            <v>#N/A</v>
          </cell>
          <cell r="B577" t="str">
            <v>단가-400번</v>
          </cell>
          <cell r="C577" t="e">
            <v>#N/A</v>
          </cell>
          <cell r="D577" t="e">
            <v>#N/A</v>
          </cell>
          <cell r="E577" t="e">
            <v>#N/A</v>
          </cell>
          <cell r="F577" t="e">
            <v>#N/A</v>
          </cell>
        </row>
        <row r="578">
          <cell r="A578" t="e">
            <v>#N/A</v>
          </cell>
          <cell r="B578" t="str">
            <v>단가-401번</v>
          </cell>
          <cell r="C578" t="e">
            <v>#N/A</v>
          </cell>
          <cell r="D578" t="e">
            <v>#N/A</v>
          </cell>
          <cell r="E578" t="e">
            <v>#N/A</v>
          </cell>
          <cell r="F578" t="e">
            <v>#N/A</v>
          </cell>
        </row>
        <row r="579">
          <cell r="A579" t="e">
            <v>#N/A</v>
          </cell>
          <cell r="B579" t="str">
            <v>단가-402번</v>
          </cell>
          <cell r="C579" t="e">
            <v>#N/A</v>
          </cell>
          <cell r="D579" t="e">
            <v>#N/A</v>
          </cell>
          <cell r="E579" t="e">
            <v>#N/A</v>
          </cell>
          <cell r="F579" t="e">
            <v>#N/A</v>
          </cell>
        </row>
        <row r="580">
          <cell r="A580" t="e">
            <v>#N/A</v>
          </cell>
          <cell r="B580" t="str">
            <v>단가-403번</v>
          </cell>
          <cell r="C580" t="e">
            <v>#N/A</v>
          </cell>
          <cell r="D580" t="e">
            <v>#N/A</v>
          </cell>
          <cell r="E580" t="e">
            <v>#N/A</v>
          </cell>
          <cell r="F580" t="e">
            <v>#N/A</v>
          </cell>
        </row>
        <row r="581">
          <cell r="A581" t="e">
            <v>#N/A</v>
          </cell>
          <cell r="B581" t="str">
            <v>단가-404번</v>
          </cell>
          <cell r="C581" t="e">
            <v>#N/A</v>
          </cell>
          <cell r="D581" t="e">
            <v>#N/A</v>
          </cell>
          <cell r="E581" t="e">
            <v>#N/A</v>
          </cell>
          <cell r="F581" t="e">
            <v>#N/A</v>
          </cell>
        </row>
        <row r="582">
          <cell r="A582" t="e">
            <v>#N/A</v>
          </cell>
          <cell r="B582" t="str">
            <v>단가-405번</v>
          </cell>
          <cell r="C582" t="e">
            <v>#N/A</v>
          </cell>
          <cell r="D582" t="e">
            <v>#N/A</v>
          </cell>
          <cell r="E582" t="e">
            <v>#N/A</v>
          </cell>
          <cell r="F582" t="e">
            <v>#N/A</v>
          </cell>
        </row>
        <row r="583">
          <cell r="A583" t="e">
            <v>#N/A</v>
          </cell>
          <cell r="B583" t="str">
            <v>단가-406번</v>
          </cell>
          <cell r="C583" t="e">
            <v>#N/A</v>
          </cell>
          <cell r="D583" t="e">
            <v>#N/A</v>
          </cell>
          <cell r="E583" t="e">
            <v>#N/A</v>
          </cell>
          <cell r="F583" t="e">
            <v>#N/A</v>
          </cell>
        </row>
        <row r="584">
          <cell r="A584" t="e">
            <v>#N/A</v>
          </cell>
          <cell r="B584" t="str">
            <v>단가-407번</v>
          </cell>
          <cell r="C584" t="e">
            <v>#N/A</v>
          </cell>
          <cell r="D584" t="e">
            <v>#N/A</v>
          </cell>
          <cell r="E584" t="e">
            <v>#N/A</v>
          </cell>
          <cell r="F584" t="e">
            <v>#N/A</v>
          </cell>
        </row>
        <row r="585">
          <cell r="A585" t="e">
            <v>#N/A</v>
          </cell>
          <cell r="B585" t="str">
            <v>단가-408번</v>
          </cell>
          <cell r="C585" t="e">
            <v>#N/A</v>
          </cell>
          <cell r="D585" t="e">
            <v>#N/A</v>
          </cell>
          <cell r="E585" t="e">
            <v>#N/A</v>
          </cell>
          <cell r="F585" t="e">
            <v>#N/A</v>
          </cell>
        </row>
        <row r="586">
          <cell r="A586" t="e">
            <v>#N/A</v>
          </cell>
          <cell r="B586" t="str">
            <v>단가-409번</v>
          </cell>
          <cell r="C586" t="e">
            <v>#N/A</v>
          </cell>
          <cell r="D586" t="e">
            <v>#N/A</v>
          </cell>
          <cell r="E586" t="e">
            <v>#N/A</v>
          </cell>
          <cell r="F586" t="e">
            <v>#N/A</v>
          </cell>
        </row>
        <row r="587">
          <cell r="A587" t="e">
            <v>#N/A</v>
          </cell>
          <cell r="B587" t="str">
            <v>단가-410번</v>
          </cell>
          <cell r="C587" t="e">
            <v>#N/A</v>
          </cell>
          <cell r="D587" t="e">
            <v>#N/A</v>
          </cell>
          <cell r="E587" t="e">
            <v>#N/A</v>
          </cell>
          <cell r="F587" t="e">
            <v>#N/A</v>
          </cell>
        </row>
        <row r="588">
          <cell r="A588" t="e">
            <v>#N/A</v>
          </cell>
          <cell r="B588" t="str">
            <v>단가-411번</v>
          </cell>
          <cell r="C588" t="e">
            <v>#N/A</v>
          </cell>
          <cell r="D588" t="e">
            <v>#N/A</v>
          </cell>
          <cell r="E588" t="e">
            <v>#N/A</v>
          </cell>
          <cell r="F588" t="e">
            <v>#N/A</v>
          </cell>
        </row>
        <row r="589">
          <cell r="A589" t="e">
            <v>#N/A</v>
          </cell>
          <cell r="B589" t="str">
            <v>단가-412번</v>
          </cell>
          <cell r="C589" t="e">
            <v>#N/A</v>
          </cell>
          <cell r="D589" t="e">
            <v>#N/A</v>
          </cell>
          <cell r="E589" t="e">
            <v>#N/A</v>
          </cell>
          <cell r="F589" t="e">
            <v>#N/A</v>
          </cell>
        </row>
        <row r="590">
          <cell r="A590" t="e">
            <v>#N/A</v>
          </cell>
          <cell r="B590" t="str">
            <v>단가-413번</v>
          </cell>
          <cell r="C590" t="e">
            <v>#N/A</v>
          </cell>
          <cell r="D590" t="e">
            <v>#N/A</v>
          </cell>
          <cell r="E590" t="e">
            <v>#N/A</v>
          </cell>
          <cell r="F590" t="e">
            <v>#N/A</v>
          </cell>
        </row>
        <row r="591">
          <cell r="A591" t="e">
            <v>#N/A</v>
          </cell>
          <cell r="B591" t="str">
            <v>단가-414번</v>
          </cell>
          <cell r="C591" t="e">
            <v>#N/A</v>
          </cell>
          <cell r="D591" t="e">
            <v>#N/A</v>
          </cell>
          <cell r="E591" t="e">
            <v>#N/A</v>
          </cell>
          <cell r="F591" t="e">
            <v>#N/A</v>
          </cell>
        </row>
        <row r="592">
          <cell r="A592" t="e">
            <v>#N/A</v>
          </cell>
          <cell r="B592" t="str">
            <v>단가-415번</v>
          </cell>
          <cell r="C592" t="e">
            <v>#N/A</v>
          </cell>
          <cell r="D592" t="e">
            <v>#N/A</v>
          </cell>
          <cell r="E592" t="e">
            <v>#N/A</v>
          </cell>
          <cell r="F592" t="e">
            <v>#N/A</v>
          </cell>
        </row>
        <row r="593">
          <cell r="A593" t="e">
            <v>#N/A</v>
          </cell>
          <cell r="B593" t="str">
            <v>단가-416번</v>
          </cell>
          <cell r="C593" t="e">
            <v>#N/A</v>
          </cell>
          <cell r="D593" t="e">
            <v>#N/A</v>
          </cell>
          <cell r="E593" t="e">
            <v>#N/A</v>
          </cell>
          <cell r="F593" t="e">
            <v>#N/A</v>
          </cell>
        </row>
        <row r="594">
          <cell r="A594" t="e">
            <v>#N/A</v>
          </cell>
          <cell r="B594" t="str">
            <v>단가-417번</v>
          </cell>
          <cell r="C594" t="e">
            <v>#N/A</v>
          </cell>
          <cell r="D594" t="e">
            <v>#N/A</v>
          </cell>
          <cell r="E594" t="e">
            <v>#N/A</v>
          </cell>
          <cell r="F594" t="e">
            <v>#N/A</v>
          </cell>
        </row>
        <row r="595">
          <cell r="A595" t="e">
            <v>#N/A</v>
          </cell>
          <cell r="B595" t="str">
            <v>단가-418번</v>
          </cell>
          <cell r="C595" t="e">
            <v>#N/A</v>
          </cell>
          <cell r="D595" t="e">
            <v>#N/A</v>
          </cell>
          <cell r="E595" t="e">
            <v>#N/A</v>
          </cell>
          <cell r="F595" t="e">
            <v>#N/A</v>
          </cell>
        </row>
        <row r="596">
          <cell r="A596" t="e">
            <v>#N/A</v>
          </cell>
          <cell r="B596" t="str">
            <v>단가-419번</v>
          </cell>
          <cell r="C596" t="e">
            <v>#N/A</v>
          </cell>
          <cell r="D596" t="e">
            <v>#N/A</v>
          </cell>
          <cell r="E596" t="e">
            <v>#N/A</v>
          </cell>
          <cell r="F596" t="e">
            <v>#N/A</v>
          </cell>
        </row>
        <row r="597">
          <cell r="A597" t="e">
            <v>#N/A</v>
          </cell>
          <cell r="B597" t="str">
            <v>단가-420번</v>
          </cell>
          <cell r="C597" t="e">
            <v>#N/A</v>
          </cell>
          <cell r="D597" t="e">
            <v>#N/A</v>
          </cell>
          <cell r="E597" t="e">
            <v>#N/A</v>
          </cell>
          <cell r="F597" t="e">
            <v>#N/A</v>
          </cell>
        </row>
        <row r="598">
          <cell r="A598" t="e">
            <v>#N/A</v>
          </cell>
          <cell r="B598" t="str">
            <v>단가-421번</v>
          </cell>
          <cell r="C598" t="e">
            <v>#N/A</v>
          </cell>
          <cell r="D598" t="e">
            <v>#N/A</v>
          </cell>
          <cell r="E598" t="e">
            <v>#N/A</v>
          </cell>
          <cell r="F598" t="e">
            <v>#N/A</v>
          </cell>
        </row>
        <row r="599">
          <cell r="A599" t="e">
            <v>#N/A</v>
          </cell>
          <cell r="B599" t="str">
            <v>단가-422번</v>
          </cell>
          <cell r="C599" t="e">
            <v>#N/A</v>
          </cell>
          <cell r="D599" t="e">
            <v>#N/A</v>
          </cell>
          <cell r="E599" t="e">
            <v>#N/A</v>
          </cell>
          <cell r="F599" t="e">
            <v>#N/A</v>
          </cell>
        </row>
        <row r="600">
          <cell r="A600" t="e">
            <v>#N/A</v>
          </cell>
          <cell r="B600" t="str">
            <v>단가-423번</v>
          </cell>
          <cell r="C600" t="e">
            <v>#N/A</v>
          </cell>
          <cell r="D600" t="e">
            <v>#N/A</v>
          </cell>
          <cell r="E600" t="e">
            <v>#N/A</v>
          </cell>
          <cell r="F600" t="e">
            <v>#N/A</v>
          </cell>
        </row>
        <row r="601">
          <cell r="A601" t="e">
            <v>#N/A</v>
          </cell>
          <cell r="B601" t="str">
            <v>단가-424번</v>
          </cell>
          <cell r="C601" t="e">
            <v>#N/A</v>
          </cell>
          <cell r="D601" t="e">
            <v>#N/A</v>
          </cell>
          <cell r="E601" t="e">
            <v>#N/A</v>
          </cell>
          <cell r="F601" t="e">
            <v>#N/A</v>
          </cell>
        </row>
        <row r="602">
          <cell r="A602" t="e">
            <v>#N/A</v>
          </cell>
          <cell r="B602" t="str">
            <v>단가-425번</v>
          </cell>
          <cell r="C602" t="e">
            <v>#N/A</v>
          </cell>
          <cell r="D602" t="e">
            <v>#N/A</v>
          </cell>
          <cell r="E602" t="e">
            <v>#N/A</v>
          </cell>
          <cell r="F602" t="e">
            <v>#N/A</v>
          </cell>
        </row>
        <row r="603">
          <cell r="A603" t="e">
            <v>#N/A</v>
          </cell>
          <cell r="B603" t="str">
            <v>단가-426번</v>
          </cell>
          <cell r="C603" t="e">
            <v>#N/A</v>
          </cell>
          <cell r="D603" t="e">
            <v>#N/A</v>
          </cell>
          <cell r="E603" t="e">
            <v>#N/A</v>
          </cell>
          <cell r="F603" t="e">
            <v>#N/A</v>
          </cell>
        </row>
        <row r="604">
          <cell r="A604" t="e">
            <v>#N/A</v>
          </cell>
          <cell r="B604" t="str">
            <v>단가-427번</v>
          </cell>
          <cell r="C604" t="e">
            <v>#N/A</v>
          </cell>
          <cell r="D604" t="e">
            <v>#N/A</v>
          </cell>
          <cell r="E604" t="e">
            <v>#N/A</v>
          </cell>
          <cell r="F604" t="e">
            <v>#N/A</v>
          </cell>
        </row>
        <row r="605">
          <cell r="A605" t="e">
            <v>#N/A</v>
          </cell>
          <cell r="B605" t="str">
            <v>단가-428번</v>
          </cell>
          <cell r="C605" t="e">
            <v>#N/A</v>
          </cell>
          <cell r="D605" t="e">
            <v>#N/A</v>
          </cell>
          <cell r="E605" t="e">
            <v>#N/A</v>
          </cell>
          <cell r="F605" t="e">
            <v>#N/A</v>
          </cell>
        </row>
        <row r="606">
          <cell r="A606" t="e">
            <v>#N/A</v>
          </cell>
          <cell r="B606" t="str">
            <v>단가-429번</v>
          </cell>
          <cell r="C606" t="e">
            <v>#N/A</v>
          </cell>
          <cell r="D606" t="e">
            <v>#N/A</v>
          </cell>
          <cell r="E606" t="e">
            <v>#N/A</v>
          </cell>
          <cell r="F606" t="e">
            <v>#N/A</v>
          </cell>
        </row>
        <row r="607">
          <cell r="A607" t="e">
            <v>#N/A</v>
          </cell>
          <cell r="B607" t="str">
            <v>단가-430번</v>
          </cell>
          <cell r="C607" t="e">
            <v>#N/A</v>
          </cell>
          <cell r="D607" t="e">
            <v>#N/A</v>
          </cell>
          <cell r="E607" t="e">
            <v>#N/A</v>
          </cell>
          <cell r="F607" t="e">
            <v>#N/A</v>
          </cell>
        </row>
        <row r="608">
          <cell r="A608" t="e">
            <v>#N/A</v>
          </cell>
          <cell r="B608" t="str">
            <v>단가-431번</v>
          </cell>
          <cell r="C608" t="e">
            <v>#N/A</v>
          </cell>
          <cell r="D608" t="e">
            <v>#N/A</v>
          </cell>
          <cell r="E608" t="e">
            <v>#N/A</v>
          </cell>
          <cell r="F608" t="e">
            <v>#N/A</v>
          </cell>
        </row>
        <row r="609">
          <cell r="A609" t="e">
            <v>#N/A</v>
          </cell>
          <cell r="B609" t="str">
            <v>단가-432번</v>
          </cell>
          <cell r="C609" t="e">
            <v>#N/A</v>
          </cell>
          <cell r="D609" t="e">
            <v>#N/A</v>
          </cell>
          <cell r="E609" t="e">
            <v>#N/A</v>
          </cell>
          <cell r="F609" t="e">
            <v>#N/A</v>
          </cell>
        </row>
        <row r="610">
          <cell r="A610" t="e">
            <v>#N/A</v>
          </cell>
          <cell r="B610" t="str">
            <v>단가-433번</v>
          </cell>
          <cell r="C610" t="e">
            <v>#N/A</v>
          </cell>
          <cell r="D610" t="e">
            <v>#N/A</v>
          </cell>
          <cell r="E610" t="e">
            <v>#N/A</v>
          </cell>
          <cell r="F610" t="e">
            <v>#N/A</v>
          </cell>
        </row>
        <row r="611">
          <cell r="A611" t="e">
            <v>#N/A</v>
          </cell>
          <cell r="B611" t="str">
            <v>단가-434번</v>
          </cell>
          <cell r="C611" t="e">
            <v>#N/A</v>
          </cell>
          <cell r="D611" t="e">
            <v>#N/A</v>
          </cell>
          <cell r="E611" t="e">
            <v>#N/A</v>
          </cell>
          <cell r="F611" t="e">
            <v>#N/A</v>
          </cell>
        </row>
        <row r="612">
          <cell r="A612" t="e">
            <v>#N/A</v>
          </cell>
          <cell r="B612" t="str">
            <v>단가-435번</v>
          </cell>
          <cell r="C612" t="e">
            <v>#N/A</v>
          </cell>
          <cell r="D612" t="e">
            <v>#N/A</v>
          </cell>
          <cell r="E612" t="e">
            <v>#N/A</v>
          </cell>
          <cell r="F612" t="e">
            <v>#N/A</v>
          </cell>
        </row>
        <row r="613">
          <cell r="A613" t="e">
            <v>#N/A</v>
          </cell>
          <cell r="B613" t="str">
            <v>단가-436번</v>
          </cell>
          <cell r="C613" t="e">
            <v>#N/A</v>
          </cell>
          <cell r="D613" t="e">
            <v>#N/A</v>
          </cell>
          <cell r="E613" t="e">
            <v>#N/A</v>
          </cell>
          <cell r="F613" t="e">
            <v>#N/A</v>
          </cell>
        </row>
        <row r="614">
          <cell r="A614" t="e">
            <v>#N/A</v>
          </cell>
          <cell r="B614" t="str">
            <v>단가-437번</v>
          </cell>
          <cell r="C614" t="e">
            <v>#N/A</v>
          </cell>
          <cell r="D614" t="e">
            <v>#N/A</v>
          </cell>
          <cell r="E614" t="e">
            <v>#N/A</v>
          </cell>
          <cell r="F614" t="e">
            <v>#N/A</v>
          </cell>
        </row>
        <row r="615">
          <cell r="A615" t="e">
            <v>#N/A</v>
          </cell>
          <cell r="B615" t="str">
            <v>단가-438번</v>
          </cell>
          <cell r="C615" t="e">
            <v>#N/A</v>
          </cell>
          <cell r="D615" t="e">
            <v>#N/A</v>
          </cell>
          <cell r="E615" t="e">
            <v>#N/A</v>
          </cell>
          <cell r="F615" t="e">
            <v>#N/A</v>
          </cell>
        </row>
        <row r="616">
          <cell r="A616" t="e">
            <v>#N/A</v>
          </cell>
          <cell r="B616" t="str">
            <v>단가-439번</v>
          </cell>
          <cell r="C616" t="e">
            <v>#N/A</v>
          </cell>
          <cell r="D616" t="e">
            <v>#N/A</v>
          </cell>
          <cell r="E616" t="e">
            <v>#N/A</v>
          </cell>
          <cell r="F616" t="e">
            <v>#N/A</v>
          </cell>
        </row>
        <row r="617">
          <cell r="A617" t="e">
            <v>#N/A</v>
          </cell>
          <cell r="B617" t="str">
            <v>단가-440번</v>
          </cell>
          <cell r="C617" t="e">
            <v>#N/A</v>
          </cell>
          <cell r="D617" t="e">
            <v>#N/A</v>
          </cell>
          <cell r="E617" t="e">
            <v>#N/A</v>
          </cell>
          <cell r="F617" t="e">
            <v>#N/A</v>
          </cell>
        </row>
        <row r="618">
          <cell r="A618" t="e">
            <v>#N/A</v>
          </cell>
          <cell r="B618" t="str">
            <v>단가-441번</v>
          </cell>
          <cell r="C618" t="e">
            <v>#N/A</v>
          </cell>
          <cell r="D618" t="e">
            <v>#N/A</v>
          </cell>
          <cell r="E618" t="e">
            <v>#N/A</v>
          </cell>
          <cell r="F618" t="e">
            <v>#N/A</v>
          </cell>
        </row>
        <row r="619">
          <cell r="A619" t="e">
            <v>#N/A</v>
          </cell>
          <cell r="B619" t="str">
            <v>단가-442번</v>
          </cell>
          <cell r="C619" t="e">
            <v>#N/A</v>
          </cell>
          <cell r="D619" t="e">
            <v>#N/A</v>
          </cell>
          <cell r="E619" t="e">
            <v>#N/A</v>
          </cell>
          <cell r="F619" t="e">
            <v>#N/A</v>
          </cell>
        </row>
        <row r="620">
          <cell r="A620" t="e">
            <v>#N/A</v>
          </cell>
          <cell r="B620" t="str">
            <v>단가-443번</v>
          </cell>
          <cell r="C620" t="e">
            <v>#N/A</v>
          </cell>
          <cell r="D620" t="e">
            <v>#N/A</v>
          </cell>
          <cell r="E620" t="e">
            <v>#N/A</v>
          </cell>
          <cell r="F620" t="e">
            <v>#N/A</v>
          </cell>
        </row>
        <row r="621">
          <cell r="A621" t="e">
            <v>#N/A</v>
          </cell>
          <cell r="B621" t="str">
            <v>단가-444번</v>
          </cell>
          <cell r="C621" t="e">
            <v>#N/A</v>
          </cell>
          <cell r="D621" t="e">
            <v>#N/A</v>
          </cell>
          <cell r="E621" t="e">
            <v>#N/A</v>
          </cell>
          <cell r="F621" t="e">
            <v>#N/A</v>
          </cell>
        </row>
        <row r="622">
          <cell r="A622" t="e">
            <v>#N/A</v>
          </cell>
          <cell r="B622" t="str">
            <v>단가-445번</v>
          </cell>
          <cell r="C622" t="e">
            <v>#N/A</v>
          </cell>
          <cell r="D622" t="e">
            <v>#N/A</v>
          </cell>
          <cell r="E622" t="e">
            <v>#N/A</v>
          </cell>
          <cell r="F622" t="e">
            <v>#N/A</v>
          </cell>
        </row>
        <row r="623">
          <cell r="A623" t="e">
            <v>#N/A</v>
          </cell>
          <cell r="B623" t="str">
            <v>단가-446번</v>
          </cell>
          <cell r="C623" t="e">
            <v>#N/A</v>
          </cell>
          <cell r="D623" t="e">
            <v>#N/A</v>
          </cell>
          <cell r="E623" t="e">
            <v>#N/A</v>
          </cell>
          <cell r="F623" t="e">
            <v>#N/A</v>
          </cell>
        </row>
        <row r="624">
          <cell r="A624" t="e">
            <v>#N/A</v>
          </cell>
          <cell r="B624" t="str">
            <v>단가-447번</v>
          </cell>
          <cell r="C624" t="e">
            <v>#N/A</v>
          </cell>
          <cell r="D624" t="e">
            <v>#N/A</v>
          </cell>
          <cell r="E624" t="e">
            <v>#N/A</v>
          </cell>
          <cell r="F624" t="e">
            <v>#N/A</v>
          </cell>
        </row>
        <row r="625">
          <cell r="A625" t="e">
            <v>#N/A</v>
          </cell>
          <cell r="B625" t="str">
            <v>단가-448번</v>
          </cell>
          <cell r="C625" t="e">
            <v>#N/A</v>
          </cell>
          <cell r="D625" t="e">
            <v>#N/A</v>
          </cell>
          <cell r="E625" t="e">
            <v>#N/A</v>
          </cell>
          <cell r="F625" t="e">
            <v>#N/A</v>
          </cell>
        </row>
        <row r="626">
          <cell r="A626" t="e">
            <v>#N/A</v>
          </cell>
          <cell r="B626" t="str">
            <v>단가-449번</v>
          </cell>
          <cell r="C626" t="e">
            <v>#N/A</v>
          </cell>
          <cell r="D626" t="e">
            <v>#N/A</v>
          </cell>
          <cell r="E626" t="e">
            <v>#N/A</v>
          </cell>
          <cell r="F626" t="e">
            <v>#N/A</v>
          </cell>
        </row>
        <row r="627">
          <cell r="A627" t="e">
            <v>#N/A</v>
          </cell>
          <cell r="B627" t="str">
            <v>단가-450번</v>
          </cell>
          <cell r="C627" t="e">
            <v>#N/A</v>
          </cell>
          <cell r="D627" t="e">
            <v>#N/A</v>
          </cell>
          <cell r="E627" t="e">
            <v>#N/A</v>
          </cell>
          <cell r="F627" t="e">
            <v>#N/A</v>
          </cell>
        </row>
        <row r="628">
          <cell r="A628" t="e">
            <v>#N/A</v>
          </cell>
          <cell r="B628" t="str">
            <v>단가-451번</v>
          </cell>
          <cell r="C628" t="e">
            <v>#N/A</v>
          </cell>
          <cell r="D628" t="e">
            <v>#N/A</v>
          </cell>
          <cell r="E628" t="e">
            <v>#N/A</v>
          </cell>
          <cell r="F628" t="e">
            <v>#N/A</v>
          </cell>
        </row>
        <row r="629">
          <cell r="A629" t="e">
            <v>#N/A</v>
          </cell>
          <cell r="B629" t="str">
            <v>단가-452번</v>
          </cell>
          <cell r="C629" t="e">
            <v>#N/A</v>
          </cell>
          <cell r="D629" t="e">
            <v>#N/A</v>
          </cell>
          <cell r="E629" t="e">
            <v>#N/A</v>
          </cell>
          <cell r="F629" t="e">
            <v>#N/A</v>
          </cell>
        </row>
        <row r="630">
          <cell r="A630" t="e">
            <v>#N/A</v>
          </cell>
          <cell r="B630" t="str">
            <v>단가-453번</v>
          </cell>
          <cell r="C630" t="e">
            <v>#N/A</v>
          </cell>
          <cell r="D630" t="e">
            <v>#N/A</v>
          </cell>
          <cell r="E630" t="e">
            <v>#N/A</v>
          </cell>
          <cell r="F630" t="e">
            <v>#N/A</v>
          </cell>
        </row>
        <row r="631">
          <cell r="A631" t="e">
            <v>#N/A</v>
          </cell>
          <cell r="B631" t="str">
            <v>단가-454번</v>
          </cell>
          <cell r="C631" t="e">
            <v>#N/A</v>
          </cell>
          <cell r="D631" t="e">
            <v>#N/A</v>
          </cell>
          <cell r="E631" t="e">
            <v>#N/A</v>
          </cell>
          <cell r="F631" t="e">
            <v>#N/A</v>
          </cell>
        </row>
        <row r="632">
          <cell r="A632" t="e">
            <v>#N/A</v>
          </cell>
          <cell r="B632" t="str">
            <v>단가-455번</v>
          </cell>
          <cell r="C632" t="e">
            <v>#N/A</v>
          </cell>
          <cell r="D632" t="e">
            <v>#N/A</v>
          </cell>
          <cell r="E632" t="e">
            <v>#N/A</v>
          </cell>
          <cell r="F632" t="e">
            <v>#N/A</v>
          </cell>
        </row>
        <row r="633">
          <cell r="A633" t="e">
            <v>#N/A</v>
          </cell>
          <cell r="B633" t="str">
            <v>단가-456번</v>
          </cell>
          <cell r="C633" t="e">
            <v>#N/A</v>
          </cell>
          <cell r="D633" t="e">
            <v>#N/A</v>
          </cell>
          <cell r="E633" t="e">
            <v>#N/A</v>
          </cell>
          <cell r="F633" t="e">
            <v>#N/A</v>
          </cell>
        </row>
        <row r="634">
          <cell r="A634" t="e">
            <v>#N/A</v>
          </cell>
          <cell r="B634" t="str">
            <v>단가-457번</v>
          </cell>
          <cell r="C634" t="e">
            <v>#N/A</v>
          </cell>
          <cell r="D634" t="e">
            <v>#N/A</v>
          </cell>
          <cell r="E634" t="e">
            <v>#N/A</v>
          </cell>
          <cell r="F634" t="e">
            <v>#N/A</v>
          </cell>
        </row>
        <row r="635">
          <cell r="A635" t="e">
            <v>#N/A</v>
          </cell>
          <cell r="B635" t="str">
            <v>단가-458번</v>
          </cell>
          <cell r="C635" t="e">
            <v>#N/A</v>
          </cell>
          <cell r="D635" t="e">
            <v>#N/A</v>
          </cell>
          <cell r="E635" t="e">
            <v>#N/A</v>
          </cell>
          <cell r="F635" t="e">
            <v>#N/A</v>
          </cell>
        </row>
        <row r="636">
          <cell r="A636" t="e">
            <v>#N/A</v>
          </cell>
          <cell r="B636" t="str">
            <v>단가-459번</v>
          </cell>
          <cell r="C636" t="e">
            <v>#N/A</v>
          </cell>
          <cell r="D636" t="e">
            <v>#N/A</v>
          </cell>
          <cell r="E636" t="e">
            <v>#N/A</v>
          </cell>
          <cell r="F636" t="e">
            <v>#N/A</v>
          </cell>
        </row>
        <row r="637">
          <cell r="A637" t="e">
            <v>#N/A</v>
          </cell>
          <cell r="B637" t="str">
            <v>단가-460번</v>
          </cell>
          <cell r="C637" t="e">
            <v>#N/A</v>
          </cell>
          <cell r="D637" t="e">
            <v>#N/A</v>
          </cell>
          <cell r="E637" t="e">
            <v>#N/A</v>
          </cell>
          <cell r="F637" t="e">
            <v>#N/A</v>
          </cell>
        </row>
        <row r="638">
          <cell r="A638" t="e">
            <v>#N/A</v>
          </cell>
          <cell r="B638" t="str">
            <v>단가-461번</v>
          </cell>
          <cell r="C638" t="e">
            <v>#N/A</v>
          </cell>
          <cell r="D638" t="e">
            <v>#N/A</v>
          </cell>
          <cell r="E638" t="e">
            <v>#N/A</v>
          </cell>
          <cell r="F638" t="e">
            <v>#N/A</v>
          </cell>
        </row>
        <row r="639">
          <cell r="A639" t="e">
            <v>#N/A</v>
          </cell>
          <cell r="B639" t="str">
            <v>단가-462번</v>
          </cell>
          <cell r="C639" t="e">
            <v>#N/A</v>
          </cell>
          <cell r="D639" t="e">
            <v>#N/A</v>
          </cell>
          <cell r="E639" t="e">
            <v>#N/A</v>
          </cell>
          <cell r="F639" t="e">
            <v>#N/A</v>
          </cell>
        </row>
        <row r="640">
          <cell r="A640" t="e">
            <v>#N/A</v>
          </cell>
          <cell r="B640" t="str">
            <v>단가-463번</v>
          </cell>
          <cell r="C640" t="e">
            <v>#N/A</v>
          </cell>
          <cell r="D640" t="e">
            <v>#N/A</v>
          </cell>
          <cell r="E640" t="e">
            <v>#N/A</v>
          </cell>
          <cell r="F640" t="e">
            <v>#N/A</v>
          </cell>
        </row>
        <row r="641">
          <cell r="A641" t="e">
            <v>#N/A</v>
          </cell>
          <cell r="B641" t="str">
            <v>단가-464번</v>
          </cell>
          <cell r="C641" t="e">
            <v>#N/A</v>
          </cell>
          <cell r="D641" t="e">
            <v>#N/A</v>
          </cell>
          <cell r="E641" t="e">
            <v>#N/A</v>
          </cell>
          <cell r="F641" t="e">
            <v>#N/A</v>
          </cell>
        </row>
        <row r="642">
          <cell r="A642" t="e">
            <v>#N/A</v>
          </cell>
          <cell r="B642" t="str">
            <v>단가-465번</v>
          </cell>
          <cell r="C642" t="e">
            <v>#N/A</v>
          </cell>
          <cell r="D642" t="e">
            <v>#N/A</v>
          </cell>
          <cell r="E642" t="e">
            <v>#N/A</v>
          </cell>
          <cell r="F642" t="e">
            <v>#N/A</v>
          </cell>
        </row>
        <row r="643">
          <cell r="A643" t="e">
            <v>#N/A</v>
          </cell>
          <cell r="B643" t="str">
            <v>단가-466번</v>
          </cell>
          <cell r="C643" t="e">
            <v>#N/A</v>
          </cell>
          <cell r="D643" t="e">
            <v>#N/A</v>
          </cell>
          <cell r="E643" t="e">
            <v>#N/A</v>
          </cell>
          <cell r="F643" t="e">
            <v>#N/A</v>
          </cell>
        </row>
        <row r="644">
          <cell r="A644" t="e">
            <v>#N/A</v>
          </cell>
          <cell r="B644" t="str">
            <v>단가-467번</v>
          </cell>
          <cell r="C644" t="e">
            <v>#N/A</v>
          </cell>
          <cell r="D644" t="e">
            <v>#N/A</v>
          </cell>
          <cell r="E644" t="e">
            <v>#N/A</v>
          </cell>
          <cell r="F644" t="e">
            <v>#N/A</v>
          </cell>
        </row>
        <row r="645">
          <cell r="A645" t="e">
            <v>#N/A</v>
          </cell>
          <cell r="B645" t="str">
            <v>단가-468번</v>
          </cell>
          <cell r="C645" t="e">
            <v>#N/A</v>
          </cell>
          <cell r="D645" t="e">
            <v>#N/A</v>
          </cell>
          <cell r="E645" t="e">
            <v>#N/A</v>
          </cell>
          <cell r="F645" t="e">
            <v>#N/A</v>
          </cell>
        </row>
      </sheetData>
      <sheetData sheetId="7"/>
      <sheetData sheetId="8"/>
      <sheetData sheetId="9">
        <row r="2">
          <cell r="E2" t="str">
            <v xml:space="preserve">2018.6 발표 </v>
          </cell>
          <cell r="F2" t="str">
            <v>2018적용</v>
          </cell>
        </row>
        <row r="3">
          <cell r="B3" t="str">
            <v>직   종   명</v>
          </cell>
          <cell r="C3" t="str">
            <v>기본금(적용)</v>
          </cell>
          <cell r="E3" t="str">
            <v>상여금</v>
          </cell>
          <cell r="F3" t="str">
            <v>퇴직급여충담금</v>
          </cell>
          <cell r="G3" t="str">
            <v>계</v>
          </cell>
          <cell r="H3">
            <v>1</v>
          </cell>
        </row>
        <row r="4">
          <cell r="C4" t="str">
            <v>주 1)</v>
          </cell>
          <cell r="E4" t="str">
            <v>주 2)</v>
          </cell>
          <cell r="F4" t="str">
            <v>주 3)</v>
          </cell>
        </row>
        <row r="5">
          <cell r="B5" t="str">
            <v>절곡원</v>
          </cell>
          <cell r="C5">
            <v>86314</v>
          </cell>
          <cell r="D5" t="str">
            <v>제조임율-12</v>
          </cell>
          <cell r="G5">
            <v>86314</v>
          </cell>
        </row>
        <row r="6">
          <cell r="B6" t="str">
            <v>쇠톱기조작원</v>
          </cell>
          <cell r="C6">
            <v>80421</v>
          </cell>
          <cell r="D6" t="str">
            <v>제조임율-30</v>
          </cell>
          <cell r="G6">
            <v>80421</v>
          </cell>
        </row>
        <row r="7">
          <cell r="B7" t="str">
            <v>절단원</v>
          </cell>
          <cell r="C7">
            <v>88373</v>
          </cell>
          <cell r="D7" t="str">
            <v>제조임율-32</v>
          </cell>
          <cell r="G7">
            <v>88373</v>
          </cell>
        </row>
        <row r="8">
          <cell r="B8" t="str">
            <v>프레나기조작원</v>
          </cell>
          <cell r="C8">
            <v>77812</v>
          </cell>
          <cell r="D8" t="str">
            <v>제조임율-38</v>
          </cell>
          <cell r="G8">
            <v>77812</v>
          </cell>
        </row>
        <row r="9">
          <cell r="B9" t="str">
            <v>용접원</v>
          </cell>
          <cell r="C9">
            <v>91285</v>
          </cell>
          <cell r="D9" t="str">
            <v>제조임율-50</v>
          </cell>
          <cell r="G9">
            <v>91285</v>
          </cell>
        </row>
        <row r="10">
          <cell r="B10" t="str">
            <v>연마원</v>
          </cell>
          <cell r="C10">
            <v>79648</v>
          </cell>
          <cell r="D10" t="str">
            <v>제조임율-52</v>
          </cell>
          <cell r="G10">
            <v>79648</v>
          </cell>
        </row>
        <row r="11">
          <cell r="B11" t="str">
            <v>도장원(취부)</v>
          </cell>
          <cell r="C11">
            <v>87760</v>
          </cell>
          <cell r="D11" t="str">
            <v>제조임율-55</v>
          </cell>
          <cell r="G11">
            <v>87760</v>
          </cell>
        </row>
        <row r="12">
          <cell r="B12" t="str">
            <v>단순노무종사원</v>
          </cell>
          <cell r="C12">
            <v>71837</v>
          </cell>
          <cell r="D12" t="str">
            <v>제조임율-135</v>
          </cell>
          <cell r="G12">
            <v>71837</v>
          </cell>
        </row>
        <row r="13">
          <cell r="B13" t="str">
            <v>작업반장</v>
          </cell>
          <cell r="C13">
            <v>145013</v>
          </cell>
          <cell r="D13" t="str">
            <v>건설노임-1001</v>
          </cell>
          <cell r="G13">
            <v>145013</v>
          </cell>
        </row>
        <row r="14">
          <cell r="B14" t="str">
            <v>보통인부</v>
          </cell>
          <cell r="C14">
            <v>118130</v>
          </cell>
          <cell r="D14" t="str">
            <v>건설노임-1002</v>
          </cell>
          <cell r="G14">
            <v>118130</v>
          </cell>
        </row>
        <row r="15">
          <cell r="B15" t="str">
            <v>특별인부</v>
          </cell>
          <cell r="C15">
            <v>141507</v>
          </cell>
          <cell r="D15" t="str">
            <v>건설노임-1003</v>
          </cell>
          <cell r="G15">
            <v>141507</v>
          </cell>
        </row>
        <row r="16">
          <cell r="B16" t="str">
            <v>비계공</v>
          </cell>
          <cell r="C16">
            <v>208195</v>
          </cell>
          <cell r="D16" t="str">
            <v>건설노임-1006</v>
          </cell>
          <cell r="G16">
            <v>208195</v>
          </cell>
        </row>
        <row r="17">
          <cell r="B17" t="str">
            <v>철공</v>
          </cell>
          <cell r="C17">
            <v>177994</v>
          </cell>
          <cell r="D17" t="str">
            <v>건설노임-1009</v>
          </cell>
          <cell r="G17">
            <v>177994</v>
          </cell>
        </row>
        <row r="18">
          <cell r="B18" t="str">
            <v>용접공</v>
          </cell>
          <cell r="C18">
            <v>180350</v>
          </cell>
          <cell r="D18" t="str">
            <v>건설노임-1012</v>
          </cell>
          <cell r="G18">
            <v>180350</v>
          </cell>
        </row>
        <row r="19">
          <cell r="B19" t="str">
            <v>건축목공</v>
          </cell>
          <cell r="C19">
            <v>188225</v>
          </cell>
          <cell r="D19" t="str">
            <v>건설노임-1023</v>
          </cell>
          <cell r="G19">
            <v>188225</v>
          </cell>
        </row>
        <row r="20">
          <cell r="B20" t="str">
            <v>유리공</v>
          </cell>
          <cell r="C20">
            <v>167287</v>
          </cell>
          <cell r="D20" t="str">
            <v>건설노임-1025</v>
          </cell>
          <cell r="G20">
            <v>167287</v>
          </cell>
        </row>
        <row r="21">
          <cell r="B21" t="str">
            <v>도장공</v>
          </cell>
          <cell r="C21">
            <v>174277</v>
          </cell>
          <cell r="D21" t="str">
            <v>건설노임-1029</v>
          </cell>
          <cell r="G21">
            <v>174277</v>
          </cell>
        </row>
        <row r="22">
          <cell r="B22" t="str">
            <v>내장공</v>
          </cell>
          <cell r="C22">
            <v>177322</v>
          </cell>
          <cell r="D22" t="str">
            <v>건설노임-1030</v>
          </cell>
          <cell r="G22">
            <v>177322</v>
          </cell>
        </row>
        <row r="23">
          <cell r="B23" t="str">
            <v>도배공</v>
          </cell>
          <cell r="C23">
            <v>157719</v>
          </cell>
          <cell r="D23" t="str">
            <v>건설노임-1031</v>
          </cell>
          <cell r="G23">
            <v>157719</v>
          </cell>
        </row>
        <row r="24">
          <cell r="B24" t="str">
            <v>내선전공</v>
          </cell>
          <cell r="C24">
            <v>212226</v>
          </cell>
          <cell r="D24" t="str">
            <v>건설노임-1075</v>
          </cell>
          <cell r="G24">
            <v>212226</v>
          </cell>
        </row>
        <row r="25">
          <cell r="B25" t="str">
            <v>통신설비공</v>
          </cell>
          <cell r="C25">
            <v>219053</v>
          </cell>
          <cell r="D25" t="str">
            <v>건설노임-1087</v>
          </cell>
          <cell r="G25">
            <v>219053</v>
          </cell>
        </row>
        <row r="26">
          <cell r="B26" t="str">
            <v>코킹공</v>
          </cell>
          <cell r="C26">
            <v>163904</v>
          </cell>
          <cell r="D26" t="str">
            <v>건설노임-5007</v>
          </cell>
          <cell r="G26">
            <v>163904</v>
          </cell>
        </row>
      </sheetData>
      <sheetData sheetId="10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내역추가금액"/>
      <sheetName val="견적서"/>
      <sheetName val="제조원가"/>
      <sheetName val="내역서"/>
      <sheetName val="산출"/>
      <sheetName val="일위목록"/>
      <sheetName val="일위대가"/>
      <sheetName val="단가"/>
      <sheetName val="제조임율"/>
      <sheetName val="건설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직종별</v>
          </cell>
          <cell r="C3" t="str">
            <v>2017년 상반기노임(2017년1월1일공표)</v>
          </cell>
          <cell r="D3" t="str">
            <v>낙찰율%</v>
          </cell>
          <cell r="E3" t="str">
            <v>비 고</v>
          </cell>
          <cell r="F3">
            <v>0</v>
          </cell>
        </row>
        <row r="4">
          <cell r="B4">
            <v>0</v>
          </cell>
          <cell r="C4">
            <v>0</v>
          </cell>
          <cell r="D4">
            <v>1</v>
          </cell>
          <cell r="E4">
            <v>0</v>
          </cell>
        </row>
        <row r="5">
          <cell r="B5" t="str">
            <v>작업반장</v>
          </cell>
          <cell r="C5">
            <v>128126</v>
          </cell>
          <cell r="D5">
            <v>128126</v>
          </cell>
          <cell r="E5">
            <v>0</v>
          </cell>
          <cell r="F5" t="str">
            <v>건설노임-1</v>
          </cell>
        </row>
        <row r="6">
          <cell r="B6" t="str">
            <v>보통인부</v>
          </cell>
          <cell r="C6">
            <v>102628</v>
          </cell>
          <cell r="D6">
            <v>102628</v>
          </cell>
          <cell r="E6">
            <v>0</v>
          </cell>
          <cell r="F6" t="str">
            <v>건설노임-2</v>
          </cell>
        </row>
        <row r="7">
          <cell r="B7" t="str">
            <v>특별인부</v>
          </cell>
          <cell r="C7">
            <v>123074</v>
          </cell>
          <cell r="D7">
            <v>123074</v>
          </cell>
          <cell r="E7">
            <v>0</v>
          </cell>
          <cell r="F7" t="str">
            <v>건설노임-3</v>
          </cell>
        </row>
        <row r="8">
          <cell r="B8" t="str">
            <v>조력공</v>
          </cell>
          <cell r="C8">
            <v>112847</v>
          </cell>
          <cell r="D8">
            <v>112847</v>
          </cell>
          <cell r="E8">
            <v>0</v>
          </cell>
          <cell r="F8" t="str">
            <v>건설노임-4</v>
          </cell>
        </row>
        <row r="9">
          <cell r="B9" t="str">
            <v>제도사</v>
          </cell>
          <cell r="C9">
            <v>132819</v>
          </cell>
          <cell r="D9">
            <v>132819</v>
          </cell>
          <cell r="E9">
            <v>0</v>
          </cell>
          <cell r="F9" t="str">
            <v>건설노임-5</v>
          </cell>
        </row>
        <row r="10">
          <cell r="B10" t="str">
            <v>비계공</v>
          </cell>
          <cell r="C10">
            <v>180153</v>
          </cell>
          <cell r="D10">
            <v>180153</v>
          </cell>
          <cell r="E10">
            <v>0</v>
          </cell>
          <cell r="F10" t="str">
            <v>건설노임-6</v>
          </cell>
        </row>
        <row r="11">
          <cell r="B11" t="str">
            <v>형틀목공</v>
          </cell>
          <cell r="C11">
            <v>174036</v>
          </cell>
          <cell r="D11">
            <v>174036</v>
          </cell>
          <cell r="E11">
            <v>0</v>
          </cell>
          <cell r="F11" t="str">
            <v>건설노임-7</v>
          </cell>
        </row>
        <row r="12">
          <cell r="B12" t="str">
            <v>철근공</v>
          </cell>
          <cell r="C12">
            <v>170033</v>
          </cell>
          <cell r="D12">
            <v>170033</v>
          </cell>
          <cell r="E12">
            <v>0</v>
          </cell>
          <cell r="F12" t="str">
            <v>건설노임-8</v>
          </cell>
        </row>
        <row r="13">
          <cell r="B13" t="str">
            <v>철공</v>
          </cell>
          <cell r="C13">
            <v>156492</v>
          </cell>
          <cell r="D13">
            <v>156492</v>
          </cell>
          <cell r="E13">
            <v>0</v>
          </cell>
          <cell r="F13" t="str">
            <v>건설노임-9</v>
          </cell>
        </row>
        <row r="14">
          <cell r="B14" t="str">
            <v>철판공</v>
          </cell>
          <cell r="C14">
            <v>143643</v>
          </cell>
          <cell r="D14">
            <v>143643</v>
          </cell>
          <cell r="E14">
            <v>0</v>
          </cell>
          <cell r="F14" t="str">
            <v>건설노임-10</v>
          </cell>
        </row>
        <row r="15">
          <cell r="B15" t="str">
            <v>철골공</v>
          </cell>
          <cell r="C15">
            <v>156660</v>
          </cell>
          <cell r="D15">
            <v>156660</v>
          </cell>
          <cell r="E15">
            <v>0</v>
          </cell>
          <cell r="F15" t="str">
            <v>건설노임-11</v>
          </cell>
        </row>
        <row r="16">
          <cell r="B16" t="str">
            <v>용접공</v>
          </cell>
          <cell r="C16">
            <v>157183</v>
          </cell>
          <cell r="D16">
            <v>157183</v>
          </cell>
          <cell r="E16">
            <v>0</v>
          </cell>
          <cell r="F16" t="str">
            <v>건설노임-12</v>
          </cell>
        </row>
        <row r="17">
          <cell r="B17" t="str">
            <v>콘크리트공</v>
          </cell>
          <cell r="C17">
            <v>161530</v>
          </cell>
          <cell r="D17">
            <v>161530</v>
          </cell>
          <cell r="E17">
            <v>0</v>
          </cell>
          <cell r="F17" t="str">
            <v>건설노임-13</v>
          </cell>
        </row>
        <row r="18">
          <cell r="B18" t="str">
            <v>보링공</v>
          </cell>
          <cell r="C18">
            <v>131456</v>
          </cell>
          <cell r="D18">
            <v>131456</v>
          </cell>
          <cell r="E18">
            <v>0</v>
          </cell>
          <cell r="F18" t="str">
            <v>건설노임-14</v>
          </cell>
        </row>
        <row r="19">
          <cell r="B19" t="str">
            <v>착암공</v>
          </cell>
          <cell r="C19">
            <v>122918</v>
          </cell>
          <cell r="D19">
            <v>122918</v>
          </cell>
          <cell r="E19">
            <v>0</v>
          </cell>
          <cell r="F19" t="str">
            <v>건설노임-15</v>
          </cell>
        </row>
        <row r="20">
          <cell r="B20" t="str">
            <v>화약취급공</v>
          </cell>
          <cell r="C20">
            <v>157414</v>
          </cell>
          <cell r="D20">
            <v>157414</v>
          </cell>
          <cell r="E20">
            <v>0</v>
          </cell>
          <cell r="F20" t="str">
            <v>건설노임-16</v>
          </cell>
        </row>
        <row r="21">
          <cell r="B21" t="str">
            <v>할석공</v>
          </cell>
          <cell r="C21">
            <v>139420</v>
          </cell>
          <cell r="D21">
            <v>139420</v>
          </cell>
          <cell r="E21">
            <v>0</v>
          </cell>
          <cell r="F21" t="str">
            <v>건설노임-17</v>
          </cell>
        </row>
        <row r="22">
          <cell r="B22" t="str">
            <v>포설공</v>
          </cell>
          <cell r="C22">
            <v>119124</v>
          </cell>
          <cell r="D22">
            <v>119124</v>
          </cell>
          <cell r="E22">
            <v>0</v>
          </cell>
          <cell r="F22" t="str">
            <v>건설노임-18</v>
          </cell>
        </row>
        <row r="23">
          <cell r="B23" t="str">
            <v>포장공</v>
          </cell>
          <cell r="C23">
            <v>141226</v>
          </cell>
          <cell r="D23">
            <v>141226</v>
          </cell>
          <cell r="E23">
            <v>0</v>
          </cell>
          <cell r="F23" t="str">
            <v>건설노임-19</v>
          </cell>
        </row>
        <row r="24">
          <cell r="B24" t="str">
            <v>잠수부</v>
          </cell>
          <cell r="C24">
            <v>228347</v>
          </cell>
          <cell r="D24">
            <v>228347</v>
          </cell>
          <cell r="E24">
            <v>0</v>
          </cell>
          <cell r="F24" t="str">
            <v>건설노임-20</v>
          </cell>
        </row>
        <row r="25">
          <cell r="B25" t="str">
            <v>조적공</v>
          </cell>
          <cell r="C25">
            <v>148121</v>
          </cell>
          <cell r="D25">
            <v>148121</v>
          </cell>
          <cell r="E25">
            <v>0</v>
          </cell>
          <cell r="F25" t="str">
            <v>건설노임-21</v>
          </cell>
        </row>
        <row r="26">
          <cell r="B26" t="str">
            <v>견출공</v>
          </cell>
          <cell r="C26">
            <v>146052</v>
          </cell>
          <cell r="D26">
            <v>146052</v>
          </cell>
          <cell r="E26">
            <v>0</v>
          </cell>
          <cell r="F26" t="str">
            <v>건설노임-22</v>
          </cell>
        </row>
        <row r="27">
          <cell r="B27" t="str">
            <v>건축목공</v>
          </cell>
          <cell r="C27">
            <v>163377</v>
          </cell>
          <cell r="D27">
            <v>163377</v>
          </cell>
          <cell r="E27">
            <v>0</v>
          </cell>
          <cell r="F27" t="str">
            <v>건설노임-23</v>
          </cell>
        </row>
        <row r="28">
          <cell r="B28" t="str">
            <v>창호공</v>
          </cell>
          <cell r="C28">
            <v>151907</v>
          </cell>
          <cell r="D28">
            <v>151907</v>
          </cell>
          <cell r="E28">
            <v>0</v>
          </cell>
          <cell r="F28" t="str">
            <v>건설노임-24</v>
          </cell>
        </row>
        <row r="29">
          <cell r="B29" t="str">
            <v>유리공</v>
          </cell>
          <cell r="C29">
            <v>143608</v>
          </cell>
          <cell r="D29">
            <v>143608</v>
          </cell>
          <cell r="E29">
            <v>0</v>
          </cell>
          <cell r="F29" t="str">
            <v>건설노임-25</v>
          </cell>
        </row>
        <row r="30">
          <cell r="B30" t="str">
            <v>방수공</v>
          </cell>
          <cell r="C30">
            <v>120907</v>
          </cell>
          <cell r="D30">
            <v>120907</v>
          </cell>
          <cell r="E30">
            <v>0</v>
          </cell>
          <cell r="F30" t="str">
            <v>건설노임-26</v>
          </cell>
        </row>
        <row r="31">
          <cell r="B31" t="str">
            <v>미장공</v>
          </cell>
          <cell r="C31">
            <v>162424</v>
          </cell>
          <cell r="D31">
            <v>162424</v>
          </cell>
          <cell r="E31">
            <v>0</v>
          </cell>
          <cell r="F31" t="str">
            <v>건설노임-27</v>
          </cell>
        </row>
        <row r="32">
          <cell r="B32" t="str">
            <v>타일공</v>
          </cell>
          <cell r="C32">
            <v>159509</v>
          </cell>
          <cell r="D32">
            <v>159509</v>
          </cell>
          <cell r="E32">
            <v>0</v>
          </cell>
          <cell r="F32" t="str">
            <v>건설노임-28</v>
          </cell>
        </row>
        <row r="33">
          <cell r="B33" t="str">
            <v>도장공</v>
          </cell>
          <cell r="C33">
            <v>141733</v>
          </cell>
          <cell r="D33">
            <v>141733</v>
          </cell>
          <cell r="E33">
            <v>0</v>
          </cell>
          <cell r="F33" t="str">
            <v>건설노임-29</v>
          </cell>
        </row>
        <row r="34">
          <cell r="B34" t="str">
            <v>내장공</v>
          </cell>
          <cell r="C34">
            <v>154536</v>
          </cell>
          <cell r="D34">
            <v>154536</v>
          </cell>
          <cell r="E34">
            <v>0</v>
          </cell>
          <cell r="F34" t="str">
            <v>건설노임-30</v>
          </cell>
        </row>
        <row r="35">
          <cell r="B35" t="str">
            <v>도배공</v>
          </cell>
          <cell r="C35">
            <v>133325</v>
          </cell>
          <cell r="D35">
            <v>133325</v>
          </cell>
          <cell r="E35">
            <v>0</v>
          </cell>
          <cell r="F35" t="str">
            <v>건설노임-31</v>
          </cell>
        </row>
        <row r="36">
          <cell r="B36" t="str">
            <v>연마공</v>
          </cell>
          <cell r="C36">
            <v>129000</v>
          </cell>
          <cell r="D36">
            <v>129000</v>
          </cell>
          <cell r="E36">
            <v>0</v>
          </cell>
          <cell r="F36" t="str">
            <v>건설노임-32</v>
          </cell>
        </row>
        <row r="37">
          <cell r="B37" t="str">
            <v>석공</v>
          </cell>
          <cell r="C37">
            <v>162796</v>
          </cell>
          <cell r="D37">
            <v>162796</v>
          </cell>
          <cell r="E37">
            <v>0</v>
          </cell>
          <cell r="F37" t="str">
            <v>건설노임-33</v>
          </cell>
        </row>
        <row r="38">
          <cell r="B38" t="str">
            <v>줄눈공</v>
          </cell>
          <cell r="C38">
            <v>121906</v>
          </cell>
          <cell r="D38">
            <v>121906</v>
          </cell>
          <cell r="E38">
            <v>0</v>
          </cell>
          <cell r="F38" t="str">
            <v>건설노임-34</v>
          </cell>
        </row>
        <row r="39">
          <cell r="B39" t="str">
            <v>판넬조립공</v>
          </cell>
          <cell r="C39">
            <v>141394</v>
          </cell>
          <cell r="D39">
            <v>141394</v>
          </cell>
          <cell r="E39">
            <v>0</v>
          </cell>
          <cell r="F39" t="str">
            <v>건설노임-35</v>
          </cell>
        </row>
        <row r="40">
          <cell r="B40" t="str">
            <v>지붕잇기공</v>
          </cell>
          <cell r="C40">
            <v>144009</v>
          </cell>
          <cell r="D40">
            <v>144009</v>
          </cell>
          <cell r="E40">
            <v>0</v>
          </cell>
          <cell r="F40" t="str">
            <v>건설노임-36</v>
          </cell>
        </row>
        <row r="41">
          <cell r="B41" t="str">
            <v>벌목부</v>
          </cell>
          <cell r="C41">
            <v>144976</v>
          </cell>
          <cell r="D41">
            <v>144976</v>
          </cell>
          <cell r="E41">
            <v>0</v>
          </cell>
          <cell r="F41" t="str">
            <v>건설노임-37</v>
          </cell>
        </row>
        <row r="42">
          <cell r="B42" t="str">
            <v>조경공</v>
          </cell>
          <cell r="C42">
            <v>143852</v>
          </cell>
          <cell r="D42">
            <v>143852</v>
          </cell>
          <cell r="E42">
            <v>0</v>
          </cell>
          <cell r="F42" t="str">
            <v>건설노임-38</v>
          </cell>
        </row>
        <row r="43">
          <cell r="B43" t="str">
            <v>배관공</v>
          </cell>
          <cell r="C43">
            <v>137910</v>
          </cell>
          <cell r="D43">
            <v>137910</v>
          </cell>
          <cell r="E43">
            <v>0</v>
          </cell>
          <cell r="F43" t="str">
            <v>건설노임-39</v>
          </cell>
        </row>
        <row r="44">
          <cell r="B44" t="str">
            <v>배관공(수도)</v>
          </cell>
          <cell r="C44">
            <v>149515</v>
          </cell>
          <cell r="D44">
            <v>149515</v>
          </cell>
          <cell r="E44">
            <v>0</v>
          </cell>
          <cell r="F44" t="str">
            <v>건설노임-40</v>
          </cell>
        </row>
        <row r="45">
          <cell r="B45" t="str">
            <v>보일러공</v>
          </cell>
          <cell r="C45">
            <v>136450</v>
          </cell>
          <cell r="D45">
            <v>136450</v>
          </cell>
          <cell r="E45">
            <v>0</v>
          </cell>
          <cell r="F45" t="str">
            <v>건설노임-41</v>
          </cell>
        </row>
        <row r="46">
          <cell r="B46" t="str">
            <v>위생공</v>
          </cell>
          <cell r="C46">
            <v>131450</v>
          </cell>
          <cell r="D46">
            <v>131450</v>
          </cell>
          <cell r="E46">
            <v>0</v>
          </cell>
          <cell r="F46" t="str">
            <v>건설노임-42</v>
          </cell>
        </row>
        <row r="47">
          <cell r="B47" t="str">
            <v>덕트공</v>
          </cell>
          <cell r="C47">
            <v>126874</v>
          </cell>
          <cell r="D47">
            <v>126874</v>
          </cell>
          <cell r="E47">
            <v>0</v>
          </cell>
          <cell r="F47" t="str">
            <v>건설노임-43</v>
          </cell>
        </row>
        <row r="48">
          <cell r="B48" t="str">
            <v>보온공</v>
          </cell>
          <cell r="C48">
            <v>123274</v>
          </cell>
          <cell r="D48">
            <v>123274</v>
          </cell>
          <cell r="E48">
            <v>0</v>
          </cell>
          <cell r="F48" t="str">
            <v>건설노임-44</v>
          </cell>
        </row>
        <row r="49">
          <cell r="B49" t="str">
            <v>인력운반공</v>
          </cell>
          <cell r="C49">
            <v>113766</v>
          </cell>
          <cell r="D49">
            <v>113766</v>
          </cell>
          <cell r="E49">
            <v>0</v>
          </cell>
          <cell r="F49" t="str">
            <v>건설노임-45</v>
          </cell>
        </row>
        <row r="50">
          <cell r="B50" t="str">
            <v>궤도공</v>
          </cell>
          <cell r="C50">
            <v>121380</v>
          </cell>
          <cell r="D50">
            <v>121380</v>
          </cell>
          <cell r="E50">
            <v>0</v>
          </cell>
          <cell r="F50" t="str">
            <v>건설노임-46</v>
          </cell>
        </row>
        <row r="51">
          <cell r="B51" t="str">
            <v>건설기계조장</v>
          </cell>
          <cell r="C51">
            <v>126645</v>
          </cell>
          <cell r="D51">
            <v>126645</v>
          </cell>
          <cell r="E51">
            <v>0</v>
          </cell>
          <cell r="F51" t="str">
            <v>건설노임-47</v>
          </cell>
        </row>
        <row r="52">
          <cell r="B52" t="str">
            <v>건설기계운전사</v>
          </cell>
          <cell r="C52">
            <v>148613</v>
          </cell>
          <cell r="D52">
            <v>148613</v>
          </cell>
          <cell r="E52">
            <v>0</v>
          </cell>
          <cell r="F52" t="str">
            <v>건설노임-48</v>
          </cell>
        </row>
        <row r="53">
          <cell r="B53" t="str">
            <v>화물차운전사</v>
          </cell>
          <cell r="C53">
            <v>128673</v>
          </cell>
          <cell r="D53">
            <v>128673</v>
          </cell>
          <cell r="E53">
            <v>0</v>
          </cell>
          <cell r="F53" t="str">
            <v>건설노임-49</v>
          </cell>
        </row>
        <row r="54">
          <cell r="B54" t="str">
            <v>일반기계운전사</v>
          </cell>
          <cell r="C54">
            <v>106400</v>
          </cell>
          <cell r="D54">
            <v>106400</v>
          </cell>
          <cell r="E54">
            <v>0</v>
          </cell>
          <cell r="F54" t="str">
            <v>건설노임-50</v>
          </cell>
        </row>
        <row r="55">
          <cell r="B55" t="str">
            <v>기계설비공</v>
          </cell>
          <cell r="C55">
            <v>135407</v>
          </cell>
          <cell r="D55">
            <v>135407</v>
          </cell>
          <cell r="E55">
            <v>0</v>
          </cell>
          <cell r="F55" t="str">
            <v>건설노임-51</v>
          </cell>
        </row>
        <row r="56">
          <cell r="B56" t="str">
            <v>준설선선장</v>
          </cell>
          <cell r="C56">
            <v>131924</v>
          </cell>
          <cell r="D56">
            <v>131924</v>
          </cell>
          <cell r="E56">
            <v>0</v>
          </cell>
          <cell r="F56" t="str">
            <v>건설노임-52</v>
          </cell>
        </row>
        <row r="57">
          <cell r="B57" t="str">
            <v>준설선기관사</v>
          </cell>
          <cell r="C57">
            <v>125150</v>
          </cell>
          <cell r="D57">
            <v>125150</v>
          </cell>
          <cell r="E57">
            <v>0</v>
          </cell>
          <cell r="F57" t="str">
            <v>건설노임-53</v>
          </cell>
        </row>
        <row r="58">
          <cell r="B58" t="str">
            <v>준설선운전사</v>
          </cell>
          <cell r="C58">
            <v>112007</v>
          </cell>
          <cell r="D58">
            <v>112007</v>
          </cell>
          <cell r="E58">
            <v>0</v>
          </cell>
          <cell r="F58" t="str">
            <v>건설노임-54</v>
          </cell>
        </row>
        <row r="59">
          <cell r="B59" t="str">
            <v>선원</v>
          </cell>
          <cell r="C59">
            <v>110424</v>
          </cell>
          <cell r="D59">
            <v>110424</v>
          </cell>
          <cell r="E59">
            <v>0</v>
          </cell>
          <cell r="F59" t="str">
            <v>건설노임-55</v>
          </cell>
        </row>
        <row r="60">
          <cell r="B60" t="str">
            <v>플랜트배관공</v>
          </cell>
          <cell r="C60">
            <v>236621</v>
          </cell>
          <cell r="D60">
            <v>236621</v>
          </cell>
          <cell r="E60">
            <v>0</v>
          </cell>
          <cell r="F60" t="str">
            <v>건설노임-56</v>
          </cell>
        </row>
        <row r="61">
          <cell r="B61" t="str">
            <v>플랜트제관공</v>
          </cell>
          <cell r="C61">
            <v>194858</v>
          </cell>
          <cell r="D61">
            <v>194858</v>
          </cell>
          <cell r="E61">
            <v>0</v>
          </cell>
          <cell r="F61" t="str">
            <v>건설노임-57</v>
          </cell>
        </row>
        <row r="62">
          <cell r="B62" t="str">
            <v>플랜트용접공</v>
          </cell>
          <cell r="C62">
            <v>221554</v>
          </cell>
          <cell r="D62">
            <v>221554</v>
          </cell>
          <cell r="E62">
            <v>0</v>
          </cell>
          <cell r="F62" t="str">
            <v>건설노임-58</v>
          </cell>
        </row>
        <row r="63">
          <cell r="B63" t="str">
            <v>플랜트특수용접공</v>
          </cell>
          <cell r="C63">
            <v>238468</v>
          </cell>
          <cell r="D63">
            <v>238468</v>
          </cell>
          <cell r="E63">
            <v>0</v>
          </cell>
          <cell r="F63" t="str">
            <v>건설노임-59</v>
          </cell>
        </row>
        <row r="64">
          <cell r="B64" t="str">
            <v>플랜트기계설치공</v>
          </cell>
          <cell r="C64">
            <v>216166</v>
          </cell>
          <cell r="D64">
            <v>216166</v>
          </cell>
          <cell r="E64">
            <v>0</v>
          </cell>
          <cell r="F64" t="str">
            <v>건설노임-60</v>
          </cell>
        </row>
        <row r="65">
          <cell r="B65" t="str">
            <v>플랜트특별인부</v>
          </cell>
          <cell r="C65">
            <v>150555</v>
          </cell>
          <cell r="D65">
            <v>150555</v>
          </cell>
          <cell r="E65">
            <v>0</v>
          </cell>
          <cell r="F65" t="str">
            <v>건설노임-61</v>
          </cell>
        </row>
        <row r="66">
          <cell r="B66" t="str">
            <v>플랜트케이블전공</v>
          </cell>
          <cell r="C66">
            <v>239501</v>
          </cell>
          <cell r="D66">
            <v>239501</v>
          </cell>
          <cell r="E66">
            <v>0</v>
          </cell>
          <cell r="F66" t="str">
            <v>건설노임-62</v>
          </cell>
        </row>
        <row r="67">
          <cell r="B67" t="str">
            <v>플랜트계장공</v>
          </cell>
          <cell r="C67">
            <v>167787</v>
          </cell>
          <cell r="D67">
            <v>167787</v>
          </cell>
          <cell r="E67">
            <v>0</v>
          </cell>
          <cell r="F67" t="str">
            <v>건설노임-63</v>
          </cell>
        </row>
        <row r="68">
          <cell r="B68" t="str">
            <v>플랜트덕트공</v>
          </cell>
          <cell r="C68">
            <v>152204</v>
          </cell>
          <cell r="D68">
            <v>152204</v>
          </cell>
          <cell r="E68">
            <v>0</v>
          </cell>
          <cell r="F68" t="str">
            <v>건설노임-64</v>
          </cell>
        </row>
        <row r="69">
          <cell r="B69" t="str">
            <v>플랜트보온공</v>
          </cell>
          <cell r="C69">
            <v>209797</v>
          </cell>
          <cell r="D69">
            <v>209797</v>
          </cell>
          <cell r="E69">
            <v>0</v>
          </cell>
          <cell r="F69" t="str">
            <v>건설노임-65</v>
          </cell>
        </row>
        <row r="70">
          <cell r="B70" t="str">
            <v>제철축로공</v>
          </cell>
          <cell r="C70">
            <v>233372</v>
          </cell>
          <cell r="D70">
            <v>233372</v>
          </cell>
          <cell r="E70">
            <v>0</v>
          </cell>
          <cell r="F70" t="str">
            <v>건설노임-66</v>
          </cell>
        </row>
        <row r="71">
          <cell r="B71" t="str">
            <v>비파괴시험공</v>
          </cell>
          <cell r="C71">
            <v>236018</v>
          </cell>
          <cell r="D71">
            <v>236018</v>
          </cell>
          <cell r="E71">
            <v>0</v>
          </cell>
          <cell r="F71" t="str">
            <v>건설노임-67</v>
          </cell>
        </row>
        <row r="72">
          <cell r="B72" t="str">
            <v>특급품질관리원</v>
          </cell>
          <cell r="C72">
            <v>151429</v>
          </cell>
          <cell r="D72">
            <v>151429</v>
          </cell>
          <cell r="E72">
            <v>0</v>
          </cell>
          <cell r="F72" t="str">
            <v>건설노임-68</v>
          </cell>
        </row>
        <row r="73">
          <cell r="B73" t="str">
            <v>고급품질관리원</v>
          </cell>
          <cell r="C73">
            <v>134065</v>
          </cell>
          <cell r="D73">
            <v>134065</v>
          </cell>
          <cell r="E73">
            <v>0</v>
          </cell>
          <cell r="F73" t="str">
            <v>건설노임-69</v>
          </cell>
        </row>
        <row r="74">
          <cell r="B74" t="str">
            <v>중급품질관리원</v>
          </cell>
          <cell r="C74">
            <v>122121</v>
          </cell>
          <cell r="D74">
            <v>122121</v>
          </cell>
          <cell r="E74">
            <v>0</v>
          </cell>
          <cell r="F74" t="str">
            <v>건설노임-70</v>
          </cell>
        </row>
        <row r="75">
          <cell r="B75" t="str">
            <v>초급품질관리원</v>
          </cell>
          <cell r="C75">
            <v>110011</v>
          </cell>
          <cell r="D75">
            <v>110011</v>
          </cell>
          <cell r="E75">
            <v>0</v>
          </cell>
          <cell r="F75" t="str">
            <v>건설노임-71</v>
          </cell>
        </row>
        <row r="76">
          <cell r="B76" t="str">
            <v>지적기사</v>
          </cell>
          <cell r="C76">
            <v>223382</v>
          </cell>
          <cell r="D76">
            <v>223382</v>
          </cell>
          <cell r="E76">
            <v>0</v>
          </cell>
          <cell r="F76" t="str">
            <v>건설노임-72</v>
          </cell>
        </row>
        <row r="77">
          <cell r="B77" t="str">
            <v>지적산업기사</v>
          </cell>
          <cell r="C77">
            <v>192665</v>
          </cell>
          <cell r="D77">
            <v>192665</v>
          </cell>
          <cell r="E77">
            <v>0</v>
          </cell>
          <cell r="F77" t="str">
            <v>건설노임-73</v>
          </cell>
        </row>
        <row r="78">
          <cell r="B78" t="str">
            <v>지적기능사</v>
          </cell>
          <cell r="C78">
            <v>169586</v>
          </cell>
          <cell r="D78">
            <v>169586</v>
          </cell>
          <cell r="E78">
            <v>0</v>
          </cell>
          <cell r="F78" t="str">
            <v>건설노임-74</v>
          </cell>
        </row>
        <row r="79">
          <cell r="B79" t="str">
            <v>내선전공</v>
          </cell>
          <cell r="C79">
            <v>185611</v>
          </cell>
          <cell r="D79">
            <v>185611</v>
          </cell>
          <cell r="E79">
            <v>0</v>
          </cell>
          <cell r="F79" t="str">
            <v>건설노임-75</v>
          </cell>
        </row>
        <row r="80">
          <cell r="B80" t="str">
            <v>특고압케이블전공</v>
          </cell>
          <cell r="C80">
            <v>268590</v>
          </cell>
          <cell r="D80">
            <v>268590</v>
          </cell>
          <cell r="E80">
            <v>0</v>
          </cell>
          <cell r="F80" t="str">
            <v>건설노임-76</v>
          </cell>
        </row>
        <row r="81">
          <cell r="B81" t="str">
            <v>고압케이블전공</v>
          </cell>
          <cell r="C81">
            <v>249846</v>
          </cell>
          <cell r="D81">
            <v>249846</v>
          </cell>
          <cell r="E81">
            <v>0</v>
          </cell>
          <cell r="F81" t="str">
            <v>건설노임-77</v>
          </cell>
        </row>
        <row r="82">
          <cell r="B82" t="str">
            <v>저압케이블전공</v>
          </cell>
          <cell r="C82">
            <v>200964</v>
          </cell>
          <cell r="D82">
            <v>200964</v>
          </cell>
          <cell r="E82">
            <v>0</v>
          </cell>
          <cell r="F82" t="str">
            <v>건설노임-78</v>
          </cell>
        </row>
        <row r="83">
          <cell r="B83" t="str">
            <v>송전전공</v>
          </cell>
          <cell r="C83">
            <v>366921</v>
          </cell>
          <cell r="D83">
            <v>366921</v>
          </cell>
          <cell r="E83">
            <v>0</v>
          </cell>
          <cell r="F83" t="str">
            <v>건설노임-79</v>
          </cell>
        </row>
        <row r="84">
          <cell r="B84" t="str">
            <v>송전활선전공</v>
          </cell>
          <cell r="C84">
            <v>397543</v>
          </cell>
          <cell r="D84">
            <v>397543</v>
          </cell>
          <cell r="E84">
            <v>0</v>
          </cell>
          <cell r="F84" t="str">
            <v>건설노임-80</v>
          </cell>
        </row>
        <row r="85">
          <cell r="B85" t="str">
            <v>배전전공</v>
          </cell>
          <cell r="C85">
            <v>304689</v>
          </cell>
          <cell r="D85">
            <v>304689</v>
          </cell>
          <cell r="E85">
            <v>0</v>
          </cell>
          <cell r="F85" t="str">
            <v>건설노임-81</v>
          </cell>
        </row>
        <row r="86">
          <cell r="B86" t="str">
            <v>배전활선전공</v>
          </cell>
          <cell r="C86">
            <v>387463</v>
          </cell>
          <cell r="D86">
            <v>387463</v>
          </cell>
          <cell r="E86">
            <v>0</v>
          </cell>
          <cell r="F86" t="str">
            <v>건설노임-82</v>
          </cell>
        </row>
        <row r="87">
          <cell r="B87" t="str">
            <v>플랜트전공</v>
          </cell>
          <cell r="C87">
            <v>184766</v>
          </cell>
          <cell r="D87">
            <v>184766</v>
          </cell>
          <cell r="E87">
            <v>0</v>
          </cell>
          <cell r="F87" t="str">
            <v>건설노임-83</v>
          </cell>
        </row>
        <row r="88">
          <cell r="B88" t="str">
            <v>계장공</v>
          </cell>
          <cell r="C88">
            <v>183803</v>
          </cell>
          <cell r="D88">
            <v>183803</v>
          </cell>
          <cell r="E88">
            <v>0</v>
          </cell>
          <cell r="F88" t="str">
            <v>건설노임-84</v>
          </cell>
        </row>
        <row r="89">
          <cell r="B89" t="str">
            <v>철도신호공</v>
          </cell>
          <cell r="C89">
            <v>207768</v>
          </cell>
          <cell r="D89">
            <v>207768</v>
          </cell>
          <cell r="E89">
            <v>0</v>
          </cell>
          <cell r="F89" t="str">
            <v>건설노임-85</v>
          </cell>
        </row>
        <row r="90">
          <cell r="B90" t="str">
            <v>통신내선공</v>
          </cell>
          <cell r="C90">
            <v>174758</v>
          </cell>
          <cell r="D90">
            <v>174758</v>
          </cell>
          <cell r="E90">
            <v>0</v>
          </cell>
          <cell r="F90" t="str">
            <v>건설노임-86</v>
          </cell>
        </row>
        <row r="91">
          <cell r="B91" t="str">
            <v>통신설비공</v>
          </cell>
          <cell r="C91">
            <v>184999</v>
          </cell>
          <cell r="D91">
            <v>184999</v>
          </cell>
          <cell r="E91">
            <v>0</v>
          </cell>
          <cell r="F91" t="str">
            <v>건설노임-87</v>
          </cell>
        </row>
        <row r="92">
          <cell r="B92" t="str">
            <v>통신외선공</v>
          </cell>
          <cell r="C92">
            <v>236760</v>
          </cell>
          <cell r="D92">
            <v>236760</v>
          </cell>
          <cell r="E92">
            <v>0</v>
          </cell>
          <cell r="F92" t="str">
            <v>건설노임-88</v>
          </cell>
        </row>
        <row r="93">
          <cell r="B93" t="str">
            <v>통신케이블공</v>
          </cell>
          <cell r="C93">
            <v>271248</v>
          </cell>
          <cell r="D93">
            <v>271248</v>
          </cell>
          <cell r="E93">
            <v>0</v>
          </cell>
          <cell r="F93" t="str">
            <v>건설노임-89</v>
          </cell>
        </row>
        <row r="94">
          <cell r="B94" t="str">
            <v>무선안테나공</v>
          </cell>
          <cell r="C94">
            <v>210980</v>
          </cell>
          <cell r="D94">
            <v>210980</v>
          </cell>
          <cell r="E94">
            <v>0</v>
          </cell>
          <cell r="F94" t="str">
            <v>건설노임-90</v>
          </cell>
        </row>
        <row r="95">
          <cell r="B95" t="str">
            <v>석면해체공</v>
          </cell>
          <cell r="C95">
            <v>134648</v>
          </cell>
          <cell r="D95">
            <v>134648</v>
          </cell>
          <cell r="E95">
            <v>0</v>
          </cell>
          <cell r="F95" t="str">
            <v>건설노임-91</v>
          </cell>
        </row>
        <row r="96">
          <cell r="B96" t="str">
            <v>광케이블설치사</v>
          </cell>
          <cell r="C96">
            <v>286348</v>
          </cell>
          <cell r="D96">
            <v>286348</v>
          </cell>
          <cell r="E96">
            <v>0</v>
          </cell>
          <cell r="F96" t="str">
            <v>건설노임-92</v>
          </cell>
        </row>
        <row r="97">
          <cell r="B97" t="str">
            <v>H/W시험사</v>
          </cell>
          <cell r="C97">
            <v>240107</v>
          </cell>
          <cell r="D97">
            <v>240107</v>
          </cell>
          <cell r="E97">
            <v>0</v>
          </cell>
          <cell r="F97" t="str">
            <v>건설노임-93</v>
          </cell>
        </row>
        <row r="98">
          <cell r="B98" t="str">
            <v>S/W시험사</v>
          </cell>
          <cell r="C98">
            <v>261513</v>
          </cell>
          <cell r="D98">
            <v>261513</v>
          </cell>
          <cell r="E98">
            <v>0</v>
          </cell>
          <cell r="F98" t="str">
            <v>건설노임-94</v>
          </cell>
        </row>
        <row r="99">
          <cell r="B99" t="str">
            <v>도편수</v>
          </cell>
          <cell r="C99">
            <v>303876</v>
          </cell>
          <cell r="D99">
            <v>303876</v>
          </cell>
          <cell r="E99">
            <v>0</v>
          </cell>
          <cell r="F99" t="str">
            <v>건설노임-95</v>
          </cell>
        </row>
        <row r="100">
          <cell r="B100" t="str">
            <v>드잡이공</v>
          </cell>
          <cell r="C100">
            <v>245410</v>
          </cell>
          <cell r="D100">
            <v>245410</v>
          </cell>
          <cell r="E100">
            <v>0</v>
          </cell>
          <cell r="F100" t="str">
            <v>건설노임-96</v>
          </cell>
        </row>
        <row r="101">
          <cell r="B101" t="str">
            <v>한식목공</v>
          </cell>
          <cell r="C101">
            <v>205220</v>
          </cell>
          <cell r="D101">
            <v>205220</v>
          </cell>
          <cell r="E101">
            <v>0</v>
          </cell>
          <cell r="F101" t="str">
            <v>건설노임-97</v>
          </cell>
        </row>
        <row r="102">
          <cell r="B102" t="str">
            <v>한식목공조공</v>
          </cell>
          <cell r="C102">
            <v>161097</v>
          </cell>
          <cell r="D102">
            <v>161097</v>
          </cell>
          <cell r="E102">
            <v>0</v>
          </cell>
          <cell r="F102" t="str">
            <v>건설노임-98</v>
          </cell>
        </row>
        <row r="103">
          <cell r="B103" t="str">
            <v>한식석공</v>
          </cell>
          <cell r="C103">
            <v>247633</v>
          </cell>
          <cell r="D103">
            <v>247633</v>
          </cell>
          <cell r="E103">
            <v>0</v>
          </cell>
          <cell r="F103" t="str">
            <v>건설노임-99</v>
          </cell>
        </row>
        <row r="104">
          <cell r="B104" t="str">
            <v>한식미장공</v>
          </cell>
          <cell r="C104">
            <v>178490</v>
          </cell>
          <cell r="D104">
            <v>178490</v>
          </cell>
          <cell r="E104">
            <v>0</v>
          </cell>
          <cell r="F104" t="str">
            <v>건설노임-100</v>
          </cell>
        </row>
        <row r="105">
          <cell r="B105" t="str">
            <v>한식와공</v>
          </cell>
          <cell r="C105">
            <v>250452</v>
          </cell>
          <cell r="D105">
            <v>250452</v>
          </cell>
          <cell r="E105">
            <v>0</v>
          </cell>
          <cell r="F105" t="str">
            <v>건설노임-101</v>
          </cell>
        </row>
        <row r="106">
          <cell r="B106" t="str">
            <v>한식와공조공</v>
          </cell>
          <cell r="C106">
            <v>176580</v>
          </cell>
          <cell r="D106">
            <v>176580</v>
          </cell>
          <cell r="E106">
            <v>0</v>
          </cell>
          <cell r="F106" t="str">
            <v>건설노임-102</v>
          </cell>
        </row>
        <row r="107">
          <cell r="B107" t="str">
            <v>목조각공</v>
          </cell>
          <cell r="C107">
            <v>171338</v>
          </cell>
          <cell r="D107">
            <v>171338</v>
          </cell>
          <cell r="E107">
            <v>0</v>
          </cell>
          <cell r="F107" t="str">
            <v>건설노임-103</v>
          </cell>
        </row>
        <row r="108">
          <cell r="B108" t="str">
            <v>석조각공</v>
          </cell>
          <cell r="C108">
            <v>193297</v>
          </cell>
          <cell r="D108">
            <v>193297</v>
          </cell>
          <cell r="E108">
            <v>0</v>
          </cell>
          <cell r="F108" t="str">
            <v>건설노임-104</v>
          </cell>
        </row>
        <row r="109">
          <cell r="B109" t="str">
            <v>특수화공</v>
          </cell>
          <cell r="C109">
            <v>235175</v>
          </cell>
          <cell r="D109">
            <v>235175</v>
          </cell>
          <cell r="E109">
            <v>0</v>
          </cell>
          <cell r="F109" t="str">
            <v>건설노임-105</v>
          </cell>
        </row>
        <row r="110">
          <cell r="B110" t="str">
            <v>화공</v>
          </cell>
          <cell r="C110">
            <v>195899</v>
          </cell>
          <cell r="D110">
            <v>195899</v>
          </cell>
          <cell r="E110">
            <v>0</v>
          </cell>
          <cell r="F110" t="str">
            <v>건설노임-106</v>
          </cell>
        </row>
        <row r="111">
          <cell r="B111" t="str">
            <v>원자력플랜트전공</v>
          </cell>
          <cell r="C111">
            <v>207172</v>
          </cell>
          <cell r="D111">
            <v>207172</v>
          </cell>
          <cell r="E111">
            <v>0</v>
          </cell>
          <cell r="F111" t="str">
            <v>건설노임-107</v>
          </cell>
        </row>
        <row r="112">
          <cell r="B112" t="str">
            <v>원자력용접공</v>
          </cell>
          <cell r="C112">
            <v>199842</v>
          </cell>
          <cell r="D112">
            <v>199842</v>
          </cell>
          <cell r="E112">
            <v>0</v>
          </cell>
          <cell r="F112" t="str">
            <v>건설노임-108</v>
          </cell>
        </row>
        <row r="113">
          <cell r="B113" t="str">
            <v>원자력기계설치공</v>
          </cell>
          <cell r="C113">
            <v>199758</v>
          </cell>
          <cell r="D113">
            <v>199758</v>
          </cell>
          <cell r="E113">
            <v>0</v>
          </cell>
          <cell r="F113" t="str">
            <v>건설노임-109</v>
          </cell>
        </row>
        <row r="114">
          <cell r="B114" t="str">
            <v>원자력품질관리사</v>
          </cell>
          <cell r="C114">
            <v>252432</v>
          </cell>
          <cell r="D114">
            <v>252432</v>
          </cell>
          <cell r="E114">
            <v>0</v>
          </cell>
          <cell r="F114" t="str">
            <v>건설노임-110</v>
          </cell>
        </row>
        <row r="115">
          <cell r="B115" t="str">
            <v>통신관련기사</v>
          </cell>
          <cell r="C115">
            <v>215428</v>
          </cell>
          <cell r="D115">
            <v>215428</v>
          </cell>
          <cell r="E115">
            <v>0</v>
          </cell>
          <cell r="F115" t="str">
            <v>건설노임-111</v>
          </cell>
        </row>
        <row r="116">
          <cell r="B116" t="str">
            <v>통신관련산업기사</v>
          </cell>
          <cell r="C116">
            <v>196722</v>
          </cell>
          <cell r="D116">
            <v>196722</v>
          </cell>
          <cell r="E116">
            <v>0</v>
          </cell>
          <cell r="F116" t="str">
            <v>건설노임-112</v>
          </cell>
        </row>
        <row r="117">
          <cell r="B117" t="str">
            <v>통신관련기능사</v>
          </cell>
          <cell r="C117">
            <v>173162</v>
          </cell>
          <cell r="D117">
            <v>173162</v>
          </cell>
          <cell r="E117">
            <v>0</v>
          </cell>
          <cell r="F117" t="str">
            <v>건설노임-113</v>
          </cell>
        </row>
        <row r="118">
          <cell r="B118" t="str">
            <v>전기공사기사</v>
          </cell>
          <cell r="C118">
            <v>194979</v>
          </cell>
          <cell r="D118">
            <v>194979</v>
          </cell>
          <cell r="E118">
            <v>0</v>
          </cell>
          <cell r="F118" t="str">
            <v>건설노임-114</v>
          </cell>
        </row>
        <row r="119">
          <cell r="B119" t="str">
            <v>전기공사산업기사</v>
          </cell>
          <cell r="C119">
            <v>170252</v>
          </cell>
          <cell r="D119">
            <v>170252</v>
          </cell>
          <cell r="E119">
            <v>0</v>
          </cell>
          <cell r="F119" t="str">
            <v>건설노임-115</v>
          </cell>
        </row>
        <row r="120">
          <cell r="B120" t="str">
            <v>변전전공</v>
          </cell>
          <cell r="C120">
            <v>257066</v>
          </cell>
          <cell r="D120">
            <v>257066</v>
          </cell>
          <cell r="E120">
            <v>0</v>
          </cell>
          <cell r="F120" t="str">
            <v>건설노임-116</v>
          </cell>
        </row>
        <row r="121">
          <cell r="B121" t="str">
            <v>코킹공</v>
          </cell>
          <cell r="C121">
            <v>134606</v>
          </cell>
          <cell r="D121">
            <v>134606</v>
          </cell>
          <cell r="E121">
            <v>0</v>
          </cell>
          <cell r="F121" t="str">
            <v>건설노임-117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******"/>
      <sheetName val="------"/>
      <sheetName val="입력"/>
      <sheetName val="공사지시"/>
      <sheetName val="준공보고"/>
      <sheetName val="준공요청"/>
      <sheetName val="준공계"/>
      <sheetName val="준공지연"/>
      <sheetName val="준공자재"/>
      <sheetName val="준공기준"/>
      <sheetName val="data"/>
      <sheetName val="접속대장"/>
      <sheetName val="접속대장(2)"/>
      <sheetName val="시공품질"/>
      <sheetName val="지입자재(신)"/>
      <sheetName val="여입전표"/>
      <sheetName val="청구"/>
      <sheetName val="설비양식"/>
      <sheetName val="점검"/>
      <sheetName val="접지저항"/>
      <sheetName val="이동통고 "/>
      <sheetName val="준공일정표"/>
      <sheetName val="준공정산"/>
      <sheetName val="TR철,신"/>
      <sheetName val="변압기설치"/>
      <sheetName val="케이블해드이력"/>
      <sheetName val="자재전용"/>
      <sheetName val="맨홀이력"/>
      <sheetName val="맨홀위치"/>
      <sheetName val="준공자재 (입찰)"/>
      <sheetName val="번호"/>
      <sheetName val="자재"/>
      <sheetName val="도면 (1)"/>
      <sheetName val="도면(2)"/>
      <sheetName val="도면(계통)"/>
      <sheetName val="도면(신규)"/>
      <sheetName val="도면3"/>
      <sheetName val="휴전안내"/>
      <sheetName val="공란"/>
      <sheetName val="공란1"/>
      <sheetName val="공란2"/>
      <sheetName val="-----------"/>
      <sheetName val="이동(강동)"/>
      <sheetName val="이동(성동)"/>
      <sheetName val="시험성적"/>
      <sheetName val="수,자정산"/>
      <sheetName val="선로명"/>
      <sheetName val="개폐"/>
      <sheetName val="변압"/>
      <sheetName val="GS"/>
      <sheetName val="변압기철,신"/>
      <sheetName val="변압기설비입력"/>
      <sheetName val="개폐기설비입력"/>
      <sheetName val="맨홀설비입력"/>
      <sheetName val="맨홀도"/>
      <sheetName val="이동통고표(신)"/>
      <sheetName val="불출증"/>
      <sheetName val="단가산출"/>
      <sheetName val="전기일위목록"/>
      <sheetName val="요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원가계산"/>
      <sheetName val="접지인공"/>
      <sheetName val="내역서"/>
      <sheetName val="일위선로"/>
      <sheetName val="전기-일위대가(1)"/>
      <sheetName val="일위(전등) (2)"/>
      <sheetName val="운반비"/>
      <sheetName val="작업부산물"/>
      <sheetName val="VXXXXX"/>
      <sheetName val="설계서표지 (2)"/>
      <sheetName val="품신 (2)"/>
      <sheetName val="목차 (2)"/>
      <sheetName val="설계설명 (2)"/>
      <sheetName val="예정공정 (2)"/>
      <sheetName val="예산내역 (2)"/>
      <sheetName val="7.철거발생품조서"/>
      <sheetName val="8.청제공기계기구조서"/>
      <sheetName val="설계서표지"/>
      <sheetName val="표지"/>
      <sheetName val="품신"/>
      <sheetName val="목차"/>
      <sheetName val="1.설계설명서"/>
      <sheetName val="3.예정공정표"/>
      <sheetName val="4.설계예산내역서"/>
      <sheetName val="5.공종별예산조서"/>
      <sheetName val="5.공종별예산조서 (2)"/>
      <sheetName val="6.관급자재조서"/>
      <sheetName val="예정공정표(보고서)"/>
      <sheetName val="#REF"/>
      <sheetName val="일위대가"/>
      <sheetName val="data"/>
      <sheetName val="단가산출"/>
      <sheetName val="전기일위목록"/>
      <sheetName val="요율"/>
      <sheetName val="도급예산내역서총괄표"/>
      <sheetName val="설계산출기초"/>
      <sheetName val="집계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조사"/>
      <sheetName val="대가 "/>
      <sheetName val="대비"/>
      <sheetName val="내역서"/>
      <sheetName val="원가계산서"/>
      <sheetName val="견적서"/>
      <sheetName val="타-조은"/>
      <sheetName val="타-천우"/>
      <sheetName val="단-원산"/>
      <sheetName val="천-단"/>
      <sheetName val="조-단"/>
      <sheetName val="산-전기"/>
      <sheetName val="산-기계 "/>
      <sheetName val="겉지"/>
      <sheetName val="숫자를 한글로"/>
      <sheetName val="빨간글꼴만 합하기"/>
      <sheetName val="셀에 한칸씩삽입"/>
      <sheetName val="총괄표"/>
      <sheetName val="공종별집계표"/>
      <sheetName val="일대목록"/>
      <sheetName val="일위대가"/>
      <sheetName val="인건비산출"/>
      <sheetName val="산출갑지"/>
      <sheetName val="산출을지"/>
      <sheetName val="단가대비"/>
      <sheetName val="한전인입비"/>
      <sheetName val="공사원가계산서"/>
      <sheetName val="자재단가비교표"/>
      <sheetName val="을지"/>
      <sheetName val="일위대가(계측기설치)"/>
      <sheetName val="단가"/>
      <sheetName val="J直材4"/>
      <sheetName val="방송일위대가"/>
      <sheetName val="노임"/>
      <sheetName val="LEGEND"/>
      <sheetName val="N賃率-職"/>
      <sheetName val="계정"/>
      <sheetName val="총괄집계표"/>
      <sheetName val="부대내역"/>
      <sheetName val="251"/>
      <sheetName val="EQUIPMENT -2"/>
      <sheetName val="전차선로 물량표"/>
      <sheetName val="I一般比"/>
      <sheetName val="간선계산"/>
      <sheetName val="교각1"/>
      <sheetName val="수로교총재료집계"/>
      <sheetName val="단가 및 재료비"/>
      <sheetName val="집계"/>
      <sheetName val="직노"/>
      <sheetName val="기본일위"/>
      <sheetName val="#REF"/>
      <sheetName val="내역서2안"/>
      <sheetName val="패널"/>
      <sheetName val="실행내역"/>
      <sheetName val="IMPEADENCE MAP 취수장"/>
      <sheetName val="설직재-1"/>
      <sheetName val="제-노임"/>
      <sheetName val="1.설계조건"/>
      <sheetName val="해외세목"/>
      <sheetName val="공통가설"/>
      <sheetName val="순공사비"/>
      <sheetName val="DATA"/>
      <sheetName val="횡배수관토공수량"/>
      <sheetName val="노무비"/>
      <sheetName val="견적"/>
      <sheetName val="견적990322"/>
      <sheetName val="수량산출"/>
      <sheetName val="손익분석"/>
      <sheetName val="일위"/>
      <sheetName val="B2BERP"/>
      <sheetName val="표지"/>
      <sheetName val="원가 (2)"/>
      <sheetName val="실행철강하도"/>
      <sheetName val="토적표"/>
      <sheetName val="교통대책내역"/>
      <sheetName val="단위수량"/>
      <sheetName val="제직재"/>
      <sheetName val="Sheet6"/>
      <sheetName val="남양시작동자105노65기1.3화1.2"/>
      <sheetName val="관음목장(제출용)자105인97.5"/>
      <sheetName val="9GNG운반"/>
      <sheetName val="공종목록표"/>
      <sheetName val="부서현황"/>
      <sheetName val="수량집계"/>
      <sheetName val="정산"/>
      <sheetName val="전선"/>
      <sheetName val="Sheet1"/>
      <sheetName val="시중노임단가"/>
      <sheetName val="SP-B1"/>
      <sheetName val="DATE"/>
      <sheetName val="BASIC (2)"/>
      <sheetName val="Macro1"/>
      <sheetName val="실행대비"/>
      <sheetName val="일위대가목록"/>
      <sheetName val="금호"/>
      <sheetName val="내역을"/>
      <sheetName val="수수료"/>
      <sheetName val="자재테이블"/>
      <sheetName val="일위목록"/>
      <sheetName val="품셈총괄표"/>
      <sheetName val="갑지"/>
      <sheetName val="전계가"/>
      <sheetName val="주방환기"/>
      <sheetName val="감액총괄표"/>
      <sheetName val="내역"/>
      <sheetName val="4-3 보온 기본물량집계"/>
      <sheetName val="공사비예산서(토목분)"/>
      <sheetName val="대가_"/>
      <sheetName val="능률"/>
      <sheetName val="실행내역서 "/>
      <sheetName val="종배수관(신)"/>
      <sheetName val="적용단위길이"/>
      <sheetName val="AS복구"/>
      <sheetName val="중기터파기"/>
      <sheetName val="변수값"/>
      <sheetName val="중기상차"/>
      <sheetName val="N賃率_職"/>
      <sheetName val="버스운행안내"/>
      <sheetName val="예방접종계획"/>
      <sheetName val="근태계획서"/>
      <sheetName val="Sheet2"/>
      <sheetName val="산-기계_"/>
      <sheetName val="숫자를_한글로"/>
      <sheetName val="빨간글꼴만_합하기"/>
      <sheetName val="셀에_한칸씩삽입"/>
      <sheetName val="EQUIPMENT_-2"/>
      <sheetName val="전차선로_물량표"/>
      <sheetName val="단가_및_재료비"/>
      <sheetName val="1_설계조건"/>
      <sheetName val="IMPEADENCE_MAP_취수장"/>
      <sheetName val="대가단최종"/>
      <sheetName val="환율"/>
      <sheetName val="입찰안"/>
      <sheetName val="단중표"/>
      <sheetName val="가로내역"/>
      <sheetName val="인사자료총집계"/>
      <sheetName val="자재단가"/>
      <sheetName val="설변내역서"/>
      <sheetName val="총괄분 설계서용지"/>
      <sheetName val="일위대가(가설)"/>
      <sheetName val="을_ATYPE"/>
      <sheetName val="일위단가"/>
      <sheetName val="맨홀수량산출"/>
      <sheetName val="전등수량산출서"/>
      <sheetName val="전열수량산출서"/>
      <sheetName val="조명율표"/>
      <sheetName val="단가산출"/>
      <sheetName val="유기공정"/>
      <sheetName val="데이타"/>
      <sheetName val="Macro(차단기)"/>
      <sheetName val="터널조도"/>
      <sheetName val="도급예산내역서봉투"/>
      <sheetName val="설계산출표지"/>
      <sheetName val="도급예산내역서총괄표"/>
      <sheetName val="단가조사"/>
      <sheetName val="분전함신설"/>
      <sheetName val="설계산출기초"/>
      <sheetName val="을부담운반비"/>
      <sheetName val="운반비산출"/>
      <sheetName val="접지1종"/>
      <sheetName val="계수시트"/>
      <sheetName val="대가목록"/>
      <sheetName val="인건비"/>
      <sheetName val="EACT10"/>
      <sheetName val="Baby일위대가"/>
      <sheetName val="집수정"/>
    </sheetNames>
    <sheetDataSet>
      <sheetData sheetId="0">
        <row r="49">
          <cell r="G49">
            <v>21629409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조사 - 9810"/>
      <sheetName val="조사 - 9809"/>
      <sheetName val="율촌법률사무소2내역"/>
      <sheetName val="교각1"/>
      <sheetName val="수량산출"/>
      <sheetName val="간선계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TORAGE"/>
      <sheetName val="Y-WORK"/>
      <sheetName val="YES"/>
      <sheetName val="Sheet1"/>
      <sheetName val="견적대비"/>
      <sheetName val="총괄"/>
      <sheetName val="토목"/>
      <sheetName val="설계예산서"/>
      <sheetName val="수량집계"/>
      <sheetName val="가로등내역서"/>
      <sheetName val="DATA"/>
      <sheetName val="수량산출서"/>
      <sheetName val="일위대가"/>
      <sheetName val="2000.11월설계내역"/>
      <sheetName val="#REF"/>
      <sheetName val="조명율표"/>
      <sheetName val="부속동"/>
      <sheetName val="단가"/>
      <sheetName val="총괄표"/>
      <sheetName val="말뚝지지력산정"/>
      <sheetName val="터파기및재료"/>
      <sheetName val="집계표"/>
      <sheetName val="전선 및 전선관"/>
      <sheetName val="내역서2안"/>
      <sheetName val="내역서"/>
      <sheetName val="단가산출"/>
      <sheetName val="소야공정계획표"/>
      <sheetName val="수량산출"/>
      <sheetName val="1.수인터널"/>
      <sheetName val="일위대가표(유단가)"/>
      <sheetName val="교각1"/>
      <sheetName val="실행철강하도"/>
      <sheetName val="6호기"/>
      <sheetName val="입찰안"/>
      <sheetName val="준검 내역서"/>
      <sheetName val="봉양~조차장간고하개명(신설)"/>
      <sheetName val="하조서"/>
      <sheetName val="내역"/>
      <sheetName val="보증수수료산출"/>
      <sheetName val="bid"/>
      <sheetName val="기계경비"/>
      <sheetName val="가로등"/>
      <sheetName val="수목데이타 "/>
      <sheetName val="변압기 및 발전기 용량"/>
      <sheetName val="공사비예산서(토목분)"/>
      <sheetName val="각형맨홀"/>
      <sheetName val="수목단가"/>
      <sheetName val="시설수량표"/>
      <sheetName val="식재수량표"/>
      <sheetName val="일위목록"/>
      <sheetName val="자재단가"/>
      <sheetName val="ASP포장"/>
      <sheetName val="단가산출서(기계)"/>
      <sheetName val="JUCK"/>
      <sheetName val="INPUT"/>
      <sheetName val="부대내역"/>
      <sheetName val="단가조사"/>
      <sheetName val="일위대가표"/>
      <sheetName val="구조물철거타공정이월"/>
      <sheetName val="참조-(1)"/>
      <sheetName val="AS포장복구 "/>
      <sheetName val="신우"/>
      <sheetName val="정부노임단가"/>
      <sheetName val="3BL공동구 수량"/>
      <sheetName val="내역서(전기)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주상도"/>
      <sheetName val="2000년1차"/>
      <sheetName val="단가 및 재료비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갑지"/>
      <sheetName val="견적서"/>
      <sheetName val="호계"/>
      <sheetName val="제암"/>
      <sheetName val="월마트"/>
      <sheetName val="월드컵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Total"/>
      <sheetName val="원가계산"/>
      <sheetName val="소요자재"/>
      <sheetName val="노무산출서"/>
      <sheetName val="ETC"/>
      <sheetName val="데이타"/>
      <sheetName val="에너지동"/>
      <sheetName val="연습"/>
      <sheetName val="표지 (2)"/>
      <sheetName val="코드표"/>
      <sheetName val="Sheet1 (2)"/>
      <sheetName val="MOTOR"/>
      <sheetName val="예산변경사항"/>
      <sheetName val="요율"/>
      <sheetName val="자재대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일위대가(목록)"/>
      <sheetName val="재료비"/>
      <sheetName val="15"/>
      <sheetName val="입찰결과(DATA)"/>
      <sheetName val="물량표"/>
      <sheetName val="ABUT수량-A1"/>
      <sheetName val="단면 (2)"/>
      <sheetName val="동력부하(도산)"/>
      <sheetName val="수로교총재료집계"/>
      <sheetName val="2006기계경비산출표"/>
      <sheetName val="22단가(철거)"/>
      <sheetName val="49단가"/>
      <sheetName val="49단가(철거)"/>
      <sheetName val="22단가"/>
      <sheetName val="공구원가계산"/>
      <sheetName val="기계경비시간당손료목록"/>
      <sheetName val="설계내역서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단가비교표"/>
      <sheetName val="Module11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대비"/>
      <sheetName val="CABLE SIZE-3"/>
      <sheetName val="EQUIP-H"/>
      <sheetName val="경비_원본"/>
      <sheetName val="대치판정"/>
      <sheetName val="2000전체분"/>
      <sheetName val="일반수량"/>
      <sheetName val="가감수량"/>
      <sheetName val="맨홀수량산출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참고"/>
      <sheetName val="공사개요"/>
      <sheetName val="토공"/>
      <sheetName val="돌망태단위수량"/>
      <sheetName val="말뚝물량"/>
      <sheetName val="공종별원가계산"/>
      <sheetName val="말고개터널조명전압강하"/>
      <sheetName val="산출내역서집계표"/>
      <sheetName val="우수맨홀공제단위수량"/>
      <sheetName val="본선차로수량집계표"/>
      <sheetName val="스톱로그내역"/>
      <sheetName val="수주현황2월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토공유동표"/>
      <sheetName val="교각계산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통장출금액"/>
      <sheetName val="노임"/>
      <sheetName val="DATA 입력란"/>
      <sheetName val="1. 설계조건 2.단면가정 3. 하중계산"/>
      <sheetName val="1차증가원가계산"/>
      <sheetName val="경산(을)"/>
      <sheetName val="점검총괄"/>
      <sheetName val="간접비"/>
      <sheetName val="약품설비"/>
      <sheetName val="물가자료"/>
      <sheetName val="품의서"/>
      <sheetName val="부하계산서"/>
      <sheetName val="물가시세"/>
      <sheetName val="SG"/>
      <sheetName val="전신환매도율"/>
      <sheetName val="EACT10"/>
      <sheetName val="원가계산서 (총괄)"/>
      <sheetName val="원가계산서 (건축)"/>
      <sheetName val="(총괄집계)"/>
      <sheetName val="건축공사"/>
      <sheetName val="방음벽기초(H=4m)"/>
      <sheetName val="BOX전기내역"/>
      <sheetName val="기계경비(시간당)"/>
      <sheetName val="램머"/>
      <sheetName val="기자재대비표"/>
      <sheetName val="1.설계조건"/>
      <sheetName val="원가계산서"/>
      <sheetName val="상수도토공집계표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간선계산"/>
      <sheetName val="단가조사서"/>
      <sheetName val="버스운행안내"/>
      <sheetName val="예방접종계획"/>
      <sheetName val="근태계획서"/>
      <sheetName val="인건비 "/>
      <sheetName val="BASIC (2)"/>
      <sheetName val="20관리비율"/>
      <sheetName val="총괄집계표"/>
      <sheetName val="Baby일위대가"/>
      <sheetName val="DATA1"/>
      <sheetName val="LD일"/>
      <sheetName val="FA설치명세"/>
      <sheetName val="FD"/>
      <sheetName val="증감대비"/>
      <sheetName val="공종단가"/>
      <sheetName val="예산갑지"/>
      <sheetName val="제수변수량"/>
      <sheetName val="공기변수량"/>
      <sheetName val="설계가"/>
      <sheetName val="소방사항"/>
      <sheetName val="견적조건"/>
      <sheetName val="견적조건(을지)"/>
      <sheetName val="대구실행"/>
      <sheetName val="N賃率-職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TRE TABLE"/>
      <sheetName val="외주"/>
      <sheetName val="LP-S"/>
      <sheetName val="전기일위대가"/>
      <sheetName val="Mc1"/>
      <sheetName val="식생블럭단위수량"/>
      <sheetName val="을지"/>
      <sheetName val="기초단가"/>
      <sheetName val="0.집계"/>
      <sheetName val="가로등부표"/>
      <sheetName val="설계조건"/>
      <sheetName val="날개벽(TYPE3)"/>
      <sheetName val="동원(3)"/>
      <sheetName val="예정(3)"/>
      <sheetName val="주형"/>
      <sheetName val="간접1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조건표"/>
      <sheetName val="JJ"/>
      <sheetName val="설계"/>
      <sheetName val="설 계"/>
      <sheetName val="BQ"/>
      <sheetName val="단면(RW1)"/>
      <sheetName val="WORK"/>
      <sheetName val="시설물일위"/>
      <sheetName val="비교표"/>
      <sheetName val="소비자가"/>
      <sheetName val="ilch"/>
      <sheetName val="조도계산서 (도서)"/>
      <sheetName val="LOPCALC"/>
      <sheetName val="재료"/>
      <sheetName val="매립"/>
      <sheetName val="MAIN_TABLE"/>
      <sheetName val="일위대가목차"/>
      <sheetName val="제경비율"/>
      <sheetName val="아산추가1220"/>
      <sheetName val="3-1.CB"/>
      <sheetName val="XL4Poppy"/>
      <sheetName val="98지급계획"/>
      <sheetName val="당초"/>
      <sheetName val="본공사"/>
      <sheetName val="DANGA"/>
      <sheetName val="A-4"/>
      <sheetName val="IMP(MAIN)"/>
      <sheetName val="IMP (REACTOR)"/>
      <sheetName val="차액보증"/>
      <sheetName val="오산갈곳"/>
      <sheetName val="맨홀수량집계"/>
      <sheetName val="1.설계기준"/>
      <sheetName val="터널조도"/>
      <sheetName val="현황CODE"/>
      <sheetName val="손익현황"/>
      <sheetName val="3차설계"/>
      <sheetName val="기둥(원형)"/>
      <sheetName val="밸브설치"/>
      <sheetName val="3.바닥판설계"/>
      <sheetName val="안정계산"/>
      <sheetName val="단면검토"/>
      <sheetName val="원가"/>
      <sheetName val="VA_code"/>
      <sheetName val="제수"/>
      <sheetName val="공기"/>
      <sheetName val="자재목록"/>
      <sheetName val="인건비"/>
      <sheetName val="일위대가(가설)"/>
      <sheetName val="몰탈재료산출"/>
      <sheetName val="단위목록"/>
      <sheetName val="기계경비목록"/>
      <sheetName val="관급"/>
      <sheetName val="실행갑지"/>
      <sheetName val="실행내역서"/>
      <sheetName val="일위집계표"/>
      <sheetName val="AILC004"/>
      <sheetName val="Macro(차단기)"/>
      <sheetName val="PO-BOQ"/>
      <sheetName val=" 상부공통집계(총괄)"/>
      <sheetName val="견적의뢰서"/>
      <sheetName val="9-1차이내역"/>
      <sheetName val="기계경비일람"/>
      <sheetName val="FAX"/>
      <sheetName val="단면가정"/>
      <sheetName val="연결관산출조서"/>
      <sheetName val="단가일람"/>
      <sheetName val="조경일람"/>
      <sheetName val="일위대가목록"/>
      <sheetName val="의왕내역"/>
      <sheetName val="제품별"/>
      <sheetName val="하수급견적대비"/>
      <sheetName val="설계명세서"/>
      <sheetName val="통신단가조사"/>
      <sheetName val="관로"/>
      <sheetName val="1단계"/>
      <sheetName val="DATE"/>
      <sheetName val="기초코드"/>
      <sheetName val="AS복구"/>
      <sheetName val="중기터파기"/>
      <sheetName val="변수값"/>
      <sheetName val="중기상차"/>
      <sheetName val=" 총괄표"/>
      <sheetName val="적용(기계)"/>
      <sheetName val="옹벽수량집계"/>
      <sheetName val="자재단가표"/>
      <sheetName val="고창터널(고창방향)"/>
      <sheetName val="포장공"/>
      <sheetName val="일반수량총괄"/>
      <sheetName val="입출재고현황 (2)"/>
      <sheetName val="변경비교-을"/>
      <sheetName val="노무비단가"/>
      <sheetName val="입찰보고"/>
      <sheetName val="b_balju_cho"/>
      <sheetName val="백호우계수"/>
      <sheetName val="1SPAN"/>
      <sheetName val="001"/>
      <sheetName val="가설건물"/>
      <sheetName val="5.정산서"/>
      <sheetName val="공사별 가중치 산출근거(토목)"/>
      <sheetName val="가중치근거(조경)"/>
      <sheetName val="2공구산출내역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교대(A1)"/>
      <sheetName val="교대(A1-A2)"/>
      <sheetName val="노무비"/>
      <sheetName val="I一般比"/>
      <sheetName val="경비2내역"/>
      <sheetName val="현장관리비내역서"/>
      <sheetName val="단가대비표"/>
      <sheetName val="일위대가표 (2)"/>
      <sheetName val="포장복구집계"/>
      <sheetName val="REACTION(USD지진시)"/>
      <sheetName val="안정검토"/>
      <sheetName val="REACTION(USE평시)"/>
      <sheetName val="부재력정리"/>
      <sheetName val="BLOCK(1)"/>
      <sheetName val="총계"/>
      <sheetName val="8. 안정검토"/>
      <sheetName val="제-노임"/>
      <sheetName val="제직재"/>
      <sheetName val="96보완계획7.12"/>
      <sheetName val="지진시"/>
      <sheetName val="BID-도로"/>
      <sheetName val="내력서"/>
      <sheetName val="1차설계변경내역"/>
      <sheetName val="3.공통공사대비"/>
      <sheetName val="6PILE  (돌출)"/>
      <sheetName val="98NS-N"/>
      <sheetName val="토량산출서"/>
      <sheetName val="조명시설"/>
      <sheetName val="90.03실행 "/>
      <sheetName val="자료입력"/>
      <sheetName val="금리계산"/>
      <sheetName val="부대공Ⅱ"/>
      <sheetName val="대구-교대(A1-A2)"/>
      <sheetName val="원형1호맨홀토공수량"/>
      <sheetName val="Sheet17"/>
      <sheetName val="°©Áö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부대시설"/>
      <sheetName val="Apt내역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사각맨홀"/>
      <sheetName val="전차선로 물량표"/>
      <sheetName val="sw1"/>
      <sheetName val="견적990322"/>
      <sheetName val="단가산출서"/>
      <sheetName val="종합기별"/>
      <sheetName val="노무비명세서"/>
      <sheetName val="소요자재명세서"/>
      <sheetName val="MACRO(MCC)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구역화물"/>
      <sheetName val="unit 4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결과조달"/>
      <sheetName val="금액내역서"/>
      <sheetName val="경상비"/>
      <sheetName val="건축내역"/>
      <sheetName val="부안일위"/>
      <sheetName val="정공공사"/>
      <sheetName val="실행대비"/>
      <sheetName val="청천내"/>
      <sheetName val="1공구 건정토건 철콘"/>
      <sheetName val="2공구하도급내역서"/>
      <sheetName val="도급내역"/>
      <sheetName val="세부내역"/>
      <sheetName val="연결임시"/>
      <sheetName val="구조물공"/>
      <sheetName val="투찰추정"/>
      <sheetName val="도급내역5+800"/>
      <sheetName val="수목표준대가"/>
      <sheetName val="토량1-1"/>
      <sheetName val="부대공"/>
      <sheetName val="도급금액"/>
      <sheetName val="재노경"/>
      <sheetName val="단위단가"/>
      <sheetName val="적현로"/>
      <sheetName val="배수공"/>
      <sheetName val="변경내역서"/>
      <sheetName val="1공구 건정토건 토공"/>
      <sheetName val="식재인부"/>
      <sheetName val="경상직원"/>
      <sheetName val="조건"/>
      <sheetName val="일위대가(1)"/>
      <sheetName val="전체"/>
      <sheetName val="관급자재"/>
      <sheetName val="제경비"/>
      <sheetName val="초기화면"/>
      <sheetName val="총공사내역서"/>
      <sheetName val="토공사"/>
      <sheetName val="정렬"/>
      <sheetName val="계약내역서"/>
      <sheetName val="전체도급"/>
      <sheetName val="직공비"/>
      <sheetName val="CODE"/>
      <sheetName val="전기"/>
      <sheetName val="부대대비"/>
      <sheetName val="냉연집계"/>
      <sheetName val="부하(성남)"/>
      <sheetName val="충주"/>
      <sheetName val="교통량조사"/>
      <sheetName val="아파트기별"/>
      <sheetName val="공리일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설계기준 및 하중계산"/>
      <sheetName val="입력값"/>
      <sheetName val="설직재-1"/>
      <sheetName val="진접"/>
      <sheetName val="건축개요"/>
      <sheetName val="2000_11월설계내역"/>
      <sheetName val="전선_및_전선관"/>
      <sheetName val="1_수변전설비공사"/>
      <sheetName val="2__동력설비_공사"/>
      <sheetName val="3__조명설비공사"/>
      <sheetName val="4__접지설비공사"/>
      <sheetName val="5__통신설비_공사"/>
      <sheetName val="6__전기방식설비공사"/>
      <sheetName val="6_전기방식_설비공사(2)"/>
      <sheetName val="7_방호설비공사"/>
      <sheetName val="8_가설전기공사"/>
      <sheetName val="복구량산정_및_전용회선_사용"/>
      <sheetName val="4월_실적추정(건축+토목)"/>
      <sheetName val="4월_실적추정(건축)"/>
      <sheetName val="준검_내역서"/>
      <sheetName val="48일위"/>
      <sheetName val="48수량"/>
      <sheetName val="22수량"/>
      <sheetName val="49일위"/>
      <sheetName val="22일위"/>
      <sheetName val="49수량"/>
      <sheetName val="현장관리비 "/>
      <sheetName val="2000,9월 일위"/>
      <sheetName val="금액결정"/>
      <sheetName val="CTEMCOST"/>
      <sheetName val="도장수량(하1)"/>
      <sheetName val="기초자료입력"/>
      <sheetName val="역집계1"/>
      <sheetName val="메서,변+증"/>
      <sheetName val="환"/>
      <sheetName val="적용기준표(98년상반기)"/>
      <sheetName val="예산내역서"/>
      <sheetName val="공통(20-91)"/>
      <sheetName val="산근(목록)"/>
      <sheetName val="이형관중량"/>
      <sheetName val="내역전기"/>
      <sheetName val="전기 원가계산서"/>
      <sheetName val="BSD (2)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ⴭⴭⴭⴭ"/>
      <sheetName val="KMT물량"/>
      <sheetName val="대창(함평)-창열"/>
      <sheetName val="대창(장성)"/>
      <sheetName val="주차구획선수량"/>
      <sheetName val="재료집계"/>
      <sheetName val="선정요령"/>
      <sheetName val="주관사업"/>
      <sheetName val="수문일1"/>
      <sheetName val="발주설계서(당초)"/>
      <sheetName val="기자재비"/>
      <sheetName val="전기혼잡제경비(45)"/>
      <sheetName val="가시설단위수량"/>
      <sheetName val="SORCE1"/>
      <sheetName val="자  재"/>
      <sheetName val="전체내역서"/>
      <sheetName val="1_수인터널"/>
      <sheetName val="수목데이타_"/>
      <sheetName val="변압기_및_발전기_용량"/>
      <sheetName val="단가_및_재료비"/>
      <sheetName val="-_INFORMATION_-"/>
      <sheetName val="1_수변전설비"/>
      <sheetName val="2_전력간선"/>
      <sheetName val="3_동력"/>
      <sheetName val="4_전등"/>
      <sheetName val="5_전열"/>
      <sheetName val="6_약전"/>
      <sheetName val="7_소방"/>
      <sheetName val="8_방송"/>
      <sheetName val="9_조명제어"/>
      <sheetName val="10_철거공사"/>
      <sheetName val="남양시작동자105노65기1_3화1_2"/>
      <sheetName val="3BL공동구_수량"/>
      <sheetName val="표지_(2)"/>
      <sheetName val="사급자재(1단계)"/>
      <sheetName val="copy"/>
      <sheetName val="서식"/>
      <sheetName val="tggwan(mac)"/>
      <sheetName val="물량집계"/>
      <sheetName val="역T형"/>
      <sheetName val="신공항A-9(원가수정)"/>
      <sheetName val="guard(mac)"/>
      <sheetName val="품셈TABLE"/>
      <sheetName val="품셈표"/>
      <sheetName val="산출내역서"/>
      <sheetName val="저"/>
      <sheetName val="SLAB&quot;1&quot;"/>
      <sheetName val="토목주소"/>
      <sheetName val="프랜트면허"/>
      <sheetName val="접속도로1"/>
      <sheetName val="공사별 가중치 산출근거(건축)"/>
      <sheetName val="집수A"/>
      <sheetName val="HRSG SMALL07220"/>
      <sheetName val="단가표"/>
      <sheetName val="부서현황"/>
      <sheetName val="현장지지물물량"/>
      <sheetName val="데리네이타현황"/>
      <sheetName val="담장산출"/>
      <sheetName val="일용노임단가"/>
      <sheetName val="철거산출근거"/>
      <sheetName val="단가목록"/>
      <sheetName val="노임,재료비"/>
      <sheetName val="Data&amp;Result"/>
      <sheetName val="일위대가(출입)"/>
      <sheetName val="일위대가(계측기설치)"/>
      <sheetName val="다이꾸"/>
      <sheetName val="수성페인트도장 내역서"/>
      <sheetName val="설계산출표지"/>
      <sheetName val="2F 회의실견적(5_14 일대)"/>
      <sheetName val="제진기"/>
      <sheetName val="공내역"/>
      <sheetName val="예산M6-B"/>
      <sheetName val="기초자료"/>
      <sheetName val="여과지동"/>
      <sheetName val="약품공급2"/>
      <sheetName val="정화조동내역"/>
      <sheetName val="단위수량"/>
      <sheetName val="관리사무소"/>
      <sheetName val="Testing"/>
      <sheetName val="계화배수"/>
      <sheetName val="방음벽 기초 일반수량"/>
      <sheetName val="I.설계조건"/>
      <sheetName val="단면치수"/>
      <sheetName val="NEYOK"/>
      <sheetName val="토목내역"/>
      <sheetName val="수안보-MBR1"/>
      <sheetName val="입력DATA"/>
      <sheetName val="건축"/>
      <sheetName val="단가산출서 (2)"/>
      <sheetName val="재정비직인"/>
      <sheetName val="재정비내역"/>
      <sheetName val="지적고시내역"/>
      <sheetName val="탑(을지)"/>
      <sheetName val="노무비 근거"/>
      <sheetName val="감액총괄표"/>
      <sheetName val="물량산출근거"/>
      <sheetName val="CONCRETE"/>
      <sheetName val="설산1.나"/>
      <sheetName val="본사S"/>
      <sheetName val="전압강하계산"/>
      <sheetName val="D-3503"/>
      <sheetName val="과천MAIN"/>
      <sheetName val="여흥"/>
      <sheetName val="48전력선로일위"/>
      <sheetName val="계수시트"/>
      <sheetName val="AIR SHOWER(3인용)"/>
      <sheetName val="재집"/>
      <sheetName val="직재"/>
      <sheetName val="손익분석"/>
      <sheetName val="ITB COST"/>
      <sheetName val="Macro2"/>
      <sheetName val="보차도경계석"/>
      <sheetName val="우배수"/>
      <sheetName val="맨홀"/>
      <sheetName val="금호"/>
      <sheetName val="예산명세서"/>
      <sheetName val="J直材4"/>
      <sheetName val="연부97-1"/>
      <sheetName val="갑지1"/>
      <sheetName val="율촌법률사무소2내역"/>
      <sheetName val="지주목시비량산출서"/>
      <sheetName val="지급자재"/>
      <sheetName val="99총공사내역서"/>
      <sheetName val="고등학교"/>
      <sheetName val="공사비집계"/>
      <sheetName val="본선 토공 분배표"/>
      <sheetName val="1.토공"/>
      <sheetName val="제출내역 (2)"/>
      <sheetName val="6공구(당초)"/>
      <sheetName val="산근1"/>
      <sheetName val="70%"/>
      <sheetName val="투찰"/>
      <sheetName val="관리,공감"/>
      <sheetName val="입찰"/>
      <sheetName val="1,2공구원가계산서"/>
      <sheetName val="1공구산출내역서"/>
      <sheetName val="현경"/>
      <sheetName val="전화번호DATA (2001)"/>
      <sheetName val="장비"/>
      <sheetName val="노무"/>
      <sheetName val="자압"/>
      <sheetName val="자재"/>
      <sheetName val="106C0300"/>
      <sheetName val="부하LOAD"/>
      <sheetName val="품셈"/>
      <sheetName val="시멘트"/>
      <sheetName val="견적율"/>
      <sheetName val="접지수량"/>
      <sheetName val="TOT"/>
      <sheetName val="인건-측정"/>
      <sheetName val="보합"/>
      <sheetName val="49-119"/>
      <sheetName val="Macro(전선)"/>
      <sheetName val="발신정보"/>
      <sheetName val="할증 "/>
      <sheetName val="총집계표"/>
      <sheetName val="plan&amp;section of foundation"/>
      <sheetName val="9811"/>
      <sheetName val="투찰내역"/>
      <sheetName val="COVER-P"/>
      <sheetName val="기본단가"/>
      <sheetName val="영업소실적"/>
      <sheetName val="적용공정"/>
      <sheetName val="L_RPTB02_01"/>
      <sheetName val="중기일위대가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효성CB 1P기초"/>
      <sheetName val="EQ-R1"/>
      <sheetName val="품목"/>
      <sheetName val="전선"/>
      <sheetName val="CABLE"/>
      <sheetName val="OPGW기별"/>
      <sheetName val="CA지입"/>
      <sheetName val="U-TYPE(1)"/>
      <sheetName val="공종별내역서"/>
      <sheetName val="L_RPTA05_목록"/>
      <sheetName val="설비내역서"/>
      <sheetName val="건축내역서"/>
      <sheetName val="전기내역서"/>
      <sheetName val="노원열병합  건축공사기성내역서"/>
      <sheetName val="본부소개"/>
      <sheetName val="주사무실종합"/>
      <sheetName val="내역표지"/>
      <sheetName val="BOQ"/>
      <sheetName val="총괄내역서"/>
      <sheetName val="역T형교대(말뚝기초)"/>
      <sheetName val="한강운반비"/>
      <sheetName val="C3"/>
      <sheetName val="계산식"/>
      <sheetName val="가도공"/>
      <sheetName val="철거집계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가시설흙막이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결합부검토"/>
      <sheetName val="工완성공사율"/>
      <sheetName val="MACRO(전선관)"/>
      <sheetName val="설비"/>
      <sheetName val="H-PILE수량집계"/>
      <sheetName val="기술자료 (연수)"/>
      <sheetName val="IMPEADENCE MAP 취수장"/>
      <sheetName val="__MAIN"/>
      <sheetName val="시공계획"/>
      <sheetName val="현금"/>
      <sheetName val="현장"/>
      <sheetName val="Piping Design Data"/>
      <sheetName val="종배수관"/>
      <sheetName val="wall"/>
      <sheetName val="H PILE수량"/>
      <sheetName val="TC표지"/>
      <sheetName val="2003상반기노임기준"/>
      <sheetName val="중기조종사 단위단가"/>
      <sheetName val="STBOX"/>
      <sheetName val="통합"/>
      <sheetName val="BOX"/>
      <sheetName val="Ampecity Data"/>
      <sheetName val="연습장소"/>
      <sheetName val="MCC제원"/>
      <sheetName val="IBASE"/>
      <sheetName val="RAHME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/>
      <sheetData sheetId="518"/>
      <sheetData sheetId="519"/>
      <sheetData sheetId="520"/>
      <sheetData sheetId="52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/>
      <sheetData sheetId="615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/>
      <sheetData sheetId="864" refreshError="1"/>
      <sheetData sheetId="865" refreshError="1"/>
      <sheetData sheetId="866"/>
      <sheetData sheetId="867"/>
      <sheetData sheetId="868"/>
      <sheetData sheetId="869"/>
      <sheetData sheetId="870"/>
      <sheetData sheetId="871" refreshError="1"/>
      <sheetData sheetId="872" refreshError="1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VXXXX"/>
      <sheetName val="30신설일위대가"/>
      <sheetName val="30인공산출"/>
      <sheetName val="30산출기초"/>
      <sheetName val="30집계표"/>
      <sheetName val="30부속동수량산출"/>
      <sheetName val="30부속동수량산출근거"/>
      <sheetName val="자재단가"/>
      <sheetName val="노임단가 "/>
      <sheetName val="견적단가"/>
      <sheetName val="40총괄"/>
      <sheetName val="40집계"/>
      <sheetName val="노임단가"/>
      <sheetName val="금액내역서"/>
      <sheetName val="적용단가"/>
      <sheetName val="40단가산출서"/>
    </sheetNames>
    <sheetDataSet>
      <sheetData sheetId="0"/>
      <sheetData sheetId="1" refreshError="1">
        <row r="4">
          <cell r="B4" t="str">
            <v>8. 고정차고 부속동 전력설비 신설</v>
          </cell>
        </row>
        <row r="5">
          <cell r="A5" t="str">
            <v>30신_1A</v>
          </cell>
          <cell r="B5" t="str">
            <v>1. 고압반신설</v>
          </cell>
          <cell r="C5" t="str">
            <v>HV-1,2,3,4,5(DS-AS)</v>
          </cell>
          <cell r="D5" t="str">
            <v>면</v>
          </cell>
          <cell r="E5">
            <v>1</v>
          </cell>
          <cell r="L5" t="str">
            <v>x</v>
          </cell>
          <cell r="M5">
            <v>5</v>
          </cell>
        </row>
        <row r="6">
          <cell r="B6" t="str">
            <v>가) 재 료 비</v>
          </cell>
        </row>
        <row r="7">
          <cell r="B7" t="str">
            <v>고압반</v>
          </cell>
          <cell r="C7" t="str">
            <v>800*1500*2300</v>
          </cell>
          <cell r="D7" t="str">
            <v>면</v>
          </cell>
          <cell r="E7">
            <v>1</v>
          </cell>
          <cell r="M7" t="str">
            <v>관급</v>
          </cell>
        </row>
        <row r="8">
          <cell r="B8" t="str">
            <v>피뢰기</v>
          </cell>
          <cell r="C8" t="str">
            <v>7.2KV 7.5KA(W/D.S)</v>
          </cell>
          <cell r="D8" t="str">
            <v>조</v>
          </cell>
          <cell r="E8">
            <v>1</v>
          </cell>
        </row>
        <row r="9">
          <cell r="B9" t="str">
            <v>단로기</v>
          </cell>
          <cell r="C9" t="str">
            <v>DS 7.2KV 3P 400A</v>
          </cell>
          <cell r="D9" t="str">
            <v>조</v>
          </cell>
          <cell r="E9">
            <v>1</v>
          </cell>
        </row>
        <row r="10">
          <cell r="B10" t="str">
            <v>개폐기</v>
          </cell>
          <cell r="C10" t="str">
            <v>AS 7.2KV 3P 200A</v>
          </cell>
          <cell r="D10" t="str">
            <v>대</v>
          </cell>
          <cell r="E10">
            <v>1</v>
          </cell>
        </row>
        <row r="11">
          <cell r="B11" t="str">
            <v>나) 노 무 비</v>
          </cell>
          <cell r="L11">
            <v>0</v>
          </cell>
        </row>
        <row r="12">
          <cell r="C12" t="str">
            <v>플랜트전공</v>
          </cell>
          <cell r="D12" t="str">
            <v>인</v>
          </cell>
          <cell r="E12">
            <v>3.7</v>
          </cell>
          <cell r="H12">
            <v>59158</v>
          </cell>
          <cell r="I12">
            <v>218884.6</v>
          </cell>
          <cell r="L12">
            <v>218884.6</v>
          </cell>
        </row>
        <row r="13">
          <cell r="C13" t="str">
            <v>비  계  공</v>
          </cell>
          <cell r="D13" t="str">
            <v>인</v>
          </cell>
          <cell r="E13">
            <v>2.5</v>
          </cell>
          <cell r="H13">
            <v>71272</v>
          </cell>
          <cell r="I13">
            <v>178180</v>
          </cell>
          <cell r="L13">
            <v>178180</v>
          </cell>
        </row>
        <row r="14">
          <cell r="C14" t="str">
            <v>보 통 인 부</v>
          </cell>
          <cell r="D14" t="str">
            <v>인</v>
          </cell>
          <cell r="E14">
            <v>2.5</v>
          </cell>
          <cell r="G14">
            <v>0</v>
          </cell>
          <cell r="H14">
            <v>38932</v>
          </cell>
          <cell r="I14">
            <v>97330</v>
          </cell>
          <cell r="K14">
            <v>0</v>
          </cell>
          <cell r="L14">
            <v>97330</v>
          </cell>
        </row>
        <row r="17">
          <cell r="B17" t="str">
            <v>다) 공구손료</v>
          </cell>
          <cell r="C17" t="str">
            <v>플랜트전공</v>
          </cell>
          <cell r="D17" t="str">
            <v>인</v>
          </cell>
          <cell r="E17">
            <v>0.11</v>
          </cell>
          <cell r="J17">
            <v>59158</v>
          </cell>
          <cell r="K17">
            <v>6507</v>
          </cell>
          <cell r="L17">
            <v>6507</v>
          </cell>
        </row>
        <row r="18">
          <cell r="C18" t="str">
            <v>비  계  공</v>
          </cell>
          <cell r="D18" t="str">
            <v>인</v>
          </cell>
          <cell r="E18">
            <v>7.0000000000000007E-2</v>
          </cell>
          <cell r="J18">
            <v>71272</v>
          </cell>
          <cell r="K18">
            <v>4989</v>
          </cell>
          <cell r="L18">
            <v>4989</v>
          </cell>
        </row>
        <row r="19">
          <cell r="C19" t="str">
            <v>보 통 인 부</v>
          </cell>
          <cell r="D19" t="str">
            <v>인</v>
          </cell>
          <cell r="E19">
            <v>7.0000000000000007E-2</v>
          </cell>
          <cell r="J19">
            <v>38932</v>
          </cell>
          <cell r="K19">
            <v>2725</v>
          </cell>
          <cell r="L19">
            <v>2725</v>
          </cell>
        </row>
        <row r="26">
          <cell r="A26" t="str">
            <v>30신_1</v>
          </cell>
          <cell r="B26" t="str">
            <v>합    계</v>
          </cell>
          <cell r="G26">
            <v>0</v>
          </cell>
          <cell r="I26">
            <v>494394.6</v>
          </cell>
          <cell r="K26">
            <v>14221</v>
          </cell>
          <cell r="L26">
            <v>508615.6</v>
          </cell>
        </row>
        <row r="29">
          <cell r="A29" t="str">
            <v>30신_2A</v>
          </cell>
          <cell r="B29" t="str">
            <v>2. 고압반신설</v>
          </cell>
          <cell r="C29" t="str">
            <v>HV-6(AS)</v>
          </cell>
          <cell r="D29" t="str">
            <v>면</v>
          </cell>
          <cell r="E29">
            <v>1</v>
          </cell>
          <cell r="L29" t="str">
            <v>x</v>
          </cell>
          <cell r="M29">
            <v>1</v>
          </cell>
        </row>
        <row r="30">
          <cell r="B30" t="str">
            <v>가) 재 료 비</v>
          </cell>
        </row>
        <row r="31">
          <cell r="B31" t="str">
            <v>고압반</v>
          </cell>
          <cell r="C31" t="str">
            <v>1000*1500*2300</v>
          </cell>
          <cell r="D31" t="str">
            <v>면</v>
          </cell>
          <cell r="E31">
            <v>1</v>
          </cell>
          <cell r="M31" t="str">
            <v>관급</v>
          </cell>
        </row>
        <row r="32">
          <cell r="B32" t="str">
            <v>개폐기</v>
          </cell>
          <cell r="C32" t="str">
            <v>AS 7.2KV 3P 200A</v>
          </cell>
          <cell r="D32" t="str">
            <v>대</v>
          </cell>
          <cell r="E32">
            <v>1</v>
          </cell>
        </row>
        <row r="35">
          <cell r="B35" t="str">
            <v>나) 노 무 비</v>
          </cell>
          <cell r="L35">
            <v>0</v>
          </cell>
        </row>
        <row r="36">
          <cell r="C36" t="str">
            <v>플랜트전공</v>
          </cell>
          <cell r="D36" t="str">
            <v>인</v>
          </cell>
          <cell r="E36">
            <v>3.7</v>
          </cell>
          <cell r="H36">
            <v>59158</v>
          </cell>
          <cell r="I36">
            <v>218884.6</v>
          </cell>
          <cell r="L36">
            <v>218884.6</v>
          </cell>
        </row>
        <row r="37">
          <cell r="C37" t="str">
            <v>비  계  공</v>
          </cell>
          <cell r="D37" t="str">
            <v>인</v>
          </cell>
          <cell r="E37">
            <v>2.5</v>
          </cell>
          <cell r="H37">
            <v>71272</v>
          </cell>
          <cell r="I37">
            <v>178180</v>
          </cell>
          <cell r="L37">
            <v>178180</v>
          </cell>
        </row>
        <row r="38">
          <cell r="C38" t="str">
            <v>보 통 인 부</v>
          </cell>
          <cell r="D38" t="str">
            <v>인</v>
          </cell>
          <cell r="E38">
            <v>2.5</v>
          </cell>
          <cell r="G38">
            <v>0</v>
          </cell>
          <cell r="H38">
            <v>38932</v>
          </cell>
          <cell r="I38">
            <v>97330</v>
          </cell>
          <cell r="K38">
            <v>0</v>
          </cell>
          <cell r="L38">
            <v>97330</v>
          </cell>
        </row>
        <row r="42">
          <cell r="B42" t="str">
            <v>다) 공구손료</v>
          </cell>
        </row>
        <row r="43">
          <cell r="C43" t="str">
            <v>플랜트전공</v>
          </cell>
          <cell r="D43" t="str">
            <v>인</v>
          </cell>
          <cell r="E43">
            <v>0.11</v>
          </cell>
          <cell r="J43">
            <v>59158</v>
          </cell>
          <cell r="K43">
            <v>6507</v>
          </cell>
          <cell r="L43">
            <v>6507</v>
          </cell>
        </row>
        <row r="44">
          <cell r="C44" t="str">
            <v>비  계  공</v>
          </cell>
          <cell r="D44" t="str">
            <v>인</v>
          </cell>
          <cell r="E44">
            <v>7.0000000000000007E-2</v>
          </cell>
          <cell r="J44">
            <v>71272</v>
          </cell>
          <cell r="K44">
            <v>4989</v>
          </cell>
          <cell r="L44">
            <v>4989</v>
          </cell>
        </row>
        <row r="45">
          <cell r="C45" t="str">
            <v>보 통 인 부</v>
          </cell>
          <cell r="D45" t="str">
            <v>인</v>
          </cell>
          <cell r="E45">
            <v>7.0000000000000007E-2</v>
          </cell>
          <cell r="J45">
            <v>38932</v>
          </cell>
          <cell r="K45">
            <v>2725</v>
          </cell>
          <cell r="L45">
            <v>2725</v>
          </cell>
        </row>
        <row r="51">
          <cell r="A51" t="str">
            <v>30신_2</v>
          </cell>
          <cell r="B51" t="str">
            <v>합    계</v>
          </cell>
          <cell r="G51">
            <v>0</v>
          </cell>
          <cell r="I51">
            <v>494394.6</v>
          </cell>
          <cell r="K51">
            <v>14221</v>
          </cell>
          <cell r="L51">
            <v>508615.6</v>
          </cell>
        </row>
        <row r="54">
          <cell r="A54" t="str">
            <v>30신_3A</v>
          </cell>
          <cell r="B54" t="str">
            <v>3. 변압기신설</v>
          </cell>
          <cell r="C54" t="str">
            <v>TR-1 3상 6.6kV 100kVA</v>
          </cell>
          <cell r="D54" t="str">
            <v>면</v>
          </cell>
          <cell r="E54">
            <v>1</v>
          </cell>
          <cell r="L54" t="str">
            <v>x</v>
          </cell>
          <cell r="M54">
            <v>1</v>
          </cell>
        </row>
        <row r="55">
          <cell r="B55" t="str">
            <v>가) 재 료 비</v>
          </cell>
        </row>
        <row r="56">
          <cell r="B56" t="str">
            <v>변압기반</v>
          </cell>
          <cell r="C56" t="str">
            <v>1400*1500*2600</v>
          </cell>
          <cell r="D56" t="str">
            <v>면</v>
          </cell>
          <cell r="E56">
            <v>1</v>
          </cell>
          <cell r="M56" t="str">
            <v>관급</v>
          </cell>
        </row>
        <row r="57">
          <cell r="B57" t="str">
            <v>개폐기</v>
          </cell>
          <cell r="C57" t="str">
            <v>AS 7.2KV 3P 200A</v>
          </cell>
          <cell r="D57" t="str">
            <v>대</v>
          </cell>
          <cell r="E57">
            <v>1</v>
          </cell>
          <cell r="G57">
            <v>0</v>
          </cell>
          <cell r="L57">
            <v>0</v>
          </cell>
        </row>
        <row r="58">
          <cell r="B58" t="str">
            <v>개폐기</v>
          </cell>
          <cell r="C58" t="str">
            <v>COS 7.2KV 100AF</v>
          </cell>
          <cell r="D58" t="str">
            <v>EA</v>
          </cell>
          <cell r="E58">
            <v>3</v>
          </cell>
        </row>
        <row r="59">
          <cell r="B59" t="str">
            <v>MOLD TR</v>
          </cell>
          <cell r="C59" t="str">
            <v>3상3선 6.6kV/220V 100kVA</v>
          </cell>
          <cell r="D59" t="str">
            <v>대</v>
          </cell>
          <cell r="E59">
            <v>1</v>
          </cell>
        </row>
        <row r="61">
          <cell r="B61" t="str">
            <v>나) 노 무 비</v>
          </cell>
        </row>
        <row r="62">
          <cell r="C62" t="str">
            <v>플랜트전공</v>
          </cell>
          <cell r="D62" t="str">
            <v>인</v>
          </cell>
          <cell r="E62">
            <v>4</v>
          </cell>
          <cell r="H62">
            <v>59158</v>
          </cell>
          <cell r="I62">
            <v>236632</v>
          </cell>
          <cell r="L62">
            <v>236632</v>
          </cell>
        </row>
        <row r="63">
          <cell r="C63" t="str">
            <v>비  계  공</v>
          </cell>
          <cell r="D63" t="str">
            <v>인</v>
          </cell>
          <cell r="E63">
            <v>2.7</v>
          </cell>
          <cell r="H63">
            <v>71272</v>
          </cell>
          <cell r="I63">
            <v>192434.40000000002</v>
          </cell>
          <cell r="L63">
            <v>192434.40000000002</v>
          </cell>
        </row>
        <row r="64">
          <cell r="C64" t="str">
            <v>보 통 인 부</v>
          </cell>
          <cell r="D64" t="str">
            <v>인</v>
          </cell>
          <cell r="E64">
            <v>2.7</v>
          </cell>
          <cell r="H64">
            <v>38932</v>
          </cell>
          <cell r="I64">
            <v>105116.40000000001</v>
          </cell>
          <cell r="K64">
            <v>0</v>
          </cell>
          <cell r="L64">
            <v>105116.40000000001</v>
          </cell>
        </row>
        <row r="66">
          <cell r="B66" t="str">
            <v>다) 공구손료</v>
          </cell>
        </row>
        <row r="67">
          <cell r="C67" t="str">
            <v>플랜트전공</v>
          </cell>
          <cell r="D67" t="str">
            <v>인</v>
          </cell>
          <cell r="E67">
            <v>0.12</v>
          </cell>
          <cell r="G67">
            <v>0</v>
          </cell>
          <cell r="J67">
            <v>59158</v>
          </cell>
          <cell r="K67">
            <v>7098</v>
          </cell>
          <cell r="L67">
            <v>7098</v>
          </cell>
        </row>
        <row r="68">
          <cell r="C68" t="str">
            <v>비  계  공</v>
          </cell>
          <cell r="D68" t="str">
            <v>인</v>
          </cell>
          <cell r="E68">
            <v>0.08</v>
          </cell>
          <cell r="J68">
            <v>71272</v>
          </cell>
          <cell r="K68">
            <v>5701</v>
          </cell>
          <cell r="L68">
            <v>5701</v>
          </cell>
        </row>
        <row r="69">
          <cell r="C69" t="str">
            <v>보 통 인 부</v>
          </cell>
          <cell r="D69" t="str">
            <v>인</v>
          </cell>
          <cell r="E69">
            <v>0.08</v>
          </cell>
          <cell r="J69">
            <v>38932</v>
          </cell>
          <cell r="K69">
            <v>3114</v>
          </cell>
          <cell r="L69">
            <v>3114</v>
          </cell>
        </row>
        <row r="75">
          <cell r="A75" t="str">
            <v>30신_3</v>
          </cell>
          <cell r="B75" t="str">
            <v>합    계</v>
          </cell>
          <cell r="G75">
            <v>0</v>
          </cell>
          <cell r="I75">
            <v>534182.80000000005</v>
          </cell>
          <cell r="K75">
            <v>15913</v>
          </cell>
          <cell r="L75">
            <v>550095.80000000005</v>
          </cell>
        </row>
        <row r="79">
          <cell r="A79" t="str">
            <v>30신_4A</v>
          </cell>
          <cell r="B79" t="str">
            <v>4. 변압기신설</v>
          </cell>
          <cell r="C79" t="str">
            <v>TR-2 3상 6.6kV 200kVA</v>
          </cell>
          <cell r="D79" t="str">
            <v>면</v>
          </cell>
          <cell r="E79">
            <v>1</v>
          </cell>
          <cell r="L79" t="str">
            <v>x</v>
          </cell>
          <cell r="M79">
            <v>1</v>
          </cell>
        </row>
        <row r="80">
          <cell r="B80" t="str">
            <v>가) 재 료 비</v>
          </cell>
        </row>
        <row r="81">
          <cell r="B81" t="str">
            <v>변압기반</v>
          </cell>
          <cell r="C81" t="str">
            <v>1300*1500*2300</v>
          </cell>
          <cell r="D81" t="str">
            <v>면</v>
          </cell>
          <cell r="E81">
            <v>1</v>
          </cell>
          <cell r="M81" t="str">
            <v>관급</v>
          </cell>
        </row>
        <row r="82">
          <cell r="B82" t="str">
            <v>개폐기</v>
          </cell>
          <cell r="C82" t="str">
            <v>COS 7.2KV 100AF</v>
          </cell>
          <cell r="D82" t="str">
            <v>EA</v>
          </cell>
          <cell r="E82">
            <v>3</v>
          </cell>
        </row>
        <row r="83">
          <cell r="B83" t="str">
            <v>MOLD TR</v>
          </cell>
          <cell r="C83" t="str">
            <v>3상4선 6.6kV/380-220V 200kVA</v>
          </cell>
          <cell r="D83" t="str">
            <v>대</v>
          </cell>
          <cell r="E83">
            <v>1</v>
          </cell>
        </row>
        <row r="84">
          <cell r="G84">
            <v>0</v>
          </cell>
          <cell r="L84">
            <v>0</v>
          </cell>
        </row>
        <row r="86">
          <cell r="B86" t="str">
            <v>나) 노 무 비</v>
          </cell>
        </row>
        <row r="87">
          <cell r="C87" t="str">
            <v>플랜트전공</v>
          </cell>
          <cell r="D87" t="str">
            <v>인</v>
          </cell>
          <cell r="E87">
            <v>5.4</v>
          </cell>
          <cell r="H87">
            <v>59158</v>
          </cell>
          <cell r="I87">
            <v>319453.2</v>
          </cell>
          <cell r="L87">
            <v>319453.2</v>
          </cell>
        </row>
        <row r="88">
          <cell r="C88" t="str">
            <v>비  계  공</v>
          </cell>
          <cell r="D88" t="str">
            <v>인</v>
          </cell>
          <cell r="E88">
            <v>3.6</v>
          </cell>
          <cell r="H88">
            <v>71272</v>
          </cell>
          <cell r="I88">
            <v>256579.20000000001</v>
          </cell>
          <cell r="L88">
            <v>256579.20000000001</v>
          </cell>
        </row>
        <row r="89">
          <cell r="C89" t="str">
            <v>보 통 인 부</v>
          </cell>
          <cell r="D89" t="str">
            <v>인</v>
          </cell>
          <cell r="E89">
            <v>3.6</v>
          </cell>
          <cell r="H89">
            <v>38932</v>
          </cell>
          <cell r="I89">
            <v>140155.20000000001</v>
          </cell>
          <cell r="K89">
            <v>0</v>
          </cell>
          <cell r="L89">
            <v>140155.20000000001</v>
          </cell>
        </row>
        <row r="93">
          <cell r="B93" t="str">
            <v>다) 공구손료</v>
          </cell>
        </row>
        <row r="94">
          <cell r="C94" t="str">
            <v>플랜트전공</v>
          </cell>
          <cell r="D94" t="str">
            <v>인</v>
          </cell>
          <cell r="E94">
            <v>0.16</v>
          </cell>
          <cell r="G94">
            <v>0</v>
          </cell>
          <cell r="J94">
            <v>59158</v>
          </cell>
          <cell r="K94">
            <v>9465</v>
          </cell>
          <cell r="L94">
            <v>9465</v>
          </cell>
        </row>
        <row r="95">
          <cell r="C95" t="str">
            <v>비  계  공</v>
          </cell>
          <cell r="D95" t="str">
            <v>인</v>
          </cell>
          <cell r="E95">
            <v>0.1</v>
          </cell>
          <cell r="J95">
            <v>71272</v>
          </cell>
          <cell r="K95">
            <v>7127</v>
          </cell>
          <cell r="L95">
            <v>7127</v>
          </cell>
        </row>
        <row r="96">
          <cell r="C96" t="str">
            <v>보 통 인 부</v>
          </cell>
          <cell r="D96" t="str">
            <v>인</v>
          </cell>
          <cell r="E96">
            <v>0.1</v>
          </cell>
          <cell r="J96">
            <v>38932</v>
          </cell>
          <cell r="K96">
            <v>3893</v>
          </cell>
          <cell r="L96">
            <v>3893</v>
          </cell>
        </row>
        <row r="100">
          <cell r="A100" t="str">
            <v>30신_4</v>
          </cell>
          <cell r="B100" t="str">
            <v>합    계</v>
          </cell>
          <cell r="G100">
            <v>0</v>
          </cell>
          <cell r="I100">
            <v>716187.60000000009</v>
          </cell>
          <cell r="K100">
            <v>20485</v>
          </cell>
          <cell r="L100">
            <v>736672.60000000009</v>
          </cell>
        </row>
        <row r="104">
          <cell r="A104" t="str">
            <v>30신_5A</v>
          </cell>
          <cell r="B104" t="str">
            <v>5. 변압기신설</v>
          </cell>
          <cell r="C104" t="str">
            <v>TR-3 3상 6.6kV 350kVA</v>
          </cell>
          <cell r="D104" t="str">
            <v>면</v>
          </cell>
          <cell r="E104">
            <v>1</v>
          </cell>
          <cell r="L104" t="str">
            <v>x</v>
          </cell>
          <cell r="M104">
            <v>1</v>
          </cell>
        </row>
        <row r="105">
          <cell r="B105" t="str">
            <v>가) 재 료 비</v>
          </cell>
        </row>
        <row r="106">
          <cell r="B106" t="str">
            <v>변압기반</v>
          </cell>
          <cell r="C106" t="str">
            <v>1600*1500*2300</v>
          </cell>
          <cell r="D106" t="str">
            <v>면</v>
          </cell>
          <cell r="E106">
            <v>1</v>
          </cell>
          <cell r="M106" t="str">
            <v>관급</v>
          </cell>
        </row>
        <row r="107">
          <cell r="B107" t="str">
            <v>개폐기</v>
          </cell>
          <cell r="C107" t="str">
            <v>COS 7.2KV 100AF</v>
          </cell>
          <cell r="D107" t="str">
            <v>EA</v>
          </cell>
          <cell r="E107">
            <v>3</v>
          </cell>
          <cell r="G107">
            <v>0</v>
          </cell>
          <cell r="L107">
            <v>0</v>
          </cell>
        </row>
        <row r="108">
          <cell r="B108" t="str">
            <v>MOLD TR</v>
          </cell>
          <cell r="C108" t="str">
            <v>3상4선 6.6kV/380-220V 350kVA</v>
          </cell>
          <cell r="D108" t="str">
            <v>대</v>
          </cell>
          <cell r="E108">
            <v>1</v>
          </cell>
        </row>
        <row r="111">
          <cell r="B111" t="str">
            <v>나) 노 무 비</v>
          </cell>
        </row>
        <row r="112">
          <cell r="C112" t="str">
            <v>플랜트전공</v>
          </cell>
          <cell r="D112" t="str">
            <v>인</v>
          </cell>
          <cell r="E112">
            <v>5.9</v>
          </cell>
          <cell r="H112">
            <v>59158</v>
          </cell>
          <cell r="I112">
            <v>349032.2</v>
          </cell>
          <cell r="L112">
            <v>349032.2</v>
          </cell>
        </row>
        <row r="113">
          <cell r="C113" t="str">
            <v>비  계  공</v>
          </cell>
          <cell r="D113" t="str">
            <v>인</v>
          </cell>
          <cell r="E113">
            <v>4</v>
          </cell>
          <cell r="H113">
            <v>71272</v>
          </cell>
          <cell r="I113">
            <v>285088</v>
          </cell>
          <cell r="L113">
            <v>285088</v>
          </cell>
        </row>
        <row r="114">
          <cell r="C114" t="str">
            <v>보 통 인 부</v>
          </cell>
          <cell r="D114" t="str">
            <v>인</v>
          </cell>
          <cell r="E114">
            <v>4</v>
          </cell>
          <cell r="H114">
            <v>38932</v>
          </cell>
          <cell r="I114">
            <v>155728</v>
          </cell>
          <cell r="K114">
            <v>0</v>
          </cell>
          <cell r="L114">
            <v>155728</v>
          </cell>
        </row>
        <row r="118">
          <cell r="B118" t="str">
            <v>다) 공구손료</v>
          </cell>
        </row>
        <row r="119">
          <cell r="C119" t="str">
            <v>플랜트전공</v>
          </cell>
          <cell r="D119" t="str">
            <v>인</v>
          </cell>
          <cell r="E119">
            <v>0.17</v>
          </cell>
          <cell r="G119">
            <v>0</v>
          </cell>
          <cell r="J119">
            <v>59158</v>
          </cell>
          <cell r="K119">
            <v>10056</v>
          </cell>
          <cell r="L119">
            <v>10056</v>
          </cell>
        </row>
        <row r="120">
          <cell r="C120" t="str">
            <v>비  계  공</v>
          </cell>
          <cell r="D120" t="str">
            <v>인</v>
          </cell>
          <cell r="E120">
            <v>0.12</v>
          </cell>
          <cell r="J120">
            <v>71272</v>
          </cell>
          <cell r="K120">
            <v>8552</v>
          </cell>
          <cell r="L120">
            <v>8552</v>
          </cell>
        </row>
        <row r="121">
          <cell r="C121" t="str">
            <v>보 통 인 부</v>
          </cell>
          <cell r="D121" t="str">
            <v>인</v>
          </cell>
          <cell r="E121">
            <v>0.12</v>
          </cell>
          <cell r="J121">
            <v>38932</v>
          </cell>
          <cell r="K121">
            <v>4671</v>
          </cell>
          <cell r="L121">
            <v>4671</v>
          </cell>
        </row>
        <row r="125">
          <cell r="A125" t="str">
            <v>30신_5</v>
          </cell>
          <cell r="B125" t="str">
            <v>합    계</v>
          </cell>
          <cell r="G125">
            <v>0</v>
          </cell>
          <cell r="I125">
            <v>789848.2</v>
          </cell>
          <cell r="K125">
            <v>23279</v>
          </cell>
          <cell r="L125">
            <v>813127.2</v>
          </cell>
        </row>
        <row r="129">
          <cell r="A129" t="str">
            <v>30신_6A</v>
          </cell>
          <cell r="B129" t="str">
            <v>6. 변압기신설</v>
          </cell>
          <cell r="C129" t="str">
            <v>TR-4 3상 6.6kV 200kVA</v>
          </cell>
          <cell r="D129" t="str">
            <v>면</v>
          </cell>
          <cell r="E129">
            <v>1</v>
          </cell>
          <cell r="L129" t="str">
            <v>x</v>
          </cell>
          <cell r="M129">
            <v>1</v>
          </cell>
        </row>
        <row r="130">
          <cell r="B130" t="str">
            <v>가) 재 료 비</v>
          </cell>
        </row>
        <row r="131">
          <cell r="B131" t="str">
            <v>변압기반</v>
          </cell>
          <cell r="C131" t="str">
            <v>1400*1500*2300</v>
          </cell>
          <cell r="D131" t="str">
            <v>면</v>
          </cell>
          <cell r="E131">
            <v>1</v>
          </cell>
          <cell r="M131" t="str">
            <v>관급</v>
          </cell>
        </row>
        <row r="132">
          <cell r="B132" t="str">
            <v>개폐기</v>
          </cell>
          <cell r="C132" t="str">
            <v>COS 7.2KV 100AF</v>
          </cell>
          <cell r="D132" t="str">
            <v>EA</v>
          </cell>
          <cell r="E132">
            <v>3</v>
          </cell>
        </row>
        <row r="133">
          <cell r="B133" t="str">
            <v>MOLD TR</v>
          </cell>
          <cell r="C133" t="str">
            <v>3상3선 6.6kV/220V 200kVA</v>
          </cell>
          <cell r="D133" t="str">
            <v>대</v>
          </cell>
          <cell r="E133">
            <v>1</v>
          </cell>
        </row>
        <row r="134">
          <cell r="G134">
            <v>0</v>
          </cell>
          <cell r="L134">
            <v>0</v>
          </cell>
          <cell r="M134" t="str">
            <v>이설</v>
          </cell>
        </row>
        <row r="136">
          <cell r="B136" t="str">
            <v>나) 노 무 비</v>
          </cell>
        </row>
        <row r="137">
          <cell r="C137" t="str">
            <v>플랜트전공</v>
          </cell>
          <cell r="D137" t="str">
            <v>인</v>
          </cell>
          <cell r="E137">
            <v>4.0999999999999996</v>
          </cell>
          <cell r="H137">
            <v>59158</v>
          </cell>
          <cell r="I137">
            <v>242547.8</v>
          </cell>
          <cell r="L137">
            <v>242547.8</v>
          </cell>
        </row>
        <row r="138">
          <cell r="C138" t="str">
            <v>기계설치공</v>
          </cell>
          <cell r="D138" t="str">
            <v>인</v>
          </cell>
          <cell r="E138">
            <v>2.8</v>
          </cell>
          <cell r="H138">
            <v>54468</v>
          </cell>
          <cell r="I138">
            <v>152510.39999999999</v>
          </cell>
          <cell r="L138">
            <v>152510.39999999999</v>
          </cell>
        </row>
        <row r="139">
          <cell r="C139" t="str">
            <v>보 통 인 부</v>
          </cell>
          <cell r="D139" t="str">
            <v>인</v>
          </cell>
          <cell r="E139">
            <v>2.8</v>
          </cell>
          <cell r="H139">
            <v>38932</v>
          </cell>
          <cell r="I139">
            <v>109009.59999999999</v>
          </cell>
          <cell r="K139">
            <v>0</v>
          </cell>
          <cell r="L139">
            <v>109009.59999999999</v>
          </cell>
        </row>
        <row r="142">
          <cell r="B142" t="str">
            <v>다) 공구손료</v>
          </cell>
        </row>
        <row r="143">
          <cell r="C143" t="str">
            <v>플랜트전공</v>
          </cell>
          <cell r="D143" t="str">
            <v>인</v>
          </cell>
          <cell r="E143">
            <v>0.12</v>
          </cell>
          <cell r="G143">
            <v>0</v>
          </cell>
          <cell r="J143">
            <v>59158</v>
          </cell>
          <cell r="K143">
            <v>7098</v>
          </cell>
          <cell r="L143">
            <v>7098</v>
          </cell>
        </row>
        <row r="144">
          <cell r="C144" t="str">
            <v>기계설치공</v>
          </cell>
          <cell r="D144" t="str">
            <v>인</v>
          </cell>
          <cell r="E144">
            <v>0.08</v>
          </cell>
          <cell r="J144">
            <v>54468</v>
          </cell>
          <cell r="K144">
            <v>4357</v>
          </cell>
          <cell r="L144">
            <v>4357</v>
          </cell>
        </row>
        <row r="145">
          <cell r="C145" t="str">
            <v>보 통 인 부</v>
          </cell>
          <cell r="D145" t="str">
            <v>인</v>
          </cell>
          <cell r="E145">
            <v>0.08</v>
          </cell>
          <cell r="J145">
            <v>38932</v>
          </cell>
          <cell r="K145">
            <v>3114</v>
          </cell>
          <cell r="L145">
            <v>3114</v>
          </cell>
        </row>
        <row r="150">
          <cell r="A150" t="str">
            <v>30신_6</v>
          </cell>
          <cell r="B150" t="str">
            <v>합    계</v>
          </cell>
          <cell r="G150">
            <v>0</v>
          </cell>
          <cell r="I150">
            <v>504067.79999999993</v>
          </cell>
          <cell r="K150">
            <v>14569</v>
          </cell>
          <cell r="L150">
            <v>518636.79999999993</v>
          </cell>
        </row>
        <row r="154">
          <cell r="A154" t="str">
            <v>30신_7A</v>
          </cell>
          <cell r="B154" t="str">
            <v>7. 변압기신설</v>
          </cell>
          <cell r="C154" t="str">
            <v>TR-5 3상 6.6kV 300kVA</v>
          </cell>
          <cell r="D154" t="str">
            <v>면</v>
          </cell>
          <cell r="E154">
            <v>1</v>
          </cell>
          <cell r="L154" t="str">
            <v>x</v>
          </cell>
          <cell r="M154">
            <v>1</v>
          </cell>
        </row>
        <row r="155">
          <cell r="B155" t="str">
            <v>가) 재 료 비</v>
          </cell>
        </row>
        <row r="156">
          <cell r="B156" t="str">
            <v>변압기반</v>
          </cell>
          <cell r="C156" t="str">
            <v>1500*1500*1300</v>
          </cell>
          <cell r="D156" t="str">
            <v>면</v>
          </cell>
          <cell r="E156">
            <v>1</v>
          </cell>
          <cell r="M156" t="str">
            <v>관급</v>
          </cell>
        </row>
        <row r="157">
          <cell r="B157" t="str">
            <v>개폐기</v>
          </cell>
          <cell r="C157" t="str">
            <v>COS 7.2KV 100AF</v>
          </cell>
          <cell r="D157" t="str">
            <v>EA</v>
          </cell>
          <cell r="E157">
            <v>3</v>
          </cell>
        </row>
        <row r="158">
          <cell r="B158" t="str">
            <v>MOLD TR</v>
          </cell>
          <cell r="C158" t="str">
            <v>3상3선 6.6kV/440V 300kVA</v>
          </cell>
          <cell r="D158" t="str">
            <v>대</v>
          </cell>
          <cell r="E158">
            <v>1</v>
          </cell>
        </row>
        <row r="161">
          <cell r="B161" t="str">
            <v>나) 노 무 비</v>
          </cell>
        </row>
        <row r="162">
          <cell r="C162" t="str">
            <v>플랜트전공</v>
          </cell>
          <cell r="D162" t="str">
            <v>인</v>
          </cell>
          <cell r="E162">
            <v>5.8</v>
          </cell>
          <cell r="H162">
            <v>59158</v>
          </cell>
          <cell r="I162">
            <v>343116.39999999997</v>
          </cell>
          <cell r="L162">
            <v>343116.39999999997</v>
          </cell>
        </row>
        <row r="163">
          <cell r="C163" t="str">
            <v>비  계  공</v>
          </cell>
          <cell r="D163" t="str">
            <v>인</v>
          </cell>
          <cell r="E163">
            <v>3.9</v>
          </cell>
          <cell r="H163">
            <v>71272</v>
          </cell>
          <cell r="I163">
            <v>277960.8</v>
          </cell>
          <cell r="L163">
            <v>277960.8</v>
          </cell>
        </row>
        <row r="164">
          <cell r="C164" t="str">
            <v>보 통 인 부</v>
          </cell>
          <cell r="D164" t="str">
            <v>인</v>
          </cell>
          <cell r="E164">
            <v>3.9</v>
          </cell>
          <cell r="H164">
            <v>38932</v>
          </cell>
          <cell r="I164">
            <v>151834.79999999999</v>
          </cell>
          <cell r="K164">
            <v>0</v>
          </cell>
          <cell r="L164">
            <v>151834.79999999999</v>
          </cell>
        </row>
        <row r="167">
          <cell r="B167" t="str">
            <v>다) 공구손료</v>
          </cell>
        </row>
        <row r="168">
          <cell r="C168" t="str">
            <v>플랜트전공</v>
          </cell>
          <cell r="D168" t="str">
            <v>인</v>
          </cell>
          <cell r="E168">
            <v>0.17</v>
          </cell>
          <cell r="G168">
            <v>0</v>
          </cell>
          <cell r="J168">
            <v>59158</v>
          </cell>
          <cell r="K168">
            <v>10056</v>
          </cell>
          <cell r="L168">
            <v>10056</v>
          </cell>
        </row>
        <row r="169">
          <cell r="C169" t="str">
            <v>비  계  공</v>
          </cell>
          <cell r="D169" t="str">
            <v>인</v>
          </cell>
          <cell r="E169">
            <v>0.11</v>
          </cell>
          <cell r="J169">
            <v>71272</v>
          </cell>
          <cell r="K169">
            <v>7839</v>
          </cell>
          <cell r="L169">
            <v>7839</v>
          </cell>
        </row>
        <row r="170">
          <cell r="C170" t="str">
            <v>보 통 인 부</v>
          </cell>
          <cell r="D170" t="str">
            <v>인</v>
          </cell>
          <cell r="E170">
            <v>0.11</v>
          </cell>
          <cell r="J170">
            <v>38932</v>
          </cell>
          <cell r="K170">
            <v>4282</v>
          </cell>
          <cell r="L170">
            <v>4282</v>
          </cell>
        </row>
        <row r="175">
          <cell r="A175" t="str">
            <v>30신_7</v>
          </cell>
          <cell r="B175" t="str">
            <v>합    계</v>
          </cell>
          <cell r="G175">
            <v>0</v>
          </cell>
          <cell r="I175">
            <v>772912</v>
          </cell>
          <cell r="K175">
            <v>22177</v>
          </cell>
          <cell r="L175">
            <v>795089</v>
          </cell>
        </row>
        <row r="179">
          <cell r="A179" t="str">
            <v>30신_8A</v>
          </cell>
          <cell r="B179" t="str">
            <v>8. 배전반 신설</v>
          </cell>
          <cell r="C179" t="str">
            <v>LV-01</v>
          </cell>
          <cell r="D179" t="str">
            <v>면</v>
          </cell>
          <cell r="E179">
            <v>1</v>
          </cell>
          <cell r="L179" t="str">
            <v>x</v>
          </cell>
          <cell r="M179">
            <v>1</v>
          </cell>
        </row>
        <row r="180">
          <cell r="B180" t="str">
            <v>가) 재 료 비</v>
          </cell>
        </row>
        <row r="181">
          <cell r="B181" t="str">
            <v>저압반</v>
          </cell>
          <cell r="C181" t="str">
            <v>800*1500*2600</v>
          </cell>
          <cell r="D181" t="str">
            <v>면</v>
          </cell>
          <cell r="E181">
            <v>1</v>
          </cell>
          <cell r="M181" t="str">
            <v>관급</v>
          </cell>
        </row>
        <row r="182">
          <cell r="B182" t="str">
            <v>A-METER</v>
          </cell>
          <cell r="C182" t="str">
            <v>110x110</v>
          </cell>
          <cell r="D182" t="str">
            <v>EA</v>
          </cell>
          <cell r="E182">
            <v>2</v>
          </cell>
        </row>
        <row r="183">
          <cell r="B183" t="str">
            <v>V-METER</v>
          </cell>
          <cell r="C183" t="str">
            <v>110x110</v>
          </cell>
          <cell r="D183" t="str">
            <v>EA</v>
          </cell>
          <cell r="E183">
            <v>2</v>
          </cell>
        </row>
        <row r="184">
          <cell r="B184" t="str">
            <v>KW-METER 3P4W</v>
          </cell>
          <cell r="C184" t="str">
            <v>110x110/150x150</v>
          </cell>
          <cell r="D184" t="str">
            <v>EA</v>
          </cell>
          <cell r="E184">
            <v>2</v>
          </cell>
        </row>
        <row r="185">
          <cell r="B185" t="str">
            <v>PF-METER 3P4W</v>
          </cell>
          <cell r="C185" t="str">
            <v>80x80/100x80</v>
          </cell>
          <cell r="D185" t="str">
            <v>EA</v>
          </cell>
          <cell r="E185">
            <v>2</v>
          </cell>
        </row>
        <row r="186">
          <cell r="B186" t="str">
            <v>C.T</v>
          </cell>
          <cell r="C186" t="str">
            <v>400/5A</v>
          </cell>
          <cell r="D186" t="str">
            <v>EA</v>
          </cell>
          <cell r="E186">
            <v>6</v>
          </cell>
        </row>
        <row r="187">
          <cell r="B187" t="str">
            <v>CONDENSER (440V)</v>
          </cell>
          <cell r="C187" t="str">
            <v>3P 10KVA (185μF)</v>
          </cell>
          <cell r="D187" t="str">
            <v>EA</v>
          </cell>
          <cell r="E187">
            <v>1</v>
          </cell>
        </row>
        <row r="188">
          <cell r="B188" t="str">
            <v>CONDENSER (440V)</v>
          </cell>
          <cell r="C188" t="str">
            <v>3P 5KVA</v>
          </cell>
          <cell r="D188" t="str">
            <v>EA</v>
          </cell>
          <cell r="E188">
            <v>1</v>
          </cell>
        </row>
        <row r="189">
          <cell r="B189" t="str">
            <v>MCCB</v>
          </cell>
          <cell r="C189" t="str">
            <v>표준형 4P 400AF</v>
          </cell>
          <cell r="D189" t="str">
            <v>EA</v>
          </cell>
          <cell r="E189">
            <v>1</v>
          </cell>
        </row>
        <row r="190">
          <cell r="B190" t="str">
            <v>MCCB</v>
          </cell>
          <cell r="C190" t="str">
            <v>표준형 3P 400AF</v>
          </cell>
          <cell r="D190" t="str">
            <v>EA</v>
          </cell>
          <cell r="E190">
            <v>1</v>
          </cell>
        </row>
        <row r="191">
          <cell r="B191" t="str">
            <v>MCCB</v>
          </cell>
          <cell r="C191" t="str">
            <v>고차단형 4P 100AF</v>
          </cell>
          <cell r="D191" t="str">
            <v>EA</v>
          </cell>
          <cell r="E191">
            <v>10</v>
          </cell>
        </row>
        <row r="192">
          <cell r="B192" t="str">
            <v>MCCB</v>
          </cell>
          <cell r="C192" t="str">
            <v>고차단형 3P 100AF</v>
          </cell>
          <cell r="D192" t="str">
            <v>EA</v>
          </cell>
          <cell r="E192">
            <v>7</v>
          </cell>
        </row>
        <row r="193">
          <cell r="B193" t="str">
            <v>Z.C.T 600V (환형)</v>
          </cell>
          <cell r="C193" t="str">
            <v>65MM</v>
          </cell>
          <cell r="D193" t="str">
            <v>EA</v>
          </cell>
          <cell r="E193">
            <v>14</v>
          </cell>
        </row>
        <row r="194">
          <cell r="B194" t="str">
            <v>E.L.D</v>
          </cell>
          <cell r="C194" t="str">
            <v>5회로</v>
          </cell>
          <cell r="D194" t="str">
            <v>EA</v>
          </cell>
          <cell r="E194">
            <v>1</v>
          </cell>
        </row>
        <row r="195">
          <cell r="B195" t="str">
            <v>E.L.D</v>
          </cell>
          <cell r="C195" t="str">
            <v>10회로</v>
          </cell>
          <cell r="D195" t="str">
            <v>EA</v>
          </cell>
          <cell r="E195">
            <v>1</v>
          </cell>
        </row>
        <row r="196">
          <cell r="B196" t="str">
            <v>나) 노 무 비</v>
          </cell>
        </row>
        <row r="197">
          <cell r="C197" t="str">
            <v>플랜트전공</v>
          </cell>
          <cell r="D197" t="str">
            <v>인</v>
          </cell>
          <cell r="E197">
            <v>4.5999999999999996</v>
          </cell>
          <cell r="H197">
            <v>59158</v>
          </cell>
          <cell r="I197">
            <v>272126.8</v>
          </cell>
          <cell r="L197">
            <v>272126.8</v>
          </cell>
        </row>
        <row r="198">
          <cell r="C198" t="str">
            <v>보 통 인 부</v>
          </cell>
          <cell r="D198" t="str">
            <v>인</v>
          </cell>
          <cell r="E198">
            <v>1.5</v>
          </cell>
          <cell r="H198">
            <v>38932</v>
          </cell>
          <cell r="I198">
            <v>58398</v>
          </cell>
          <cell r="L198">
            <v>58398</v>
          </cell>
        </row>
        <row r="200">
          <cell r="B200" t="str">
            <v>다) 공구손료</v>
          </cell>
          <cell r="G200">
            <v>0</v>
          </cell>
          <cell r="I200">
            <v>0</v>
          </cell>
          <cell r="K200">
            <v>0</v>
          </cell>
          <cell r="L200">
            <v>0</v>
          </cell>
        </row>
        <row r="201">
          <cell r="C201" t="str">
            <v>플랜트전공</v>
          </cell>
          <cell r="D201" t="str">
            <v>인</v>
          </cell>
          <cell r="E201">
            <v>0.13</v>
          </cell>
          <cell r="J201">
            <v>59158</v>
          </cell>
          <cell r="K201">
            <v>7690</v>
          </cell>
          <cell r="L201">
            <v>7690</v>
          </cell>
        </row>
        <row r="202">
          <cell r="C202" t="str">
            <v>보 통 인 부</v>
          </cell>
          <cell r="D202" t="str">
            <v>인</v>
          </cell>
          <cell r="E202">
            <v>0.04</v>
          </cell>
          <cell r="J202">
            <v>38932</v>
          </cell>
          <cell r="K202">
            <v>1557</v>
          </cell>
          <cell r="L202">
            <v>1557</v>
          </cell>
        </row>
        <row r="203">
          <cell r="A203" t="str">
            <v>30신_8</v>
          </cell>
          <cell r="B203" t="str">
            <v>합    계</v>
          </cell>
          <cell r="G203">
            <v>0</v>
          </cell>
          <cell r="I203">
            <v>330524.79999999999</v>
          </cell>
          <cell r="K203">
            <v>9247</v>
          </cell>
          <cell r="L203">
            <v>339771.8</v>
          </cell>
        </row>
        <row r="204">
          <cell r="A204" t="str">
            <v>30신_9A</v>
          </cell>
          <cell r="B204" t="str">
            <v>9. 배전반 신설</v>
          </cell>
          <cell r="C204" t="str">
            <v>LV-02</v>
          </cell>
          <cell r="D204" t="str">
            <v>면</v>
          </cell>
          <cell r="E204">
            <v>1</v>
          </cell>
          <cell r="L204" t="str">
            <v>x</v>
          </cell>
          <cell r="M204">
            <v>1</v>
          </cell>
        </row>
        <row r="205">
          <cell r="B205" t="str">
            <v>가) 재 료 비</v>
          </cell>
        </row>
        <row r="206">
          <cell r="B206" t="str">
            <v>저압반</v>
          </cell>
          <cell r="C206" t="str">
            <v>800*1500*2600</v>
          </cell>
          <cell r="D206" t="str">
            <v>면</v>
          </cell>
          <cell r="E206">
            <v>1</v>
          </cell>
          <cell r="M206" t="str">
            <v>관급</v>
          </cell>
        </row>
        <row r="207">
          <cell r="B207" t="str">
            <v>A-METER</v>
          </cell>
          <cell r="C207" t="str">
            <v>110x110</v>
          </cell>
          <cell r="D207" t="str">
            <v>EA</v>
          </cell>
          <cell r="E207">
            <v>1</v>
          </cell>
        </row>
        <row r="208">
          <cell r="B208" t="str">
            <v>V-METER</v>
          </cell>
          <cell r="C208" t="str">
            <v>110x110</v>
          </cell>
          <cell r="D208" t="str">
            <v>EA</v>
          </cell>
          <cell r="E208">
            <v>1</v>
          </cell>
        </row>
        <row r="209">
          <cell r="B209" t="str">
            <v>KW-METER 3P4W</v>
          </cell>
          <cell r="C209" t="str">
            <v>110x110/150x150</v>
          </cell>
          <cell r="D209" t="str">
            <v>EA</v>
          </cell>
          <cell r="E209">
            <v>1</v>
          </cell>
        </row>
        <row r="210">
          <cell r="B210" t="str">
            <v>PF-METER 3P4W</v>
          </cell>
          <cell r="C210" t="str">
            <v>80x80/100x80</v>
          </cell>
          <cell r="D210" t="str">
            <v>EA</v>
          </cell>
          <cell r="E210">
            <v>1</v>
          </cell>
        </row>
        <row r="211">
          <cell r="B211" t="str">
            <v>C.T</v>
          </cell>
          <cell r="C211" t="str">
            <v>600/5A</v>
          </cell>
          <cell r="D211" t="str">
            <v>EA</v>
          </cell>
          <cell r="E211">
            <v>6</v>
          </cell>
        </row>
        <row r="212">
          <cell r="B212" t="str">
            <v>CONDENSER (440V)</v>
          </cell>
          <cell r="C212" t="str">
            <v>3P 20KVA (370μF)</v>
          </cell>
          <cell r="D212" t="str">
            <v>EA</v>
          </cell>
          <cell r="E212">
            <v>1</v>
          </cell>
        </row>
        <row r="213">
          <cell r="B213" t="str">
            <v>A.C.B (S.G.T)</v>
          </cell>
          <cell r="C213" t="str">
            <v>3P 600A</v>
          </cell>
          <cell r="D213" t="str">
            <v>EA</v>
          </cell>
          <cell r="E213">
            <v>1</v>
          </cell>
        </row>
        <row r="214">
          <cell r="B214" t="str">
            <v>MCCB</v>
          </cell>
          <cell r="C214" t="str">
            <v>고차단형 4P 225AF</v>
          </cell>
          <cell r="D214" t="str">
            <v>EA</v>
          </cell>
          <cell r="E214">
            <v>8</v>
          </cell>
        </row>
        <row r="215">
          <cell r="B215" t="str">
            <v>MCCB</v>
          </cell>
          <cell r="C215" t="str">
            <v>표준형 3P 100AF</v>
          </cell>
          <cell r="D215" t="str">
            <v>EA</v>
          </cell>
          <cell r="E215">
            <v>1</v>
          </cell>
        </row>
        <row r="216">
          <cell r="B216" t="str">
            <v>Z.C.T 600V (환형)</v>
          </cell>
          <cell r="C216" t="str">
            <v>80MM</v>
          </cell>
          <cell r="D216" t="str">
            <v>EA</v>
          </cell>
          <cell r="E216">
            <v>8</v>
          </cell>
        </row>
        <row r="217">
          <cell r="B217" t="str">
            <v>E.L.D</v>
          </cell>
          <cell r="C217" t="str">
            <v>10회로</v>
          </cell>
          <cell r="D217" t="str">
            <v>EA</v>
          </cell>
          <cell r="E217">
            <v>1</v>
          </cell>
        </row>
        <row r="218">
          <cell r="B218" t="str">
            <v>나) 노 무 비</v>
          </cell>
        </row>
        <row r="219">
          <cell r="C219" t="str">
            <v>플랜트전공</v>
          </cell>
          <cell r="D219" t="str">
            <v>인</v>
          </cell>
          <cell r="E219">
            <v>4.5999999999999996</v>
          </cell>
          <cell r="H219">
            <v>59158</v>
          </cell>
          <cell r="I219">
            <v>272126.8</v>
          </cell>
          <cell r="L219">
            <v>272126.8</v>
          </cell>
        </row>
        <row r="220">
          <cell r="C220" t="str">
            <v>보 통 인 부</v>
          </cell>
          <cell r="D220" t="str">
            <v>인</v>
          </cell>
          <cell r="E220">
            <v>1.5</v>
          </cell>
          <cell r="H220">
            <v>38932</v>
          </cell>
          <cell r="I220">
            <v>58398</v>
          </cell>
          <cell r="L220">
            <v>58398</v>
          </cell>
        </row>
        <row r="224">
          <cell r="B224" t="str">
            <v>다) 공구손료</v>
          </cell>
          <cell r="G224">
            <v>0</v>
          </cell>
          <cell r="I224">
            <v>0</v>
          </cell>
          <cell r="K224">
            <v>0</v>
          </cell>
          <cell r="L224">
            <v>0</v>
          </cell>
        </row>
        <row r="225">
          <cell r="C225" t="str">
            <v>플랜트전공</v>
          </cell>
          <cell r="D225" t="str">
            <v>인</v>
          </cell>
          <cell r="E225">
            <v>0.13</v>
          </cell>
          <cell r="J225">
            <v>59158</v>
          </cell>
          <cell r="K225">
            <v>7690</v>
          </cell>
          <cell r="L225">
            <v>7690</v>
          </cell>
        </row>
        <row r="226">
          <cell r="C226" t="str">
            <v>보 통 인 부</v>
          </cell>
          <cell r="D226" t="str">
            <v>인</v>
          </cell>
          <cell r="E226">
            <v>0.04</v>
          </cell>
          <cell r="J226">
            <v>38932</v>
          </cell>
          <cell r="K226">
            <v>1557</v>
          </cell>
          <cell r="L226">
            <v>1557</v>
          </cell>
        </row>
        <row r="228">
          <cell r="A228" t="str">
            <v>30신_9</v>
          </cell>
          <cell r="B228" t="str">
            <v>합    계</v>
          </cell>
          <cell r="G228">
            <v>0</v>
          </cell>
          <cell r="I228">
            <v>330524.79999999999</v>
          </cell>
          <cell r="K228">
            <v>9247</v>
          </cell>
          <cell r="L228">
            <v>339771.8</v>
          </cell>
        </row>
        <row r="229">
          <cell r="A229" t="str">
            <v>30신_10A</v>
          </cell>
          <cell r="B229" t="str">
            <v>10. 배전반 신설</v>
          </cell>
          <cell r="C229" t="str">
            <v>LV-03</v>
          </cell>
          <cell r="D229" t="str">
            <v>면</v>
          </cell>
          <cell r="E229">
            <v>1</v>
          </cell>
          <cell r="L229" t="str">
            <v>x</v>
          </cell>
          <cell r="M229">
            <v>1</v>
          </cell>
        </row>
        <row r="230">
          <cell r="B230" t="str">
            <v>가) 재 료 비</v>
          </cell>
        </row>
        <row r="231">
          <cell r="B231" t="str">
            <v>저압반</v>
          </cell>
          <cell r="C231" t="str">
            <v>800*1500*2600</v>
          </cell>
          <cell r="D231" t="str">
            <v>면</v>
          </cell>
          <cell r="E231">
            <v>1</v>
          </cell>
          <cell r="M231" t="str">
            <v>관급</v>
          </cell>
        </row>
        <row r="232">
          <cell r="B232" t="str">
            <v>A-METER</v>
          </cell>
          <cell r="C232" t="str">
            <v>110x110</v>
          </cell>
          <cell r="D232" t="str">
            <v>EA</v>
          </cell>
          <cell r="E232">
            <v>2</v>
          </cell>
        </row>
        <row r="233">
          <cell r="B233" t="str">
            <v>V-METER</v>
          </cell>
          <cell r="C233" t="str">
            <v>110x110</v>
          </cell>
          <cell r="D233" t="str">
            <v>EA</v>
          </cell>
          <cell r="E233">
            <v>2</v>
          </cell>
        </row>
        <row r="234">
          <cell r="B234" t="str">
            <v>KW-METER 3P4W</v>
          </cell>
          <cell r="C234" t="str">
            <v>110x110/150x150</v>
          </cell>
          <cell r="D234" t="str">
            <v>EA</v>
          </cell>
          <cell r="E234">
            <v>1</v>
          </cell>
        </row>
        <row r="235">
          <cell r="B235" t="str">
            <v>PF-METER 3P4W</v>
          </cell>
          <cell r="C235" t="str">
            <v>80x80/100x80</v>
          </cell>
          <cell r="D235" t="str">
            <v>EA</v>
          </cell>
          <cell r="E235">
            <v>1</v>
          </cell>
        </row>
        <row r="236">
          <cell r="B236" t="str">
            <v>V0-METER</v>
          </cell>
          <cell r="C236" t="str">
            <v>110x110</v>
          </cell>
          <cell r="D236" t="str">
            <v>EA</v>
          </cell>
          <cell r="E236">
            <v>1</v>
          </cell>
        </row>
        <row r="237">
          <cell r="B237" t="str">
            <v>C.T</v>
          </cell>
          <cell r="C237" t="str">
            <v>600/5A</v>
          </cell>
          <cell r="D237" t="str">
            <v>EA</v>
          </cell>
          <cell r="E237">
            <v>6</v>
          </cell>
        </row>
        <row r="238">
          <cell r="B238" t="str">
            <v>G.P.T(380/110/190V)</v>
          </cell>
          <cell r="C238" t="str">
            <v>100VA</v>
          </cell>
          <cell r="D238" t="str">
            <v>EA</v>
          </cell>
          <cell r="E238">
            <v>3</v>
          </cell>
        </row>
        <row r="239">
          <cell r="B239" t="str">
            <v>CONDENSER (440V)</v>
          </cell>
          <cell r="C239" t="str">
            <v>3P 10KVA (185μF)</v>
          </cell>
          <cell r="D239" t="str">
            <v>EA</v>
          </cell>
          <cell r="E239">
            <v>1</v>
          </cell>
        </row>
        <row r="240">
          <cell r="B240" t="str">
            <v>CONDENSER (440V)</v>
          </cell>
          <cell r="C240" t="str">
            <v>3P 15KVA (280μF)</v>
          </cell>
          <cell r="D240" t="str">
            <v>EA</v>
          </cell>
          <cell r="E240">
            <v>1</v>
          </cell>
        </row>
        <row r="241">
          <cell r="B241" t="str">
            <v>MCCB</v>
          </cell>
          <cell r="C241" t="str">
            <v>표준형 3P 600AF</v>
          </cell>
          <cell r="D241" t="str">
            <v>EA</v>
          </cell>
          <cell r="E241">
            <v>1</v>
          </cell>
        </row>
        <row r="242">
          <cell r="B242" t="str">
            <v>MCCB</v>
          </cell>
          <cell r="C242" t="str">
            <v>고차단형 3P 225AF</v>
          </cell>
          <cell r="D242" t="str">
            <v>EA</v>
          </cell>
          <cell r="E242">
            <v>11</v>
          </cell>
        </row>
        <row r="243">
          <cell r="B243" t="str">
            <v>MCCB</v>
          </cell>
          <cell r="C243" t="str">
            <v>고차단형 3P 100AF</v>
          </cell>
          <cell r="D243" t="str">
            <v>EA</v>
          </cell>
          <cell r="E243">
            <v>5</v>
          </cell>
        </row>
        <row r="244">
          <cell r="B244" t="str">
            <v>MCCB</v>
          </cell>
          <cell r="C244" t="str">
            <v>고차단형 2P 225AF</v>
          </cell>
          <cell r="D244" t="str">
            <v>EA</v>
          </cell>
          <cell r="E244">
            <v>4</v>
          </cell>
        </row>
        <row r="245">
          <cell r="B245" t="str">
            <v>MCCB</v>
          </cell>
          <cell r="C245" t="str">
            <v>고차단형 2P 100AF</v>
          </cell>
          <cell r="D245" t="str">
            <v>EA</v>
          </cell>
          <cell r="E245">
            <v>1</v>
          </cell>
        </row>
        <row r="246">
          <cell r="B246" t="str">
            <v>A.C.B (S.G.T)</v>
          </cell>
          <cell r="C246" t="str">
            <v>3P 600A</v>
          </cell>
          <cell r="D246" t="str">
            <v>EA</v>
          </cell>
          <cell r="E246">
            <v>1</v>
          </cell>
        </row>
        <row r="247">
          <cell r="B247" t="str">
            <v>S.G.R</v>
          </cell>
          <cell r="C247" t="str">
            <v>D/T</v>
          </cell>
          <cell r="D247" t="str">
            <v>EA</v>
          </cell>
          <cell r="E247">
            <v>1</v>
          </cell>
        </row>
        <row r="248">
          <cell r="B248" t="str">
            <v>O.V.G.R</v>
          </cell>
          <cell r="C248" t="str">
            <v>D/T</v>
          </cell>
          <cell r="D248" t="str">
            <v>EA</v>
          </cell>
          <cell r="E248">
            <v>1</v>
          </cell>
        </row>
        <row r="249">
          <cell r="B249" t="str">
            <v>Z.C.T 600V</v>
          </cell>
          <cell r="C249" t="str">
            <v>200mA/1.5mA</v>
          </cell>
          <cell r="D249" t="str">
            <v>EA</v>
          </cell>
          <cell r="E249">
            <v>1</v>
          </cell>
        </row>
        <row r="250">
          <cell r="B250" t="str">
            <v>Z.C.T 600V (환형)</v>
          </cell>
          <cell r="C250" t="str">
            <v>80MM</v>
          </cell>
          <cell r="D250" t="str">
            <v>EA</v>
          </cell>
          <cell r="E250">
            <v>8</v>
          </cell>
        </row>
        <row r="251">
          <cell r="B251" t="str">
            <v>Z.C.T 600V (환형)</v>
          </cell>
          <cell r="C251" t="str">
            <v>65MM</v>
          </cell>
          <cell r="D251" t="str">
            <v>EA</v>
          </cell>
          <cell r="E251">
            <v>10</v>
          </cell>
        </row>
        <row r="252">
          <cell r="B252" t="str">
            <v>E.L.D</v>
          </cell>
          <cell r="C252" t="str">
            <v>5회로</v>
          </cell>
          <cell r="D252" t="str">
            <v>EA</v>
          </cell>
          <cell r="E252">
            <v>1</v>
          </cell>
        </row>
        <row r="253">
          <cell r="B253" t="str">
            <v>E.L.D</v>
          </cell>
          <cell r="C253" t="str">
            <v>10회로</v>
          </cell>
          <cell r="D253" t="str">
            <v>EA</v>
          </cell>
          <cell r="E253">
            <v>2</v>
          </cell>
        </row>
        <row r="254">
          <cell r="B254" t="str">
            <v>나) 노 무 비</v>
          </cell>
        </row>
        <row r="255">
          <cell r="C255" t="str">
            <v>플랜트전공</v>
          </cell>
          <cell r="D255" t="str">
            <v>인</v>
          </cell>
          <cell r="E255">
            <v>4.5999999999999996</v>
          </cell>
          <cell r="H255">
            <v>59158</v>
          </cell>
          <cell r="I255">
            <v>272126.8</v>
          </cell>
          <cell r="L255">
            <v>272126.8</v>
          </cell>
        </row>
        <row r="256">
          <cell r="C256" t="str">
            <v>보 통 인 부</v>
          </cell>
          <cell r="D256" t="str">
            <v>인</v>
          </cell>
          <cell r="E256">
            <v>1.5</v>
          </cell>
          <cell r="H256">
            <v>38932</v>
          </cell>
          <cell r="I256">
            <v>58398</v>
          </cell>
          <cell r="L256">
            <v>58398</v>
          </cell>
        </row>
        <row r="260">
          <cell r="B260" t="str">
            <v>다) 공구손료</v>
          </cell>
          <cell r="G260">
            <v>0</v>
          </cell>
          <cell r="I260">
            <v>0</v>
          </cell>
          <cell r="K260">
            <v>0</v>
          </cell>
          <cell r="L260">
            <v>0</v>
          </cell>
        </row>
        <row r="261">
          <cell r="C261" t="str">
            <v>플랜트전공</v>
          </cell>
          <cell r="D261" t="str">
            <v>인</v>
          </cell>
          <cell r="E261">
            <v>0.13</v>
          </cell>
          <cell r="J261">
            <v>59158</v>
          </cell>
          <cell r="K261">
            <v>7690</v>
          </cell>
          <cell r="L261">
            <v>7690</v>
          </cell>
        </row>
        <row r="262">
          <cell r="C262" t="str">
            <v>보 통 인 부</v>
          </cell>
          <cell r="D262" t="str">
            <v>인</v>
          </cell>
          <cell r="E262">
            <v>0.04</v>
          </cell>
          <cell r="J262">
            <v>38932</v>
          </cell>
          <cell r="K262">
            <v>1557</v>
          </cell>
          <cell r="L262">
            <v>1557</v>
          </cell>
        </row>
        <row r="275">
          <cell r="A275" t="str">
            <v>30신_10</v>
          </cell>
          <cell r="B275" t="str">
            <v>합    계</v>
          </cell>
          <cell r="G275">
            <v>0</v>
          </cell>
          <cell r="I275">
            <v>330524.79999999999</v>
          </cell>
          <cell r="K275">
            <v>9247</v>
          </cell>
          <cell r="L275">
            <v>339771.8</v>
          </cell>
        </row>
        <row r="279">
          <cell r="A279" t="str">
            <v>30신_11A</v>
          </cell>
          <cell r="B279" t="str">
            <v>11. 분전반 신설(L-1A)</v>
          </cell>
          <cell r="C279" t="str">
            <v>SUS 16회로</v>
          </cell>
          <cell r="D279" t="str">
            <v>면</v>
          </cell>
          <cell r="E279">
            <v>1</v>
          </cell>
          <cell r="L279" t="str">
            <v>x</v>
          </cell>
          <cell r="M279">
            <v>1</v>
          </cell>
        </row>
        <row r="280">
          <cell r="B280" t="str">
            <v>가) 재 료 비</v>
          </cell>
        </row>
        <row r="281">
          <cell r="A281" t="str">
            <v>분전반L-1A</v>
          </cell>
          <cell r="B281" t="str">
            <v>분전반</v>
          </cell>
          <cell r="C281" t="str">
            <v>L-1A</v>
          </cell>
          <cell r="D281" t="str">
            <v>면</v>
          </cell>
          <cell r="E281">
            <v>1</v>
          </cell>
          <cell r="F281">
            <v>1213096</v>
          </cell>
          <cell r="G281">
            <v>1213096</v>
          </cell>
          <cell r="L281">
            <v>1213096</v>
          </cell>
        </row>
        <row r="282">
          <cell r="B282" t="str">
            <v>BOX(STEEL)</v>
          </cell>
          <cell r="C282" t="str">
            <v>600x1000x150x1.6t</v>
          </cell>
          <cell r="D282" t="str">
            <v>SET</v>
          </cell>
          <cell r="E282">
            <v>1</v>
          </cell>
        </row>
        <row r="283">
          <cell r="B283" t="str">
            <v>DOOR(SUS)</v>
          </cell>
          <cell r="C283" t="str">
            <v>600x1000x1.5t</v>
          </cell>
          <cell r="D283" t="str">
            <v>SET</v>
          </cell>
          <cell r="E283">
            <v>1</v>
          </cell>
        </row>
        <row r="284">
          <cell r="B284" t="str">
            <v>W.H.M</v>
          </cell>
          <cell r="C284" t="str">
            <v>3상3선 220V 120(40)A</v>
          </cell>
          <cell r="D284" t="str">
            <v>EA</v>
          </cell>
          <cell r="E284">
            <v>1</v>
          </cell>
        </row>
        <row r="285">
          <cell r="B285" t="str">
            <v>MCCB</v>
          </cell>
          <cell r="C285" t="str">
            <v>표준형 3P 100AF</v>
          </cell>
          <cell r="D285" t="str">
            <v>EA</v>
          </cell>
          <cell r="E285">
            <v>1</v>
          </cell>
        </row>
        <row r="286">
          <cell r="B286" t="str">
            <v>MCCB</v>
          </cell>
          <cell r="C286" t="str">
            <v>표준형 3P 50AF</v>
          </cell>
          <cell r="D286" t="str">
            <v>EA</v>
          </cell>
          <cell r="E286">
            <v>2</v>
          </cell>
        </row>
        <row r="287">
          <cell r="B287" t="str">
            <v>ELB</v>
          </cell>
          <cell r="C287" t="str">
            <v>표준형 2P 30AF</v>
          </cell>
          <cell r="D287" t="str">
            <v>EA</v>
          </cell>
          <cell r="E287">
            <v>14</v>
          </cell>
        </row>
        <row r="288">
          <cell r="B288" t="str">
            <v>접속도체 BUS BAR</v>
          </cell>
          <cell r="C288" t="str">
            <v>속판취부</v>
          </cell>
          <cell r="D288" t="str">
            <v>SET</v>
          </cell>
          <cell r="E288">
            <v>1</v>
          </cell>
        </row>
        <row r="290">
          <cell r="B290" t="str">
            <v>나) 노 무 비</v>
          </cell>
        </row>
        <row r="291">
          <cell r="C291" t="str">
            <v>내 선 전 공</v>
          </cell>
          <cell r="D291" t="str">
            <v>인</v>
          </cell>
          <cell r="E291">
            <v>5.67</v>
          </cell>
          <cell r="H291">
            <v>53401</v>
          </cell>
          <cell r="I291">
            <v>302783.67</v>
          </cell>
          <cell r="L291">
            <v>302783.67</v>
          </cell>
        </row>
        <row r="295">
          <cell r="B295" t="str">
            <v>다) 공구손료</v>
          </cell>
        </row>
        <row r="296">
          <cell r="C296" t="str">
            <v>내 선 전 공</v>
          </cell>
          <cell r="D296" t="str">
            <v>인</v>
          </cell>
          <cell r="E296">
            <v>0.17</v>
          </cell>
          <cell r="J296">
            <v>53401</v>
          </cell>
          <cell r="K296">
            <v>9078</v>
          </cell>
          <cell r="L296">
            <v>9078</v>
          </cell>
        </row>
        <row r="301">
          <cell r="A301" t="str">
            <v>30신_11</v>
          </cell>
          <cell r="B301" t="str">
            <v>합    계</v>
          </cell>
          <cell r="G301">
            <v>1213096</v>
          </cell>
          <cell r="I301">
            <v>302783.67</v>
          </cell>
          <cell r="K301">
            <v>9078</v>
          </cell>
          <cell r="L301">
            <v>1524957.67</v>
          </cell>
        </row>
        <row r="304">
          <cell r="A304" t="str">
            <v>30신_12A</v>
          </cell>
          <cell r="B304" t="str">
            <v>12. 분전반 신설(L-1B)</v>
          </cell>
          <cell r="C304" t="str">
            <v>SUS 20회로</v>
          </cell>
          <cell r="D304" t="str">
            <v>면</v>
          </cell>
          <cell r="E304">
            <v>1</v>
          </cell>
          <cell r="L304" t="str">
            <v>x</v>
          </cell>
          <cell r="M304">
            <v>1</v>
          </cell>
        </row>
        <row r="305">
          <cell r="B305" t="str">
            <v>가) 재 료 비</v>
          </cell>
        </row>
        <row r="306">
          <cell r="A306" t="str">
            <v>분전반L-1B</v>
          </cell>
          <cell r="B306" t="str">
            <v>분전반</v>
          </cell>
          <cell r="C306" t="str">
            <v>L-1B</v>
          </cell>
          <cell r="D306" t="str">
            <v>면</v>
          </cell>
          <cell r="E306">
            <v>1</v>
          </cell>
          <cell r="F306">
            <v>1464796</v>
          </cell>
          <cell r="G306">
            <v>1464796</v>
          </cell>
          <cell r="L306">
            <v>1464796</v>
          </cell>
        </row>
        <row r="307">
          <cell r="B307" t="str">
            <v>BOX(STEEL)</v>
          </cell>
          <cell r="C307" t="str">
            <v>600x1100x150x1.6t</v>
          </cell>
          <cell r="D307" t="str">
            <v>SET</v>
          </cell>
          <cell r="E307">
            <v>1</v>
          </cell>
        </row>
        <row r="308">
          <cell r="B308" t="str">
            <v>DOOR(SUS)</v>
          </cell>
          <cell r="C308" t="str">
            <v>600x1100x1.5t</v>
          </cell>
          <cell r="D308" t="str">
            <v>SET</v>
          </cell>
          <cell r="E308">
            <v>1</v>
          </cell>
        </row>
        <row r="309">
          <cell r="B309" t="str">
            <v>W.H.M</v>
          </cell>
          <cell r="C309" t="str">
            <v>3상3선 220V 120(40)A</v>
          </cell>
          <cell r="D309" t="str">
            <v>EA</v>
          </cell>
          <cell r="E309">
            <v>1</v>
          </cell>
        </row>
        <row r="310">
          <cell r="B310" t="str">
            <v>MCCB</v>
          </cell>
          <cell r="C310" t="str">
            <v>표준형 3P 100AF</v>
          </cell>
          <cell r="D310" t="str">
            <v>EA</v>
          </cell>
          <cell r="E310">
            <v>3</v>
          </cell>
        </row>
        <row r="311">
          <cell r="B311" t="str">
            <v>ELB</v>
          </cell>
          <cell r="C311" t="str">
            <v>표준형 2P 30AF</v>
          </cell>
          <cell r="D311" t="str">
            <v>EA</v>
          </cell>
          <cell r="E311">
            <v>18</v>
          </cell>
        </row>
        <row r="312">
          <cell r="B312" t="str">
            <v>접속도체 BUS BAR</v>
          </cell>
          <cell r="C312" t="str">
            <v>속판취부</v>
          </cell>
          <cell r="D312" t="str">
            <v>SET</v>
          </cell>
          <cell r="E312">
            <v>1</v>
          </cell>
        </row>
        <row r="315">
          <cell r="B315" t="str">
            <v>나) 노 무 비</v>
          </cell>
        </row>
        <row r="316">
          <cell r="C316" t="str">
            <v>내 선 전 공</v>
          </cell>
          <cell r="D316" t="str">
            <v>인</v>
          </cell>
          <cell r="E316">
            <v>7.18</v>
          </cell>
          <cell r="H316">
            <v>53401</v>
          </cell>
          <cell r="I316">
            <v>383419.18</v>
          </cell>
          <cell r="L316">
            <v>383419.18</v>
          </cell>
        </row>
        <row r="320">
          <cell r="B320" t="str">
            <v>다) 공구손료</v>
          </cell>
        </row>
        <row r="321">
          <cell r="C321" t="str">
            <v>내 선 전 공</v>
          </cell>
          <cell r="D321" t="str">
            <v>인</v>
          </cell>
          <cell r="E321">
            <v>0.21</v>
          </cell>
          <cell r="J321">
            <v>53401</v>
          </cell>
          <cell r="K321">
            <v>11214</v>
          </cell>
          <cell r="L321">
            <v>11214</v>
          </cell>
        </row>
        <row r="326">
          <cell r="A326" t="str">
            <v>30신_12</v>
          </cell>
          <cell r="B326" t="str">
            <v>합    계</v>
          </cell>
          <cell r="G326">
            <v>1464796</v>
          </cell>
          <cell r="I326">
            <v>383419.18</v>
          </cell>
          <cell r="K326">
            <v>11214</v>
          </cell>
          <cell r="L326">
            <v>1859429.18</v>
          </cell>
        </row>
        <row r="329">
          <cell r="A329" t="str">
            <v>30신_13A</v>
          </cell>
          <cell r="B329" t="str">
            <v>13. 분전반 신설(L-1C)</v>
          </cell>
          <cell r="C329" t="str">
            <v>SUS 18회로</v>
          </cell>
          <cell r="D329" t="str">
            <v>면</v>
          </cell>
          <cell r="E329">
            <v>1</v>
          </cell>
          <cell r="L329" t="str">
            <v>x</v>
          </cell>
          <cell r="M329">
            <v>1</v>
          </cell>
        </row>
        <row r="330">
          <cell r="B330" t="str">
            <v>가) 재 료 비</v>
          </cell>
        </row>
        <row r="331">
          <cell r="A331" t="str">
            <v>분전반L-1C</v>
          </cell>
          <cell r="B331" t="str">
            <v>분전반</v>
          </cell>
          <cell r="C331" t="str">
            <v>L-1C</v>
          </cell>
          <cell r="D331" t="str">
            <v>면</v>
          </cell>
          <cell r="E331">
            <v>1</v>
          </cell>
          <cell r="F331">
            <v>1354641</v>
          </cell>
          <cell r="G331">
            <v>1354641</v>
          </cell>
          <cell r="L331">
            <v>1354641</v>
          </cell>
        </row>
        <row r="332">
          <cell r="B332" t="str">
            <v>BOX(STEEL)</v>
          </cell>
          <cell r="C332" t="str">
            <v>600x1000x150x1.6t</v>
          </cell>
          <cell r="D332" t="str">
            <v>SET</v>
          </cell>
          <cell r="E332">
            <v>1</v>
          </cell>
        </row>
        <row r="333">
          <cell r="B333" t="str">
            <v>DOOR(SUS)</v>
          </cell>
          <cell r="C333" t="str">
            <v>600x1000x1.5t</v>
          </cell>
          <cell r="D333" t="str">
            <v>SET</v>
          </cell>
          <cell r="E333">
            <v>1</v>
          </cell>
        </row>
        <row r="334">
          <cell r="B334" t="str">
            <v>W.H.M</v>
          </cell>
          <cell r="C334" t="str">
            <v>3상3선 220V 120(40)A</v>
          </cell>
          <cell r="D334" t="str">
            <v>EA</v>
          </cell>
          <cell r="E334">
            <v>1</v>
          </cell>
        </row>
        <row r="335">
          <cell r="B335" t="str">
            <v>MCCB</v>
          </cell>
          <cell r="C335" t="str">
            <v>표준형 3P 100AF</v>
          </cell>
          <cell r="D335" t="str">
            <v>EA</v>
          </cell>
          <cell r="E335">
            <v>3</v>
          </cell>
        </row>
        <row r="336">
          <cell r="B336" t="str">
            <v>ELB</v>
          </cell>
          <cell r="C336" t="str">
            <v>표준형 2P 30AF</v>
          </cell>
          <cell r="D336" t="str">
            <v>EA</v>
          </cell>
          <cell r="E336">
            <v>16</v>
          </cell>
        </row>
        <row r="337">
          <cell r="B337" t="str">
            <v>접속도체 BUS BAR</v>
          </cell>
          <cell r="C337" t="str">
            <v>속판취부</v>
          </cell>
          <cell r="D337" t="str">
            <v>SET</v>
          </cell>
          <cell r="E337">
            <v>1</v>
          </cell>
        </row>
        <row r="340">
          <cell r="B340" t="str">
            <v>나) 노 무 비</v>
          </cell>
        </row>
        <row r="341">
          <cell r="C341" t="str">
            <v>내 선 전 공</v>
          </cell>
          <cell r="D341" t="str">
            <v>인</v>
          </cell>
          <cell r="E341">
            <v>6.6199999999999992</v>
          </cell>
          <cell r="H341">
            <v>53401</v>
          </cell>
          <cell r="I341">
            <v>353514.61999999994</v>
          </cell>
          <cell r="L341">
            <v>353514.61999999994</v>
          </cell>
        </row>
        <row r="345">
          <cell r="B345" t="str">
            <v>다) 공구손료</v>
          </cell>
        </row>
        <row r="346">
          <cell r="C346" t="str">
            <v>내 선 전 공</v>
          </cell>
          <cell r="D346" t="str">
            <v>인</v>
          </cell>
          <cell r="E346">
            <v>0.19</v>
          </cell>
          <cell r="J346">
            <v>53401</v>
          </cell>
          <cell r="K346">
            <v>10146</v>
          </cell>
          <cell r="L346">
            <v>10146</v>
          </cell>
        </row>
        <row r="351">
          <cell r="A351" t="str">
            <v>30신_13</v>
          </cell>
          <cell r="B351" t="str">
            <v>합    계</v>
          </cell>
          <cell r="G351">
            <v>1354641</v>
          </cell>
          <cell r="I351">
            <v>353514.61999999994</v>
          </cell>
          <cell r="K351">
            <v>10146</v>
          </cell>
          <cell r="L351">
            <v>1718301.6199999999</v>
          </cell>
        </row>
        <row r="354">
          <cell r="A354" t="str">
            <v>30신_14A</v>
          </cell>
          <cell r="B354" t="str">
            <v>14. 분전반 신설(L-2A)</v>
          </cell>
          <cell r="C354" t="str">
            <v>SUS 14회로</v>
          </cell>
          <cell r="D354" t="str">
            <v>면</v>
          </cell>
          <cell r="E354">
            <v>1</v>
          </cell>
          <cell r="L354" t="str">
            <v>x</v>
          </cell>
          <cell r="M354">
            <v>1</v>
          </cell>
        </row>
        <row r="355">
          <cell r="B355" t="str">
            <v>가) 재 료 비</v>
          </cell>
        </row>
        <row r="356">
          <cell r="A356" t="str">
            <v>분전반L-2A</v>
          </cell>
          <cell r="B356" t="str">
            <v>분전반</v>
          </cell>
          <cell r="C356" t="str">
            <v>L-2A</v>
          </cell>
          <cell r="D356" t="str">
            <v>면</v>
          </cell>
          <cell r="E356">
            <v>1</v>
          </cell>
          <cell r="F356">
            <v>1046031</v>
          </cell>
          <cell r="G356">
            <v>1046031</v>
          </cell>
          <cell r="L356">
            <v>1046031</v>
          </cell>
        </row>
        <row r="357">
          <cell r="B357" t="str">
            <v>BOX(STEEL)</v>
          </cell>
          <cell r="C357" t="str">
            <v>600x900x150x1.6t</v>
          </cell>
          <cell r="D357" t="str">
            <v>SET</v>
          </cell>
          <cell r="E357">
            <v>1</v>
          </cell>
        </row>
        <row r="358">
          <cell r="B358" t="str">
            <v>DOOR(SUS)</v>
          </cell>
          <cell r="C358" t="str">
            <v>600x900x1.5t</v>
          </cell>
          <cell r="D358" t="str">
            <v>SET</v>
          </cell>
          <cell r="E358">
            <v>1</v>
          </cell>
        </row>
        <row r="359">
          <cell r="B359" t="str">
            <v>W.H.M</v>
          </cell>
          <cell r="C359" t="str">
            <v>3상3선 220V 60(20)A</v>
          </cell>
          <cell r="D359" t="str">
            <v>EA</v>
          </cell>
          <cell r="E359">
            <v>1</v>
          </cell>
        </row>
        <row r="360">
          <cell r="B360" t="str">
            <v>MCCB</v>
          </cell>
          <cell r="C360" t="str">
            <v>표준형 3P 50AF</v>
          </cell>
          <cell r="D360" t="str">
            <v>EA</v>
          </cell>
          <cell r="E360">
            <v>1</v>
          </cell>
        </row>
        <row r="361">
          <cell r="B361" t="str">
            <v>ELB</v>
          </cell>
          <cell r="C361" t="str">
            <v>표준형 2P 30AF</v>
          </cell>
          <cell r="D361" t="str">
            <v>EA</v>
          </cell>
          <cell r="E361">
            <v>14</v>
          </cell>
        </row>
        <row r="362">
          <cell r="B362" t="str">
            <v>접속도체 BUS BAR</v>
          </cell>
          <cell r="C362" t="str">
            <v>속판취부</v>
          </cell>
          <cell r="D362" t="str">
            <v>SET</v>
          </cell>
          <cell r="E362">
            <v>1</v>
          </cell>
        </row>
        <row r="365">
          <cell r="B365" t="str">
            <v>나) 노 무 비</v>
          </cell>
          <cell r="C365" t="str">
            <v>내 선 전 공</v>
          </cell>
          <cell r="D365" t="str">
            <v>인</v>
          </cell>
          <cell r="E365">
            <v>4.5200000000000005</v>
          </cell>
          <cell r="H365">
            <v>53401</v>
          </cell>
          <cell r="I365">
            <v>241372.52000000002</v>
          </cell>
          <cell r="L365">
            <v>241372.52000000002</v>
          </cell>
        </row>
        <row r="369">
          <cell r="B369" t="str">
            <v>다) 공구손료</v>
          </cell>
          <cell r="C369" t="str">
            <v>내 선 전 공</v>
          </cell>
          <cell r="D369" t="str">
            <v>인</v>
          </cell>
          <cell r="E369">
            <v>0.13</v>
          </cell>
          <cell r="J369">
            <v>53401</v>
          </cell>
          <cell r="K369">
            <v>6942</v>
          </cell>
          <cell r="L369">
            <v>6942</v>
          </cell>
        </row>
        <row r="376">
          <cell r="A376" t="str">
            <v>30신_14</v>
          </cell>
          <cell r="B376" t="str">
            <v>합    계</v>
          </cell>
          <cell r="G376">
            <v>1046031</v>
          </cell>
          <cell r="I376">
            <v>241372.52000000002</v>
          </cell>
          <cell r="K376">
            <v>6942</v>
          </cell>
          <cell r="L376">
            <v>1294345.52</v>
          </cell>
        </row>
        <row r="379">
          <cell r="A379" t="str">
            <v>30신_15A</v>
          </cell>
          <cell r="B379" t="str">
            <v>15. 분전반 신설(L-2B,2C)</v>
          </cell>
          <cell r="C379" t="str">
            <v>SUS 16회로</v>
          </cell>
          <cell r="D379" t="str">
            <v>면</v>
          </cell>
          <cell r="E379">
            <v>1</v>
          </cell>
          <cell r="L379" t="str">
            <v>x</v>
          </cell>
          <cell r="M379">
            <v>2</v>
          </cell>
        </row>
        <row r="380">
          <cell r="B380" t="str">
            <v>가) 재 료 비</v>
          </cell>
        </row>
        <row r="381">
          <cell r="A381" t="str">
            <v>분전반L-2B,2C</v>
          </cell>
          <cell r="B381" t="str">
            <v>분전반</v>
          </cell>
          <cell r="C381" t="str">
            <v>L-2B,2C</v>
          </cell>
          <cell r="D381" t="str">
            <v>면</v>
          </cell>
          <cell r="E381">
            <v>1</v>
          </cell>
          <cell r="F381">
            <v>1192877</v>
          </cell>
          <cell r="G381">
            <v>1192877</v>
          </cell>
          <cell r="L381">
            <v>1192877</v>
          </cell>
        </row>
        <row r="382">
          <cell r="B382" t="str">
            <v>BOX(STEEL)</v>
          </cell>
          <cell r="C382" t="str">
            <v>600x1000x150x1.6t</v>
          </cell>
          <cell r="D382" t="str">
            <v>SET</v>
          </cell>
          <cell r="E382">
            <v>1</v>
          </cell>
        </row>
        <row r="383">
          <cell r="B383" t="str">
            <v>DOOR(SUS)</v>
          </cell>
          <cell r="C383" t="str">
            <v>600x1000x1.5t</v>
          </cell>
          <cell r="D383" t="str">
            <v>SET</v>
          </cell>
          <cell r="E383">
            <v>1</v>
          </cell>
        </row>
        <row r="384">
          <cell r="B384" t="str">
            <v>W.H.M</v>
          </cell>
          <cell r="C384" t="str">
            <v>3상3선 220V 120(40)A</v>
          </cell>
          <cell r="D384" t="str">
            <v>EA</v>
          </cell>
          <cell r="E384">
            <v>1</v>
          </cell>
        </row>
        <row r="385">
          <cell r="B385" t="str">
            <v>MCCB</v>
          </cell>
          <cell r="C385" t="str">
            <v>표준형 3P 100AF</v>
          </cell>
          <cell r="D385" t="str">
            <v>EA</v>
          </cell>
          <cell r="E385">
            <v>1</v>
          </cell>
        </row>
        <row r="386">
          <cell r="B386" t="str">
            <v>ELB</v>
          </cell>
          <cell r="C386" t="str">
            <v>표준형 2P 30AF</v>
          </cell>
          <cell r="D386" t="str">
            <v>EA</v>
          </cell>
          <cell r="E386">
            <v>16</v>
          </cell>
        </row>
        <row r="387">
          <cell r="B387" t="str">
            <v>접속도체 BUS BAR</v>
          </cell>
          <cell r="C387" t="str">
            <v>속판취부</v>
          </cell>
          <cell r="D387" t="str">
            <v>SET</v>
          </cell>
          <cell r="E387">
            <v>1</v>
          </cell>
        </row>
        <row r="390">
          <cell r="B390" t="str">
            <v>나) 노 무 비</v>
          </cell>
        </row>
        <row r="391">
          <cell r="C391" t="str">
            <v>내 선 전 공</v>
          </cell>
          <cell r="D391" t="str">
            <v>인</v>
          </cell>
          <cell r="E391">
            <v>5.27</v>
          </cell>
          <cell r="H391">
            <v>53401</v>
          </cell>
          <cell r="I391">
            <v>281423.26999999996</v>
          </cell>
          <cell r="L391">
            <v>281423.26999999996</v>
          </cell>
        </row>
        <row r="396">
          <cell r="B396" t="str">
            <v>다) 공구손료</v>
          </cell>
        </row>
        <row r="397">
          <cell r="C397" t="str">
            <v>내 선 전 공</v>
          </cell>
          <cell r="D397" t="str">
            <v>인</v>
          </cell>
          <cell r="E397">
            <v>0.15</v>
          </cell>
          <cell r="J397">
            <v>53401</v>
          </cell>
          <cell r="K397">
            <v>8010</v>
          </cell>
          <cell r="L397">
            <v>8010</v>
          </cell>
        </row>
        <row r="401">
          <cell r="A401" t="str">
            <v>30신_15</v>
          </cell>
          <cell r="B401" t="str">
            <v>합    계</v>
          </cell>
          <cell r="G401">
            <v>1192877</v>
          </cell>
          <cell r="I401">
            <v>281423.26999999996</v>
          </cell>
          <cell r="K401">
            <v>8010</v>
          </cell>
          <cell r="L401">
            <v>1482310.27</v>
          </cell>
        </row>
        <row r="404">
          <cell r="A404" t="str">
            <v>30신_16A</v>
          </cell>
          <cell r="B404" t="str">
            <v>16. 분전반 신설(P-1A)</v>
          </cell>
          <cell r="C404" t="str">
            <v>SUS 16회로</v>
          </cell>
          <cell r="D404" t="str">
            <v>면</v>
          </cell>
          <cell r="E404">
            <v>1</v>
          </cell>
          <cell r="L404" t="str">
            <v>x</v>
          </cell>
          <cell r="M404">
            <v>1</v>
          </cell>
        </row>
        <row r="405">
          <cell r="B405" t="str">
            <v>가) 재 료 비</v>
          </cell>
        </row>
        <row r="406">
          <cell r="A406" t="str">
            <v>분전반P-1A</v>
          </cell>
          <cell r="B406" t="str">
            <v>분전반</v>
          </cell>
          <cell r="C406" t="str">
            <v>P-1A</v>
          </cell>
          <cell r="D406" t="str">
            <v>면</v>
          </cell>
          <cell r="E406">
            <v>1</v>
          </cell>
          <cell r="F406">
            <v>895884</v>
          </cell>
          <cell r="G406">
            <v>895884</v>
          </cell>
          <cell r="L406">
            <v>895884</v>
          </cell>
        </row>
        <row r="407">
          <cell r="B407" t="str">
            <v>BOX(STEEL)</v>
          </cell>
          <cell r="C407" t="str">
            <v>600x800x150x1.6t</v>
          </cell>
          <cell r="D407" t="str">
            <v>SET</v>
          </cell>
          <cell r="E407">
            <v>1</v>
          </cell>
        </row>
        <row r="408">
          <cell r="B408" t="str">
            <v>DOOR(SUS)</v>
          </cell>
          <cell r="C408" t="str">
            <v>600x800x1.5t</v>
          </cell>
          <cell r="D408" t="str">
            <v>SET</v>
          </cell>
          <cell r="E408">
            <v>1</v>
          </cell>
        </row>
        <row r="409">
          <cell r="B409" t="str">
            <v>W.H.M</v>
          </cell>
          <cell r="C409" t="str">
            <v>3상4선 220V 120(40)A</v>
          </cell>
          <cell r="D409" t="str">
            <v>EA</v>
          </cell>
          <cell r="E409">
            <v>1</v>
          </cell>
        </row>
        <row r="410">
          <cell r="B410" t="str">
            <v>MCCB</v>
          </cell>
          <cell r="C410" t="str">
            <v>표준형 4P 100AF</v>
          </cell>
          <cell r="D410" t="str">
            <v>EA</v>
          </cell>
          <cell r="E410">
            <v>1</v>
          </cell>
        </row>
        <row r="411">
          <cell r="B411" t="str">
            <v>MCCB</v>
          </cell>
          <cell r="C411" t="str">
            <v>표준형 3P 50AF</v>
          </cell>
          <cell r="D411" t="str">
            <v>EA</v>
          </cell>
          <cell r="E411">
            <v>2</v>
          </cell>
        </row>
        <row r="412">
          <cell r="B412" t="str">
            <v>ELB</v>
          </cell>
          <cell r="C412" t="str">
            <v>표준형 2P 30AF</v>
          </cell>
          <cell r="D412" t="str">
            <v>EA</v>
          </cell>
          <cell r="E412">
            <v>4</v>
          </cell>
        </row>
        <row r="413">
          <cell r="B413" t="str">
            <v>ELB</v>
          </cell>
          <cell r="C413" t="str">
            <v>표준형 3P 30AF</v>
          </cell>
          <cell r="D413" t="str">
            <v>EA</v>
          </cell>
          <cell r="E413">
            <v>2</v>
          </cell>
        </row>
        <row r="414">
          <cell r="B414" t="str">
            <v>접속도체 BUS BAR</v>
          </cell>
          <cell r="C414" t="str">
            <v>속판취부</v>
          </cell>
          <cell r="D414" t="str">
            <v>SET</v>
          </cell>
          <cell r="E414">
            <v>1</v>
          </cell>
        </row>
        <row r="417">
          <cell r="B417" t="str">
            <v>나) 노 무 비</v>
          </cell>
          <cell r="C417">
            <v>0</v>
          </cell>
          <cell r="D417">
            <v>0</v>
          </cell>
        </row>
        <row r="418">
          <cell r="C418" t="str">
            <v>내 선 전 공</v>
          </cell>
          <cell r="D418" t="str">
            <v>인</v>
          </cell>
          <cell r="E418">
            <v>3.8400000000000007</v>
          </cell>
          <cell r="H418">
            <v>53401</v>
          </cell>
          <cell r="I418">
            <v>205059.84000000003</v>
          </cell>
          <cell r="L418">
            <v>205059.84000000003</v>
          </cell>
        </row>
        <row r="421">
          <cell r="B421" t="str">
            <v>다) 공구손료</v>
          </cell>
        </row>
        <row r="422">
          <cell r="C422" t="str">
            <v>내 선 전 공</v>
          </cell>
          <cell r="D422" t="str">
            <v>인</v>
          </cell>
          <cell r="E422">
            <v>0.11</v>
          </cell>
          <cell r="J422">
            <v>53401</v>
          </cell>
          <cell r="K422">
            <v>5874</v>
          </cell>
          <cell r="L422">
            <v>5874</v>
          </cell>
        </row>
        <row r="426">
          <cell r="A426" t="str">
            <v>30신_16</v>
          </cell>
          <cell r="B426" t="str">
            <v>합    계</v>
          </cell>
          <cell r="G426">
            <v>895884</v>
          </cell>
          <cell r="I426">
            <v>205059.84000000003</v>
          </cell>
          <cell r="K426">
            <v>5874</v>
          </cell>
          <cell r="L426">
            <v>1106817.8400000001</v>
          </cell>
        </row>
        <row r="429">
          <cell r="A429" t="str">
            <v>30신_17A</v>
          </cell>
          <cell r="B429" t="str">
            <v>17. 분전반 신설(P-1B)</v>
          </cell>
          <cell r="C429" t="str">
            <v>SUS 16회로</v>
          </cell>
          <cell r="D429" t="str">
            <v>면</v>
          </cell>
          <cell r="E429">
            <v>1</v>
          </cell>
          <cell r="L429" t="str">
            <v>x</v>
          </cell>
          <cell r="M429">
            <v>1</v>
          </cell>
        </row>
        <row r="430">
          <cell r="B430" t="str">
            <v>가) 재 료 비</v>
          </cell>
        </row>
        <row r="431">
          <cell r="A431" t="str">
            <v>분전반P-1B</v>
          </cell>
          <cell r="B431" t="str">
            <v>분전반</v>
          </cell>
          <cell r="C431" t="str">
            <v>P-1B</v>
          </cell>
          <cell r="D431" t="str">
            <v>면</v>
          </cell>
          <cell r="E431">
            <v>1</v>
          </cell>
          <cell r="F431">
            <v>1346290</v>
          </cell>
          <cell r="G431">
            <v>1346290</v>
          </cell>
          <cell r="L431">
            <v>1346290</v>
          </cell>
        </row>
        <row r="432">
          <cell r="B432" t="str">
            <v>BOX(STEEL)</v>
          </cell>
          <cell r="C432" t="str">
            <v>600x1000x150x1.6t</v>
          </cell>
          <cell r="D432" t="str">
            <v>SET</v>
          </cell>
          <cell r="E432">
            <v>1</v>
          </cell>
        </row>
        <row r="433">
          <cell r="B433" t="str">
            <v>DOOR(SUS)</v>
          </cell>
          <cell r="C433" t="str">
            <v>600x1000x1.5t</v>
          </cell>
          <cell r="D433" t="str">
            <v>SET</v>
          </cell>
          <cell r="E433">
            <v>1</v>
          </cell>
        </row>
        <row r="434">
          <cell r="B434" t="str">
            <v>W.H.M</v>
          </cell>
          <cell r="C434" t="str">
            <v>3상4선 220V 120(40)A</v>
          </cell>
          <cell r="D434" t="str">
            <v>EA</v>
          </cell>
          <cell r="E434">
            <v>1</v>
          </cell>
        </row>
        <row r="435">
          <cell r="B435" t="str">
            <v>MCCB</v>
          </cell>
          <cell r="C435" t="str">
            <v>표준형 4P 100AF</v>
          </cell>
          <cell r="D435" t="str">
            <v>EA</v>
          </cell>
          <cell r="E435">
            <v>1</v>
          </cell>
        </row>
        <row r="436">
          <cell r="B436" t="str">
            <v>MCCB</v>
          </cell>
          <cell r="C436" t="str">
            <v>표준형 3P 50AF</v>
          </cell>
          <cell r="D436" t="str">
            <v>EA</v>
          </cell>
          <cell r="E436">
            <v>2</v>
          </cell>
        </row>
        <row r="437">
          <cell r="B437" t="str">
            <v>ELB</v>
          </cell>
          <cell r="C437" t="str">
            <v>표준형 2P 30AF</v>
          </cell>
          <cell r="D437" t="str">
            <v>EA</v>
          </cell>
          <cell r="E437">
            <v>10</v>
          </cell>
        </row>
        <row r="438">
          <cell r="B438" t="str">
            <v>ELB</v>
          </cell>
          <cell r="C438" t="str">
            <v>표준형 3P 30AF</v>
          </cell>
          <cell r="D438" t="str">
            <v>EA</v>
          </cell>
          <cell r="E438">
            <v>3</v>
          </cell>
        </row>
        <row r="439">
          <cell r="B439" t="str">
            <v>ELB</v>
          </cell>
          <cell r="C439" t="str">
            <v>표준형 3P 50AF</v>
          </cell>
          <cell r="D439" t="str">
            <v>EA</v>
          </cell>
          <cell r="E439">
            <v>1</v>
          </cell>
        </row>
        <row r="440">
          <cell r="B440" t="str">
            <v>접속도체 BUS BAR</v>
          </cell>
          <cell r="C440" t="str">
            <v>속판취부</v>
          </cell>
          <cell r="D440" t="str">
            <v>SET</v>
          </cell>
          <cell r="E440">
            <v>1</v>
          </cell>
        </row>
        <row r="442">
          <cell r="B442" t="str">
            <v>나) 노 무 비</v>
          </cell>
          <cell r="C442">
            <v>0</v>
          </cell>
          <cell r="D442">
            <v>0</v>
          </cell>
        </row>
        <row r="443">
          <cell r="C443" t="str">
            <v>내 선 전 공</v>
          </cell>
          <cell r="D443" t="str">
            <v>인</v>
          </cell>
          <cell r="E443">
            <v>6.35</v>
          </cell>
          <cell r="H443">
            <v>53401</v>
          </cell>
          <cell r="I443">
            <v>339096.35</v>
          </cell>
          <cell r="L443">
            <v>339096.35</v>
          </cell>
        </row>
        <row r="448">
          <cell r="B448" t="str">
            <v>다) 공구손료</v>
          </cell>
        </row>
        <row r="449">
          <cell r="C449" t="str">
            <v>내 선 전 공</v>
          </cell>
          <cell r="D449" t="str">
            <v>인</v>
          </cell>
          <cell r="E449">
            <v>0.19</v>
          </cell>
          <cell r="J449">
            <v>53401</v>
          </cell>
          <cell r="K449">
            <v>10146</v>
          </cell>
          <cell r="L449">
            <v>10146</v>
          </cell>
        </row>
        <row r="453">
          <cell r="A453" t="str">
            <v>30신_17</v>
          </cell>
          <cell r="B453" t="str">
            <v>합    계</v>
          </cell>
          <cell r="G453">
            <v>1346290</v>
          </cell>
          <cell r="I453">
            <v>339096.35</v>
          </cell>
          <cell r="K453">
            <v>10146</v>
          </cell>
          <cell r="L453">
            <v>1695532.35</v>
          </cell>
        </row>
        <row r="454">
          <cell r="A454" t="str">
            <v>30신_18A</v>
          </cell>
          <cell r="B454" t="str">
            <v>18. 분전반 신설(P-1C)</v>
          </cell>
          <cell r="C454" t="str">
            <v>SUS 10회로</v>
          </cell>
          <cell r="D454" t="str">
            <v>면</v>
          </cell>
          <cell r="E454">
            <v>1</v>
          </cell>
          <cell r="L454" t="str">
            <v>x</v>
          </cell>
          <cell r="M454">
            <v>1</v>
          </cell>
        </row>
        <row r="455">
          <cell r="B455" t="str">
            <v>가) 재 료 비</v>
          </cell>
        </row>
        <row r="456">
          <cell r="A456" t="str">
            <v>분전반P-1C</v>
          </cell>
          <cell r="B456" t="str">
            <v>분전반</v>
          </cell>
          <cell r="C456" t="str">
            <v>P-1C</v>
          </cell>
          <cell r="D456" t="str">
            <v>면</v>
          </cell>
          <cell r="E456">
            <v>1</v>
          </cell>
          <cell r="F456">
            <v>1009039</v>
          </cell>
          <cell r="G456">
            <v>1009039</v>
          </cell>
          <cell r="L456">
            <v>1009039</v>
          </cell>
        </row>
        <row r="457">
          <cell r="B457" t="str">
            <v>BOX(STEEL)</v>
          </cell>
          <cell r="C457" t="str">
            <v>600x900x150x1.6t</v>
          </cell>
          <cell r="D457" t="str">
            <v>SET</v>
          </cell>
          <cell r="E457">
            <v>1</v>
          </cell>
        </row>
        <row r="458">
          <cell r="B458" t="str">
            <v>DOOR(SUS)</v>
          </cell>
          <cell r="C458" t="str">
            <v>600x900x1.5t</v>
          </cell>
          <cell r="D458" t="str">
            <v>SET</v>
          </cell>
          <cell r="E458">
            <v>1</v>
          </cell>
        </row>
        <row r="459">
          <cell r="B459" t="str">
            <v>W.H.M</v>
          </cell>
          <cell r="C459" t="str">
            <v>3상4선 220V 120(40)A</v>
          </cell>
          <cell r="D459" t="str">
            <v>EA</v>
          </cell>
          <cell r="E459">
            <v>1</v>
          </cell>
        </row>
        <row r="460">
          <cell r="B460" t="str">
            <v>MCCB</v>
          </cell>
          <cell r="C460" t="str">
            <v>표준형 4P 100AF</v>
          </cell>
          <cell r="D460" t="str">
            <v>EA</v>
          </cell>
          <cell r="E460">
            <v>1</v>
          </cell>
        </row>
        <row r="461">
          <cell r="B461" t="str">
            <v>MCCB</v>
          </cell>
          <cell r="C461" t="str">
            <v>표준형 3P 50AF</v>
          </cell>
          <cell r="D461" t="str">
            <v>EA</v>
          </cell>
          <cell r="E461">
            <v>2</v>
          </cell>
        </row>
        <row r="462">
          <cell r="B462" t="str">
            <v>ELB</v>
          </cell>
          <cell r="C462" t="str">
            <v>표준형 2P 30AF</v>
          </cell>
          <cell r="D462" t="str">
            <v>EA</v>
          </cell>
          <cell r="E462">
            <v>6</v>
          </cell>
        </row>
        <row r="463">
          <cell r="B463" t="str">
            <v>ELB</v>
          </cell>
          <cell r="C463" t="str">
            <v>표준형 3P 30AF</v>
          </cell>
          <cell r="D463" t="str">
            <v>EA</v>
          </cell>
          <cell r="E463">
            <v>2</v>
          </cell>
        </row>
        <row r="464">
          <cell r="B464" t="str">
            <v>접속도체 BUS BAR</v>
          </cell>
          <cell r="C464" t="str">
            <v>속판취부</v>
          </cell>
          <cell r="D464" t="str">
            <v>SET</v>
          </cell>
          <cell r="E464">
            <v>1</v>
          </cell>
        </row>
        <row r="467">
          <cell r="B467" t="str">
            <v>나) 노 무 비</v>
          </cell>
          <cell r="C467">
            <v>0</v>
          </cell>
          <cell r="D467">
            <v>0</v>
          </cell>
        </row>
        <row r="468">
          <cell r="C468" t="str">
            <v>내 선 전 공</v>
          </cell>
          <cell r="D468" t="str">
            <v>인</v>
          </cell>
          <cell r="E468">
            <v>4.4000000000000004</v>
          </cell>
          <cell r="H468">
            <v>53401</v>
          </cell>
          <cell r="I468">
            <v>234964.40000000002</v>
          </cell>
          <cell r="L468">
            <v>234964.40000000002</v>
          </cell>
        </row>
        <row r="473">
          <cell r="B473" t="str">
            <v>다) 공구손료</v>
          </cell>
        </row>
        <row r="474">
          <cell r="C474" t="str">
            <v>내 선 전 공</v>
          </cell>
          <cell r="D474" t="str">
            <v>인</v>
          </cell>
          <cell r="E474">
            <v>0.13</v>
          </cell>
          <cell r="J474">
            <v>53401</v>
          </cell>
          <cell r="K474">
            <v>6942</v>
          </cell>
          <cell r="L474">
            <v>6942</v>
          </cell>
        </row>
        <row r="478">
          <cell r="A478" t="str">
            <v>30신_18</v>
          </cell>
          <cell r="B478" t="str">
            <v>합    계</v>
          </cell>
          <cell r="G478">
            <v>1009039</v>
          </cell>
          <cell r="I478">
            <v>234964.40000000002</v>
          </cell>
          <cell r="K478">
            <v>6942</v>
          </cell>
          <cell r="L478">
            <v>1250945.3999999999</v>
          </cell>
        </row>
        <row r="479">
          <cell r="A479" t="str">
            <v>30신_19A</v>
          </cell>
          <cell r="B479" t="str">
            <v>19. 분전반 신설(P-2A,2B)</v>
          </cell>
          <cell r="C479" t="str">
            <v>SUS 14회로</v>
          </cell>
          <cell r="D479" t="str">
            <v>면</v>
          </cell>
          <cell r="E479">
            <v>1</v>
          </cell>
          <cell r="L479" t="str">
            <v>x</v>
          </cell>
          <cell r="M479">
            <v>2</v>
          </cell>
        </row>
        <row r="480">
          <cell r="B480" t="str">
            <v>가) 재 료 비</v>
          </cell>
        </row>
        <row r="481">
          <cell r="A481" t="str">
            <v>분전반P-2A,2B</v>
          </cell>
          <cell r="B481" t="str">
            <v>분전반</v>
          </cell>
          <cell r="C481" t="str">
            <v>P-2A,2B</v>
          </cell>
          <cell r="D481" t="str">
            <v>면</v>
          </cell>
          <cell r="E481">
            <v>1</v>
          </cell>
          <cell r="F481">
            <v>1085300</v>
          </cell>
          <cell r="G481">
            <v>1085300</v>
          </cell>
          <cell r="L481">
            <v>1085300</v>
          </cell>
        </row>
        <row r="482">
          <cell r="B482" t="str">
            <v>BOX(STEEL)</v>
          </cell>
          <cell r="C482" t="str">
            <v>600x900x150x1.6t</v>
          </cell>
          <cell r="D482" t="str">
            <v>SET</v>
          </cell>
          <cell r="E482">
            <v>1</v>
          </cell>
        </row>
        <row r="483">
          <cell r="B483" t="str">
            <v>DOOR(SUS)</v>
          </cell>
          <cell r="C483" t="str">
            <v>600x900x1.5t</v>
          </cell>
          <cell r="D483" t="str">
            <v>SET</v>
          </cell>
          <cell r="E483">
            <v>1</v>
          </cell>
        </row>
        <row r="484">
          <cell r="B484" t="str">
            <v>W.H.M</v>
          </cell>
          <cell r="C484" t="str">
            <v>3상4선 220V 120(40)A</v>
          </cell>
          <cell r="D484" t="str">
            <v>EA</v>
          </cell>
          <cell r="E484">
            <v>1</v>
          </cell>
        </row>
        <row r="485">
          <cell r="B485" t="str">
            <v>MCCB</v>
          </cell>
          <cell r="C485" t="str">
            <v>표준형 4P 50AF</v>
          </cell>
          <cell r="D485" t="str">
            <v>EA</v>
          </cell>
          <cell r="E485">
            <v>1</v>
          </cell>
        </row>
        <row r="486">
          <cell r="B486" t="str">
            <v>ELB</v>
          </cell>
          <cell r="C486" t="str">
            <v>표준형 3P 30AF</v>
          </cell>
          <cell r="D486" t="str">
            <v>EA</v>
          </cell>
          <cell r="E486">
            <v>2</v>
          </cell>
        </row>
        <row r="487">
          <cell r="B487" t="str">
            <v>ELB</v>
          </cell>
          <cell r="C487" t="str">
            <v>표준형 2P 30AF</v>
          </cell>
          <cell r="D487" t="str">
            <v>EA</v>
          </cell>
          <cell r="E487">
            <v>12</v>
          </cell>
        </row>
        <row r="488">
          <cell r="B488" t="str">
            <v>접속도체 BUS BAR</v>
          </cell>
          <cell r="C488" t="str">
            <v>속판취부</v>
          </cell>
          <cell r="D488" t="str">
            <v>SET</v>
          </cell>
          <cell r="E488">
            <v>1</v>
          </cell>
        </row>
        <row r="490">
          <cell r="B490" t="str">
            <v>나) 노 무 비</v>
          </cell>
        </row>
        <row r="491">
          <cell r="C491" t="str">
            <v>내 선 전 공</v>
          </cell>
          <cell r="D491" t="str">
            <v>인</v>
          </cell>
          <cell r="E491">
            <v>4.87</v>
          </cell>
          <cell r="H491">
            <v>53401</v>
          </cell>
          <cell r="I491">
            <v>260062.87</v>
          </cell>
          <cell r="L491">
            <v>260062.87</v>
          </cell>
        </row>
        <row r="496">
          <cell r="B496" t="str">
            <v>다) 공구손료</v>
          </cell>
        </row>
        <row r="497">
          <cell r="C497" t="str">
            <v>내 선 전 공</v>
          </cell>
          <cell r="D497" t="str">
            <v>인</v>
          </cell>
          <cell r="E497">
            <v>0.14000000000000001</v>
          </cell>
          <cell r="J497">
            <v>53401</v>
          </cell>
          <cell r="K497">
            <v>7476</v>
          </cell>
          <cell r="L497">
            <v>7476</v>
          </cell>
        </row>
        <row r="501">
          <cell r="A501" t="str">
            <v>30신_19</v>
          </cell>
          <cell r="B501" t="str">
            <v>합    계</v>
          </cell>
          <cell r="G501">
            <v>1085300</v>
          </cell>
          <cell r="I501">
            <v>260062.87</v>
          </cell>
          <cell r="K501">
            <v>7476</v>
          </cell>
          <cell r="L501">
            <v>1352838.87</v>
          </cell>
        </row>
        <row r="504">
          <cell r="A504" t="str">
            <v>30신_20A</v>
          </cell>
          <cell r="B504" t="str">
            <v>20. 분전반 신설(P-2C)</v>
          </cell>
          <cell r="C504" t="str">
            <v>SUS 14회로</v>
          </cell>
          <cell r="D504" t="str">
            <v>면</v>
          </cell>
          <cell r="E504">
            <v>1</v>
          </cell>
          <cell r="L504" t="str">
            <v>x</v>
          </cell>
          <cell r="M504">
            <v>1</v>
          </cell>
        </row>
        <row r="505">
          <cell r="B505" t="str">
            <v>가) 재 료 비</v>
          </cell>
        </row>
        <row r="506">
          <cell r="A506" t="str">
            <v>분전반P-2C</v>
          </cell>
          <cell r="B506" t="str">
            <v>분전반</v>
          </cell>
          <cell r="C506" t="str">
            <v>P-2C</v>
          </cell>
          <cell r="D506" t="str">
            <v>면</v>
          </cell>
          <cell r="E506">
            <v>1</v>
          </cell>
          <cell r="F506">
            <v>1209911</v>
          </cell>
          <cell r="G506">
            <v>1209911</v>
          </cell>
          <cell r="L506">
            <v>1209911</v>
          </cell>
        </row>
        <row r="507">
          <cell r="B507" t="str">
            <v>BOX(STEEL)</v>
          </cell>
          <cell r="C507" t="str">
            <v>600x1000x150x1.6t</v>
          </cell>
          <cell r="D507" t="str">
            <v>SET</v>
          </cell>
          <cell r="E507">
            <v>1</v>
          </cell>
        </row>
        <row r="508">
          <cell r="B508" t="str">
            <v>DOOR(SUS)</v>
          </cell>
          <cell r="C508" t="str">
            <v>600x1000x1.5t</v>
          </cell>
          <cell r="D508" t="str">
            <v>SET</v>
          </cell>
          <cell r="E508">
            <v>1</v>
          </cell>
        </row>
        <row r="509">
          <cell r="B509" t="str">
            <v>W.H.M</v>
          </cell>
          <cell r="C509" t="str">
            <v>3상4선 220V 120(40)A</v>
          </cell>
          <cell r="D509" t="str">
            <v>EA</v>
          </cell>
          <cell r="E509">
            <v>1</v>
          </cell>
        </row>
        <row r="510">
          <cell r="B510" t="str">
            <v>MCCB</v>
          </cell>
          <cell r="C510" t="str">
            <v>표준형 4P 50AF</v>
          </cell>
          <cell r="D510" t="str">
            <v>EA</v>
          </cell>
          <cell r="E510">
            <v>1</v>
          </cell>
        </row>
        <row r="511">
          <cell r="B511" t="str">
            <v>ELB</v>
          </cell>
          <cell r="C511" t="str">
            <v>표준형 3P 30AF</v>
          </cell>
          <cell r="D511" t="str">
            <v>EA</v>
          </cell>
          <cell r="E511">
            <v>2</v>
          </cell>
        </row>
        <row r="512">
          <cell r="B512" t="str">
            <v>ELB</v>
          </cell>
          <cell r="C512" t="str">
            <v>표준형 2P 30AF</v>
          </cell>
          <cell r="D512" t="str">
            <v>EA</v>
          </cell>
          <cell r="E512">
            <v>14</v>
          </cell>
        </row>
        <row r="513">
          <cell r="B513" t="str">
            <v>접속도체 BUS BAR</v>
          </cell>
          <cell r="C513" t="str">
            <v>속판취부</v>
          </cell>
          <cell r="D513" t="str">
            <v>SET</v>
          </cell>
          <cell r="E513">
            <v>1</v>
          </cell>
        </row>
        <row r="515">
          <cell r="B515" t="str">
            <v>나) 노 무 비</v>
          </cell>
        </row>
        <row r="516">
          <cell r="C516" t="str">
            <v>내 선 전 공</v>
          </cell>
          <cell r="D516" t="str">
            <v>인</v>
          </cell>
          <cell r="E516">
            <v>5.36</v>
          </cell>
          <cell r="H516">
            <v>53401</v>
          </cell>
          <cell r="I516">
            <v>286229.36000000004</v>
          </cell>
          <cell r="L516">
            <v>286229.36000000004</v>
          </cell>
        </row>
        <row r="521">
          <cell r="B521" t="str">
            <v>다) 공구손료</v>
          </cell>
        </row>
        <row r="522">
          <cell r="C522" t="str">
            <v>내 선 전 공</v>
          </cell>
          <cell r="D522" t="str">
            <v>인</v>
          </cell>
          <cell r="E522">
            <v>0.16</v>
          </cell>
          <cell r="J522">
            <v>53401</v>
          </cell>
          <cell r="K522">
            <v>8544</v>
          </cell>
          <cell r="L522">
            <v>8544</v>
          </cell>
        </row>
        <row r="526">
          <cell r="A526" t="str">
            <v>30신_20</v>
          </cell>
          <cell r="B526" t="str">
            <v>합    계</v>
          </cell>
          <cell r="G526">
            <v>1209911</v>
          </cell>
          <cell r="I526">
            <v>286229.36000000004</v>
          </cell>
          <cell r="K526">
            <v>8544</v>
          </cell>
          <cell r="L526">
            <v>1504684.36</v>
          </cell>
        </row>
        <row r="529">
          <cell r="A529" t="str">
            <v>30신_21A</v>
          </cell>
          <cell r="B529" t="str">
            <v>21. 분전반 신설(P-J)</v>
          </cell>
          <cell r="C529" t="str">
            <v>SUS 4회로</v>
          </cell>
          <cell r="D529" t="str">
            <v>면</v>
          </cell>
          <cell r="E529">
            <v>1</v>
          </cell>
          <cell r="L529" t="str">
            <v>x</v>
          </cell>
          <cell r="M529">
            <v>1</v>
          </cell>
        </row>
        <row r="530">
          <cell r="B530" t="str">
            <v>가) 재 료 비</v>
          </cell>
        </row>
        <row r="531">
          <cell r="A531" t="str">
            <v>분전반P-J</v>
          </cell>
          <cell r="B531" t="str">
            <v>분전반</v>
          </cell>
          <cell r="C531" t="str">
            <v>P-J</v>
          </cell>
          <cell r="D531" t="str">
            <v>면</v>
          </cell>
          <cell r="E531">
            <v>1</v>
          </cell>
          <cell r="F531">
            <v>844714</v>
          </cell>
          <cell r="G531">
            <v>844714</v>
          </cell>
          <cell r="L531">
            <v>844714</v>
          </cell>
        </row>
        <row r="532">
          <cell r="B532" t="str">
            <v>BOX(STEEL)</v>
          </cell>
          <cell r="C532" t="str">
            <v>600x600x150x1.6t</v>
          </cell>
          <cell r="D532" t="str">
            <v>SET</v>
          </cell>
          <cell r="E532">
            <v>1</v>
          </cell>
        </row>
        <row r="533">
          <cell r="B533" t="str">
            <v>DOOR(SUS)</v>
          </cell>
          <cell r="C533" t="str">
            <v>600x600x1.5t</v>
          </cell>
          <cell r="D533" t="str">
            <v>SET</v>
          </cell>
          <cell r="E533">
            <v>1</v>
          </cell>
        </row>
        <row r="534">
          <cell r="B534" t="str">
            <v>MCCB</v>
          </cell>
          <cell r="C534" t="str">
            <v>표준형 4P 50AF</v>
          </cell>
          <cell r="D534" t="str">
            <v>EA</v>
          </cell>
          <cell r="E534">
            <v>1</v>
          </cell>
        </row>
        <row r="535">
          <cell r="B535" t="str">
            <v>ELB</v>
          </cell>
          <cell r="C535" t="str">
            <v>표준형 3P 30AF</v>
          </cell>
          <cell r="D535" t="str">
            <v>EA</v>
          </cell>
          <cell r="E535">
            <v>4</v>
          </cell>
        </row>
        <row r="536">
          <cell r="B536" t="str">
            <v>마그넷스위치</v>
          </cell>
          <cell r="D536" t="str">
            <v>EA</v>
          </cell>
          <cell r="E536">
            <v>2</v>
          </cell>
        </row>
        <row r="537">
          <cell r="B537" t="str">
            <v>접속도체 BUS BAR</v>
          </cell>
          <cell r="C537" t="str">
            <v>속판취부</v>
          </cell>
          <cell r="D537" t="str">
            <v>SET</v>
          </cell>
          <cell r="E537">
            <v>1</v>
          </cell>
        </row>
        <row r="540">
          <cell r="B540" t="str">
            <v>나) 노 무 비</v>
          </cell>
        </row>
        <row r="541">
          <cell r="C541" t="str">
            <v>내 선 전 공</v>
          </cell>
          <cell r="D541" t="str">
            <v>인</v>
          </cell>
          <cell r="E541">
            <v>2.8</v>
          </cell>
          <cell r="H541">
            <v>53401</v>
          </cell>
          <cell r="I541">
            <v>149522.79999999999</v>
          </cell>
          <cell r="L541">
            <v>149522.79999999999</v>
          </cell>
        </row>
        <row r="546">
          <cell r="B546" t="str">
            <v>다) 공구손료</v>
          </cell>
        </row>
        <row r="547">
          <cell r="C547" t="str">
            <v>내 선 전 공</v>
          </cell>
          <cell r="D547" t="str">
            <v>인</v>
          </cell>
          <cell r="E547">
            <v>0.08</v>
          </cell>
          <cell r="J547">
            <v>53401</v>
          </cell>
          <cell r="K547">
            <v>4272</v>
          </cell>
          <cell r="L547">
            <v>4272</v>
          </cell>
        </row>
        <row r="551">
          <cell r="A551" t="str">
            <v>30신_21</v>
          </cell>
          <cell r="B551" t="str">
            <v>합    계</v>
          </cell>
          <cell r="G551">
            <v>844714</v>
          </cell>
          <cell r="I551">
            <v>149522.79999999999</v>
          </cell>
          <cell r="K551">
            <v>4272</v>
          </cell>
          <cell r="L551">
            <v>998508.8</v>
          </cell>
        </row>
        <row r="554">
          <cell r="A554" t="str">
            <v>30신_22A</v>
          </cell>
          <cell r="B554" t="str">
            <v>22. 분전반 신설 (ELB 2P 30/30)</v>
          </cell>
          <cell r="C554" t="str">
            <v>SUS 1회로</v>
          </cell>
          <cell r="D554" t="str">
            <v>면</v>
          </cell>
          <cell r="E554">
            <v>1</v>
          </cell>
          <cell r="L554" t="str">
            <v>x</v>
          </cell>
          <cell r="M554">
            <v>5</v>
          </cell>
        </row>
        <row r="555">
          <cell r="B555" t="str">
            <v>가) 재 료 비</v>
          </cell>
        </row>
        <row r="556">
          <cell r="A556" t="str">
            <v>MCCB BOXELB 2P 30/30AT</v>
          </cell>
          <cell r="B556" t="str">
            <v>분전반</v>
          </cell>
          <cell r="C556" t="str">
            <v>ELB 2P 30/30AT</v>
          </cell>
          <cell r="D556" t="str">
            <v>면</v>
          </cell>
          <cell r="E556">
            <v>1</v>
          </cell>
          <cell r="F556">
            <v>57231</v>
          </cell>
          <cell r="G556">
            <v>57231</v>
          </cell>
          <cell r="L556">
            <v>57231</v>
          </cell>
        </row>
        <row r="557">
          <cell r="B557" t="str">
            <v>BOX(STEEL)</v>
          </cell>
          <cell r="C557" t="str">
            <v>200x300x150x1.6t</v>
          </cell>
          <cell r="D557" t="str">
            <v>SET</v>
          </cell>
          <cell r="E557">
            <v>1</v>
          </cell>
        </row>
        <row r="558">
          <cell r="B558" t="str">
            <v>DOOR(SUS)</v>
          </cell>
          <cell r="C558" t="str">
            <v>200x300x1.5t</v>
          </cell>
          <cell r="D558" t="str">
            <v>SET</v>
          </cell>
          <cell r="E558">
            <v>1</v>
          </cell>
        </row>
        <row r="559">
          <cell r="B559" t="str">
            <v>ELB</v>
          </cell>
          <cell r="C559" t="str">
            <v>표준형 2P 30AF</v>
          </cell>
          <cell r="D559" t="str">
            <v>EA</v>
          </cell>
          <cell r="E559">
            <v>1</v>
          </cell>
        </row>
        <row r="563">
          <cell r="B563" t="str">
            <v>나) 노 무 비</v>
          </cell>
        </row>
        <row r="564">
          <cell r="C564" t="str">
            <v>내 선 전 공</v>
          </cell>
          <cell r="D564" t="str">
            <v>인</v>
          </cell>
          <cell r="E564">
            <v>0.27</v>
          </cell>
          <cell r="H564">
            <v>53401</v>
          </cell>
          <cell r="I564">
            <v>14418</v>
          </cell>
          <cell r="L564">
            <v>14418</v>
          </cell>
        </row>
        <row r="569">
          <cell r="B569" t="str">
            <v>다) 공구손료</v>
          </cell>
        </row>
        <row r="570">
          <cell r="C570" t="str">
            <v>내 선 전 공</v>
          </cell>
          <cell r="D570" t="str">
            <v>인</v>
          </cell>
          <cell r="E570">
            <v>0</v>
          </cell>
          <cell r="K570">
            <v>0</v>
          </cell>
          <cell r="L570">
            <v>0</v>
          </cell>
        </row>
        <row r="574">
          <cell r="A574" t="str">
            <v>30신_22</v>
          </cell>
          <cell r="B574" t="str">
            <v>합    계</v>
          </cell>
          <cell r="G574">
            <v>57231</v>
          </cell>
          <cell r="I574">
            <v>14418</v>
          </cell>
          <cell r="K574">
            <v>0</v>
          </cell>
          <cell r="L574">
            <v>71649</v>
          </cell>
        </row>
        <row r="579">
          <cell r="A579" t="str">
            <v>30신_23A</v>
          </cell>
          <cell r="B579" t="str">
            <v>23. 분전반 신설 (ELB 4P 30/20)</v>
          </cell>
          <cell r="C579" t="str">
            <v>SUS 1회로</v>
          </cell>
          <cell r="D579" t="str">
            <v>면</v>
          </cell>
          <cell r="E579">
            <v>1</v>
          </cell>
          <cell r="L579" t="str">
            <v>x</v>
          </cell>
          <cell r="M579">
            <v>7</v>
          </cell>
        </row>
        <row r="580">
          <cell r="B580" t="str">
            <v>가) 재 료 비</v>
          </cell>
        </row>
        <row r="581">
          <cell r="A581" t="str">
            <v>MCCB BOXELB 4P 30/20AT</v>
          </cell>
          <cell r="B581" t="str">
            <v>분전반</v>
          </cell>
          <cell r="C581" t="str">
            <v>ELB 4P 30/20AT</v>
          </cell>
          <cell r="D581" t="str">
            <v>면</v>
          </cell>
          <cell r="E581">
            <v>1</v>
          </cell>
          <cell r="F581">
            <v>94102</v>
          </cell>
          <cell r="G581">
            <v>94102</v>
          </cell>
          <cell r="L581">
            <v>94102</v>
          </cell>
        </row>
        <row r="582">
          <cell r="B582" t="str">
            <v>BOX(STEEL)</v>
          </cell>
          <cell r="C582" t="str">
            <v>200x300x150x1.6t</v>
          </cell>
          <cell r="D582" t="str">
            <v>SET</v>
          </cell>
          <cell r="E582">
            <v>1</v>
          </cell>
        </row>
        <row r="583">
          <cell r="B583" t="str">
            <v>DOOR(SUS)</v>
          </cell>
          <cell r="C583" t="str">
            <v>200x300x1.5t</v>
          </cell>
          <cell r="D583" t="str">
            <v>SET</v>
          </cell>
          <cell r="E583">
            <v>1</v>
          </cell>
        </row>
        <row r="584">
          <cell r="B584" t="str">
            <v>ELB</v>
          </cell>
          <cell r="C584" t="str">
            <v>표준형 4P 30AF</v>
          </cell>
          <cell r="D584" t="str">
            <v>EA</v>
          </cell>
          <cell r="E584">
            <v>1</v>
          </cell>
        </row>
        <row r="588">
          <cell r="B588" t="str">
            <v>나) 노 무 비</v>
          </cell>
        </row>
        <row r="589">
          <cell r="C589" t="str">
            <v>내 선 전 공</v>
          </cell>
          <cell r="D589" t="str">
            <v>인</v>
          </cell>
          <cell r="E589">
            <v>0.45</v>
          </cell>
          <cell r="H589">
            <v>53401</v>
          </cell>
          <cell r="I589">
            <v>24030</v>
          </cell>
          <cell r="L589">
            <v>24030</v>
          </cell>
        </row>
        <row r="594">
          <cell r="B594" t="str">
            <v>다) 공구손료</v>
          </cell>
        </row>
        <row r="595">
          <cell r="C595" t="str">
            <v>내 선 전 공</v>
          </cell>
          <cell r="D595" t="str">
            <v>인</v>
          </cell>
          <cell r="E595">
            <v>0.01</v>
          </cell>
          <cell r="J595">
            <v>53401</v>
          </cell>
          <cell r="K595">
            <v>534</v>
          </cell>
          <cell r="L595">
            <v>534</v>
          </cell>
        </row>
        <row r="599">
          <cell r="A599" t="str">
            <v>30신_23</v>
          </cell>
          <cell r="B599" t="str">
            <v>합    계</v>
          </cell>
          <cell r="G599">
            <v>94102</v>
          </cell>
          <cell r="I599">
            <v>24030</v>
          </cell>
          <cell r="K599">
            <v>534</v>
          </cell>
          <cell r="L599">
            <v>118666</v>
          </cell>
        </row>
        <row r="604">
          <cell r="A604" t="str">
            <v>30신_24A</v>
          </cell>
          <cell r="B604" t="str">
            <v>24. 분전반 신설 (ELB 4P 50/30)</v>
          </cell>
          <cell r="C604" t="str">
            <v>SUS 1회로</v>
          </cell>
          <cell r="D604" t="str">
            <v>면</v>
          </cell>
          <cell r="E604">
            <v>1</v>
          </cell>
          <cell r="L604" t="str">
            <v>x</v>
          </cell>
          <cell r="M604">
            <v>1</v>
          </cell>
        </row>
        <row r="605">
          <cell r="B605" t="str">
            <v>가) 재 료 비</v>
          </cell>
        </row>
        <row r="606">
          <cell r="A606" t="str">
            <v>MCCB BOXELB 4P 50/30AT</v>
          </cell>
          <cell r="B606" t="str">
            <v>분전반</v>
          </cell>
          <cell r="C606" t="str">
            <v>ELB 4P 50/30AT</v>
          </cell>
          <cell r="D606" t="str">
            <v>면</v>
          </cell>
          <cell r="E606">
            <v>1</v>
          </cell>
          <cell r="F606">
            <v>122553</v>
          </cell>
          <cell r="G606">
            <v>122553</v>
          </cell>
          <cell r="L606">
            <v>122553</v>
          </cell>
        </row>
        <row r="607">
          <cell r="B607" t="str">
            <v>BOX(STEEL)</v>
          </cell>
          <cell r="C607" t="str">
            <v>200x300x150x1.6t</v>
          </cell>
          <cell r="D607" t="str">
            <v>SET</v>
          </cell>
          <cell r="E607">
            <v>1</v>
          </cell>
        </row>
        <row r="608">
          <cell r="B608" t="str">
            <v>DOOR(SUS)</v>
          </cell>
          <cell r="C608" t="str">
            <v>200x300x1.5t</v>
          </cell>
          <cell r="D608" t="str">
            <v>SET</v>
          </cell>
          <cell r="E608">
            <v>1</v>
          </cell>
        </row>
        <row r="609">
          <cell r="B609" t="str">
            <v>ELB</v>
          </cell>
          <cell r="C609" t="str">
            <v>표준형 4P 50AF</v>
          </cell>
          <cell r="D609" t="str">
            <v>EA</v>
          </cell>
          <cell r="E609">
            <v>1</v>
          </cell>
        </row>
        <row r="613">
          <cell r="B613" t="str">
            <v>나) 노 무 비</v>
          </cell>
        </row>
        <row r="614">
          <cell r="C614" t="str">
            <v>내 선 전 공</v>
          </cell>
          <cell r="D614" t="str">
            <v>인</v>
          </cell>
          <cell r="E614">
            <v>0.62</v>
          </cell>
          <cell r="H614">
            <v>53401</v>
          </cell>
          <cell r="I614">
            <v>33108</v>
          </cell>
          <cell r="L614">
            <v>33108</v>
          </cell>
        </row>
        <row r="619">
          <cell r="B619" t="str">
            <v>다) 공구손료</v>
          </cell>
        </row>
        <row r="620">
          <cell r="C620" t="str">
            <v>내 선 전 공</v>
          </cell>
          <cell r="D620" t="str">
            <v>인</v>
          </cell>
          <cell r="E620">
            <v>0.01</v>
          </cell>
          <cell r="J620">
            <v>53401</v>
          </cell>
          <cell r="K620">
            <v>534</v>
          </cell>
          <cell r="L620">
            <v>534</v>
          </cell>
        </row>
        <row r="624">
          <cell r="A624" t="str">
            <v>30신_24</v>
          </cell>
          <cell r="B624" t="str">
            <v>합    계</v>
          </cell>
          <cell r="G624">
            <v>122553</v>
          </cell>
          <cell r="I624">
            <v>33108</v>
          </cell>
          <cell r="K624">
            <v>534</v>
          </cell>
          <cell r="L624">
            <v>156195</v>
          </cell>
        </row>
        <row r="629">
          <cell r="A629" t="str">
            <v>30신_25A</v>
          </cell>
          <cell r="B629" t="str">
            <v>25. 분전반 신설 (MCCB 4P 50/40)</v>
          </cell>
          <cell r="C629" t="str">
            <v>SUS 1회로</v>
          </cell>
          <cell r="D629" t="str">
            <v>면</v>
          </cell>
          <cell r="E629">
            <v>1</v>
          </cell>
          <cell r="L629" t="str">
            <v>x</v>
          </cell>
          <cell r="M629">
            <v>2</v>
          </cell>
        </row>
        <row r="630">
          <cell r="B630" t="str">
            <v>가) 재 료 비</v>
          </cell>
        </row>
        <row r="631">
          <cell r="A631" t="str">
            <v>MCCB BOXMCCB 4P 50/40AT</v>
          </cell>
          <cell r="B631" t="str">
            <v>분전반</v>
          </cell>
          <cell r="C631" t="str">
            <v>MCCB 4P 50/40AT</v>
          </cell>
          <cell r="D631" t="str">
            <v>면</v>
          </cell>
          <cell r="E631">
            <v>1</v>
          </cell>
          <cell r="F631">
            <v>87100</v>
          </cell>
          <cell r="G631">
            <v>87100</v>
          </cell>
          <cell r="L631">
            <v>87100</v>
          </cell>
        </row>
        <row r="632">
          <cell r="B632" t="str">
            <v>BOX(STEEL)</v>
          </cell>
          <cell r="C632" t="str">
            <v>200x300x150x1.6t</v>
          </cell>
          <cell r="D632" t="str">
            <v>SET</v>
          </cell>
          <cell r="E632">
            <v>1</v>
          </cell>
        </row>
        <row r="633">
          <cell r="B633" t="str">
            <v>DOOR(SUS)</v>
          </cell>
          <cell r="C633" t="str">
            <v>200x300x1.5t</v>
          </cell>
          <cell r="D633" t="str">
            <v>SET</v>
          </cell>
          <cell r="E633">
            <v>1</v>
          </cell>
        </row>
        <row r="634">
          <cell r="B634" t="str">
            <v>MCCB</v>
          </cell>
          <cell r="C634" t="str">
            <v>표준형 4P 50AF</v>
          </cell>
          <cell r="D634" t="str">
            <v>EA</v>
          </cell>
          <cell r="E634">
            <v>1</v>
          </cell>
        </row>
        <row r="638">
          <cell r="B638" t="str">
            <v>나) 노 무 비</v>
          </cell>
        </row>
        <row r="639">
          <cell r="C639" t="str">
            <v>내 선 전 공</v>
          </cell>
          <cell r="D639" t="str">
            <v>인</v>
          </cell>
          <cell r="E639">
            <v>0.62</v>
          </cell>
          <cell r="H639">
            <v>53401</v>
          </cell>
          <cell r="I639">
            <v>33108</v>
          </cell>
          <cell r="L639">
            <v>33108</v>
          </cell>
        </row>
        <row r="644">
          <cell r="B644" t="str">
            <v>다) 공구손료</v>
          </cell>
        </row>
        <row r="645">
          <cell r="C645" t="str">
            <v>내 선 전 공</v>
          </cell>
          <cell r="D645" t="str">
            <v>인</v>
          </cell>
          <cell r="E645">
            <v>0.01</v>
          </cell>
          <cell r="J645">
            <v>53401</v>
          </cell>
          <cell r="K645">
            <v>534</v>
          </cell>
          <cell r="L645">
            <v>534</v>
          </cell>
        </row>
        <row r="649">
          <cell r="A649" t="str">
            <v>30신_25</v>
          </cell>
          <cell r="B649" t="str">
            <v>합    계</v>
          </cell>
          <cell r="G649">
            <v>87100</v>
          </cell>
          <cell r="I649">
            <v>33108</v>
          </cell>
          <cell r="K649">
            <v>534</v>
          </cell>
          <cell r="L649">
            <v>120742</v>
          </cell>
        </row>
        <row r="654">
          <cell r="A654" t="str">
            <v>30신_26A</v>
          </cell>
          <cell r="B654" t="str">
            <v>26. 분전반 신설 (MCCB 4P 100/100)</v>
          </cell>
          <cell r="C654" t="str">
            <v>SUS 1회로</v>
          </cell>
          <cell r="D654" t="str">
            <v>면</v>
          </cell>
          <cell r="E654">
            <v>1</v>
          </cell>
          <cell r="L654" t="str">
            <v>x</v>
          </cell>
          <cell r="M654">
            <v>1</v>
          </cell>
        </row>
        <row r="655">
          <cell r="B655" t="str">
            <v>가) 재 료 비</v>
          </cell>
        </row>
        <row r="656">
          <cell r="A656" t="str">
            <v>MCCB BOXMCCB 4P 100/100AT</v>
          </cell>
          <cell r="B656" t="str">
            <v>분전반</v>
          </cell>
          <cell r="C656" t="str">
            <v>MCCB 4P 100/100AT</v>
          </cell>
          <cell r="D656" t="str">
            <v>면</v>
          </cell>
          <cell r="E656">
            <v>1</v>
          </cell>
          <cell r="F656">
            <v>132004</v>
          </cell>
          <cell r="G656">
            <v>132004</v>
          </cell>
          <cell r="L656">
            <v>132004</v>
          </cell>
        </row>
        <row r="657">
          <cell r="B657" t="str">
            <v>BOX(STEEL)</v>
          </cell>
          <cell r="C657" t="str">
            <v>200x300x150x1.6t</v>
          </cell>
          <cell r="D657" t="str">
            <v>SET</v>
          </cell>
          <cell r="E657">
            <v>1</v>
          </cell>
        </row>
        <row r="658">
          <cell r="B658" t="str">
            <v>DOOR(SUS)</v>
          </cell>
          <cell r="C658" t="str">
            <v>200x300x1.5t</v>
          </cell>
          <cell r="D658" t="str">
            <v>SET</v>
          </cell>
          <cell r="E658">
            <v>1</v>
          </cell>
        </row>
        <row r="659">
          <cell r="B659" t="str">
            <v>MCCB</v>
          </cell>
          <cell r="C659" t="str">
            <v>표준형 4P 100AF</v>
          </cell>
          <cell r="D659" t="str">
            <v>EA</v>
          </cell>
          <cell r="E659">
            <v>1</v>
          </cell>
        </row>
        <row r="663">
          <cell r="B663" t="str">
            <v>나) 노 무 비</v>
          </cell>
        </row>
        <row r="664">
          <cell r="C664" t="str">
            <v>내 선 전 공</v>
          </cell>
          <cell r="D664" t="str">
            <v>인</v>
          </cell>
          <cell r="E664">
            <v>0.87</v>
          </cell>
          <cell r="H664">
            <v>53401</v>
          </cell>
          <cell r="I664">
            <v>46458</v>
          </cell>
          <cell r="L664">
            <v>46458</v>
          </cell>
        </row>
        <row r="669">
          <cell r="B669" t="str">
            <v>다) 공구손료</v>
          </cell>
        </row>
        <row r="670">
          <cell r="C670" t="str">
            <v>내 선 전 공</v>
          </cell>
          <cell r="D670" t="str">
            <v>인</v>
          </cell>
          <cell r="E670">
            <v>0.02</v>
          </cell>
          <cell r="J670">
            <v>53401</v>
          </cell>
          <cell r="K670">
            <v>1068</v>
          </cell>
          <cell r="L670">
            <v>1068</v>
          </cell>
        </row>
        <row r="674">
          <cell r="A674" t="str">
            <v>30신_26</v>
          </cell>
          <cell r="B674" t="str">
            <v>합    계</v>
          </cell>
          <cell r="G674">
            <v>132004</v>
          </cell>
          <cell r="I674">
            <v>46458</v>
          </cell>
          <cell r="K674">
            <v>1068</v>
          </cell>
          <cell r="L674">
            <v>179530</v>
          </cell>
        </row>
        <row r="679">
          <cell r="A679" t="str">
            <v>30신_27A</v>
          </cell>
          <cell r="B679" t="str">
            <v>27. 접지장치 신설</v>
          </cell>
          <cell r="C679" t="str">
            <v>제1종</v>
          </cell>
          <cell r="D679" t="str">
            <v>개소</v>
          </cell>
          <cell r="E679">
            <v>1</v>
          </cell>
          <cell r="L679" t="str">
            <v>x</v>
          </cell>
          <cell r="M679">
            <v>2</v>
          </cell>
        </row>
        <row r="680">
          <cell r="B680" t="str">
            <v>가) 재 료 비</v>
          </cell>
        </row>
        <row r="681">
          <cell r="A681" t="str">
            <v>접지봉Φ14x1000mm</v>
          </cell>
          <cell r="B681" t="str">
            <v>접지봉</v>
          </cell>
          <cell r="C681" t="str">
            <v>Φ14x1000mm</v>
          </cell>
          <cell r="D681" t="str">
            <v>개</v>
          </cell>
          <cell r="E681">
            <v>9</v>
          </cell>
          <cell r="F681">
            <v>3000</v>
          </cell>
          <cell r="G681">
            <v>27000</v>
          </cell>
          <cell r="L681">
            <v>27000</v>
          </cell>
        </row>
        <row r="682">
          <cell r="A682" t="str">
            <v>나 동 선60㎟</v>
          </cell>
          <cell r="B682" t="str">
            <v>나 동 선</v>
          </cell>
          <cell r="C682" t="str">
            <v>60㎟</v>
          </cell>
          <cell r="D682" t="str">
            <v>m</v>
          </cell>
          <cell r="E682">
            <v>6.6</v>
          </cell>
          <cell r="F682">
            <v>1910</v>
          </cell>
          <cell r="G682">
            <v>12606</v>
          </cell>
          <cell r="L682">
            <v>12606</v>
          </cell>
        </row>
        <row r="683">
          <cell r="A683" t="str">
            <v>압착단자60 ㎟</v>
          </cell>
          <cell r="B683" t="str">
            <v>압착단자</v>
          </cell>
          <cell r="C683" t="str">
            <v>60 ㎟</v>
          </cell>
          <cell r="D683" t="str">
            <v>m</v>
          </cell>
          <cell r="E683">
            <v>1</v>
          </cell>
          <cell r="F683">
            <v>486</v>
          </cell>
          <cell r="G683">
            <v>486</v>
          </cell>
          <cell r="L683">
            <v>486</v>
          </cell>
        </row>
        <row r="684">
          <cell r="A684" t="str">
            <v>접지크램프60㎟</v>
          </cell>
          <cell r="B684" t="str">
            <v>접지크램프</v>
          </cell>
          <cell r="C684" t="str">
            <v>60㎟</v>
          </cell>
          <cell r="D684" t="str">
            <v>m</v>
          </cell>
          <cell r="E684">
            <v>3</v>
          </cell>
          <cell r="F684">
            <v>1500</v>
          </cell>
          <cell r="G684">
            <v>4500</v>
          </cell>
          <cell r="L684">
            <v>4500</v>
          </cell>
        </row>
        <row r="685">
          <cell r="A685" t="str">
            <v>접지저항저감재메직어스(10kg)</v>
          </cell>
          <cell r="B685" t="str">
            <v>접지저항저감재</v>
          </cell>
          <cell r="C685" t="str">
            <v>메직어스(10kg)</v>
          </cell>
          <cell r="D685" t="str">
            <v>포</v>
          </cell>
          <cell r="E685">
            <v>6</v>
          </cell>
          <cell r="F685">
            <v>20000</v>
          </cell>
          <cell r="G685">
            <v>120000</v>
          </cell>
          <cell r="L685">
            <v>120000</v>
          </cell>
        </row>
        <row r="686">
          <cell r="B686" t="str">
            <v>터파기</v>
          </cell>
          <cell r="C686" t="str">
            <v>자갈섞인 토사</v>
          </cell>
          <cell r="D686" t="str">
            <v>㎥</v>
          </cell>
          <cell r="E686">
            <v>2.6249999999999996</v>
          </cell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92">
          <cell r="B692" t="str">
            <v>나) 노 무 비</v>
          </cell>
        </row>
        <row r="693">
          <cell r="C693" t="str">
            <v>내 선 전 공</v>
          </cell>
          <cell r="D693" t="str">
            <v>인</v>
          </cell>
          <cell r="E693">
            <v>4.29</v>
          </cell>
          <cell r="H693">
            <v>53401</v>
          </cell>
          <cell r="I693">
            <v>229090</v>
          </cell>
          <cell r="L693">
            <v>229090</v>
          </cell>
        </row>
        <row r="694">
          <cell r="C694" t="str">
            <v>보 통 인 부</v>
          </cell>
          <cell r="D694" t="str">
            <v>인</v>
          </cell>
          <cell r="E694">
            <v>3.17</v>
          </cell>
          <cell r="H694">
            <v>38932</v>
          </cell>
          <cell r="I694">
            <v>123414</v>
          </cell>
          <cell r="L694">
            <v>123414</v>
          </cell>
        </row>
        <row r="698">
          <cell r="B698" t="str">
            <v>다) 공구손료</v>
          </cell>
          <cell r="K698">
            <v>0</v>
          </cell>
        </row>
        <row r="699">
          <cell r="C699" t="str">
            <v>내 선 전 공</v>
          </cell>
          <cell r="D699" t="str">
            <v>인</v>
          </cell>
          <cell r="E699">
            <v>0.12</v>
          </cell>
          <cell r="J699">
            <v>53401</v>
          </cell>
          <cell r="K699">
            <v>6408</v>
          </cell>
          <cell r="L699">
            <v>6408</v>
          </cell>
        </row>
        <row r="700">
          <cell r="C700" t="str">
            <v>보 통 인 부</v>
          </cell>
          <cell r="D700" t="str">
            <v>인</v>
          </cell>
          <cell r="E700">
            <v>0.06</v>
          </cell>
          <cell r="J700">
            <v>38932</v>
          </cell>
          <cell r="K700">
            <v>2335</v>
          </cell>
          <cell r="L700">
            <v>2335</v>
          </cell>
        </row>
        <row r="703">
          <cell r="A703" t="str">
            <v>30신_27</v>
          </cell>
          <cell r="B703" t="str">
            <v>합    계</v>
          </cell>
          <cell r="G703">
            <v>164592</v>
          </cell>
          <cell r="I703">
            <v>352504</v>
          </cell>
          <cell r="K703">
            <v>8743</v>
          </cell>
          <cell r="L703">
            <v>525839</v>
          </cell>
        </row>
        <row r="704">
          <cell r="A704" t="str">
            <v>30신_28A</v>
          </cell>
          <cell r="B704" t="str">
            <v>28. 접지장치 신설</v>
          </cell>
          <cell r="C704" t="str">
            <v>제2종</v>
          </cell>
          <cell r="D704" t="str">
            <v>개소</v>
          </cell>
          <cell r="E704">
            <v>1</v>
          </cell>
          <cell r="L704" t="str">
            <v>x</v>
          </cell>
          <cell r="M704">
            <v>1</v>
          </cell>
        </row>
        <row r="705">
          <cell r="B705" t="str">
            <v>가) 재 료 비</v>
          </cell>
        </row>
        <row r="706">
          <cell r="A706" t="str">
            <v>접지봉Φ14x1000mm</v>
          </cell>
          <cell r="B706" t="str">
            <v>접지봉</v>
          </cell>
          <cell r="C706" t="str">
            <v>Φ14x1000mm</v>
          </cell>
          <cell r="D706" t="str">
            <v>개</v>
          </cell>
          <cell r="E706">
            <v>6</v>
          </cell>
          <cell r="F706">
            <v>3000</v>
          </cell>
          <cell r="G706">
            <v>18000</v>
          </cell>
          <cell r="L706">
            <v>18000</v>
          </cell>
        </row>
        <row r="707">
          <cell r="A707" t="str">
            <v>나 동 선60㎟</v>
          </cell>
          <cell r="B707" t="str">
            <v>나 동 선</v>
          </cell>
          <cell r="C707" t="str">
            <v>60㎟</v>
          </cell>
          <cell r="D707" t="str">
            <v>m</v>
          </cell>
          <cell r="E707">
            <v>6.6</v>
          </cell>
          <cell r="F707">
            <v>1910</v>
          </cell>
          <cell r="G707">
            <v>12606</v>
          </cell>
          <cell r="L707">
            <v>12606</v>
          </cell>
        </row>
        <row r="708">
          <cell r="A708" t="str">
            <v>압착단자60 ㎟</v>
          </cell>
          <cell r="B708" t="str">
            <v>압착단자</v>
          </cell>
          <cell r="C708" t="str">
            <v>60 ㎟</v>
          </cell>
          <cell r="D708" t="str">
            <v>m</v>
          </cell>
          <cell r="E708">
            <v>1</v>
          </cell>
          <cell r="F708">
            <v>486</v>
          </cell>
          <cell r="G708">
            <v>486</v>
          </cell>
          <cell r="L708">
            <v>486</v>
          </cell>
        </row>
        <row r="709">
          <cell r="A709" t="str">
            <v>접지크램프60㎟</v>
          </cell>
          <cell r="B709" t="str">
            <v>접지크램프</v>
          </cell>
          <cell r="C709" t="str">
            <v>60㎟</v>
          </cell>
          <cell r="D709" t="str">
            <v>m</v>
          </cell>
          <cell r="E709">
            <v>2</v>
          </cell>
          <cell r="F709">
            <v>1500</v>
          </cell>
          <cell r="G709">
            <v>3000</v>
          </cell>
          <cell r="L709">
            <v>3000</v>
          </cell>
        </row>
        <row r="710">
          <cell r="A710" t="str">
            <v>접지저항저감재메직어스(10kg)</v>
          </cell>
          <cell r="B710" t="str">
            <v>접지저항저감재</v>
          </cell>
          <cell r="C710" t="str">
            <v>메직어스(10kg)</v>
          </cell>
          <cell r="D710" t="str">
            <v>포</v>
          </cell>
          <cell r="E710">
            <v>4</v>
          </cell>
          <cell r="F710">
            <v>20000</v>
          </cell>
          <cell r="G710">
            <v>80000</v>
          </cell>
          <cell r="L710">
            <v>80000</v>
          </cell>
        </row>
        <row r="711">
          <cell r="B711" t="str">
            <v>터파기</v>
          </cell>
          <cell r="C711" t="str">
            <v>자갈섞인 토사</v>
          </cell>
          <cell r="D711" t="str">
            <v>㎥</v>
          </cell>
          <cell r="E711">
            <v>2.63</v>
          </cell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7">
          <cell r="B717" t="str">
            <v>나) 노 무 비</v>
          </cell>
        </row>
        <row r="718">
          <cell r="C718" t="str">
            <v>내 선 전 공</v>
          </cell>
          <cell r="D718" t="str">
            <v>인</v>
          </cell>
          <cell r="E718">
            <v>2.04</v>
          </cell>
          <cell r="H718">
            <v>53401</v>
          </cell>
          <cell r="I718">
            <v>108938</v>
          </cell>
          <cell r="L718">
            <v>108938</v>
          </cell>
        </row>
        <row r="719">
          <cell r="C719" t="str">
            <v>보 통 인 부</v>
          </cell>
          <cell r="D719" t="str">
            <v>인</v>
          </cell>
          <cell r="E719">
            <v>2</v>
          </cell>
          <cell r="H719">
            <v>38932</v>
          </cell>
          <cell r="I719">
            <v>77864</v>
          </cell>
          <cell r="L719">
            <v>77864</v>
          </cell>
        </row>
        <row r="723">
          <cell r="B723" t="str">
            <v>다) 공구손료</v>
          </cell>
          <cell r="K723">
            <v>0</v>
          </cell>
        </row>
        <row r="724">
          <cell r="C724" t="str">
            <v>내 선 전 공</v>
          </cell>
          <cell r="D724" t="str">
            <v>인</v>
          </cell>
          <cell r="E724">
            <v>0.06</v>
          </cell>
          <cell r="J724">
            <v>53401</v>
          </cell>
          <cell r="K724">
            <v>3204</v>
          </cell>
          <cell r="L724">
            <v>3204</v>
          </cell>
        </row>
        <row r="725">
          <cell r="C725" t="str">
            <v>보 통 인 부</v>
          </cell>
          <cell r="D725" t="str">
            <v>인</v>
          </cell>
          <cell r="E725">
            <v>0.01</v>
          </cell>
          <cell r="J725">
            <v>38932</v>
          </cell>
          <cell r="K725">
            <v>389</v>
          </cell>
          <cell r="L725">
            <v>389</v>
          </cell>
        </row>
        <row r="728">
          <cell r="A728" t="str">
            <v>30신_28</v>
          </cell>
          <cell r="B728" t="str">
            <v>합    계</v>
          </cell>
          <cell r="G728">
            <v>114092</v>
          </cell>
          <cell r="I728">
            <v>186802</v>
          </cell>
          <cell r="K728">
            <v>3593</v>
          </cell>
          <cell r="L728">
            <v>304487</v>
          </cell>
        </row>
        <row r="729">
          <cell r="A729" t="str">
            <v>30신_29A</v>
          </cell>
          <cell r="B729" t="str">
            <v>29. 접지장치 신설</v>
          </cell>
          <cell r="C729" t="str">
            <v>제3종</v>
          </cell>
          <cell r="D729" t="str">
            <v>개소</v>
          </cell>
          <cell r="E729">
            <v>1</v>
          </cell>
          <cell r="L729" t="str">
            <v>x</v>
          </cell>
          <cell r="M729">
            <v>1</v>
          </cell>
        </row>
        <row r="730">
          <cell r="B730" t="str">
            <v>가) 재 료 비</v>
          </cell>
        </row>
        <row r="731">
          <cell r="A731" t="str">
            <v>접지봉Φ14x1000mm</v>
          </cell>
          <cell r="B731" t="str">
            <v>접지봉</v>
          </cell>
          <cell r="C731" t="str">
            <v>Φ14x1000mm</v>
          </cell>
          <cell r="D731" t="str">
            <v>개</v>
          </cell>
          <cell r="E731">
            <v>3</v>
          </cell>
          <cell r="F731">
            <v>3000</v>
          </cell>
          <cell r="G731">
            <v>9000</v>
          </cell>
          <cell r="L731">
            <v>9000</v>
          </cell>
        </row>
        <row r="732">
          <cell r="A732" t="str">
            <v>나 동 선60㎟</v>
          </cell>
          <cell r="B732" t="str">
            <v>나 동 선</v>
          </cell>
          <cell r="C732" t="str">
            <v>60㎟</v>
          </cell>
          <cell r="D732" t="str">
            <v>m</v>
          </cell>
          <cell r="E732">
            <v>6.6</v>
          </cell>
          <cell r="F732">
            <v>1910</v>
          </cell>
          <cell r="G732">
            <v>12606</v>
          </cell>
          <cell r="L732">
            <v>12606</v>
          </cell>
        </row>
        <row r="733">
          <cell r="A733" t="str">
            <v>압착단자60 ㎟</v>
          </cell>
          <cell r="B733" t="str">
            <v>압착단자</v>
          </cell>
          <cell r="C733" t="str">
            <v>60 ㎟</v>
          </cell>
          <cell r="D733" t="str">
            <v>m</v>
          </cell>
          <cell r="E733">
            <v>1</v>
          </cell>
          <cell r="F733">
            <v>486</v>
          </cell>
          <cell r="G733">
            <v>486</v>
          </cell>
          <cell r="L733">
            <v>486</v>
          </cell>
        </row>
        <row r="734">
          <cell r="A734" t="str">
            <v>접지크램프60㎟</v>
          </cell>
          <cell r="B734" t="str">
            <v>접지크램프</v>
          </cell>
          <cell r="C734" t="str">
            <v>60㎟</v>
          </cell>
          <cell r="D734" t="str">
            <v>m</v>
          </cell>
          <cell r="E734">
            <v>3</v>
          </cell>
          <cell r="F734">
            <v>1500</v>
          </cell>
          <cell r="G734">
            <v>4500</v>
          </cell>
          <cell r="L734">
            <v>4500</v>
          </cell>
        </row>
        <row r="735">
          <cell r="A735" t="str">
            <v>접지저항저감재메직어스(10kg)</v>
          </cell>
          <cell r="B735" t="str">
            <v>접지저항저감재</v>
          </cell>
          <cell r="C735" t="str">
            <v>메직어스(10kg)</v>
          </cell>
          <cell r="D735" t="str">
            <v>포</v>
          </cell>
          <cell r="E735">
            <v>2</v>
          </cell>
          <cell r="F735">
            <v>20000</v>
          </cell>
          <cell r="G735">
            <v>40000</v>
          </cell>
          <cell r="L735">
            <v>40000</v>
          </cell>
        </row>
        <row r="736">
          <cell r="B736" t="str">
            <v>터파기</v>
          </cell>
          <cell r="C736" t="str">
            <v>자갈섞인 토사</v>
          </cell>
          <cell r="D736" t="str">
            <v>㎥</v>
          </cell>
          <cell r="E736">
            <v>2.63</v>
          </cell>
          <cell r="L736">
            <v>0</v>
          </cell>
        </row>
        <row r="737">
          <cell r="L737">
            <v>0</v>
          </cell>
        </row>
        <row r="738">
          <cell r="L738">
            <v>0</v>
          </cell>
        </row>
        <row r="742">
          <cell r="B742" t="str">
            <v>나) 노 무 비</v>
          </cell>
        </row>
        <row r="743">
          <cell r="C743" t="str">
            <v>내 선 전 공</v>
          </cell>
          <cell r="D743" t="str">
            <v>인</v>
          </cell>
          <cell r="E743">
            <v>0.82</v>
          </cell>
          <cell r="H743">
            <v>53401</v>
          </cell>
          <cell r="I743">
            <v>43788</v>
          </cell>
          <cell r="L743">
            <v>43788</v>
          </cell>
        </row>
        <row r="744">
          <cell r="C744" t="str">
            <v>보 통 인 부</v>
          </cell>
          <cell r="D744" t="str">
            <v>인</v>
          </cell>
          <cell r="E744">
            <v>1.1399999999999999</v>
          </cell>
          <cell r="H744">
            <v>38932</v>
          </cell>
          <cell r="I744">
            <v>44382</v>
          </cell>
          <cell r="L744">
            <v>44382</v>
          </cell>
        </row>
        <row r="748">
          <cell r="B748" t="str">
            <v>다) 공구손료</v>
          </cell>
          <cell r="K748">
            <v>0</v>
          </cell>
        </row>
        <row r="749">
          <cell r="C749" t="str">
            <v>내 선 전 공</v>
          </cell>
          <cell r="D749" t="str">
            <v>인</v>
          </cell>
          <cell r="E749">
            <v>0.02</v>
          </cell>
          <cell r="J749">
            <v>53401</v>
          </cell>
          <cell r="K749">
            <v>1068</v>
          </cell>
          <cell r="L749">
            <v>1068</v>
          </cell>
        </row>
        <row r="750">
          <cell r="C750" t="str">
            <v>보 통 인 부</v>
          </cell>
          <cell r="D750" t="str">
            <v>인</v>
          </cell>
          <cell r="E750">
            <v>0</v>
          </cell>
          <cell r="K750">
            <v>0</v>
          </cell>
          <cell r="L750">
            <v>0</v>
          </cell>
        </row>
        <row r="753">
          <cell r="A753" t="str">
            <v>30신_29</v>
          </cell>
          <cell r="B753" t="str">
            <v>합    계</v>
          </cell>
          <cell r="G753">
            <v>66592</v>
          </cell>
          <cell r="I753">
            <v>88170</v>
          </cell>
          <cell r="K753">
            <v>1068</v>
          </cell>
          <cell r="L753">
            <v>155830</v>
          </cell>
        </row>
        <row r="754">
          <cell r="A754" t="str">
            <v>30신_30A</v>
          </cell>
          <cell r="B754" t="str">
            <v>30. 접지장치 신설</v>
          </cell>
          <cell r="C754" t="str">
            <v>TEST 접지</v>
          </cell>
          <cell r="D754" t="str">
            <v>개소</v>
          </cell>
          <cell r="E754">
            <v>1</v>
          </cell>
          <cell r="L754" t="str">
            <v>x</v>
          </cell>
          <cell r="M754">
            <v>1</v>
          </cell>
        </row>
        <row r="755">
          <cell r="B755" t="str">
            <v>가) 재 료 비</v>
          </cell>
        </row>
        <row r="756">
          <cell r="A756" t="str">
            <v>접지봉Φ14x1000mm</v>
          </cell>
          <cell r="B756" t="str">
            <v>접지봉</v>
          </cell>
          <cell r="C756" t="str">
            <v>Φ14x1000mm</v>
          </cell>
          <cell r="D756" t="str">
            <v>개</v>
          </cell>
          <cell r="E756">
            <v>1</v>
          </cell>
          <cell r="F756">
            <v>3000</v>
          </cell>
          <cell r="G756">
            <v>3000</v>
          </cell>
          <cell r="L756">
            <v>3000</v>
          </cell>
        </row>
        <row r="757">
          <cell r="A757" t="str">
            <v>나 동 선38㎟</v>
          </cell>
          <cell r="B757" t="str">
            <v>나 동 선</v>
          </cell>
          <cell r="C757" t="str">
            <v>38㎟</v>
          </cell>
          <cell r="D757" t="str">
            <v>m</v>
          </cell>
          <cell r="E757">
            <v>6.6</v>
          </cell>
          <cell r="F757">
            <v>1195</v>
          </cell>
          <cell r="G757">
            <v>7887</v>
          </cell>
          <cell r="L757">
            <v>7887</v>
          </cell>
        </row>
        <row r="758">
          <cell r="A758" t="str">
            <v>압착단자38 ㎟</v>
          </cell>
          <cell r="B758" t="str">
            <v>압착단자</v>
          </cell>
          <cell r="C758" t="str">
            <v>38 ㎟</v>
          </cell>
          <cell r="D758" t="str">
            <v>m</v>
          </cell>
          <cell r="E758">
            <v>1</v>
          </cell>
          <cell r="F758">
            <v>281</v>
          </cell>
          <cell r="G758">
            <v>281</v>
          </cell>
          <cell r="L758">
            <v>281</v>
          </cell>
        </row>
        <row r="759">
          <cell r="A759" t="str">
            <v>접지크램프38㎟</v>
          </cell>
          <cell r="B759" t="str">
            <v>접지크램프</v>
          </cell>
          <cell r="C759" t="str">
            <v>38㎟</v>
          </cell>
          <cell r="D759" t="str">
            <v>m</v>
          </cell>
          <cell r="E759">
            <v>3</v>
          </cell>
          <cell r="F759">
            <v>1200</v>
          </cell>
          <cell r="G759">
            <v>3600</v>
          </cell>
          <cell r="L759">
            <v>3600</v>
          </cell>
        </row>
        <row r="760">
          <cell r="B760" t="str">
            <v>터파기</v>
          </cell>
          <cell r="C760" t="str">
            <v>자갈섞인 토사</v>
          </cell>
          <cell r="D760" t="str">
            <v>㎥</v>
          </cell>
          <cell r="E760">
            <v>2.63</v>
          </cell>
          <cell r="G760">
            <v>0</v>
          </cell>
          <cell r="L760">
            <v>0</v>
          </cell>
        </row>
        <row r="761">
          <cell r="G761">
            <v>0</v>
          </cell>
          <cell r="L761">
            <v>0</v>
          </cell>
        </row>
        <row r="762">
          <cell r="G762">
            <v>0</v>
          </cell>
          <cell r="L762">
            <v>0</v>
          </cell>
        </row>
        <row r="766">
          <cell r="B766" t="str">
            <v>나) 노 무 비</v>
          </cell>
        </row>
        <row r="767">
          <cell r="C767" t="str">
            <v>내 선 전 공</v>
          </cell>
          <cell r="D767" t="str">
            <v>인</v>
          </cell>
          <cell r="E767">
            <v>0.25</v>
          </cell>
          <cell r="H767">
            <v>53401</v>
          </cell>
          <cell r="I767">
            <v>13350</v>
          </cell>
          <cell r="L767">
            <v>13350</v>
          </cell>
        </row>
        <row r="768">
          <cell r="C768" t="str">
            <v>보 통 인 부</v>
          </cell>
          <cell r="D768" t="str">
            <v>인</v>
          </cell>
          <cell r="E768">
            <v>0.94</v>
          </cell>
          <cell r="H768">
            <v>38932</v>
          </cell>
          <cell r="I768">
            <v>36596</v>
          </cell>
          <cell r="L768">
            <v>36596</v>
          </cell>
        </row>
        <row r="772">
          <cell r="B772" t="str">
            <v>다) 공구손료</v>
          </cell>
          <cell r="K772">
            <v>0</v>
          </cell>
        </row>
        <row r="773">
          <cell r="C773" t="str">
            <v>내 선 전 공</v>
          </cell>
          <cell r="D773" t="str">
            <v>인</v>
          </cell>
          <cell r="E773">
            <v>0</v>
          </cell>
          <cell r="J773">
            <v>53401</v>
          </cell>
          <cell r="K773">
            <v>0</v>
          </cell>
          <cell r="L773">
            <v>0</v>
          </cell>
        </row>
        <row r="774">
          <cell r="C774" t="str">
            <v>보 통 인 부</v>
          </cell>
          <cell r="D774" t="str">
            <v>인</v>
          </cell>
          <cell r="E774">
            <v>0</v>
          </cell>
          <cell r="K774">
            <v>0</v>
          </cell>
          <cell r="L774">
            <v>0</v>
          </cell>
        </row>
        <row r="778">
          <cell r="A778" t="str">
            <v>30신_30</v>
          </cell>
          <cell r="B778" t="str">
            <v>합    계</v>
          </cell>
          <cell r="G778">
            <v>14768</v>
          </cell>
          <cell r="I778">
            <v>49946</v>
          </cell>
          <cell r="K778">
            <v>0</v>
          </cell>
          <cell r="L778">
            <v>64714</v>
          </cell>
        </row>
        <row r="779">
          <cell r="A779" t="str">
            <v>30신_31A</v>
          </cell>
          <cell r="B779" t="str">
            <v>31. 접지단자반</v>
          </cell>
          <cell r="C779" t="str">
            <v>(5CCT)</v>
          </cell>
          <cell r="D779" t="str">
            <v>면</v>
          </cell>
          <cell r="E779">
            <v>1</v>
          </cell>
          <cell r="L779" t="str">
            <v>x</v>
          </cell>
          <cell r="M779">
            <v>1</v>
          </cell>
        </row>
        <row r="780">
          <cell r="B780" t="str">
            <v>가) 재 료 비</v>
          </cell>
        </row>
        <row r="781">
          <cell r="A781" t="str">
            <v>접지단자반 (SUS)5 CCT</v>
          </cell>
          <cell r="B781" t="str">
            <v>접지단자반 (SUS)</v>
          </cell>
          <cell r="C781" t="str">
            <v>5 CCT</v>
          </cell>
          <cell r="D781" t="str">
            <v>면</v>
          </cell>
          <cell r="E781">
            <v>1</v>
          </cell>
          <cell r="F781">
            <v>140000</v>
          </cell>
          <cell r="G781">
            <v>140000</v>
          </cell>
          <cell r="L781">
            <v>140000</v>
          </cell>
        </row>
        <row r="786">
          <cell r="B786" t="str">
            <v>나) 노 무 비</v>
          </cell>
        </row>
        <row r="787">
          <cell r="C787" t="str">
            <v>내 선 전 공</v>
          </cell>
          <cell r="D787" t="str">
            <v>인</v>
          </cell>
          <cell r="E787">
            <v>0.66</v>
          </cell>
          <cell r="H787">
            <v>53401</v>
          </cell>
          <cell r="I787">
            <v>35244</v>
          </cell>
          <cell r="L787">
            <v>35244</v>
          </cell>
        </row>
        <row r="792">
          <cell r="B792" t="str">
            <v>다) 공구손료</v>
          </cell>
        </row>
        <row r="793">
          <cell r="C793" t="str">
            <v>내 선 전 공</v>
          </cell>
          <cell r="D793" t="str">
            <v>인</v>
          </cell>
          <cell r="E793">
            <v>0.01</v>
          </cell>
          <cell r="J793">
            <v>53401</v>
          </cell>
          <cell r="K793">
            <v>534</v>
          </cell>
          <cell r="L793">
            <v>534</v>
          </cell>
        </row>
        <row r="799">
          <cell r="A799" t="str">
            <v>30신_31</v>
          </cell>
          <cell r="B799" t="str">
            <v>합    계</v>
          </cell>
          <cell r="G799">
            <v>140000</v>
          </cell>
          <cell r="I799">
            <v>35244</v>
          </cell>
          <cell r="K799">
            <v>534</v>
          </cell>
          <cell r="L799">
            <v>175778</v>
          </cell>
        </row>
        <row r="804">
          <cell r="A804" t="str">
            <v>30신_32A</v>
          </cell>
          <cell r="B804" t="str">
            <v>32. 조명기구 신설</v>
          </cell>
          <cell r="C804" t="str">
            <v>TYPE'A' FL 2/32W</v>
          </cell>
          <cell r="D804" t="str">
            <v>개</v>
          </cell>
          <cell r="E804">
            <v>1</v>
          </cell>
          <cell r="L804" t="str">
            <v>x</v>
          </cell>
          <cell r="M804">
            <v>51</v>
          </cell>
        </row>
        <row r="805">
          <cell r="B805" t="str">
            <v>가) 재 료 비</v>
          </cell>
        </row>
        <row r="806">
          <cell r="A806" t="str">
            <v>등기구TYPE'A' FL 2/32W</v>
          </cell>
          <cell r="B806" t="str">
            <v>등기구</v>
          </cell>
          <cell r="C806" t="str">
            <v>TYPE'A' FL 2/32W</v>
          </cell>
          <cell r="D806" t="str">
            <v>개</v>
          </cell>
          <cell r="E806">
            <v>1</v>
          </cell>
          <cell r="F806">
            <v>62000</v>
          </cell>
          <cell r="G806">
            <v>62000</v>
          </cell>
          <cell r="L806">
            <v>62000</v>
          </cell>
        </row>
        <row r="807">
          <cell r="A807" t="str">
            <v>형광등기구보강대M바표준</v>
          </cell>
          <cell r="B807" t="str">
            <v>형광등기구보강대</v>
          </cell>
          <cell r="C807" t="str">
            <v>M바표준</v>
          </cell>
          <cell r="D807" t="str">
            <v>개</v>
          </cell>
          <cell r="E807">
            <v>1</v>
          </cell>
          <cell r="F807">
            <v>3900</v>
          </cell>
          <cell r="G807">
            <v>3900</v>
          </cell>
          <cell r="L807">
            <v>3900</v>
          </cell>
        </row>
        <row r="808">
          <cell r="A808" t="str">
            <v>와이어 콘넥타3.5㎟x2가닥</v>
          </cell>
          <cell r="B808" t="str">
            <v>와이어 콘넥타</v>
          </cell>
          <cell r="C808" t="str">
            <v>3.5㎟x2가닥</v>
          </cell>
          <cell r="D808" t="str">
            <v>개</v>
          </cell>
          <cell r="E808">
            <v>3</v>
          </cell>
          <cell r="F808">
            <v>112</v>
          </cell>
          <cell r="G808">
            <v>336</v>
          </cell>
          <cell r="L808">
            <v>336</v>
          </cell>
        </row>
        <row r="809">
          <cell r="A809" t="str">
            <v>플랙시블 커넥터일반비방수  16C</v>
          </cell>
          <cell r="B809" t="str">
            <v>플랙시블 커넥터</v>
          </cell>
          <cell r="C809" t="str">
            <v>일반비방수  16C</v>
          </cell>
          <cell r="D809" t="str">
            <v>개</v>
          </cell>
          <cell r="E809">
            <v>2</v>
          </cell>
          <cell r="F809">
            <v>360</v>
          </cell>
          <cell r="G809">
            <v>720</v>
          </cell>
          <cell r="L809">
            <v>720</v>
          </cell>
        </row>
        <row r="810">
          <cell r="A810" t="str">
            <v>전     선IV  1.6mm</v>
          </cell>
          <cell r="B810" t="str">
            <v>전     선</v>
          </cell>
          <cell r="C810" t="str">
            <v>IV  1.6mm</v>
          </cell>
          <cell r="D810" t="str">
            <v>m</v>
          </cell>
          <cell r="E810">
            <v>2.2000000000000002</v>
          </cell>
          <cell r="F810">
            <v>75</v>
          </cell>
          <cell r="G810">
            <v>165</v>
          </cell>
          <cell r="L810">
            <v>165</v>
          </cell>
        </row>
        <row r="811">
          <cell r="A811" t="str">
            <v>전     선IV  2.0mm</v>
          </cell>
          <cell r="B811" t="str">
            <v>전     선</v>
          </cell>
          <cell r="C811" t="str">
            <v>IV  2.0mm</v>
          </cell>
          <cell r="D811" t="str">
            <v>m</v>
          </cell>
          <cell r="E811">
            <v>4.4000000000000004</v>
          </cell>
          <cell r="F811">
            <v>109</v>
          </cell>
          <cell r="G811">
            <v>479</v>
          </cell>
          <cell r="L811">
            <v>479</v>
          </cell>
        </row>
        <row r="812">
          <cell r="A812" t="str">
            <v>플랙시블 전선관일반비방수  16C</v>
          </cell>
          <cell r="B812" t="str">
            <v>플랙시블 전선관</v>
          </cell>
          <cell r="C812" t="str">
            <v>일반비방수  16C</v>
          </cell>
          <cell r="D812" t="str">
            <v>m</v>
          </cell>
          <cell r="E812">
            <v>2.2000000000000002</v>
          </cell>
          <cell r="F812">
            <v>430</v>
          </cell>
          <cell r="G812">
            <v>946</v>
          </cell>
          <cell r="L812">
            <v>946</v>
          </cell>
        </row>
        <row r="817">
          <cell r="B817" t="str">
            <v>나) 노 무 비</v>
          </cell>
        </row>
        <row r="818">
          <cell r="C818" t="str">
            <v>내 선 전 공</v>
          </cell>
          <cell r="D818" t="str">
            <v>인</v>
          </cell>
          <cell r="E818">
            <v>0.69000000000000006</v>
          </cell>
          <cell r="H818">
            <v>53401</v>
          </cell>
          <cell r="I818">
            <v>36846</v>
          </cell>
          <cell r="L818">
            <v>36846</v>
          </cell>
        </row>
        <row r="823">
          <cell r="B823" t="str">
            <v>다) 공구손료</v>
          </cell>
          <cell r="L823">
            <v>0</v>
          </cell>
        </row>
        <row r="824">
          <cell r="C824" t="str">
            <v>내 선 전 공</v>
          </cell>
          <cell r="D824" t="str">
            <v>인</v>
          </cell>
          <cell r="E824">
            <v>0.02</v>
          </cell>
          <cell r="J824">
            <v>53401</v>
          </cell>
          <cell r="K824">
            <v>1068</v>
          </cell>
          <cell r="L824">
            <v>1068</v>
          </cell>
        </row>
        <row r="828">
          <cell r="A828" t="str">
            <v>30신_32</v>
          </cell>
          <cell r="B828" t="str">
            <v>합    계</v>
          </cell>
          <cell r="G828">
            <v>68546</v>
          </cell>
          <cell r="I828">
            <v>36846</v>
          </cell>
          <cell r="K828">
            <v>1068</v>
          </cell>
          <cell r="L828">
            <v>106460</v>
          </cell>
        </row>
        <row r="829">
          <cell r="A829" t="str">
            <v>30신_33A</v>
          </cell>
          <cell r="B829" t="str">
            <v>33. 조명기구 신설</v>
          </cell>
          <cell r="C829" t="str">
            <v>TYPE'C' FL 2/32W</v>
          </cell>
          <cell r="D829" t="str">
            <v>개</v>
          </cell>
          <cell r="E829">
            <v>1</v>
          </cell>
          <cell r="L829" t="str">
            <v>x</v>
          </cell>
          <cell r="M829">
            <v>66</v>
          </cell>
        </row>
        <row r="830">
          <cell r="B830" t="str">
            <v>가) 재 료 비</v>
          </cell>
        </row>
        <row r="831">
          <cell r="B831" t="str">
            <v>등기구</v>
          </cell>
          <cell r="C831" t="str">
            <v>TYPE'C' FL 2/32W</v>
          </cell>
          <cell r="D831" t="str">
            <v>개</v>
          </cell>
          <cell r="E831">
            <v>1</v>
          </cell>
          <cell r="F831">
            <v>89000</v>
          </cell>
          <cell r="G831">
            <v>89000</v>
          </cell>
          <cell r="L831">
            <v>89000</v>
          </cell>
        </row>
        <row r="832">
          <cell r="A832" t="str">
            <v>형광등기구보강대M바표준</v>
          </cell>
          <cell r="B832" t="str">
            <v>형광등기구보강대</v>
          </cell>
          <cell r="C832" t="str">
            <v>M바표준</v>
          </cell>
          <cell r="D832" t="str">
            <v>개</v>
          </cell>
          <cell r="E832">
            <v>1</v>
          </cell>
          <cell r="F832">
            <v>3900</v>
          </cell>
          <cell r="G832">
            <v>3900</v>
          </cell>
          <cell r="L832">
            <v>3900</v>
          </cell>
        </row>
        <row r="833">
          <cell r="A833" t="str">
            <v>와이어 콘넥타3.5㎟x2가닥</v>
          </cell>
          <cell r="B833" t="str">
            <v>와이어 콘넥타</v>
          </cell>
          <cell r="C833" t="str">
            <v>3.5㎟x2가닥</v>
          </cell>
          <cell r="D833" t="str">
            <v>개</v>
          </cell>
          <cell r="E833">
            <v>3</v>
          </cell>
          <cell r="F833">
            <v>112</v>
          </cell>
          <cell r="G833">
            <v>336</v>
          </cell>
          <cell r="L833">
            <v>336</v>
          </cell>
        </row>
        <row r="834">
          <cell r="A834" t="str">
            <v>플랙시블 커넥터일반비방수  16C</v>
          </cell>
          <cell r="B834" t="str">
            <v>플랙시블 커넥터</v>
          </cell>
          <cell r="C834" t="str">
            <v>일반비방수  16C</v>
          </cell>
          <cell r="D834" t="str">
            <v>개</v>
          </cell>
          <cell r="E834">
            <v>2</v>
          </cell>
          <cell r="F834">
            <v>360</v>
          </cell>
          <cell r="G834">
            <v>720</v>
          </cell>
          <cell r="L834">
            <v>720</v>
          </cell>
        </row>
        <row r="835">
          <cell r="A835" t="str">
            <v>전     선IV  1.6mm</v>
          </cell>
          <cell r="B835" t="str">
            <v>전     선</v>
          </cell>
          <cell r="C835" t="str">
            <v>IV  1.6mm</v>
          </cell>
          <cell r="D835" t="str">
            <v>m</v>
          </cell>
          <cell r="E835">
            <v>2.2000000000000002</v>
          </cell>
          <cell r="F835">
            <v>75</v>
          </cell>
          <cell r="G835">
            <v>165</v>
          </cell>
          <cell r="L835">
            <v>165</v>
          </cell>
        </row>
        <row r="836">
          <cell r="A836" t="str">
            <v>전     선IV  2.0mm</v>
          </cell>
          <cell r="B836" t="str">
            <v>전     선</v>
          </cell>
          <cell r="C836" t="str">
            <v>IV  2.0mm</v>
          </cell>
          <cell r="D836" t="str">
            <v>m</v>
          </cell>
          <cell r="E836">
            <v>4.4000000000000004</v>
          </cell>
          <cell r="F836">
            <v>109</v>
          </cell>
          <cell r="G836">
            <v>479</v>
          </cell>
          <cell r="L836">
            <v>479</v>
          </cell>
        </row>
        <row r="837">
          <cell r="A837" t="str">
            <v>플랙시블 전선관일반비방수  16C</v>
          </cell>
          <cell r="B837" t="str">
            <v>플랙시블 전선관</v>
          </cell>
          <cell r="C837" t="str">
            <v>일반비방수  16C</v>
          </cell>
          <cell r="D837" t="str">
            <v>m</v>
          </cell>
          <cell r="E837">
            <v>2.2000000000000002</v>
          </cell>
          <cell r="F837">
            <v>430</v>
          </cell>
          <cell r="G837">
            <v>946</v>
          </cell>
          <cell r="L837">
            <v>946</v>
          </cell>
        </row>
        <row r="843">
          <cell r="B843" t="str">
            <v>나) 노 무 비</v>
          </cell>
        </row>
        <row r="844">
          <cell r="C844" t="str">
            <v>내 선 전 공</v>
          </cell>
          <cell r="D844" t="str">
            <v>인</v>
          </cell>
          <cell r="E844">
            <v>0.72</v>
          </cell>
          <cell r="H844">
            <v>53401</v>
          </cell>
          <cell r="I844">
            <v>38448</v>
          </cell>
          <cell r="L844">
            <v>38448</v>
          </cell>
        </row>
        <row r="848">
          <cell r="B848" t="str">
            <v>다) 공구손료</v>
          </cell>
          <cell r="L848">
            <v>0</v>
          </cell>
        </row>
        <row r="849">
          <cell r="C849" t="str">
            <v>내 선 전 공</v>
          </cell>
          <cell r="D849" t="str">
            <v>인</v>
          </cell>
          <cell r="E849">
            <v>0.02</v>
          </cell>
          <cell r="J849">
            <v>53401</v>
          </cell>
          <cell r="K849">
            <v>1068</v>
          </cell>
          <cell r="L849">
            <v>1068</v>
          </cell>
        </row>
        <row r="853">
          <cell r="A853" t="str">
            <v>30신_33</v>
          </cell>
          <cell r="B853" t="str">
            <v>합    계</v>
          </cell>
          <cell r="G853">
            <v>95546</v>
          </cell>
          <cell r="I853">
            <v>38448</v>
          </cell>
          <cell r="K853">
            <v>1068</v>
          </cell>
          <cell r="L853">
            <v>135062</v>
          </cell>
        </row>
        <row r="854">
          <cell r="A854" t="str">
            <v>30신_34A</v>
          </cell>
          <cell r="B854" t="str">
            <v>34. 조명기구 신설</v>
          </cell>
          <cell r="C854" t="str">
            <v>TYPE'D' FL 1/32W</v>
          </cell>
          <cell r="D854" t="str">
            <v>개</v>
          </cell>
          <cell r="E854">
            <v>1</v>
          </cell>
          <cell r="L854" t="str">
            <v>x</v>
          </cell>
          <cell r="M854">
            <v>32</v>
          </cell>
        </row>
        <row r="855">
          <cell r="B855" t="str">
            <v>가) 재 료 비</v>
          </cell>
        </row>
        <row r="856">
          <cell r="B856" t="str">
            <v>등기구</v>
          </cell>
          <cell r="C856" t="str">
            <v>TYPE'D' FL 1/32W</v>
          </cell>
          <cell r="D856" t="str">
            <v>개</v>
          </cell>
          <cell r="E856">
            <v>1</v>
          </cell>
          <cell r="F856">
            <v>68000</v>
          </cell>
          <cell r="G856">
            <v>68000</v>
          </cell>
          <cell r="L856">
            <v>68000</v>
          </cell>
        </row>
        <row r="857">
          <cell r="A857" t="str">
            <v>형광등기구보강대M바표준</v>
          </cell>
          <cell r="B857" t="str">
            <v>형광등기구보강대</v>
          </cell>
          <cell r="C857" t="str">
            <v>M바표준</v>
          </cell>
          <cell r="D857" t="str">
            <v>개</v>
          </cell>
          <cell r="E857">
            <v>1</v>
          </cell>
          <cell r="F857">
            <v>3900</v>
          </cell>
          <cell r="G857">
            <v>3900</v>
          </cell>
          <cell r="L857">
            <v>3900</v>
          </cell>
        </row>
        <row r="858">
          <cell r="A858" t="str">
            <v>와이어 콘넥타3.5㎟x2가닥</v>
          </cell>
          <cell r="B858" t="str">
            <v>와이어 콘넥타</v>
          </cell>
          <cell r="C858" t="str">
            <v>3.5㎟x2가닥</v>
          </cell>
          <cell r="D858" t="str">
            <v>개</v>
          </cell>
          <cell r="E858">
            <v>3</v>
          </cell>
          <cell r="F858">
            <v>112</v>
          </cell>
          <cell r="G858">
            <v>336</v>
          </cell>
          <cell r="L858">
            <v>336</v>
          </cell>
        </row>
        <row r="859">
          <cell r="A859" t="str">
            <v>플랙시블 커넥터일반비방수  16C</v>
          </cell>
          <cell r="B859" t="str">
            <v>플랙시블 커넥터</v>
          </cell>
          <cell r="C859" t="str">
            <v>일반비방수  16C</v>
          </cell>
          <cell r="D859" t="str">
            <v>개</v>
          </cell>
          <cell r="E859">
            <v>2</v>
          </cell>
          <cell r="F859">
            <v>360</v>
          </cell>
          <cell r="G859">
            <v>720</v>
          </cell>
          <cell r="L859">
            <v>720</v>
          </cell>
        </row>
        <row r="860">
          <cell r="A860" t="str">
            <v>전     선IV  1.6mm</v>
          </cell>
          <cell r="B860" t="str">
            <v>전     선</v>
          </cell>
          <cell r="C860" t="str">
            <v>IV  1.6mm</v>
          </cell>
          <cell r="D860" t="str">
            <v>m</v>
          </cell>
          <cell r="E860">
            <v>2.2000000000000002</v>
          </cell>
          <cell r="F860">
            <v>75</v>
          </cell>
          <cell r="G860">
            <v>165</v>
          </cell>
          <cell r="L860">
            <v>165</v>
          </cell>
        </row>
        <row r="861">
          <cell r="A861" t="str">
            <v>전     선IV  2.0mm</v>
          </cell>
          <cell r="B861" t="str">
            <v>전     선</v>
          </cell>
          <cell r="C861" t="str">
            <v>IV  2.0mm</v>
          </cell>
          <cell r="D861" t="str">
            <v>m</v>
          </cell>
          <cell r="E861">
            <v>4.4000000000000004</v>
          </cell>
          <cell r="F861">
            <v>109</v>
          </cell>
          <cell r="G861">
            <v>479</v>
          </cell>
          <cell r="L861">
            <v>479</v>
          </cell>
        </row>
        <row r="862">
          <cell r="A862" t="str">
            <v>플랙시블 전선관일반비방수  16C</v>
          </cell>
          <cell r="B862" t="str">
            <v>플랙시블 전선관</v>
          </cell>
          <cell r="C862" t="str">
            <v>일반비방수  16C</v>
          </cell>
          <cell r="D862" t="str">
            <v>m</v>
          </cell>
          <cell r="E862">
            <v>2.2000000000000002</v>
          </cell>
          <cell r="F862">
            <v>430</v>
          </cell>
          <cell r="G862">
            <v>946</v>
          </cell>
          <cell r="L862">
            <v>946</v>
          </cell>
        </row>
        <row r="867">
          <cell r="B867" t="str">
            <v>나) 노 무 비</v>
          </cell>
          <cell r="L867">
            <v>0</v>
          </cell>
        </row>
        <row r="868">
          <cell r="C868" t="str">
            <v>내 선 전 공</v>
          </cell>
          <cell r="D868" t="str">
            <v>인</v>
          </cell>
          <cell r="E868">
            <v>0.61</v>
          </cell>
          <cell r="H868">
            <v>53401</v>
          </cell>
          <cell r="I868">
            <v>32574</v>
          </cell>
          <cell r="L868">
            <v>32574</v>
          </cell>
        </row>
        <row r="873">
          <cell r="B873" t="str">
            <v>다) 공구손료</v>
          </cell>
          <cell r="L873">
            <v>0</v>
          </cell>
        </row>
        <row r="874">
          <cell r="C874" t="str">
            <v>내 선 전 공</v>
          </cell>
          <cell r="D874" t="str">
            <v>인</v>
          </cell>
          <cell r="E874">
            <v>0.01</v>
          </cell>
          <cell r="J874">
            <v>53401</v>
          </cell>
          <cell r="K874">
            <v>534</v>
          </cell>
          <cell r="L874">
            <v>534</v>
          </cell>
        </row>
        <row r="878">
          <cell r="A878" t="str">
            <v>30신_34</v>
          </cell>
          <cell r="B878" t="str">
            <v>합    계</v>
          </cell>
          <cell r="G878">
            <v>74546</v>
          </cell>
          <cell r="I878">
            <v>32574</v>
          </cell>
          <cell r="K878">
            <v>534</v>
          </cell>
          <cell r="L878">
            <v>107654</v>
          </cell>
        </row>
        <row r="879">
          <cell r="A879" t="str">
            <v>30신_35A</v>
          </cell>
          <cell r="B879" t="str">
            <v>35. 조명기구 신설</v>
          </cell>
          <cell r="C879" t="str">
            <v>TYPE'E' FL 1/32W</v>
          </cell>
          <cell r="D879" t="str">
            <v>개</v>
          </cell>
          <cell r="E879">
            <v>1</v>
          </cell>
          <cell r="L879" t="str">
            <v>x</v>
          </cell>
          <cell r="M879">
            <v>14</v>
          </cell>
        </row>
        <row r="880">
          <cell r="B880" t="str">
            <v>가) 재 료 비</v>
          </cell>
        </row>
        <row r="881">
          <cell r="B881" t="str">
            <v>등기구</v>
          </cell>
          <cell r="C881" t="str">
            <v>TYPE'E' FL 1/32W</v>
          </cell>
          <cell r="D881" t="str">
            <v>개</v>
          </cell>
          <cell r="E881">
            <v>1</v>
          </cell>
          <cell r="F881">
            <v>65000</v>
          </cell>
          <cell r="G881">
            <v>65000</v>
          </cell>
          <cell r="L881">
            <v>65000</v>
          </cell>
        </row>
        <row r="882">
          <cell r="B882" t="str">
            <v>와이어 콘넥타</v>
          </cell>
          <cell r="C882" t="str">
            <v>3.5㎟x2가닥</v>
          </cell>
          <cell r="D882" t="str">
            <v>개</v>
          </cell>
          <cell r="E882">
            <v>3</v>
          </cell>
          <cell r="F882">
            <v>112</v>
          </cell>
          <cell r="G882">
            <v>3900</v>
          </cell>
          <cell r="L882">
            <v>3900</v>
          </cell>
        </row>
        <row r="885">
          <cell r="B885" t="str">
            <v>나) 노 무 비</v>
          </cell>
          <cell r="L885">
            <v>0</v>
          </cell>
        </row>
        <row r="886">
          <cell r="C886" t="str">
            <v>내 선 전 공</v>
          </cell>
          <cell r="D886" t="str">
            <v>인</v>
          </cell>
          <cell r="E886">
            <v>0.24</v>
          </cell>
          <cell r="H886">
            <v>53401</v>
          </cell>
          <cell r="I886">
            <v>12816</v>
          </cell>
          <cell r="L886">
            <v>12816</v>
          </cell>
        </row>
        <row r="891">
          <cell r="B891" t="str">
            <v>다) 공구손료</v>
          </cell>
          <cell r="L891">
            <v>0</v>
          </cell>
        </row>
        <row r="892">
          <cell r="C892" t="str">
            <v>내 선 전 공</v>
          </cell>
          <cell r="D892" t="str">
            <v>인</v>
          </cell>
          <cell r="E892">
            <v>0</v>
          </cell>
          <cell r="K892">
            <v>0</v>
          </cell>
          <cell r="L892">
            <v>0</v>
          </cell>
        </row>
        <row r="896">
          <cell r="A896" t="str">
            <v>30신_35</v>
          </cell>
          <cell r="B896" t="str">
            <v>합    계</v>
          </cell>
          <cell r="G896">
            <v>68900</v>
          </cell>
          <cell r="I896">
            <v>12816</v>
          </cell>
          <cell r="K896">
            <v>0</v>
          </cell>
          <cell r="L896">
            <v>81716</v>
          </cell>
        </row>
        <row r="904">
          <cell r="A904" t="str">
            <v>30신_36A</v>
          </cell>
          <cell r="B904" t="str">
            <v>36. 조명기구 신설</v>
          </cell>
          <cell r="C904" t="str">
            <v>TYPE'F' FL 2/32W</v>
          </cell>
          <cell r="D904" t="str">
            <v>개</v>
          </cell>
          <cell r="E904">
            <v>1</v>
          </cell>
          <cell r="L904" t="str">
            <v>x</v>
          </cell>
          <cell r="M904">
            <v>24</v>
          </cell>
        </row>
        <row r="905">
          <cell r="B905" t="str">
            <v>가) 재 료 비</v>
          </cell>
          <cell r="L905">
            <v>0</v>
          </cell>
        </row>
        <row r="906">
          <cell r="B906" t="str">
            <v>등기구</v>
          </cell>
          <cell r="C906" t="str">
            <v>TYPE'F' FL 2/32W</v>
          </cell>
          <cell r="D906" t="str">
            <v>개</v>
          </cell>
          <cell r="E906">
            <v>1</v>
          </cell>
          <cell r="F906">
            <v>57000</v>
          </cell>
          <cell r="G906">
            <v>57000</v>
          </cell>
          <cell r="L906">
            <v>57000</v>
          </cell>
        </row>
        <row r="907">
          <cell r="B907" t="str">
            <v>스트롱앵커</v>
          </cell>
          <cell r="C907" t="str">
            <v>3/8"(M10)</v>
          </cell>
          <cell r="D907" t="str">
            <v>개</v>
          </cell>
          <cell r="E907">
            <v>2</v>
          </cell>
          <cell r="F907">
            <v>112</v>
          </cell>
          <cell r="G907">
            <v>224</v>
          </cell>
          <cell r="L907">
            <v>224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B911" t="str">
            <v>나) 노 무 비</v>
          </cell>
          <cell r="C911" t="str">
            <v>내 선 전 공</v>
          </cell>
          <cell r="D911" t="str">
            <v>인</v>
          </cell>
          <cell r="E911">
            <v>0.6</v>
          </cell>
          <cell r="H911">
            <v>53401</v>
          </cell>
          <cell r="I911">
            <v>32040</v>
          </cell>
          <cell r="L911">
            <v>32040</v>
          </cell>
        </row>
        <row r="916">
          <cell r="L916">
            <v>0</v>
          </cell>
        </row>
        <row r="917">
          <cell r="B917" t="str">
            <v>다) 공구손료</v>
          </cell>
          <cell r="C917" t="str">
            <v>내 선 전 공</v>
          </cell>
          <cell r="D917" t="str">
            <v>인</v>
          </cell>
          <cell r="E917">
            <v>0.01</v>
          </cell>
          <cell r="J917">
            <v>53401</v>
          </cell>
          <cell r="K917">
            <v>534</v>
          </cell>
          <cell r="L917">
            <v>534</v>
          </cell>
        </row>
        <row r="921">
          <cell r="A921" t="str">
            <v>30신_36</v>
          </cell>
          <cell r="B921" t="str">
            <v>합    계</v>
          </cell>
          <cell r="G921">
            <v>57224</v>
          </cell>
          <cell r="I921">
            <v>32040</v>
          </cell>
          <cell r="K921">
            <v>534</v>
          </cell>
          <cell r="L921">
            <v>89798</v>
          </cell>
        </row>
        <row r="929">
          <cell r="A929" t="str">
            <v>30신_37A</v>
          </cell>
          <cell r="B929" t="str">
            <v>37. 조명기구 신설</v>
          </cell>
          <cell r="C929" t="str">
            <v>TYPE'G' FL 1/32W</v>
          </cell>
          <cell r="D929" t="str">
            <v>개</v>
          </cell>
          <cell r="E929">
            <v>1</v>
          </cell>
          <cell r="L929" t="str">
            <v>x</v>
          </cell>
          <cell r="M929">
            <v>10</v>
          </cell>
        </row>
        <row r="930">
          <cell r="B930" t="str">
            <v>가) 재 료 비</v>
          </cell>
          <cell r="L930">
            <v>0</v>
          </cell>
        </row>
        <row r="931">
          <cell r="B931" t="str">
            <v>등기구</v>
          </cell>
          <cell r="C931" t="str">
            <v>TYPE'G' FL 2/32W</v>
          </cell>
          <cell r="D931" t="str">
            <v>개</v>
          </cell>
          <cell r="E931">
            <v>1</v>
          </cell>
          <cell r="F931">
            <v>40000</v>
          </cell>
          <cell r="G931">
            <v>40000</v>
          </cell>
          <cell r="L931">
            <v>40000</v>
          </cell>
        </row>
        <row r="932">
          <cell r="B932" t="str">
            <v>와이어 콘넥타</v>
          </cell>
          <cell r="C932" t="str">
            <v>3.5㎟x2가닥</v>
          </cell>
          <cell r="D932" t="str">
            <v>개</v>
          </cell>
          <cell r="E932">
            <v>3</v>
          </cell>
          <cell r="F932">
            <v>112</v>
          </cell>
          <cell r="G932">
            <v>336</v>
          </cell>
          <cell r="L932">
            <v>336</v>
          </cell>
        </row>
        <row r="933">
          <cell r="B933" t="str">
            <v>스트롱앵커</v>
          </cell>
          <cell r="C933" t="str">
            <v>3/8"(M10)</v>
          </cell>
          <cell r="D933" t="str">
            <v>개</v>
          </cell>
          <cell r="E933">
            <v>2</v>
          </cell>
          <cell r="F933">
            <v>59</v>
          </cell>
          <cell r="G933">
            <v>118</v>
          </cell>
          <cell r="L933">
            <v>118</v>
          </cell>
        </row>
        <row r="936">
          <cell r="B936" t="str">
            <v>나) 노 무 비</v>
          </cell>
          <cell r="L936">
            <v>0</v>
          </cell>
        </row>
        <row r="937">
          <cell r="C937" t="str">
            <v>내 선 전 공</v>
          </cell>
          <cell r="D937" t="str">
            <v>인</v>
          </cell>
          <cell r="E937">
            <v>0.53</v>
          </cell>
          <cell r="H937">
            <v>53401</v>
          </cell>
          <cell r="I937">
            <v>28302</v>
          </cell>
          <cell r="L937">
            <v>28302</v>
          </cell>
        </row>
        <row r="942">
          <cell r="B942" t="str">
            <v>다) 공구손료</v>
          </cell>
          <cell r="L942">
            <v>0</v>
          </cell>
        </row>
        <row r="943">
          <cell r="C943" t="str">
            <v>내 선 전 공</v>
          </cell>
          <cell r="D943" t="str">
            <v>인</v>
          </cell>
          <cell r="E943">
            <v>0.01</v>
          </cell>
          <cell r="J943">
            <v>53401</v>
          </cell>
          <cell r="K943">
            <v>534</v>
          </cell>
          <cell r="L943">
            <v>534</v>
          </cell>
        </row>
        <row r="947">
          <cell r="A947" t="str">
            <v>30신_37</v>
          </cell>
          <cell r="B947" t="str">
            <v>합    계</v>
          </cell>
          <cell r="G947">
            <v>40454</v>
          </cell>
          <cell r="I947">
            <v>28302</v>
          </cell>
          <cell r="K947">
            <v>534</v>
          </cell>
          <cell r="L947">
            <v>69290</v>
          </cell>
        </row>
        <row r="954">
          <cell r="A954" t="str">
            <v>30신_38A</v>
          </cell>
          <cell r="B954" t="str">
            <v>38. 조명기구 신설</v>
          </cell>
          <cell r="C954" t="str">
            <v>TYPE'H' FL 1/32W</v>
          </cell>
          <cell r="D954" t="str">
            <v>개</v>
          </cell>
          <cell r="E954">
            <v>1</v>
          </cell>
          <cell r="L954" t="str">
            <v>x</v>
          </cell>
          <cell r="M954">
            <v>4</v>
          </cell>
        </row>
        <row r="955">
          <cell r="B955" t="str">
            <v>가) 재 료 비</v>
          </cell>
        </row>
        <row r="956">
          <cell r="B956" t="str">
            <v>등기구</v>
          </cell>
          <cell r="C956" t="str">
            <v>TYPE'H' FL 1/32W</v>
          </cell>
          <cell r="D956" t="str">
            <v>개</v>
          </cell>
          <cell r="E956">
            <v>1</v>
          </cell>
          <cell r="F956">
            <v>26000</v>
          </cell>
          <cell r="G956">
            <v>26000</v>
          </cell>
          <cell r="L956">
            <v>26000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B959" t="str">
            <v>나) 노 무 비</v>
          </cell>
          <cell r="L959">
            <v>0</v>
          </cell>
        </row>
        <row r="960">
          <cell r="C960" t="str">
            <v>내 선 전 공</v>
          </cell>
          <cell r="D960" t="str">
            <v>인</v>
          </cell>
          <cell r="E960">
            <v>0.24</v>
          </cell>
          <cell r="H960">
            <v>53401</v>
          </cell>
          <cell r="I960">
            <v>12816</v>
          </cell>
          <cell r="L960">
            <v>12816</v>
          </cell>
        </row>
        <row r="965">
          <cell r="B965" t="str">
            <v>다) 공구손료</v>
          </cell>
          <cell r="L965">
            <v>0</v>
          </cell>
        </row>
        <row r="966">
          <cell r="C966" t="str">
            <v>내 선 전 공</v>
          </cell>
          <cell r="D966" t="str">
            <v>인</v>
          </cell>
          <cell r="E966">
            <v>0</v>
          </cell>
          <cell r="K966">
            <v>0</v>
          </cell>
          <cell r="L966">
            <v>0</v>
          </cell>
        </row>
        <row r="970">
          <cell r="A970" t="str">
            <v>30신_38</v>
          </cell>
          <cell r="B970" t="str">
            <v>합    계</v>
          </cell>
          <cell r="G970">
            <v>26000</v>
          </cell>
          <cell r="I970">
            <v>12816</v>
          </cell>
          <cell r="K970">
            <v>0</v>
          </cell>
          <cell r="L970">
            <v>38816</v>
          </cell>
        </row>
        <row r="979">
          <cell r="A979" t="str">
            <v>30신_39A</v>
          </cell>
          <cell r="B979" t="str">
            <v>39. 조명기구 신설</v>
          </cell>
          <cell r="C979" t="str">
            <v>TYPE'J' FL 1/32+40W</v>
          </cell>
          <cell r="D979" t="str">
            <v>개</v>
          </cell>
          <cell r="E979">
            <v>1</v>
          </cell>
          <cell r="L979" t="str">
            <v>x</v>
          </cell>
          <cell r="M979">
            <v>35</v>
          </cell>
        </row>
        <row r="980">
          <cell r="B980" t="str">
            <v>가) 재 료 비</v>
          </cell>
        </row>
        <row r="981">
          <cell r="B981" t="str">
            <v>등기구</v>
          </cell>
          <cell r="C981" t="str">
            <v>TYPE'J' FL 1/32+40W</v>
          </cell>
          <cell r="D981" t="str">
            <v>개</v>
          </cell>
          <cell r="E981">
            <v>1</v>
          </cell>
          <cell r="F981">
            <v>60000</v>
          </cell>
          <cell r="G981">
            <v>60000</v>
          </cell>
          <cell r="L981">
            <v>60000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B984" t="str">
            <v>나) 노 무 비</v>
          </cell>
          <cell r="L984">
            <v>0</v>
          </cell>
        </row>
        <row r="985">
          <cell r="C985" t="str">
            <v>내 선 전 공</v>
          </cell>
          <cell r="D985" t="str">
            <v>인</v>
          </cell>
          <cell r="E985">
            <v>0.3</v>
          </cell>
          <cell r="H985">
            <v>53401</v>
          </cell>
          <cell r="I985">
            <v>16020</v>
          </cell>
          <cell r="L985">
            <v>16020</v>
          </cell>
        </row>
        <row r="990">
          <cell r="B990" t="str">
            <v>다) 공구손료</v>
          </cell>
          <cell r="L990">
            <v>0</v>
          </cell>
        </row>
        <row r="991">
          <cell r="C991" t="str">
            <v>내 선 전 공</v>
          </cell>
          <cell r="D991" t="str">
            <v>인</v>
          </cell>
          <cell r="E991">
            <v>0</v>
          </cell>
          <cell r="K991">
            <v>0</v>
          </cell>
          <cell r="L991">
            <v>0</v>
          </cell>
        </row>
        <row r="995">
          <cell r="A995" t="str">
            <v>30신_39</v>
          </cell>
          <cell r="B995" t="str">
            <v>합    계</v>
          </cell>
          <cell r="G995">
            <v>60000</v>
          </cell>
          <cell r="I995">
            <v>16020</v>
          </cell>
          <cell r="K995">
            <v>0</v>
          </cell>
          <cell r="L995">
            <v>76020</v>
          </cell>
        </row>
        <row r="1004">
          <cell r="A1004" t="str">
            <v>30신_40A</v>
          </cell>
          <cell r="B1004" t="str">
            <v>40. 조명기구 신설</v>
          </cell>
          <cell r="C1004" t="str">
            <v>TYPE'K' FUL 2/13W</v>
          </cell>
          <cell r="D1004" t="str">
            <v>개</v>
          </cell>
          <cell r="E1004">
            <v>1</v>
          </cell>
          <cell r="L1004" t="str">
            <v>x</v>
          </cell>
          <cell r="M1004">
            <v>60</v>
          </cell>
        </row>
        <row r="1005">
          <cell r="B1005" t="str">
            <v>가) 재 료 비</v>
          </cell>
        </row>
        <row r="1006">
          <cell r="B1006" t="str">
            <v>등기구</v>
          </cell>
          <cell r="C1006" t="str">
            <v>TYPE'K' FUL 2/13W</v>
          </cell>
          <cell r="D1006" t="str">
            <v>개</v>
          </cell>
          <cell r="E1006">
            <v>1</v>
          </cell>
          <cell r="F1006">
            <v>24000</v>
          </cell>
          <cell r="G1006">
            <v>24000</v>
          </cell>
          <cell r="L1006">
            <v>24000</v>
          </cell>
        </row>
        <row r="1007">
          <cell r="B1007" t="str">
            <v>등기구 보강대</v>
          </cell>
          <cell r="C1007" t="str">
            <v>(다운라이트용)</v>
          </cell>
          <cell r="D1007" t="str">
            <v>개</v>
          </cell>
          <cell r="E1007">
            <v>1</v>
          </cell>
          <cell r="F1007">
            <v>3900</v>
          </cell>
          <cell r="G1007">
            <v>3900</v>
          </cell>
          <cell r="L1007">
            <v>3900</v>
          </cell>
        </row>
        <row r="1008">
          <cell r="A1008" t="str">
            <v>와이어 콘넥타3.5㎟x2가닥</v>
          </cell>
          <cell r="B1008" t="str">
            <v>와이어 콘넥타</v>
          </cell>
          <cell r="C1008" t="str">
            <v>3.5㎟x2가닥</v>
          </cell>
          <cell r="D1008" t="str">
            <v>개</v>
          </cell>
          <cell r="E1008">
            <v>3</v>
          </cell>
          <cell r="F1008">
            <v>112</v>
          </cell>
          <cell r="G1008">
            <v>336</v>
          </cell>
          <cell r="L1008">
            <v>336</v>
          </cell>
        </row>
        <row r="1009">
          <cell r="A1009" t="str">
            <v>플랙시블 커넥터일반비방수  16C</v>
          </cell>
          <cell r="B1009" t="str">
            <v>플랙시블 커넥터</v>
          </cell>
          <cell r="C1009" t="str">
            <v>일반비방수  16C</v>
          </cell>
          <cell r="D1009" t="str">
            <v>개</v>
          </cell>
          <cell r="E1009">
            <v>2</v>
          </cell>
          <cell r="F1009">
            <v>360</v>
          </cell>
          <cell r="G1009">
            <v>720</v>
          </cell>
          <cell r="L1009">
            <v>720</v>
          </cell>
        </row>
        <row r="1010">
          <cell r="A1010" t="str">
            <v>전     선IV  1.6mm</v>
          </cell>
          <cell r="B1010" t="str">
            <v>전     선</v>
          </cell>
          <cell r="C1010" t="str">
            <v>IV  1.6mm</v>
          </cell>
          <cell r="D1010" t="str">
            <v>m</v>
          </cell>
          <cell r="E1010">
            <v>2.2000000000000002</v>
          </cell>
          <cell r="F1010">
            <v>75</v>
          </cell>
          <cell r="G1010">
            <v>165</v>
          </cell>
          <cell r="L1010">
            <v>165</v>
          </cell>
        </row>
        <row r="1011">
          <cell r="A1011" t="str">
            <v>전     선IV  2.0mm</v>
          </cell>
          <cell r="B1011" t="str">
            <v>전     선</v>
          </cell>
          <cell r="C1011" t="str">
            <v>IV  2.0mm</v>
          </cell>
          <cell r="D1011" t="str">
            <v>m</v>
          </cell>
          <cell r="E1011">
            <v>4.4000000000000004</v>
          </cell>
          <cell r="F1011">
            <v>109</v>
          </cell>
          <cell r="G1011">
            <v>479</v>
          </cell>
          <cell r="L1011">
            <v>479</v>
          </cell>
        </row>
        <row r="1012">
          <cell r="A1012" t="str">
            <v>플랙시블 전선관일반비방수  16C</v>
          </cell>
          <cell r="B1012" t="str">
            <v>플랙시블 전선관</v>
          </cell>
          <cell r="C1012" t="str">
            <v>일반비방수  16C</v>
          </cell>
          <cell r="D1012" t="str">
            <v>m</v>
          </cell>
          <cell r="E1012">
            <v>2.2000000000000002</v>
          </cell>
          <cell r="F1012">
            <v>430</v>
          </cell>
          <cell r="G1012">
            <v>946</v>
          </cell>
          <cell r="L1012">
            <v>946</v>
          </cell>
        </row>
        <row r="1017">
          <cell r="B1017" t="str">
            <v>나) 노 무 비</v>
          </cell>
        </row>
        <row r="1018">
          <cell r="C1018" t="str">
            <v>내 선 전 공</v>
          </cell>
          <cell r="D1018" t="str">
            <v>인</v>
          </cell>
          <cell r="E1018">
            <v>0.36</v>
          </cell>
          <cell r="H1018">
            <v>53401</v>
          </cell>
          <cell r="I1018">
            <v>19224</v>
          </cell>
          <cell r="L1018">
            <v>19224</v>
          </cell>
        </row>
        <row r="1023">
          <cell r="B1023" t="str">
            <v>다) 공구손료</v>
          </cell>
          <cell r="L1023">
            <v>0</v>
          </cell>
        </row>
        <row r="1024">
          <cell r="C1024" t="str">
            <v>내 선 전 공</v>
          </cell>
          <cell r="D1024" t="str">
            <v>인</v>
          </cell>
          <cell r="E1024">
            <v>0.01</v>
          </cell>
          <cell r="J1024">
            <v>53401</v>
          </cell>
          <cell r="K1024">
            <v>534</v>
          </cell>
          <cell r="L1024">
            <v>534</v>
          </cell>
        </row>
        <row r="1028">
          <cell r="A1028" t="str">
            <v>30신_40</v>
          </cell>
          <cell r="B1028" t="str">
            <v>합    계</v>
          </cell>
          <cell r="G1028">
            <v>30546</v>
          </cell>
          <cell r="I1028">
            <v>19224</v>
          </cell>
          <cell r="K1028">
            <v>534</v>
          </cell>
          <cell r="L1028">
            <v>50304</v>
          </cell>
        </row>
        <row r="1029">
          <cell r="A1029" t="str">
            <v>30신_41A</v>
          </cell>
          <cell r="B1029" t="str">
            <v>41. 조명기구 신설</v>
          </cell>
          <cell r="C1029" t="str">
            <v>TYPE'L' FUL 1/13W</v>
          </cell>
          <cell r="D1029" t="str">
            <v>개</v>
          </cell>
          <cell r="E1029">
            <v>1</v>
          </cell>
          <cell r="L1029" t="str">
            <v>x</v>
          </cell>
          <cell r="M1029">
            <v>8</v>
          </cell>
        </row>
        <row r="1030">
          <cell r="B1030" t="str">
            <v>가) 재 료 비</v>
          </cell>
        </row>
        <row r="1031">
          <cell r="B1031" t="str">
            <v>등기구</v>
          </cell>
          <cell r="C1031" t="str">
            <v>TYPE'L' FUL 1/13W</v>
          </cell>
          <cell r="D1031" t="str">
            <v>개</v>
          </cell>
          <cell r="E1031">
            <v>1</v>
          </cell>
          <cell r="F1031">
            <v>18000</v>
          </cell>
          <cell r="G1031">
            <v>18000</v>
          </cell>
          <cell r="L1031">
            <v>18000</v>
          </cell>
        </row>
        <row r="1032">
          <cell r="B1032" t="str">
            <v>등기구 보강대</v>
          </cell>
          <cell r="C1032" t="str">
            <v>(다운라이트용)</v>
          </cell>
          <cell r="D1032" t="str">
            <v>개</v>
          </cell>
          <cell r="E1032">
            <v>1</v>
          </cell>
          <cell r="F1032">
            <v>3900</v>
          </cell>
          <cell r="G1032">
            <v>3900</v>
          </cell>
          <cell r="L1032">
            <v>3900</v>
          </cell>
        </row>
        <row r="1033">
          <cell r="A1033" t="str">
            <v>와이어 콘넥타3.5㎟x2가닥</v>
          </cell>
          <cell r="B1033" t="str">
            <v>와이어 콘넥타</v>
          </cell>
          <cell r="C1033" t="str">
            <v>3.5㎟x2가닥</v>
          </cell>
          <cell r="D1033" t="str">
            <v>개</v>
          </cell>
          <cell r="E1033">
            <v>3</v>
          </cell>
          <cell r="F1033">
            <v>112</v>
          </cell>
          <cell r="G1033">
            <v>336</v>
          </cell>
          <cell r="L1033">
            <v>336</v>
          </cell>
        </row>
        <row r="1034">
          <cell r="A1034" t="str">
            <v>플랙시블 커넥터일반비방수  16C</v>
          </cell>
          <cell r="B1034" t="str">
            <v>플랙시블 커넥터</v>
          </cell>
          <cell r="C1034" t="str">
            <v>일반비방수  16C</v>
          </cell>
          <cell r="D1034" t="str">
            <v>개</v>
          </cell>
          <cell r="E1034">
            <v>2</v>
          </cell>
          <cell r="F1034">
            <v>360</v>
          </cell>
          <cell r="G1034">
            <v>720</v>
          </cell>
          <cell r="L1034">
            <v>720</v>
          </cell>
        </row>
        <row r="1035">
          <cell r="A1035" t="str">
            <v>전     선IV  1.6mm</v>
          </cell>
          <cell r="B1035" t="str">
            <v>전     선</v>
          </cell>
          <cell r="C1035" t="str">
            <v>IV  1.6mm</v>
          </cell>
          <cell r="D1035" t="str">
            <v>m</v>
          </cell>
          <cell r="E1035">
            <v>2.2000000000000002</v>
          </cell>
          <cell r="F1035">
            <v>75</v>
          </cell>
          <cell r="G1035">
            <v>165</v>
          </cell>
          <cell r="L1035">
            <v>165</v>
          </cell>
        </row>
        <row r="1036">
          <cell r="A1036" t="str">
            <v>전     선IV  2.0mm</v>
          </cell>
          <cell r="B1036" t="str">
            <v>전     선</v>
          </cell>
          <cell r="C1036" t="str">
            <v>IV  2.0mm</v>
          </cell>
          <cell r="D1036" t="str">
            <v>m</v>
          </cell>
          <cell r="E1036">
            <v>4.4000000000000004</v>
          </cell>
          <cell r="F1036">
            <v>109</v>
          </cell>
          <cell r="G1036">
            <v>479</v>
          </cell>
          <cell r="L1036">
            <v>479</v>
          </cell>
        </row>
        <row r="1037">
          <cell r="A1037" t="str">
            <v>플랙시블 전선관일반비방수  16C</v>
          </cell>
          <cell r="B1037" t="str">
            <v>플랙시블 전선관</v>
          </cell>
          <cell r="C1037" t="str">
            <v>일반비방수  16C</v>
          </cell>
          <cell r="D1037" t="str">
            <v>m</v>
          </cell>
          <cell r="E1037">
            <v>2.2000000000000002</v>
          </cell>
          <cell r="F1037">
            <v>430</v>
          </cell>
          <cell r="G1037">
            <v>946</v>
          </cell>
          <cell r="L1037">
            <v>946</v>
          </cell>
        </row>
        <row r="1041">
          <cell r="L1041">
            <v>0</v>
          </cell>
        </row>
        <row r="1042">
          <cell r="B1042" t="str">
            <v>나) 노 무 비</v>
          </cell>
          <cell r="L1042">
            <v>0</v>
          </cell>
        </row>
        <row r="1043">
          <cell r="C1043" t="str">
            <v>내 선 전 공</v>
          </cell>
          <cell r="D1043" t="str">
            <v>인</v>
          </cell>
          <cell r="E1043">
            <v>0.42000000000000004</v>
          </cell>
          <cell r="H1043">
            <v>53401</v>
          </cell>
          <cell r="I1043">
            <v>22428</v>
          </cell>
          <cell r="L1043">
            <v>22428</v>
          </cell>
        </row>
        <row r="1047">
          <cell r="L1047">
            <v>0</v>
          </cell>
        </row>
        <row r="1048">
          <cell r="B1048" t="str">
            <v>다) 공구손료</v>
          </cell>
          <cell r="L1048">
            <v>0</v>
          </cell>
        </row>
        <row r="1049">
          <cell r="C1049" t="str">
            <v>내 선 전 공</v>
          </cell>
          <cell r="D1049" t="str">
            <v>인</v>
          </cell>
          <cell r="E1049">
            <v>0.01</v>
          </cell>
          <cell r="J1049">
            <v>53401</v>
          </cell>
          <cell r="K1049">
            <v>534</v>
          </cell>
          <cell r="L1049">
            <v>534</v>
          </cell>
        </row>
        <row r="1053">
          <cell r="A1053" t="str">
            <v>30신_41</v>
          </cell>
          <cell r="B1053" t="str">
            <v>합    계</v>
          </cell>
          <cell r="G1053">
            <v>24546</v>
          </cell>
          <cell r="I1053">
            <v>22428</v>
          </cell>
          <cell r="K1053">
            <v>534</v>
          </cell>
          <cell r="L1053">
            <v>47508</v>
          </cell>
        </row>
        <row r="1054">
          <cell r="A1054" t="str">
            <v>30신_42A</v>
          </cell>
          <cell r="B1054" t="str">
            <v>42. 조명기구 신설</v>
          </cell>
          <cell r="C1054" t="str">
            <v>TYPE'M' IL 60W</v>
          </cell>
          <cell r="D1054" t="str">
            <v>개</v>
          </cell>
          <cell r="E1054">
            <v>1</v>
          </cell>
          <cell r="L1054" t="str">
            <v>x</v>
          </cell>
          <cell r="M1054">
            <v>34</v>
          </cell>
        </row>
        <row r="1055">
          <cell r="B1055" t="str">
            <v>가) 재 료 비</v>
          </cell>
        </row>
        <row r="1056">
          <cell r="B1056" t="str">
            <v>등기구</v>
          </cell>
          <cell r="C1056" t="str">
            <v>TYPE'M' IL 1/60W</v>
          </cell>
          <cell r="D1056" t="str">
            <v>개</v>
          </cell>
          <cell r="E1056">
            <v>1</v>
          </cell>
          <cell r="F1056">
            <v>22000</v>
          </cell>
          <cell r="G1056">
            <v>22000</v>
          </cell>
          <cell r="L1056">
            <v>22000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B1059" t="str">
            <v>나) 노 무 비</v>
          </cell>
          <cell r="L1059">
            <v>0</v>
          </cell>
        </row>
        <row r="1060">
          <cell r="C1060" t="str">
            <v>내 선 전 공</v>
          </cell>
          <cell r="D1060" t="str">
            <v>인</v>
          </cell>
          <cell r="E1060">
            <v>0.18</v>
          </cell>
          <cell r="H1060">
            <v>53401</v>
          </cell>
          <cell r="I1060">
            <v>9612</v>
          </cell>
          <cell r="L1060">
            <v>9612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B1065" t="str">
            <v>다) 공구손료</v>
          </cell>
          <cell r="L1065">
            <v>0</v>
          </cell>
        </row>
        <row r="1066">
          <cell r="C1066" t="str">
            <v>내 선 전 공</v>
          </cell>
          <cell r="D1066" t="str">
            <v>인</v>
          </cell>
          <cell r="E1066">
            <v>0</v>
          </cell>
          <cell r="K1066">
            <v>0</v>
          </cell>
          <cell r="L1066">
            <v>0</v>
          </cell>
        </row>
        <row r="1070">
          <cell r="A1070" t="str">
            <v>30신_42</v>
          </cell>
          <cell r="B1070" t="str">
            <v>합    계</v>
          </cell>
          <cell r="G1070">
            <v>22000</v>
          </cell>
          <cell r="I1070">
            <v>9612</v>
          </cell>
          <cell r="K1070">
            <v>0</v>
          </cell>
          <cell r="L1070">
            <v>31612</v>
          </cell>
        </row>
        <row r="1079">
          <cell r="A1079" t="str">
            <v>30신_43A</v>
          </cell>
          <cell r="B1079" t="str">
            <v>43. 조명기구 신설</v>
          </cell>
          <cell r="C1079" t="str">
            <v>TYPE'N' IL 60W</v>
          </cell>
          <cell r="D1079" t="str">
            <v>개</v>
          </cell>
          <cell r="E1079">
            <v>1</v>
          </cell>
          <cell r="L1079" t="str">
            <v>x</v>
          </cell>
          <cell r="M1079">
            <v>21</v>
          </cell>
        </row>
        <row r="1080">
          <cell r="B1080" t="str">
            <v>가) 재 료 비</v>
          </cell>
          <cell r="L1080">
            <v>0</v>
          </cell>
        </row>
        <row r="1081">
          <cell r="B1081" t="str">
            <v>등기구</v>
          </cell>
          <cell r="C1081" t="str">
            <v>TYPE'N' IL 1/60W</v>
          </cell>
          <cell r="D1081" t="str">
            <v>개</v>
          </cell>
          <cell r="E1081">
            <v>1</v>
          </cell>
          <cell r="F1081">
            <v>7000</v>
          </cell>
          <cell r="G1081">
            <v>7000</v>
          </cell>
          <cell r="L1081">
            <v>7000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B1084" t="str">
            <v>나) 노 무 비</v>
          </cell>
          <cell r="L1084">
            <v>0</v>
          </cell>
        </row>
        <row r="1085">
          <cell r="C1085" t="str">
            <v>내 선 전 공</v>
          </cell>
          <cell r="D1085" t="str">
            <v>인</v>
          </cell>
          <cell r="E1085">
            <v>0.18</v>
          </cell>
          <cell r="H1085">
            <v>53401</v>
          </cell>
          <cell r="I1085">
            <v>9612</v>
          </cell>
          <cell r="L1085">
            <v>9612</v>
          </cell>
        </row>
        <row r="1089">
          <cell r="L1089">
            <v>0</v>
          </cell>
        </row>
        <row r="1090">
          <cell r="B1090" t="str">
            <v>다) 공구손료</v>
          </cell>
          <cell r="L1090">
            <v>0</v>
          </cell>
        </row>
        <row r="1091">
          <cell r="C1091" t="str">
            <v>내 선 전 공</v>
          </cell>
          <cell r="D1091" t="str">
            <v>인</v>
          </cell>
          <cell r="E1091">
            <v>0</v>
          </cell>
          <cell r="K1091">
            <v>0</v>
          </cell>
          <cell r="L1091">
            <v>0</v>
          </cell>
        </row>
        <row r="1095">
          <cell r="A1095" t="str">
            <v>30신_43</v>
          </cell>
          <cell r="B1095" t="str">
            <v>합    계</v>
          </cell>
          <cell r="G1095">
            <v>7000</v>
          </cell>
          <cell r="I1095">
            <v>9612</v>
          </cell>
          <cell r="K1095">
            <v>0</v>
          </cell>
          <cell r="L1095">
            <v>16612</v>
          </cell>
        </row>
        <row r="1104">
          <cell r="A1104" t="str">
            <v>30신_44A</v>
          </cell>
          <cell r="B1104" t="str">
            <v>44. 조명기구 신설</v>
          </cell>
          <cell r="C1104" t="str">
            <v>TYPE'O' IL 60W</v>
          </cell>
          <cell r="D1104" t="str">
            <v>개</v>
          </cell>
          <cell r="E1104">
            <v>1</v>
          </cell>
          <cell r="L1104" t="str">
            <v>x</v>
          </cell>
          <cell r="M1104">
            <v>10</v>
          </cell>
        </row>
        <row r="1105">
          <cell r="B1105" t="str">
            <v>가) 재 료 비</v>
          </cell>
        </row>
        <row r="1106">
          <cell r="B1106" t="str">
            <v>등기구</v>
          </cell>
          <cell r="C1106" t="str">
            <v>TYPE'O' IL 1/60W</v>
          </cell>
          <cell r="D1106" t="str">
            <v>개</v>
          </cell>
          <cell r="E1106">
            <v>1</v>
          </cell>
          <cell r="F1106">
            <v>35000</v>
          </cell>
          <cell r="G1106">
            <v>35000</v>
          </cell>
          <cell r="L1106">
            <v>35000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B1109" t="str">
            <v>나) 노 무 비</v>
          </cell>
          <cell r="L1109">
            <v>0</v>
          </cell>
        </row>
        <row r="1110">
          <cell r="C1110" t="str">
            <v>내 선 전 공</v>
          </cell>
          <cell r="D1110" t="str">
            <v>인</v>
          </cell>
          <cell r="E1110">
            <v>0.18</v>
          </cell>
          <cell r="H1110">
            <v>53401</v>
          </cell>
          <cell r="I1110">
            <v>9612</v>
          </cell>
          <cell r="L1110">
            <v>9612</v>
          </cell>
        </row>
        <row r="1115">
          <cell r="B1115" t="str">
            <v>다) 공구손료</v>
          </cell>
          <cell r="L1115">
            <v>0</v>
          </cell>
        </row>
        <row r="1116">
          <cell r="C1116" t="str">
            <v>내 선 전 공</v>
          </cell>
          <cell r="D1116" t="str">
            <v>인</v>
          </cell>
          <cell r="E1116">
            <v>0</v>
          </cell>
          <cell r="K1116">
            <v>0</v>
          </cell>
          <cell r="L1116">
            <v>0</v>
          </cell>
        </row>
        <row r="1120">
          <cell r="A1120" t="str">
            <v>30신_44</v>
          </cell>
          <cell r="B1120" t="str">
            <v>합    계</v>
          </cell>
          <cell r="G1120">
            <v>35000</v>
          </cell>
          <cell r="I1120">
            <v>9612</v>
          </cell>
          <cell r="K1120">
            <v>0</v>
          </cell>
          <cell r="L1120">
            <v>44612</v>
          </cell>
        </row>
        <row r="1129">
          <cell r="A1129" t="str">
            <v>30신_45A</v>
          </cell>
          <cell r="B1129" t="str">
            <v>45. 조명기구 신설</v>
          </cell>
          <cell r="C1129" t="str">
            <v>TYPE'P' IL 100W</v>
          </cell>
          <cell r="D1129" t="str">
            <v>개</v>
          </cell>
          <cell r="E1129">
            <v>1</v>
          </cell>
          <cell r="L1129" t="str">
            <v>x</v>
          </cell>
          <cell r="M1129">
            <v>13</v>
          </cell>
        </row>
        <row r="1130">
          <cell r="B1130" t="str">
            <v>가) 재 료 비</v>
          </cell>
        </row>
        <row r="1131">
          <cell r="B1131" t="str">
            <v>등기구</v>
          </cell>
          <cell r="C1131" t="str">
            <v>TYPE'P' IL 1/60W</v>
          </cell>
          <cell r="D1131" t="str">
            <v>개</v>
          </cell>
          <cell r="E1131">
            <v>1</v>
          </cell>
          <cell r="F1131">
            <v>8000</v>
          </cell>
          <cell r="G1131">
            <v>8000</v>
          </cell>
          <cell r="L1131">
            <v>8000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B1135" t="str">
            <v>나) 노 무 비</v>
          </cell>
          <cell r="C1135" t="str">
            <v>내 선 전 공</v>
          </cell>
          <cell r="D1135" t="str">
            <v>인</v>
          </cell>
          <cell r="E1135">
            <v>0.19</v>
          </cell>
          <cell r="H1135">
            <v>53401</v>
          </cell>
          <cell r="I1135">
            <v>10146</v>
          </cell>
          <cell r="L1135">
            <v>10146</v>
          </cell>
        </row>
        <row r="1140">
          <cell r="L1140">
            <v>0</v>
          </cell>
        </row>
        <row r="1141">
          <cell r="B1141" t="str">
            <v>다) 공구손료</v>
          </cell>
          <cell r="C1141" t="str">
            <v>내 선 전 공</v>
          </cell>
          <cell r="D1141" t="str">
            <v>인</v>
          </cell>
          <cell r="E1141">
            <v>0</v>
          </cell>
          <cell r="K1141">
            <v>0</v>
          </cell>
          <cell r="L1141">
            <v>0</v>
          </cell>
        </row>
        <row r="1145">
          <cell r="A1145" t="str">
            <v>30신_45</v>
          </cell>
          <cell r="B1145" t="str">
            <v>합    계</v>
          </cell>
          <cell r="G1145">
            <v>8000</v>
          </cell>
          <cell r="I1145">
            <v>10146</v>
          </cell>
          <cell r="K1145">
            <v>0</v>
          </cell>
          <cell r="L1145">
            <v>18146</v>
          </cell>
        </row>
        <row r="1154">
          <cell r="A1154" t="str">
            <v>30신_46A</v>
          </cell>
          <cell r="B1154" t="str">
            <v>46. 조명기구 신설</v>
          </cell>
          <cell r="C1154" t="str">
            <v>TYPE'Q' IL 30W</v>
          </cell>
          <cell r="D1154" t="str">
            <v>개</v>
          </cell>
          <cell r="E1154">
            <v>1</v>
          </cell>
          <cell r="L1154" t="str">
            <v>x</v>
          </cell>
          <cell r="M1154">
            <v>34</v>
          </cell>
        </row>
        <row r="1155">
          <cell r="B1155" t="str">
            <v>가) 재 료 비</v>
          </cell>
        </row>
        <row r="1156">
          <cell r="B1156" t="str">
            <v>등기구</v>
          </cell>
          <cell r="C1156" t="str">
            <v>TYPE'Q' IL 1/60W</v>
          </cell>
          <cell r="D1156" t="str">
            <v>개</v>
          </cell>
          <cell r="E1156">
            <v>1</v>
          </cell>
          <cell r="F1156">
            <v>10000</v>
          </cell>
          <cell r="G1156">
            <v>10000</v>
          </cell>
          <cell r="L1156">
            <v>10000</v>
          </cell>
        </row>
        <row r="1157">
          <cell r="B1157" t="str">
            <v>등기구 보강대</v>
          </cell>
          <cell r="C1157" t="str">
            <v>(다운라이트용)</v>
          </cell>
          <cell r="D1157" t="str">
            <v>개</v>
          </cell>
          <cell r="E1157">
            <v>1</v>
          </cell>
          <cell r="F1157">
            <v>3900</v>
          </cell>
          <cell r="G1157">
            <v>3900</v>
          </cell>
          <cell r="L1157">
            <v>3900</v>
          </cell>
        </row>
        <row r="1158">
          <cell r="A1158" t="str">
            <v>와이어 콘넥타3.5㎟x2가닥</v>
          </cell>
          <cell r="B1158" t="str">
            <v>와이어 콘넥타</v>
          </cell>
          <cell r="C1158" t="str">
            <v>3.5㎟x2가닥</v>
          </cell>
          <cell r="D1158" t="str">
            <v>개</v>
          </cell>
          <cell r="E1158">
            <v>3</v>
          </cell>
          <cell r="F1158">
            <v>112</v>
          </cell>
          <cell r="G1158">
            <v>336</v>
          </cell>
          <cell r="L1158">
            <v>336</v>
          </cell>
        </row>
        <row r="1159">
          <cell r="A1159" t="str">
            <v>플랙시블 커넥터일반비방수  16C</v>
          </cell>
          <cell r="B1159" t="str">
            <v>플랙시블 커넥터</v>
          </cell>
          <cell r="C1159" t="str">
            <v>일반비방수  16C</v>
          </cell>
          <cell r="D1159" t="str">
            <v>개</v>
          </cell>
          <cell r="E1159">
            <v>2</v>
          </cell>
          <cell r="F1159">
            <v>360</v>
          </cell>
          <cell r="G1159">
            <v>720</v>
          </cell>
          <cell r="L1159">
            <v>720</v>
          </cell>
        </row>
        <row r="1160">
          <cell r="A1160" t="str">
            <v>전     선IV  1.6mm</v>
          </cell>
          <cell r="B1160" t="str">
            <v>전     선</v>
          </cell>
          <cell r="C1160" t="str">
            <v>IV  1.6mm</v>
          </cell>
          <cell r="D1160" t="str">
            <v>m</v>
          </cell>
          <cell r="E1160">
            <v>2.2000000000000002</v>
          </cell>
          <cell r="F1160">
            <v>75</v>
          </cell>
          <cell r="G1160">
            <v>165</v>
          </cell>
          <cell r="L1160">
            <v>165</v>
          </cell>
        </row>
        <row r="1161">
          <cell r="A1161" t="str">
            <v>전     선IV  2.0mm</v>
          </cell>
          <cell r="B1161" t="str">
            <v>전     선</v>
          </cell>
          <cell r="C1161" t="str">
            <v>IV  2.0mm</v>
          </cell>
          <cell r="D1161" t="str">
            <v>m</v>
          </cell>
          <cell r="E1161">
            <v>4.4000000000000004</v>
          </cell>
          <cell r="F1161">
            <v>109</v>
          </cell>
          <cell r="G1161">
            <v>479</v>
          </cell>
          <cell r="L1161">
            <v>479</v>
          </cell>
        </row>
        <row r="1162">
          <cell r="A1162" t="str">
            <v>플랙시블 전선관일반비방수  16C</v>
          </cell>
          <cell r="B1162" t="str">
            <v>플랙시블 전선관</v>
          </cell>
          <cell r="C1162" t="str">
            <v>일반비방수  16C</v>
          </cell>
          <cell r="D1162" t="str">
            <v>m</v>
          </cell>
          <cell r="E1162">
            <v>2.2000000000000002</v>
          </cell>
          <cell r="F1162">
            <v>430</v>
          </cell>
          <cell r="G1162">
            <v>946</v>
          </cell>
          <cell r="L1162">
            <v>946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B1167" t="str">
            <v>나) 노 무 비</v>
          </cell>
          <cell r="L1167">
            <v>0</v>
          </cell>
        </row>
        <row r="1168">
          <cell r="C1168" t="str">
            <v>내 선 전 공</v>
          </cell>
          <cell r="D1168" t="str">
            <v>인</v>
          </cell>
          <cell r="E1168">
            <v>0.35</v>
          </cell>
          <cell r="H1168">
            <v>53401</v>
          </cell>
          <cell r="I1168">
            <v>18690</v>
          </cell>
          <cell r="L1168">
            <v>18690</v>
          </cell>
        </row>
        <row r="1173">
          <cell r="B1173" t="str">
            <v>다) 공구손료</v>
          </cell>
          <cell r="L1173">
            <v>0</v>
          </cell>
        </row>
        <row r="1174">
          <cell r="C1174" t="str">
            <v>내 선 전 공</v>
          </cell>
          <cell r="D1174" t="str">
            <v>인</v>
          </cell>
          <cell r="E1174">
            <v>0.01</v>
          </cell>
          <cell r="J1174">
            <v>53401</v>
          </cell>
          <cell r="K1174">
            <v>534</v>
          </cell>
          <cell r="L1174">
            <v>534</v>
          </cell>
        </row>
        <row r="1178">
          <cell r="A1178" t="str">
            <v>30신_46</v>
          </cell>
          <cell r="B1178" t="str">
            <v>합    계</v>
          </cell>
          <cell r="G1178">
            <v>16546</v>
          </cell>
          <cell r="I1178">
            <v>18690</v>
          </cell>
          <cell r="K1178">
            <v>534</v>
          </cell>
          <cell r="L1178">
            <v>35770</v>
          </cell>
        </row>
        <row r="1179">
          <cell r="A1179" t="str">
            <v>30신_47A</v>
          </cell>
          <cell r="B1179" t="str">
            <v>47. 개폐기신설</v>
          </cell>
          <cell r="C1179" t="str">
            <v>15A 250V 1구</v>
          </cell>
          <cell r="D1179" t="str">
            <v>개</v>
          </cell>
          <cell r="E1179">
            <v>1</v>
          </cell>
          <cell r="L1179" t="str">
            <v>x</v>
          </cell>
          <cell r="M1179">
            <v>159</v>
          </cell>
        </row>
        <row r="1180">
          <cell r="B1180" t="str">
            <v>가) 재 료 비</v>
          </cell>
        </row>
        <row r="1181">
          <cell r="B1181" t="str">
            <v>매입 1로스위치</v>
          </cell>
          <cell r="C1181" t="str">
            <v>15A 250V 1구</v>
          </cell>
          <cell r="D1181" t="str">
            <v>개</v>
          </cell>
          <cell r="E1181">
            <v>1</v>
          </cell>
          <cell r="F1181">
            <v>2070</v>
          </cell>
          <cell r="G1181">
            <v>2070</v>
          </cell>
          <cell r="L1181">
            <v>2070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B1184" t="str">
            <v>나) 노 무 비</v>
          </cell>
          <cell r="L1184">
            <v>0</v>
          </cell>
        </row>
        <row r="1185">
          <cell r="C1185" t="str">
            <v>내 선 전 공</v>
          </cell>
          <cell r="D1185" t="str">
            <v>인</v>
          </cell>
          <cell r="E1185">
            <v>0.06</v>
          </cell>
          <cell r="H1185">
            <v>53401</v>
          </cell>
          <cell r="I1185">
            <v>3204</v>
          </cell>
          <cell r="L1185">
            <v>3204</v>
          </cell>
        </row>
        <row r="1190">
          <cell r="L1190">
            <v>0</v>
          </cell>
        </row>
        <row r="1191">
          <cell r="B1191" t="str">
            <v>다) 공구손료</v>
          </cell>
          <cell r="K1191">
            <v>0</v>
          </cell>
          <cell r="L1191">
            <v>0</v>
          </cell>
        </row>
        <row r="1192">
          <cell r="C1192" t="str">
            <v>내 선 전 공</v>
          </cell>
          <cell r="D1192" t="str">
            <v>인</v>
          </cell>
          <cell r="E1192">
            <v>0</v>
          </cell>
          <cell r="K1192">
            <v>0</v>
          </cell>
          <cell r="L1192">
            <v>0</v>
          </cell>
        </row>
        <row r="1195">
          <cell r="A1195" t="str">
            <v>30신_47</v>
          </cell>
          <cell r="B1195" t="str">
            <v>합    계</v>
          </cell>
          <cell r="G1195">
            <v>2070</v>
          </cell>
          <cell r="I1195">
            <v>3204</v>
          </cell>
          <cell r="K1195">
            <v>0</v>
          </cell>
          <cell r="L1195">
            <v>5274</v>
          </cell>
        </row>
        <row r="1204">
          <cell r="A1204" t="str">
            <v>30신_48A</v>
          </cell>
          <cell r="B1204" t="str">
            <v>48. 개폐기신설</v>
          </cell>
          <cell r="C1204" t="str">
            <v>15A 250V 2구</v>
          </cell>
          <cell r="D1204" t="str">
            <v>개</v>
          </cell>
          <cell r="E1204">
            <v>1</v>
          </cell>
          <cell r="L1204" t="str">
            <v>x</v>
          </cell>
          <cell r="M1204">
            <v>45</v>
          </cell>
        </row>
        <row r="1205">
          <cell r="B1205" t="str">
            <v>가) 재 료 비</v>
          </cell>
        </row>
        <row r="1206">
          <cell r="B1206" t="str">
            <v>매입 1로스위치</v>
          </cell>
          <cell r="C1206" t="str">
            <v>15A 250V 2구</v>
          </cell>
          <cell r="D1206" t="str">
            <v>개</v>
          </cell>
          <cell r="E1206">
            <v>1</v>
          </cell>
          <cell r="F1206">
            <v>2931</v>
          </cell>
          <cell r="G1206">
            <v>2931</v>
          </cell>
          <cell r="L1206">
            <v>2931</v>
          </cell>
        </row>
        <row r="1208">
          <cell r="L1208">
            <v>0</v>
          </cell>
        </row>
        <row r="1209">
          <cell r="B1209" t="str">
            <v>나) 노 무 비</v>
          </cell>
          <cell r="L1209">
            <v>0</v>
          </cell>
        </row>
        <row r="1210">
          <cell r="C1210" t="str">
            <v>내 선 전 공</v>
          </cell>
          <cell r="D1210" t="str">
            <v>인</v>
          </cell>
          <cell r="E1210">
            <v>7.0000000000000007E-2</v>
          </cell>
          <cell r="H1210">
            <v>53401</v>
          </cell>
          <cell r="I1210">
            <v>3738</v>
          </cell>
          <cell r="L1210">
            <v>3738</v>
          </cell>
        </row>
        <row r="1215">
          <cell r="L1215">
            <v>0</v>
          </cell>
        </row>
        <row r="1216">
          <cell r="B1216" t="str">
            <v>다) 공구손료</v>
          </cell>
          <cell r="K1216">
            <v>0</v>
          </cell>
          <cell r="L1216">
            <v>0</v>
          </cell>
        </row>
        <row r="1217">
          <cell r="C1217" t="str">
            <v>내 선 전 공</v>
          </cell>
          <cell r="D1217" t="str">
            <v>인</v>
          </cell>
          <cell r="E1217">
            <v>0</v>
          </cell>
          <cell r="K1217">
            <v>0</v>
          </cell>
          <cell r="L1217">
            <v>0</v>
          </cell>
        </row>
        <row r="1220">
          <cell r="A1220" t="str">
            <v>30신_48</v>
          </cell>
          <cell r="B1220" t="str">
            <v>합    계</v>
          </cell>
          <cell r="G1220">
            <v>2931</v>
          </cell>
          <cell r="I1220">
            <v>3738</v>
          </cell>
          <cell r="K1220">
            <v>0</v>
          </cell>
          <cell r="L1220">
            <v>6669</v>
          </cell>
        </row>
        <row r="1229">
          <cell r="A1229" t="str">
            <v>30신_49A</v>
          </cell>
          <cell r="B1229" t="str">
            <v>49. 개폐기신설</v>
          </cell>
          <cell r="C1229" t="str">
            <v>15A 250V 3구</v>
          </cell>
          <cell r="D1229" t="str">
            <v>개</v>
          </cell>
          <cell r="E1229">
            <v>1</v>
          </cell>
          <cell r="L1229" t="str">
            <v>x</v>
          </cell>
          <cell r="M1229">
            <v>43</v>
          </cell>
        </row>
        <row r="1230">
          <cell r="B1230" t="str">
            <v>가) 재 료 비</v>
          </cell>
        </row>
        <row r="1231">
          <cell r="B1231" t="str">
            <v>매입 1로스위치</v>
          </cell>
          <cell r="C1231" t="str">
            <v>15A 250V 3구</v>
          </cell>
          <cell r="D1231" t="str">
            <v>개</v>
          </cell>
          <cell r="E1231">
            <v>1</v>
          </cell>
          <cell r="F1231">
            <v>3780</v>
          </cell>
          <cell r="G1231">
            <v>3780</v>
          </cell>
          <cell r="L1231">
            <v>3780</v>
          </cell>
        </row>
        <row r="1233">
          <cell r="L1233">
            <v>0</v>
          </cell>
        </row>
        <row r="1234">
          <cell r="B1234" t="str">
            <v>나) 노 무 비</v>
          </cell>
          <cell r="L1234">
            <v>0</v>
          </cell>
        </row>
        <row r="1235">
          <cell r="C1235" t="str">
            <v>내 선 전 공</v>
          </cell>
          <cell r="D1235" t="str">
            <v>인</v>
          </cell>
          <cell r="E1235">
            <v>0.09</v>
          </cell>
          <cell r="H1235">
            <v>53401</v>
          </cell>
          <cell r="I1235">
            <v>4806</v>
          </cell>
          <cell r="L1235">
            <v>4806</v>
          </cell>
        </row>
        <row r="1240">
          <cell r="L1240">
            <v>0</v>
          </cell>
        </row>
        <row r="1241">
          <cell r="B1241" t="str">
            <v>다) 공구손료</v>
          </cell>
          <cell r="K1241">
            <v>0</v>
          </cell>
          <cell r="L1241">
            <v>0</v>
          </cell>
        </row>
        <row r="1242">
          <cell r="C1242" t="str">
            <v>내 선 전 공</v>
          </cell>
          <cell r="D1242" t="str">
            <v>인</v>
          </cell>
          <cell r="E1242">
            <v>0</v>
          </cell>
          <cell r="K1242">
            <v>0</v>
          </cell>
          <cell r="L1242">
            <v>0</v>
          </cell>
        </row>
        <row r="1245">
          <cell r="A1245" t="str">
            <v>30신_49</v>
          </cell>
          <cell r="B1245" t="str">
            <v>합    계</v>
          </cell>
          <cell r="G1245">
            <v>3780</v>
          </cell>
          <cell r="I1245">
            <v>4806</v>
          </cell>
          <cell r="K1245">
            <v>0</v>
          </cell>
          <cell r="L1245">
            <v>8586</v>
          </cell>
        </row>
        <row r="1254">
          <cell r="A1254" t="str">
            <v>30신_50A</v>
          </cell>
          <cell r="B1254" t="str">
            <v>50. 개폐기신설</v>
          </cell>
          <cell r="C1254" t="str">
            <v>15A 250V 4구</v>
          </cell>
          <cell r="D1254" t="str">
            <v>개</v>
          </cell>
          <cell r="E1254">
            <v>1</v>
          </cell>
          <cell r="L1254" t="str">
            <v>x</v>
          </cell>
          <cell r="M1254">
            <v>11</v>
          </cell>
        </row>
        <row r="1255">
          <cell r="B1255" t="str">
            <v>가) 재 료 비</v>
          </cell>
        </row>
        <row r="1256">
          <cell r="B1256" t="str">
            <v>매입 1로스위치</v>
          </cell>
          <cell r="C1256" t="str">
            <v>15A 250V 4구</v>
          </cell>
          <cell r="D1256" t="str">
            <v>개</v>
          </cell>
          <cell r="E1256">
            <v>1</v>
          </cell>
          <cell r="F1256">
            <v>5940</v>
          </cell>
          <cell r="G1256">
            <v>5940</v>
          </cell>
          <cell r="L1256">
            <v>5940</v>
          </cell>
        </row>
        <row r="1258">
          <cell r="L1258">
            <v>0</v>
          </cell>
        </row>
        <row r="1259">
          <cell r="B1259" t="str">
            <v>나) 노 무 비</v>
          </cell>
          <cell r="L1259">
            <v>0</v>
          </cell>
        </row>
        <row r="1260">
          <cell r="C1260" t="str">
            <v>내 선 전 공</v>
          </cell>
          <cell r="D1260" t="str">
            <v>인</v>
          </cell>
          <cell r="E1260">
            <v>0.1</v>
          </cell>
          <cell r="H1260">
            <v>53401</v>
          </cell>
          <cell r="I1260">
            <v>5340</v>
          </cell>
          <cell r="L1260">
            <v>5340</v>
          </cell>
        </row>
        <row r="1265">
          <cell r="L1265">
            <v>0</v>
          </cell>
        </row>
        <row r="1266">
          <cell r="B1266" t="str">
            <v>다) 공구손료</v>
          </cell>
          <cell r="K1266">
            <v>0</v>
          </cell>
          <cell r="L1266">
            <v>0</v>
          </cell>
        </row>
        <row r="1267">
          <cell r="C1267" t="str">
            <v>내 선 전 공</v>
          </cell>
          <cell r="D1267" t="str">
            <v>인</v>
          </cell>
          <cell r="E1267">
            <v>0</v>
          </cell>
          <cell r="K1267">
            <v>0</v>
          </cell>
          <cell r="L1267">
            <v>0</v>
          </cell>
        </row>
        <row r="1270">
          <cell r="A1270" t="str">
            <v>30신_50</v>
          </cell>
          <cell r="B1270" t="str">
            <v>합    계</v>
          </cell>
          <cell r="G1270">
            <v>5940</v>
          </cell>
          <cell r="I1270">
            <v>5340</v>
          </cell>
          <cell r="K1270">
            <v>0</v>
          </cell>
          <cell r="L1270">
            <v>11280</v>
          </cell>
        </row>
        <row r="1279">
          <cell r="A1279" t="str">
            <v>30신_51A</v>
          </cell>
          <cell r="B1279" t="str">
            <v>51. 개폐기신설</v>
          </cell>
          <cell r="C1279" t="str">
            <v>15A 250V 1구(3로)</v>
          </cell>
          <cell r="D1279" t="str">
            <v>개</v>
          </cell>
          <cell r="E1279">
            <v>1</v>
          </cell>
          <cell r="L1279" t="str">
            <v>x</v>
          </cell>
          <cell r="M1279">
            <v>18</v>
          </cell>
        </row>
        <row r="1280">
          <cell r="B1280" t="str">
            <v>가) 재 료 비</v>
          </cell>
        </row>
        <row r="1281">
          <cell r="B1281" t="str">
            <v>매입 1로스위치</v>
          </cell>
          <cell r="C1281" t="str">
            <v>15A 250V 3구 1로</v>
          </cell>
          <cell r="D1281" t="str">
            <v>개</v>
          </cell>
          <cell r="E1281">
            <v>1</v>
          </cell>
          <cell r="F1281">
            <v>2250</v>
          </cell>
          <cell r="G1281">
            <v>2250</v>
          </cell>
          <cell r="L1281">
            <v>2250</v>
          </cell>
        </row>
        <row r="1283">
          <cell r="L1283">
            <v>0</v>
          </cell>
        </row>
        <row r="1284">
          <cell r="B1284" t="str">
            <v>나) 노 무 비</v>
          </cell>
          <cell r="L1284">
            <v>0</v>
          </cell>
        </row>
        <row r="1285">
          <cell r="C1285" t="str">
            <v>내 선 전 공</v>
          </cell>
          <cell r="D1285" t="str">
            <v>인</v>
          </cell>
          <cell r="E1285">
            <v>0.08</v>
          </cell>
          <cell r="H1285">
            <v>53401</v>
          </cell>
          <cell r="I1285">
            <v>4272</v>
          </cell>
          <cell r="L1285">
            <v>4272</v>
          </cell>
        </row>
        <row r="1290">
          <cell r="L1290">
            <v>0</v>
          </cell>
        </row>
        <row r="1291">
          <cell r="B1291" t="str">
            <v>다) 공구손료</v>
          </cell>
          <cell r="K1291">
            <v>0</v>
          </cell>
          <cell r="L1291">
            <v>0</v>
          </cell>
        </row>
        <row r="1292">
          <cell r="C1292" t="str">
            <v>내 선 전 공</v>
          </cell>
          <cell r="D1292" t="str">
            <v>인</v>
          </cell>
          <cell r="E1292">
            <v>0</v>
          </cell>
          <cell r="K1292">
            <v>0</v>
          </cell>
          <cell r="L1292">
            <v>0</v>
          </cell>
        </row>
        <row r="1295">
          <cell r="A1295" t="str">
            <v>30신_51</v>
          </cell>
          <cell r="B1295" t="str">
            <v>합    계</v>
          </cell>
          <cell r="G1295">
            <v>2250</v>
          </cell>
          <cell r="I1295">
            <v>4272</v>
          </cell>
          <cell r="K1295">
            <v>0</v>
          </cell>
          <cell r="L1295">
            <v>6522</v>
          </cell>
        </row>
        <row r="1304">
          <cell r="A1304" t="str">
            <v>30신_52A</v>
          </cell>
          <cell r="B1304" t="str">
            <v>52. 콘센트신설</v>
          </cell>
          <cell r="C1304" t="str">
            <v>15A 250V  1구</v>
          </cell>
          <cell r="D1304" t="str">
            <v>개</v>
          </cell>
          <cell r="E1304">
            <v>1</v>
          </cell>
          <cell r="L1304" t="str">
            <v>x</v>
          </cell>
          <cell r="M1304">
            <v>48</v>
          </cell>
        </row>
        <row r="1305">
          <cell r="B1305" t="str">
            <v>가) 재 료 비</v>
          </cell>
        </row>
        <row r="1306">
          <cell r="B1306" t="str">
            <v>콘센트 (접지)</v>
          </cell>
          <cell r="C1306" t="str">
            <v>15A 250V  1구</v>
          </cell>
          <cell r="D1306" t="str">
            <v>개</v>
          </cell>
          <cell r="E1306">
            <v>1</v>
          </cell>
          <cell r="F1306">
            <v>1080</v>
          </cell>
          <cell r="G1306">
            <v>1080</v>
          </cell>
          <cell r="L1306">
            <v>1080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B1310" t="str">
            <v>나) 노 무 비</v>
          </cell>
          <cell r="C1310" t="str">
            <v>내 선 전 공</v>
          </cell>
          <cell r="D1310" t="str">
            <v>인</v>
          </cell>
          <cell r="E1310">
            <v>0.08</v>
          </cell>
          <cell r="H1310">
            <v>53401</v>
          </cell>
          <cell r="I1310">
            <v>4272</v>
          </cell>
          <cell r="L1310">
            <v>4272</v>
          </cell>
        </row>
        <row r="1315">
          <cell r="L1315">
            <v>0</v>
          </cell>
        </row>
        <row r="1316">
          <cell r="B1316" t="str">
            <v>다) 공구손료</v>
          </cell>
          <cell r="C1316" t="str">
            <v>내 선 전 공</v>
          </cell>
          <cell r="D1316" t="str">
            <v>인</v>
          </cell>
          <cell r="E1316">
            <v>0</v>
          </cell>
          <cell r="K1316">
            <v>0</v>
          </cell>
          <cell r="L1316">
            <v>0</v>
          </cell>
        </row>
        <row r="1319">
          <cell r="A1319" t="str">
            <v>30신_52</v>
          </cell>
          <cell r="B1319" t="str">
            <v>합    계</v>
          </cell>
          <cell r="G1319">
            <v>1080</v>
          </cell>
          <cell r="I1319">
            <v>4272</v>
          </cell>
          <cell r="K1319">
            <v>0</v>
          </cell>
          <cell r="L1319">
            <v>5352</v>
          </cell>
        </row>
        <row r="1329">
          <cell r="A1329" t="str">
            <v>30신_53A</v>
          </cell>
          <cell r="B1329" t="str">
            <v>53.콘센트신설</v>
          </cell>
          <cell r="C1329" t="str">
            <v>15A 250V  2구</v>
          </cell>
          <cell r="D1329" t="str">
            <v>개</v>
          </cell>
          <cell r="E1329">
            <v>1</v>
          </cell>
          <cell r="L1329" t="str">
            <v>x</v>
          </cell>
          <cell r="M1329">
            <v>223</v>
          </cell>
        </row>
        <row r="1330">
          <cell r="B1330" t="str">
            <v>가) 재 료 비</v>
          </cell>
        </row>
        <row r="1331">
          <cell r="B1331" t="str">
            <v>콘센트 (접지)</v>
          </cell>
          <cell r="C1331" t="str">
            <v>15A 250V  2구</v>
          </cell>
          <cell r="D1331" t="str">
            <v>개</v>
          </cell>
          <cell r="E1331">
            <v>1</v>
          </cell>
          <cell r="F1331">
            <v>1364</v>
          </cell>
          <cell r="G1331">
            <v>1364</v>
          </cell>
          <cell r="L1331">
            <v>1364</v>
          </cell>
        </row>
        <row r="1333">
          <cell r="L1333">
            <v>0</v>
          </cell>
        </row>
        <row r="1334">
          <cell r="B1334" t="str">
            <v>나) 노 무 비</v>
          </cell>
          <cell r="L1334">
            <v>0</v>
          </cell>
        </row>
        <row r="1335">
          <cell r="C1335" t="str">
            <v>내 선 전 공</v>
          </cell>
          <cell r="D1335" t="str">
            <v>인</v>
          </cell>
          <cell r="E1335">
            <v>0.08</v>
          </cell>
          <cell r="H1335">
            <v>53401</v>
          </cell>
          <cell r="I1335">
            <v>4272</v>
          </cell>
          <cell r="L1335">
            <v>4272</v>
          </cell>
        </row>
        <row r="1340">
          <cell r="B1340" t="str">
            <v>다) 공구손료</v>
          </cell>
          <cell r="L1340">
            <v>0</v>
          </cell>
        </row>
        <row r="1341">
          <cell r="C1341" t="str">
            <v>내 선 전 공</v>
          </cell>
          <cell r="D1341" t="str">
            <v>인</v>
          </cell>
          <cell r="E1341">
            <v>0</v>
          </cell>
          <cell r="K1341">
            <v>0</v>
          </cell>
          <cell r="L1341">
            <v>0</v>
          </cell>
        </row>
        <row r="1344">
          <cell r="A1344" t="str">
            <v>30신_53</v>
          </cell>
          <cell r="B1344" t="str">
            <v>합    계</v>
          </cell>
          <cell r="G1344">
            <v>1364</v>
          </cell>
          <cell r="I1344">
            <v>4272</v>
          </cell>
          <cell r="K1344">
            <v>0</v>
          </cell>
          <cell r="L1344">
            <v>5636</v>
          </cell>
        </row>
        <row r="1354">
          <cell r="A1354" t="str">
            <v>30신_54A</v>
          </cell>
          <cell r="B1354" t="str">
            <v>54. 콘센트신설</v>
          </cell>
          <cell r="C1354" t="str">
            <v>15A 250V  1구(방습 COVER)</v>
          </cell>
          <cell r="D1354" t="str">
            <v>개</v>
          </cell>
          <cell r="E1354">
            <v>1</v>
          </cell>
          <cell r="L1354" t="str">
            <v>x</v>
          </cell>
          <cell r="M1354">
            <v>9</v>
          </cell>
        </row>
        <row r="1355">
          <cell r="B1355" t="str">
            <v>가) 재 료 비</v>
          </cell>
        </row>
        <row r="1356">
          <cell r="B1356" t="str">
            <v>콘센트 (접지,방습커버)</v>
          </cell>
          <cell r="C1356" t="str">
            <v>15A 250V  1구</v>
          </cell>
          <cell r="D1356" t="str">
            <v>개</v>
          </cell>
          <cell r="E1356">
            <v>1</v>
          </cell>
          <cell r="F1356">
            <v>2084</v>
          </cell>
          <cell r="G1356">
            <v>2084</v>
          </cell>
          <cell r="L1356">
            <v>2084</v>
          </cell>
        </row>
        <row r="1358">
          <cell r="L1358">
            <v>0</v>
          </cell>
        </row>
        <row r="1359">
          <cell r="B1359" t="str">
            <v>나) 노 무 비</v>
          </cell>
          <cell r="L1359">
            <v>0</v>
          </cell>
        </row>
        <row r="1360">
          <cell r="C1360" t="str">
            <v>내 선 전 공</v>
          </cell>
          <cell r="D1360" t="str">
            <v>인</v>
          </cell>
          <cell r="E1360">
            <v>0.08</v>
          </cell>
          <cell r="H1360">
            <v>53401</v>
          </cell>
          <cell r="I1360">
            <v>4272</v>
          </cell>
          <cell r="L1360">
            <v>4272</v>
          </cell>
        </row>
        <row r="1365">
          <cell r="B1365" t="str">
            <v>다) 공구손료</v>
          </cell>
          <cell r="L1365">
            <v>0</v>
          </cell>
        </row>
        <row r="1366">
          <cell r="C1366" t="str">
            <v>내 선 전 공</v>
          </cell>
          <cell r="D1366" t="str">
            <v>인</v>
          </cell>
          <cell r="E1366">
            <v>0</v>
          </cell>
          <cell r="K1366">
            <v>0</v>
          </cell>
          <cell r="L1366">
            <v>0</v>
          </cell>
        </row>
        <row r="1369">
          <cell r="A1369" t="str">
            <v>30신_54</v>
          </cell>
          <cell r="B1369" t="str">
            <v>합    계</v>
          </cell>
          <cell r="G1369">
            <v>2084</v>
          </cell>
          <cell r="I1369">
            <v>4272</v>
          </cell>
          <cell r="K1369">
            <v>0</v>
          </cell>
          <cell r="L1369">
            <v>6356</v>
          </cell>
        </row>
        <row r="1379">
          <cell r="A1379" t="str">
            <v>30신_55A</v>
          </cell>
          <cell r="B1379" t="str">
            <v>55. 콘센트신설</v>
          </cell>
          <cell r="C1379" t="str">
            <v>15A 250V  2구(방습 COVER)</v>
          </cell>
          <cell r="D1379" t="str">
            <v>개</v>
          </cell>
          <cell r="E1379">
            <v>1</v>
          </cell>
          <cell r="L1379" t="str">
            <v>x</v>
          </cell>
          <cell r="M1379">
            <v>2</v>
          </cell>
        </row>
        <row r="1380">
          <cell r="B1380" t="str">
            <v>가) 재 료 비</v>
          </cell>
        </row>
        <row r="1381">
          <cell r="B1381" t="str">
            <v>콘센트 (접지,방습커버)</v>
          </cell>
          <cell r="C1381" t="str">
            <v>15A 250V  2구</v>
          </cell>
          <cell r="D1381" t="str">
            <v>개</v>
          </cell>
          <cell r="E1381">
            <v>1</v>
          </cell>
          <cell r="F1381">
            <v>2920</v>
          </cell>
          <cell r="G1381">
            <v>2920</v>
          </cell>
          <cell r="L1381">
            <v>2920</v>
          </cell>
        </row>
        <row r="1383">
          <cell r="L1383">
            <v>0</v>
          </cell>
        </row>
        <row r="1384">
          <cell r="B1384" t="str">
            <v>나) 노 무 비</v>
          </cell>
          <cell r="L1384">
            <v>0</v>
          </cell>
        </row>
        <row r="1385">
          <cell r="C1385" t="str">
            <v>내 선 전 공</v>
          </cell>
          <cell r="D1385" t="str">
            <v>인</v>
          </cell>
          <cell r="E1385">
            <v>0.08</v>
          </cell>
          <cell r="H1385">
            <v>53401</v>
          </cell>
          <cell r="I1385">
            <v>4272</v>
          </cell>
          <cell r="L1385">
            <v>4272</v>
          </cell>
        </row>
        <row r="1390">
          <cell r="B1390" t="str">
            <v>다) 공구손료</v>
          </cell>
          <cell r="L1390">
            <v>0</v>
          </cell>
        </row>
        <row r="1391">
          <cell r="C1391" t="str">
            <v>내 선 전 공</v>
          </cell>
          <cell r="D1391" t="str">
            <v>인</v>
          </cell>
          <cell r="E1391">
            <v>0</v>
          </cell>
          <cell r="K1391">
            <v>0</v>
          </cell>
          <cell r="L1391">
            <v>0</v>
          </cell>
        </row>
        <row r="1394">
          <cell r="A1394" t="str">
            <v>30신_55</v>
          </cell>
          <cell r="B1394" t="str">
            <v>합    계</v>
          </cell>
          <cell r="G1394">
            <v>2920</v>
          </cell>
          <cell r="I1394">
            <v>4272</v>
          </cell>
          <cell r="K1394">
            <v>0</v>
          </cell>
          <cell r="L1394">
            <v>7192</v>
          </cell>
        </row>
        <row r="1404">
          <cell r="A1404" t="str">
            <v>30신_56A</v>
          </cell>
          <cell r="B1404" t="str">
            <v>56. CABLE DUCT신설</v>
          </cell>
          <cell r="C1404" t="str">
            <v>600Wx200Hx1.2t</v>
          </cell>
          <cell r="D1404" t="str">
            <v>m</v>
          </cell>
          <cell r="E1404">
            <v>4</v>
          </cell>
          <cell r="L1404" t="str">
            <v>x</v>
          </cell>
          <cell r="M1404">
            <v>1</v>
          </cell>
        </row>
        <row r="1405">
          <cell r="B1405" t="str">
            <v>가) 재 료 비</v>
          </cell>
        </row>
        <row r="1406">
          <cell r="B1406" t="str">
            <v>CABLE DUCT</v>
          </cell>
          <cell r="C1406" t="str">
            <v>600Wx200Hx1.2t</v>
          </cell>
          <cell r="D1406" t="str">
            <v>m</v>
          </cell>
          <cell r="E1406">
            <v>4</v>
          </cell>
          <cell r="F1406">
            <v>53680</v>
          </cell>
          <cell r="G1406">
            <v>214720</v>
          </cell>
          <cell r="L1406">
            <v>214720</v>
          </cell>
        </row>
        <row r="1407">
          <cell r="B1407" t="str">
            <v>DUCT 지지금구</v>
          </cell>
          <cell r="C1407" t="str">
            <v>W600</v>
          </cell>
          <cell r="D1407" t="str">
            <v>개소</v>
          </cell>
          <cell r="E1407">
            <v>2</v>
          </cell>
          <cell r="F1407">
            <v>1683.9999999999998</v>
          </cell>
          <cell r="G1407">
            <v>3368</v>
          </cell>
          <cell r="H1407">
            <v>17088.32</v>
          </cell>
          <cell r="I1407">
            <v>34176</v>
          </cell>
          <cell r="J1407">
            <v>0</v>
          </cell>
          <cell r="K1407">
            <v>0</v>
          </cell>
          <cell r="L1407">
            <v>37544</v>
          </cell>
        </row>
        <row r="1415">
          <cell r="B1415" t="str">
            <v>나) 노 무 비</v>
          </cell>
        </row>
        <row r="1416">
          <cell r="C1416" t="str">
            <v>내 선 전 공</v>
          </cell>
          <cell r="D1416" t="str">
            <v>인</v>
          </cell>
          <cell r="E1416">
            <v>7.6</v>
          </cell>
          <cell r="H1416">
            <v>53401</v>
          </cell>
          <cell r="I1416">
            <v>405847</v>
          </cell>
          <cell r="L1416">
            <v>405847</v>
          </cell>
        </row>
        <row r="1421">
          <cell r="B1421" t="str">
            <v>다) 공구손료</v>
          </cell>
        </row>
        <row r="1422">
          <cell r="C1422" t="str">
            <v>내 선 전 공</v>
          </cell>
          <cell r="D1422" t="str">
            <v>인</v>
          </cell>
          <cell r="E1422">
            <v>0.22</v>
          </cell>
          <cell r="J1422">
            <v>53401</v>
          </cell>
          <cell r="K1422">
            <v>11748</v>
          </cell>
          <cell r="L1422">
            <v>11748</v>
          </cell>
        </row>
        <row r="1425">
          <cell r="A1425" t="str">
            <v>30신_56</v>
          </cell>
          <cell r="B1425" t="str">
            <v>합    계</v>
          </cell>
          <cell r="G1425">
            <v>218088</v>
          </cell>
          <cell r="I1425">
            <v>440023</v>
          </cell>
          <cell r="K1425">
            <v>11748</v>
          </cell>
          <cell r="L1425">
            <v>669859</v>
          </cell>
        </row>
        <row r="1429">
          <cell r="A1429" t="str">
            <v>30신_57A</v>
          </cell>
          <cell r="B1429" t="str">
            <v>57. 통로유도등</v>
          </cell>
          <cell r="C1429" t="str">
            <v>소형</v>
          </cell>
          <cell r="D1429" t="str">
            <v>개</v>
          </cell>
          <cell r="E1429">
            <v>1</v>
          </cell>
          <cell r="L1429" t="str">
            <v>x</v>
          </cell>
          <cell r="M1429">
            <v>15</v>
          </cell>
        </row>
        <row r="1430">
          <cell r="B1430" t="str">
            <v>가) 재 료 비</v>
          </cell>
        </row>
        <row r="1431">
          <cell r="B1431" t="str">
            <v>통로 유도등</v>
          </cell>
          <cell r="C1431" t="str">
            <v>소형</v>
          </cell>
          <cell r="D1431" t="str">
            <v>개</v>
          </cell>
          <cell r="E1431">
            <v>1</v>
          </cell>
          <cell r="F1431">
            <v>35000</v>
          </cell>
          <cell r="G1431">
            <v>35000</v>
          </cell>
          <cell r="L1431">
            <v>35000</v>
          </cell>
        </row>
        <row r="1436">
          <cell r="B1436" t="str">
            <v>나) 노 무 비</v>
          </cell>
        </row>
        <row r="1437">
          <cell r="C1437" t="str">
            <v>내 선 전 공</v>
          </cell>
          <cell r="D1437" t="str">
            <v>인</v>
          </cell>
          <cell r="E1437">
            <v>0.2</v>
          </cell>
          <cell r="H1437">
            <v>53401</v>
          </cell>
          <cell r="I1437">
            <v>10680</v>
          </cell>
          <cell r="L1437">
            <v>10680</v>
          </cell>
        </row>
        <row r="1442">
          <cell r="B1442" t="str">
            <v>다) 공구손료</v>
          </cell>
        </row>
        <row r="1443">
          <cell r="C1443" t="str">
            <v>내 선 전 공</v>
          </cell>
          <cell r="D1443" t="str">
            <v>인</v>
          </cell>
          <cell r="E1443">
            <v>0</v>
          </cell>
          <cell r="K1443">
            <v>0</v>
          </cell>
          <cell r="L1443">
            <v>0</v>
          </cell>
        </row>
        <row r="1448">
          <cell r="A1448" t="str">
            <v>30신_57</v>
          </cell>
          <cell r="B1448" t="str">
            <v>합    계</v>
          </cell>
          <cell r="G1448">
            <v>35000</v>
          </cell>
          <cell r="I1448">
            <v>10680</v>
          </cell>
          <cell r="K1448">
            <v>0</v>
          </cell>
          <cell r="L1448">
            <v>45680</v>
          </cell>
        </row>
        <row r="1454">
          <cell r="A1454" t="str">
            <v>30신_58A</v>
          </cell>
          <cell r="B1454" t="str">
            <v>58. 피난구유도등</v>
          </cell>
          <cell r="C1454" t="str">
            <v>(소형)</v>
          </cell>
          <cell r="D1454" t="str">
            <v>개</v>
          </cell>
          <cell r="E1454">
            <v>1</v>
          </cell>
          <cell r="L1454" t="str">
            <v>x</v>
          </cell>
          <cell r="M1454">
            <v>39</v>
          </cell>
        </row>
        <row r="1455">
          <cell r="B1455" t="str">
            <v>가) 재 료 비</v>
          </cell>
        </row>
        <row r="1456">
          <cell r="B1456" t="str">
            <v>피난구 유도등</v>
          </cell>
          <cell r="C1456" t="str">
            <v>소형</v>
          </cell>
          <cell r="D1456" t="str">
            <v>개</v>
          </cell>
          <cell r="E1456">
            <v>1</v>
          </cell>
          <cell r="F1456">
            <v>30000</v>
          </cell>
          <cell r="G1456">
            <v>30000</v>
          </cell>
          <cell r="L1456">
            <v>30000</v>
          </cell>
        </row>
        <row r="1461">
          <cell r="B1461" t="str">
            <v>나) 노 무 비</v>
          </cell>
        </row>
        <row r="1462">
          <cell r="C1462" t="str">
            <v>내 선 전 공</v>
          </cell>
          <cell r="D1462" t="str">
            <v>인</v>
          </cell>
          <cell r="E1462">
            <v>0.2</v>
          </cell>
          <cell r="H1462">
            <v>53401</v>
          </cell>
          <cell r="I1462">
            <v>10680</v>
          </cell>
          <cell r="L1462">
            <v>10680</v>
          </cell>
        </row>
        <row r="1467">
          <cell r="B1467" t="str">
            <v>다) 공구손료</v>
          </cell>
        </row>
        <row r="1468">
          <cell r="C1468" t="str">
            <v>내 선 전 공</v>
          </cell>
          <cell r="D1468" t="str">
            <v>인</v>
          </cell>
          <cell r="E1468">
            <v>0</v>
          </cell>
          <cell r="K1468">
            <v>0</v>
          </cell>
          <cell r="L1468">
            <v>0</v>
          </cell>
        </row>
        <row r="1473">
          <cell r="A1473" t="str">
            <v>30신_58</v>
          </cell>
          <cell r="B1473" t="str">
            <v>합    계</v>
          </cell>
          <cell r="G1473">
            <v>30000</v>
          </cell>
          <cell r="I1473">
            <v>10680</v>
          </cell>
          <cell r="K1473">
            <v>0</v>
          </cell>
          <cell r="L1473">
            <v>40680</v>
          </cell>
        </row>
        <row r="1479">
          <cell r="A1479" t="str">
            <v>30신_59A</v>
          </cell>
          <cell r="B1479" t="str">
            <v>59. 피난구유도등</v>
          </cell>
          <cell r="C1479" t="str">
            <v>(중형)</v>
          </cell>
          <cell r="D1479" t="str">
            <v>개</v>
          </cell>
          <cell r="E1479">
            <v>1</v>
          </cell>
          <cell r="L1479" t="str">
            <v>x</v>
          </cell>
          <cell r="M1479">
            <v>2</v>
          </cell>
        </row>
        <row r="1480">
          <cell r="B1480" t="str">
            <v>가) 재 료 비</v>
          </cell>
        </row>
        <row r="1481">
          <cell r="B1481" t="str">
            <v>피난구 유도등</v>
          </cell>
          <cell r="C1481" t="str">
            <v>중형</v>
          </cell>
          <cell r="D1481" t="str">
            <v>개</v>
          </cell>
          <cell r="E1481">
            <v>1</v>
          </cell>
          <cell r="F1481">
            <v>45000</v>
          </cell>
          <cell r="G1481">
            <v>45000</v>
          </cell>
          <cell r="L1481">
            <v>45000</v>
          </cell>
        </row>
        <row r="1486">
          <cell r="B1486" t="str">
            <v>나) 노 무 비</v>
          </cell>
        </row>
        <row r="1487">
          <cell r="C1487" t="str">
            <v>내 선 전 공</v>
          </cell>
          <cell r="D1487" t="str">
            <v>인</v>
          </cell>
          <cell r="E1487">
            <v>0.2</v>
          </cell>
          <cell r="H1487">
            <v>53401</v>
          </cell>
          <cell r="I1487">
            <v>10680</v>
          </cell>
          <cell r="L1487">
            <v>10680</v>
          </cell>
        </row>
        <row r="1492">
          <cell r="B1492" t="str">
            <v>다) 공구손료</v>
          </cell>
        </row>
        <row r="1493">
          <cell r="C1493" t="str">
            <v>내 선 전 공</v>
          </cell>
          <cell r="D1493" t="str">
            <v>인</v>
          </cell>
          <cell r="E1493">
            <v>0</v>
          </cell>
          <cell r="K1493">
            <v>0</v>
          </cell>
          <cell r="L1493">
            <v>0</v>
          </cell>
        </row>
        <row r="1498">
          <cell r="A1498" t="str">
            <v>30신_59</v>
          </cell>
          <cell r="B1498" t="str">
            <v>합    계</v>
          </cell>
          <cell r="G1498">
            <v>45000</v>
          </cell>
          <cell r="I1498">
            <v>10680</v>
          </cell>
          <cell r="K1498">
            <v>0</v>
          </cell>
          <cell r="L1498">
            <v>55680</v>
          </cell>
        </row>
        <row r="1504">
          <cell r="A1504" t="str">
            <v>30신_60A</v>
          </cell>
          <cell r="B1504" t="str">
            <v>60. 케이블신설</v>
          </cell>
          <cell r="C1504" t="str">
            <v>CV  38㎟/1C 외 각종</v>
          </cell>
          <cell r="D1504" t="str">
            <v>m</v>
          </cell>
          <cell r="E1504">
            <v>4275</v>
          </cell>
          <cell r="L1504" t="str">
            <v>x</v>
          </cell>
          <cell r="M1504">
            <v>1</v>
          </cell>
        </row>
        <row r="1505">
          <cell r="B1505" t="str">
            <v>가) 재 료 비</v>
          </cell>
        </row>
        <row r="1506">
          <cell r="A1506" t="str">
            <v>케 이 블6.6KV CV 38㎟/1C</v>
          </cell>
          <cell r="B1506" t="str">
            <v>케 이 블</v>
          </cell>
          <cell r="C1506" t="str">
            <v>6.6KV CV 38㎟/1C</v>
          </cell>
          <cell r="D1506" t="str">
            <v>m</v>
          </cell>
          <cell r="E1506">
            <v>44</v>
          </cell>
          <cell r="F1506">
            <v>3227</v>
          </cell>
          <cell r="G1506">
            <v>141988</v>
          </cell>
          <cell r="L1506">
            <v>141988</v>
          </cell>
        </row>
        <row r="1507">
          <cell r="A1507" t="str">
            <v>케 이 블600V CV 5.5㎟/1C</v>
          </cell>
          <cell r="B1507" t="str">
            <v>케 이 블</v>
          </cell>
          <cell r="C1507" t="str">
            <v>600V CV 5.5㎟/1C</v>
          </cell>
          <cell r="D1507" t="str">
            <v>m</v>
          </cell>
          <cell r="E1507">
            <v>777</v>
          </cell>
          <cell r="F1507">
            <v>315</v>
          </cell>
          <cell r="G1507">
            <v>244755</v>
          </cell>
          <cell r="L1507">
            <v>244755</v>
          </cell>
        </row>
        <row r="1508">
          <cell r="A1508" t="str">
            <v>케 이 블600V CV 14㎟/1C</v>
          </cell>
          <cell r="B1508" t="str">
            <v>케 이 블</v>
          </cell>
          <cell r="C1508" t="str">
            <v>600V CV 14㎟/1C</v>
          </cell>
          <cell r="D1508" t="str">
            <v>m</v>
          </cell>
          <cell r="E1508">
            <v>659</v>
          </cell>
          <cell r="F1508">
            <v>642</v>
          </cell>
          <cell r="G1508">
            <v>423078</v>
          </cell>
          <cell r="L1508">
            <v>423078</v>
          </cell>
        </row>
        <row r="1509">
          <cell r="A1509" t="str">
            <v>케 이 블600V CV 22㎟/1C</v>
          </cell>
          <cell r="B1509" t="str">
            <v>케 이 블</v>
          </cell>
          <cell r="C1509" t="str">
            <v>600V CV 22㎟/1C</v>
          </cell>
          <cell r="D1509" t="str">
            <v>m</v>
          </cell>
          <cell r="E1509">
            <v>47</v>
          </cell>
          <cell r="F1509">
            <v>928</v>
          </cell>
          <cell r="G1509">
            <v>43616</v>
          </cell>
          <cell r="L1509">
            <v>43616</v>
          </cell>
        </row>
        <row r="1510">
          <cell r="A1510" t="str">
            <v>케 이 블600V CV 38㎟/1C</v>
          </cell>
          <cell r="B1510" t="str">
            <v>케 이 블</v>
          </cell>
          <cell r="C1510" t="str">
            <v>600V CV 38㎟/1C</v>
          </cell>
          <cell r="D1510" t="str">
            <v>m</v>
          </cell>
          <cell r="E1510">
            <v>2315</v>
          </cell>
          <cell r="F1510">
            <v>1451</v>
          </cell>
          <cell r="G1510">
            <v>3359065</v>
          </cell>
          <cell r="L1510">
            <v>3359065</v>
          </cell>
        </row>
        <row r="1511">
          <cell r="A1511" t="str">
            <v>케 이 블600V CV 60㎟/1C</v>
          </cell>
          <cell r="B1511" t="str">
            <v>케 이 블</v>
          </cell>
          <cell r="C1511" t="str">
            <v>600V CV 60㎟/1C</v>
          </cell>
          <cell r="D1511" t="str">
            <v>m</v>
          </cell>
          <cell r="E1511">
            <v>37</v>
          </cell>
          <cell r="F1511">
            <v>2272</v>
          </cell>
          <cell r="G1511">
            <v>84064</v>
          </cell>
          <cell r="L1511">
            <v>84064</v>
          </cell>
        </row>
        <row r="1512">
          <cell r="A1512" t="str">
            <v>케 이 블600V CV 150㎟/1C</v>
          </cell>
          <cell r="B1512" t="str">
            <v>케 이 블</v>
          </cell>
          <cell r="C1512" t="str">
            <v>600V CV 150㎟/1C</v>
          </cell>
          <cell r="D1512" t="str">
            <v>m</v>
          </cell>
          <cell r="E1512">
            <v>42</v>
          </cell>
          <cell r="F1512">
            <v>5426</v>
          </cell>
          <cell r="G1512">
            <v>227892</v>
          </cell>
          <cell r="L1512">
            <v>227892</v>
          </cell>
        </row>
        <row r="1513">
          <cell r="A1513" t="str">
            <v>케 이 블600V CV 200㎟/1C</v>
          </cell>
          <cell r="B1513" t="str">
            <v>케 이 블</v>
          </cell>
          <cell r="C1513" t="str">
            <v>600V CV 200㎟/1C</v>
          </cell>
          <cell r="D1513" t="str">
            <v>m</v>
          </cell>
          <cell r="E1513">
            <v>18</v>
          </cell>
          <cell r="F1513">
            <v>7513</v>
          </cell>
          <cell r="G1513">
            <v>135234</v>
          </cell>
          <cell r="L1513">
            <v>135234</v>
          </cell>
        </row>
        <row r="1514">
          <cell r="A1514" t="str">
            <v>케 이 블600V CV 250㎟/1C</v>
          </cell>
          <cell r="B1514" t="str">
            <v>케 이 블</v>
          </cell>
          <cell r="C1514" t="str">
            <v>600V CV 250㎟/1C</v>
          </cell>
          <cell r="D1514" t="str">
            <v>m</v>
          </cell>
          <cell r="E1514">
            <v>63</v>
          </cell>
          <cell r="F1514">
            <v>9147</v>
          </cell>
          <cell r="G1514">
            <v>576261</v>
          </cell>
          <cell r="L1514">
            <v>576261</v>
          </cell>
        </row>
        <row r="1515">
          <cell r="A1515" t="str">
            <v>케 이 블FR-8  38㎟/1C</v>
          </cell>
          <cell r="B1515" t="str">
            <v>케 이 블</v>
          </cell>
          <cell r="C1515" t="str">
            <v>FR-8  38㎟/1C</v>
          </cell>
          <cell r="D1515" t="str">
            <v>m</v>
          </cell>
          <cell r="E1515">
            <v>273</v>
          </cell>
          <cell r="F1515">
            <v>2251</v>
          </cell>
          <cell r="G1515">
            <v>614523</v>
          </cell>
          <cell r="L1515">
            <v>614523</v>
          </cell>
        </row>
        <row r="1516">
          <cell r="A1516" t="str">
            <v>압착단자14 ㎟</v>
          </cell>
          <cell r="B1516" t="str">
            <v>압착단자</v>
          </cell>
          <cell r="C1516" t="str">
            <v>14 ㎟</v>
          </cell>
          <cell r="D1516" t="str">
            <v>개</v>
          </cell>
          <cell r="E1516">
            <v>61</v>
          </cell>
          <cell r="F1516">
            <v>160</v>
          </cell>
          <cell r="G1516">
            <v>9760</v>
          </cell>
          <cell r="L1516">
            <v>9760</v>
          </cell>
        </row>
        <row r="1517">
          <cell r="A1517" t="str">
            <v>압착단자22 ㎟</v>
          </cell>
          <cell r="B1517" t="str">
            <v>압착단자</v>
          </cell>
          <cell r="C1517" t="str">
            <v>22 ㎟</v>
          </cell>
          <cell r="D1517" t="str">
            <v>개</v>
          </cell>
          <cell r="E1517">
            <v>18</v>
          </cell>
          <cell r="F1517">
            <v>230</v>
          </cell>
          <cell r="G1517">
            <v>4140</v>
          </cell>
          <cell r="L1517">
            <v>4140</v>
          </cell>
        </row>
        <row r="1518">
          <cell r="A1518" t="str">
            <v>압착단자38 ㎟</v>
          </cell>
          <cell r="B1518" t="str">
            <v>압착단자</v>
          </cell>
          <cell r="C1518" t="str">
            <v>38 ㎟</v>
          </cell>
          <cell r="D1518" t="str">
            <v>개</v>
          </cell>
          <cell r="E1518">
            <v>50</v>
          </cell>
          <cell r="F1518">
            <v>281</v>
          </cell>
          <cell r="G1518">
            <v>14050</v>
          </cell>
          <cell r="L1518">
            <v>14050</v>
          </cell>
        </row>
        <row r="1519">
          <cell r="A1519" t="str">
            <v>압착단자60 ㎟</v>
          </cell>
          <cell r="B1519" t="str">
            <v>압착단자</v>
          </cell>
          <cell r="C1519" t="str">
            <v>60 ㎟</v>
          </cell>
          <cell r="D1519" t="str">
            <v>개</v>
          </cell>
          <cell r="E1519">
            <v>9</v>
          </cell>
          <cell r="F1519">
            <v>486</v>
          </cell>
          <cell r="G1519">
            <v>4374</v>
          </cell>
          <cell r="L1519">
            <v>4374</v>
          </cell>
        </row>
        <row r="1520">
          <cell r="B1520" t="str">
            <v>동관단자</v>
          </cell>
          <cell r="C1520" t="str">
            <v>60 ㎟</v>
          </cell>
          <cell r="D1520" t="str">
            <v>개</v>
          </cell>
          <cell r="E1520">
            <v>8</v>
          </cell>
          <cell r="F1520">
            <v>1050</v>
          </cell>
          <cell r="G1520">
            <v>8400</v>
          </cell>
          <cell r="L1520">
            <v>8400</v>
          </cell>
        </row>
        <row r="1521">
          <cell r="B1521" t="str">
            <v>동관단자</v>
          </cell>
          <cell r="C1521" t="str">
            <v>200 ㎟</v>
          </cell>
          <cell r="D1521" t="str">
            <v>개</v>
          </cell>
          <cell r="E1521">
            <v>6</v>
          </cell>
          <cell r="F1521">
            <v>4090</v>
          </cell>
          <cell r="G1521">
            <v>24540</v>
          </cell>
          <cell r="L1521">
            <v>24540</v>
          </cell>
        </row>
        <row r="1522">
          <cell r="B1522" t="str">
            <v>동관단자</v>
          </cell>
          <cell r="C1522" t="str">
            <v>250 ㎟</v>
          </cell>
          <cell r="D1522" t="str">
            <v>개</v>
          </cell>
          <cell r="E1522">
            <v>14</v>
          </cell>
          <cell r="F1522">
            <v>4680</v>
          </cell>
          <cell r="G1522">
            <v>65520</v>
          </cell>
          <cell r="L1522">
            <v>65520</v>
          </cell>
        </row>
        <row r="1523">
          <cell r="B1523" t="str">
            <v>케이블헤드</v>
          </cell>
          <cell r="C1523" t="str">
            <v>6.6KV 14 ㎟/1C(3상분)</v>
          </cell>
          <cell r="D1523" t="str">
            <v>개</v>
          </cell>
          <cell r="E1523">
            <v>2</v>
          </cell>
          <cell r="F1523">
            <v>72100</v>
          </cell>
          <cell r="G1523">
            <v>144200</v>
          </cell>
          <cell r="L1523">
            <v>144200</v>
          </cell>
        </row>
        <row r="1524">
          <cell r="B1524" t="str">
            <v>케이블헤드</v>
          </cell>
          <cell r="C1524" t="str">
            <v>6.6KV 38 ㎟/1C(3상분)</v>
          </cell>
          <cell r="D1524" t="str">
            <v>개</v>
          </cell>
          <cell r="E1524">
            <v>9</v>
          </cell>
          <cell r="F1524">
            <v>85800</v>
          </cell>
          <cell r="G1524">
            <v>772200</v>
          </cell>
          <cell r="L1524">
            <v>772200</v>
          </cell>
        </row>
        <row r="1525">
          <cell r="B1525" t="str">
            <v>케이블헤드</v>
          </cell>
          <cell r="C1525" t="str">
            <v>6.6KV 60 ㎟/1C(3상분)</v>
          </cell>
          <cell r="D1525" t="str">
            <v>개</v>
          </cell>
          <cell r="E1525">
            <v>2</v>
          </cell>
          <cell r="F1525">
            <v>93700</v>
          </cell>
          <cell r="G1525">
            <v>187400</v>
          </cell>
          <cell r="L1525">
            <v>187400</v>
          </cell>
        </row>
        <row r="1529">
          <cell r="B1529" t="str">
            <v>나) 노 무 비</v>
          </cell>
        </row>
        <row r="1530">
          <cell r="C1530" t="str">
            <v>고압케이블전공</v>
          </cell>
          <cell r="D1530" t="str">
            <v>인</v>
          </cell>
          <cell r="E1530">
            <v>8.9</v>
          </cell>
          <cell r="H1530">
            <v>80902</v>
          </cell>
          <cell r="I1530">
            <v>720027</v>
          </cell>
          <cell r="L1530">
            <v>720027</v>
          </cell>
        </row>
        <row r="1531">
          <cell r="C1531" t="str">
            <v>저압케이블전공</v>
          </cell>
          <cell r="D1531" t="str">
            <v>인</v>
          </cell>
          <cell r="E1531">
            <v>153.84</v>
          </cell>
          <cell r="H1531">
            <v>67695</v>
          </cell>
          <cell r="I1531">
            <v>10414198</v>
          </cell>
          <cell r="L1531">
            <v>10414198</v>
          </cell>
        </row>
        <row r="1534">
          <cell r="B1534" t="str">
            <v>다) 공구손료</v>
          </cell>
        </row>
        <row r="1535">
          <cell r="C1535" t="str">
            <v>고압케이블전공</v>
          </cell>
          <cell r="D1535" t="str">
            <v>인</v>
          </cell>
          <cell r="E1535">
            <v>0.26</v>
          </cell>
          <cell r="J1535">
            <v>80902</v>
          </cell>
          <cell r="K1535">
            <v>21034</v>
          </cell>
          <cell r="L1535">
            <v>21034</v>
          </cell>
        </row>
        <row r="1536">
          <cell r="C1536" t="str">
            <v>저압케이블전공</v>
          </cell>
          <cell r="D1536" t="str">
            <v>인</v>
          </cell>
          <cell r="E1536">
            <v>4.6100000000000003</v>
          </cell>
          <cell r="J1536">
            <v>67695</v>
          </cell>
          <cell r="K1536">
            <v>312073</v>
          </cell>
          <cell r="L1536">
            <v>312073</v>
          </cell>
        </row>
        <row r="1545">
          <cell r="A1545" t="str">
            <v>30신_60</v>
          </cell>
          <cell r="B1545" t="str">
            <v>합    계</v>
          </cell>
          <cell r="G1545">
            <v>7085060</v>
          </cell>
          <cell r="I1545">
            <v>11134225</v>
          </cell>
          <cell r="K1545">
            <v>333107</v>
          </cell>
          <cell r="L1545">
            <v>18552392</v>
          </cell>
        </row>
        <row r="1554">
          <cell r="A1554" t="str">
            <v>30신_61A</v>
          </cell>
          <cell r="B1554" t="str">
            <v>61. 옥내배관배선신설</v>
          </cell>
          <cell r="C1554" t="str">
            <v>각  종</v>
          </cell>
          <cell r="D1554" t="str">
            <v>식</v>
          </cell>
          <cell r="E1554">
            <v>1</v>
          </cell>
          <cell r="L1554" t="str">
            <v>x</v>
          </cell>
          <cell r="M1554">
            <v>1</v>
          </cell>
        </row>
        <row r="1555">
          <cell r="B1555" t="str">
            <v>가) 재 료 비</v>
          </cell>
        </row>
        <row r="1556">
          <cell r="A1556" t="str">
            <v>강제전선관ST 28C</v>
          </cell>
          <cell r="B1556" t="str">
            <v>강제전선관</v>
          </cell>
          <cell r="C1556" t="str">
            <v>ST 28C</v>
          </cell>
          <cell r="D1556" t="str">
            <v>m</v>
          </cell>
          <cell r="E1556">
            <v>6</v>
          </cell>
          <cell r="F1556">
            <v>1602</v>
          </cell>
          <cell r="G1556">
            <v>9612</v>
          </cell>
          <cell r="L1556">
            <v>9612</v>
          </cell>
        </row>
        <row r="1557">
          <cell r="A1557" t="str">
            <v>강제전선관ST 54C</v>
          </cell>
          <cell r="B1557" t="str">
            <v>강제전선관</v>
          </cell>
          <cell r="C1557" t="str">
            <v>ST 54C</v>
          </cell>
          <cell r="D1557" t="str">
            <v>m</v>
          </cell>
          <cell r="E1557">
            <v>36</v>
          </cell>
          <cell r="F1557">
            <v>3178</v>
          </cell>
          <cell r="G1557">
            <v>114408</v>
          </cell>
          <cell r="L1557">
            <v>114408</v>
          </cell>
        </row>
        <row r="1558">
          <cell r="A1558" t="str">
            <v>경질비닐전선관HI-PVC 16C</v>
          </cell>
          <cell r="B1558" t="str">
            <v>경질비닐전선관</v>
          </cell>
          <cell r="C1558" t="str">
            <v>HI-PVC 16C</v>
          </cell>
          <cell r="D1558" t="str">
            <v>m</v>
          </cell>
          <cell r="E1558">
            <v>4800</v>
          </cell>
          <cell r="F1558">
            <v>265</v>
          </cell>
          <cell r="G1558">
            <v>1272000</v>
          </cell>
          <cell r="L1558">
            <v>1272000</v>
          </cell>
        </row>
        <row r="1559">
          <cell r="A1559" t="str">
            <v>경질비닐전선관HI-PVC 22C</v>
          </cell>
          <cell r="B1559" t="str">
            <v>경질비닐전선관</v>
          </cell>
          <cell r="C1559" t="str">
            <v>HI-PVC 22C</v>
          </cell>
          <cell r="D1559" t="str">
            <v>m</v>
          </cell>
          <cell r="E1559">
            <v>431</v>
          </cell>
          <cell r="F1559">
            <v>315</v>
          </cell>
          <cell r="G1559">
            <v>135765</v>
          </cell>
          <cell r="L1559">
            <v>135765</v>
          </cell>
        </row>
        <row r="1560">
          <cell r="A1560" t="str">
            <v>경질비닐전선관HI-PVC 28C</v>
          </cell>
          <cell r="B1560" t="str">
            <v>경질비닐전선관</v>
          </cell>
          <cell r="C1560" t="str">
            <v>HI-PVC 28C</v>
          </cell>
          <cell r="D1560" t="str">
            <v>m</v>
          </cell>
          <cell r="E1560">
            <v>133</v>
          </cell>
          <cell r="F1560">
            <v>610</v>
          </cell>
          <cell r="G1560">
            <v>81130</v>
          </cell>
          <cell r="L1560">
            <v>81130</v>
          </cell>
        </row>
        <row r="1561">
          <cell r="A1561" t="str">
            <v>경질비닐전선관HI-PVC 36C</v>
          </cell>
          <cell r="B1561" t="str">
            <v>경질비닐전선관</v>
          </cell>
          <cell r="C1561" t="str">
            <v>HI-PVC 36C</v>
          </cell>
          <cell r="D1561" t="str">
            <v>m</v>
          </cell>
          <cell r="E1561">
            <v>204</v>
          </cell>
          <cell r="F1561">
            <v>908</v>
          </cell>
          <cell r="G1561">
            <v>185232</v>
          </cell>
          <cell r="L1561">
            <v>185232</v>
          </cell>
        </row>
        <row r="1562">
          <cell r="A1562" t="str">
            <v>경질비닐전선관HI-PVC 42C</v>
          </cell>
          <cell r="B1562" t="str">
            <v>경질비닐전선관</v>
          </cell>
          <cell r="C1562" t="str">
            <v>HI-PVC 42C</v>
          </cell>
          <cell r="D1562" t="str">
            <v>m</v>
          </cell>
          <cell r="E1562">
            <v>16</v>
          </cell>
          <cell r="F1562">
            <v>1120</v>
          </cell>
          <cell r="G1562">
            <v>17920</v>
          </cell>
          <cell r="L1562">
            <v>17920</v>
          </cell>
        </row>
        <row r="1564">
          <cell r="B1564" t="str">
            <v>전선관부속품비</v>
          </cell>
          <cell r="C1564" t="str">
            <v>전선관(15%)</v>
          </cell>
          <cell r="D1564" t="str">
            <v>식</v>
          </cell>
          <cell r="E1564">
            <v>1</v>
          </cell>
          <cell r="F1564">
            <v>272410.05</v>
          </cell>
          <cell r="G1564">
            <v>272410.05</v>
          </cell>
          <cell r="L1564">
            <v>272410.05</v>
          </cell>
        </row>
        <row r="1565">
          <cell r="A1565" t="str">
            <v>전     선IV  1.6mm</v>
          </cell>
          <cell r="B1565" t="str">
            <v>전     선</v>
          </cell>
          <cell r="C1565" t="str">
            <v>IV  1.6mm</v>
          </cell>
          <cell r="D1565" t="str">
            <v>m</v>
          </cell>
          <cell r="E1565">
            <v>4373</v>
          </cell>
          <cell r="F1565">
            <v>75</v>
          </cell>
          <cell r="G1565">
            <v>327975</v>
          </cell>
          <cell r="L1565">
            <v>327975</v>
          </cell>
        </row>
        <row r="1566">
          <cell r="A1566" t="str">
            <v>전     선IV  2.0mm</v>
          </cell>
          <cell r="B1566" t="str">
            <v>전     선</v>
          </cell>
          <cell r="C1566" t="str">
            <v>IV  2.0mm</v>
          </cell>
          <cell r="D1566" t="str">
            <v>m</v>
          </cell>
          <cell r="E1566">
            <v>10181</v>
          </cell>
          <cell r="F1566">
            <v>109</v>
          </cell>
          <cell r="G1566">
            <v>1109729</v>
          </cell>
          <cell r="L1566">
            <v>1109729</v>
          </cell>
        </row>
        <row r="1567">
          <cell r="A1567" t="str">
            <v>전     선IV  3.5㎟</v>
          </cell>
          <cell r="B1567" t="str">
            <v>전     선</v>
          </cell>
          <cell r="C1567" t="str">
            <v>IV  3.5㎟</v>
          </cell>
          <cell r="D1567" t="str">
            <v>m</v>
          </cell>
          <cell r="E1567">
            <v>203</v>
          </cell>
          <cell r="F1567">
            <v>140</v>
          </cell>
          <cell r="G1567">
            <v>28420</v>
          </cell>
          <cell r="L1567">
            <v>28420</v>
          </cell>
        </row>
        <row r="1568">
          <cell r="A1568" t="str">
            <v>전     선IV  5.5㎟</v>
          </cell>
          <cell r="B1568" t="str">
            <v>전     선</v>
          </cell>
          <cell r="C1568" t="str">
            <v>IV  5.5㎟</v>
          </cell>
          <cell r="D1568" t="str">
            <v>m</v>
          </cell>
          <cell r="E1568">
            <v>650</v>
          </cell>
          <cell r="F1568">
            <v>210</v>
          </cell>
          <cell r="G1568">
            <v>136500</v>
          </cell>
          <cell r="L1568">
            <v>136500</v>
          </cell>
        </row>
        <row r="1569">
          <cell r="A1569" t="str">
            <v>전     선IV  8㎟</v>
          </cell>
          <cell r="B1569" t="str">
            <v>전     선</v>
          </cell>
          <cell r="C1569" t="str">
            <v>IV  8㎟</v>
          </cell>
          <cell r="D1569" t="str">
            <v>m</v>
          </cell>
          <cell r="E1569">
            <v>567</v>
          </cell>
          <cell r="F1569">
            <v>305</v>
          </cell>
          <cell r="G1569">
            <v>172935</v>
          </cell>
          <cell r="L1569">
            <v>172935</v>
          </cell>
        </row>
        <row r="1570">
          <cell r="A1570" t="str">
            <v>전     선IV  14㎟</v>
          </cell>
          <cell r="B1570" t="str">
            <v>전     선</v>
          </cell>
          <cell r="C1570" t="str">
            <v>IV  14㎟</v>
          </cell>
          <cell r="D1570" t="str">
            <v>m</v>
          </cell>
          <cell r="E1570">
            <v>434</v>
          </cell>
          <cell r="F1570">
            <v>556</v>
          </cell>
          <cell r="G1570">
            <v>241304</v>
          </cell>
          <cell r="L1570">
            <v>241304</v>
          </cell>
        </row>
        <row r="1571">
          <cell r="A1571" t="str">
            <v>전     선GV  14㎟</v>
          </cell>
          <cell r="B1571" t="str">
            <v>전     선</v>
          </cell>
          <cell r="C1571" t="str">
            <v>GV  14㎟</v>
          </cell>
          <cell r="D1571" t="str">
            <v>m</v>
          </cell>
          <cell r="E1571">
            <v>55</v>
          </cell>
          <cell r="F1571">
            <v>691</v>
          </cell>
          <cell r="G1571">
            <v>38005</v>
          </cell>
          <cell r="L1571">
            <v>38005</v>
          </cell>
        </row>
        <row r="1572">
          <cell r="A1572" t="str">
            <v>전     선GV  60㎟</v>
          </cell>
          <cell r="B1572" t="str">
            <v>전     선</v>
          </cell>
          <cell r="C1572" t="str">
            <v>GV  60㎟</v>
          </cell>
          <cell r="D1572" t="str">
            <v>m</v>
          </cell>
          <cell r="E1572">
            <v>247</v>
          </cell>
          <cell r="F1572">
            <v>2357</v>
          </cell>
          <cell r="G1572">
            <v>582179</v>
          </cell>
          <cell r="L1572">
            <v>582179</v>
          </cell>
        </row>
        <row r="1573">
          <cell r="A1573" t="str">
            <v>전     선HIV  2.0mm</v>
          </cell>
          <cell r="B1573" t="str">
            <v>전     선</v>
          </cell>
          <cell r="C1573" t="str">
            <v>HIV  2.0mm</v>
          </cell>
          <cell r="D1573" t="str">
            <v>m</v>
          </cell>
          <cell r="E1573">
            <v>1506</v>
          </cell>
          <cell r="F1573">
            <v>113</v>
          </cell>
          <cell r="G1573">
            <v>170178</v>
          </cell>
          <cell r="L1573">
            <v>170178</v>
          </cell>
        </row>
        <row r="1574">
          <cell r="A1574" t="str">
            <v>나 동 선2.0㎟</v>
          </cell>
          <cell r="B1574" t="str">
            <v>나 동 선</v>
          </cell>
          <cell r="C1574" t="str">
            <v>2.0㎟</v>
          </cell>
          <cell r="D1574" t="str">
            <v>m</v>
          </cell>
          <cell r="E1574">
            <v>18</v>
          </cell>
          <cell r="F1574">
            <v>67</v>
          </cell>
          <cell r="G1574">
            <v>1206</v>
          </cell>
          <cell r="L1574">
            <v>1206</v>
          </cell>
        </row>
        <row r="1575">
          <cell r="A1575" t="str">
            <v>크램프 (일반)ST  28C</v>
          </cell>
          <cell r="B1575" t="str">
            <v>크램프 (일반)</v>
          </cell>
          <cell r="C1575" t="str">
            <v>ST  28C</v>
          </cell>
          <cell r="D1575" t="str">
            <v>개</v>
          </cell>
          <cell r="E1575">
            <v>5</v>
          </cell>
          <cell r="F1575">
            <v>100</v>
          </cell>
          <cell r="G1575">
            <v>500</v>
          </cell>
          <cell r="L1575">
            <v>500</v>
          </cell>
        </row>
        <row r="1576">
          <cell r="A1576" t="str">
            <v>크램프 (일반)ST  36C</v>
          </cell>
          <cell r="B1576" t="str">
            <v>크램프 (일반)</v>
          </cell>
          <cell r="C1576" t="str">
            <v>ST  36C</v>
          </cell>
          <cell r="D1576" t="str">
            <v>개</v>
          </cell>
          <cell r="E1576">
            <v>4</v>
          </cell>
          <cell r="F1576">
            <v>118</v>
          </cell>
          <cell r="G1576">
            <v>472</v>
          </cell>
          <cell r="L1576">
            <v>472</v>
          </cell>
        </row>
        <row r="1577">
          <cell r="A1577" t="str">
            <v>크램프 (일반)ST  54C</v>
          </cell>
          <cell r="B1577" t="str">
            <v>크램프 (일반)</v>
          </cell>
          <cell r="C1577" t="str">
            <v>ST  54C</v>
          </cell>
          <cell r="D1577" t="str">
            <v>개</v>
          </cell>
          <cell r="E1577">
            <v>16</v>
          </cell>
          <cell r="F1577">
            <v>160</v>
          </cell>
          <cell r="G1577">
            <v>2560</v>
          </cell>
          <cell r="L1577">
            <v>2560</v>
          </cell>
        </row>
        <row r="1578">
          <cell r="A1578" t="str">
            <v>노말 밴드ST  28C</v>
          </cell>
          <cell r="B1578" t="str">
            <v>노말 밴드</v>
          </cell>
          <cell r="C1578" t="str">
            <v>ST  28C</v>
          </cell>
          <cell r="D1578" t="str">
            <v>개</v>
          </cell>
          <cell r="E1578">
            <v>1</v>
          </cell>
          <cell r="F1578">
            <v>1550</v>
          </cell>
          <cell r="G1578">
            <v>1550</v>
          </cell>
          <cell r="L1578">
            <v>1550</v>
          </cell>
        </row>
        <row r="1579">
          <cell r="A1579" t="str">
            <v>노말 밴드ST  36C</v>
          </cell>
          <cell r="B1579" t="str">
            <v>노말 밴드</v>
          </cell>
          <cell r="C1579" t="str">
            <v>ST  36C</v>
          </cell>
          <cell r="D1579" t="str">
            <v>개</v>
          </cell>
          <cell r="E1579">
            <v>2</v>
          </cell>
          <cell r="F1579">
            <v>2070</v>
          </cell>
          <cell r="G1579">
            <v>4140</v>
          </cell>
          <cell r="L1579">
            <v>4140</v>
          </cell>
        </row>
        <row r="1580">
          <cell r="A1580" t="str">
            <v>노말 밴드PVC 28C</v>
          </cell>
          <cell r="B1580" t="str">
            <v>노말 밴드</v>
          </cell>
          <cell r="C1580" t="str">
            <v>PVC 28C</v>
          </cell>
          <cell r="D1580" t="str">
            <v>개</v>
          </cell>
          <cell r="E1580">
            <v>3</v>
          </cell>
          <cell r="F1580">
            <v>960</v>
          </cell>
          <cell r="G1580">
            <v>2880</v>
          </cell>
          <cell r="L1580">
            <v>2880</v>
          </cell>
        </row>
        <row r="1581">
          <cell r="B1581" t="str">
            <v>접지크램프</v>
          </cell>
          <cell r="C1581" t="str">
            <v>60㎟ (T형)</v>
          </cell>
          <cell r="D1581" t="str">
            <v>개</v>
          </cell>
          <cell r="E1581">
            <v>5</v>
          </cell>
          <cell r="F1581">
            <v>1500</v>
          </cell>
          <cell r="G1581">
            <v>7500</v>
          </cell>
          <cell r="L1581">
            <v>7500</v>
          </cell>
        </row>
        <row r="1582">
          <cell r="B1582" t="str">
            <v>접지크램프</v>
          </cell>
          <cell r="C1582" t="str">
            <v>60㎟ (+형)</v>
          </cell>
          <cell r="D1582" t="str">
            <v>개</v>
          </cell>
          <cell r="E1582">
            <v>2</v>
          </cell>
          <cell r="F1582">
            <v>1500</v>
          </cell>
          <cell r="G1582">
            <v>3000</v>
          </cell>
          <cell r="L1582">
            <v>3000</v>
          </cell>
        </row>
        <row r="1583">
          <cell r="B1583" t="str">
            <v>본딩접지크램프</v>
          </cell>
          <cell r="C1583" t="str">
            <v>28C</v>
          </cell>
          <cell r="D1583" t="str">
            <v>개</v>
          </cell>
          <cell r="E1583">
            <v>6</v>
          </cell>
          <cell r="F1583">
            <v>290</v>
          </cell>
          <cell r="G1583">
            <v>1740</v>
          </cell>
          <cell r="L1583">
            <v>1740</v>
          </cell>
        </row>
        <row r="1584">
          <cell r="B1584" t="str">
            <v>본딩접지크램프</v>
          </cell>
          <cell r="C1584" t="str">
            <v>36C</v>
          </cell>
          <cell r="D1584" t="str">
            <v>개</v>
          </cell>
          <cell r="E1584">
            <v>4</v>
          </cell>
          <cell r="F1584">
            <v>330</v>
          </cell>
          <cell r="G1584">
            <v>1320</v>
          </cell>
          <cell r="L1584">
            <v>1320</v>
          </cell>
        </row>
        <row r="1585">
          <cell r="B1585" t="str">
            <v>본딩접지크램프</v>
          </cell>
          <cell r="C1585" t="str">
            <v>54C</v>
          </cell>
          <cell r="D1585" t="str">
            <v>개</v>
          </cell>
          <cell r="E1585">
            <v>19</v>
          </cell>
          <cell r="F1585">
            <v>650</v>
          </cell>
          <cell r="G1585">
            <v>12350</v>
          </cell>
          <cell r="L1585">
            <v>12350</v>
          </cell>
        </row>
        <row r="1586">
          <cell r="B1586" t="str">
            <v>OUTLET BOX</v>
          </cell>
          <cell r="C1586" t="str">
            <v>SW</v>
          </cell>
          <cell r="D1586" t="str">
            <v>개</v>
          </cell>
          <cell r="E1586">
            <v>281</v>
          </cell>
          <cell r="F1586">
            <v>654</v>
          </cell>
          <cell r="G1586">
            <v>183774</v>
          </cell>
          <cell r="L1586">
            <v>183774</v>
          </cell>
        </row>
        <row r="1587">
          <cell r="B1587" t="str">
            <v>OUTLET BOX</v>
          </cell>
          <cell r="C1587" t="str">
            <v>4각 54mm</v>
          </cell>
          <cell r="D1587" t="str">
            <v>개</v>
          </cell>
          <cell r="E1587">
            <v>251</v>
          </cell>
          <cell r="F1587">
            <v>832</v>
          </cell>
          <cell r="G1587">
            <v>208832</v>
          </cell>
          <cell r="L1587">
            <v>208832</v>
          </cell>
        </row>
        <row r="1588">
          <cell r="B1588" t="str">
            <v>OUTLET BOX</v>
          </cell>
          <cell r="C1588" t="str">
            <v>8각 54mm</v>
          </cell>
          <cell r="D1588" t="str">
            <v>개</v>
          </cell>
          <cell r="E1588">
            <v>576</v>
          </cell>
          <cell r="F1588">
            <v>460</v>
          </cell>
          <cell r="G1588">
            <v>264960</v>
          </cell>
          <cell r="L1588">
            <v>264960</v>
          </cell>
        </row>
        <row r="1589">
          <cell r="B1589" t="str">
            <v>박스커버</v>
          </cell>
          <cell r="C1589" t="str">
            <v>4각</v>
          </cell>
          <cell r="D1589" t="str">
            <v>개</v>
          </cell>
          <cell r="E1589">
            <v>248</v>
          </cell>
          <cell r="F1589">
            <v>150</v>
          </cell>
          <cell r="G1589">
            <v>37200</v>
          </cell>
          <cell r="L1589">
            <v>37200</v>
          </cell>
        </row>
        <row r="1590">
          <cell r="B1590" t="str">
            <v>박스커버</v>
          </cell>
          <cell r="C1590" t="str">
            <v>8각</v>
          </cell>
          <cell r="D1590" t="str">
            <v>개</v>
          </cell>
          <cell r="E1590">
            <v>371</v>
          </cell>
          <cell r="F1590">
            <v>190</v>
          </cell>
          <cell r="G1590">
            <v>70490</v>
          </cell>
          <cell r="L1590">
            <v>70490</v>
          </cell>
        </row>
        <row r="1591">
          <cell r="B1591" t="str">
            <v>노출박스</v>
          </cell>
          <cell r="C1591" t="str">
            <v>200x200x150</v>
          </cell>
          <cell r="D1591" t="str">
            <v>개</v>
          </cell>
          <cell r="E1591">
            <v>12</v>
          </cell>
          <cell r="F1591">
            <v>4460</v>
          </cell>
          <cell r="G1591">
            <v>53520</v>
          </cell>
          <cell r="L1591">
            <v>53520</v>
          </cell>
        </row>
        <row r="1594">
          <cell r="B1594" t="str">
            <v>나) 노 무 비</v>
          </cell>
        </row>
        <row r="1595">
          <cell r="C1595" t="str">
            <v>내 선 전 공</v>
          </cell>
          <cell r="D1595" t="str">
            <v>인</v>
          </cell>
          <cell r="E1595">
            <v>788.88</v>
          </cell>
          <cell r="H1595">
            <v>53401</v>
          </cell>
          <cell r="I1595">
            <v>42126980</v>
          </cell>
          <cell r="L1595">
            <v>42126980</v>
          </cell>
        </row>
        <row r="1597">
          <cell r="B1597" t="str">
            <v>다) 공구손료</v>
          </cell>
        </row>
        <row r="1598">
          <cell r="C1598" t="str">
            <v>내 선 전 공</v>
          </cell>
          <cell r="D1598" t="str">
            <v>인</v>
          </cell>
          <cell r="E1598">
            <v>23.66</v>
          </cell>
          <cell r="J1598">
            <v>53401</v>
          </cell>
          <cell r="K1598">
            <v>1263467</v>
          </cell>
          <cell r="L1598">
            <v>1263467</v>
          </cell>
        </row>
        <row r="1601">
          <cell r="A1601" t="str">
            <v>30신_61</v>
          </cell>
          <cell r="B1601" t="str">
            <v>합    계</v>
          </cell>
          <cell r="G1601">
            <v>5753696.0499999998</v>
          </cell>
          <cell r="I1601">
            <v>42126980</v>
          </cell>
          <cell r="K1601">
            <v>1263467</v>
          </cell>
          <cell r="L1601">
            <v>49144143.049999997</v>
          </cell>
        </row>
      </sheetData>
      <sheetData sheetId="2"/>
      <sheetData sheetId="3"/>
      <sheetData sheetId="4" refreshError="1">
        <row r="4">
          <cell r="A4" t="str">
            <v>강제전선관ST 28C</v>
          </cell>
          <cell r="B4" t="str">
            <v>강제전선관</v>
          </cell>
          <cell r="C4" t="str">
            <v>ST 28C</v>
          </cell>
          <cell r="D4" t="str">
            <v>m</v>
          </cell>
          <cell r="E4" t="str">
            <v/>
          </cell>
          <cell r="F4">
            <v>6</v>
          </cell>
          <cell r="G4" t="str">
            <v/>
          </cell>
          <cell r="H4" t="str">
            <v/>
          </cell>
          <cell r="I4" t="str">
            <v/>
          </cell>
          <cell r="J4">
            <v>6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6</v>
          </cell>
          <cell r="O4" t="str">
            <v>전기1-6</v>
          </cell>
        </row>
        <row r="5">
          <cell r="A5" t="str">
            <v>강제전선관ST 54C</v>
          </cell>
          <cell r="B5" t="str">
            <v>강제전선관</v>
          </cell>
          <cell r="C5" t="str">
            <v>ST 54C</v>
          </cell>
          <cell r="D5" t="str">
            <v>m</v>
          </cell>
          <cell r="E5" t="str">
            <v/>
          </cell>
          <cell r="F5">
            <v>33</v>
          </cell>
          <cell r="G5" t="str">
            <v/>
          </cell>
          <cell r="H5" t="str">
            <v/>
          </cell>
          <cell r="I5" t="str">
            <v/>
          </cell>
          <cell r="J5">
            <v>33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36.300000000000004</v>
          </cell>
          <cell r="O5" t="str">
            <v>전기1-6</v>
          </cell>
        </row>
        <row r="6">
          <cell r="A6" t="str">
            <v>경질비닐전선관HI-PVC 16C</v>
          </cell>
          <cell r="B6" t="str">
            <v>경질비닐전선관</v>
          </cell>
          <cell r="C6" t="str">
            <v>HI-PVC 16C</v>
          </cell>
          <cell r="D6" t="str">
            <v>m</v>
          </cell>
          <cell r="E6" t="str">
            <v/>
          </cell>
          <cell r="F6" t="str">
            <v/>
          </cell>
          <cell r="G6">
            <v>1675.5</v>
          </cell>
          <cell r="H6">
            <v>2232.5</v>
          </cell>
          <cell r="I6">
            <v>456.5</v>
          </cell>
          <cell r="J6">
            <v>4364.5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4800.9500000000007</v>
          </cell>
          <cell r="O6" t="str">
            <v>전기1-6</v>
          </cell>
        </row>
        <row r="7">
          <cell r="A7" t="str">
            <v>경질비닐전선관HI-PVC 22C</v>
          </cell>
          <cell r="B7" t="str">
            <v>경질비닐전선관</v>
          </cell>
          <cell r="C7" t="str">
            <v>HI-PVC 22C</v>
          </cell>
          <cell r="D7" t="str">
            <v>m</v>
          </cell>
          <cell r="E7">
            <v>50</v>
          </cell>
          <cell r="F7" t="str">
            <v/>
          </cell>
          <cell r="G7">
            <v>238.5</v>
          </cell>
          <cell r="H7">
            <v>103.5</v>
          </cell>
          <cell r="I7" t="str">
            <v/>
          </cell>
          <cell r="J7">
            <v>392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431.20000000000005</v>
          </cell>
          <cell r="O7" t="str">
            <v>전기1-6</v>
          </cell>
        </row>
        <row r="8">
          <cell r="A8" t="str">
            <v>경질비닐전선관HI-PVC 28C</v>
          </cell>
          <cell r="B8" t="str">
            <v>경질비닐전선관</v>
          </cell>
          <cell r="C8" t="str">
            <v>HI-PVC 28C</v>
          </cell>
          <cell r="D8" t="str">
            <v>m</v>
          </cell>
          <cell r="E8" t="str">
            <v/>
          </cell>
          <cell r="F8">
            <v>112.5</v>
          </cell>
          <cell r="G8" t="str">
            <v/>
          </cell>
          <cell r="H8">
            <v>8.5</v>
          </cell>
          <cell r="I8" t="str">
            <v/>
          </cell>
          <cell r="J8">
            <v>121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133.10000000000002</v>
          </cell>
          <cell r="O8" t="str">
            <v>전기1-6</v>
          </cell>
        </row>
        <row r="9">
          <cell r="A9" t="str">
            <v>경질비닐전선관HI-PVC 36C</v>
          </cell>
          <cell r="B9" t="str">
            <v>경질비닐전선관</v>
          </cell>
          <cell r="C9" t="str">
            <v>HI-PVC 36C</v>
          </cell>
          <cell r="D9" t="str">
            <v>m</v>
          </cell>
          <cell r="E9">
            <v>171</v>
          </cell>
          <cell r="F9">
            <v>15</v>
          </cell>
          <cell r="G9" t="str">
            <v/>
          </cell>
          <cell r="H9" t="str">
            <v/>
          </cell>
          <cell r="I9" t="str">
            <v/>
          </cell>
          <cell r="J9">
            <v>186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204.60000000000002</v>
          </cell>
          <cell r="O9" t="str">
            <v>전기1-6</v>
          </cell>
        </row>
        <row r="10">
          <cell r="A10" t="str">
            <v>경질비닐전선관HI-PVC 42C</v>
          </cell>
          <cell r="B10" t="str">
            <v>경질비닐전선관</v>
          </cell>
          <cell r="C10" t="str">
            <v>HI-PVC 42C</v>
          </cell>
          <cell r="D10" t="str">
            <v>m</v>
          </cell>
          <cell r="E10" t="str">
            <v/>
          </cell>
          <cell r="F10">
            <v>15</v>
          </cell>
          <cell r="G10" t="str">
            <v/>
          </cell>
          <cell r="H10" t="str">
            <v/>
          </cell>
          <cell r="I10" t="str">
            <v/>
          </cell>
          <cell r="J10">
            <v>15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16.5</v>
          </cell>
          <cell r="O10" t="str">
            <v>전기1-6</v>
          </cell>
        </row>
        <row r="11">
          <cell r="A11" t="str">
            <v>케 이 블6.6kV CV 38㎟/1C</v>
          </cell>
          <cell r="B11" t="str">
            <v>케 이 블</v>
          </cell>
          <cell r="C11" t="str">
            <v>6.6kV CV 38㎟/1C</v>
          </cell>
          <cell r="D11" t="str">
            <v>m</v>
          </cell>
          <cell r="E11">
            <v>42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42</v>
          </cell>
          <cell r="K11" t="str">
            <v>x</v>
          </cell>
          <cell r="L11">
            <v>1.05</v>
          </cell>
          <cell r="M11" t="str">
            <v>=</v>
          </cell>
          <cell r="N11">
            <v>44.1</v>
          </cell>
          <cell r="O11" t="str">
            <v>전기1-6</v>
          </cell>
        </row>
        <row r="12">
          <cell r="A12" t="str">
            <v>케 이 블600V CV 5.5㎟/1C</v>
          </cell>
          <cell r="B12" t="str">
            <v>케 이 블</v>
          </cell>
          <cell r="C12" t="str">
            <v>600V CV 5.5㎟/1C</v>
          </cell>
          <cell r="D12" t="str">
            <v>m</v>
          </cell>
          <cell r="E12" t="str">
            <v/>
          </cell>
          <cell r="F12">
            <v>740</v>
          </cell>
          <cell r="G12" t="str">
            <v/>
          </cell>
          <cell r="H12" t="str">
            <v/>
          </cell>
          <cell r="I12" t="str">
            <v/>
          </cell>
          <cell r="J12">
            <v>740</v>
          </cell>
          <cell r="K12" t="str">
            <v>x</v>
          </cell>
          <cell r="L12">
            <v>1.05</v>
          </cell>
          <cell r="M12" t="str">
            <v>=</v>
          </cell>
          <cell r="N12">
            <v>777</v>
          </cell>
          <cell r="O12" t="str">
            <v>전기1-6</v>
          </cell>
        </row>
        <row r="13">
          <cell r="A13" t="str">
            <v>케 이 블600V CV 14㎟/1C</v>
          </cell>
          <cell r="B13" t="str">
            <v>케 이 블</v>
          </cell>
          <cell r="C13" t="str">
            <v>600V CV 14㎟/1C</v>
          </cell>
          <cell r="D13" t="str">
            <v>m</v>
          </cell>
          <cell r="E13" t="str">
            <v/>
          </cell>
          <cell r="F13">
            <v>628</v>
          </cell>
          <cell r="G13" t="str">
            <v/>
          </cell>
          <cell r="H13" t="str">
            <v/>
          </cell>
          <cell r="I13" t="str">
            <v/>
          </cell>
          <cell r="J13">
            <v>628</v>
          </cell>
          <cell r="K13" t="str">
            <v>x</v>
          </cell>
          <cell r="L13">
            <v>1.05</v>
          </cell>
          <cell r="M13" t="str">
            <v>=</v>
          </cell>
          <cell r="N13">
            <v>659.4</v>
          </cell>
          <cell r="O13" t="str">
            <v>전기1-6</v>
          </cell>
        </row>
        <row r="14">
          <cell r="A14" t="str">
            <v>케 이 블600V CV 22㎟/1C</v>
          </cell>
          <cell r="B14" t="str">
            <v>케 이 블</v>
          </cell>
          <cell r="C14" t="str">
            <v>600V CV 22㎟/1C</v>
          </cell>
          <cell r="D14" t="str">
            <v>m</v>
          </cell>
          <cell r="E14" t="str">
            <v/>
          </cell>
          <cell r="F14">
            <v>45</v>
          </cell>
          <cell r="G14" t="str">
            <v/>
          </cell>
          <cell r="H14" t="str">
            <v/>
          </cell>
          <cell r="I14" t="str">
            <v/>
          </cell>
          <cell r="J14">
            <v>45</v>
          </cell>
          <cell r="K14" t="str">
            <v>x</v>
          </cell>
          <cell r="L14">
            <v>1.05</v>
          </cell>
          <cell r="M14" t="str">
            <v>=</v>
          </cell>
          <cell r="N14">
            <v>47.25</v>
          </cell>
          <cell r="O14" t="str">
            <v>전기1-6</v>
          </cell>
        </row>
        <row r="15">
          <cell r="A15" t="str">
            <v>케 이 블600V CV 38㎟/1C</v>
          </cell>
          <cell r="B15" t="str">
            <v>케 이 블</v>
          </cell>
          <cell r="C15" t="str">
            <v>600V CV 38㎟/1C</v>
          </cell>
          <cell r="D15" t="str">
            <v>m</v>
          </cell>
          <cell r="E15" t="str">
            <v/>
          </cell>
          <cell r="F15">
            <v>2205</v>
          </cell>
          <cell r="G15" t="str">
            <v/>
          </cell>
          <cell r="H15" t="str">
            <v/>
          </cell>
          <cell r="I15" t="str">
            <v/>
          </cell>
          <cell r="J15">
            <v>2205</v>
          </cell>
          <cell r="K15" t="str">
            <v>x</v>
          </cell>
          <cell r="L15">
            <v>1.05</v>
          </cell>
          <cell r="M15" t="str">
            <v>=</v>
          </cell>
          <cell r="N15">
            <v>2315.25</v>
          </cell>
          <cell r="O15" t="str">
            <v>전기1-6</v>
          </cell>
        </row>
        <row r="16">
          <cell r="A16" t="str">
            <v>케 이 블600V CV 60㎟/1C</v>
          </cell>
          <cell r="B16" t="str">
            <v>케 이 블</v>
          </cell>
          <cell r="C16" t="str">
            <v>600V CV 60㎟/1C</v>
          </cell>
          <cell r="D16" t="str">
            <v>m</v>
          </cell>
          <cell r="E16">
            <v>36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36</v>
          </cell>
          <cell r="K16" t="str">
            <v>x</v>
          </cell>
          <cell r="L16">
            <v>1.05</v>
          </cell>
          <cell r="M16" t="str">
            <v>=</v>
          </cell>
          <cell r="N16">
            <v>37.800000000000004</v>
          </cell>
          <cell r="O16" t="str">
            <v>전기1-6</v>
          </cell>
        </row>
        <row r="17">
          <cell r="A17" t="str">
            <v>케 이 블600V CV 150㎟/1C</v>
          </cell>
          <cell r="B17" t="str">
            <v>케 이 블</v>
          </cell>
          <cell r="C17" t="str">
            <v>600V CV 150㎟/1C</v>
          </cell>
          <cell r="D17" t="str">
            <v>m</v>
          </cell>
          <cell r="E17">
            <v>40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40</v>
          </cell>
          <cell r="K17" t="str">
            <v>x</v>
          </cell>
          <cell r="L17">
            <v>1.05</v>
          </cell>
          <cell r="M17" t="str">
            <v>=</v>
          </cell>
          <cell r="N17">
            <v>42</v>
          </cell>
          <cell r="O17" t="str">
            <v>전기1-6</v>
          </cell>
        </row>
        <row r="18">
          <cell r="A18" t="str">
            <v>케 이 블600V CV 200㎟/1C</v>
          </cell>
          <cell r="B18" t="str">
            <v>케 이 블</v>
          </cell>
          <cell r="C18" t="str">
            <v>600V CV 200㎟/1C</v>
          </cell>
          <cell r="D18" t="str">
            <v>m</v>
          </cell>
          <cell r="E18">
            <v>18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  <cell r="K18" t="str">
            <v>x</v>
          </cell>
          <cell r="L18">
            <v>1.05</v>
          </cell>
          <cell r="M18" t="str">
            <v>=</v>
          </cell>
          <cell r="N18">
            <v>18.900000000000002</v>
          </cell>
          <cell r="O18" t="str">
            <v>전기1-6</v>
          </cell>
        </row>
        <row r="19">
          <cell r="A19" t="str">
            <v>케 이 블600V CV 250㎟/1C</v>
          </cell>
          <cell r="B19" t="str">
            <v>케 이 블</v>
          </cell>
          <cell r="C19" t="str">
            <v>600V CV 250㎟/1C</v>
          </cell>
          <cell r="D19" t="str">
            <v>m</v>
          </cell>
          <cell r="E19">
            <v>60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60</v>
          </cell>
          <cell r="K19" t="str">
            <v>x</v>
          </cell>
          <cell r="L19">
            <v>1.05</v>
          </cell>
          <cell r="M19" t="str">
            <v>=</v>
          </cell>
          <cell r="N19">
            <v>63</v>
          </cell>
          <cell r="O19" t="str">
            <v>전기1-6</v>
          </cell>
        </row>
        <row r="20">
          <cell r="A20" t="str">
            <v>케 이 블FR-8 38㎟/1C</v>
          </cell>
          <cell r="B20" t="str">
            <v>케 이 블</v>
          </cell>
          <cell r="C20" t="str">
            <v>FR-8 38㎟/1C</v>
          </cell>
          <cell r="D20" t="str">
            <v>m</v>
          </cell>
          <cell r="E20" t="str">
            <v/>
          </cell>
          <cell r="F20">
            <v>260</v>
          </cell>
          <cell r="G20" t="str">
            <v/>
          </cell>
          <cell r="H20" t="str">
            <v/>
          </cell>
          <cell r="I20" t="str">
            <v/>
          </cell>
          <cell r="J20">
            <v>260</v>
          </cell>
          <cell r="K20" t="str">
            <v>x</v>
          </cell>
          <cell r="L20">
            <v>1.05</v>
          </cell>
          <cell r="M20" t="str">
            <v>=</v>
          </cell>
          <cell r="N20">
            <v>273</v>
          </cell>
          <cell r="O20" t="str">
            <v>전기1-6</v>
          </cell>
        </row>
        <row r="21">
          <cell r="A21" t="str">
            <v>전     선IV  1.6mm</v>
          </cell>
          <cell r="B21" t="str">
            <v>전     선</v>
          </cell>
          <cell r="C21" t="str">
            <v>IV  1.6mm</v>
          </cell>
          <cell r="D21" t="str">
            <v>m</v>
          </cell>
          <cell r="E21" t="str">
            <v/>
          </cell>
          <cell r="F21" t="str">
            <v/>
          </cell>
          <cell r="G21">
            <v>1914</v>
          </cell>
          <cell r="H21">
            <v>2062</v>
          </cell>
          <cell r="I21" t="str">
            <v/>
          </cell>
          <cell r="J21">
            <v>3976</v>
          </cell>
          <cell r="K21" t="str">
            <v>x</v>
          </cell>
          <cell r="L21">
            <v>1.1000000000000001</v>
          </cell>
          <cell r="M21" t="str">
            <v>=</v>
          </cell>
          <cell r="N21">
            <v>4373.6000000000004</v>
          </cell>
          <cell r="O21" t="str">
            <v>전기1-6</v>
          </cell>
        </row>
        <row r="22">
          <cell r="A22" t="str">
            <v>전     선IV  2.0mm</v>
          </cell>
          <cell r="B22" t="str">
            <v>전     선</v>
          </cell>
          <cell r="C22" t="str">
            <v>IV  2.0mm</v>
          </cell>
          <cell r="D22" t="str">
            <v>m</v>
          </cell>
          <cell r="E22" t="str">
            <v/>
          </cell>
          <cell r="F22" t="str">
            <v/>
          </cell>
          <cell r="G22">
            <v>4806</v>
          </cell>
          <cell r="H22">
            <v>4449.5</v>
          </cell>
          <cell r="I22" t="str">
            <v/>
          </cell>
          <cell r="J22">
            <v>9255.5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10181.050000000001</v>
          </cell>
          <cell r="O22" t="str">
            <v>전기1-6</v>
          </cell>
        </row>
        <row r="23">
          <cell r="A23" t="str">
            <v>전     선IV  3.5㎟</v>
          </cell>
          <cell r="B23" t="str">
            <v>전     선</v>
          </cell>
          <cell r="C23" t="str">
            <v>IV  3.5㎟</v>
          </cell>
          <cell r="D23" t="str">
            <v>m</v>
          </cell>
          <cell r="E23" t="str">
            <v/>
          </cell>
          <cell r="F23">
            <v>185</v>
          </cell>
          <cell r="G23" t="str">
            <v/>
          </cell>
          <cell r="H23" t="str">
            <v/>
          </cell>
          <cell r="I23" t="str">
            <v/>
          </cell>
          <cell r="J23">
            <v>185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203.50000000000003</v>
          </cell>
          <cell r="O23" t="str">
            <v>전기1-6</v>
          </cell>
        </row>
        <row r="24">
          <cell r="A24" t="str">
            <v>전     선IV  5.5㎟</v>
          </cell>
          <cell r="B24" t="str">
            <v>전     선</v>
          </cell>
          <cell r="C24" t="str">
            <v>IV  5.5㎟</v>
          </cell>
          <cell r="D24" t="str">
            <v>m</v>
          </cell>
          <cell r="E24" t="str">
            <v/>
          </cell>
          <cell r="F24" t="str">
            <v/>
          </cell>
          <cell r="G24" t="str">
            <v/>
          </cell>
          <cell r="H24">
            <v>591.5</v>
          </cell>
          <cell r="I24" t="str">
            <v/>
          </cell>
          <cell r="J24">
            <v>591.5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650.65000000000009</v>
          </cell>
          <cell r="O24" t="str">
            <v>전기1-6</v>
          </cell>
        </row>
        <row r="25">
          <cell r="A25" t="str">
            <v>전     선IV  8㎟</v>
          </cell>
          <cell r="B25" t="str">
            <v>전     선</v>
          </cell>
          <cell r="C25" t="str">
            <v>IV  8㎟</v>
          </cell>
          <cell r="D25" t="str">
            <v>m</v>
          </cell>
          <cell r="E25" t="str">
            <v/>
          </cell>
          <cell r="F25">
            <v>472</v>
          </cell>
          <cell r="G25" t="str">
            <v/>
          </cell>
          <cell r="H25">
            <v>44</v>
          </cell>
          <cell r="I25" t="str">
            <v/>
          </cell>
          <cell r="J25">
            <v>516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567.6</v>
          </cell>
          <cell r="O25" t="str">
            <v>전기1-6</v>
          </cell>
        </row>
        <row r="26">
          <cell r="A26" t="str">
            <v>전     선IV  14㎟</v>
          </cell>
          <cell r="B26" t="str">
            <v>전     선</v>
          </cell>
          <cell r="C26" t="str">
            <v>IV  14㎟</v>
          </cell>
          <cell r="D26" t="str">
            <v>m</v>
          </cell>
          <cell r="E26" t="str">
            <v/>
          </cell>
          <cell r="F26">
            <v>395</v>
          </cell>
          <cell r="G26" t="str">
            <v/>
          </cell>
          <cell r="H26" t="str">
            <v/>
          </cell>
          <cell r="I26" t="str">
            <v/>
          </cell>
          <cell r="J26">
            <v>395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434.50000000000006</v>
          </cell>
          <cell r="O26" t="str">
            <v>전기1-6</v>
          </cell>
        </row>
        <row r="27">
          <cell r="A27" t="str">
            <v>전     선GV  14㎟</v>
          </cell>
          <cell r="B27" t="str">
            <v>전     선</v>
          </cell>
          <cell r="C27" t="str">
            <v>GV  14㎟</v>
          </cell>
          <cell r="D27" t="str">
            <v>m</v>
          </cell>
          <cell r="E27">
            <v>50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50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55.000000000000007</v>
          </cell>
          <cell r="O27" t="str">
            <v>전기1-6</v>
          </cell>
        </row>
        <row r="28">
          <cell r="A28" t="str">
            <v>전     선GV  60㎟</v>
          </cell>
          <cell r="B28" t="str">
            <v>전     선</v>
          </cell>
          <cell r="C28" t="str">
            <v>GV  60㎟</v>
          </cell>
          <cell r="D28" t="str">
            <v>m</v>
          </cell>
          <cell r="E28">
            <v>225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225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247.50000000000003</v>
          </cell>
          <cell r="O28" t="str">
            <v>전기1-6</v>
          </cell>
        </row>
        <row r="29">
          <cell r="A29" t="str">
            <v>전     선HIV  2.0mm</v>
          </cell>
          <cell r="B29" t="str">
            <v>전     선</v>
          </cell>
          <cell r="C29" t="str">
            <v>HIV  2.0mm</v>
          </cell>
          <cell r="D29" t="str">
            <v>m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1369.5</v>
          </cell>
          <cell r="J29">
            <v>1369.5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1506.45</v>
          </cell>
          <cell r="O29" t="str">
            <v>전기1-6</v>
          </cell>
        </row>
        <row r="30">
          <cell r="A30" t="str">
            <v>나 동 선2.0㎟</v>
          </cell>
          <cell r="B30" t="str">
            <v>나 동 선</v>
          </cell>
          <cell r="C30" t="str">
            <v>2.0㎟</v>
          </cell>
          <cell r="D30" t="str">
            <v>m</v>
          </cell>
          <cell r="E30" t="str">
            <v/>
          </cell>
          <cell r="F30">
            <v>17</v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18.700000000000003</v>
          </cell>
          <cell r="O30" t="str">
            <v>전기1-6</v>
          </cell>
        </row>
        <row r="31">
          <cell r="A31" t="str">
            <v>케이블헤드(옥내용)6.6kV 14㎟/1C(3상분)</v>
          </cell>
          <cell r="B31" t="str">
            <v>케이블헤드(옥내용)</v>
          </cell>
          <cell r="C31" t="str">
            <v>6.6kV 14㎟/1C(3상분)</v>
          </cell>
          <cell r="D31" t="str">
            <v>KIT</v>
          </cell>
          <cell r="E31">
            <v>2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</v>
          </cell>
          <cell r="K31" t="str">
            <v>x</v>
          </cell>
          <cell r="L31">
            <v>1</v>
          </cell>
          <cell r="M31" t="str">
            <v>=</v>
          </cell>
          <cell r="N31">
            <v>2</v>
          </cell>
          <cell r="O31" t="str">
            <v>전기1-6</v>
          </cell>
        </row>
        <row r="32">
          <cell r="A32" t="str">
            <v>케이블헤드(옥내용)6.6kV 38㎟/1C(3상분)</v>
          </cell>
          <cell r="B32" t="str">
            <v>케이블헤드(옥내용)</v>
          </cell>
          <cell r="C32" t="str">
            <v>6.6kV 38㎟/1C(3상분)</v>
          </cell>
          <cell r="D32" t="str">
            <v>KIT</v>
          </cell>
          <cell r="E32">
            <v>9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</v>
          </cell>
          <cell r="K32" t="str">
            <v>x</v>
          </cell>
          <cell r="L32">
            <v>1</v>
          </cell>
          <cell r="M32" t="str">
            <v>=</v>
          </cell>
          <cell r="N32">
            <v>9</v>
          </cell>
          <cell r="O32" t="str">
            <v>전기1-6</v>
          </cell>
        </row>
        <row r="33">
          <cell r="A33" t="str">
            <v>케이블헤드(옥내용)6.6kV 60㎟/1C(3상분)</v>
          </cell>
          <cell r="B33" t="str">
            <v>케이블헤드(옥내용)</v>
          </cell>
          <cell r="C33" t="str">
            <v>6.6kV 60㎟/1C(3상분)</v>
          </cell>
          <cell r="D33" t="str">
            <v>KIT</v>
          </cell>
          <cell r="E33">
            <v>2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</v>
          </cell>
          <cell r="K33" t="str">
            <v>x</v>
          </cell>
          <cell r="L33">
            <v>1</v>
          </cell>
          <cell r="M33" t="str">
            <v>=</v>
          </cell>
          <cell r="N33">
            <v>2</v>
          </cell>
          <cell r="O33" t="str">
            <v>전기1-6</v>
          </cell>
        </row>
        <row r="34">
          <cell r="A34" t="str">
            <v>압착단자14㎟</v>
          </cell>
          <cell r="B34" t="str">
            <v>압착단자</v>
          </cell>
          <cell r="C34" t="str">
            <v>14㎟</v>
          </cell>
          <cell r="D34" t="str">
            <v>EA</v>
          </cell>
          <cell r="E34">
            <v>1</v>
          </cell>
          <cell r="F34">
            <v>60</v>
          </cell>
          <cell r="G34" t="str">
            <v/>
          </cell>
          <cell r="H34" t="str">
            <v/>
          </cell>
          <cell r="I34" t="str">
            <v/>
          </cell>
          <cell r="J34">
            <v>61</v>
          </cell>
          <cell r="K34" t="str">
            <v>x</v>
          </cell>
          <cell r="L34">
            <v>1</v>
          </cell>
          <cell r="M34" t="str">
            <v>=</v>
          </cell>
          <cell r="N34">
            <v>61</v>
          </cell>
          <cell r="O34" t="str">
            <v>전기1-6</v>
          </cell>
        </row>
        <row r="35">
          <cell r="A35" t="str">
            <v>압착단자22㎟</v>
          </cell>
          <cell r="B35" t="str">
            <v>압착단자</v>
          </cell>
          <cell r="C35" t="str">
            <v>22㎟</v>
          </cell>
          <cell r="D35" t="str">
            <v>EA</v>
          </cell>
          <cell r="E35" t="str">
            <v/>
          </cell>
          <cell r="F35">
            <v>18</v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  <cell r="K35" t="str">
            <v>x</v>
          </cell>
          <cell r="L35">
            <v>1</v>
          </cell>
          <cell r="M35" t="str">
            <v>=</v>
          </cell>
          <cell r="N35">
            <v>18</v>
          </cell>
          <cell r="O35" t="str">
            <v>전기1-6</v>
          </cell>
        </row>
        <row r="36">
          <cell r="A36" t="str">
            <v>압착단자38㎟</v>
          </cell>
          <cell r="B36" t="str">
            <v>압착단자</v>
          </cell>
          <cell r="C36" t="str">
            <v>38㎟</v>
          </cell>
          <cell r="D36" t="str">
            <v>EA</v>
          </cell>
          <cell r="E36" t="str">
            <v/>
          </cell>
          <cell r="F36">
            <v>50</v>
          </cell>
          <cell r="G36" t="str">
            <v/>
          </cell>
          <cell r="H36" t="str">
            <v/>
          </cell>
          <cell r="I36" t="str">
            <v/>
          </cell>
          <cell r="J36">
            <v>50</v>
          </cell>
          <cell r="K36" t="str">
            <v>x</v>
          </cell>
          <cell r="L36">
            <v>1</v>
          </cell>
          <cell r="M36" t="str">
            <v>=</v>
          </cell>
          <cell r="N36">
            <v>50</v>
          </cell>
          <cell r="O36" t="str">
            <v>전기1-6</v>
          </cell>
        </row>
        <row r="37">
          <cell r="A37" t="str">
            <v>압착단자60㎟</v>
          </cell>
          <cell r="B37" t="str">
            <v>압착단자</v>
          </cell>
          <cell r="C37" t="str">
            <v>60㎟</v>
          </cell>
          <cell r="D37" t="str">
            <v>EA</v>
          </cell>
          <cell r="E37">
            <v>9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9</v>
          </cell>
          <cell r="K37" t="str">
            <v>x</v>
          </cell>
          <cell r="L37">
            <v>1</v>
          </cell>
          <cell r="M37" t="str">
            <v>=</v>
          </cell>
          <cell r="N37">
            <v>9</v>
          </cell>
          <cell r="O37" t="str">
            <v>전기1-6</v>
          </cell>
        </row>
        <row r="38">
          <cell r="A38" t="str">
            <v>동관단자60㎟</v>
          </cell>
          <cell r="B38" t="str">
            <v>동관단자</v>
          </cell>
          <cell r="C38" t="str">
            <v>60㎟</v>
          </cell>
          <cell r="D38" t="str">
            <v>EA</v>
          </cell>
          <cell r="E38">
            <v>8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8</v>
          </cell>
          <cell r="K38" t="str">
            <v>x</v>
          </cell>
          <cell r="L38">
            <v>1</v>
          </cell>
          <cell r="M38" t="str">
            <v>=</v>
          </cell>
          <cell r="N38">
            <v>8</v>
          </cell>
          <cell r="O38" t="str">
            <v>전기1-6</v>
          </cell>
        </row>
        <row r="39">
          <cell r="A39" t="str">
            <v>동관단자200㎟</v>
          </cell>
          <cell r="B39" t="str">
            <v>동관단자</v>
          </cell>
          <cell r="C39" t="str">
            <v>200㎟</v>
          </cell>
          <cell r="D39" t="str">
            <v>EA</v>
          </cell>
          <cell r="E39">
            <v>6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6</v>
          </cell>
          <cell r="K39" t="str">
            <v>x</v>
          </cell>
          <cell r="L39">
            <v>1</v>
          </cell>
          <cell r="M39" t="str">
            <v>=</v>
          </cell>
          <cell r="N39">
            <v>6</v>
          </cell>
          <cell r="O39" t="str">
            <v>전기1-6</v>
          </cell>
        </row>
        <row r="40">
          <cell r="A40" t="str">
            <v>동관단자250㎟</v>
          </cell>
          <cell r="B40" t="str">
            <v>동관단자</v>
          </cell>
          <cell r="C40" t="str">
            <v>250㎟</v>
          </cell>
          <cell r="D40" t="str">
            <v>EA</v>
          </cell>
          <cell r="E40">
            <v>14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14</v>
          </cell>
          <cell r="K40" t="str">
            <v>x</v>
          </cell>
          <cell r="L40">
            <v>1</v>
          </cell>
          <cell r="M40" t="str">
            <v>=</v>
          </cell>
          <cell r="N40">
            <v>14</v>
          </cell>
          <cell r="O40" t="str">
            <v>전기1-6</v>
          </cell>
        </row>
        <row r="41">
          <cell r="A41" t="str">
            <v>접지크램프60㎟ (T형)</v>
          </cell>
          <cell r="B41" t="str">
            <v>접지크램프</v>
          </cell>
          <cell r="C41" t="str">
            <v>60㎟ (T형)</v>
          </cell>
          <cell r="D41" t="str">
            <v>EA</v>
          </cell>
          <cell r="E41">
            <v>5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5</v>
          </cell>
          <cell r="K41" t="str">
            <v>x</v>
          </cell>
          <cell r="L41">
            <v>1</v>
          </cell>
          <cell r="M41" t="str">
            <v>=</v>
          </cell>
          <cell r="N41">
            <v>5</v>
          </cell>
          <cell r="O41" t="str">
            <v>전기1-6</v>
          </cell>
        </row>
        <row r="42">
          <cell r="A42" t="str">
            <v>접지크램프60㎟ (+형)</v>
          </cell>
          <cell r="B42" t="str">
            <v>접지크램프</v>
          </cell>
          <cell r="C42" t="str">
            <v>60㎟ (+형)</v>
          </cell>
          <cell r="D42" t="str">
            <v>EA</v>
          </cell>
          <cell r="E42">
            <v>2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</v>
          </cell>
          <cell r="K42" t="str">
            <v>x</v>
          </cell>
          <cell r="L42">
            <v>1</v>
          </cell>
          <cell r="M42" t="str">
            <v>=</v>
          </cell>
          <cell r="N42">
            <v>2</v>
          </cell>
          <cell r="O42" t="str">
            <v>전기1-6</v>
          </cell>
        </row>
        <row r="43">
          <cell r="A43" t="str">
            <v>접지장치3종</v>
          </cell>
          <cell r="B43" t="str">
            <v>접지장치</v>
          </cell>
          <cell r="C43" t="str">
            <v>3종</v>
          </cell>
          <cell r="D43" t="str">
            <v>개소</v>
          </cell>
          <cell r="E43" t="str">
            <v/>
          </cell>
          <cell r="F43" t="str">
            <v/>
          </cell>
          <cell r="G43" t="str">
            <v/>
          </cell>
          <cell r="H43">
            <v>1</v>
          </cell>
          <cell r="I43" t="str">
            <v/>
          </cell>
          <cell r="J43">
            <v>1</v>
          </cell>
          <cell r="K43" t="str">
            <v>x</v>
          </cell>
          <cell r="L43">
            <v>1</v>
          </cell>
          <cell r="M43" t="str">
            <v>=</v>
          </cell>
          <cell r="N43">
            <v>1</v>
          </cell>
          <cell r="O43" t="str">
            <v>전기1-6</v>
          </cell>
        </row>
        <row r="44">
          <cell r="A44" t="str">
            <v>접지장치1종</v>
          </cell>
          <cell r="B44" t="str">
            <v>접지장치</v>
          </cell>
          <cell r="C44" t="str">
            <v>1종</v>
          </cell>
          <cell r="D44" t="str">
            <v>개소</v>
          </cell>
          <cell r="E44">
            <v>2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</v>
          </cell>
          <cell r="K44" t="str">
            <v>x</v>
          </cell>
          <cell r="L44">
            <v>1</v>
          </cell>
          <cell r="M44" t="str">
            <v>=</v>
          </cell>
          <cell r="N44">
            <v>2</v>
          </cell>
          <cell r="O44" t="str">
            <v>전기1-6</v>
          </cell>
        </row>
        <row r="45">
          <cell r="A45" t="str">
            <v>접지장치2종</v>
          </cell>
          <cell r="B45" t="str">
            <v>접지장치</v>
          </cell>
          <cell r="C45" t="str">
            <v>2종</v>
          </cell>
          <cell r="D45" t="str">
            <v>개소</v>
          </cell>
          <cell r="E45">
            <v>1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  <cell r="K45" t="str">
            <v>x</v>
          </cell>
          <cell r="L45">
            <v>1</v>
          </cell>
          <cell r="M45" t="str">
            <v>=</v>
          </cell>
          <cell r="N45">
            <v>1</v>
          </cell>
          <cell r="O45" t="str">
            <v>전기1-6</v>
          </cell>
        </row>
        <row r="46">
          <cell r="A46" t="str">
            <v>접지장치TEST</v>
          </cell>
          <cell r="B46" t="str">
            <v>접지장치</v>
          </cell>
          <cell r="C46" t="str">
            <v>TEST</v>
          </cell>
          <cell r="D46" t="str">
            <v>개소</v>
          </cell>
          <cell r="E46">
            <v>1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  <cell r="K46" t="str">
            <v>x</v>
          </cell>
          <cell r="L46">
            <v>1</v>
          </cell>
          <cell r="M46" t="str">
            <v>=</v>
          </cell>
          <cell r="N46">
            <v>1</v>
          </cell>
          <cell r="O46" t="str">
            <v>전기1-6</v>
          </cell>
        </row>
        <row r="47">
          <cell r="A47" t="str">
            <v>노말 밴드PVC 28C</v>
          </cell>
          <cell r="B47" t="str">
            <v>노말 밴드</v>
          </cell>
          <cell r="C47" t="str">
            <v>PVC 28C</v>
          </cell>
          <cell r="D47" t="str">
            <v>EA</v>
          </cell>
          <cell r="E47" t="str">
            <v/>
          </cell>
          <cell r="F47" t="str">
            <v/>
          </cell>
          <cell r="G47" t="str">
            <v/>
          </cell>
          <cell r="H47">
            <v>3</v>
          </cell>
          <cell r="I47" t="str">
            <v/>
          </cell>
          <cell r="J47">
            <v>3</v>
          </cell>
          <cell r="K47" t="str">
            <v>x</v>
          </cell>
          <cell r="L47">
            <v>1</v>
          </cell>
          <cell r="M47" t="str">
            <v>=</v>
          </cell>
          <cell r="N47">
            <v>3</v>
          </cell>
          <cell r="O47" t="str">
            <v>전기1-6</v>
          </cell>
        </row>
        <row r="48">
          <cell r="A48" t="str">
            <v>노말 밴드ST  28C</v>
          </cell>
          <cell r="B48" t="str">
            <v>노말 밴드</v>
          </cell>
          <cell r="C48" t="str">
            <v>ST  28C</v>
          </cell>
          <cell r="D48" t="str">
            <v>EA</v>
          </cell>
          <cell r="E48" t="str">
            <v/>
          </cell>
          <cell r="F48">
            <v>1</v>
          </cell>
          <cell r="G48" t="str">
            <v/>
          </cell>
          <cell r="H48" t="str">
            <v/>
          </cell>
          <cell r="I48" t="str">
            <v/>
          </cell>
          <cell r="J48">
            <v>1</v>
          </cell>
          <cell r="K48" t="str">
            <v>x</v>
          </cell>
          <cell r="L48">
            <v>1</v>
          </cell>
          <cell r="M48" t="str">
            <v>=</v>
          </cell>
          <cell r="N48">
            <v>1</v>
          </cell>
          <cell r="O48" t="str">
            <v>전기1-6</v>
          </cell>
        </row>
        <row r="49">
          <cell r="A49" t="str">
            <v>노말 밴드ST  36C</v>
          </cell>
          <cell r="B49" t="str">
            <v>노말 밴드</v>
          </cell>
          <cell r="C49" t="str">
            <v>ST  36C</v>
          </cell>
          <cell r="D49" t="str">
            <v>EA</v>
          </cell>
          <cell r="E49" t="str">
            <v/>
          </cell>
          <cell r="F49">
            <v>2</v>
          </cell>
          <cell r="G49" t="str">
            <v/>
          </cell>
          <cell r="H49" t="str">
            <v/>
          </cell>
          <cell r="I49" t="str">
            <v/>
          </cell>
          <cell r="J49">
            <v>2</v>
          </cell>
          <cell r="K49" t="str">
            <v>x</v>
          </cell>
          <cell r="L49">
            <v>1</v>
          </cell>
          <cell r="M49" t="str">
            <v>=</v>
          </cell>
          <cell r="N49">
            <v>2</v>
          </cell>
          <cell r="O49" t="str">
            <v>전기1-6</v>
          </cell>
        </row>
        <row r="50">
          <cell r="A50" t="str">
            <v>크램프 (일반)ST  28C</v>
          </cell>
          <cell r="B50" t="str">
            <v>크램프 (일반)</v>
          </cell>
          <cell r="C50" t="str">
            <v>ST  28C</v>
          </cell>
          <cell r="D50" t="str">
            <v>EA</v>
          </cell>
          <cell r="E50" t="str">
            <v/>
          </cell>
          <cell r="F50">
            <v>5</v>
          </cell>
          <cell r="G50" t="str">
            <v/>
          </cell>
          <cell r="H50" t="str">
            <v/>
          </cell>
          <cell r="I50" t="str">
            <v/>
          </cell>
          <cell r="J50">
            <v>5</v>
          </cell>
          <cell r="K50" t="str">
            <v>x</v>
          </cell>
          <cell r="L50">
            <v>1</v>
          </cell>
          <cell r="M50" t="str">
            <v>=</v>
          </cell>
          <cell r="N50">
            <v>5</v>
          </cell>
          <cell r="O50" t="str">
            <v>전기1-6</v>
          </cell>
        </row>
        <row r="51">
          <cell r="A51" t="str">
            <v>크램프 (일반)ST  36C</v>
          </cell>
          <cell r="B51" t="str">
            <v>크램프 (일반)</v>
          </cell>
          <cell r="C51" t="str">
            <v>ST  36C</v>
          </cell>
          <cell r="D51" t="str">
            <v>EA</v>
          </cell>
          <cell r="E51" t="str">
            <v/>
          </cell>
          <cell r="F51">
            <v>4</v>
          </cell>
          <cell r="G51" t="str">
            <v/>
          </cell>
          <cell r="H51" t="str">
            <v/>
          </cell>
          <cell r="I51" t="str">
            <v/>
          </cell>
          <cell r="J51">
            <v>4</v>
          </cell>
          <cell r="K51" t="str">
            <v>x</v>
          </cell>
          <cell r="L51">
            <v>1</v>
          </cell>
          <cell r="M51" t="str">
            <v>=</v>
          </cell>
          <cell r="N51">
            <v>4</v>
          </cell>
          <cell r="O51" t="str">
            <v>전기1-6</v>
          </cell>
        </row>
        <row r="52">
          <cell r="A52" t="str">
            <v>크램프 (일반)ST  54C</v>
          </cell>
          <cell r="B52" t="str">
            <v>크램프 (일반)</v>
          </cell>
          <cell r="C52" t="str">
            <v>ST  54C</v>
          </cell>
          <cell r="D52" t="str">
            <v>EA</v>
          </cell>
          <cell r="E52" t="str">
            <v/>
          </cell>
          <cell r="F52">
            <v>16</v>
          </cell>
          <cell r="G52" t="str">
            <v/>
          </cell>
          <cell r="H52" t="str">
            <v/>
          </cell>
          <cell r="I52" t="str">
            <v/>
          </cell>
          <cell r="J52">
            <v>16</v>
          </cell>
          <cell r="K52" t="str">
            <v>x</v>
          </cell>
          <cell r="L52">
            <v>1</v>
          </cell>
          <cell r="M52" t="str">
            <v>=</v>
          </cell>
          <cell r="N52">
            <v>16</v>
          </cell>
          <cell r="O52" t="str">
            <v>전기1-6</v>
          </cell>
        </row>
        <row r="53">
          <cell r="A53" t="str">
            <v>PIPE BONDING CLAMPST  28C</v>
          </cell>
          <cell r="B53" t="str">
            <v>PIPE BONDING CLAMP</v>
          </cell>
          <cell r="C53" t="str">
            <v>ST  28C</v>
          </cell>
          <cell r="D53" t="str">
            <v>EA</v>
          </cell>
          <cell r="E53" t="str">
            <v/>
          </cell>
          <cell r="F53">
            <v>6</v>
          </cell>
          <cell r="G53" t="str">
            <v/>
          </cell>
          <cell r="H53" t="str">
            <v/>
          </cell>
          <cell r="I53" t="str">
            <v/>
          </cell>
          <cell r="J53">
            <v>6</v>
          </cell>
          <cell r="K53" t="str">
            <v>x</v>
          </cell>
          <cell r="L53">
            <v>1</v>
          </cell>
          <cell r="M53" t="str">
            <v>=</v>
          </cell>
          <cell r="N53">
            <v>6</v>
          </cell>
          <cell r="O53" t="str">
            <v>전기1-6</v>
          </cell>
        </row>
        <row r="54">
          <cell r="A54" t="str">
            <v>PIPE BONDING CLAMPST  36C</v>
          </cell>
          <cell r="B54" t="str">
            <v>PIPE BONDING CLAMP</v>
          </cell>
          <cell r="C54" t="str">
            <v>ST  36C</v>
          </cell>
          <cell r="D54" t="str">
            <v>EA</v>
          </cell>
          <cell r="E54" t="str">
            <v/>
          </cell>
          <cell r="F54">
            <v>4</v>
          </cell>
          <cell r="G54" t="str">
            <v/>
          </cell>
          <cell r="H54" t="str">
            <v/>
          </cell>
          <cell r="I54" t="str">
            <v/>
          </cell>
          <cell r="J54">
            <v>4</v>
          </cell>
          <cell r="K54" t="str">
            <v>x</v>
          </cell>
          <cell r="L54">
            <v>1</v>
          </cell>
          <cell r="M54" t="str">
            <v>=</v>
          </cell>
          <cell r="N54">
            <v>4</v>
          </cell>
          <cell r="O54" t="str">
            <v>전기1-6</v>
          </cell>
        </row>
        <row r="55">
          <cell r="A55" t="str">
            <v>PIPE BONDING CLAMPST  54C</v>
          </cell>
          <cell r="B55" t="str">
            <v>PIPE BONDING CLAMP</v>
          </cell>
          <cell r="C55" t="str">
            <v>ST  54C</v>
          </cell>
          <cell r="D55" t="str">
            <v>EA</v>
          </cell>
          <cell r="E55" t="str">
            <v/>
          </cell>
          <cell r="F55">
            <v>19</v>
          </cell>
          <cell r="G55" t="str">
            <v/>
          </cell>
          <cell r="H55" t="str">
            <v/>
          </cell>
          <cell r="I55" t="str">
            <v/>
          </cell>
          <cell r="J55">
            <v>19</v>
          </cell>
          <cell r="K55" t="str">
            <v>x</v>
          </cell>
          <cell r="L55">
            <v>1</v>
          </cell>
          <cell r="M55" t="str">
            <v>=</v>
          </cell>
          <cell r="N55">
            <v>19</v>
          </cell>
          <cell r="O55" t="str">
            <v>전기1-6</v>
          </cell>
        </row>
        <row r="56">
          <cell r="A56" t="str">
            <v>접지단자반 (SUS)5 CCT</v>
          </cell>
          <cell r="B56" t="str">
            <v>접지단자반 (SUS)</v>
          </cell>
          <cell r="C56" t="str">
            <v>5 CCT</v>
          </cell>
          <cell r="D56" t="str">
            <v>면</v>
          </cell>
          <cell r="E56">
            <v>1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>
            <v>1</v>
          </cell>
          <cell r="K56" t="str">
            <v>x</v>
          </cell>
          <cell r="L56">
            <v>1</v>
          </cell>
          <cell r="M56" t="str">
            <v>=</v>
          </cell>
          <cell r="N56">
            <v>1</v>
          </cell>
          <cell r="O56" t="str">
            <v>전기1-6</v>
          </cell>
        </row>
        <row r="57">
          <cell r="A57" t="str">
            <v>CABLE DUCT600Wx200Hx1.2t</v>
          </cell>
          <cell r="B57" t="str">
            <v>CABLE DUCT</v>
          </cell>
          <cell r="C57" t="str">
            <v>600Wx200Hx1.2t</v>
          </cell>
          <cell r="D57" t="str">
            <v>m</v>
          </cell>
          <cell r="E57">
            <v>4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4</v>
          </cell>
          <cell r="K57" t="str">
            <v>x</v>
          </cell>
          <cell r="L57">
            <v>1</v>
          </cell>
          <cell r="M57" t="str">
            <v>=</v>
          </cell>
          <cell r="N57">
            <v>4</v>
          </cell>
          <cell r="O57" t="str">
            <v>전기1-6</v>
          </cell>
        </row>
        <row r="58">
          <cell r="A58" t="str">
            <v>DUCT지지금구600W</v>
          </cell>
          <cell r="B58" t="str">
            <v>DUCT지지금구</v>
          </cell>
          <cell r="C58" t="str">
            <v>600W</v>
          </cell>
          <cell r="D58" t="str">
            <v>개소</v>
          </cell>
          <cell r="E58">
            <v>2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2</v>
          </cell>
          <cell r="K58" t="str">
            <v>x</v>
          </cell>
          <cell r="L58">
            <v>1</v>
          </cell>
          <cell r="M58" t="str">
            <v>=</v>
          </cell>
          <cell r="N58">
            <v>2</v>
          </cell>
          <cell r="O58" t="str">
            <v>전기1-6</v>
          </cell>
        </row>
        <row r="59">
          <cell r="A59" t="str">
            <v>OUTLET BOXSW</v>
          </cell>
          <cell r="B59" t="str">
            <v>OUTLET BOX</v>
          </cell>
          <cell r="C59" t="str">
            <v>SW</v>
          </cell>
          <cell r="D59" t="str">
            <v>EA</v>
          </cell>
          <cell r="E59" t="str">
            <v/>
          </cell>
          <cell r="F59" t="str">
            <v/>
          </cell>
          <cell r="G59">
            <v>281</v>
          </cell>
          <cell r="H59" t="str">
            <v/>
          </cell>
          <cell r="I59" t="str">
            <v/>
          </cell>
          <cell r="J59">
            <v>281</v>
          </cell>
          <cell r="K59" t="str">
            <v>x</v>
          </cell>
          <cell r="L59">
            <v>1</v>
          </cell>
          <cell r="M59" t="str">
            <v>=</v>
          </cell>
          <cell r="N59">
            <v>281</v>
          </cell>
          <cell r="O59" t="str">
            <v>전기1-6</v>
          </cell>
        </row>
        <row r="60">
          <cell r="A60" t="str">
            <v>OUTLET BOX4각 54mm</v>
          </cell>
          <cell r="B60" t="str">
            <v>OUTLET BOX</v>
          </cell>
          <cell r="C60" t="str">
            <v>4각 54mm</v>
          </cell>
          <cell r="D60" t="str">
            <v>EA</v>
          </cell>
          <cell r="E60" t="str">
            <v/>
          </cell>
          <cell r="F60" t="str">
            <v/>
          </cell>
          <cell r="G60">
            <v>248</v>
          </cell>
          <cell r="H60" t="str">
            <v/>
          </cell>
          <cell r="I60">
            <v>3</v>
          </cell>
          <cell r="J60">
            <v>251</v>
          </cell>
          <cell r="K60" t="str">
            <v>x</v>
          </cell>
          <cell r="L60">
            <v>1</v>
          </cell>
          <cell r="M60" t="str">
            <v>=</v>
          </cell>
          <cell r="N60">
            <v>251</v>
          </cell>
          <cell r="O60" t="str">
            <v>전기1-6</v>
          </cell>
        </row>
        <row r="61">
          <cell r="A61" t="str">
            <v>OUTLET BOX8각 54mm</v>
          </cell>
          <cell r="B61" t="str">
            <v>OUTLET BOX</v>
          </cell>
          <cell r="C61" t="str">
            <v>8각 54mm</v>
          </cell>
          <cell r="D61" t="str">
            <v>EA</v>
          </cell>
          <cell r="E61" t="str">
            <v/>
          </cell>
          <cell r="F61" t="str">
            <v/>
          </cell>
          <cell r="G61">
            <v>371</v>
          </cell>
          <cell r="H61">
            <v>191</v>
          </cell>
          <cell r="I61">
            <v>14</v>
          </cell>
          <cell r="J61">
            <v>576</v>
          </cell>
          <cell r="K61" t="str">
            <v>x</v>
          </cell>
          <cell r="L61">
            <v>1</v>
          </cell>
          <cell r="M61" t="str">
            <v>=</v>
          </cell>
          <cell r="N61">
            <v>576</v>
          </cell>
          <cell r="O61" t="str">
            <v>전기1-6</v>
          </cell>
        </row>
        <row r="62">
          <cell r="A62" t="str">
            <v>박스커버4각</v>
          </cell>
          <cell r="B62" t="str">
            <v>박스커버</v>
          </cell>
          <cell r="C62" t="str">
            <v>4각</v>
          </cell>
          <cell r="D62" t="str">
            <v>EA</v>
          </cell>
          <cell r="E62" t="str">
            <v/>
          </cell>
          <cell r="F62" t="str">
            <v/>
          </cell>
          <cell r="G62">
            <v>248</v>
          </cell>
          <cell r="H62" t="str">
            <v/>
          </cell>
          <cell r="I62" t="str">
            <v/>
          </cell>
          <cell r="J62">
            <v>248</v>
          </cell>
          <cell r="K62" t="str">
            <v>x</v>
          </cell>
          <cell r="L62">
            <v>1</v>
          </cell>
          <cell r="M62" t="str">
            <v>=</v>
          </cell>
          <cell r="N62">
            <v>248</v>
          </cell>
          <cell r="O62" t="str">
            <v>전기1-6</v>
          </cell>
        </row>
        <row r="63">
          <cell r="A63" t="str">
            <v>박스커버8각</v>
          </cell>
          <cell r="B63" t="str">
            <v>박스커버</v>
          </cell>
          <cell r="C63" t="str">
            <v>8각</v>
          </cell>
          <cell r="D63" t="str">
            <v>EA</v>
          </cell>
          <cell r="E63" t="str">
            <v/>
          </cell>
          <cell r="F63" t="str">
            <v/>
          </cell>
          <cell r="G63">
            <v>371</v>
          </cell>
          <cell r="H63" t="str">
            <v/>
          </cell>
          <cell r="I63" t="str">
            <v/>
          </cell>
          <cell r="J63">
            <v>371</v>
          </cell>
          <cell r="K63" t="str">
            <v>x</v>
          </cell>
          <cell r="L63">
            <v>1</v>
          </cell>
          <cell r="M63" t="str">
            <v>=</v>
          </cell>
          <cell r="N63">
            <v>371</v>
          </cell>
          <cell r="O63" t="str">
            <v>전기1-6</v>
          </cell>
        </row>
        <row r="64">
          <cell r="A64" t="str">
            <v>노출박스200x200x150</v>
          </cell>
          <cell r="B64" t="str">
            <v>노출박스</v>
          </cell>
          <cell r="C64" t="str">
            <v>200x200x150</v>
          </cell>
          <cell r="D64" t="str">
            <v>EA</v>
          </cell>
          <cell r="E64" t="str">
            <v/>
          </cell>
          <cell r="F64">
            <v>12</v>
          </cell>
          <cell r="G64" t="str">
            <v/>
          </cell>
          <cell r="H64" t="str">
            <v/>
          </cell>
          <cell r="I64" t="str">
            <v/>
          </cell>
          <cell r="J64">
            <v>12</v>
          </cell>
          <cell r="K64" t="str">
            <v>x</v>
          </cell>
          <cell r="L64">
            <v>1</v>
          </cell>
          <cell r="M64" t="str">
            <v>=</v>
          </cell>
          <cell r="N64">
            <v>12</v>
          </cell>
          <cell r="O64" t="str">
            <v>전기1-6</v>
          </cell>
        </row>
        <row r="65">
          <cell r="A65" t="str">
            <v>콘센트 (접지)2P-15A-250V-2구</v>
          </cell>
          <cell r="B65" t="str">
            <v>콘센트 (접지)</v>
          </cell>
          <cell r="C65" t="str">
            <v>2P-15A-250V-2구</v>
          </cell>
          <cell r="D65" t="str">
            <v>EA</v>
          </cell>
          <cell r="E65" t="str">
            <v/>
          </cell>
          <cell r="F65" t="str">
            <v/>
          </cell>
          <cell r="G65">
            <v>13</v>
          </cell>
          <cell r="H65">
            <v>210</v>
          </cell>
          <cell r="I65" t="str">
            <v/>
          </cell>
          <cell r="J65">
            <v>223</v>
          </cell>
          <cell r="K65" t="str">
            <v>x</v>
          </cell>
          <cell r="L65">
            <v>1</v>
          </cell>
          <cell r="M65" t="str">
            <v>=</v>
          </cell>
          <cell r="N65">
            <v>223</v>
          </cell>
          <cell r="O65" t="str">
            <v>전기1-6</v>
          </cell>
        </row>
        <row r="66">
          <cell r="A66" t="str">
            <v>콘센트 (접지,방습커버)2P-15A-250V-2구</v>
          </cell>
          <cell r="B66" t="str">
            <v>콘센트 (접지,방습커버)</v>
          </cell>
          <cell r="C66" t="str">
            <v>2P-15A-250V-2구</v>
          </cell>
          <cell r="D66" t="str">
            <v>EA</v>
          </cell>
          <cell r="E66" t="str">
            <v/>
          </cell>
          <cell r="F66" t="str">
            <v/>
          </cell>
          <cell r="G66" t="str">
            <v/>
          </cell>
          <cell r="H66">
            <v>2</v>
          </cell>
          <cell r="I66" t="str">
            <v/>
          </cell>
          <cell r="J66">
            <v>2</v>
          </cell>
          <cell r="K66" t="str">
            <v>x</v>
          </cell>
          <cell r="L66">
            <v>1</v>
          </cell>
          <cell r="M66" t="str">
            <v>=</v>
          </cell>
          <cell r="N66">
            <v>2</v>
          </cell>
          <cell r="O66" t="str">
            <v>전기1-6</v>
          </cell>
        </row>
        <row r="67">
          <cell r="A67" t="str">
            <v>콘센트 (접지)2P-15A-250V-1구</v>
          </cell>
          <cell r="B67" t="str">
            <v>콘센트 (접지)</v>
          </cell>
          <cell r="C67" t="str">
            <v>2P-15A-250V-1구</v>
          </cell>
          <cell r="D67" t="str">
            <v>EA</v>
          </cell>
          <cell r="E67" t="str">
            <v/>
          </cell>
          <cell r="F67" t="str">
            <v/>
          </cell>
          <cell r="G67" t="str">
            <v/>
          </cell>
          <cell r="H67">
            <v>48</v>
          </cell>
          <cell r="I67" t="str">
            <v/>
          </cell>
          <cell r="J67">
            <v>48</v>
          </cell>
          <cell r="K67" t="str">
            <v>x</v>
          </cell>
          <cell r="L67">
            <v>1</v>
          </cell>
          <cell r="M67" t="str">
            <v>=</v>
          </cell>
          <cell r="N67">
            <v>48</v>
          </cell>
          <cell r="O67" t="str">
            <v>전기1-6</v>
          </cell>
        </row>
        <row r="68">
          <cell r="A68" t="str">
            <v>콘센트 (접지,방습커버)2P-15A-250V-1구</v>
          </cell>
          <cell r="B68" t="str">
            <v>콘센트 (접지,방습커버)</v>
          </cell>
          <cell r="C68" t="str">
            <v>2P-15A-250V-1구</v>
          </cell>
          <cell r="D68" t="str">
            <v>EA</v>
          </cell>
          <cell r="E68" t="str">
            <v/>
          </cell>
          <cell r="F68" t="str">
            <v/>
          </cell>
          <cell r="G68" t="str">
            <v/>
          </cell>
          <cell r="H68">
            <v>9</v>
          </cell>
          <cell r="I68" t="str">
            <v/>
          </cell>
          <cell r="J68">
            <v>9</v>
          </cell>
          <cell r="K68" t="str">
            <v>x</v>
          </cell>
          <cell r="L68">
            <v>1</v>
          </cell>
          <cell r="M68" t="str">
            <v>=</v>
          </cell>
          <cell r="N68">
            <v>9</v>
          </cell>
          <cell r="O68" t="str">
            <v>전기1-6</v>
          </cell>
        </row>
        <row r="69">
          <cell r="A69" t="str">
            <v>스위치 (WIDE형)1구-15A-250V</v>
          </cell>
          <cell r="B69" t="str">
            <v>스위치 (WIDE형)</v>
          </cell>
          <cell r="C69" t="str">
            <v>1구-15A-250V</v>
          </cell>
          <cell r="D69" t="str">
            <v>EA</v>
          </cell>
          <cell r="E69" t="str">
            <v/>
          </cell>
          <cell r="F69" t="str">
            <v/>
          </cell>
          <cell r="G69">
            <v>159</v>
          </cell>
          <cell r="H69" t="str">
            <v/>
          </cell>
          <cell r="I69" t="str">
            <v/>
          </cell>
          <cell r="J69">
            <v>159</v>
          </cell>
          <cell r="K69" t="str">
            <v>x</v>
          </cell>
          <cell r="L69">
            <v>1</v>
          </cell>
          <cell r="M69" t="str">
            <v>=</v>
          </cell>
          <cell r="N69">
            <v>159</v>
          </cell>
          <cell r="O69" t="str">
            <v>전기1-6</v>
          </cell>
        </row>
        <row r="70">
          <cell r="A70" t="str">
            <v>스위치 (WIDE형)2구-15A-250V</v>
          </cell>
          <cell r="B70" t="str">
            <v>스위치 (WIDE형)</v>
          </cell>
          <cell r="C70" t="str">
            <v>2구-15A-250V</v>
          </cell>
          <cell r="D70" t="str">
            <v>EA</v>
          </cell>
          <cell r="E70" t="str">
            <v/>
          </cell>
          <cell r="F70" t="str">
            <v/>
          </cell>
          <cell r="G70">
            <v>45</v>
          </cell>
          <cell r="H70" t="str">
            <v/>
          </cell>
          <cell r="I70" t="str">
            <v/>
          </cell>
          <cell r="J70">
            <v>45</v>
          </cell>
          <cell r="K70" t="str">
            <v>x</v>
          </cell>
          <cell r="L70">
            <v>1</v>
          </cell>
          <cell r="M70" t="str">
            <v>=</v>
          </cell>
          <cell r="N70">
            <v>45</v>
          </cell>
          <cell r="O70" t="str">
            <v>전기1-6</v>
          </cell>
        </row>
        <row r="71">
          <cell r="A71" t="str">
            <v>스위치 (WIDE형)3구-15A-250V</v>
          </cell>
          <cell r="B71" t="str">
            <v>스위치 (WIDE형)</v>
          </cell>
          <cell r="C71" t="str">
            <v>3구-15A-250V</v>
          </cell>
          <cell r="D71" t="str">
            <v>EA</v>
          </cell>
          <cell r="E71" t="str">
            <v/>
          </cell>
          <cell r="F71" t="str">
            <v/>
          </cell>
          <cell r="G71">
            <v>43</v>
          </cell>
          <cell r="H71" t="str">
            <v/>
          </cell>
          <cell r="I71" t="str">
            <v/>
          </cell>
          <cell r="J71">
            <v>43</v>
          </cell>
          <cell r="K71" t="str">
            <v>x</v>
          </cell>
          <cell r="L71">
            <v>1</v>
          </cell>
          <cell r="M71" t="str">
            <v>=</v>
          </cell>
          <cell r="N71">
            <v>43</v>
          </cell>
          <cell r="O71" t="str">
            <v>전기1-6</v>
          </cell>
        </row>
        <row r="72">
          <cell r="A72" t="str">
            <v>스위치 (WIDE형)4구-15A-250V</v>
          </cell>
          <cell r="B72" t="str">
            <v>스위치 (WIDE형)</v>
          </cell>
          <cell r="C72" t="str">
            <v>4구-15A-250V</v>
          </cell>
          <cell r="D72" t="str">
            <v>EA</v>
          </cell>
          <cell r="E72" t="str">
            <v/>
          </cell>
          <cell r="F72" t="str">
            <v/>
          </cell>
          <cell r="G72">
            <v>11</v>
          </cell>
          <cell r="H72" t="str">
            <v/>
          </cell>
          <cell r="I72" t="str">
            <v/>
          </cell>
          <cell r="J72">
            <v>11</v>
          </cell>
          <cell r="K72" t="str">
            <v>x</v>
          </cell>
          <cell r="L72">
            <v>1</v>
          </cell>
          <cell r="M72" t="str">
            <v>=</v>
          </cell>
          <cell r="N72">
            <v>11</v>
          </cell>
          <cell r="O72" t="str">
            <v>전기1-6</v>
          </cell>
        </row>
        <row r="73">
          <cell r="A73" t="str">
            <v>스위치 (WIDE형)3로-15A-250V</v>
          </cell>
          <cell r="B73" t="str">
            <v>스위치 (WIDE형)</v>
          </cell>
          <cell r="C73" t="str">
            <v>3로-15A-250V</v>
          </cell>
          <cell r="D73" t="str">
            <v>EA</v>
          </cell>
          <cell r="E73" t="str">
            <v/>
          </cell>
          <cell r="F73" t="str">
            <v/>
          </cell>
          <cell r="G73">
            <v>18</v>
          </cell>
          <cell r="H73" t="str">
            <v/>
          </cell>
          <cell r="I73" t="str">
            <v/>
          </cell>
          <cell r="J73">
            <v>18</v>
          </cell>
          <cell r="K73" t="str">
            <v>x</v>
          </cell>
          <cell r="L73">
            <v>1</v>
          </cell>
          <cell r="M73" t="str">
            <v>=</v>
          </cell>
          <cell r="N73">
            <v>18</v>
          </cell>
          <cell r="O73" t="str">
            <v>전기1-6</v>
          </cell>
        </row>
        <row r="74">
          <cell r="A74" t="str">
            <v>통로 유도등소형</v>
          </cell>
          <cell r="B74" t="str">
            <v>통로 유도등</v>
          </cell>
          <cell r="C74" t="str">
            <v>소형</v>
          </cell>
          <cell r="D74" t="str">
            <v>EA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15</v>
          </cell>
          <cell r="J74">
            <v>15</v>
          </cell>
          <cell r="K74" t="str">
            <v>x</v>
          </cell>
          <cell r="L74">
            <v>1</v>
          </cell>
          <cell r="M74" t="str">
            <v>=</v>
          </cell>
          <cell r="N74">
            <v>15</v>
          </cell>
          <cell r="O74" t="str">
            <v>전기1-6</v>
          </cell>
        </row>
        <row r="75">
          <cell r="A75" t="str">
            <v>피난구 유도등소형</v>
          </cell>
          <cell r="B75" t="str">
            <v>피난구 유도등</v>
          </cell>
          <cell r="C75" t="str">
            <v>소형</v>
          </cell>
          <cell r="D75" t="str">
            <v>EA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39</v>
          </cell>
          <cell r="J75">
            <v>39</v>
          </cell>
          <cell r="K75" t="str">
            <v>x</v>
          </cell>
          <cell r="L75">
            <v>1</v>
          </cell>
          <cell r="M75" t="str">
            <v>=</v>
          </cell>
          <cell r="N75">
            <v>39</v>
          </cell>
          <cell r="O75" t="str">
            <v>전기1-6</v>
          </cell>
        </row>
        <row r="76">
          <cell r="A76" t="str">
            <v>피난구 유도등중형</v>
          </cell>
          <cell r="B76" t="str">
            <v>피난구 유도등</v>
          </cell>
          <cell r="C76" t="str">
            <v>중형</v>
          </cell>
          <cell r="D76" t="str">
            <v>EA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전기1-6</v>
          </cell>
        </row>
        <row r="77">
          <cell r="A77" t="str">
            <v>고압반HV-1(DS-AS)</v>
          </cell>
          <cell r="B77" t="str">
            <v>고압반</v>
          </cell>
          <cell r="C77" t="str">
            <v>HV-1(DS-AS)</v>
          </cell>
          <cell r="D77" t="str">
            <v>면</v>
          </cell>
          <cell r="E77">
            <v>1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>
            <v>1</v>
          </cell>
          <cell r="K77" t="str">
            <v>x</v>
          </cell>
          <cell r="L77">
            <v>1</v>
          </cell>
          <cell r="M77" t="str">
            <v>=</v>
          </cell>
          <cell r="N77">
            <v>1</v>
          </cell>
          <cell r="O77" t="str">
            <v>전기1-6</v>
          </cell>
        </row>
        <row r="78">
          <cell r="A78" t="str">
            <v>고압반HV-2(DS-AS)</v>
          </cell>
          <cell r="B78" t="str">
            <v>고압반</v>
          </cell>
          <cell r="C78" t="str">
            <v>HV-2(DS-AS)</v>
          </cell>
          <cell r="D78" t="str">
            <v>면</v>
          </cell>
          <cell r="E78">
            <v>1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전기1-6</v>
          </cell>
        </row>
        <row r="79">
          <cell r="A79" t="str">
            <v>고압반HV-3(DS-AS)</v>
          </cell>
          <cell r="B79" t="str">
            <v>고압반</v>
          </cell>
          <cell r="C79" t="str">
            <v>HV-3(DS-AS)</v>
          </cell>
          <cell r="D79" t="str">
            <v>면</v>
          </cell>
          <cell r="E79">
            <v>1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  <cell r="K79" t="str">
            <v>x</v>
          </cell>
          <cell r="L79">
            <v>1</v>
          </cell>
          <cell r="M79" t="str">
            <v>=</v>
          </cell>
          <cell r="N79">
            <v>1</v>
          </cell>
          <cell r="O79" t="str">
            <v>전기1-6</v>
          </cell>
        </row>
        <row r="80">
          <cell r="A80" t="str">
            <v>고압반HV-4(DS-AS)</v>
          </cell>
          <cell r="B80" t="str">
            <v>고압반</v>
          </cell>
          <cell r="C80" t="str">
            <v>HV-4(DS-AS)</v>
          </cell>
          <cell r="D80" t="str">
            <v>면</v>
          </cell>
          <cell r="E80">
            <v>1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  <cell r="K80" t="str">
            <v>x</v>
          </cell>
          <cell r="L80">
            <v>1</v>
          </cell>
          <cell r="M80" t="str">
            <v>=</v>
          </cell>
          <cell r="N80">
            <v>1</v>
          </cell>
          <cell r="O80" t="str">
            <v>전기1-6</v>
          </cell>
        </row>
        <row r="81">
          <cell r="A81" t="str">
            <v>고압반HV-5(DS-AS)</v>
          </cell>
          <cell r="B81" t="str">
            <v>고압반</v>
          </cell>
          <cell r="C81" t="str">
            <v>HV-5(DS-AS)</v>
          </cell>
          <cell r="D81" t="str">
            <v>면</v>
          </cell>
          <cell r="E81">
            <v>1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  <cell r="K81" t="str">
            <v>x</v>
          </cell>
          <cell r="L81">
            <v>1</v>
          </cell>
          <cell r="M81" t="str">
            <v>=</v>
          </cell>
          <cell r="N81">
            <v>1</v>
          </cell>
          <cell r="O81" t="str">
            <v>전기1-6</v>
          </cell>
        </row>
        <row r="82">
          <cell r="A82" t="str">
            <v>고압반HV-6(AS)</v>
          </cell>
          <cell r="B82" t="str">
            <v>고압반</v>
          </cell>
          <cell r="C82" t="str">
            <v>HV-6(AS)</v>
          </cell>
          <cell r="D82" t="str">
            <v>면</v>
          </cell>
          <cell r="E82">
            <v>1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  <cell r="K82" t="str">
            <v>x</v>
          </cell>
          <cell r="L82">
            <v>1</v>
          </cell>
          <cell r="M82" t="str">
            <v>=</v>
          </cell>
          <cell r="N82">
            <v>1</v>
          </cell>
          <cell r="O82" t="str">
            <v>전기1-6</v>
          </cell>
        </row>
        <row r="83">
          <cell r="A83" t="str">
            <v>변압기반TR-1 3상 100KVA 220V</v>
          </cell>
          <cell r="B83" t="str">
            <v>변압기반</v>
          </cell>
          <cell r="C83" t="str">
            <v>TR-1 3상 100KVA 220V</v>
          </cell>
          <cell r="D83" t="str">
            <v>면</v>
          </cell>
          <cell r="E83">
            <v>1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  <cell r="K83" t="str">
            <v>x</v>
          </cell>
          <cell r="L83">
            <v>1</v>
          </cell>
          <cell r="M83" t="str">
            <v>=</v>
          </cell>
          <cell r="N83">
            <v>1</v>
          </cell>
          <cell r="O83" t="str">
            <v>전기1-6</v>
          </cell>
        </row>
        <row r="84">
          <cell r="A84" t="str">
            <v>변압기반TR-2 3상 200KVA 380/220V</v>
          </cell>
          <cell r="B84" t="str">
            <v>변압기반</v>
          </cell>
          <cell r="C84" t="str">
            <v>TR-2 3상 200KVA 380/220V</v>
          </cell>
          <cell r="D84" t="str">
            <v>면</v>
          </cell>
          <cell r="E84">
            <v>1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  <cell r="K84" t="str">
            <v>x</v>
          </cell>
          <cell r="L84">
            <v>1</v>
          </cell>
          <cell r="M84" t="str">
            <v>=</v>
          </cell>
          <cell r="N84">
            <v>1</v>
          </cell>
          <cell r="O84" t="str">
            <v>전기1-6</v>
          </cell>
        </row>
        <row r="85">
          <cell r="A85" t="str">
            <v>변압기반TR-5 3상 300KVA 440V</v>
          </cell>
          <cell r="B85" t="str">
            <v>변압기반</v>
          </cell>
          <cell r="C85" t="str">
            <v>TR-5 3상 300KVA 440V</v>
          </cell>
          <cell r="D85" t="str">
            <v>면</v>
          </cell>
          <cell r="E85">
            <v>1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>
            <v>1</v>
          </cell>
          <cell r="K85" t="str">
            <v>x</v>
          </cell>
          <cell r="L85">
            <v>1</v>
          </cell>
          <cell r="M85" t="str">
            <v>=</v>
          </cell>
          <cell r="N85">
            <v>1</v>
          </cell>
          <cell r="O85" t="str">
            <v>전기1-6</v>
          </cell>
        </row>
        <row r="86">
          <cell r="A86" t="str">
            <v>저압반LV-1</v>
          </cell>
          <cell r="B86" t="str">
            <v>저압반</v>
          </cell>
          <cell r="C86" t="str">
            <v>LV-1</v>
          </cell>
          <cell r="D86" t="str">
            <v>면</v>
          </cell>
          <cell r="E86">
            <v>1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>
            <v>1</v>
          </cell>
          <cell r="K86" t="str">
            <v>x</v>
          </cell>
          <cell r="L86">
            <v>1</v>
          </cell>
          <cell r="M86" t="str">
            <v>=</v>
          </cell>
          <cell r="N86">
            <v>1</v>
          </cell>
          <cell r="O86" t="str">
            <v>전기1-6</v>
          </cell>
        </row>
        <row r="87">
          <cell r="A87" t="str">
            <v>저압반LV-2</v>
          </cell>
          <cell r="B87" t="str">
            <v>저압반</v>
          </cell>
          <cell r="C87" t="str">
            <v>LV-2</v>
          </cell>
          <cell r="D87" t="str">
            <v>면</v>
          </cell>
          <cell r="E87">
            <v>1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>
            <v>1</v>
          </cell>
          <cell r="K87" t="str">
            <v>x</v>
          </cell>
          <cell r="L87">
            <v>1</v>
          </cell>
          <cell r="M87" t="str">
            <v>=</v>
          </cell>
          <cell r="N87">
            <v>1</v>
          </cell>
          <cell r="O87" t="str">
            <v>전기1-6</v>
          </cell>
        </row>
        <row r="88">
          <cell r="A88" t="str">
            <v>저압반LV-3</v>
          </cell>
          <cell r="B88" t="str">
            <v>저압반</v>
          </cell>
          <cell r="C88" t="str">
            <v>LV-3</v>
          </cell>
          <cell r="D88" t="str">
            <v>면</v>
          </cell>
          <cell r="E88">
            <v>1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  <cell r="K88" t="str">
            <v>x</v>
          </cell>
          <cell r="L88">
            <v>1</v>
          </cell>
          <cell r="M88" t="str">
            <v>=</v>
          </cell>
          <cell r="N88">
            <v>1</v>
          </cell>
          <cell r="O88" t="str">
            <v>전기1-6</v>
          </cell>
        </row>
        <row r="89">
          <cell r="A89" t="str">
            <v>MCCB BOXELB 2P 30/30AT</v>
          </cell>
          <cell r="B89" t="str">
            <v>MCCB BOX</v>
          </cell>
          <cell r="C89" t="str">
            <v>ELB 2P 30/30AT</v>
          </cell>
          <cell r="D89" t="str">
            <v>면</v>
          </cell>
          <cell r="E89" t="str">
            <v/>
          </cell>
          <cell r="F89" t="str">
            <v/>
          </cell>
          <cell r="G89" t="str">
            <v/>
          </cell>
          <cell r="H89">
            <v>5</v>
          </cell>
          <cell r="I89" t="str">
            <v/>
          </cell>
          <cell r="J89">
            <v>5</v>
          </cell>
          <cell r="K89" t="str">
            <v>x</v>
          </cell>
          <cell r="L89">
            <v>1</v>
          </cell>
          <cell r="M89" t="str">
            <v>=</v>
          </cell>
          <cell r="N89">
            <v>5</v>
          </cell>
          <cell r="O89" t="str">
            <v>전기1-6</v>
          </cell>
        </row>
        <row r="90">
          <cell r="A90" t="str">
            <v>MCCB BOXELB 4P 30/20AT</v>
          </cell>
          <cell r="B90" t="str">
            <v>MCCB BOX</v>
          </cell>
          <cell r="C90" t="str">
            <v>ELB 4P 30/20AT</v>
          </cell>
          <cell r="D90" t="str">
            <v>면</v>
          </cell>
          <cell r="E90" t="str">
            <v/>
          </cell>
          <cell r="F90" t="str">
            <v/>
          </cell>
          <cell r="G90" t="str">
            <v/>
          </cell>
          <cell r="H90">
            <v>7</v>
          </cell>
          <cell r="I90" t="str">
            <v/>
          </cell>
          <cell r="J90">
            <v>7</v>
          </cell>
          <cell r="K90" t="str">
            <v>x</v>
          </cell>
          <cell r="L90">
            <v>1</v>
          </cell>
          <cell r="M90" t="str">
            <v>=</v>
          </cell>
          <cell r="N90">
            <v>7</v>
          </cell>
          <cell r="O90" t="str">
            <v>전기1-6</v>
          </cell>
        </row>
        <row r="91">
          <cell r="A91" t="str">
            <v>MCCB BOXELB 4P 50/30AT</v>
          </cell>
          <cell r="B91" t="str">
            <v>MCCB BOX</v>
          </cell>
          <cell r="C91" t="str">
            <v>ELB 4P 50/30AT</v>
          </cell>
          <cell r="D91" t="str">
            <v>면</v>
          </cell>
          <cell r="E91" t="str">
            <v/>
          </cell>
          <cell r="F91" t="str">
            <v/>
          </cell>
          <cell r="G91" t="str">
            <v/>
          </cell>
          <cell r="H91">
            <v>1</v>
          </cell>
          <cell r="I91" t="str">
            <v/>
          </cell>
          <cell r="J91">
            <v>1</v>
          </cell>
          <cell r="K91" t="str">
            <v>x</v>
          </cell>
          <cell r="L91">
            <v>1</v>
          </cell>
          <cell r="M91" t="str">
            <v>=</v>
          </cell>
          <cell r="N91">
            <v>1</v>
          </cell>
          <cell r="O91" t="str">
            <v>전기1-6</v>
          </cell>
        </row>
        <row r="92">
          <cell r="A92" t="str">
            <v>MCCB BOXMCCB 4P 50/40AT</v>
          </cell>
          <cell r="B92" t="str">
            <v>MCCB BOX</v>
          </cell>
          <cell r="C92" t="str">
            <v>MCCB 4P 50/40AT</v>
          </cell>
          <cell r="D92" t="str">
            <v>면</v>
          </cell>
          <cell r="E92" t="str">
            <v/>
          </cell>
          <cell r="F92">
            <v>2</v>
          </cell>
          <cell r="G92" t="str">
            <v/>
          </cell>
          <cell r="H92" t="str">
            <v/>
          </cell>
          <cell r="I92" t="str">
            <v/>
          </cell>
          <cell r="J92">
            <v>2</v>
          </cell>
          <cell r="K92" t="str">
            <v>x</v>
          </cell>
          <cell r="L92">
            <v>1</v>
          </cell>
          <cell r="M92" t="str">
            <v>=</v>
          </cell>
          <cell r="N92">
            <v>2</v>
          </cell>
          <cell r="O92" t="str">
            <v>전기1-6</v>
          </cell>
        </row>
        <row r="93">
          <cell r="A93" t="str">
            <v>MCCB BOXMCCB 4P 100/100AT</v>
          </cell>
          <cell r="B93" t="str">
            <v>MCCB BOX</v>
          </cell>
          <cell r="C93" t="str">
            <v>MCCB 4P 100/100AT</v>
          </cell>
          <cell r="D93" t="str">
            <v>면</v>
          </cell>
          <cell r="E93" t="str">
            <v/>
          </cell>
          <cell r="F93">
            <v>1</v>
          </cell>
          <cell r="G93" t="str">
            <v/>
          </cell>
          <cell r="H93" t="str">
            <v/>
          </cell>
          <cell r="I93" t="str">
            <v/>
          </cell>
          <cell r="J93">
            <v>1</v>
          </cell>
          <cell r="K93" t="str">
            <v>x</v>
          </cell>
          <cell r="L93">
            <v>1</v>
          </cell>
          <cell r="M93" t="str">
            <v>=</v>
          </cell>
          <cell r="N93">
            <v>1</v>
          </cell>
          <cell r="O93" t="str">
            <v>전기1-6</v>
          </cell>
        </row>
        <row r="94">
          <cell r="A94" t="str">
            <v>분전반L-1A</v>
          </cell>
          <cell r="B94" t="str">
            <v>분전반</v>
          </cell>
          <cell r="C94" t="str">
            <v>L-1A</v>
          </cell>
          <cell r="D94" t="str">
            <v>면</v>
          </cell>
          <cell r="E94" t="str">
            <v/>
          </cell>
          <cell r="F94">
            <v>1</v>
          </cell>
          <cell r="G94" t="str">
            <v/>
          </cell>
          <cell r="H94" t="str">
            <v/>
          </cell>
          <cell r="I94" t="str">
            <v/>
          </cell>
          <cell r="J94">
            <v>1</v>
          </cell>
          <cell r="K94" t="str">
            <v>x</v>
          </cell>
          <cell r="L94">
            <v>1</v>
          </cell>
          <cell r="M94" t="str">
            <v>=</v>
          </cell>
          <cell r="N94">
            <v>1</v>
          </cell>
          <cell r="O94" t="str">
            <v>전기1-6</v>
          </cell>
        </row>
        <row r="95">
          <cell r="A95" t="str">
            <v>분전반L-1B</v>
          </cell>
          <cell r="B95" t="str">
            <v>분전반</v>
          </cell>
          <cell r="C95" t="str">
            <v>L-1B</v>
          </cell>
          <cell r="D95" t="str">
            <v>면</v>
          </cell>
          <cell r="E95" t="str">
            <v/>
          </cell>
          <cell r="F95">
            <v>1</v>
          </cell>
          <cell r="G95" t="str">
            <v/>
          </cell>
          <cell r="H95" t="str">
            <v/>
          </cell>
          <cell r="I95" t="str">
            <v/>
          </cell>
          <cell r="J95">
            <v>1</v>
          </cell>
          <cell r="K95" t="str">
            <v>x</v>
          </cell>
          <cell r="L95">
            <v>1</v>
          </cell>
          <cell r="M95" t="str">
            <v>=</v>
          </cell>
          <cell r="N95">
            <v>1</v>
          </cell>
          <cell r="O95" t="str">
            <v>전기1-6</v>
          </cell>
        </row>
        <row r="96">
          <cell r="A96" t="str">
            <v>분전반L-1C</v>
          </cell>
          <cell r="B96" t="str">
            <v>분전반</v>
          </cell>
          <cell r="C96" t="str">
            <v>L-1C</v>
          </cell>
          <cell r="D96" t="str">
            <v>면</v>
          </cell>
          <cell r="E96" t="str">
            <v/>
          </cell>
          <cell r="F96">
            <v>1</v>
          </cell>
          <cell r="G96" t="str">
            <v/>
          </cell>
          <cell r="H96" t="str">
            <v/>
          </cell>
          <cell r="I96" t="str">
            <v/>
          </cell>
          <cell r="J96">
            <v>1</v>
          </cell>
          <cell r="K96" t="str">
            <v>x</v>
          </cell>
          <cell r="L96">
            <v>1</v>
          </cell>
          <cell r="M96" t="str">
            <v>=</v>
          </cell>
          <cell r="N96">
            <v>1</v>
          </cell>
          <cell r="O96" t="str">
            <v>전기1-6</v>
          </cell>
        </row>
        <row r="97">
          <cell r="A97" t="str">
            <v>분전반L-2A</v>
          </cell>
          <cell r="B97" t="str">
            <v>분전반</v>
          </cell>
          <cell r="C97" t="str">
            <v>L-2A</v>
          </cell>
          <cell r="D97" t="str">
            <v>면</v>
          </cell>
          <cell r="E97" t="str">
            <v/>
          </cell>
          <cell r="F97">
            <v>1</v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  <cell r="K97" t="str">
            <v>x</v>
          </cell>
          <cell r="L97">
            <v>1</v>
          </cell>
          <cell r="M97" t="str">
            <v>=</v>
          </cell>
          <cell r="N97">
            <v>1</v>
          </cell>
          <cell r="O97" t="str">
            <v>전기1-6</v>
          </cell>
        </row>
        <row r="98">
          <cell r="A98" t="str">
            <v>분전반L-2B,2C</v>
          </cell>
          <cell r="B98" t="str">
            <v>분전반</v>
          </cell>
          <cell r="C98" t="str">
            <v>L-2B,2C</v>
          </cell>
          <cell r="D98" t="str">
            <v>면</v>
          </cell>
          <cell r="E98" t="str">
            <v/>
          </cell>
          <cell r="F98">
            <v>2</v>
          </cell>
          <cell r="G98" t="str">
            <v/>
          </cell>
          <cell r="H98" t="str">
            <v/>
          </cell>
          <cell r="I98" t="str">
            <v/>
          </cell>
          <cell r="J98">
            <v>2</v>
          </cell>
          <cell r="K98" t="str">
            <v>x</v>
          </cell>
          <cell r="L98">
            <v>1</v>
          </cell>
          <cell r="M98" t="str">
            <v>=</v>
          </cell>
          <cell r="N98">
            <v>2</v>
          </cell>
          <cell r="O98" t="str">
            <v>전기1-6</v>
          </cell>
        </row>
        <row r="99">
          <cell r="A99" t="str">
            <v>분전반P-1A</v>
          </cell>
          <cell r="B99" t="str">
            <v>분전반</v>
          </cell>
          <cell r="C99" t="str">
            <v>P-1A</v>
          </cell>
          <cell r="D99" t="str">
            <v>면</v>
          </cell>
          <cell r="E99" t="str">
            <v/>
          </cell>
          <cell r="F99">
            <v>1</v>
          </cell>
          <cell r="G99" t="str">
            <v/>
          </cell>
          <cell r="H99" t="str">
            <v/>
          </cell>
          <cell r="I99" t="str">
            <v/>
          </cell>
          <cell r="J99">
            <v>1</v>
          </cell>
          <cell r="K99" t="str">
            <v>x</v>
          </cell>
          <cell r="L99">
            <v>1</v>
          </cell>
          <cell r="M99" t="str">
            <v>=</v>
          </cell>
          <cell r="N99">
            <v>1</v>
          </cell>
          <cell r="O99" t="str">
            <v>전기1-6</v>
          </cell>
        </row>
        <row r="100">
          <cell r="A100" t="str">
            <v>분전반P-1B</v>
          </cell>
          <cell r="B100" t="str">
            <v>분전반</v>
          </cell>
          <cell r="C100" t="str">
            <v>P-1B</v>
          </cell>
          <cell r="D100" t="str">
            <v>면</v>
          </cell>
          <cell r="E100" t="str">
            <v/>
          </cell>
          <cell r="F100">
            <v>1</v>
          </cell>
          <cell r="G100" t="str">
            <v/>
          </cell>
          <cell r="H100" t="str">
            <v/>
          </cell>
          <cell r="I100" t="str">
            <v/>
          </cell>
          <cell r="J100">
            <v>1</v>
          </cell>
          <cell r="K100" t="str">
            <v>x</v>
          </cell>
          <cell r="L100">
            <v>1</v>
          </cell>
          <cell r="M100" t="str">
            <v>=</v>
          </cell>
          <cell r="N100">
            <v>1</v>
          </cell>
          <cell r="O100" t="str">
            <v>전기1-6</v>
          </cell>
        </row>
        <row r="101">
          <cell r="A101" t="str">
            <v>분전반P-1C</v>
          </cell>
          <cell r="B101" t="str">
            <v>분전반</v>
          </cell>
          <cell r="C101" t="str">
            <v>P-1C</v>
          </cell>
          <cell r="D101" t="str">
            <v>면</v>
          </cell>
          <cell r="E101" t="str">
            <v/>
          </cell>
          <cell r="F101">
            <v>1</v>
          </cell>
          <cell r="G101" t="str">
            <v/>
          </cell>
          <cell r="H101" t="str">
            <v/>
          </cell>
          <cell r="I101" t="str">
            <v/>
          </cell>
          <cell r="J101">
            <v>1</v>
          </cell>
          <cell r="K101" t="str">
            <v>x</v>
          </cell>
          <cell r="L101">
            <v>1</v>
          </cell>
          <cell r="M101" t="str">
            <v>=</v>
          </cell>
          <cell r="N101">
            <v>1</v>
          </cell>
          <cell r="O101" t="str">
            <v>전기1-6</v>
          </cell>
        </row>
        <row r="102">
          <cell r="A102" t="str">
            <v>분전반P-2A,2B</v>
          </cell>
          <cell r="B102" t="str">
            <v>분전반</v>
          </cell>
          <cell r="C102" t="str">
            <v>P-2A,2B</v>
          </cell>
          <cell r="D102" t="str">
            <v>면</v>
          </cell>
          <cell r="E102" t="str">
            <v/>
          </cell>
          <cell r="F102">
            <v>2</v>
          </cell>
          <cell r="G102" t="str">
            <v/>
          </cell>
          <cell r="H102" t="str">
            <v/>
          </cell>
          <cell r="I102" t="str">
            <v/>
          </cell>
          <cell r="J102">
            <v>2</v>
          </cell>
          <cell r="K102" t="str">
            <v>x</v>
          </cell>
          <cell r="L102">
            <v>1</v>
          </cell>
          <cell r="M102" t="str">
            <v>=</v>
          </cell>
          <cell r="N102">
            <v>2</v>
          </cell>
          <cell r="O102" t="str">
            <v>전기1-6</v>
          </cell>
        </row>
        <row r="103">
          <cell r="A103" t="str">
            <v>분전반P-2C</v>
          </cell>
          <cell r="B103" t="str">
            <v>분전반</v>
          </cell>
          <cell r="C103" t="str">
            <v>P-2C</v>
          </cell>
          <cell r="D103" t="str">
            <v>면</v>
          </cell>
          <cell r="E103" t="str">
            <v/>
          </cell>
          <cell r="F103">
            <v>1</v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  <cell r="K103" t="str">
            <v>x</v>
          </cell>
          <cell r="L103">
            <v>1</v>
          </cell>
          <cell r="M103" t="str">
            <v>=</v>
          </cell>
          <cell r="N103">
            <v>1</v>
          </cell>
          <cell r="O103" t="str">
            <v>전기1-6</v>
          </cell>
        </row>
        <row r="104">
          <cell r="A104" t="str">
            <v>분전반P-J</v>
          </cell>
          <cell r="B104" t="str">
            <v>분전반</v>
          </cell>
          <cell r="C104" t="str">
            <v>P-J</v>
          </cell>
          <cell r="D104" t="str">
            <v>면</v>
          </cell>
          <cell r="E104" t="str">
            <v/>
          </cell>
          <cell r="F104">
            <v>1</v>
          </cell>
          <cell r="G104" t="str">
            <v/>
          </cell>
          <cell r="H104" t="str">
            <v/>
          </cell>
          <cell r="I104" t="str">
            <v/>
          </cell>
          <cell r="J104">
            <v>1</v>
          </cell>
          <cell r="K104" t="str">
            <v>x</v>
          </cell>
          <cell r="L104">
            <v>1</v>
          </cell>
          <cell r="M104" t="str">
            <v>=</v>
          </cell>
          <cell r="N104">
            <v>1</v>
          </cell>
          <cell r="O104" t="str">
            <v>전기1-6</v>
          </cell>
        </row>
        <row r="105">
          <cell r="A105" t="str">
            <v>조명기구 A TYPE매입개방 FL 2/32W</v>
          </cell>
          <cell r="B105" t="str">
            <v>조명기구 A TYPE</v>
          </cell>
          <cell r="C105" t="str">
            <v>매입개방 FL 2/32W</v>
          </cell>
          <cell r="D105" t="str">
            <v>EA</v>
          </cell>
          <cell r="E105" t="str">
            <v/>
          </cell>
          <cell r="F105" t="str">
            <v/>
          </cell>
          <cell r="G105">
            <v>51</v>
          </cell>
          <cell r="H105" t="str">
            <v/>
          </cell>
          <cell r="I105" t="str">
            <v/>
          </cell>
          <cell r="J105">
            <v>51</v>
          </cell>
          <cell r="K105" t="str">
            <v>x</v>
          </cell>
          <cell r="L105">
            <v>1</v>
          </cell>
          <cell r="M105" t="str">
            <v>=</v>
          </cell>
          <cell r="N105">
            <v>51</v>
          </cell>
          <cell r="O105" t="str">
            <v>전기1-6</v>
          </cell>
        </row>
        <row r="106">
          <cell r="A106" t="str">
            <v>조명기구 C TYPE파라보릭 FL 2/32W</v>
          </cell>
          <cell r="B106" t="str">
            <v>조명기구 C TYPE</v>
          </cell>
          <cell r="C106" t="str">
            <v>파라보릭 FL 2/32W</v>
          </cell>
          <cell r="D106" t="str">
            <v>EA</v>
          </cell>
          <cell r="E106" t="str">
            <v/>
          </cell>
          <cell r="F106" t="str">
            <v/>
          </cell>
          <cell r="G106">
            <v>66</v>
          </cell>
          <cell r="H106" t="str">
            <v/>
          </cell>
          <cell r="I106" t="str">
            <v/>
          </cell>
          <cell r="J106">
            <v>66</v>
          </cell>
          <cell r="K106" t="str">
            <v>x</v>
          </cell>
          <cell r="L106">
            <v>1</v>
          </cell>
          <cell r="M106" t="str">
            <v>=</v>
          </cell>
          <cell r="N106">
            <v>66</v>
          </cell>
          <cell r="O106" t="str">
            <v>전기1-6</v>
          </cell>
        </row>
        <row r="107">
          <cell r="A107" t="str">
            <v>조명기구 D TYPE매입프리즘 FL 1/32W</v>
          </cell>
          <cell r="B107" t="str">
            <v>조명기구 D TYPE</v>
          </cell>
          <cell r="C107" t="str">
            <v>매입프리즘 FL 1/32W</v>
          </cell>
          <cell r="D107" t="str">
            <v>EA</v>
          </cell>
          <cell r="E107" t="str">
            <v/>
          </cell>
          <cell r="F107" t="str">
            <v/>
          </cell>
          <cell r="G107">
            <v>32</v>
          </cell>
          <cell r="H107" t="str">
            <v/>
          </cell>
          <cell r="I107" t="str">
            <v/>
          </cell>
          <cell r="J107">
            <v>32</v>
          </cell>
          <cell r="K107" t="str">
            <v>x</v>
          </cell>
          <cell r="L107">
            <v>1</v>
          </cell>
          <cell r="M107" t="str">
            <v>=</v>
          </cell>
          <cell r="N107">
            <v>32</v>
          </cell>
          <cell r="O107" t="str">
            <v>전기1-6</v>
          </cell>
        </row>
        <row r="108">
          <cell r="A108" t="str">
            <v>조명기구 E TYPE직부아크릴 FL 1/32W</v>
          </cell>
          <cell r="B108" t="str">
            <v>조명기구 E TYPE</v>
          </cell>
          <cell r="C108" t="str">
            <v>직부아크릴 FL 1/32W</v>
          </cell>
          <cell r="D108" t="str">
            <v>EA</v>
          </cell>
          <cell r="E108" t="str">
            <v/>
          </cell>
          <cell r="F108" t="str">
            <v/>
          </cell>
          <cell r="G108">
            <v>14</v>
          </cell>
          <cell r="H108" t="str">
            <v/>
          </cell>
          <cell r="I108" t="str">
            <v/>
          </cell>
          <cell r="J108">
            <v>14</v>
          </cell>
          <cell r="K108" t="str">
            <v>x</v>
          </cell>
          <cell r="L108">
            <v>1</v>
          </cell>
          <cell r="M108" t="str">
            <v>=</v>
          </cell>
          <cell r="N108">
            <v>14</v>
          </cell>
          <cell r="O108" t="str">
            <v>전기1-6</v>
          </cell>
        </row>
        <row r="109">
          <cell r="A109" t="str">
            <v>조명기구 F TYPE갓등(P/P) FL 2/32W</v>
          </cell>
          <cell r="B109" t="str">
            <v>조명기구 F TYPE</v>
          </cell>
          <cell r="C109" t="str">
            <v>갓등(P/P) FL 2/32W</v>
          </cell>
          <cell r="D109" t="str">
            <v>EA</v>
          </cell>
          <cell r="E109" t="str">
            <v/>
          </cell>
          <cell r="F109" t="str">
            <v/>
          </cell>
          <cell r="G109">
            <v>24</v>
          </cell>
          <cell r="H109" t="str">
            <v/>
          </cell>
          <cell r="I109" t="str">
            <v/>
          </cell>
          <cell r="J109">
            <v>24</v>
          </cell>
          <cell r="K109" t="str">
            <v>x</v>
          </cell>
          <cell r="L109">
            <v>1</v>
          </cell>
          <cell r="M109" t="str">
            <v>=</v>
          </cell>
          <cell r="N109">
            <v>24</v>
          </cell>
          <cell r="O109" t="str">
            <v>전기1-6</v>
          </cell>
        </row>
        <row r="110">
          <cell r="A110" t="str">
            <v>조명기구 G TYPE갓등(P/P) FL 1/32W</v>
          </cell>
          <cell r="B110" t="str">
            <v>조명기구 G TYPE</v>
          </cell>
          <cell r="C110" t="str">
            <v>갓등(P/P) FL 1/32W</v>
          </cell>
          <cell r="D110" t="str">
            <v>EA</v>
          </cell>
          <cell r="E110" t="str">
            <v/>
          </cell>
          <cell r="F110" t="str">
            <v/>
          </cell>
          <cell r="G110">
            <v>10</v>
          </cell>
          <cell r="H110" t="str">
            <v/>
          </cell>
          <cell r="I110" t="str">
            <v/>
          </cell>
          <cell r="J110">
            <v>10</v>
          </cell>
          <cell r="K110" t="str">
            <v>x</v>
          </cell>
          <cell r="L110">
            <v>1</v>
          </cell>
          <cell r="M110" t="str">
            <v>=</v>
          </cell>
          <cell r="N110">
            <v>10</v>
          </cell>
          <cell r="O110" t="str">
            <v>전기1-6</v>
          </cell>
        </row>
        <row r="111">
          <cell r="A111" t="str">
            <v>조명기구 H TYPE직갓등 FL 1/32W</v>
          </cell>
          <cell r="B111" t="str">
            <v>조명기구 H TYPE</v>
          </cell>
          <cell r="C111" t="str">
            <v>직갓등 FL 1/32W</v>
          </cell>
          <cell r="D111" t="str">
            <v>EA</v>
          </cell>
          <cell r="E111" t="str">
            <v/>
          </cell>
          <cell r="F111" t="str">
            <v/>
          </cell>
          <cell r="G111">
            <v>4</v>
          </cell>
          <cell r="H111" t="str">
            <v/>
          </cell>
          <cell r="I111" t="str">
            <v/>
          </cell>
          <cell r="J111">
            <v>4</v>
          </cell>
          <cell r="K111" t="str">
            <v>x</v>
          </cell>
          <cell r="L111">
            <v>1</v>
          </cell>
          <cell r="M111" t="str">
            <v>=</v>
          </cell>
          <cell r="N111">
            <v>4</v>
          </cell>
          <cell r="O111" t="str">
            <v>전기1-6</v>
          </cell>
        </row>
        <row r="112">
          <cell r="A112" t="str">
            <v>조명기구 J TYPE원형방등 FCL 32W+40W</v>
          </cell>
          <cell r="B112" t="str">
            <v>조명기구 J TYPE</v>
          </cell>
          <cell r="C112" t="str">
            <v>원형방등 FCL 32W+40W</v>
          </cell>
          <cell r="D112" t="str">
            <v>EA</v>
          </cell>
          <cell r="E112" t="str">
            <v/>
          </cell>
          <cell r="F112" t="str">
            <v/>
          </cell>
          <cell r="G112">
            <v>35</v>
          </cell>
          <cell r="H112" t="str">
            <v/>
          </cell>
          <cell r="I112" t="str">
            <v/>
          </cell>
          <cell r="J112">
            <v>35</v>
          </cell>
          <cell r="K112" t="str">
            <v>x</v>
          </cell>
          <cell r="L112">
            <v>1</v>
          </cell>
          <cell r="M112" t="str">
            <v>=</v>
          </cell>
          <cell r="N112">
            <v>35</v>
          </cell>
          <cell r="O112" t="str">
            <v>전기1-6</v>
          </cell>
        </row>
        <row r="113">
          <cell r="A113" t="str">
            <v>조명기구 K TYPE매입등 FUL 2/13W</v>
          </cell>
          <cell r="B113" t="str">
            <v>조명기구 K TYPE</v>
          </cell>
          <cell r="C113" t="str">
            <v>매입등 FUL 2/13W</v>
          </cell>
          <cell r="D113" t="str">
            <v>EA</v>
          </cell>
          <cell r="E113" t="str">
            <v/>
          </cell>
          <cell r="F113" t="str">
            <v/>
          </cell>
          <cell r="G113">
            <v>60</v>
          </cell>
          <cell r="H113" t="str">
            <v/>
          </cell>
          <cell r="I113" t="str">
            <v/>
          </cell>
          <cell r="J113">
            <v>60</v>
          </cell>
          <cell r="K113" t="str">
            <v>x</v>
          </cell>
          <cell r="L113">
            <v>1</v>
          </cell>
          <cell r="M113" t="str">
            <v>=</v>
          </cell>
          <cell r="N113">
            <v>60</v>
          </cell>
          <cell r="O113" t="str">
            <v>전기1-6</v>
          </cell>
        </row>
        <row r="114">
          <cell r="A114" t="str">
            <v>조명기구 L TYPE매입등 FUL 1/13W</v>
          </cell>
          <cell r="B114" t="str">
            <v>조명기구 L TYPE</v>
          </cell>
          <cell r="C114" t="str">
            <v>매입등 FUL 1/13W</v>
          </cell>
          <cell r="D114" t="str">
            <v>EA</v>
          </cell>
          <cell r="E114" t="str">
            <v/>
          </cell>
          <cell r="F114" t="str">
            <v/>
          </cell>
          <cell r="G114">
            <v>8</v>
          </cell>
          <cell r="H114" t="str">
            <v/>
          </cell>
          <cell r="I114" t="str">
            <v/>
          </cell>
          <cell r="J114">
            <v>8</v>
          </cell>
          <cell r="K114" t="str">
            <v>x</v>
          </cell>
          <cell r="L114">
            <v>1</v>
          </cell>
          <cell r="M114" t="str">
            <v>=</v>
          </cell>
          <cell r="N114">
            <v>8</v>
          </cell>
          <cell r="O114" t="str">
            <v>전기1-6</v>
          </cell>
        </row>
        <row r="115">
          <cell r="A115" t="str">
            <v>조명기구 M TYPE쎈서등 IL 60W</v>
          </cell>
          <cell r="B115" t="str">
            <v>조명기구 M TYPE</v>
          </cell>
          <cell r="C115" t="str">
            <v>쎈서등 IL 60W</v>
          </cell>
          <cell r="D115" t="str">
            <v>EA</v>
          </cell>
          <cell r="E115" t="str">
            <v/>
          </cell>
          <cell r="F115" t="str">
            <v/>
          </cell>
          <cell r="G115">
            <v>34</v>
          </cell>
          <cell r="H115" t="str">
            <v/>
          </cell>
          <cell r="I115" t="str">
            <v/>
          </cell>
          <cell r="J115">
            <v>34</v>
          </cell>
          <cell r="K115" t="str">
            <v>x</v>
          </cell>
          <cell r="L115">
            <v>1</v>
          </cell>
          <cell r="M115" t="str">
            <v>=</v>
          </cell>
          <cell r="N115">
            <v>34</v>
          </cell>
          <cell r="O115" t="str">
            <v>전기1-6</v>
          </cell>
        </row>
        <row r="116">
          <cell r="A116" t="str">
            <v>조명기구 N TYPE직부등 IL 60W</v>
          </cell>
          <cell r="B116" t="str">
            <v>조명기구 N TYPE</v>
          </cell>
          <cell r="C116" t="str">
            <v>직부등 IL 60W</v>
          </cell>
          <cell r="D116" t="str">
            <v>EA</v>
          </cell>
          <cell r="E116" t="str">
            <v/>
          </cell>
          <cell r="F116" t="str">
            <v/>
          </cell>
          <cell r="G116">
            <v>21</v>
          </cell>
          <cell r="H116" t="str">
            <v/>
          </cell>
          <cell r="I116" t="str">
            <v/>
          </cell>
          <cell r="J116">
            <v>21</v>
          </cell>
          <cell r="K116" t="str">
            <v>x</v>
          </cell>
          <cell r="L116">
            <v>1</v>
          </cell>
          <cell r="M116" t="str">
            <v>=</v>
          </cell>
          <cell r="N116">
            <v>21</v>
          </cell>
          <cell r="O116" t="str">
            <v>전기1-6</v>
          </cell>
        </row>
        <row r="117">
          <cell r="A117" t="str">
            <v>조명기구 O TYPE원형벽등 IL 60W</v>
          </cell>
          <cell r="B117" t="str">
            <v>조명기구 O TYPE</v>
          </cell>
          <cell r="C117" t="str">
            <v>원형벽등 IL 60W</v>
          </cell>
          <cell r="D117" t="str">
            <v>EA</v>
          </cell>
          <cell r="E117" t="str">
            <v/>
          </cell>
          <cell r="F117" t="str">
            <v/>
          </cell>
          <cell r="G117">
            <v>10</v>
          </cell>
          <cell r="H117" t="str">
            <v/>
          </cell>
          <cell r="I117" t="str">
            <v/>
          </cell>
          <cell r="J117">
            <v>10</v>
          </cell>
          <cell r="K117" t="str">
            <v>x</v>
          </cell>
          <cell r="L117">
            <v>1</v>
          </cell>
          <cell r="M117" t="str">
            <v>=</v>
          </cell>
          <cell r="N117">
            <v>10</v>
          </cell>
          <cell r="O117" t="str">
            <v>전기1-6</v>
          </cell>
        </row>
        <row r="118">
          <cell r="A118" t="str">
            <v>조명기구 P TYPE벽부등 IL 100W</v>
          </cell>
          <cell r="B118" t="str">
            <v>조명기구 P TYPE</v>
          </cell>
          <cell r="C118" t="str">
            <v>벽부등 IL 100W</v>
          </cell>
          <cell r="D118" t="str">
            <v>EA</v>
          </cell>
          <cell r="E118" t="str">
            <v/>
          </cell>
          <cell r="F118" t="str">
            <v/>
          </cell>
          <cell r="G118">
            <v>13</v>
          </cell>
          <cell r="H118" t="str">
            <v/>
          </cell>
          <cell r="I118" t="str">
            <v/>
          </cell>
          <cell r="J118">
            <v>13</v>
          </cell>
          <cell r="K118" t="str">
            <v>x</v>
          </cell>
          <cell r="L118">
            <v>1</v>
          </cell>
          <cell r="M118" t="str">
            <v>=</v>
          </cell>
          <cell r="N118">
            <v>13</v>
          </cell>
          <cell r="O118" t="str">
            <v>전기1-6</v>
          </cell>
        </row>
        <row r="119">
          <cell r="A119" t="str">
            <v>조명기구 Q TYPE매입등 IL 30W</v>
          </cell>
          <cell r="B119" t="str">
            <v>조명기구 Q TYPE</v>
          </cell>
          <cell r="C119" t="str">
            <v>매입등 IL 30W</v>
          </cell>
          <cell r="D119" t="str">
            <v>EA</v>
          </cell>
          <cell r="E119" t="str">
            <v/>
          </cell>
          <cell r="F119" t="str">
            <v/>
          </cell>
          <cell r="G119">
            <v>34</v>
          </cell>
          <cell r="H119" t="str">
            <v/>
          </cell>
          <cell r="I119" t="str">
            <v/>
          </cell>
          <cell r="J119">
            <v>34</v>
          </cell>
          <cell r="K119" t="str">
            <v>x</v>
          </cell>
          <cell r="L119">
            <v>1</v>
          </cell>
          <cell r="M119" t="str">
            <v>=</v>
          </cell>
          <cell r="N119">
            <v>34</v>
          </cell>
          <cell r="O119" t="str">
            <v>전기1-6</v>
          </cell>
        </row>
        <row r="132">
          <cell r="A132" t="str">
            <v/>
          </cell>
          <cell r="E132" t="str">
            <v/>
          </cell>
          <cell r="F132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VXXXXX"/>
      <sheetName val="고산육교"/>
      <sheetName val="노변육교"/>
      <sheetName val="#REF"/>
      <sheetName val="2공구교량전압강하"/>
    </sheetNames>
    <definedNames>
      <definedName name="Macro12"/>
      <definedName name="Macro13"/>
      <definedName name="Macro14"/>
      <definedName name="Macro6"/>
      <definedName name="Macro7"/>
      <definedName name="Macro8"/>
      <definedName name="Macro9"/>
    </defined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표지제목"/>
      <sheetName val="내역"/>
      <sheetName val="일위대가"/>
      <sheetName val="단가"/>
      <sheetName val="김천일위"/>
      <sheetName val="200"/>
      <sheetName val="가로등내역서"/>
      <sheetName val="원가입력"/>
      <sheetName val="관개"/>
      <sheetName val="일위대가목차"/>
      <sheetName val="FILE1"/>
      <sheetName val="A-4"/>
      <sheetName val="설계내역서"/>
      <sheetName val="000000"/>
      <sheetName val="재료"/>
      <sheetName val="단중표"/>
      <sheetName val="DANGA"/>
      <sheetName val="1차설계변경내역"/>
      <sheetName val="#REF"/>
      <sheetName val="노임"/>
      <sheetName val="지급자재"/>
      <sheetName val="설계조건"/>
      <sheetName val="자료입력"/>
      <sheetName val="합천내역"/>
      <sheetName val="과세내역(세부)"/>
      <sheetName val="1.수인터널"/>
      <sheetName val="입찰보고"/>
      <sheetName val="2000년 공정표"/>
      <sheetName val="조명율표"/>
      <sheetName val="직노"/>
      <sheetName val="실행내역"/>
      <sheetName val="일위대가(계측기설치)"/>
      <sheetName val="금액내역서"/>
      <sheetName val="손익분석"/>
      <sheetName val="전기일위대가"/>
      <sheetName val="자재단가"/>
      <sheetName val="제경비율"/>
      <sheetName val="Sheet1"/>
      <sheetName val="WORK"/>
      <sheetName val="DATA"/>
      <sheetName val="부대공Ⅱ"/>
      <sheetName val="평3"/>
      <sheetName val="처리단락"/>
      <sheetName val="단가비교표_공통1"/>
      <sheetName val="공사설계서"/>
      <sheetName val="내역서"/>
      <sheetName val="5(철거수량)"/>
      <sheetName val="CAT_5"/>
      <sheetName val="관리,공감"/>
      <sheetName val="백암비스타내역"/>
      <sheetName val="Sheet5"/>
      <sheetName val="48일위"/>
      <sheetName val="자재"/>
      <sheetName val="산출근거"/>
      <sheetName val="SLAB&quot;1&quot;"/>
      <sheetName val="96정변2"/>
      <sheetName val="공사비명세서"/>
      <sheetName val="통로box전기"/>
      <sheetName val="I一般比"/>
      <sheetName val="개요"/>
      <sheetName val="IW-LIST"/>
      <sheetName val="총괄표"/>
      <sheetName val="일위집계"/>
      <sheetName val="3BL공동구 수량"/>
      <sheetName val="LD"/>
      <sheetName val="토공 total"/>
      <sheetName val="조경일람"/>
      <sheetName val="공사직종별노임"/>
      <sheetName val="집계표"/>
      <sheetName val="노임단가"/>
      <sheetName val="예산변경사항"/>
      <sheetName val="토사(PE)"/>
      <sheetName val="수량집계 (2)"/>
      <sheetName val="#3_일위대가목록"/>
      <sheetName val="11.자재단가"/>
      <sheetName val="TOTAL"/>
      <sheetName val="갑지"/>
      <sheetName val="부대단위수량"/>
      <sheetName val="BOX전기내역"/>
      <sheetName val="20관리비율"/>
      <sheetName val="요율"/>
      <sheetName val="준검 내역서"/>
      <sheetName val="하수처리장"/>
      <sheetName val="벽산건설"/>
      <sheetName val="N賃率-職"/>
      <sheetName val="단가조사"/>
      <sheetName val="보호"/>
      <sheetName val="101동"/>
      <sheetName val="지하1층"/>
      <sheetName val="b_balju_cho"/>
      <sheetName val="설계예산서"/>
      <sheetName val="도급내역서(재노경)"/>
      <sheetName val="견적의뢰"/>
      <sheetName val="총(철거)"/>
      <sheetName val="전기BOX내역서"/>
      <sheetName val="견적서"/>
      <sheetName val="Tbom-tot"/>
      <sheetName val="골재산출"/>
      <sheetName val="일위대가표"/>
      <sheetName val="단가 및 재료비"/>
      <sheetName val="방송일위대가"/>
      <sheetName val="220 (2)"/>
      <sheetName val="램머"/>
      <sheetName val="수량산출서"/>
      <sheetName val="청천내"/>
      <sheetName val="약품공급2"/>
      <sheetName val="법면"/>
      <sheetName val="부대공"/>
      <sheetName val="배수공1"/>
      <sheetName val="구조물공"/>
      <sheetName val="중기일위대가"/>
      <sheetName val="포장공"/>
      <sheetName val="토공"/>
      <sheetName val="7. Cable(설명)-IEC"/>
      <sheetName val="관람석제출"/>
      <sheetName val="내역서01"/>
      <sheetName val="설계명세서"/>
      <sheetName val="깨기"/>
      <sheetName val="역공종"/>
      <sheetName val="VXXXXX"/>
      <sheetName val="식생블럭단위수량"/>
      <sheetName val="교각1"/>
      <sheetName val="터널조도"/>
      <sheetName val="초기화면"/>
      <sheetName val="guard(mac)"/>
      <sheetName val="공종단가"/>
      <sheetName val="인건비 "/>
      <sheetName val="내역서(중수)"/>
      <sheetName val="MCC제원"/>
      <sheetName val="전차선로 물량표"/>
      <sheetName val="공통가설"/>
      <sheetName val="노임,재료비"/>
      <sheetName val="Macro(전선)"/>
      <sheetName val="자재단가표"/>
      <sheetName val="케이블"/>
      <sheetName val="수량산출서 갑지"/>
      <sheetName val="범용개발순소요비용"/>
      <sheetName val="COST"/>
      <sheetName val="수전기기DATA"/>
      <sheetName val="Baby일위대가"/>
      <sheetName val="품셈TABLE"/>
      <sheetName val="KMT물량"/>
      <sheetName val="표지"/>
      <sheetName val="가설공사내역"/>
      <sheetName val="Y-WORK"/>
      <sheetName val="집계"/>
      <sheetName val="1공구 건정토건 토공"/>
      <sheetName val="공기압축기실"/>
      <sheetName val="전기내역서(총계)"/>
      <sheetName val="Macro(전기)"/>
      <sheetName val="산업"/>
      <sheetName val="변경총괄지(1)"/>
      <sheetName val="노무비"/>
      <sheetName val="COST "/>
      <sheetName val="철근량 검토"/>
      <sheetName val="원가계산서"/>
      <sheetName val="3본사"/>
      <sheetName val="간선계산"/>
      <sheetName val="고시단가"/>
      <sheetName val="입찰안"/>
      <sheetName val="TB-내역서"/>
      <sheetName val="토적"/>
      <sheetName val="5.정산서"/>
      <sheetName val="단가산출"/>
      <sheetName val="단면 (2)"/>
      <sheetName val="내역서(전기)"/>
      <sheetName val="소야공정계획표"/>
      <sheetName val="예산M11A"/>
      <sheetName val="공사비대비표B(토공)"/>
      <sheetName val="내역(설계)"/>
      <sheetName val="차수공개요"/>
      <sheetName val="적용토목"/>
      <sheetName val="데리네이타현황"/>
      <sheetName val="부안일위"/>
      <sheetName val="전기"/>
      <sheetName val="당초"/>
      <sheetName val="시공(팔라우)"/>
      <sheetName val="현장"/>
      <sheetName val="토공총괄집계"/>
      <sheetName val="기둥(원형)"/>
      <sheetName val="3.내역서"/>
      <sheetName val="참조"/>
      <sheetName val="2.단면가정"/>
      <sheetName val="INPUT(덕도방향-시점)"/>
      <sheetName val="기계경비(시간당)"/>
      <sheetName val="Inputs"/>
      <sheetName val="Cost Inputs"/>
      <sheetName val="CODE"/>
      <sheetName val="부대내역"/>
      <sheetName val="건축공사"/>
      <sheetName val="하조서"/>
      <sheetName val="층"/>
      <sheetName val="코드표"/>
      <sheetName val="발주설계서(당초)"/>
      <sheetName val="총공사내역서"/>
      <sheetName val="종배수관설치현황"/>
      <sheetName val="비용"/>
      <sheetName val="Macro(차단기)"/>
      <sheetName val="제수"/>
      <sheetName val="공기"/>
      <sheetName val="건축내역"/>
      <sheetName val="계수시트"/>
      <sheetName val="장비당단가 (1)"/>
      <sheetName val="물량표"/>
      <sheetName val="도담구내 개소별 명세"/>
      <sheetName val="01"/>
      <sheetName val="gvl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AIR SHOWER(3인용)"/>
      <sheetName val="집"/>
      <sheetName val="MOTOR"/>
      <sheetName val="인건비"/>
      <sheetName val="공사서류양식"/>
      <sheetName val="공사비총괄표"/>
      <sheetName val="내역갑지"/>
      <sheetName val="항공측량노임단가"/>
      <sheetName val="예산서"/>
      <sheetName val="기타 정보통신공사"/>
      <sheetName val="순성토"/>
      <sheetName val="내역총괄"/>
      <sheetName val="내역총괄2"/>
      <sheetName val="내역총괄3"/>
      <sheetName val="0"/>
      <sheetName val="실행내역(현대)"/>
      <sheetName val="횡배수관토공수량"/>
      <sheetName val="검수고1-1층"/>
      <sheetName val="EACT10"/>
      <sheetName val="공사착공계"/>
      <sheetName val="Factor"/>
      <sheetName val="단면가정"/>
      <sheetName val="소방 "/>
      <sheetName val="문학간접"/>
      <sheetName val="광산내역"/>
      <sheetName val="DATE"/>
      <sheetName val="한일양산"/>
      <sheetName val="귀래 설계 공내역서"/>
      <sheetName val="기초분물량표"/>
      <sheetName val="도로단위당"/>
      <sheetName val="예산서 "/>
      <sheetName val="적용기준"/>
      <sheetName val="2.호선별예상실적"/>
      <sheetName val="4.고용보험"/>
      <sheetName val="Sheet1 (2)"/>
      <sheetName val="6.콘덴서"/>
      <sheetName val="반응조"/>
      <sheetName val="기초단가"/>
      <sheetName val="단가조사-2"/>
      <sheetName val="8.PILE  (돌출)"/>
      <sheetName val="부하자료"/>
      <sheetName val="전선 및 전선관"/>
      <sheetName val="3CHBDC"/>
      <sheetName val="1.설계조건"/>
      <sheetName val="b_balju"/>
      <sheetName val="건축개요"/>
      <sheetName val="신우"/>
      <sheetName val="기초자료"/>
      <sheetName val="일위대가(가설)"/>
      <sheetName val="4차원가계산서"/>
      <sheetName val="기계경비"/>
      <sheetName val="LABTOTAL"/>
      <sheetName val="세부내역"/>
      <sheetName val="실행"/>
      <sheetName val="FORM-0"/>
      <sheetName val="표  지"/>
      <sheetName val="일위대가목록"/>
      <sheetName val="정부노임단가"/>
      <sheetName val="단가표"/>
      <sheetName val="년도별시공"/>
      <sheetName val="내역_ver1.0"/>
      <sheetName val="점수계산1-2"/>
      <sheetName val="원형1호맨홀토공수량"/>
      <sheetName val="내역을"/>
      <sheetName val="입적표"/>
      <sheetName val="재료비내역서"/>
      <sheetName val="교통대책내역"/>
      <sheetName val="부표총괄"/>
      <sheetName val="품셈1-26"/>
      <sheetName val="CIVIL"/>
      <sheetName val="costing_CV"/>
      <sheetName val="costing_ESDV"/>
      <sheetName val="costing_MOV"/>
      <sheetName val="costing_Press"/>
      <sheetName val="투찰추정"/>
      <sheetName val="6차2회변경내역서"/>
      <sheetName val="조명시설"/>
      <sheetName val="수량산출"/>
      <sheetName val="토 적 표"/>
      <sheetName val="정산내역서"/>
      <sheetName val="사다리"/>
      <sheetName val="본사업"/>
      <sheetName val="슬래브(유곡)"/>
      <sheetName val="직공비"/>
      <sheetName val="평균물량산출서"/>
      <sheetName val="교각별철근수량집계표"/>
      <sheetName val="2공구산출내역"/>
      <sheetName val="BID"/>
      <sheetName val="총수량집계표"/>
      <sheetName val="VV보온LINK"/>
      <sheetName val="FIT보온LINK"/>
      <sheetName val="동해묵호1내역"/>
      <sheetName val="Data&amp;Result"/>
      <sheetName val="자재단가비교표"/>
      <sheetName val="버스운행안내"/>
      <sheetName val="예방접종계획"/>
      <sheetName val="근태계획서"/>
      <sheetName val="기본DATA"/>
      <sheetName val="효성CB 1P기초"/>
      <sheetName val="원가총괄"/>
      <sheetName val="말뚝지지력산정"/>
      <sheetName val="교량전기"/>
      <sheetName val="대치판정"/>
      <sheetName val="Summary Sheets"/>
      <sheetName val="산출서집계HS"/>
      <sheetName val="1-1"/>
      <sheetName val="여과지동"/>
      <sheetName val="허용전류-IEC"/>
      <sheetName val="1단계"/>
      <sheetName val="상시"/>
      <sheetName val="2000.05"/>
      <sheetName val="직접경비호표"/>
      <sheetName val="7도장"/>
      <sheetName val="가정"/>
      <sheetName val="배선DATA"/>
      <sheetName val="Condensing효율"/>
      <sheetName val="단가조사서"/>
      <sheetName val="준공내역(을)"/>
      <sheetName val="산출근거(9)"/>
      <sheetName val="공종코드"/>
      <sheetName val="2.단가산출서(2)"/>
      <sheetName val="9GNG운반"/>
      <sheetName val="품목"/>
      <sheetName val="Sheet22"/>
      <sheetName val="공사개요"/>
      <sheetName val="맨홀수량산출"/>
      <sheetName val="도"/>
      <sheetName val="일위대가(목록)"/>
      <sheetName val="재료비"/>
      <sheetName val="밸브설치"/>
      <sheetName val="1공구원가계산서"/>
      <sheetName val="1공구산출내역서"/>
      <sheetName val="Sheet4"/>
      <sheetName val="전기일위목록"/>
      <sheetName val="工완성공사율"/>
      <sheetName val="물가시세"/>
      <sheetName val="GEN"/>
      <sheetName val="오수공수량집계표"/>
      <sheetName val="청주(철골발주의뢰서)"/>
      <sheetName val="102역사"/>
      <sheetName val="콤보박스와 리스트박스의 연결"/>
      <sheetName val="내역서중"/>
      <sheetName val="현장경비"/>
      <sheetName val="성원계약"/>
      <sheetName val="#2_일위대가목록"/>
      <sheetName val="기초자료입력"/>
      <sheetName val="기타공"/>
      <sheetName val="9-1차이내역"/>
      <sheetName val="DATA 입력란"/>
      <sheetName val="노임이"/>
      <sheetName val="도급FORM"/>
      <sheetName val="총괄-1"/>
      <sheetName val="BOM"/>
      <sheetName val="판"/>
      <sheetName val="데이타"/>
      <sheetName val="식재인부"/>
      <sheetName val="BQ(실행)"/>
      <sheetName val="MIJIBI"/>
      <sheetName val="파일의이용"/>
      <sheetName val="기자재비"/>
      <sheetName val="토공(우물통,기타) "/>
      <sheetName val="1.취수장"/>
      <sheetName val="실행내역서"/>
      <sheetName val="진주방향"/>
      <sheetName val="마산방향"/>
      <sheetName val="마산방향철근집계"/>
      <sheetName val="공정코드"/>
      <sheetName val="용산1(해보)"/>
      <sheetName val="단면별연장"/>
      <sheetName val="교대(토공)"/>
      <sheetName val="제잡비"/>
      <sheetName val="내역표지"/>
      <sheetName val="실행철강하도"/>
      <sheetName val="말고개터널조명전압강하"/>
      <sheetName val="2000년1차"/>
      <sheetName val="2000전체분"/>
      <sheetName val="(원)기흥상갈"/>
      <sheetName val="산근"/>
      <sheetName val="일대-1"/>
      <sheetName val="국도접속 차도부수량"/>
      <sheetName val="전력"/>
      <sheetName val="원가계산"/>
      <sheetName val="건축공사 집계표"/>
      <sheetName val="골조"/>
      <sheetName val="효동"/>
      <sheetName val=" HIT-&gt;HMC 견적(3900)"/>
      <sheetName val="견적"/>
      <sheetName val="ABUT수량-A1"/>
      <sheetName val="3.자재비(총괄)"/>
      <sheetName val="현장관리비"/>
      <sheetName val="가설공사"/>
      <sheetName val="영창26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Book1"/>
      <sheetName val="MOTOR"/>
      <sheetName val="#REF"/>
      <sheetName val="요율"/>
      <sheetName val="일위목록"/>
      <sheetName val="을"/>
      <sheetName val="_REF"/>
      <sheetName val="단가"/>
      <sheetName val="단가산출"/>
      <sheetName val="내역서"/>
      <sheetName val="전기내역서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danga"/>
      <sheetName val="ilch"/>
      <sheetName val="직노"/>
      <sheetName val="계화배수"/>
      <sheetName val="INPUT"/>
      <sheetName val="Y-WORK"/>
      <sheetName val="단면가정"/>
      <sheetName val="공통가설"/>
      <sheetName val="일위대가목차"/>
      <sheetName val="맨홀수량집계"/>
      <sheetName val="2F 회의실견적(5_14 일대)"/>
      <sheetName val="교각계산"/>
      <sheetName val="정부노임단가"/>
      <sheetName val="을"/>
      <sheetName val="토목내역"/>
      <sheetName val="3BL공동구 수량"/>
      <sheetName val="JUCKEYK"/>
      <sheetName val="일위대가"/>
      <sheetName val="LEGEND"/>
      <sheetName val="직공비"/>
      <sheetName val="내역서"/>
      <sheetName val="평가데이터"/>
      <sheetName val="DATA"/>
      <sheetName val="기본단가표"/>
      <sheetName val="I一般比"/>
      <sheetName val="일위대가표"/>
      <sheetName val="INPUT(덕도방향-시점)"/>
      <sheetName val="기둥(원형)"/>
      <sheetName val="토공"/>
      <sheetName val="code"/>
      <sheetName val="VXXXXXXX"/>
      <sheetName val="SLAB&quot;1&quot;"/>
      <sheetName val="품셈"/>
      <sheetName val="내역"/>
      <sheetName val="일반물자(한국통신)"/>
      <sheetName val="모니터"/>
      <sheetName val="포장절단"/>
      <sheetName val="1월"/>
      <sheetName val="현장"/>
      <sheetName val="전기"/>
      <sheetName val="연령현황"/>
      <sheetName val=" 견적서"/>
      <sheetName val="총괄-1"/>
      <sheetName val="변화치수"/>
      <sheetName val="TABLE"/>
      <sheetName val="토공(완충)"/>
      <sheetName val="Sheet5"/>
      <sheetName val="COPING"/>
      <sheetName val="3.하중산정4.지지력"/>
      <sheetName val="1-1"/>
      <sheetName val="원형맨홀수량"/>
      <sheetName val="가설건물"/>
      <sheetName val="Total"/>
      <sheetName val="부하(성남)"/>
      <sheetName val="공사비명세서"/>
      <sheetName val="설산1.나"/>
      <sheetName val="본사S"/>
      <sheetName val="방송노임"/>
      <sheetName val="20관리비율"/>
      <sheetName val="날개벽(시점좌측)"/>
      <sheetName val="정보매체A동"/>
      <sheetName val="SORCE1"/>
      <sheetName val="가시설단위수량"/>
      <sheetName val="단위수량"/>
      <sheetName val="투찰"/>
      <sheetName val="집계표"/>
      <sheetName val="열린교실"/>
      <sheetName val="TB-내역서"/>
      <sheetName val="SILICATE"/>
      <sheetName val="증감분석"/>
      <sheetName val="세부내역"/>
      <sheetName val="정렬"/>
      <sheetName val="수량3"/>
      <sheetName val="차액보증"/>
      <sheetName val="교각1"/>
      <sheetName val="96수출"/>
      <sheetName val="공사비예산서(토목분)"/>
      <sheetName val="공통부대비"/>
      <sheetName val="부대내역"/>
      <sheetName val="표지"/>
      <sheetName val="대비"/>
      <sheetName val="설계조건"/>
      <sheetName val="안정계산"/>
      <sheetName val="대치판정"/>
      <sheetName val="목록"/>
      <sheetName val="데이타"/>
      <sheetName val="기성내역"/>
      <sheetName val="설계변경원가계산총괄표"/>
      <sheetName val="BID"/>
      <sheetName val="Sheet4"/>
      <sheetName val="쌍송교"/>
      <sheetName val="조작대(1연)"/>
      <sheetName val="우배수"/>
      <sheetName val="조건표"/>
      <sheetName val="DATA-1"/>
      <sheetName val="가공비"/>
      <sheetName val="작성"/>
      <sheetName val="산출내역"/>
      <sheetName val="일반맨홀수량집계(A-7 LINE)"/>
      <sheetName val="일반맨홀수량집계"/>
      <sheetName val="LOPCALC"/>
      <sheetName val="관람석제출"/>
      <sheetName val="케이블"/>
      <sheetName val="CONCRETE"/>
      <sheetName val="EACT10"/>
      <sheetName val="자재"/>
      <sheetName val="목표세부명세"/>
      <sheetName val="공문"/>
      <sheetName val="N賃率-職"/>
      <sheetName val="마산방향철근집계"/>
      <sheetName val="진주방향"/>
      <sheetName val="마산방향"/>
      <sheetName val="토목품셈"/>
      <sheetName val="품목"/>
      <sheetName val="물량산출근거"/>
      <sheetName val="공사개요"/>
      <sheetName val="예산서"/>
      <sheetName val="b_gunmul"/>
      <sheetName val="b_balju (2)"/>
      <sheetName val="J直材4"/>
      <sheetName val="연부97-1"/>
      <sheetName val="갑지1"/>
      <sheetName val="공정집계_국별"/>
      <sheetName val="적용률"/>
      <sheetName val="#REF"/>
      <sheetName val="기본일위"/>
      <sheetName val="노임단가"/>
      <sheetName val="부속동"/>
      <sheetName val="금액내역서"/>
      <sheetName val="Sheet1"/>
      <sheetName val="영업.일1"/>
      <sheetName val="광혁기성"/>
      <sheetName val="인테리어세부내역"/>
      <sheetName val="피엘"/>
      <sheetName val="Macro1"/>
      <sheetName val="기초공"/>
      <sheetName val="공사비"/>
      <sheetName val="내역1"/>
      <sheetName val="건축내역"/>
      <sheetName val="CAT_5"/>
      <sheetName val="총괄"/>
      <sheetName val="깨기"/>
      <sheetName val="백암비스타내역"/>
      <sheetName val="입찰안"/>
      <sheetName val="단가"/>
      <sheetName val="2F_회의실견적(5_14_일대)"/>
      <sheetName val="3BL공동구_수량"/>
      <sheetName val="내역서2안"/>
      <sheetName val="기계경비"/>
      <sheetName val="인건비(환율)"/>
      <sheetName val="월선수금"/>
      <sheetName val="단가표 "/>
      <sheetName val="woo(mac)"/>
      <sheetName val="방송일위대가"/>
      <sheetName val="제품"/>
      <sheetName val="guard(mac)"/>
      <sheetName val="06-BATCH "/>
      <sheetName val="간선계산"/>
      <sheetName val="경산"/>
      <sheetName val="WORK"/>
      <sheetName val="1.우편집중내역서"/>
      <sheetName val="실행내역"/>
      <sheetName val="Tables"/>
      <sheetName val="일위대가목록"/>
      <sheetName val="기흥하도용"/>
      <sheetName val="L형옹벽(key)"/>
      <sheetName val="DATE"/>
      <sheetName val="전기품산출"/>
      <sheetName val="단면(RW1)"/>
      <sheetName val="BSD (2)"/>
      <sheetName val="원가계산서"/>
      <sheetName val="옹벽"/>
      <sheetName val="경비2내역"/>
      <sheetName val="배수장공사비명세서"/>
      <sheetName val="전기일위대가"/>
      <sheetName val="Sheet2"/>
      <sheetName val="BEND LOSS"/>
      <sheetName val="1단계"/>
      <sheetName val="자재단가비교표"/>
      <sheetName val="KMT물량"/>
      <sheetName val="DATA1"/>
      <sheetName val="전장품(관리용)"/>
      <sheetName val="기둥"/>
      <sheetName val="저판(버림100)"/>
      <sheetName val="97년추정손익계산서"/>
      <sheetName val="RING WALL"/>
      <sheetName val="TYPE-A"/>
      <sheetName val="D-3503"/>
      <sheetName val="수량산출"/>
      <sheetName val="공구원가계산"/>
      <sheetName val="단가조사서"/>
      <sheetName val="내역서-CCTV"/>
      <sheetName val="공종집계"/>
      <sheetName val="ETC"/>
      <sheetName val="2공구산출내역"/>
      <sheetName val="허용전류-IEC"/>
      <sheetName val="허용전류-IEC DATA"/>
      <sheetName val="단가산출2"/>
      <sheetName val="DATA(BAC)"/>
      <sheetName val="배수관공"/>
      <sheetName val="ITB COST"/>
      <sheetName val="P.M 별"/>
      <sheetName val="960318-1"/>
      <sheetName val="설직재-1"/>
      <sheetName val="제직재"/>
      <sheetName val="제-노임"/>
      <sheetName val="부하"/>
      <sheetName val="주경기-오배수"/>
      <sheetName val="단중표"/>
      <sheetName val="단면검토"/>
      <sheetName val="기계내역"/>
      <sheetName val="CIVIL"/>
      <sheetName val="공통가설공사"/>
      <sheetName val="내역서(갑)"/>
      <sheetName val="전압강하계산"/>
      <sheetName val="날개벽"/>
      <sheetName val="간노_콘"/>
      <sheetName val="소비자가"/>
      <sheetName val="남양시작동자105노65기1.3화1.2"/>
      <sheetName val="삼성전기"/>
      <sheetName val="Sheet1 (2)"/>
      <sheetName val="부재력정리"/>
      <sheetName val="A-4"/>
      <sheetName val="입찰보고"/>
      <sheetName val="현장관리비내역서"/>
      <sheetName val="2.냉난방설비공사"/>
      <sheetName val="A"/>
      <sheetName val="민속촌메뉴"/>
      <sheetName val="하중계산"/>
      <sheetName val="직재"/>
      <sheetName val="ASP"/>
      <sheetName val="중기사용료산출근거"/>
      <sheetName val="단가 및 재료비"/>
      <sheetName val="XL4Poppy"/>
      <sheetName val="설계명세서(선로)"/>
      <sheetName val="원형1호맨홀토공수량"/>
      <sheetName val="식재품셈"/>
      <sheetName val="보도경계블럭"/>
      <sheetName val="ABUT수량-A1"/>
      <sheetName val="단가조사"/>
      <sheetName val="BLOCK(1)"/>
      <sheetName val="샘플표지"/>
      <sheetName val="대,유,램"/>
      <sheetName val="우각부보강"/>
      <sheetName val="지장물C"/>
      <sheetName val="보차도경계석"/>
      <sheetName val="금액"/>
      <sheetName val="단가산출1"/>
      <sheetName val="Sheet3"/>
      <sheetName val="cross beam"/>
      <sheetName val="안정검토"/>
      <sheetName val="설계명세서"/>
      <sheetName val="3_하중산정4_지지력"/>
      <sheetName val="_견적서"/>
      <sheetName val="설산1_나"/>
      <sheetName val="일반맨홀수량집계(A-7_LINE)"/>
      <sheetName val="b_balju_(2)"/>
      <sheetName val="2F_회의실견적(5_14_일대)1"/>
      <sheetName val="3_하중산정4_지지력1"/>
      <sheetName val="3BL공동구_수량1"/>
      <sheetName val="_견적서1"/>
      <sheetName val="설산1_나1"/>
      <sheetName val="일반맨홀수량집계(A-7_LINE)1"/>
      <sheetName val="b_balju_(2)1"/>
      <sheetName val="단가표_"/>
      <sheetName val="영업_일1"/>
      <sheetName val="BSD_(2)"/>
      <sheetName val="BEND_LOSS"/>
      <sheetName val="1_우편집중내역서"/>
      <sheetName val="06-BATCH_"/>
      <sheetName val="RING_WALL"/>
      <sheetName val="허용전류-IEC_DATA"/>
      <sheetName val="ITB_COST"/>
      <sheetName val="P_M_별"/>
      <sheetName val="남양시작동자105노65기1_3화1_2"/>
      <sheetName val="Sheet1_(2)"/>
      <sheetName val="2_냉난방설비공사"/>
      <sheetName val="TEL"/>
      <sheetName val="별표"/>
      <sheetName val="wall"/>
      <sheetName val="copy"/>
      <sheetName val="서식"/>
      <sheetName val="내역(입찰)"/>
      <sheetName val="제원.설계조건"/>
      <sheetName val="출력X"/>
      <sheetName val="갑지(추정)"/>
      <sheetName val="단면 (2)"/>
      <sheetName val="설계"/>
      <sheetName val="별표집계"/>
      <sheetName val="CPM챠트"/>
      <sheetName val="실행내역 "/>
      <sheetName val="식재인부"/>
      <sheetName val="견적대비표"/>
      <sheetName val="말뚝물량"/>
      <sheetName val="FRT_O"/>
      <sheetName val="FAB_I"/>
      <sheetName val="SLAB"/>
      <sheetName val="조명시설"/>
      <sheetName val="치수표"/>
      <sheetName val="원가"/>
      <sheetName val="실행"/>
      <sheetName val="대전21토목내역서"/>
      <sheetName val="산출근거"/>
      <sheetName val="조명율표"/>
      <sheetName val="말뚝지지력산정"/>
      <sheetName val="B부대공"/>
      <sheetName val="배수공"/>
      <sheetName val="FAB별"/>
      <sheetName val="마감물량3"/>
      <sheetName val="계산근거"/>
      <sheetName val="물가자료"/>
      <sheetName val="리터팬내장형"/>
      <sheetName val="집1"/>
      <sheetName val="빙장비사양"/>
      <sheetName val="장비사양"/>
      <sheetName val="감시제어"/>
      <sheetName val="목차임시"/>
      <sheetName val="견적대비"/>
      <sheetName val="월별수입"/>
      <sheetName val="시설물일위"/>
      <sheetName val="계수시트"/>
      <sheetName val="공사비내역서"/>
      <sheetName val="적용기준"/>
      <sheetName val="Customer Databas"/>
      <sheetName val="항목별"/>
      <sheetName val="합천내역"/>
      <sheetName val="내외국인총괄"/>
      <sheetName val="1을"/>
      <sheetName val="11.자재단가"/>
      <sheetName val="단가표"/>
      <sheetName val="UNIT"/>
      <sheetName val="총계"/>
      <sheetName val="5지구단위"/>
      <sheetName val="개요"/>
      <sheetName val="Mc1"/>
      <sheetName val="공사비 내역 (가)"/>
      <sheetName val="내역서form"/>
      <sheetName val="단"/>
      <sheetName val="단가일람"/>
      <sheetName val="주관사업"/>
      <sheetName val="Sheet6"/>
      <sheetName val="FACTOR"/>
      <sheetName val="지중자재단가"/>
      <sheetName val="1.설계조건"/>
      <sheetName val="UserData"/>
      <sheetName val="11.단가비교표_"/>
      <sheetName val="16.기계경비산출내역_"/>
      <sheetName val="기초자료"/>
      <sheetName val="견적집계표"/>
      <sheetName val="수량산출서"/>
      <sheetName val="토사(PE)"/>
      <sheetName val="단가견적조사표"/>
      <sheetName val="특2호하천산근"/>
      <sheetName val="특2호부관하천산근"/>
      <sheetName val="산근(PE,300)"/>
      <sheetName val="상부하중"/>
      <sheetName val="풍하중1"/>
      <sheetName val="HW"/>
      <sheetName val="DS-최종"/>
      <sheetName val="한강운반비"/>
      <sheetName val="을지"/>
      <sheetName val="공사요율"/>
      <sheetName val="집계"/>
      <sheetName val="부표총괄"/>
      <sheetName val="품셈1-17"/>
      <sheetName val="b_balju"/>
      <sheetName val="와동25-3(변경)"/>
      <sheetName val="금액집계"/>
      <sheetName val="공주-교대(A1)"/>
      <sheetName val="단가대비표"/>
      <sheetName val="CABdata"/>
      <sheetName val="배"/>
      <sheetName val=" HIT-&gt;HMC 견적(3900)"/>
      <sheetName val="_산근2_"/>
      <sheetName val="_산근4_"/>
      <sheetName val="_산근5_"/>
      <sheetName val="송라터널총괄"/>
      <sheetName val="노임"/>
      <sheetName val="Facility Information"/>
      <sheetName val="General"/>
      <sheetName val="Instructions"/>
      <sheetName val="People"/>
      <sheetName val="Quality"/>
      <sheetName val="Risk"/>
      <sheetName val="Training"/>
      <sheetName val="부대비율"/>
      <sheetName val="사급자재"/>
      <sheetName val="특별교실"/>
      <sheetName val="PRE"/>
      <sheetName val="PLCAL"/>
      <sheetName val="C-직노1"/>
      <sheetName val="경비_원본"/>
      <sheetName val="설비내역서"/>
      <sheetName val="건축내역서"/>
      <sheetName val="전기내역서"/>
      <sheetName val="대전월평내역"/>
      <sheetName val="COPING-1"/>
      <sheetName val="역T형교대-2수량"/>
      <sheetName val="방음벽기초-수량"/>
      <sheetName val="일위"/>
      <sheetName val="SANTOGO"/>
      <sheetName val="SANBAISU"/>
      <sheetName val="전체"/>
      <sheetName val="6PILE  (돌출)"/>
      <sheetName val="슬래브"/>
      <sheetName val="현장관리비집계표"/>
      <sheetName val="기계경비일람"/>
      <sheetName val="근고 블록 유형별 수량"/>
      <sheetName val="2000.05"/>
    </sheetNames>
    <sheetDataSet>
      <sheetData sheetId="0"/>
      <sheetData sheetId="1" refreshError="1">
        <row r="1">
          <cell r="A1" t="str">
            <v>코드</v>
          </cell>
          <cell r="B1">
            <v>0</v>
          </cell>
          <cell r="C1">
            <v>0</v>
          </cell>
          <cell r="D1" t="str">
            <v/>
          </cell>
          <cell r="E1" t="str">
            <v/>
          </cell>
          <cell r="F1">
            <v>0</v>
          </cell>
          <cell r="G1" t="str">
            <v>단위당 소요인원</v>
          </cell>
        </row>
        <row r="2">
          <cell r="A2" t="str">
            <v>번호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>내선전공</v>
          </cell>
          <cell r="H2" t="str">
            <v>프랜트전공</v>
          </cell>
          <cell r="I2" t="str">
            <v>통신내선공</v>
          </cell>
          <cell r="J2" t="str">
            <v>통신CA공</v>
          </cell>
          <cell r="K2" t="str">
            <v>통신설비공</v>
          </cell>
          <cell r="L2" t="str">
            <v>배관공</v>
          </cell>
          <cell r="M2" t="str">
            <v>보통인부</v>
          </cell>
        </row>
        <row r="3">
          <cell r="A3" t="str">
            <v>d001</v>
          </cell>
          <cell r="B3">
            <v>1</v>
          </cell>
          <cell r="C3" t="str">
            <v>노 무 비</v>
          </cell>
          <cell r="D3" t="str">
            <v>특고압케이블전공</v>
          </cell>
          <cell r="E3" t="str">
            <v>인</v>
          </cell>
          <cell r="F3">
            <v>86408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d002</v>
          </cell>
          <cell r="B4">
            <v>2</v>
          </cell>
          <cell r="C4" t="str">
            <v>노 무 비</v>
          </cell>
          <cell r="D4" t="str">
            <v>기계공</v>
          </cell>
          <cell r="E4" t="str">
            <v>인</v>
          </cell>
          <cell r="F4">
            <v>58509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d003</v>
          </cell>
          <cell r="B5">
            <v>3</v>
          </cell>
          <cell r="C5" t="str">
            <v>노 무 비</v>
          </cell>
          <cell r="D5" t="str">
            <v>기계설치공</v>
          </cell>
          <cell r="E5" t="str">
            <v>인</v>
          </cell>
          <cell r="F5">
            <v>52520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d004</v>
          </cell>
          <cell r="B6">
            <v>4</v>
          </cell>
          <cell r="C6" t="str">
            <v>노 무 비</v>
          </cell>
          <cell r="D6" t="str">
            <v>내선전공</v>
          </cell>
          <cell r="E6" t="str">
            <v>인</v>
          </cell>
          <cell r="F6">
            <v>53181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d005</v>
          </cell>
          <cell r="B7">
            <v>5</v>
          </cell>
          <cell r="C7" t="str">
            <v>노 무 비</v>
          </cell>
          <cell r="D7" t="str">
            <v>목도</v>
          </cell>
          <cell r="E7" t="str">
            <v>인</v>
          </cell>
          <cell r="F7">
            <v>58119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d006</v>
          </cell>
          <cell r="B8">
            <v>6</v>
          </cell>
          <cell r="C8" t="str">
            <v>노 무 비</v>
          </cell>
          <cell r="D8" t="str">
            <v>무선안테나공</v>
          </cell>
          <cell r="E8" t="str">
            <v>인</v>
          </cell>
          <cell r="F8">
            <v>103707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d007</v>
          </cell>
          <cell r="B9">
            <v>7</v>
          </cell>
          <cell r="C9" t="str">
            <v>노 무 비</v>
          </cell>
          <cell r="D9" t="str">
            <v>배관공</v>
          </cell>
          <cell r="E9" t="str">
            <v>인</v>
          </cell>
          <cell r="F9">
            <v>53408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d008</v>
          </cell>
          <cell r="B10">
            <v>8</v>
          </cell>
          <cell r="C10" t="str">
            <v>노 무 비</v>
          </cell>
          <cell r="D10" t="str">
            <v>배전전공</v>
          </cell>
          <cell r="E10" t="str">
            <v>인</v>
          </cell>
          <cell r="F10">
            <v>176675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d009</v>
          </cell>
          <cell r="B11">
            <v>9</v>
          </cell>
          <cell r="C11" t="str">
            <v>노 무 비</v>
          </cell>
          <cell r="D11" t="str">
            <v>배전활선전공</v>
          </cell>
          <cell r="E11" t="str">
            <v>인</v>
          </cell>
          <cell r="F11">
            <v>202051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d010</v>
          </cell>
          <cell r="B12">
            <v>10</v>
          </cell>
          <cell r="C12" t="str">
            <v>노 무 비</v>
          </cell>
          <cell r="D12" t="str">
            <v>보일러공</v>
          </cell>
          <cell r="E12" t="str">
            <v>인</v>
          </cell>
          <cell r="F12">
            <v>53408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d011</v>
          </cell>
          <cell r="B13">
            <v>11</v>
          </cell>
          <cell r="C13" t="str">
            <v>노 무 비</v>
          </cell>
          <cell r="D13" t="str">
            <v>보통인부</v>
          </cell>
          <cell r="E13" t="str">
            <v>인</v>
          </cell>
          <cell r="F13">
            <v>34947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d012</v>
          </cell>
          <cell r="B14">
            <v>12</v>
          </cell>
          <cell r="C14" t="str">
            <v>노 무 비</v>
          </cell>
          <cell r="D14" t="str">
            <v>비계공</v>
          </cell>
          <cell r="E14" t="str">
            <v>인</v>
          </cell>
          <cell r="F14">
            <v>78568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d013</v>
          </cell>
          <cell r="B15">
            <v>13</v>
          </cell>
          <cell r="C15" t="str">
            <v>노 무 비</v>
          </cell>
          <cell r="D15" t="str">
            <v>송전전공</v>
          </cell>
          <cell r="E15" t="str">
            <v>인</v>
          </cell>
          <cell r="F15">
            <v>213858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d014</v>
          </cell>
          <cell r="B16">
            <v>14</v>
          </cell>
          <cell r="C16" t="str">
            <v>노 무 비</v>
          </cell>
          <cell r="D16" t="str">
            <v>철공</v>
          </cell>
          <cell r="E16" t="str">
            <v>인</v>
          </cell>
          <cell r="F16">
            <v>67900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d015</v>
          </cell>
          <cell r="B17">
            <v>15</v>
          </cell>
          <cell r="C17" t="str">
            <v>노 무 비</v>
          </cell>
          <cell r="D17" t="str">
            <v>안전관리기사 1급</v>
          </cell>
          <cell r="E17" t="str">
            <v>인</v>
          </cell>
          <cell r="F17">
            <v>42091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d016</v>
          </cell>
          <cell r="B18">
            <v>16</v>
          </cell>
          <cell r="C18" t="str">
            <v>노 무 비</v>
          </cell>
          <cell r="D18" t="str">
            <v>안전관리기사 2급</v>
          </cell>
          <cell r="E18" t="str">
            <v>인</v>
          </cell>
          <cell r="F18">
            <v>36222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d017</v>
          </cell>
          <cell r="B19">
            <v>17</v>
          </cell>
          <cell r="C19" t="str">
            <v>노 무 비</v>
          </cell>
          <cell r="D19" t="str">
            <v>용접공(일반)</v>
          </cell>
          <cell r="E19" t="str">
            <v>인</v>
          </cell>
          <cell r="F19">
            <v>65529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d018</v>
          </cell>
          <cell r="B20">
            <v>18</v>
          </cell>
          <cell r="C20" t="str">
            <v>노 무 비</v>
          </cell>
          <cell r="D20" t="str">
            <v>저압케이블전공</v>
          </cell>
          <cell r="E20" t="str">
            <v>인</v>
          </cell>
          <cell r="F20">
            <v>63007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d019</v>
          </cell>
          <cell r="B21">
            <v>19</v>
          </cell>
          <cell r="C21" t="str">
            <v>노 무 비</v>
          </cell>
          <cell r="D21" t="str">
            <v>전기공사 기사1급</v>
          </cell>
          <cell r="E21" t="str">
            <v>인</v>
          </cell>
          <cell r="F21">
            <v>65241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d020</v>
          </cell>
          <cell r="B22">
            <v>20</v>
          </cell>
          <cell r="C22" t="str">
            <v>노 무 비</v>
          </cell>
          <cell r="D22" t="str">
            <v>전기공사 기사2급</v>
          </cell>
          <cell r="E22" t="str">
            <v>인</v>
          </cell>
          <cell r="F22">
            <v>57636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d021</v>
          </cell>
          <cell r="B23">
            <v>21</v>
          </cell>
          <cell r="C23" t="str">
            <v>노 무 비</v>
          </cell>
          <cell r="D23" t="str">
            <v>통신 기능사</v>
          </cell>
          <cell r="E23" t="str">
            <v>인</v>
          </cell>
          <cell r="F23">
            <v>72145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d022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d023</v>
          </cell>
          <cell r="B25">
            <v>23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  <row r="26">
          <cell r="A26" t="str">
            <v>d024</v>
          </cell>
          <cell r="B26">
            <v>24</v>
          </cell>
          <cell r="C26" t="str">
            <v>노 무 비</v>
          </cell>
          <cell r="D26" t="str">
            <v>통신내선공</v>
          </cell>
          <cell r="E26" t="str">
            <v>인</v>
          </cell>
          <cell r="F26">
            <v>70804</v>
          </cell>
        </row>
        <row r="27">
          <cell r="A27" t="str">
            <v>d025</v>
          </cell>
          <cell r="B27">
            <v>25</v>
          </cell>
          <cell r="C27" t="str">
            <v>노 무 비</v>
          </cell>
          <cell r="D27" t="str">
            <v>통신설비공</v>
          </cell>
          <cell r="E27" t="str">
            <v>인</v>
          </cell>
          <cell r="F27">
            <v>73709</v>
          </cell>
        </row>
        <row r="28">
          <cell r="A28" t="str">
            <v>d026</v>
          </cell>
          <cell r="B28">
            <v>26</v>
          </cell>
          <cell r="C28" t="str">
            <v>노 무 비</v>
          </cell>
          <cell r="D28" t="str">
            <v>통신외선공</v>
          </cell>
          <cell r="E28" t="str">
            <v>인</v>
          </cell>
          <cell r="F28">
            <v>84302</v>
          </cell>
        </row>
        <row r="29">
          <cell r="A29" t="str">
            <v>d027</v>
          </cell>
          <cell r="B29">
            <v>27</v>
          </cell>
          <cell r="C29" t="str">
            <v>노 무 비</v>
          </cell>
          <cell r="D29" t="str">
            <v>통신케이블공</v>
          </cell>
          <cell r="E29" t="str">
            <v>인</v>
          </cell>
          <cell r="F29">
            <v>87823</v>
          </cell>
        </row>
        <row r="30">
          <cell r="A30" t="str">
            <v>d028</v>
          </cell>
          <cell r="B30">
            <v>28</v>
          </cell>
          <cell r="C30" t="str">
            <v>노 무 비</v>
          </cell>
          <cell r="D30" t="str">
            <v>특별인부</v>
          </cell>
          <cell r="E30" t="str">
            <v>인</v>
          </cell>
          <cell r="F30">
            <v>55074</v>
          </cell>
        </row>
        <row r="31">
          <cell r="A31" t="str">
            <v>d029</v>
          </cell>
          <cell r="B31">
            <v>29</v>
          </cell>
          <cell r="C31" t="str">
            <v>노 무 비</v>
          </cell>
          <cell r="D31" t="str">
            <v>프랜트전공</v>
          </cell>
          <cell r="E31" t="str">
            <v>인</v>
          </cell>
          <cell r="F31">
            <v>62877</v>
          </cell>
        </row>
        <row r="32">
          <cell r="A32" t="str">
            <v>d030</v>
          </cell>
          <cell r="B32">
            <v>30</v>
          </cell>
          <cell r="C32" t="str">
            <v>노 무 비</v>
          </cell>
          <cell r="D32" t="str">
            <v>형틀목공</v>
          </cell>
          <cell r="E32" t="str">
            <v>인</v>
          </cell>
          <cell r="F32">
            <v>70616</v>
          </cell>
        </row>
        <row r="33">
          <cell r="A33" t="str">
            <v>d031</v>
          </cell>
          <cell r="B33">
            <v>31</v>
          </cell>
          <cell r="C33" t="str">
            <v>노 무 비</v>
          </cell>
          <cell r="D33" t="str">
            <v>CPU 시험기사</v>
          </cell>
          <cell r="E33" t="str">
            <v>인</v>
          </cell>
          <cell r="F33">
            <v>76241</v>
          </cell>
        </row>
        <row r="34">
          <cell r="A34" t="str">
            <v>d032</v>
          </cell>
          <cell r="B34">
            <v>32</v>
          </cell>
          <cell r="C34" t="str">
            <v>노 무 비</v>
          </cell>
          <cell r="D34" t="str">
            <v>H/W 설치기사</v>
          </cell>
          <cell r="E34" t="str">
            <v>인</v>
          </cell>
          <cell r="F34">
            <v>79720</v>
          </cell>
        </row>
        <row r="35">
          <cell r="A35" t="str">
            <v>d033</v>
          </cell>
          <cell r="B35">
            <v>33</v>
          </cell>
          <cell r="C35" t="str">
            <v>노 무 비</v>
          </cell>
          <cell r="D35" t="str">
            <v>H/W 시험기사</v>
          </cell>
          <cell r="E35" t="str">
            <v>인</v>
          </cell>
          <cell r="F35">
            <v>75373</v>
          </cell>
        </row>
        <row r="36">
          <cell r="A36" t="str">
            <v>d034</v>
          </cell>
          <cell r="B36">
            <v>34</v>
          </cell>
          <cell r="C36" t="str">
            <v>노 무 비</v>
          </cell>
          <cell r="D36" t="str">
            <v>S/W 시험기사</v>
          </cell>
          <cell r="E36" t="str">
            <v>인</v>
          </cell>
          <cell r="F36">
            <v>75292</v>
          </cell>
        </row>
        <row r="37">
          <cell r="A37" t="str">
            <v>d035</v>
          </cell>
          <cell r="B37">
            <v>35</v>
          </cell>
          <cell r="C37" t="str">
            <v>노 무 비</v>
          </cell>
          <cell r="D37" t="str">
            <v>도장공</v>
          </cell>
          <cell r="E37" t="str">
            <v>인</v>
          </cell>
          <cell r="F37">
            <v>59569</v>
          </cell>
        </row>
        <row r="38">
          <cell r="A38" t="str">
            <v>d186</v>
          </cell>
          <cell r="B38">
            <v>186</v>
          </cell>
          <cell r="C38" t="str">
            <v>90도 H Elbow</v>
          </cell>
          <cell r="D38" t="str">
            <v>W=300</v>
          </cell>
          <cell r="E38" t="str">
            <v>EA</v>
          </cell>
          <cell r="F38">
            <v>18000</v>
          </cell>
        </row>
        <row r="39">
          <cell r="A39" t="str">
            <v>d185</v>
          </cell>
          <cell r="B39">
            <v>185</v>
          </cell>
          <cell r="C39" t="str">
            <v>90도 V Elbow</v>
          </cell>
          <cell r="D39" t="str">
            <v>W=300</v>
          </cell>
          <cell r="E39" t="str">
            <v>EA</v>
          </cell>
          <cell r="F39">
            <v>13500</v>
          </cell>
        </row>
        <row r="40">
          <cell r="A40" t="str">
            <v>d036</v>
          </cell>
          <cell r="B40">
            <v>36</v>
          </cell>
          <cell r="C40" t="str">
            <v>가요전선관</v>
          </cell>
          <cell r="D40" t="str">
            <v>방수 16mm</v>
          </cell>
          <cell r="E40" t="str">
            <v>M</v>
          </cell>
          <cell r="F40">
            <v>240</v>
          </cell>
          <cell r="G40">
            <v>5.8799999999999998E-2</v>
          </cell>
        </row>
        <row r="41">
          <cell r="A41" t="str">
            <v>d037</v>
          </cell>
          <cell r="B41">
            <v>37</v>
          </cell>
          <cell r="C41" t="str">
            <v>가요전선관</v>
          </cell>
          <cell r="D41" t="str">
            <v>방수 22mm</v>
          </cell>
          <cell r="E41" t="str">
            <v>M</v>
          </cell>
          <cell r="F41">
            <v>330</v>
          </cell>
          <cell r="G41">
            <v>7.5600000000000001E-2</v>
          </cell>
        </row>
        <row r="42">
          <cell r="A42" t="str">
            <v>d038</v>
          </cell>
          <cell r="B42">
            <v>38</v>
          </cell>
          <cell r="C42" t="str">
            <v>가요전선관</v>
          </cell>
          <cell r="D42" t="str">
            <v>비방수 16mm</v>
          </cell>
          <cell r="E42" t="str">
            <v>M</v>
          </cell>
          <cell r="F42">
            <v>160</v>
          </cell>
          <cell r="G42">
            <v>4.9000000000000002E-2</v>
          </cell>
        </row>
        <row r="43">
          <cell r="A43" t="str">
            <v>d039</v>
          </cell>
          <cell r="B43">
            <v>39</v>
          </cell>
          <cell r="C43" t="str">
            <v>가요전선관</v>
          </cell>
          <cell r="D43" t="str">
            <v>비방수 22mm</v>
          </cell>
          <cell r="E43" t="str">
            <v>M</v>
          </cell>
          <cell r="F43">
            <v>190</v>
          </cell>
          <cell r="G43">
            <v>6.3E-2</v>
          </cell>
        </row>
        <row r="44">
          <cell r="A44" t="str">
            <v>d040</v>
          </cell>
          <cell r="B44">
            <v>40</v>
          </cell>
          <cell r="C44" t="str">
            <v>감지기</v>
          </cell>
          <cell r="D44" t="str">
            <v>연기식</v>
          </cell>
          <cell r="E44" t="str">
            <v>EA</v>
          </cell>
          <cell r="F44">
            <v>4500</v>
          </cell>
          <cell r="G44">
            <v>0.13</v>
          </cell>
        </row>
        <row r="45">
          <cell r="A45" t="str">
            <v>d041</v>
          </cell>
          <cell r="B45">
            <v>41</v>
          </cell>
          <cell r="C45" t="str">
            <v>감지기</v>
          </cell>
          <cell r="D45" t="str">
            <v>차동식</v>
          </cell>
          <cell r="E45" t="str">
            <v>EA</v>
          </cell>
          <cell r="F45">
            <v>4500</v>
          </cell>
          <cell r="G45">
            <v>0.13</v>
          </cell>
        </row>
        <row r="46">
          <cell r="A46" t="str">
            <v>d042</v>
          </cell>
          <cell r="B46">
            <v>42</v>
          </cell>
          <cell r="C46" t="str">
            <v>강관</v>
          </cell>
          <cell r="D46" t="str">
            <v>백관 32mm</v>
          </cell>
          <cell r="E46" t="str">
            <v>M</v>
          </cell>
          <cell r="F46">
            <v>1485</v>
          </cell>
        </row>
        <row r="47">
          <cell r="A47" t="str">
            <v>d043</v>
          </cell>
          <cell r="B47">
            <v>43</v>
          </cell>
          <cell r="C47" t="str">
            <v>강관</v>
          </cell>
          <cell r="D47" t="str">
            <v>백관 40mm</v>
          </cell>
          <cell r="E47" t="str">
            <v>M</v>
          </cell>
          <cell r="F47">
            <v>1710</v>
          </cell>
        </row>
        <row r="48">
          <cell r="A48" t="str">
            <v>d044</v>
          </cell>
          <cell r="B48">
            <v>44</v>
          </cell>
          <cell r="C48" t="str">
            <v>경종</v>
          </cell>
          <cell r="D48" t="str">
            <v>DC 24V MBD</v>
          </cell>
          <cell r="E48" t="str">
            <v>EA</v>
          </cell>
          <cell r="F48">
            <v>5000</v>
          </cell>
          <cell r="G48">
            <v>0.15</v>
          </cell>
        </row>
        <row r="49">
          <cell r="A49" t="str">
            <v>d046</v>
          </cell>
          <cell r="B49">
            <v>46</v>
          </cell>
          <cell r="C49" t="str">
            <v>계량기 함</v>
          </cell>
          <cell r="D49" t="str">
            <v>1Ø2W 3-4세대용(SUS)</v>
          </cell>
          <cell r="E49" t="str">
            <v>EA</v>
          </cell>
          <cell r="F49">
            <v>36400</v>
          </cell>
          <cell r="G49">
            <v>0.3</v>
          </cell>
        </row>
        <row r="50">
          <cell r="A50" t="str">
            <v>d045</v>
          </cell>
          <cell r="B50">
            <v>45</v>
          </cell>
          <cell r="C50" t="str">
            <v>계량기 함</v>
          </cell>
          <cell r="D50" t="str">
            <v>합성수지 3Ø4W 중형</v>
          </cell>
          <cell r="E50" t="str">
            <v>EA</v>
          </cell>
          <cell r="F50">
            <v>17100</v>
          </cell>
          <cell r="G50">
            <v>0.3</v>
          </cell>
        </row>
        <row r="51">
          <cell r="A51" t="str">
            <v>d047</v>
          </cell>
          <cell r="B51">
            <v>47</v>
          </cell>
          <cell r="C51" t="str">
            <v>고압 애폭시애자</v>
          </cell>
          <cell r="D51" t="str">
            <v>7.2KV 55mm x 80mm</v>
          </cell>
          <cell r="E51" t="str">
            <v>EA</v>
          </cell>
          <cell r="F51">
            <v>3000</v>
          </cell>
          <cell r="G51">
            <v>0</v>
          </cell>
          <cell r="H51">
            <v>0.21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0.15</v>
          </cell>
        </row>
        <row r="52">
          <cell r="A52" t="str">
            <v>d048</v>
          </cell>
          <cell r="B52">
            <v>48</v>
          </cell>
          <cell r="C52" t="str">
            <v>고조도 반삿갓</v>
          </cell>
          <cell r="D52" t="str">
            <v>220(V)x20Wx2등</v>
          </cell>
          <cell r="E52" t="str">
            <v>EA</v>
          </cell>
          <cell r="F52">
            <v>5780</v>
          </cell>
        </row>
        <row r="53">
          <cell r="A53" t="str">
            <v>d049</v>
          </cell>
          <cell r="B53">
            <v>49</v>
          </cell>
          <cell r="C53" t="str">
            <v>고조도 반삿갓</v>
          </cell>
          <cell r="D53" t="str">
            <v>220(V)x40Wx2등</v>
          </cell>
          <cell r="E53" t="str">
            <v>EA</v>
          </cell>
          <cell r="F53">
            <v>8000</v>
          </cell>
        </row>
        <row r="54">
          <cell r="A54" t="str">
            <v>d050</v>
          </cell>
          <cell r="B54">
            <v>50</v>
          </cell>
          <cell r="C54" t="str">
            <v>나이프 S/W</v>
          </cell>
          <cell r="D54" t="str">
            <v>4P 200A</v>
          </cell>
          <cell r="E54" t="str">
            <v>EA</v>
          </cell>
          <cell r="F54">
            <v>45000</v>
          </cell>
          <cell r="G54">
            <v>0.68899999999999995</v>
          </cell>
        </row>
        <row r="55">
          <cell r="A55" t="str">
            <v>d051</v>
          </cell>
          <cell r="B55">
            <v>51</v>
          </cell>
          <cell r="C55" t="str">
            <v>넛트 와샤</v>
          </cell>
          <cell r="D55" t="str">
            <v>Ø10</v>
          </cell>
          <cell r="E55" t="str">
            <v>EA</v>
          </cell>
          <cell r="F55">
            <v>11.34</v>
          </cell>
        </row>
        <row r="56">
          <cell r="A56" t="str">
            <v>d208</v>
          </cell>
          <cell r="B56">
            <v>208</v>
          </cell>
          <cell r="C56" t="str">
            <v>넝         마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d052</v>
          </cell>
          <cell r="B57">
            <v>52</v>
          </cell>
          <cell r="C57" t="str">
            <v>노말밴드</v>
          </cell>
          <cell r="D57" t="str">
            <v>HIPVC28mm</v>
          </cell>
          <cell r="E57" t="str">
            <v>EA</v>
          </cell>
          <cell r="F57">
            <v>585</v>
          </cell>
        </row>
        <row r="58">
          <cell r="A58" t="str">
            <v>d053</v>
          </cell>
          <cell r="B58">
            <v>53</v>
          </cell>
          <cell r="C58" t="str">
            <v>노말밴드</v>
          </cell>
          <cell r="D58" t="str">
            <v>HIPVC36mm</v>
          </cell>
          <cell r="E58" t="str">
            <v>EA</v>
          </cell>
          <cell r="F58">
            <v>750</v>
          </cell>
        </row>
        <row r="59">
          <cell r="A59" t="str">
            <v>d054</v>
          </cell>
          <cell r="B59">
            <v>54</v>
          </cell>
          <cell r="C59" t="str">
            <v>노말밴드</v>
          </cell>
          <cell r="D59" t="str">
            <v>HIPVC42mm</v>
          </cell>
          <cell r="E59" t="str">
            <v>EA</v>
          </cell>
          <cell r="F59">
            <v>950</v>
          </cell>
        </row>
        <row r="60">
          <cell r="A60" t="str">
            <v>d055</v>
          </cell>
          <cell r="B60">
            <v>55</v>
          </cell>
          <cell r="C60" t="str">
            <v>노말밴드</v>
          </cell>
          <cell r="D60" t="str">
            <v>HIPVC54mm</v>
          </cell>
          <cell r="E60" t="str">
            <v>EA</v>
          </cell>
          <cell r="F60">
            <v>1430</v>
          </cell>
        </row>
        <row r="61">
          <cell r="A61" t="str">
            <v>d056</v>
          </cell>
          <cell r="B61">
            <v>56</v>
          </cell>
          <cell r="C61" t="str">
            <v>노말밴드</v>
          </cell>
          <cell r="D61" t="str">
            <v>S/T 28mm</v>
          </cell>
          <cell r="E61" t="str">
            <v>EA</v>
          </cell>
          <cell r="F61">
            <v>1440</v>
          </cell>
        </row>
        <row r="62">
          <cell r="A62" t="str">
            <v>d057</v>
          </cell>
          <cell r="B62">
            <v>57</v>
          </cell>
          <cell r="C62" t="str">
            <v>노말밴드</v>
          </cell>
          <cell r="D62" t="str">
            <v>S/T 36mm</v>
          </cell>
          <cell r="E62" t="str">
            <v>EA</v>
          </cell>
          <cell r="F62">
            <v>2240</v>
          </cell>
        </row>
        <row r="63">
          <cell r="A63" t="str">
            <v>d058</v>
          </cell>
          <cell r="B63">
            <v>58</v>
          </cell>
          <cell r="C63" t="str">
            <v>노말밴드</v>
          </cell>
          <cell r="D63" t="str">
            <v>S/T 42mm</v>
          </cell>
          <cell r="E63" t="str">
            <v>EA</v>
          </cell>
          <cell r="F63">
            <v>2640</v>
          </cell>
        </row>
        <row r="64">
          <cell r="A64" t="str">
            <v>d059</v>
          </cell>
          <cell r="B64">
            <v>59</v>
          </cell>
          <cell r="C64" t="str">
            <v>노말밴드</v>
          </cell>
          <cell r="D64" t="str">
            <v>S/T 54mm</v>
          </cell>
          <cell r="E64" t="str">
            <v>EA</v>
          </cell>
          <cell r="F64">
            <v>4000</v>
          </cell>
        </row>
        <row r="65">
          <cell r="A65" t="str">
            <v>d230</v>
          </cell>
          <cell r="B65">
            <v>230</v>
          </cell>
          <cell r="C65" t="str">
            <v>노말밴드</v>
          </cell>
          <cell r="D65" t="str">
            <v>S/T 104mm</v>
          </cell>
          <cell r="E65" t="str">
            <v>EA</v>
          </cell>
          <cell r="F65">
            <v>18400</v>
          </cell>
        </row>
        <row r="66">
          <cell r="A66" t="str">
            <v>d206</v>
          </cell>
          <cell r="B66">
            <v>206</v>
          </cell>
          <cell r="C66" t="str">
            <v>녹막이  페 인 트</v>
          </cell>
          <cell r="D66" t="str">
            <v>2종 1급</v>
          </cell>
          <cell r="E66" t="str">
            <v>ℓ</v>
          </cell>
          <cell r="F66">
            <v>0</v>
          </cell>
        </row>
        <row r="67">
          <cell r="A67" t="str">
            <v>d211</v>
          </cell>
          <cell r="B67">
            <v>211</v>
          </cell>
          <cell r="C67" t="str">
            <v>ㄷ 형강</v>
          </cell>
          <cell r="D67" t="str">
            <v>5.0t 100x50</v>
          </cell>
          <cell r="E67" t="str">
            <v>EA</v>
          </cell>
          <cell r="F67">
            <v>300</v>
          </cell>
        </row>
        <row r="68">
          <cell r="A68" t="str">
            <v>d064</v>
          </cell>
          <cell r="B68">
            <v>64</v>
          </cell>
          <cell r="C68" t="str">
            <v>동 압착 슬리브</v>
          </cell>
          <cell r="D68" t="str">
            <v>C형 100-38㎟</v>
          </cell>
          <cell r="E68" t="str">
            <v>EA</v>
          </cell>
          <cell r="F68">
            <v>2000</v>
          </cell>
          <cell r="G68">
            <v>0.15</v>
          </cell>
        </row>
        <row r="69">
          <cell r="A69" t="str">
            <v>d065</v>
          </cell>
          <cell r="B69">
            <v>65</v>
          </cell>
          <cell r="C69" t="str">
            <v>동 압착 슬리브</v>
          </cell>
          <cell r="D69" t="str">
            <v>C형 100㎟</v>
          </cell>
          <cell r="E69" t="str">
            <v>EA</v>
          </cell>
          <cell r="F69">
            <v>2375</v>
          </cell>
          <cell r="G69">
            <v>0.15</v>
          </cell>
        </row>
        <row r="70">
          <cell r="A70" t="str">
            <v>d066</v>
          </cell>
          <cell r="B70">
            <v>66</v>
          </cell>
          <cell r="C70" t="str">
            <v>동 압착 슬리브</v>
          </cell>
          <cell r="D70" t="str">
            <v>C형 150㎟</v>
          </cell>
          <cell r="E70" t="str">
            <v>EA</v>
          </cell>
          <cell r="F70">
            <v>2850</v>
          </cell>
          <cell r="G70">
            <v>0.15</v>
          </cell>
        </row>
        <row r="71">
          <cell r="A71" t="str">
            <v>d067</v>
          </cell>
          <cell r="B71">
            <v>67</v>
          </cell>
          <cell r="C71" t="str">
            <v>동 압착 슬리브</v>
          </cell>
          <cell r="D71" t="str">
            <v>C형 200㎟</v>
          </cell>
          <cell r="E71" t="str">
            <v>EA</v>
          </cell>
          <cell r="F71">
            <v>3800</v>
          </cell>
          <cell r="G71">
            <v>0.15</v>
          </cell>
        </row>
        <row r="72">
          <cell r="A72" t="str">
            <v>d060</v>
          </cell>
          <cell r="B72">
            <v>60</v>
          </cell>
          <cell r="C72" t="str">
            <v>동 압착 슬리브</v>
          </cell>
          <cell r="D72" t="str">
            <v>C형 22㎟</v>
          </cell>
          <cell r="E72" t="str">
            <v>EA</v>
          </cell>
          <cell r="F72">
            <v>950</v>
          </cell>
          <cell r="G72">
            <v>0.15</v>
          </cell>
        </row>
        <row r="73">
          <cell r="A73" t="str">
            <v>d068</v>
          </cell>
          <cell r="B73">
            <v>68</v>
          </cell>
          <cell r="C73" t="str">
            <v>동 압착 슬리브</v>
          </cell>
          <cell r="D73" t="str">
            <v>C형 250㎟</v>
          </cell>
          <cell r="E73" t="str">
            <v>EA</v>
          </cell>
          <cell r="F73">
            <v>4940</v>
          </cell>
          <cell r="G73">
            <v>0.15</v>
          </cell>
        </row>
        <row r="74">
          <cell r="A74" t="str">
            <v>d061</v>
          </cell>
          <cell r="B74">
            <v>61</v>
          </cell>
          <cell r="C74" t="str">
            <v>동 압착 슬리브</v>
          </cell>
          <cell r="D74" t="str">
            <v>C형 38㎟</v>
          </cell>
          <cell r="E74" t="str">
            <v>EA</v>
          </cell>
          <cell r="F74">
            <v>1235</v>
          </cell>
          <cell r="G74">
            <v>0.15</v>
          </cell>
        </row>
        <row r="75">
          <cell r="A75" t="str">
            <v>d069</v>
          </cell>
          <cell r="B75">
            <v>69</v>
          </cell>
          <cell r="C75" t="str">
            <v>동 압착 슬리브</v>
          </cell>
          <cell r="D75" t="str">
            <v>C형 400-50㎟</v>
          </cell>
          <cell r="E75" t="str">
            <v>EA</v>
          </cell>
          <cell r="F75">
            <v>11000</v>
          </cell>
          <cell r="G75">
            <v>0.15</v>
          </cell>
        </row>
        <row r="76">
          <cell r="A76" t="str">
            <v>d062</v>
          </cell>
          <cell r="B76">
            <v>62</v>
          </cell>
          <cell r="C76" t="str">
            <v>동 압착 슬리브</v>
          </cell>
          <cell r="D76" t="str">
            <v>C형 50㎟</v>
          </cell>
          <cell r="E76" t="str">
            <v>EA</v>
          </cell>
          <cell r="F76">
            <v>1520</v>
          </cell>
          <cell r="G76">
            <v>0.15</v>
          </cell>
        </row>
        <row r="77">
          <cell r="A77" t="str">
            <v>d063</v>
          </cell>
          <cell r="B77">
            <v>63</v>
          </cell>
          <cell r="C77" t="str">
            <v>동 압착 슬리브</v>
          </cell>
          <cell r="D77" t="str">
            <v>C형 80㎟</v>
          </cell>
          <cell r="E77" t="str">
            <v>EA</v>
          </cell>
          <cell r="F77">
            <v>1900</v>
          </cell>
          <cell r="G77">
            <v>0.15</v>
          </cell>
        </row>
        <row r="78">
          <cell r="A78" t="str">
            <v>d070</v>
          </cell>
          <cell r="B78">
            <v>70</v>
          </cell>
          <cell r="C78" t="str">
            <v>동 피뢰침</v>
          </cell>
          <cell r="D78" t="str">
            <v>14 x 485mm</v>
          </cell>
          <cell r="E78" t="str">
            <v>EA</v>
          </cell>
          <cell r="F78">
            <v>9000</v>
          </cell>
          <cell r="G78">
            <v>1.5</v>
          </cell>
        </row>
        <row r="79">
          <cell r="A79" t="str">
            <v>d077</v>
          </cell>
          <cell r="B79">
            <v>77</v>
          </cell>
          <cell r="C79" t="str">
            <v>동관단자</v>
          </cell>
          <cell r="D79" t="str">
            <v>2홀 100㎟</v>
          </cell>
          <cell r="E79" t="str">
            <v>EA</v>
          </cell>
          <cell r="F79">
            <v>1500</v>
          </cell>
        </row>
        <row r="80">
          <cell r="A80" t="str">
            <v>d072</v>
          </cell>
          <cell r="B80">
            <v>72</v>
          </cell>
          <cell r="C80" t="str">
            <v>동관단자</v>
          </cell>
          <cell r="D80" t="str">
            <v>2홀 14㎟</v>
          </cell>
          <cell r="E80" t="str">
            <v>EA</v>
          </cell>
          <cell r="F80">
            <v>330</v>
          </cell>
        </row>
        <row r="81">
          <cell r="A81" t="str">
            <v>d078</v>
          </cell>
          <cell r="B81">
            <v>78</v>
          </cell>
          <cell r="C81" t="str">
            <v>동관단자</v>
          </cell>
          <cell r="D81" t="str">
            <v>2홀 150㎟</v>
          </cell>
          <cell r="E81" t="str">
            <v>EA</v>
          </cell>
          <cell r="F81">
            <v>2400</v>
          </cell>
        </row>
        <row r="82">
          <cell r="A82" t="str">
            <v>d079</v>
          </cell>
          <cell r="B82">
            <v>79</v>
          </cell>
          <cell r="C82" t="str">
            <v>동관단자</v>
          </cell>
          <cell r="D82" t="str">
            <v>2홀 200㎟</v>
          </cell>
          <cell r="E82" t="str">
            <v>EA</v>
          </cell>
          <cell r="F82">
            <v>2800</v>
          </cell>
        </row>
        <row r="83">
          <cell r="A83" t="str">
            <v>d073</v>
          </cell>
          <cell r="B83">
            <v>73</v>
          </cell>
          <cell r="C83" t="str">
            <v>동관단자</v>
          </cell>
          <cell r="D83" t="str">
            <v>2홀 22㎟</v>
          </cell>
          <cell r="E83" t="str">
            <v>EA</v>
          </cell>
          <cell r="F83">
            <v>380</v>
          </cell>
        </row>
        <row r="84">
          <cell r="A84" t="str">
            <v>d080</v>
          </cell>
          <cell r="B84">
            <v>80</v>
          </cell>
          <cell r="C84" t="str">
            <v>동관단자</v>
          </cell>
          <cell r="D84" t="str">
            <v>2홀 250㎟</v>
          </cell>
          <cell r="E84" t="str">
            <v>EA</v>
          </cell>
          <cell r="F84">
            <v>3800</v>
          </cell>
        </row>
        <row r="85">
          <cell r="A85" t="str">
            <v>d081</v>
          </cell>
          <cell r="B85">
            <v>81</v>
          </cell>
          <cell r="C85" t="str">
            <v>동관단자</v>
          </cell>
          <cell r="D85" t="str">
            <v>2홀 325㎟</v>
          </cell>
          <cell r="E85" t="str">
            <v>EA</v>
          </cell>
          <cell r="F85">
            <v>6500</v>
          </cell>
        </row>
        <row r="86">
          <cell r="A86" t="str">
            <v>d074</v>
          </cell>
          <cell r="B86">
            <v>74</v>
          </cell>
          <cell r="C86" t="str">
            <v>동관단자</v>
          </cell>
          <cell r="D86" t="str">
            <v>2홀 38㎟</v>
          </cell>
          <cell r="E86" t="str">
            <v>EA</v>
          </cell>
          <cell r="F86">
            <v>520</v>
          </cell>
        </row>
        <row r="87">
          <cell r="A87" t="str">
            <v>d082</v>
          </cell>
          <cell r="B87">
            <v>82</v>
          </cell>
          <cell r="C87" t="str">
            <v>동관단자</v>
          </cell>
          <cell r="D87" t="str">
            <v>2홀 400㎟</v>
          </cell>
          <cell r="E87" t="str">
            <v>EA</v>
          </cell>
          <cell r="F87">
            <v>8000</v>
          </cell>
        </row>
        <row r="88">
          <cell r="A88" t="str">
            <v>d075</v>
          </cell>
          <cell r="B88">
            <v>75</v>
          </cell>
          <cell r="C88" t="str">
            <v>동관단자</v>
          </cell>
          <cell r="D88" t="str">
            <v>2홀 60㎟</v>
          </cell>
          <cell r="E88" t="str">
            <v>EA</v>
          </cell>
          <cell r="F88">
            <v>800</v>
          </cell>
        </row>
        <row r="89">
          <cell r="A89" t="str">
            <v>d076</v>
          </cell>
          <cell r="B89">
            <v>76</v>
          </cell>
          <cell r="C89" t="str">
            <v>동관단자</v>
          </cell>
          <cell r="D89" t="str">
            <v>2홀 80㎟</v>
          </cell>
          <cell r="E89" t="str">
            <v>EA</v>
          </cell>
          <cell r="F89">
            <v>990</v>
          </cell>
        </row>
        <row r="90">
          <cell r="A90" t="str">
            <v>d071</v>
          </cell>
          <cell r="B90">
            <v>71</v>
          </cell>
          <cell r="C90" t="str">
            <v>동관단자</v>
          </cell>
          <cell r="D90" t="str">
            <v>2홀 8㎟</v>
          </cell>
          <cell r="E90" t="str">
            <v>EA</v>
          </cell>
          <cell r="F90">
            <v>280</v>
          </cell>
        </row>
        <row r="91">
          <cell r="A91" t="str">
            <v>d083</v>
          </cell>
          <cell r="B91">
            <v>83</v>
          </cell>
          <cell r="C91" t="str">
            <v>동축케이블(T.V)</v>
          </cell>
          <cell r="D91" t="str">
            <v>ECX 5C-2V</v>
          </cell>
          <cell r="E91" t="str">
            <v>M</v>
          </cell>
          <cell r="F91">
            <v>330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1.7999999999999999E-2</v>
          </cell>
        </row>
        <row r="92">
          <cell r="A92" t="str">
            <v>d084</v>
          </cell>
          <cell r="B92">
            <v>84</v>
          </cell>
          <cell r="C92" t="str">
            <v>리미트 S/W</v>
          </cell>
          <cell r="D92" t="str">
            <v>250V15A 로라레바형</v>
          </cell>
          <cell r="E92" t="str">
            <v>EA</v>
          </cell>
          <cell r="F92">
            <v>5100</v>
          </cell>
          <cell r="G92">
            <v>0.12</v>
          </cell>
        </row>
        <row r="93">
          <cell r="A93" t="str">
            <v>d085</v>
          </cell>
          <cell r="B93">
            <v>85</v>
          </cell>
          <cell r="C93" t="str">
            <v>모  래</v>
          </cell>
          <cell r="D93" t="str">
            <v>세사</v>
          </cell>
          <cell r="E93" t="str">
            <v>㎣</v>
          </cell>
          <cell r="F93">
            <v>7000</v>
          </cell>
        </row>
        <row r="94">
          <cell r="A94" t="str">
            <v>d086</v>
          </cell>
          <cell r="B94">
            <v>86</v>
          </cell>
          <cell r="C94" t="str">
            <v>발신기</v>
          </cell>
          <cell r="D94" t="str">
            <v>2급(보통형)</v>
          </cell>
          <cell r="E94" t="str">
            <v>EA</v>
          </cell>
          <cell r="F94">
            <v>3400</v>
          </cell>
          <cell r="G94">
            <v>0.3</v>
          </cell>
        </row>
        <row r="95">
          <cell r="A95" t="str">
            <v>d200</v>
          </cell>
          <cell r="B95">
            <v>200</v>
          </cell>
          <cell r="C95" t="str">
            <v>발전기 접속함</v>
          </cell>
          <cell r="D95" t="str">
            <v>접속자 200A</v>
          </cell>
          <cell r="E95" t="str">
            <v>면</v>
          </cell>
          <cell r="F95">
            <v>0</v>
          </cell>
          <cell r="G95">
            <v>0.92200000000000004</v>
          </cell>
        </row>
        <row r="96">
          <cell r="A96" t="str">
            <v>d087</v>
          </cell>
          <cell r="B96">
            <v>87</v>
          </cell>
          <cell r="C96" t="str">
            <v>백열등기구</v>
          </cell>
          <cell r="D96" t="str">
            <v>220V 100W 방폭증</v>
          </cell>
          <cell r="E96" t="str">
            <v>SET</v>
          </cell>
          <cell r="F96">
            <v>56000</v>
          </cell>
          <cell r="G96">
            <v>0.36</v>
          </cell>
        </row>
        <row r="97">
          <cell r="A97" t="str">
            <v>d197</v>
          </cell>
          <cell r="B97">
            <v>197</v>
          </cell>
          <cell r="C97" t="str">
            <v>백열등기구</v>
          </cell>
          <cell r="D97" t="str">
            <v>직부형</v>
          </cell>
          <cell r="E97" t="str">
            <v>SET</v>
          </cell>
          <cell r="F97">
            <v>5000</v>
          </cell>
          <cell r="G97">
            <v>0.18</v>
          </cell>
        </row>
        <row r="98">
          <cell r="A98" t="str">
            <v>d088</v>
          </cell>
          <cell r="B98">
            <v>88</v>
          </cell>
          <cell r="C98" t="str">
            <v>백열전구</v>
          </cell>
          <cell r="D98" t="str">
            <v>220V 60W</v>
          </cell>
          <cell r="E98" t="str">
            <v>EA</v>
          </cell>
          <cell r="F98">
            <v>220</v>
          </cell>
        </row>
        <row r="99">
          <cell r="A99" t="str">
            <v>d091</v>
          </cell>
          <cell r="B99">
            <v>91</v>
          </cell>
          <cell r="C99" t="str">
            <v>브스바</v>
          </cell>
          <cell r="D99" t="str">
            <v>100x100x1000mm(8.9)</v>
          </cell>
          <cell r="E99" t="str">
            <v>Kg</v>
          </cell>
          <cell r="F99">
            <v>2850</v>
          </cell>
          <cell r="G99">
            <v>0</v>
          </cell>
          <cell r="H99">
            <v>0.13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0.09</v>
          </cell>
        </row>
        <row r="100">
          <cell r="A100" t="str">
            <v>d089</v>
          </cell>
          <cell r="B100">
            <v>89</v>
          </cell>
          <cell r="C100" t="str">
            <v>브스바</v>
          </cell>
          <cell r="D100" t="str">
            <v>3.0mm x 25(0.66)</v>
          </cell>
          <cell r="E100" t="str">
            <v>Kg</v>
          </cell>
          <cell r="F100">
            <v>2850</v>
          </cell>
          <cell r="G100">
            <v>0</v>
          </cell>
          <cell r="H100">
            <v>0.12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0.08</v>
          </cell>
        </row>
        <row r="101">
          <cell r="A101" t="str">
            <v>d090</v>
          </cell>
          <cell r="B101">
            <v>90</v>
          </cell>
          <cell r="C101" t="str">
            <v>브스바</v>
          </cell>
          <cell r="D101" t="str">
            <v>3.0mm x 50(1.33)</v>
          </cell>
          <cell r="E101" t="str">
            <v>Kg</v>
          </cell>
          <cell r="F101">
            <v>2850</v>
          </cell>
          <cell r="G101">
            <v>0</v>
          </cell>
          <cell r="H101">
            <v>0.12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0.08</v>
          </cell>
        </row>
        <row r="102">
          <cell r="A102" t="str">
            <v>d092</v>
          </cell>
          <cell r="B102">
            <v>92</v>
          </cell>
          <cell r="C102" t="str">
            <v>비디오폰</v>
          </cell>
          <cell r="D102" t="str">
            <v xml:space="preserve">CH 911SV 화재,방범,가스 </v>
          </cell>
          <cell r="E102" t="str">
            <v>SET</v>
          </cell>
          <cell r="F102">
            <v>440000</v>
          </cell>
          <cell r="G102">
            <v>0.44</v>
          </cell>
        </row>
        <row r="103">
          <cell r="A103" t="str">
            <v>d095</v>
          </cell>
          <cell r="B103">
            <v>95</v>
          </cell>
          <cell r="C103" t="str">
            <v>세프티 S/W</v>
          </cell>
          <cell r="D103" t="str">
            <v>3P 100A</v>
          </cell>
          <cell r="E103" t="str">
            <v>EA</v>
          </cell>
          <cell r="F103">
            <v>56300</v>
          </cell>
          <cell r="G103">
            <v>0.4</v>
          </cell>
        </row>
        <row r="104">
          <cell r="A104" t="str">
            <v>d096</v>
          </cell>
          <cell r="B104">
            <v>96</v>
          </cell>
          <cell r="C104" t="str">
            <v>세프티 S/W</v>
          </cell>
          <cell r="D104" t="str">
            <v>3P 200A</v>
          </cell>
          <cell r="E104" t="str">
            <v>EA</v>
          </cell>
          <cell r="F104">
            <v>112500</v>
          </cell>
          <cell r="G104">
            <v>0.55000000000000004</v>
          </cell>
        </row>
        <row r="105">
          <cell r="A105" t="str">
            <v>d093</v>
          </cell>
          <cell r="B105">
            <v>93</v>
          </cell>
          <cell r="C105" t="str">
            <v>세프티 S/W</v>
          </cell>
          <cell r="D105" t="str">
            <v>3P 30A</v>
          </cell>
          <cell r="E105" t="str">
            <v>EA</v>
          </cell>
          <cell r="F105">
            <v>22500</v>
          </cell>
          <cell r="G105">
            <v>0.2</v>
          </cell>
        </row>
        <row r="106">
          <cell r="A106" t="str">
            <v>d094</v>
          </cell>
          <cell r="B106">
            <v>94</v>
          </cell>
          <cell r="C106" t="str">
            <v>세프티 S/W</v>
          </cell>
          <cell r="D106" t="str">
            <v>3P 60A</v>
          </cell>
          <cell r="E106" t="str">
            <v>EA</v>
          </cell>
          <cell r="F106">
            <v>30400</v>
          </cell>
          <cell r="G106">
            <v>0.3</v>
          </cell>
        </row>
        <row r="107">
          <cell r="A107" t="str">
            <v>d097</v>
          </cell>
          <cell r="B107">
            <v>97</v>
          </cell>
          <cell r="C107" t="str">
            <v>셋트 앙카</v>
          </cell>
          <cell r="D107" t="str">
            <v>1/2" x 100</v>
          </cell>
          <cell r="E107" t="str">
            <v>EA</v>
          </cell>
          <cell r="F107">
            <v>140</v>
          </cell>
          <cell r="G107">
            <v>0.08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3.5999999999999997E-2</v>
          </cell>
        </row>
        <row r="108">
          <cell r="A108" t="str">
            <v>d098</v>
          </cell>
          <cell r="B108">
            <v>98</v>
          </cell>
          <cell r="C108" t="str">
            <v>수신기</v>
          </cell>
          <cell r="D108" t="str">
            <v>P형 1급 5CC</v>
          </cell>
          <cell r="E108" t="str">
            <v>대</v>
          </cell>
          <cell r="F108">
            <v>180000</v>
          </cell>
          <cell r="G108">
            <v>7.5</v>
          </cell>
        </row>
        <row r="109">
          <cell r="A109" t="str">
            <v>d099</v>
          </cell>
          <cell r="B109">
            <v>99</v>
          </cell>
          <cell r="C109" t="str">
            <v>스위치 박스</v>
          </cell>
          <cell r="D109" t="str">
            <v>S/W BOX 54mm 1EA</v>
          </cell>
          <cell r="E109" t="str">
            <v>EA</v>
          </cell>
          <cell r="F109">
            <v>440</v>
          </cell>
          <cell r="G109">
            <v>0.2</v>
          </cell>
        </row>
        <row r="110">
          <cell r="A110" t="str">
            <v>d100</v>
          </cell>
          <cell r="B110">
            <v>100</v>
          </cell>
          <cell r="C110" t="str">
            <v>스위치(매입램프)</v>
          </cell>
          <cell r="D110" t="str">
            <v>250V15A1구 ALW1111</v>
          </cell>
          <cell r="E110" t="str">
            <v>EA</v>
          </cell>
          <cell r="F110">
            <v>820</v>
          </cell>
          <cell r="G110">
            <v>6.5000000000000002E-2</v>
          </cell>
        </row>
        <row r="111">
          <cell r="A111" t="str">
            <v>d101</v>
          </cell>
          <cell r="B111">
            <v>101</v>
          </cell>
          <cell r="C111" t="str">
            <v>스위치(매입램프)</v>
          </cell>
          <cell r="D111" t="str">
            <v>250V15A2구 ALW1111</v>
          </cell>
          <cell r="E111" t="str">
            <v>EA</v>
          </cell>
          <cell r="F111">
            <v>1080</v>
          </cell>
          <cell r="G111">
            <v>7.8E-2</v>
          </cell>
        </row>
        <row r="112">
          <cell r="A112" t="str">
            <v>d102</v>
          </cell>
          <cell r="B112">
            <v>102</v>
          </cell>
          <cell r="C112" t="str">
            <v>스위치(매입램프)</v>
          </cell>
          <cell r="D112" t="str">
            <v>250V15A3구 ALW1111</v>
          </cell>
          <cell r="E112" t="str">
            <v>EA</v>
          </cell>
          <cell r="F112">
            <v>2600</v>
          </cell>
          <cell r="G112">
            <v>9.0999999999999998E-2</v>
          </cell>
        </row>
        <row r="113">
          <cell r="A113" t="str">
            <v>d103</v>
          </cell>
          <cell r="B113">
            <v>103</v>
          </cell>
          <cell r="C113" t="str">
            <v>스위치(매입램프)</v>
          </cell>
          <cell r="D113" t="str">
            <v>250V15A3로 ALW1111</v>
          </cell>
          <cell r="E113" t="str">
            <v>EA</v>
          </cell>
          <cell r="F113">
            <v>1004</v>
          </cell>
          <cell r="G113">
            <v>9.5000000000000001E-2</v>
          </cell>
        </row>
        <row r="114">
          <cell r="A114" t="str">
            <v>d207</v>
          </cell>
          <cell r="B114">
            <v>207</v>
          </cell>
          <cell r="C114" t="str">
            <v>신         너</v>
          </cell>
          <cell r="D114" t="str">
            <v>1종 1급 DR291</v>
          </cell>
          <cell r="E114" t="str">
            <v>ℓ</v>
          </cell>
          <cell r="F114">
            <v>0</v>
          </cell>
        </row>
        <row r="115">
          <cell r="A115" t="str">
            <v>d104</v>
          </cell>
          <cell r="B115">
            <v>104</v>
          </cell>
          <cell r="C115" t="str">
            <v>아우트레트 박스</v>
          </cell>
          <cell r="D115" t="str">
            <v>4각BOX 54mm</v>
          </cell>
          <cell r="E115" t="str">
            <v>EA</v>
          </cell>
          <cell r="F115">
            <v>489</v>
          </cell>
          <cell r="G115">
            <v>0.2</v>
          </cell>
        </row>
        <row r="116">
          <cell r="A116" t="str">
            <v>d105</v>
          </cell>
          <cell r="B116">
            <v>105</v>
          </cell>
          <cell r="C116" t="str">
            <v>아우트레트 박스</v>
          </cell>
          <cell r="D116" t="str">
            <v>8각BOX 54mm</v>
          </cell>
          <cell r="E116" t="str">
            <v>EA</v>
          </cell>
          <cell r="F116">
            <v>445</v>
          </cell>
          <cell r="G116">
            <v>0.2</v>
          </cell>
        </row>
        <row r="117">
          <cell r="A117" t="str">
            <v>d106</v>
          </cell>
          <cell r="B117">
            <v>106</v>
          </cell>
          <cell r="C117" t="str">
            <v>아우트레트 박스</v>
          </cell>
          <cell r="D117" t="str">
            <v>S/WBOX 54mm</v>
          </cell>
          <cell r="E117" t="str">
            <v>EA</v>
          </cell>
          <cell r="F117">
            <v>360</v>
          </cell>
          <cell r="G117">
            <v>0.2</v>
          </cell>
        </row>
        <row r="118">
          <cell r="A118" t="str">
            <v>d213</v>
          </cell>
          <cell r="B118">
            <v>213</v>
          </cell>
          <cell r="C118" t="str">
            <v>앵 카 볼 트</v>
          </cell>
          <cell r="D118" t="str">
            <v>13MM(1/2)x125L</v>
          </cell>
          <cell r="E118" t="str">
            <v>EA</v>
          </cell>
          <cell r="F118">
            <v>145</v>
          </cell>
        </row>
        <row r="119">
          <cell r="A119" t="str">
            <v>d210</v>
          </cell>
          <cell r="B119">
            <v>210</v>
          </cell>
          <cell r="C119" t="str">
            <v>연   마   지</v>
          </cell>
          <cell r="D119" t="str">
            <v>22.8 x 25Cm</v>
          </cell>
          <cell r="E119">
            <v>0</v>
          </cell>
          <cell r="F119">
            <v>0</v>
          </cell>
        </row>
        <row r="120">
          <cell r="A120" t="str">
            <v>d107</v>
          </cell>
          <cell r="B120">
            <v>107</v>
          </cell>
          <cell r="C120" t="str">
            <v>오뚜기식 제어기</v>
          </cell>
          <cell r="D120" t="str">
            <v>부력식형</v>
          </cell>
          <cell r="E120" t="str">
            <v>EA</v>
          </cell>
          <cell r="F120">
            <v>33000</v>
          </cell>
          <cell r="G120">
            <v>0.08</v>
          </cell>
        </row>
        <row r="121">
          <cell r="A121" t="str">
            <v>d108</v>
          </cell>
          <cell r="B121">
            <v>108</v>
          </cell>
          <cell r="C121" t="str">
            <v>위샤캡</v>
          </cell>
          <cell r="D121" t="str">
            <v>S/T 28mm</v>
          </cell>
          <cell r="E121" t="str">
            <v>EA</v>
          </cell>
          <cell r="F121">
            <v>2100</v>
          </cell>
          <cell r="G121">
            <v>0.03</v>
          </cell>
        </row>
        <row r="122">
          <cell r="A122" t="str">
            <v>d109</v>
          </cell>
          <cell r="B122">
            <v>109</v>
          </cell>
          <cell r="C122" t="str">
            <v>위샤캡</v>
          </cell>
          <cell r="D122" t="str">
            <v>S/T 36mm</v>
          </cell>
          <cell r="E122" t="str">
            <v>EA</v>
          </cell>
          <cell r="F122">
            <v>2480</v>
          </cell>
          <cell r="G122">
            <v>0.04</v>
          </cell>
        </row>
        <row r="123">
          <cell r="A123" t="str">
            <v>d110</v>
          </cell>
          <cell r="B123">
            <v>110</v>
          </cell>
          <cell r="C123" t="str">
            <v>위샤캡</v>
          </cell>
          <cell r="D123" t="str">
            <v>S/T 42mm</v>
          </cell>
          <cell r="E123" t="str">
            <v>EA</v>
          </cell>
          <cell r="F123">
            <v>2770</v>
          </cell>
          <cell r="G123">
            <v>0.04</v>
          </cell>
        </row>
        <row r="124">
          <cell r="A124" t="str">
            <v>d111</v>
          </cell>
          <cell r="B124">
            <v>111</v>
          </cell>
          <cell r="C124" t="str">
            <v>위샤캡</v>
          </cell>
          <cell r="D124" t="str">
            <v>S/T 54mm</v>
          </cell>
          <cell r="E124" t="str">
            <v>EA</v>
          </cell>
          <cell r="F124">
            <v>3440</v>
          </cell>
          <cell r="G124">
            <v>0.04</v>
          </cell>
        </row>
        <row r="125">
          <cell r="A125" t="str">
            <v>d229</v>
          </cell>
          <cell r="B125">
            <v>229</v>
          </cell>
          <cell r="C125" t="str">
            <v>위샤캡</v>
          </cell>
          <cell r="D125" t="str">
            <v>S/T 104mm</v>
          </cell>
          <cell r="E125" t="str">
            <v>EA</v>
          </cell>
          <cell r="F125">
            <v>23906</v>
          </cell>
          <cell r="G125">
            <v>0.04</v>
          </cell>
        </row>
        <row r="126">
          <cell r="A126" t="str">
            <v>d212</v>
          </cell>
          <cell r="B126">
            <v>212</v>
          </cell>
          <cell r="C126" t="str">
            <v>유니스트러트 챤넬</v>
          </cell>
          <cell r="D126" t="str">
            <v>2.3t 42x42</v>
          </cell>
          <cell r="E126" t="str">
            <v>EA</v>
          </cell>
          <cell r="F126">
            <v>0</v>
          </cell>
        </row>
        <row r="127">
          <cell r="A127" t="str">
            <v>d205</v>
          </cell>
          <cell r="B127">
            <v>205</v>
          </cell>
          <cell r="C127" t="str">
            <v>은            분</v>
          </cell>
          <cell r="D127">
            <v>0</v>
          </cell>
          <cell r="E127" t="str">
            <v>ℓ</v>
          </cell>
          <cell r="F127">
            <v>0</v>
          </cell>
        </row>
        <row r="128">
          <cell r="A128" t="str">
            <v>d112</v>
          </cell>
          <cell r="B128">
            <v>112</v>
          </cell>
          <cell r="C128" t="str">
            <v>작은나사</v>
          </cell>
          <cell r="D128" t="str">
            <v>황동 1/8"x1 1/4"</v>
          </cell>
          <cell r="E128" t="str">
            <v>EA</v>
          </cell>
          <cell r="F128">
            <v>4.5999999999999996</v>
          </cell>
        </row>
        <row r="129">
          <cell r="A129" t="str">
            <v>d113</v>
          </cell>
          <cell r="B129">
            <v>113</v>
          </cell>
          <cell r="C129" t="str">
            <v>장미전구</v>
          </cell>
          <cell r="D129" t="str">
            <v>220(V) x 20W전자식</v>
          </cell>
          <cell r="E129" t="str">
            <v>EA</v>
          </cell>
          <cell r="F129">
            <v>7500</v>
          </cell>
          <cell r="G129">
            <v>0.245</v>
          </cell>
        </row>
        <row r="130">
          <cell r="A130" t="str">
            <v>d116</v>
          </cell>
          <cell r="B130">
            <v>116</v>
          </cell>
          <cell r="C130" t="str">
            <v>전  선</v>
          </cell>
          <cell r="D130" t="str">
            <v>CPEV 0.65mm 10P</v>
          </cell>
          <cell r="E130" t="str">
            <v>M</v>
          </cell>
          <cell r="F130">
            <v>523</v>
          </cell>
          <cell r="G130">
            <v>0</v>
          </cell>
          <cell r="H130">
            <v>0</v>
          </cell>
          <cell r="I130">
            <v>0</v>
          </cell>
          <cell r="J130">
            <v>0.18</v>
          </cell>
        </row>
        <row r="131">
          <cell r="A131" t="str">
            <v>d114</v>
          </cell>
          <cell r="B131">
            <v>114</v>
          </cell>
          <cell r="C131" t="str">
            <v>전극봉식 제어기</v>
          </cell>
          <cell r="D131" t="str">
            <v>3선 3극</v>
          </cell>
          <cell r="E131" t="str">
            <v>EA</v>
          </cell>
          <cell r="F131">
            <v>33000</v>
          </cell>
          <cell r="G131">
            <v>0.08</v>
          </cell>
        </row>
        <row r="132">
          <cell r="A132" t="str">
            <v>d115</v>
          </cell>
          <cell r="B132">
            <v>115</v>
          </cell>
          <cell r="C132" t="str">
            <v>전기맨홀</v>
          </cell>
          <cell r="D132" t="str">
            <v>Ø950(Ø750)소형</v>
          </cell>
          <cell r="E132" t="str">
            <v>EA</v>
          </cell>
          <cell r="F132">
            <v>365000</v>
          </cell>
        </row>
        <row r="133">
          <cell r="A133" t="str">
            <v>d117</v>
          </cell>
          <cell r="B133">
            <v>117</v>
          </cell>
          <cell r="C133" t="str">
            <v>전선</v>
          </cell>
          <cell r="D133" t="str">
            <v>CV 5.5㎟/1C</v>
          </cell>
          <cell r="E133" t="str">
            <v>M</v>
          </cell>
          <cell r="F133">
            <v>270</v>
          </cell>
          <cell r="G133">
            <v>0.01</v>
          </cell>
        </row>
        <row r="134">
          <cell r="A134" t="str">
            <v>d118</v>
          </cell>
          <cell r="B134">
            <v>118</v>
          </cell>
          <cell r="C134" t="str">
            <v>전선</v>
          </cell>
          <cell r="D134" t="str">
            <v>CV 8㎟/1C</v>
          </cell>
          <cell r="E134" t="str">
            <v>M</v>
          </cell>
          <cell r="F134">
            <v>350</v>
          </cell>
          <cell r="G134">
            <v>0.02</v>
          </cell>
        </row>
        <row r="135">
          <cell r="A135" t="str">
            <v>d119</v>
          </cell>
          <cell r="B135">
            <v>119</v>
          </cell>
          <cell r="C135" t="str">
            <v>전선</v>
          </cell>
          <cell r="D135" t="str">
            <v>CV 14㎟/1C</v>
          </cell>
          <cell r="E135" t="str">
            <v>M</v>
          </cell>
          <cell r="F135">
            <v>615</v>
          </cell>
          <cell r="G135">
            <v>0.02</v>
          </cell>
        </row>
        <row r="136">
          <cell r="A136" t="str">
            <v>d120</v>
          </cell>
          <cell r="B136">
            <v>120</v>
          </cell>
          <cell r="C136" t="str">
            <v>전선</v>
          </cell>
          <cell r="D136" t="str">
            <v>CV 22㎟/1C</v>
          </cell>
          <cell r="E136" t="str">
            <v>M</v>
          </cell>
          <cell r="F136">
            <v>812</v>
          </cell>
          <cell r="G136">
            <v>3.1E-2</v>
          </cell>
        </row>
        <row r="137">
          <cell r="A137" t="str">
            <v>d121</v>
          </cell>
          <cell r="B137">
            <v>121</v>
          </cell>
          <cell r="C137" t="str">
            <v>전선</v>
          </cell>
          <cell r="D137" t="str">
            <v>CV 38㎟/1C</v>
          </cell>
          <cell r="E137" t="str">
            <v>M</v>
          </cell>
          <cell r="F137">
            <v>1250</v>
          </cell>
          <cell r="G137">
            <v>3.1E-2</v>
          </cell>
        </row>
        <row r="138">
          <cell r="A138" t="str">
            <v>d228</v>
          </cell>
          <cell r="B138">
            <v>228</v>
          </cell>
          <cell r="C138" t="str">
            <v>전선</v>
          </cell>
          <cell r="D138" t="str">
            <v>CV 100㎟/1C</v>
          </cell>
          <cell r="E138" t="str">
            <v>M</v>
          </cell>
          <cell r="F138">
            <v>3518</v>
          </cell>
          <cell r="G138">
            <v>6.4000000000000001E-2</v>
          </cell>
        </row>
        <row r="139">
          <cell r="A139" t="str">
            <v>d122</v>
          </cell>
          <cell r="B139">
            <v>122</v>
          </cell>
          <cell r="C139" t="str">
            <v>전선</v>
          </cell>
          <cell r="D139" t="str">
            <v>CVV 2.0㎟/1C</v>
          </cell>
          <cell r="E139" t="str">
            <v>M</v>
          </cell>
          <cell r="F139">
            <v>95</v>
          </cell>
          <cell r="G139">
            <v>0.01</v>
          </cell>
        </row>
        <row r="140">
          <cell r="A140" t="str">
            <v>d125</v>
          </cell>
          <cell r="B140">
            <v>125</v>
          </cell>
          <cell r="C140" t="str">
            <v>전선</v>
          </cell>
          <cell r="D140" t="str">
            <v>GV 100㎟</v>
          </cell>
          <cell r="E140" t="str">
            <v>M</v>
          </cell>
          <cell r="F140">
            <v>3518</v>
          </cell>
          <cell r="G140">
            <v>0.02</v>
          </cell>
        </row>
        <row r="141">
          <cell r="A141" t="str">
            <v>d128</v>
          </cell>
          <cell r="B141">
            <v>128</v>
          </cell>
          <cell r="C141" t="str">
            <v>전선</v>
          </cell>
          <cell r="D141" t="str">
            <v>GV 14㎟</v>
          </cell>
          <cell r="E141" t="str">
            <v>M</v>
          </cell>
          <cell r="F141">
            <v>715</v>
          </cell>
          <cell r="G141">
            <v>0.02</v>
          </cell>
        </row>
        <row r="142">
          <cell r="A142" t="str">
            <v>d123</v>
          </cell>
          <cell r="B142">
            <v>123</v>
          </cell>
          <cell r="C142" t="str">
            <v>전선</v>
          </cell>
          <cell r="D142" t="str">
            <v>GV 38㎟</v>
          </cell>
          <cell r="E142" t="str">
            <v>M</v>
          </cell>
          <cell r="F142">
            <v>1494</v>
          </cell>
          <cell r="G142">
            <v>3.1E-2</v>
          </cell>
        </row>
        <row r="143">
          <cell r="A143" t="str">
            <v>d126</v>
          </cell>
          <cell r="B143">
            <v>126</v>
          </cell>
          <cell r="C143" t="str">
            <v>전선</v>
          </cell>
          <cell r="D143" t="str">
            <v>GV 400㎟</v>
          </cell>
          <cell r="E143" t="str">
            <v>M</v>
          </cell>
          <cell r="F143">
            <v>13768</v>
          </cell>
          <cell r="G143">
            <v>2.5000000000000001E-2</v>
          </cell>
        </row>
        <row r="144">
          <cell r="A144" t="str">
            <v>d124</v>
          </cell>
          <cell r="B144">
            <v>124</v>
          </cell>
          <cell r="C144" t="str">
            <v>전선</v>
          </cell>
          <cell r="D144" t="str">
            <v>GV 50㎟</v>
          </cell>
          <cell r="E144" t="str">
            <v>M</v>
          </cell>
          <cell r="F144">
            <v>2006</v>
          </cell>
          <cell r="G144">
            <v>1.4999999999999999E-2</v>
          </cell>
        </row>
        <row r="145">
          <cell r="A145" t="str">
            <v>d214</v>
          </cell>
          <cell r="B145">
            <v>214</v>
          </cell>
          <cell r="C145" t="str">
            <v>전선</v>
          </cell>
          <cell r="D145" t="str">
            <v>GV 8㎟</v>
          </cell>
          <cell r="E145" t="str">
            <v>M</v>
          </cell>
          <cell r="F145">
            <v>414</v>
          </cell>
          <cell r="G145">
            <v>0.02</v>
          </cell>
        </row>
        <row r="146">
          <cell r="A146" t="str">
            <v>d127</v>
          </cell>
          <cell r="B146">
            <v>127</v>
          </cell>
          <cell r="C146" t="str">
            <v>전선</v>
          </cell>
          <cell r="D146" t="str">
            <v>HIV 2.0mm</v>
          </cell>
          <cell r="E146" t="str">
            <v>M</v>
          </cell>
          <cell r="F146">
            <v>94</v>
          </cell>
          <cell r="G146">
            <v>0.01</v>
          </cell>
        </row>
        <row r="147">
          <cell r="A147" t="str">
            <v>d129</v>
          </cell>
          <cell r="B147">
            <v>129</v>
          </cell>
          <cell r="C147" t="str">
            <v>전선</v>
          </cell>
          <cell r="D147" t="str">
            <v>HIV 5.5㎟</v>
          </cell>
          <cell r="E147" t="str">
            <v>M</v>
          </cell>
          <cell r="F147">
            <v>183</v>
          </cell>
          <cell r="G147">
            <v>0.01</v>
          </cell>
        </row>
        <row r="148">
          <cell r="A148" t="str">
            <v>d130</v>
          </cell>
          <cell r="B148">
            <v>130</v>
          </cell>
          <cell r="C148" t="str">
            <v>전선</v>
          </cell>
          <cell r="D148" t="str">
            <v>HIV 8㎟</v>
          </cell>
          <cell r="E148" t="str">
            <v>M</v>
          </cell>
          <cell r="F148">
            <v>265</v>
          </cell>
          <cell r="G148">
            <v>0.02</v>
          </cell>
        </row>
        <row r="149">
          <cell r="A149" t="str">
            <v>d131</v>
          </cell>
          <cell r="B149">
            <v>131</v>
          </cell>
          <cell r="C149" t="str">
            <v>전선</v>
          </cell>
          <cell r="D149" t="str">
            <v>TIV 0.8mm/2C</v>
          </cell>
          <cell r="E149" t="str">
            <v>M</v>
          </cell>
          <cell r="F149">
            <v>38</v>
          </cell>
          <cell r="G149">
            <v>0</v>
          </cell>
          <cell r="H149">
            <v>0</v>
          </cell>
          <cell r="I149">
            <v>1.4999999999999999E-2</v>
          </cell>
        </row>
        <row r="150">
          <cell r="A150" t="str">
            <v>d217</v>
          </cell>
          <cell r="B150">
            <v>217</v>
          </cell>
          <cell r="C150" t="str">
            <v>전선관</v>
          </cell>
          <cell r="D150" t="str">
            <v>ELP D : 30</v>
          </cell>
          <cell r="E150" t="str">
            <v>M</v>
          </cell>
          <cell r="F150">
            <v>305</v>
          </cell>
          <cell r="G150">
            <v>1.2E-2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2.9000000000000001E-2</v>
          </cell>
        </row>
        <row r="151">
          <cell r="A151" t="str">
            <v>d218</v>
          </cell>
          <cell r="B151">
            <v>218</v>
          </cell>
          <cell r="C151" t="str">
            <v>전선관</v>
          </cell>
          <cell r="D151" t="str">
            <v>ELP D : 40</v>
          </cell>
          <cell r="E151" t="str">
            <v>M</v>
          </cell>
          <cell r="F151">
            <v>500</v>
          </cell>
          <cell r="G151">
            <v>1.2E-2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2.9000000000000001E-2</v>
          </cell>
        </row>
        <row r="152">
          <cell r="A152" t="str">
            <v>d219</v>
          </cell>
          <cell r="B152">
            <v>219</v>
          </cell>
          <cell r="C152" t="str">
            <v>전선관</v>
          </cell>
          <cell r="D152" t="str">
            <v>ELP D : 50</v>
          </cell>
          <cell r="E152" t="str">
            <v>M</v>
          </cell>
          <cell r="F152">
            <v>630</v>
          </cell>
          <cell r="G152">
            <v>1.2E-2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2.9000000000000001E-2</v>
          </cell>
        </row>
        <row r="153">
          <cell r="A153" t="str">
            <v>d220</v>
          </cell>
          <cell r="B153">
            <v>220</v>
          </cell>
          <cell r="C153" t="str">
            <v>전선관</v>
          </cell>
          <cell r="D153" t="str">
            <v>ELP D : 65</v>
          </cell>
          <cell r="E153" t="str">
            <v>M</v>
          </cell>
          <cell r="F153">
            <v>925</v>
          </cell>
          <cell r="G153">
            <v>1.4999999999999999E-2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3.5000000000000003E-2</v>
          </cell>
        </row>
        <row r="154">
          <cell r="A154" t="str">
            <v>d132</v>
          </cell>
          <cell r="B154">
            <v>132</v>
          </cell>
          <cell r="C154" t="str">
            <v>전선관</v>
          </cell>
          <cell r="D154" t="str">
            <v>HIPVC 16mm</v>
          </cell>
          <cell r="E154" t="str">
            <v>M</v>
          </cell>
          <cell r="F154">
            <v>235</v>
          </cell>
          <cell r="G154">
            <v>0.05</v>
          </cell>
        </row>
        <row r="155">
          <cell r="A155" t="str">
            <v>d133</v>
          </cell>
          <cell r="B155">
            <v>133</v>
          </cell>
          <cell r="C155" t="str">
            <v>전선관</v>
          </cell>
          <cell r="D155" t="str">
            <v>HIPVC 22mm</v>
          </cell>
          <cell r="E155" t="str">
            <v>M</v>
          </cell>
          <cell r="F155">
            <v>283</v>
          </cell>
          <cell r="G155">
            <v>0.06</v>
          </cell>
        </row>
        <row r="156">
          <cell r="A156" t="str">
            <v>d134</v>
          </cell>
          <cell r="B156">
            <v>134</v>
          </cell>
          <cell r="C156" t="str">
            <v>전선관</v>
          </cell>
          <cell r="D156" t="str">
            <v>HIPVC 28mm</v>
          </cell>
          <cell r="E156" t="str">
            <v>M</v>
          </cell>
          <cell r="F156">
            <v>548</v>
          </cell>
          <cell r="G156">
            <v>0.08</v>
          </cell>
        </row>
        <row r="157">
          <cell r="A157" t="str">
            <v>d135</v>
          </cell>
          <cell r="B157">
            <v>135</v>
          </cell>
          <cell r="C157" t="str">
            <v>전선관</v>
          </cell>
          <cell r="D157" t="str">
            <v>HIPVC 36mm</v>
          </cell>
          <cell r="E157" t="str">
            <v>M</v>
          </cell>
          <cell r="F157">
            <v>760</v>
          </cell>
          <cell r="G157">
            <v>0.01</v>
          </cell>
        </row>
        <row r="158">
          <cell r="A158" t="str">
            <v>d136</v>
          </cell>
          <cell r="B158">
            <v>136</v>
          </cell>
          <cell r="C158" t="str">
            <v>전선관</v>
          </cell>
          <cell r="D158" t="str">
            <v>HIPVC 42mm</v>
          </cell>
          <cell r="E158" t="str">
            <v>M</v>
          </cell>
          <cell r="F158">
            <v>996</v>
          </cell>
          <cell r="G158">
            <v>0.13</v>
          </cell>
        </row>
        <row r="159">
          <cell r="A159" t="str">
            <v>d137</v>
          </cell>
          <cell r="B159">
            <v>137</v>
          </cell>
          <cell r="C159" t="str">
            <v>전선관</v>
          </cell>
          <cell r="D159" t="str">
            <v>HIPVC 54mm</v>
          </cell>
          <cell r="E159" t="str">
            <v>M</v>
          </cell>
          <cell r="F159">
            <v>1413</v>
          </cell>
          <cell r="G159">
            <v>0.19</v>
          </cell>
        </row>
        <row r="160">
          <cell r="A160" t="str">
            <v>d138</v>
          </cell>
          <cell r="B160">
            <v>138</v>
          </cell>
          <cell r="C160" t="str">
            <v>전선관</v>
          </cell>
          <cell r="D160" t="str">
            <v>S/T 16mm</v>
          </cell>
          <cell r="E160" t="str">
            <v>M</v>
          </cell>
          <cell r="F160">
            <v>665</v>
          </cell>
          <cell r="G160">
            <v>0.08</v>
          </cell>
        </row>
        <row r="161">
          <cell r="A161" t="str">
            <v>d139</v>
          </cell>
          <cell r="B161">
            <v>139</v>
          </cell>
          <cell r="C161" t="str">
            <v>전선관</v>
          </cell>
          <cell r="D161" t="str">
            <v>S/T 22mm</v>
          </cell>
          <cell r="E161" t="str">
            <v>M</v>
          </cell>
          <cell r="F161">
            <v>852</v>
          </cell>
          <cell r="G161">
            <v>0.11</v>
          </cell>
        </row>
        <row r="162">
          <cell r="A162" t="str">
            <v>d140</v>
          </cell>
          <cell r="B162">
            <v>140</v>
          </cell>
          <cell r="C162" t="str">
            <v>전선관</v>
          </cell>
          <cell r="D162" t="str">
            <v>S/T 28mm</v>
          </cell>
          <cell r="E162" t="str">
            <v>M</v>
          </cell>
          <cell r="F162">
            <v>1112</v>
          </cell>
          <cell r="G162">
            <v>0.14000000000000001</v>
          </cell>
        </row>
        <row r="163">
          <cell r="A163" t="str">
            <v>d141</v>
          </cell>
          <cell r="B163">
            <v>141</v>
          </cell>
          <cell r="C163" t="str">
            <v>전선관</v>
          </cell>
          <cell r="D163" t="str">
            <v>S/T 36mm</v>
          </cell>
          <cell r="E163" t="str">
            <v>M</v>
          </cell>
          <cell r="F163">
            <v>1365</v>
          </cell>
          <cell r="G163">
            <v>0.2</v>
          </cell>
        </row>
        <row r="164">
          <cell r="A164" t="str">
            <v>d142</v>
          </cell>
          <cell r="B164">
            <v>142</v>
          </cell>
          <cell r="C164" t="str">
            <v>전선관</v>
          </cell>
          <cell r="D164" t="str">
            <v>S/T 42mm</v>
          </cell>
          <cell r="E164" t="str">
            <v>M</v>
          </cell>
          <cell r="F164">
            <v>1582</v>
          </cell>
          <cell r="G164">
            <v>0.25</v>
          </cell>
        </row>
        <row r="165">
          <cell r="A165" t="str">
            <v>d143</v>
          </cell>
          <cell r="B165">
            <v>143</v>
          </cell>
          <cell r="C165" t="str">
            <v>전선관</v>
          </cell>
          <cell r="D165" t="str">
            <v>S/T 54mm</v>
          </cell>
          <cell r="E165" t="str">
            <v>M</v>
          </cell>
          <cell r="F165">
            <v>2206</v>
          </cell>
          <cell r="G165">
            <v>0.34</v>
          </cell>
        </row>
        <row r="166">
          <cell r="A166" t="str">
            <v>d227</v>
          </cell>
          <cell r="B166">
            <v>143</v>
          </cell>
          <cell r="C166" t="str">
            <v>전선관</v>
          </cell>
          <cell r="D166" t="str">
            <v>S/T 104mm</v>
          </cell>
          <cell r="E166" t="str">
            <v>M</v>
          </cell>
          <cell r="F166">
            <v>5019</v>
          </cell>
          <cell r="G166">
            <v>0.71</v>
          </cell>
        </row>
        <row r="167">
          <cell r="A167" t="str">
            <v>d144</v>
          </cell>
          <cell r="B167">
            <v>144</v>
          </cell>
          <cell r="C167" t="str">
            <v>전화 콘센트</v>
          </cell>
          <cell r="D167" t="str">
            <v>4P</v>
          </cell>
          <cell r="E167" t="str">
            <v>EA</v>
          </cell>
          <cell r="F167">
            <v>730</v>
          </cell>
          <cell r="G167">
            <v>0</v>
          </cell>
          <cell r="H167">
            <v>0</v>
          </cell>
          <cell r="I167">
            <v>7.0000000000000007E-2</v>
          </cell>
        </row>
        <row r="168">
          <cell r="A168" t="str">
            <v>d145</v>
          </cell>
          <cell r="B168">
            <v>145</v>
          </cell>
          <cell r="C168" t="str">
            <v>접지 단자함(SUS)</v>
          </cell>
          <cell r="D168" t="str">
            <v>1 CCT</v>
          </cell>
          <cell r="E168" t="str">
            <v>EA</v>
          </cell>
          <cell r="F168">
            <v>70000</v>
          </cell>
          <cell r="G168">
            <v>0.66</v>
          </cell>
        </row>
        <row r="169">
          <cell r="A169" t="str">
            <v>d146</v>
          </cell>
          <cell r="B169">
            <v>146</v>
          </cell>
          <cell r="C169" t="str">
            <v>접지동봉</v>
          </cell>
          <cell r="D169" t="str">
            <v>ø18 x 2400</v>
          </cell>
          <cell r="E169" t="str">
            <v>본</v>
          </cell>
          <cell r="F169">
            <v>5300</v>
          </cell>
          <cell r="G169">
            <v>0.2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0.1</v>
          </cell>
        </row>
        <row r="170">
          <cell r="A170" t="str">
            <v>d195</v>
          </cell>
          <cell r="B170">
            <v>195</v>
          </cell>
          <cell r="C170" t="str">
            <v>접지목</v>
          </cell>
          <cell r="D170" t="str">
            <v>100x100x1000</v>
          </cell>
          <cell r="E170" t="str">
            <v>EA</v>
          </cell>
          <cell r="F170">
            <v>30000</v>
          </cell>
        </row>
        <row r="171">
          <cell r="A171" t="str">
            <v>d147</v>
          </cell>
          <cell r="B171">
            <v>147</v>
          </cell>
          <cell r="C171" t="str">
            <v>접지저항 저감제</v>
          </cell>
          <cell r="D171" t="str">
            <v>아스판-M</v>
          </cell>
          <cell r="E171" t="str">
            <v>포</v>
          </cell>
          <cell r="F171">
            <v>15000</v>
          </cell>
        </row>
        <row r="172">
          <cell r="A172" t="str">
            <v>d148</v>
          </cell>
          <cell r="B172">
            <v>148</v>
          </cell>
          <cell r="C172" t="str">
            <v>정온전선</v>
          </cell>
          <cell r="D172" t="str">
            <v>15W/M 220V</v>
          </cell>
          <cell r="E172" t="str">
            <v>M</v>
          </cell>
          <cell r="F172">
            <v>5600</v>
          </cell>
          <cell r="G172">
            <v>0.4</v>
          </cell>
        </row>
        <row r="173">
          <cell r="A173" t="str">
            <v>d149</v>
          </cell>
          <cell r="B173">
            <v>149</v>
          </cell>
          <cell r="C173" t="str">
            <v>주택용 분전반</v>
          </cell>
          <cell r="D173" t="str">
            <v>ME-4회로</v>
          </cell>
          <cell r="E173" t="str">
            <v>면</v>
          </cell>
          <cell r="F173">
            <v>21000</v>
          </cell>
          <cell r="G173">
            <v>0.43</v>
          </cell>
        </row>
        <row r="174">
          <cell r="A174" t="str">
            <v>d152</v>
          </cell>
          <cell r="B174">
            <v>152</v>
          </cell>
          <cell r="C174" t="str">
            <v>중간 단자함</v>
          </cell>
          <cell r="D174" t="str">
            <v>SUS 10P</v>
          </cell>
          <cell r="E174" t="str">
            <v>EA</v>
          </cell>
          <cell r="F174">
            <v>24800</v>
          </cell>
          <cell r="G174">
            <v>0</v>
          </cell>
          <cell r="H174">
            <v>0</v>
          </cell>
          <cell r="I174">
            <v>0.55000000000000004</v>
          </cell>
          <cell r="J174">
            <v>0</v>
          </cell>
          <cell r="K174">
            <v>0</v>
          </cell>
          <cell r="L174">
            <v>0</v>
          </cell>
          <cell r="M174">
            <v>0.45</v>
          </cell>
        </row>
        <row r="175">
          <cell r="A175" t="str">
            <v>d153</v>
          </cell>
          <cell r="B175">
            <v>153</v>
          </cell>
          <cell r="C175" t="str">
            <v>중간단자함</v>
          </cell>
          <cell r="D175" t="str">
            <v>SUS 20P</v>
          </cell>
          <cell r="E175" t="str">
            <v>EA</v>
          </cell>
          <cell r="F175">
            <v>27600</v>
          </cell>
          <cell r="G175">
            <v>0</v>
          </cell>
          <cell r="H175">
            <v>0</v>
          </cell>
          <cell r="I175">
            <v>0.55000000000000004</v>
          </cell>
          <cell r="J175">
            <v>0</v>
          </cell>
          <cell r="K175">
            <v>0</v>
          </cell>
          <cell r="L175">
            <v>0</v>
          </cell>
          <cell r="M175">
            <v>0.45</v>
          </cell>
        </row>
        <row r="176">
          <cell r="A176" t="str">
            <v>d150</v>
          </cell>
          <cell r="B176">
            <v>150</v>
          </cell>
          <cell r="C176" t="str">
            <v>철재분전함(D:SUS)</v>
          </cell>
          <cell r="D176" t="str">
            <v>450x300x150</v>
          </cell>
          <cell r="E176" t="str">
            <v>EA</v>
          </cell>
          <cell r="F176">
            <v>18000</v>
          </cell>
        </row>
        <row r="177">
          <cell r="A177" t="str">
            <v>d151</v>
          </cell>
          <cell r="B177">
            <v>151</v>
          </cell>
          <cell r="C177" t="str">
            <v>철재분전함(D:SUS)</v>
          </cell>
          <cell r="D177" t="str">
            <v>450x360X180</v>
          </cell>
          <cell r="E177" t="str">
            <v>EA</v>
          </cell>
          <cell r="F177">
            <v>21000</v>
          </cell>
        </row>
        <row r="178">
          <cell r="A178" t="str">
            <v>d154</v>
          </cell>
          <cell r="B178">
            <v>154</v>
          </cell>
          <cell r="C178" t="str">
            <v>커버 나이프 S/W</v>
          </cell>
          <cell r="D178" t="str">
            <v>3P 30A</v>
          </cell>
          <cell r="E178" t="str">
            <v>EA</v>
          </cell>
          <cell r="F178">
            <v>2304</v>
          </cell>
          <cell r="G178">
            <v>0.2</v>
          </cell>
        </row>
        <row r="179">
          <cell r="A179" t="str">
            <v>d155</v>
          </cell>
          <cell r="B179">
            <v>155</v>
          </cell>
          <cell r="C179" t="str">
            <v>커버 나이프 S/W</v>
          </cell>
          <cell r="D179" t="str">
            <v>쌍투 3P30A</v>
          </cell>
          <cell r="E179" t="str">
            <v>EA</v>
          </cell>
          <cell r="F179">
            <v>3372</v>
          </cell>
          <cell r="G179">
            <v>0.24</v>
          </cell>
        </row>
        <row r="180">
          <cell r="A180" t="str">
            <v>d156</v>
          </cell>
          <cell r="B180">
            <v>156</v>
          </cell>
          <cell r="C180" t="str">
            <v>콘센트</v>
          </cell>
          <cell r="D180" t="str">
            <v>250V15A1구(무)</v>
          </cell>
          <cell r="E180" t="str">
            <v>EA</v>
          </cell>
          <cell r="F180">
            <v>820</v>
          </cell>
          <cell r="G180">
            <v>6.5000000000000002E-2</v>
          </cell>
        </row>
        <row r="181">
          <cell r="A181" t="str">
            <v>d157</v>
          </cell>
          <cell r="B181">
            <v>157</v>
          </cell>
          <cell r="C181" t="str">
            <v>콘센트</v>
          </cell>
          <cell r="D181" t="str">
            <v>250V15A2구(접)</v>
          </cell>
          <cell r="E181" t="str">
            <v>EA</v>
          </cell>
          <cell r="F181">
            <v>1045</v>
          </cell>
          <cell r="G181">
            <v>6.5000000000000002E-2</v>
          </cell>
        </row>
        <row r="182">
          <cell r="A182" t="str">
            <v>d158</v>
          </cell>
          <cell r="B182">
            <v>158</v>
          </cell>
          <cell r="C182" t="str">
            <v>타임머(24H)</v>
          </cell>
          <cell r="D182" t="str">
            <v>220V25A최소15분</v>
          </cell>
          <cell r="E182" t="str">
            <v>EA</v>
          </cell>
          <cell r="F182">
            <v>22600</v>
          </cell>
          <cell r="G182">
            <v>0.2</v>
          </cell>
        </row>
        <row r="183">
          <cell r="A183" t="str">
            <v>d165</v>
          </cell>
          <cell r="B183">
            <v>165</v>
          </cell>
          <cell r="C183" t="str">
            <v>통로유도등</v>
          </cell>
          <cell r="D183" t="str">
            <v>매입 10W 소형</v>
          </cell>
          <cell r="E183" t="str">
            <v>EA</v>
          </cell>
          <cell r="F183">
            <v>24500</v>
          </cell>
          <cell r="G183">
            <v>0.2</v>
          </cell>
        </row>
        <row r="184">
          <cell r="A184" t="str">
            <v>d194</v>
          </cell>
          <cell r="B184">
            <v>194</v>
          </cell>
          <cell r="C184" t="str">
            <v>통신용 접지함</v>
          </cell>
          <cell r="D184" t="str">
            <v>아크릴 5t</v>
          </cell>
          <cell r="E184" t="str">
            <v>EA</v>
          </cell>
          <cell r="F184">
            <v>130000</v>
          </cell>
          <cell r="G184">
            <v>0.66</v>
          </cell>
        </row>
        <row r="185">
          <cell r="A185" t="str">
            <v>d199</v>
          </cell>
          <cell r="B185">
            <v>199</v>
          </cell>
          <cell r="C185" t="str">
            <v>통합분전반</v>
          </cell>
          <cell r="D185" t="str">
            <v>ATS 200A 3Ø4W</v>
          </cell>
          <cell r="E185" t="str">
            <v>면</v>
          </cell>
          <cell r="F185">
            <v>0</v>
          </cell>
          <cell r="G185">
            <v>0.92200000000000004</v>
          </cell>
        </row>
        <row r="186">
          <cell r="A186" t="str">
            <v>d159</v>
          </cell>
          <cell r="B186">
            <v>159</v>
          </cell>
          <cell r="C186" t="str">
            <v>파이프 행거</v>
          </cell>
          <cell r="D186" t="str">
            <v>16C</v>
          </cell>
          <cell r="E186" t="str">
            <v>EA</v>
          </cell>
          <cell r="F186">
            <v>435</v>
          </cell>
        </row>
        <row r="187">
          <cell r="A187" t="str">
            <v>d160</v>
          </cell>
          <cell r="B187">
            <v>160</v>
          </cell>
          <cell r="C187" t="str">
            <v>파이프 행거</v>
          </cell>
          <cell r="D187" t="str">
            <v>22C</v>
          </cell>
          <cell r="E187" t="str">
            <v>EA</v>
          </cell>
          <cell r="F187">
            <v>445</v>
          </cell>
        </row>
        <row r="188">
          <cell r="A188" t="str">
            <v>d161</v>
          </cell>
          <cell r="B188">
            <v>161</v>
          </cell>
          <cell r="C188" t="str">
            <v>파이프 행거</v>
          </cell>
          <cell r="D188" t="str">
            <v>28C</v>
          </cell>
          <cell r="E188" t="str">
            <v>EA</v>
          </cell>
          <cell r="F188">
            <v>457</v>
          </cell>
        </row>
        <row r="189">
          <cell r="A189" t="str">
            <v>d162</v>
          </cell>
          <cell r="B189">
            <v>162</v>
          </cell>
          <cell r="C189" t="str">
            <v>파이프 행거</v>
          </cell>
          <cell r="D189" t="str">
            <v>36C</v>
          </cell>
          <cell r="E189" t="str">
            <v>EA</v>
          </cell>
          <cell r="F189">
            <v>595</v>
          </cell>
        </row>
        <row r="190">
          <cell r="A190" t="str">
            <v>d163</v>
          </cell>
          <cell r="B190">
            <v>163</v>
          </cell>
          <cell r="C190" t="str">
            <v>파이프 행거</v>
          </cell>
          <cell r="D190" t="str">
            <v>42C</v>
          </cell>
          <cell r="E190" t="str">
            <v>EA</v>
          </cell>
          <cell r="F190">
            <v>658</v>
          </cell>
        </row>
        <row r="191">
          <cell r="A191" t="str">
            <v>d164</v>
          </cell>
          <cell r="B191">
            <v>164</v>
          </cell>
          <cell r="C191" t="str">
            <v>파이프 행거</v>
          </cell>
          <cell r="D191" t="str">
            <v>54C</v>
          </cell>
          <cell r="E191" t="str">
            <v>EA</v>
          </cell>
          <cell r="F191">
            <v>786</v>
          </cell>
        </row>
        <row r="192">
          <cell r="A192" t="str">
            <v>d166</v>
          </cell>
          <cell r="B192">
            <v>166</v>
          </cell>
          <cell r="C192" t="str">
            <v>표시등</v>
          </cell>
          <cell r="D192" t="str">
            <v>DC 24V (IL-D24)</v>
          </cell>
          <cell r="E192" t="str">
            <v>EA</v>
          </cell>
          <cell r="F192">
            <v>1000</v>
          </cell>
          <cell r="G192">
            <v>0.2</v>
          </cell>
        </row>
        <row r="193">
          <cell r="A193" t="str">
            <v>d167</v>
          </cell>
          <cell r="B193">
            <v>167</v>
          </cell>
          <cell r="C193" t="str">
            <v>풀박스</v>
          </cell>
          <cell r="D193" t="str">
            <v>200x200x100</v>
          </cell>
          <cell r="E193" t="str">
            <v>EA</v>
          </cell>
          <cell r="F193">
            <v>2790</v>
          </cell>
          <cell r="G193">
            <v>0.66</v>
          </cell>
        </row>
        <row r="194">
          <cell r="A194" t="str">
            <v>d168</v>
          </cell>
          <cell r="B194">
            <v>168</v>
          </cell>
          <cell r="C194" t="str">
            <v>풀박스</v>
          </cell>
          <cell r="D194" t="str">
            <v>250x250x150</v>
          </cell>
          <cell r="E194" t="str">
            <v>EA</v>
          </cell>
          <cell r="F194">
            <v>4500</v>
          </cell>
          <cell r="G194">
            <v>0.66</v>
          </cell>
        </row>
        <row r="195">
          <cell r="A195" t="str">
            <v>d169</v>
          </cell>
          <cell r="B195">
            <v>169</v>
          </cell>
          <cell r="C195" t="str">
            <v>풀박스</v>
          </cell>
          <cell r="D195" t="str">
            <v>300x300x150</v>
          </cell>
          <cell r="E195" t="str">
            <v>EA</v>
          </cell>
          <cell r="F195">
            <v>5180</v>
          </cell>
          <cell r="G195">
            <v>0.66</v>
          </cell>
        </row>
        <row r="196">
          <cell r="A196" t="str">
            <v>d170</v>
          </cell>
          <cell r="B196">
            <v>170</v>
          </cell>
          <cell r="C196" t="str">
            <v>풀박스</v>
          </cell>
          <cell r="D196" t="str">
            <v>FRP 200x150x130</v>
          </cell>
          <cell r="E196" t="str">
            <v>EA</v>
          </cell>
          <cell r="F196">
            <v>35000</v>
          </cell>
          <cell r="G196">
            <v>0.66</v>
          </cell>
        </row>
        <row r="197">
          <cell r="A197" t="str">
            <v>d171</v>
          </cell>
          <cell r="B197">
            <v>171</v>
          </cell>
          <cell r="C197" t="str">
            <v>피난구 유도등</v>
          </cell>
          <cell r="D197" t="str">
            <v>노출 10W 소형</v>
          </cell>
          <cell r="E197" t="str">
            <v>EA</v>
          </cell>
          <cell r="F197">
            <v>24500</v>
          </cell>
          <cell r="G197">
            <v>0.2</v>
          </cell>
        </row>
        <row r="198">
          <cell r="A198" t="str">
            <v>d181</v>
          </cell>
          <cell r="B198">
            <v>181</v>
          </cell>
          <cell r="C198" t="str">
            <v>행거볼트</v>
          </cell>
          <cell r="D198" t="str">
            <v>Ø9x1000</v>
          </cell>
          <cell r="E198" t="str">
            <v>EA</v>
          </cell>
          <cell r="F198">
            <v>404</v>
          </cell>
        </row>
        <row r="199">
          <cell r="A199" t="str">
            <v>d172</v>
          </cell>
          <cell r="B199">
            <v>172</v>
          </cell>
          <cell r="C199" t="str">
            <v>형광등기구(매입루바)</v>
          </cell>
          <cell r="D199" t="str">
            <v>220(V)x20Wx2등 전자</v>
          </cell>
          <cell r="E199" t="str">
            <v>SET</v>
          </cell>
          <cell r="F199">
            <v>34260</v>
          </cell>
          <cell r="G199">
            <v>0.3</v>
          </cell>
        </row>
        <row r="200">
          <cell r="A200" t="str">
            <v>d173</v>
          </cell>
          <cell r="B200">
            <v>173</v>
          </cell>
          <cell r="C200" t="str">
            <v>형광등기구(매입루바)</v>
          </cell>
          <cell r="D200" t="str">
            <v>220(V)x40Wx2등 전자</v>
          </cell>
          <cell r="E200" t="str">
            <v>SET</v>
          </cell>
          <cell r="F200">
            <v>43120</v>
          </cell>
          <cell r="G200">
            <v>0.46</v>
          </cell>
        </row>
        <row r="201">
          <cell r="A201" t="str">
            <v>d174</v>
          </cell>
          <cell r="B201">
            <v>174</v>
          </cell>
          <cell r="C201" t="str">
            <v>형광등기구(안전증)</v>
          </cell>
          <cell r="D201" t="str">
            <v>220(V)x20Wx2등</v>
          </cell>
          <cell r="E201" t="str">
            <v>SET</v>
          </cell>
          <cell r="F201">
            <v>80000</v>
          </cell>
          <cell r="G201">
            <v>0.6</v>
          </cell>
        </row>
        <row r="202">
          <cell r="A202" t="str">
            <v>d175</v>
          </cell>
          <cell r="B202">
            <v>175</v>
          </cell>
          <cell r="C202" t="str">
            <v>형광등기구(안전증)</v>
          </cell>
          <cell r="D202" t="str">
            <v>220(V)x40Wx2등</v>
          </cell>
          <cell r="E202" t="str">
            <v>SET</v>
          </cell>
          <cell r="F202">
            <v>114000</v>
          </cell>
          <cell r="G202">
            <v>0.92</v>
          </cell>
        </row>
        <row r="203">
          <cell r="A203" t="str">
            <v>d215</v>
          </cell>
          <cell r="B203">
            <v>215</v>
          </cell>
          <cell r="C203" t="str">
            <v>형광등기구(직부)</v>
          </cell>
          <cell r="D203" t="str">
            <v>220(V)x20Wx2등 전자</v>
          </cell>
          <cell r="E203" t="str">
            <v>SET</v>
          </cell>
          <cell r="F203">
            <v>29000</v>
          </cell>
          <cell r="G203">
            <v>0.19500000000000001</v>
          </cell>
        </row>
        <row r="204">
          <cell r="A204" t="str">
            <v>d216</v>
          </cell>
          <cell r="B204">
            <v>216</v>
          </cell>
          <cell r="C204" t="str">
            <v>형광등기구(직부)</v>
          </cell>
          <cell r="D204" t="str">
            <v>220(V)x40Wx2등 전자</v>
          </cell>
          <cell r="E204" t="str">
            <v>SET</v>
          </cell>
          <cell r="F204">
            <v>39400</v>
          </cell>
          <cell r="G204">
            <v>0.30499999999999999</v>
          </cell>
        </row>
        <row r="205">
          <cell r="A205" t="str">
            <v>d176</v>
          </cell>
          <cell r="B205">
            <v>176</v>
          </cell>
          <cell r="C205" t="str">
            <v>형광램프</v>
          </cell>
          <cell r="D205" t="str">
            <v>220(V)x20W</v>
          </cell>
          <cell r="E205" t="str">
            <v>EA</v>
          </cell>
          <cell r="F205">
            <v>650</v>
          </cell>
        </row>
        <row r="206">
          <cell r="A206" t="str">
            <v>d177</v>
          </cell>
          <cell r="B206">
            <v>177</v>
          </cell>
          <cell r="C206" t="str">
            <v>형광램프</v>
          </cell>
          <cell r="D206" t="str">
            <v>220(V)x40W</v>
          </cell>
          <cell r="E206" t="str">
            <v>EA</v>
          </cell>
          <cell r="F206">
            <v>1050</v>
          </cell>
        </row>
        <row r="207">
          <cell r="A207" t="str">
            <v>d178</v>
          </cell>
          <cell r="B207">
            <v>178</v>
          </cell>
          <cell r="C207" t="str">
            <v>환풍기(일반용)</v>
          </cell>
          <cell r="D207" t="str">
            <v>300 x 300</v>
          </cell>
          <cell r="E207" t="str">
            <v>EA</v>
          </cell>
          <cell r="F207">
            <v>16000</v>
          </cell>
          <cell r="G207">
            <v>0.48</v>
          </cell>
        </row>
        <row r="208">
          <cell r="A208" t="str">
            <v>d179</v>
          </cell>
          <cell r="B208">
            <v>179</v>
          </cell>
          <cell r="C208" t="str">
            <v>황동 볼트너트</v>
          </cell>
          <cell r="D208" t="str">
            <v>M10 x 40</v>
          </cell>
          <cell r="E208" t="str">
            <v>EA</v>
          </cell>
          <cell r="F208">
            <v>183</v>
          </cell>
        </row>
        <row r="209">
          <cell r="A209" t="str">
            <v>d180</v>
          </cell>
          <cell r="B209">
            <v>180</v>
          </cell>
          <cell r="C209" t="str">
            <v>황동 평와셔</v>
          </cell>
          <cell r="D209" t="str">
            <v>3/8" 0.5mm</v>
          </cell>
          <cell r="E209" t="str">
            <v>EA</v>
          </cell>
          <cell r="F209">
            <v>6.5</v>
          </cell>
        </row>
        <row r="210">
          <cell r="A210" t="str">
            <v>d209</v>
          </cell>
          <cell r="B210">
            <v>209</v>
          </cell>
          <cell r="C210" t="str">
            <v>휘 발 유</v>
          </cell>
          <cell r="D210">
            <v>0</v>
          </cell>
          <cell r="E210" t="str">
            <v>ℓ</v>
          </cell>
          <cell r="F210">
            <v>0</v>
          </cell>
        </row>
        <row r="211">
          <cell r="A211" t="str">
            <v>d196</v>
          </cell>
          <cell r="B211">
            <v>196</v>
          </cell>
          <cell r="C211" t="str">
            <v>BASE PLAT</v>
          </cell>
          <cell r="D211" t="str">
            <v>200x200x9t</v>
          </cell>
          <cell r="E211" t="str">
            <v>EA</v>
          </cell>
          <cell r="F211">
            <v>1500</v>
          </cell>
        </row>
        <row r="212">
          <cell r="A212" t="str">
            <v>d182</v>
          </cell>
          <cell r="B212">
            <v>182</v>
          </cell>
          <cell r="C212" t="str">
            <v>BOX 및 DOOR</v>
          </cell>
          <cell r="D212" t="str">
            <v>400x500x200x1.5t</v>
          </cell>
          <cell r="E212" t="str">
            <v>SET</v>
          </cell>
          <cell r="F212">
            <v>40000</v>
          </cell>
        </row>
        <row r="213">
          <cell r="A213" t="str">
            <v>d183</v>
          </cell>
          <cell r="B213">
            <v>183</v>
          </cell>
          <cell r="C213" t="str">
            <v>BOX COVER</v>
          </cell>
          <cell r="D213" t="str">
            <v>평 4각 &amp; 8각</v>
          </cell>
          <cell r="E213" t="str">
            <v>EA</v>
          </cell>
          <cell r="F213">
            <v>160</v>
          </cell>
        </row>
        <row r="214">
          <cell r="A214" t="str">
            <v>d184</v>
          </cell>
          <cell r="B214">
            <v>184</v>
          </cell>
          <cell r="C214" t="str">
            <v>CABLE TRAY</v>
          </cell>
          <cell r="D214" t="str">
            <v>STRAIGHT TRAY W300</v>
          </cell>
          <cell r="E214" t="str">
            <v>M</v>
          </cell>
          <cell r="F214">
            <v>11340</v>
          </cell>
          <cell r="G214">
            <v>0.28499999999999998</v>
          </cell>
        </row>
        <row r="215">
          <cell r="A215" t="str">
            <v>d198</v>
          </cell>
          <cell r="B215">
            <v>198</v>
          </cell>
          <cell r="C215" t="str">
            <v>DOWN LIGHT</v>
          </cell>
          <cell r="D215" t="str">
            <v>5" 반사매입형</v>
          </cell>
          <cell r="E215" t="str">
            <v>EA</v>
          </cell>
          <cell r="F215">
            <v>6000</v>
          </cell>
          <cell r="G215">
            <v>0.245</v>
          </cell>
        </row>
        <row r="216">
          <cell r="A216" t="str">
            <v>d187</v>
          </cell>
          <cell r="B216">
            <v>187</v>
          </cell>
          <cell r="C216" t="str">
            <v>ELB</v>
          </cell>
          <cell r="D216" t="str">
            <v>2P 30AF 20AT</v>
          </cell>
          <cell r="E216" t="str">
            <v>EA</v>
          </cell>
          <cell r="F216">
            <v>5300</v>
          </cell>
          <cell r="G216">
            <v>0.19</v>
          </cell>
        </row>
        <row r="217">
          <cell r="A217" t="str">
            <v>d188</v>
          </cell>
          <cell r="B217">
            <v>188</v>
          </cell>
          <cell r="C217" t="str">
            <v>NFB</v>
          </cell>
          <cell r="D217" t="str">
            <v>ABE 3P 50AF 30AT</v>
          </cell>
          <cell r="E217" t="str">
            <v>EA</v>
          </cell>
          <cell r="F217">
            <v>21800</v>
          </cell>
          <cell r="G217">
            <v>0.26</v>
          </cell>
        </row>
        <row r="218">
          <cell r="A218" t="str">
            <v>d231</v>
          </cell>
          <cell r="B218">
            <v>231</v>
          </cell>
          <cell r="C218" t="str">
            <v>NFB</v>
          </cell>
          <cell r="D218" t="str">
            <v>ABS 4P 400AF 400AT</v>
          </cell>
          <cell r="E218" t="str">
            <v>EA</v>
          </cell>
          <cell r="F218">
            <v>250000</v>
          </cell>
          <cell r="G218">
            <v>0.68</v>
          </cell>
        </row>
        <row r="219">
          <cell r="A219" t="str">
            <v>d189</v>
          </cell>
          <cell r="B219">
            <v>189</v>
          </cell>
          <cell r="C219" t="str">
            <v>NFB</v>
          </cell>
          <cell r="D219" t="str">
            <v>ABS 4P 100AF 75AT</v>
          </cell>
          <cell r="E219" t="str">
            <v>EA</v>
          </cell>
          <cell r="F219">
            <v>51100</v>
          </cell>
          <cell r="G219">
            <v>0.46800000000000003</v>
          </cell>
        </row>
        <row r="220">
          <cell r="A220" t="str">
            <v>d190</v>
          </cell>
          <cell r="B220">
            <v>190</v>
          </cell>
          <cell r="C220" t="str">
            <v>NFB</v>
          </cell>
          <cell r="D220" t="str">
            <v>ABS 4P 50AF 50AT</v>
          </cell>
          <cell r="E220" t="str">
            <v>EA</v>
          </cell>
          <cell r="F220">
            <v>28200</v>
          </cell>
          <cell r="G220">
            <v>0.33800000000000002</v>
          </cell>
        </row>
        <row r="221">
          <cell r="A221" t="str">
            <v>d191</v>
          </cell>
          <cell r="B221">
            <v>191</v>
          </cell>
          <cell r="C221" t="str">
            <v>T.V 유니트</v>
          </cell>
          <cell r="D221" t="str">
            <v>AUV 7-3-3</v>
          </cell>
          <cell r="E221" t="str">
            <v>조</v>
          </cell>
          <cell r="F221">
            <v>1700</v>
          </cell>
          <cell r="G221">
            <v>0</v>
          </cell>
          <cell r="H221">
            <v>0</v>
          </cell>
          <cell r="I221">
            <v>0.08</v>
          </cell>
        </row>
        <row r="222">
          <cell r="A222" t="str">
            <v>d192</v>
          </cell>
          <cell r="B222">
            <v>192</v>
          </cell>
          <cell r="C222" t="str">
            <v>U-CHANNEL</v>
          </cell>
          <cell r="D222" t="str">
            <v>42x25x2.3t</v>
          </cell>
          <cell r="E222" t="str">
            <v>M</v>
          </cell>
          <cell r="F222">
            <v>2800</v>
          </cell>
        </row>
        <row r="223">
          <cell r="A223" t="str">
            <v>d193</v>
          </cell>
          <cell r="B223">
            <v>193</v>
          </cell>
          <cell r="C223" t="str">
            <v>U-CHANNEL</v>
          </cell>
          <cell r="D223" t="str">
            <v>42x42x2.6t</v>
          </cell>
          <cell r="E223" t="str">
            <v>M</v>
          </cell>
          <cell r="F223">
            <v>3000</v>
          </cell>
        </row>
        <row r="224">
          <cell r="A224" t="str">
            <v>d204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</row>
        <row r="225">
          <cell r="A225" t="str">
            <v>d201</v>
          </cell>
          <cell r="B225">
            <v>201</v>
          </cell>
          <cell r="C225" t="str">
            <v>부속품율</v>
          </cell>
          <cell r="D225" t="str">
            <v>전선관의 15%</v>
          </cell>
          <cell r="E225" t="str">
            <v>식</v>
          </cell>
          <cell r="F225">
            <v>0</v>
          </cell>
        </row>
        <row r="226">
          <cell r="A226" t="str">
            <v>d202</v>
          </cell>
          <cell r="B226">
            <v>202</v>
          </cell>
          <cell r="C226" t="str">
            <v>잡자재비</v>
          </cell>
          <cell r="D226" t="str">
            <v>배관.배선의 2%</v>
          </cell>
          <cell r="E226" t="str">
            <v>식</v>
          </cell>
          <cell r="F226">
            <v>0</v>
          </cell>
        </row>
        <row r="227">
          <cell r="A227" t="str">
            <v>d203</v>
          </cell>
          <cell r="B227">
            <v>203</v>
          </cell>
          <cell r="C227" t="str">
            <v>공구손료</v>
          </cell>
          <cell r="D227" t="str">
            <v>인건비의 3%</v>
          </cell>
          <cell r="E227" t="str">
            <v>식</v>
          </cell>
          <cell r="F227">
            <v>0</v>
          </cell>
        </row>
        <row r="228">
          <cell r="F228">
            <v>0</v>
          </cell>
        </row>
        <row r="229">
          <cell r="A229" t="str">
            <v>d221</v>
          </cell>
          <cell r="B229">
            <v>221</v>
          </cell>
          <cell r="C229" t="str">
            <v>케이블 덕트(W/C)</v>
          </cell>
          <cell r="D229" t="str">
            <v>W 200 x 150</v>
          </cell>
          <cell r="E229" t="str">
            <v>M</v>
          </cell>
          <cell r="F229">
            <v>19000</v>
          </cell>
          <cell r="G229">
            <v>0.5</v>
          </cell>
        </row>
        <row r="230">
          <cell r="A230" t="str">
            <v>d222</v>
          </cell>
          <cell r="B230">
            <v>222</v>
          </cell>
          <cell r="C230" t="str">
            <v>케이블 덕트(W/C)</v>
          </cell>
          <cell r="D230" t="str">
            <v>W 300 x 150</v>
          </cell>
          <cell r="E230" t="str">
            <v>M</v>
          </cell>
          <cell r="F230">
            <v>20560</v>
          </cell>
          <cell r="G230">
            <v>0.5</v>
          </cell>
        </row>
        <row r="231">
          <cell r="A231" t="str">
            <v>d223</v>
          </cell>
          <cell r="B231">
            <v>223</v>
          </cell>
          <cell r="C231" t="str">
            <v>수평용 엘보</v>
          </cell>
          <cell r="D231" t="str">
            <v>W 200 x 150</v>
          </cell>
          <cell r="E231" t="str">
            <v>EA</v>
          </cell>
          <cell r="F231">
            <v>14190</v>
          </cell>
          <cell r="G231">
            <v>0.5</v>
          </cell>
        </row>
        <row r="232">
          <cell r="A232" t="str">
            <v>d224</v>
          </cell>
          <cell r="B232">
            <v>224</v>
          </cell>
          <cell r="C232" t="str">
            <v>수평용 엘보</v>
          </cell>
          <cell r="D232" t="str">
            <v>W 300 x 150</v>
          </cell>
          <cell r="E232" t="str">
            <v>EA</v>
          </cell>
          <cell r="F232">
            <v>16200</v>
          </cell>
          <cell r="G232">
            <v>0.5</v>
          </cell>
        </row>
        <row r="233">
          <cell r="A233" t="str">
            <v>d225</v>
          </cell>
          <cell r="B233">
            <v>225</v>
          </cell>
          <cell r="C233" t="str">
            <v>수직용 엘보</v>
          </cell>
          <cell r="D233" t="str">
            <v>W 200 x 150</v>
          </cell>
          <cell r="E233" t="str">
            <v>EA</v>
          </cell>
          <cell r="F233">
            <v>13500</v>
          </cell>
          <cell r="G233">
            <v>0.5</v>
          </cell>
        </row>
        <row r="234">
          <cell r="A234" t="str">
            <v>d226</v>
          </cell>
          <cell r="B234">
            <v>226</v>
          </cell>
          <cell r="C234" t="str">
            <v>수직용 엘보</v>
          </cell>
          <cell r="D234" t="str">
            <v>W 300 x 150</v>
          </cell>
          <cell r="E234" t="str">
            <v>EA</v>
          </cell>
          <cell r="F234">
            <v>14180</v>
          </cell>
          <cell r="G234">
            <v>0.5</v>
          </cell>
        </row>
        <row r="235">
          <cell r="A235" t="str">
            <v>d232</v>
          </cell>
          <cell r="B235">
            <v>232</v>
          </cell>
        </row>
      </sheetData>
      <sheetData sheetId="2" refreshError="1">
        <row r="3">
          <cell r="A3" t="str">
            <v>t0001</v>
          </cell>
          <cell r="B3">
            <v>1</v>
          </cell>
          <cell r="C3" t="str">
            <v>전선관 지지행거</v>
          </cell>
          <cell r="D3" t="str">
            <v>W:200</v>
          </cell>
          <cell r="E3" t="str">
            <v>개소</v>
          </cell>
          <cell r="F3">
            <v>1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t0002</v>
          </cell>
          <cell r="B4">
            <v>2</v>
          </cell>
          <cell r="C4" t="str">
            <v>전선관 지지행거</v>
          </cell>
          <cell r="D4" t="str">
            <v>W:300</v>
          </cell>
          <cell r="E4" t="str">
            <v>개소</v>
          </cell>
          <cell r="F4">
            <v>1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t0003</v>
          </cell>
          <cell r="B5">
            <v>3</v>
          </cell>
          <cell r="C5" t="str">
            <v>전선관 지지행거</v>
          </cell>
          <cell r="D5" t="str">
            <v>16C</v>
          </cell>
          <cell r="E5" t="str">
            <v>개소</v>
          </cell>
          <cell r="F5">
            <v>1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t0004</v>
          </cell>
          <cell r="B6">
            <v>4</v>
          </cell>
          <cell r="C6" t="str">
            <v>전선관 지지행거</v>
          </cell>
          <cell r="D6" t="str">
            <v>22C</v>
          </cell>
          <cell r="E6" t="str">
            <v>개소</v>
          </cell>
          <cell r="F6">
            <v>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t0005</v>
          </cell>
          <cell r="B7">
            <v>5</v>
          </cell>
          <cell r="C7" t="str">
            <v>전선관 지지행거</v>
          </cell>
          <cell r="D7" t="str">
            <v>28C</v>
          </cell>
          <cell r="E7" t="str">
            <v>개소</v>
          </cell>
          <cell r="F7">
            <v>1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t0006</v>
          </cell>
          <cell r="B8">
            <v>6</v>
          </cell>
          <cell r="C8" t="str">
            <v>전선관 지지행거</v>
          </cell>
          <cell r="D8" t="str">
            <v>36C</v>
          </cell>
          <cell r="E8" t="str">
            <v>개소</v>
          </cell>
          <cell r="F8">
            <v>1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t0007</v>
          </cell>
          <cell r="B9">
            <v>7</v>
          </cell>
          <cell r="C9" t="str">
            <v>전선관 지지행거</v>
          </cell>
          <cell r="D9" t="str">
            <v>42C</v>
          </cell>
          <cell r="E9" t="str">
            <v>개소</v>
          </cell>
          <cell r="F9">
            <v>1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t0008</v>
          </cell>
          <cell r="B10">
            <v>8</v>
          </cell>
          <cell r="C10" t="str">
            <v>전선관 지지행거</v>
          </cell>
          <cell r="D10" t="str">
            <v>54C</v>
          </cell>
          <cell r="E10" t="str">
            <v>개소</v>
          </cell>
          <cell r="F10">
            <v>1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t0009</v>
          </cell>
          <cell r="B11">
            <v>9</v>
          </cell>
          <cell r="C11" t="str">
            <v xml:space="preserve">녹막이 페이트 </v>
          </cell>
          <cell r="D11" t="str">
            <v>2회</v>
          </cell>
          <cell r="E11" t="str">
            <v>식</v>
          </cell>
          <cell r="F11">
            <v>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t0010</v>
          </cell>
          <cell r="B12">
            <v>10</v>
          </cell>
          <cell r="C12" t="str">
            <v>은분도장</v>
          </cell>
          <cell r="D12" t="str">
            <v>2회</v>
          </cell>
          <cell r="E12" t="str">
            <v>식</v>
          </cell>
          <cell r="F12">
            <v>1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t0011</v>
          </cell>
          <cell r="B13">
            <v>11</v>
          </cell>
          <cell r="C13" t="str">
            <v>철재류 가공 및 조립</v>
          </cell>
          <cell r="D13" t="str">
            <v>현장제작</v>
          </cell>
          <cell r="E13" t="str">
            <v>식</v>
          </cell>
          <cell r="F13">
            <v>1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t0012</v>
          </cell>
          <cell r="B14">
            <v>12</v>
          </cell>
          <cell r="C14" t="str">
            <v>콘크리트 기초</v>
          </cell>
          <cell r="D14" t="str">
            <v>무근</v>
          </cell>
          <cell r="E14" t="str">
            <v>식</v>
          </cell>
          <cell r="F14">
            <v>1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t0013</v>
          </cell>
          <cell r="B15">
            <v>13</v>
          </cell>
          <cell r="C15" t="str">
            <v>터파기 데메우기</v>
          </cell>
          <cell r="D15" t="str">
            <v>1M 이하</v>
          </cell>
          <cell r="E15" t="str">
            <v>㎥</v>
          </cell>
          <cell r="F15">
            <v>1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t0014</v>
          </cell>
          <cell r="B16">
            <v>14</v>
          </cell>
          <cell r="C16" t="str">
            <v>동력배관 지지가대</v>
          </cell>
          <cell r="D16" t="str">
            <v>ㄷ앵글</v>
          </cell>
          <cell r="E16" t="str">
            <v>㎥</v>
          </cell>
          <cell r="F16">
            <v>1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t0015</v>
          </cell>
          <cell r="B17">
            <v>15</v>
          </cell>
          <cell r="C17" t="str">
            <v>전등 전열 분전반</v>
          </cell>
          <cell r="D17" t="str">
            <v>L-1</v>
          </cell>
          <cell r="E17" t="str">
            <v>식</v>
          </cell>
          <cell r="F17">
            <v>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t0016</v>
          </cell>
          <cell r="B18">
            <v>16</v>
          </cell>
          <cell r="C18" t="str">
            <v>전등 전열 분전반</v>
          </cell>
          <cell r="D18" t="str">
            <v>L-2</v>
          </cell>
          <cell r="E18" t="str">
            <v>식</v>
          </cell>
          <cell r="F18">
            <v>1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t0017</v>
          </cell>
          <cell r="B19">
            <v>17</v>
          </cell>
          <cell r="C19" t="str">
            <v>보안용 접지공사</v>
          </cell>
          <cell r="D19" t="str">
            <v>100Ω이하</v>
          </cell>
          <cell r="E19" t="str">
            <v>식</v>
          </cell>
          <cell r="F19">
            <v>1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t0018</v>
          </cell>
          <cell r="B20">
            <v>18</v>
          </cell>
          <cell r="C20" t="str">
            <v>덕트 지지행거</v>
          </cell>
          <cell r="D20" t="str">
            <v>W : 200</v>
          </cell>
          <cell r="E20" t="str">
            <v>개소</v>
          </cell>
          <cell r="F20">
            <v>1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t0019</v>
          </cell>
          <cell r="B21">
            <v>19</v>
          </cell>
          <cell r="C21" t="str">
            <v>덕트 지지행거</v>
          </cell>
          <cell r="D21" t="str">
            <v>W : 300</v>
          </cell>
          <cell r="E21" t="str">
            <v>개소</v>
          </cell>
          <cell r="F21">
            <v>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t0020</v>
          </cell>
          <cell r="B22">
            <v>20</v>
          </cell>
          <cell r="C22" t="str">
            <v>냉방기 분전반</v>
          </cell>
          <cell r="D22" t="str">
            <v>M - 50A(노출)</v>
          </cell>
          <cell r="E22" t="str">
            <v>면</v>
          </cell>
          <cell r="F22">
            <v>1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t0021</v>
          </cell>
          <cell r="B23">
            <v>21</v>
          </cell>
          <cell r="C23" t="str">
            <v>동력 분전반</v>
          </cell>
          <cell r="D23" t="str">
            <v>P - 1</v>
          </cell>
          <cell r="E23" t="str">
            <v>면</v>
          </cell>
          <cell r="F23">
            <v>1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t0022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t0023</v>
          </cell>
          <cell r="B25">
            <v>25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단가"/>
      <sheetName val="AV시스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원가"/>
      <sheetName val="견적갑지"/>
      <sheetName val="견적을지"/>
      <sheetName val="폐기물내역"/>
      <sheetName val="일대목록"/>
      <sheetName val="일대을지"/>
      <sheetName val="노임산출"/>
      <sheetName val="단가대비표"/>
      <sheetName val="전력간선"/>
      <sheetName val="전등"/>
      <sheetName val="전열"/>
      <sheetName val="동력"/>
      <sheetName val="교사동"/>
      <sheetName val="노임데이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1</v>
          </cell>
          <cell r="B4" t="str">
            <v>전 선 관      STEEL</v>
          </cell>
          <cell r="C4" t="str">
            <v>28 c</v>
          </cell>
          <cell r="D4" t="str">
            <v>M</v>
          </cell>
          <cell r="E4">
            <v>2490</v>
          </cell>
          <cell r="F4">
            <v>3018</v>
          </cell>
          <cell r="G4">
            <v>734</v>
          </cell>
          <cell r="H4">
            <v>2490</v>
          </cell>
          <cell r="I4">
            <v>1107</v>
          </cell>
          <cell r="J4">
            <v>2490</v>
          </cell>
          <cell r="L4" t="str">
            <v>내선</v>
          </cell>
          <cell r="M4">
            <v>0.126</v>
          </cell>
        </row>
        <row r="5">
          <cell r="A5">
            <v>2</v>
          </cell>
          <cell r="B5" t="str">
            <v>전 선 관      ELP</v>
          </cell>
          <cell r="C5" t="str">
            <v>80 c</v>
          </cell>
          <cell r="D5" t="str">
            <v>M</v>
          </cell>
          <cell r="E5">
            <v>1180</v>
          </cell>
          <cell r="F5">
            <v>1438</v>
          </cell>
          <cell r="G5">
            <v>734</v>
          </cell>
          <cell r="H5">
            <v>1260</v>
          </cell>
          <cell r="I5">
            <v>1112</v>
          </cell>
          <cell r="J5">
            <v>1180</v>
          </cell>
          <cell r="L5" t="str">
            <v>배전보통</v>
          </cell>
          <cell r="M5" t="str">
            <v>0.0090.022</v>
          </cell>
        </row>
        <row r="6">
          <cell r="A6">
            <v>3</v>
          </cell>
          <cell r="B6" t="str">
            <v>전 선 관      HI PVC</v>
          </cell>
          <cell r="C6" t="str">
            <v>16 c</v>
          </cell>
          <cell r="D6" t="str">
            <v>M</v>
          </cell>
          <cell r="E6">
            <v>271</v>
          </cell>
          <cell r="F6">
            <v>348</v>
          </cell>
          <cell r="G6">
            <v>736</v>
          </cell>
          <cell r="H6">
            <v>320</v>
          </cell>
          <cell r="I6">
            <v>1111</v>
          </cell>
          <cell r="J6">
            <v>271</v>
          </cell>
          <cell r="L6" t="str">
            <v>내선</v>
          </cell>
          <cell r="M6">
            <v>4.4999999999999998E-2</v>
          </cell>
        </row>
        <row r="7">
          <cell r="A7">
            <v>4</v>
          </cell>
          <cell r="B7" t="str">
            <v>전 선 관      HI PVC</v>
          </cell>
          <cell r="C7" t="str">
            <v>22 c</v>
          </cell>
          <cell r="D7" t="str">
            <v>M</v>
          </cell>
          <cell r="E7">
            <v>324</v>
          </cell>
          <cell r="F7">
            <v>418</v>
          </cell>
          <cell r="G7">
            <v>736</v>
          </cell>
          <cell r="H7">
            <v>380</v>
          </cell>
          <cell r="I7">
            <v>1111</v>
          </cell>
          <cell r="J7">
            <v>324</v>
          </cell>
          <cell r="L7" t="str">
            <v>내선</v>
          </cell>
          <cell r="M7">
            <v>5.3999999999999999E-2</v>
          </cell>
        </row>
        <row r="8">
          <cell r="A8">
            <v>5</v>
          </cell>
          <cell r="B8" t="str">
            <v>전 선 관      HI PVC</v>
          </cell>
          <cell r="C8" t="str">
            <v>28 c</v>
          </cell>
          <cell r="D8" t="str">
            <v>M</v>
          </cell>
          <cell r="E8">
            <v>638</v>
          </cell>
          <cell r="F8">
            <v>809</v>
          </cell>
          <cell r="G8">
            <v>736</v>
          </cell>
          <cell r="H8">
            <v>730</v>
          </cell>
          <cell r="I8">
            <v>1111</v>
          </cell>
          <cell r="J8">
            <v>638</v>
          </cell>
          <cell r="L8" t="str">
            <v>내선</v>
          </cell>
          <cell r="M8">
            <v>7.1999999999999995E-2</v>
          </cell>
        </row>
        <row r="9">
          <cell r="A9">
            <v>6</v>
          </cell>
          <cell r="B9" t="str">
            <v>전 선 관      HI PVC</v>
          </cell>
          <cell r="C9" t="str">
            <v>36 c</v>
          </cell>
          <cell r="D9" t="str">
            <v>M</v>
          </cell>
          <cell r="E9">
            <v>899</v>
          </cell>
          <cell r="F9">
            <v>1086</v>
          </cell>
          <cell r="G9">
            <v>736</v>
          </cell>
          <cell r="H9">
            <v>1050</v>
          </cell>
          <cell r="I9">
            <v>1111</v>
          </cell>
          <cell r="J9">
            <v>899</v>
          </cell>
          <cell r="L9" t="str">
            <v>내선</v>
          </cell>
          <cell r="M9">
            <v>0.09</v>
          </cell>
        </row>
        <row r="10">
          <cell r="A10">
            <v>7</v>
          </cell>
          <cell r="B10" t="str">
            <v>전 선 관      HI PVC</v>
          </cell>
          <cell r="C10" t="str">
            <v>42 c</v>
          </cell>
          <cell r="D10" t="str">
            <v>M</v>
          </cell>
          <cell r="E10">
            <v>1180</v>
          </cell>
          <cell r="F10">
            <v>1418</v>
          </cell>
          <cell r="G10">
            <v>736</v>
          </cell>
          <cell r="H10">
            <v>1360</v>
          </cell>
          <cell r="I10">
            <v>1111</v>
          </cell>
          <cell r="J10">
            <v>1180</v>
          </cell>
          <cell r="L10" t="str">
            <v>내선</v>
          </cell>
          <cell r="M10">
            <v>0.11700000000000001</v>
          </cell>
        </row>
        <row r="11">
          <cell r="A11">
            <v>8</v>
          </cell>
          <cell r="B11" t="str">
            <v>전 선 관      HI PVC</v>
          </cell>
          <cell r="C11" t="str">
            <v>54 c</v>
          </cell>
          <cell r="D11" t="str">
            <v>M</v>
          </cell>
          <cell r="E11">
            <v>1670</v>
          </cell>
          <cell r="F11">
            <v>2014</v>
          </cell>
          <cell r="G11">
            <v>736</v>
          </cell>
          <cell r="H11">
            <v>1920</v>
          </cell>
          <cell r="I11">
            <v>1111</v>
          </cell>
          <cell r="J11">
            <v>1670</v>
          </cell>
          <cell r="L11" t="str">
            <v>내선</v>
          </cell>
          <cell r="M11">
            <v>0.17100000000000001</v>
          </cell>
        </row>
        <row r="12">
          <cell r="A12">
            <v>9</v>
          </cell>
          <cell r="B12" t="str">
            <v>전 선 관      HI PVC</v>
          </cell>
          <cell r="C12" t="str">
            <v>82 c</v>
          </cell>
          <cell r="D12" t="str">
            <v>M</v>
          </cell>
          <cell r="E12">
            <v>3292</v>
          </cell>
          <cell r="F12">
            <v>3950</v>
          </cell>
          <cell r="G12">
            <v>736</v>
          </cell>
          <cell r="H12">
            <v>3770</v>
          </cell>
          <cell r="I12">
            <v>1111</v>
          </cell>
          <cell r="J12">
            <v>3292</v>
          </cell>
          <cell r="L12" t="str">
            <v>내선</v>
          </cell>
          <cell r="M12">
            <v>0.33300000000000002</v>
          </cell>
        </row>
        <row r="13">
          <cell r="A13">
            <v>10</v>
          </cell>
          <cell r="B13" t="str">
            <v>가요전선관.고장력.비방수</v>
          </cell>
          <cell r="C13" t="str">
            <v>16 c</v>
          </cell>
          <cell r="D13" t="str">
            <v>M</v>
          </cell>
          <cell r="E13">
            <v>392</v>
          </cell>
          <cell r="F13">
            <v>970</v>
          </cell>
          <cell r="G13">
            <v>738</v>
          </cell>
          <cell r="H13">
            <v>970</v>
          </cell>
          <cell r="I13">
            <v>1109</v>
          </cell>
          <cell r="J13">
            <v>392</v>
          </cell>
          <cell r="L13" t="str">
            <v>내선</v>
          </cell>
          <cell r="M13">
            <v>3.9E-2</v>
          </cell>
        </row>
        <row r="14">
          <cell r="A14">
            <v>11</v>
          </cell>
          <cell r="B14" t="str">
            <v>가요전선관.고장력.비방수</v>
          </cell>
          <cell r="C14" t="str">
            <v>22 c</v>
          </cell>
          <cell r="D14" t="str">
            <v>M</v>
          </cell>
          <cell r="E14">
            <v>632</v>
          </cell>
          <cell r="F14">
            <v>1270</v>
          </cell>
          <cell r="G14">
            <v>738</v>
          </cell>
          <cell r="H14">
            <v>1270</v>
          </cell>
          <cell r="I14">
            <v>1109</v>
          </cell>
          <cell r="J14">
            <v>632</v>
          </cell>
          <cell r="L14" t="str">
            <v>내선</v>
          </cell>
          <cell r="M14">
            <v>5.2999999999999999E-2</v>
          </cell>
        </row>
        <row r="15">
          <cell r="A15">
            <v>12</v>
          </cell>
          <cell r="B15" t="str">
            <v>가요전선관.고장력.비방수</v>
          </cell>
          <cell r="C15" t="str">
            <v>28 c</v>
          </cell>
          <cell r="D15" t="str">
            <v>M</v>
          </cell>
          <cell r="E15">
            <v>632</v>
          </cell>
          <cell r="F15">
            <v>1540</v>
          </cell>
          <cell r="G15">
            <v>738</v>
          </cell>
          <cell r="H15">
            <v>1540</v>
          </cell>
          <cell r="I15">
            <v>1109</v>
          </cell>
          <cell r="J15">
            <v>632</v>
          </cell>
          <cell r="L15" t="str">
            <v>내선</v>
          </cell>
          <cell r="M15">
            <v>6.4000000000000001E-2</v>
          </cell>
        </row>
        <row r="16">
          <cell r="A16">
            <v>13</v>
          </cell>
          <cell r="B16" t="str">
            <v>가요전선관.고장력.방수</v>
          </cell>
          <cell r="C16" t="str">
            <v>28 c</v>
          </cell>
          <cell r="D16" t="str">
            <v>M</v>
          </cell>
          <cell r="E16">
            <v>1270</v>
          </cell>
          <cell r="F16">
            <v>3400</v>
          </cell>
          <cell r="G16">
            <v>738</v>
          </cell>
          <cell r="H16">
            <v>3400</v>
          </cell>
          <cell r="I16">
            <v>1109</v>
          </cell>
          <cell r="J16">
            <v>1270</v>
          </cell>
          <cell r="L16" t="str">
            <v>내선</v>
          </cell>
          <cell r="M16">
            <v>6.4000000000000001E-2</v>
          </cell>
        </row>
        <row r="17">
          <cell r="A17" t="str">
            <v>13A</v>
          </cell>
          <cell r="B17" t="str">
            <v>가요전선관.고장력.방수</v>
          </cell>
          <cell r="C17" t="str">
            <v>36 c</v>
          </cell>
          <cell r="D17" t="str">
            <v>M</v>
          </cell>
          <cell r="E17">
            <v>2140</v>
          </cell>
          <cell r="F17">
            <v>5290</v>
          </cell>
          <cell r="G17">
            <v>738</v>
          </cell>
          <cell r="H17">
            <v>5290</v>
          </cell>
          <cell r="I17">
            <v>1109</v>
          </cell>
          <cell r="J17">
            <v>2140</v>
          </cell>
          <cell r="L17" t="str">
            <v>내선</v>
          </cell>
          <cell r="M17">
            <v>7.8E-2</v>
          </cell>
        </row>
        <row r="18">
          <cell r="A18">
            <v>14</v>
          </cell>
          <cell r="B18" t="str">
            <v>가요전선관.고장력.방수</v>
          </cell>
          <cell r="C18" t="str">
            <v>42 c</v>
          </cell>
          <cell r="D18" t="str">
            <v>M</v>
          </cell>
          <cell r="E18">
            <v>2970</v>
          </cell>
          <cell r="F18">
            <v>8090</v>
          </cell>
          <cell r="G18">
            <v>738</v>
          </cell>
          <cell r="H18">
            <v>8090</v>
          </cell>
          <cell r="I18">
            <v>1109</v>
          </cell>
          <cell r="J18">
            <v>2970</v>
          </cell>
          <cell r="L18" t="str">
            <v>내선</v>
          </cell>
          <cell r="M18">
            <v>9.2999999999999999E-2</v>
          </cell>
        </row>
        <row r="19">
          <cell r="A19">
            <v>15</v>
          </cell>
          <cell r="B19" t="str">
            <v>가요전선관.고장력.방수</v>
          </cell>
          <cell r="C19" t="str">
            <v>54 c</v>
          </cell>
          <cell r="D19" t="str">
            <v>M</v>
          </cell>
          <cell r="E19">
            <v>4040</v>
          </cell>
          <cell r="F19">
            <v>9020</v>
          </cell>
          <cell r="G19">
            <v>738</v>
          </cell>
          <cell r="H19">
            <v>9020</v>
          </cell>
          <cell r="I19">
            <v>1109</v>
          </cell>
          <cell r="J19">
            <v>4040</v>
          </cell>
          <cell r="L19" t="str">
            <v>내선</v>
          </cell>
          <cell r="M19">
            <v>0.122</v>
          </cell>
        </row>
        <row r="20">
          <cell r="A20">
            <v>16</v>
          </cell>
          <cell r="B20" t="str">
            <v>전    선      HFIX</v>
          </cell>
          <cell r="C20" t="str">
            <v>2.5 sq</v>
          </cell>
          <cell r="D20" t="str">
            <v>M</v>
          </cell>
          <cell r="E20">
            <v>311</v>
          </cell>
          <cell r="F20">
            <v>371</v>
          </cell>
          <cell r="G20">
            <v>695</v>
          </cell>
          <cell r="H20">
            <v>433</v>
          </cell>
          <cell r="I20">
            <v>1082</v>
          </cell>
          <cell r="J20">
            <v>311</v>
          </cell>
          <cell r="L20" t="str">
            <v>내선</v>
          </cell>
          <cell r="M20">
            <v>0.01</v>
          </cell>
        </row>
        <row r="21">
          <cell r="A21">
            <v>17</v>
          </cell>
          <cell r="B21" t="str">
            <v>전    선      HFIX</v>
          </cell>
          <cell r="C21" t="str">
            <v>1.5sq</v>
          </cell>
          <cell r="D21" t="str">
            <v>M</v>
          </cell>
          <cell r="E21">
            <v>207</v>
          </cell>
          <cell r="F21">
            <v>226</v>
          </cell>
          <cell r="G21">
            <v>695</v>
          </cell>
          <cell r="H21">
            <v>289</v>
          </cell>
          <cell r="I21">
            <v>1082</v>
          </cell>
          <cell r="J21">
            <v>207</v>
          </cell>
          <cell r="L21" t="str">
            <v>내선</v>
          </cell>
          <cell r="M21">
            <v>0.01</v>
          </cell>
        </row>
        <row r="22">
          <cell r="A22">
            <v>18</v>
          </cell>
          <cell r="B22" t="str">
            <v>전    선      600V F-GV</v>
          </cell>
          <cell r="C22" t="str">
            <v>6 sq</v>
          </cell>
          <cell r="D22" t="str">
            <v>M</v>
          </cell>
          <cell r="E22">
            <v>611</v>
          </cell>
          <cell r="F22">
            <v>672</v>
          </cell>
          <cell r="G22">
            <v>695</v>
          </cell>
          <cell r="H22">
            <v>627</v>
          </cell>
          <cell r="I22">
            <v>1084</v>
          </cell>
          <cell r="J22">
            <v>611</v>
          </cell>
          <cell r="L22" t="str">
            <v>내선</v>
          </cell>
          <cell r="M22">
            <v>0.01</v>
          </cell>
        </row>
        <row r="23">
          <cell r="A23">
            <v>19</v>
          </cell>
          <cell r="B23" t="str">
            <v>전    선      600V F-GV</v>
          </cell>
          <cell r="C23" t="str">
            <v>10 sq</v>
          </cell>
          <cell r="D23" t="str">
            <v>M</v>
          </cell>
          <cell r="E23">
            <v>1051</v>
          </cell>
          <cell r="F23">
            <v>1132</v>
          </cell>
          <cell r="G23">
            <v>695</v>
          </cell>
          <cell r="H23">
            <v>1058</v>
          </cell>
          <cell r="I23">
            <v>1084</v>
          </cell>
          <cell r="J23">
            <v>1051</v>
          </cell>
          <cell r="L23" t="str">
            <v>내선</v>
          </cell>
          <cell r="M23">
            <v>0.01</v>
          </cell>
        </row>
        <row r="24">
          <cell r="A24">
            <v>20</v>
          </cell>
          <cell r="B24" t="str">
            <v>전    선      600V F-GV</v>
          </cell>
          <cell r="C24" t="str">
            <v>16 sq</v>
          </cell>
          <cell r="D24" t="str">
            <v>M</v>
          </cell>
          <cell r="E24">
            <v>1435</v>
          </cell>
          <cell r="F24">
            <v>1545</v>
          </cell>
          <cell r="G24">
            <v>695</v>
          </cell>
          <cell r="H24">
            <v>1444</v>
          </cell>
          <cell r="I24">
            <v>1084</v>
          </cell>
          <cell r="J24">
            <v>1435</v>
          </cell>
          <cell r="L24" t="str">
            <v>내선</v>
          </cell>
          <cell r="M24">
            <v>2.3E-2</v>
          </cell>
        </row>
        <row r="25">
          <cell r="A25" t="str">
            <v>20A</v>
          </cell>
          <cell r="B25" t="str">
            <v>전    선      600V F-GV</v>
          </cell>
          <cell r="C25" t="str">
            <v>25 sq</v>
          </cell>
          <cell r="D25" t="str">
            <v>M</v>
          </cell>
          <cell r="E25">
            <v>2205</v>
          </cell>
          <cell r="F25">
            <v>2373</v>
          </cell>
          <cell r="G25">
            <v>695</v>
          </cell>
          <cell r="H25">
            <v>2219</v>
          </cell>
          <cell r="I25">
            <v>1084</v>
          </cell>
          <cell r="J25">
            <v>2205</v>
          </cell>
          <cell r="L25" t="str">
            <v>내선</v>
          </cell>
          <cell r="M25">
            <v>2.3E-2</v>
          </cell>
        </row>
        <row r="26">
          <cell r="A26">
            <v>21</v>
          </cell>
          <cell r="B26" t="str">
            <v>전    선      600V F-GV</v>
          </cell>
          <cell r="C26" t="str">
            <v>95 sq</v>
          </cell>
          <cell r="D26" t="str">
            <v>M</v>
          </cell>
          <cell r="E26">
            <v>8029</v>
          </cell>
          <cell r="F26">
            <v>8639</v>
          </cell>
          <cell r="G26">
            <v>695</v>
          </cell>
          <cell r="H26">
            <v>8078</v>
          </cell>
          <cell r="I26">
            <v>1084</v>
          </cell>
          <cell r="J26">
            <v>8029</v>
          </cell>
          <cell r="L26" t="str">
            <v>내선</v>
          </cell>
          <cell r="M26">
            <v>6.4000000000000001E-2</v>
          </cell>
        </row>
        <row r="27">
          <cell r="A27">
            <v>22</v>
          </cell>
          <cell r="B27" t="str">
            <v>케 이 블      600V F-CV</v>
          </cell>
          <cell r="C27" t="str">
            <v>35  sq/ 1c</v>
          </cell>
          <cell r="D27" t="str">
            <v>M</v>
          </cell>
          <cell r="E27">
            <v>2911</v>
          </cell>
          <cell r="F27">
            <v>3776</v>
          </cell>
          <cell r="G27">
            <v>698</v>
          </cell>
          <cell r="H27">
            <v>3595</v>
          </cell>
          <cell r="I27">
            <v>1084</v>
          </cell>
          <cell r="J27">
            <v>2911</v>
          </cell>
          <cell r="L27" t="str">
            <v>저케</v>
          </cell>
          <cell r="M27">
            <v>3.5999999999999997E-2</v>
          </cell>
        </row>
        <row r="28">
          <cell r="A28" t="str">
            <v>22A</v>
          </cell>
          <cell r="B28" t="str">
            <v>케 이 블      600V F-CV</v>
          </cell>
          <cell r="C28" t="str">
            <v>50  sq/ 1c</v>
          </cell>
          <cell r="D28" t="str">
            <v>M</v>
          </cell>
          <cell r="E28">
            <v>4027</v>
          </cell>
          <cell r="F28">
            <v>5100</v>
          </cell>
          <cell r="G28">
            <v>698</v>
          </cell>
          <cell r="H28">
            <v>4855</v>
          </cell>
          <cell r="I28">
            <v>1084</v>
          </cell>
          <cell r="J28">
            <v>4027</v>
          </cell>
          <cell r="L28" t="str">
            <v>저케</v>
          </cell>
          <cell r="M28">
            <v>3.5999999999999997E-2</v>
          </cell>
        </row>
        <row r="29">
          <cell r="A29">
            <v>23</v>
          </cell>
          <cell r="B29" t="str">
            <v>케 이 블      600V F-CV</v>
          </cell>
          <cell r="C29" t="str">
            <v>150  sq/ 1c</v>
          </cell>
          <cell r="D29" t="str">
            <v>M</v>
          </cell>
          <cell r="E29">
            <v>11398</v>
          </cell>
          <cell r="F29">
            <v>13921</v>
          </cell>
          <cell r="G29">
            <v>698</v>
          </cell>
          <cell r="H29">
            <v>13253</v>
          </cell>
          <cell r="I29">
            <v>1084</v>
          </cell>
          <cell r="J29">
            <v>11398</v>
          </cell>
          <cell r="L29" t="str">
            <v>저케</v>
          </cell>
          <cell r="M29">
            <v>9.7000000000000003E-2</v>
          </cell>
        </row>
        <row r="30">
          <cell r="A30">
            <v>24</v>
          </cell>
          <cell r="B30" t="str">
            <v>케 이 블      600V F-CV</v>
          </cell>
          <cell r="C30" t="str">
            <v>4  sq/ 3c</v>
          </cell>
          <cell r="D30" t="str">
            <v>M</v>
          </cell>
          <cell r="E30">
            <v>1666</v>
          </cell>
          <cell r="F30">
            <v>2187</v>
          </cell>
          <cell r="G30">
            <v>698</v>
          </cell>
          <cell r="H30">
            <v>2082</v>
          </cell>
          <cell r="I30">
            <v>1084</v>
          </cell>
          <cell r="J30">
            <v>1666</v>
          </cell>
          <cell r="L30" t="str">
            <v>저케</v>
          </cell>
          <cell r="M30">
            <v>2.1999999999999999E-2</v>
          </cell>
        </row>
        <row r="31">
          <cell r="A31">
            <v>25</v>
          </cell>
          <cell r="B31" t="str">
            <v>케 이 블      600V F-CV</v>
          </cell>
          <cell r="C31" t="str">
            <v>6  sq/ 4c</v>
          </cell>
          <cell r="D31" t="str">
            <v>M</v>
          </cell>
          <cell r="E31">
            <v>2582</v>
          </cell>
          <cell r="F31">
            <v>3377</v>
          </cell>
          <cell r="G31">
            <v>698</v>
          </cell>
          <cell r="H31">
            <v>3215</v>
          </cell>
          <cell r="I31">
            <v>1084</v>
          </cell>
          <cell r="J31">
            <v>2582</v>
          </cell>
          <cell r="L31" t="str">
            <v>저케</v>
          </cell>
          <cell r="M31">
            <v>3.4000000000000002E-2</v>
          </cell>
        </row>
        <row r="32">
          <cell r="A32">
            <v>26</v>
          </cell>
          <cell r="B32" t="str">
            <v>케 이 블      600V F-CV</v>
          </cell>
          <cell r="C32" t="str">
            <v>10  sq/ 4c</v>
          </cell>
          <cell r="D32" t="str">
            <v>M</v>
          </cell>
          <cell r="E32">
            <v>4039</v>
          </cell>
          <cell r="F32">
            <v>5481</v>
          </cell>
          <cell r="G32">
            <v>698</v>
          </cell>
          <cell r="H32">
            <v>5218</v>
          </cell>
          <cell r="I32">
            <v>1084</v>
          </cell>
          <cell r="J32">
            <v>4039</v>
          </cell>
          <cell r="L32" t="str">
            <v>저케</v>
          </cell>
          <cell r="M32">
            <v>4.9000000000000002E-2</v>
          </cell>
        </row>
        <row r="33">
          <cell r="A33">
            <v>27</v>
          </cell>
          <cell r="B33" t="str">
            <v>케 이 블      600V F-CV</v>
          </cell>
          <cell r="C33" t="str">
            <v>16  sq/ 4c</v>
          </cell>
          <cell r="D33" t="str">
            <v>M</v>
          </cell>
          <cell r="E33">
            <v>5822</v>
          </cell>
          <cell r="F33">
            <v>7111</v>
          </cell>
          <cell r="G33">
            <v>698</v>
          </cell>
          <cell r="H33">
            <v>6770</v>
          </cell>
          <cell r="I33">
            <v>1084</v>
          </cell>
          <cell r="J33">
            <v>5822</v>
          </cell>
          <cell r="L33" t="str">
            <v>저케</v>
          </cell>
          <cell r="M33">
            <v>5.8999999999999997E-2</v>
          </cell>
        </row>
        <row r="34">
          <cell r="A34">
            <v>28</v>
          </cell>
          <cell r="B34" t="str">
            <v>케 이 블      600V F-CV</v>
          </cell>
          <cell r="C34" t="str">
            <v>25  sq/ 4c</v>
          </cell>
          <cell r="D34" t="str">
            <v>M</v>
          </cell>
          <cell r="E34">
            <v>9019</v>
          </cell>
          <cell r="F34">
            <v>11041</v>
          </cell>
          <cell r="G34">
            <v>698</v>
          </cell>
          <cell r="H34">
            <v>10511</v>
          </cell>
          <cell r="I34">
            <v>1084</v>
          </cell>
          <cell r="J34">
            <v>9019</v>
          </cell>
          <cell r="L34" t="str">
            <v>저케</v>
          </cell>
          <cell r="M34">
            <v>7.8E-2</v>
          </cell>
        </row>
        <row r="35">
          <cell r="A35">
            <v>29</v>
          </cell>
          <cell r="B35" t="str">
            <v>노말밴드      HIPVC</v>
          </cell>
          <cell r="C35" t="str">
            <v>36 c</v>
          </cell>
          <cell r="D35" t="str">
            <v>EA</v>
          </cell>
          <cell r="E35">
            <v>835</v>
          </cell>
          <cell r="F35">
            <v>1360</v>
          </cell>
          <cell r="G35">
            <v>736</v>
          </cell>
          <cell r="H35">
            <v>1130</v>
          </cell>
          <cell r="I35">
            <v>1111</v>
          </cell>
          <cell r="J35">
            <v>835</v>
          </cell>
          <cell r="M35">
            <v>0</v>
          </cell>
        </row>
        <row r="36">
          <cell r="A36">
            <v>30</v>
          </cell>
          <cell r="B36" t="str">
            <v>노말밴드      HIPVC</v>
          </cell>
          <cell r="C36" t="str">
            <v>42 c</v>
          </cell>
          <cell r="D36" t="str">
            <v>EA</v>
          </cell>
          <cell r="E36">
            <v>1104</v>
          </cell>
          <cell r="F36">
            <v>1822</v>
          </cell>
          <cell r="G36">
            <v>736</v>
          </cell>
          <cell r="H36">
            <v>1380</v>
          </cell>
          <cell r="I36">
            <v>1111</v>
          </cell>
          <cell r="J36">
            <v>1104</v>
          </cell>
          <cell r="M36">
            <v>0</v>
          </cell>
        </row>
        <row r="37">
          <cell r="A37">
            <v>31</v>
          </cell>
          <cell r="B37" t="str">
            <v>노말밴드      HIPVC</v>
          </cell>
          <cell r="C37" t="str">
            <v>54 c</v>
          </cell>
          <cell r="D37" t="str">
            <v>EA</v>
          </cell>
          <cell r="E37">
            <v>1651</v>
          </cell>
          <cell r="F37">
            <v>2732</v>
          </cell>
          <cell r="G37">
            <v>736</v>
          </cell>
          <cell r="H37">
            <v>2250</v>
          </cell>
          <cell r="I37">
            <v>1111</v>
          </cell>
          <cell r="J37">
            <v>1651</v>
          </cell>
          <cell r="M37">
            <v>0</v>
          </cell>
        </row>
        <row r="38">
          <cell r="A38">
            <v>32</v>
          </cell>
          <cell r="B38" t="str">
            <v>노말밴드      HIPVC</v>
          </cell>
          <cell r="C38" t="str">
            <v>82 c</v>
          </cell>
          <cell r="D38" t="str">
            <v>EA</v>
          </cell>
          <cell r="E38">
            <v>3916</v>
          </cell>
          <cell r="F38">
            <v>8350</v>
          </cell>
          <cell r="G38">
            <v>736</v>
          </cell>
          <cell r="H38">
            <v>5000</v>
          </cell>
          <cell r="I38">
            <v>1111</v>
          </cell>
          <cell r="J38">
            <v>3916</v>
          </cell>
          <cell r="M38">
            <v>0</v>
          </cell>
        </row>
        <row r="39">
          <cell r="A39">
            <v>33</v>
          </cell>
          <cell r="B39" t="str">
            <v>벽체 BOX      SW 1G</v>
          </cell>
          <cell r="C39" t="str">
            <v>54 mm</v>
          </cell>
          <cell r="D39" t="str">
            <v>EA</v>
          </cell>
          <cell r="E39">
            <v>503</v>
          </cell>
          <cell r="F39">
            <v>552</v>
          </cell>
          <cell r="G39">
            <v>741</v>
          </cell>
          <cell r="H39">
            <v>675</v>
          </cell>
          <cell r="I39">
            <v>1102</v>
          </cell>
          <cell r="J39">
            <v>503</v>
          </cell>
          <cell r="L39" t="str">
            <v>내선</v>
          </cell>
          <cell r="M39">
            <v>0.18</v>
          </cell>
        </row>
        <row r="40">
          <cell r="A40">
            <v>34</v>
          </cell>
          <cell r="B40" t="str">
            <v>벽체 BOX      SW 2G</v>
          </cell>
          <cell r="C40" t="str">
            <v>54 mm</v>
          </cell>
          <cell r="D40" t="str">
            <v>EA</v>
          </cell>
          <cell r="E40">
            <v>695</v>
          </cell>
          <cell r="F40">
            <v>780</v>
          </cell>
          <cell r="G40">
            <v>741</v>
          </cell>
          <cell r="H40">
            <v>708</v>
          </cell>
          <cell r="I40">
            <v>1102</v>
          </cell>
          <cell r="J40">
            <v>695</v>
          </cell>
          <cell r="L40" t="str">
            <v>내선</v>
          </cell>
          <cell r="M40">
            <v>0.18</v>
          </cell>
        </row>
        <row r="41">
          <cell r="A41">
            <v>35</v>
          </cell>
          <cell r="B41" t="str">
            <v>천정 BOX      4각</v>
          </cell>
          <cell r="C41" t="str">
            <v>54 mm</v>
          </cell>
          <cell r="D41" t="str">
            <v>EA</v>
          </cell>
          <cell r="E41">
            <v>730</v>
          </cell>
          <cell r="H41">
            <v>840</v>
          </cell>
          <cell r="I41">
            <v>1102</v>
          </cell>
          <cell r="J41">
            <v>730</v>
          </cell>
          <cell r="L41" t="str">
            <v>내선</v>
          </cell>
          <cell r="M41">
            <v>0.108</v>
          </cell>
        </row>
        <row r="42">
          <cell r="A42">
            <v>36</v>
          </cell>
          <cell r="B42" t="str">
            <v>천정 BOX      8각</v>
          </cell>
          <cell r="C42" t="str">
            <v>54 mm</v>
          </cell>
          <cell r="D42" t="str">
            <v>EA</v>
          </cell>
          <cell r="E42">
            <v>575</v>
          </cell>
          <cell r="F42">
            <v>660</v>
          </cell>
          <cell r="G42">
            <v>741</v>
          </cell>
          <cell r="H42">
            <v>721</v>
          </cell>
          <cell r="I42">
            <v>1102</v>
          </cell>
          <cell r="J42">
            <v>575</v>
          </cell>
          <cell r="L42" t="str">
            <v>내선</v>
          </cell>
          <cell r="M42">
            <v>0.108</v>
          </cell>
        </row>
        <row r="43">
          <cell r="A43">
            <v>37</v>
          </cell>
          <cell r="B43" t="str">
            <v>BOX COVER     평카바</v>
          </cell>
          <cell r="C43" t="str">
            <v>4각</v>
          </cell>
          <cell r="D43" t="str">
            <v>EA</v>
          </cell>
          <cell r="E43">
            <v>240</v>
          </cell>
          <cell r="H43">
            <v>240</v>
          </cell>
          <cell r="I43">
            <v>1102</v>
          </cell>
          <cell r="J43">
            <v>323</v>
          </cell>
          <cell r="M43">
            <v>0</v>
          </cell>
        </row>
        <row r="44">
          <cell r="A44">
            <v>38</v>
          </cell>
          <cell r="B44" t="str">
            <v>BOX COVER     평카바</v>
          </cell>
          <cell r="C44" t="str">
            <v>8각</v>
          </cell>
          <cell r="D44" t="str">
            <v>EA</v>
          </cell>
          <cell r="E44">
            <v>240</v>
          </cell>
          <cell r="F44">
            <v>264</v>
          </cell>
          <cell r="G44">
            <v>741</v>
          </cell>
          <cell r="H44">
            <v>240</v>
          </cell>
          <cell r="I44">
            <v>1102</v>
          </cell>
          <cell r="J44">
            <v>311</v>
          </cell>
          <cell r="M44">
            <v>0</v>
          </cell>
        </row>
        <row r="45">
          <cell r="A45">
            <v>39</v>
          </cell>
          <cell r="B45" t="str">
            <v>BOX COVER     콘카바</v>
          </cell>
          <cell r="C45" t="str">
            <v>4각</v>
          </cell>
          <cell r="D45" t="str">
            <v>EA</v>
          </cell>
          <cell r="E45">
            <v>261</v>
          </cell>
          <cell r="F45">
            <v>344</v>
          </cell>
          <cell r="G45">
            <v>741</v>
          </cell>
          <cell r="H45">
            <v>261</v>
          </cell>
          <cell r="I45">
            <v>1102</v>
          </cell>
          <cell r="J45">
            <v>310</v>
          </cell>
          <cell r="M45">
            <v>0</v>
          </cell>
        </row>
        <row r="46">
          <cell r="A46">
            <v>40</v>
          </cell>
          <cell r="B46" t="str">
            <v>플레이트 마감재</v>
          </cell>
          <cell r="C46" t="str">
            <v>SW 1G</v>
          </cell>
          <cell r="D46" t="str">
            <v>EA</v>
          </cell>
          <cell r="E46">
            <v>337</v>
          </cell>
          <cell r="H46">
            <v>337</v>
          </cell>
          <cell r="I46">
            <v>1199</v>
          </cell>
        </row>
        <row r="47">
          <cell r="A47">
            <v>41</v>
          </cell>
          <cell r="B47" t="str">
            <v xml:space="preserve">PVC BOX </v>
          </cell>
          <cell r="C47" t="str">
            <v>노출 SW 1G</v>
          </cell>
          <cell r="D47" t="str">
            <v>EA</v>
          </cell>
          <cell r="E47">
            <v>497</v>
          </cell>
          <cell r="H47">
            <v>512</v>
          </cell>
          <cell r="I47">
            <v>1110</v>
          </cell>
          <cell r="J47">
            <v>497</v>
          </cell>
          <cell r="L47" t="str">
            <v>내선</v>
          </cell>
          <cell r="M47">
            <v>0.18</v>
          </cell>
        </row>
        <row r="48">
          <cell r="A48">
            <v>42</v>
          </cell>
          <cell r="B48" t="str">
            <v>PULL BOX      STEEL</v>
          </cell>
          <cell r="C48" t="str">
            <v>100-100-100</v>
          </cell>
          <cell r="D48" t="str">
            <v>EA</v>
          </cell>
          <cell r="E48">
            <v>1630</v>
          </cell>
          <cell r="F48">
            <v>2220</v>
          </cell>
          <cell r="G48">
            <v>752</v>
          </cell>
          <cell r="H48">
            <v>2030</v>
          </cell>
          <cell r="I48">
            <v>1102</v>
          </cell>
          <cell r="J48">
            <v>1630</v>
          </cell>
          <cell r="L48" t="str">
            <v>내선</v>
          </cell>
          <cell r="M48">
            <v>3.5999999999999997E-2</v>
          </cell>
        </row>
        <row r="49">
          <cell r="A49">
            <v>43</v>
          </cell>
          <cell r="B49" t="str">
            <v>PULL BOX      STEEL</v>
          </cell>
          <cell r="C49" t="str">
            <v>150-150-100</v>
          </cell>
          <cell r="D49" t="str">
            <v>EA</v>
          </cell>
          <cell r="E49">
            <v>2340</v>
          </cell>
          <cell r="F49">
            <v>3000</v>
          </cell>
          <cell r="G49">
            <v>752</v>
          </cell>
          <cell r="H49">
            <v>2930</v>
          </cell>
          <cell r="I49">
            <v>1102</v>
          </cell>
          <cell r="J49">
            <v>2340</v>
          </cell>
          <cell r="L49" t="str">
            <v>내선</v>
          </cell>
          <cell r="M49">
            <v>0.19800000000000001</v>
          </cell>
        </row>
        <row r="50">
          <cell r="A50">
            <v>44</v>
          </cell>
          <cell r="B50" t="str">
            <v>PULL BOX      STEEL</v>
          </cell>
          <cell r="C50" t="str">
            <v>200-200-150</v>
          </cell>
          <cell r="D50" t="str">
            <v>EA</v>
          </cell>
          <cell r="E50">
            <v>3980</v>
          </cell>
          <cell r="F50">
            <v>4860</v>
          </cell>
          <cell r="G50">
            <v>752</v>
          </cell>
          <cell r="H50">
            <v>4950</v>
          </cell>
          <cell r="I50">
            <v>1102</v>
          </cell>
          <cell r="J50">
            <v>3980</v>
          </cell>
          <cell r="L50" t="str">
            <v>내선</v>
          </cell>
          <cell r="M50">
            <v>0.19800000000000001</v>
          </cell>
        </row>
        <row r="51">
          <cell r="A51">
            <v>45</v>
          </cell>
          <cell r="B51" t="str">
            <v>PULL BOX      STEEL</v>
          </cell>
          <cell r="C51" t="str">
            <v>300-300-200</v>
          </cell>
          <cell r="D51" t="str">
            <v>EA</v>
          </cell>
          <cell r="E51">
            <v>8010</v>
          </cell>
          <cell r="F51">
            <v>8870</v>
          </cell>
          <cell r="G51">
            <v>752</v>
          </cell>
          <cell r="H51">
            <v>10580</v>
          </cell>
          <cell r="I51">
            <v>1102</v>
          </cell>
          <cell r="J51">
            <v>8010</v>
          </cell>
          <cell r="L51" t="str">
            <v>내선</v>
          </cell>
          <cell r="M51">
            <v>0.315</v>
          </cell>
        </row>
        <row r="52">
          <cell r="A52">
            <v>46</v>
          </cell>
          <cell r="B52" t="str">
            <v>콘센트  15A 250V</v>
          </cell>
          <cell r="C52" t="str">
            <v>접지1구</v>
          </cell>
          <cell r="D52" t="str">
            <v>SET</v>
          </cell>
          <cell r="E52">
            <v>940</v>
          </cell>
          <cell r="F52">
            <v>1523</v>
          </cell>
          <cell r="G52">
            <v>826</v>
          </cell>
          <cell r="H52">
            <v>1983</v>
          </cell>
          <cell r="I52">
            <v>1201</v>
          </cell>
          <cell r="J52">
            <v>940</v>
          </cell>
          <cell r="L52" t="str">
            <v>내선</v>
          </cell>
          <cell r="M52">
            <v>0.08</v>
          </cell>
        </row>
        <row r="53">
          <cell r="A53">
            <v>47</v>
          </cell>
          <cell r="B53" t="str">
            <v>콘센트  15A 250V</v>
          </cell>
          <cell r="C53" t="str">
            <v>접지2구</v>
          </cell>
          <cell r="D53" t="str">
            <v>SET</v>
          </cell>
          <cell r="E53">
            <v>1230</v>
          </cell>
          <cell r="F53">
            <v>1879</v>
          </cell>
          <cell r="G53">
            <v>826</v>
          </cell>
          <cell r="H53">
            <v>2019</v>
          </cell>
          <cell r="I53">
            <v>1201</v>
          </cell>
          <cell r="J53">
            <v>1230</v>
          </cell>
          <cell r="L53" t="str">
            <v>내선</v>
          </cell>
          <cell r="M53">
            <v>0.08</v>
          </cell>
        </row>
        <row r="54">
          <cell r="A54">
            <v>48</v>
          </cell>
          <cell r="B54" t="str">
            <v>콘센트  15A 250V (방우형)</v>
          </cell>
          <cell r="C54" t="str">
            <v>접지1구</v>
          </cell>
          <cell r="D54" t="str">
            <v>SET</v>
          </cell>
          <cell r="E54">
            <v>2140</v>
          </cell>
          <cell r="F54">
            <v>2773</v>
          </cell>
          <cell r="G54">
            <v>826</v>
          </cell>
          <cell r="H54">
            <v>3429</v>
          </cell>
          <cell r="I54">
            <v>1201</v>
          </cell>
          <cell r="J54">
            <v>2140</v>
          </cell>
          <cell r="L54" t="str">
            <v>내선</v>
          </cell>
          <cell r="M54">
            <v>0.08</v>
          </cell>
        </row>
        <row r="55">
          <cell r="A55">
            <v>49</v>
          </cell>
          <cell r="B55" t="str">
            <v>콘센트  15A 250V (방우형)</v>
          </cell>
          <cell r="C55" t="str">
            <v>접지2구</v>
          </cell>
          <cell r="D55" t="str">
            <v>SET</v>
          </cell>
          <cell r="E55">
            <v>2230</v>
          </cell>
          <cell r="F55">
            <v>3088</v>
          </cell>
          <cell r="G55">
            <v>826</v>
          </cell>
          <cell r="H55">
            <v>3714</v>
          </cell>
          <cell r="I55">
            <v>1201</v>
          </cell>
          <cell r="J55">
            <v>2230</v>
          </cell>
          <cell r="L55" t="str">
            <v>내선</v>
          </cell>
          <cell r="M55">
            <v>0.08</v>
          </cell>
        </row>
        <row r="56">
          <cell r="A56">
            <v>50</v>
          </cell>
          <cell r="B56" t="str">
            <v>콘센트  15A 250V</v>
          </cell>
          <cell r="C56" t="str">
            <v>대기전력차단 접지3구</v>
          </cell>
          <cell r="D56" t="str">
            <v>SET</v>
          </cell>
          <cell r="E56">
            <v>29500</v>
          </cell>
          <cell r="F56">
            <v>29500</v>
          </cell>
          <cell r="G56" t="str">
            <v>시중가</v>
          </cell>
          <cell r="L56" t="str">
            <v>내선</v>
          </cell>
          <cell r="M56">
            <v>0.08</v>
          </cell>
        </row>
        <row r="57">
          <cell r="A57">
            <v>51</v>
          </cell>
          <cell r="B57" t="str">
            <v>S/W     15A 250V</v>
          </cell>
          <cell r="C57" t="str">
            <v>1로1구</v>
          </cell>
          <cell r="D57" t="str">
            <v>SET</v>
          </cell>
          <cell r="E57">
            <v>1150</v>
          </cell>
          <cell r="F57">
            <v>1839</v>
          </cell>
          <cell r="G57">
            <v>825</v>
          </cell>
          <cell r="H57">
            <v>2161</v>
          </cell>
          <cell r="I57">
            <v>1199</v>
          </cell>
          <cell r="J57">
            <v>1150</v>
          </cell>
          <cell r="L57" t="str">
            <v>내선</v>
          </cell>
          <cell r="M57">
            <v>8.5000000000000006E-2</v>
          </cell>
        </row>
        <row r="58">
          <cell r="A58">
            <v>52</v>
          </cell>
          <cell r="B58" t="str">
            <v>S/W     15A 250V</v>
          </cell>
          <cell r="C58" t="str">
            <v>1로2구</v>
          </cell>
          <cell r="D58" t="str">
            <v>SET</v>
          </cell>
          <cell r="E58">
            <v>1610</v>
          </cell>
          <cell r="F58">
            <v>2848</v>
          </cell>
          <cell r="G58">
            <v>825</v>
          </cell>
          <cell r="H58">
            <v>3196</v>
          </cell>
          <cell r="I58">
            <v>1199</v>
          </cell>
          <cell r="J58">
            <v>1610</v>
          </cell>
          <cell r="L58" t="str">
            <v>내선</v>
          </cell>
          <cell r="M58">
            <v>8.5000000000000006E-2</v>
          </cell>
        </row>
        <row r="59">
          <cell r="A59">
            <v>53</v>
          </cell>
          <cell r="B59" t="str">
            <v>S/W     15A 250V</v>
          </cell>
          <cell r="C59" t="str">
            <v>1로3구</v>
          </cell>
          <cell r="D59" t="str">
            <v>SET</v>
          </cell>
          <cell r="E59">
            <v>2080</v>
          </cell>
          <cell r="F59">
            <v>3718</v>
          </cell>
          <cell r="G59">
            <v>825</v>
          </cell>
          <cell r="H59">
            <v>4161</v>
          </cell>
          <cell r="I59">
            <v>1199</v>
          </cell>
          <cell r="J59">
            <v>2080</v>
          </cell>
          <cell r="L59" t="str">
            <v>내선</v>
          </cell>
          <cell r="M59">
            <v>8.5000000000000006E-2</v>
          </cell>
        </row>
        <row r="60">
          <cell r="A60">
            <v>54</v>
          </cell>
          <cell r="B60" t="str">
            <v>S/W     15A 250V</v>
          </cell>
          <cell r="C60" t="str">
            <v>1로4구</v>
          </cell>
          <cell r="D60" t="str">
            <v>SET</v>
          </cell>
          <cell r="E60">
            <v>2910</v>
          </cell>
          <cell r="F60">
            <v>5375</v>
          </cell>
          <cell r="G60">
            <v>825</v>
          </cell>
          <cell r="H60">
            <v>5964</v>
          </cell>
          <cell r="I60">
            <v>1199</v>
          </cell>
          <cell r="J60">
            <v>2910</v>
          </cell>
          <cell r="L60" t="str">
            <v>내선</v>
          </cell>
          <cell r="M60">
            <v>8.5000000000000006E-2</v>
          </cell>
        </row>
        <row r="61">
          <cell r="A61">
            <v>55</v>
          </cell>
          <cell r="B61" t="str">
            <v>S/W     15A 250V</v>
          </cell>
          <cell r="C61" t="str">
            <v>3로1구</v>
          </cell>
          <cell r="D61" t="str">
            <v>SET</v>
          </cell>
          <cell r="E61">
            <v>1500</v>
          </cell>
          <cell r="F61">
            <v>2776</v>
          </cell>
          <cell r="G61">
            <v>825</v>
          </cell>
          <cell r="H61">
            <v>2411</v>
          </cell>
          <cell r="I61">
            <v>1199</v>
          </cell>
          <cell r="J61">
            <v>1500</v>
          </cell>
          <cell r="L61" t="str">
            <v>내선</v>
          </cell>
          <cell r="M61">
            <v>8.5000000000000006E-2</v>
          </cell>
        </row>
        <row r="62">
          <cell r="A62">
            <v>56</v>
          </cell>
          <cell r="B62" t="str">
            <v>PVC 몰드</v>
          </cell>
          <cell r="C62" t="str">
            <v>대</v>
          </cell>
          <cell r="D62" t="str">
            <v>M</v>
          </cell>
          <cell r="E62">
            <v>900</v>
          </cell>
          <cell r="F62">
            <v>900</v>
          </cell>
          <cell r="G62">
            <v>739</v>
          </cell>
          <cell r="J62">
            <v>1280</v>
          </cell>
          <cell r="L62" t="str">
            <v>내선</v>
          </cell>
          <cell r="M62">
            <v>0.22</v>
          </cell>
        </row>
        <row r="63">
          <cell r="A63">
            <v>57</v>
          </cell>
          <cell r="B63" t="str">
            <v>AL DUCT</v>
          </cell>
          <cell r="C63" t="str">
            <v>50x35</v>
          </cell>
          <cell r="D63" t="str">
            <v>M</v>
          </cell>
          <cell r="E63">
            <v>5040</v>
          </cell>
          <cell r="F63">
            <v>8000</v>
          </cell>
          <cell r="G63">
            <v>739</v>
          </cell>
          <cell r="J63">
            <v>5040</v>
          </cell>
          <cell r="L63" t="str">
            <v>내선</v>
          </cell>
          <cell r="M63">
            <v>0.15</v>
          </cell>
        </row>
        <row r="64">
          <cell r="A64">
            <v>58</v>
          </cell>
          <cell r="B64" t="str">
            <v>CABLE DUCT(W/C) 2.3T</v>
          </cell>
          <cell r="C64" t="str">
            <v>100W X100H</v>
          </cell>
          <cell r="D64" t="str">
            <v>M</v>
          </cell>
          <cell r="E64">
            <v>21290</v>
          </cell>
          <cell r="F64">
            <v>21290</v>
          </cell>
          <cell r="G64">
            <v>749</v>
          </cell>
          <cell r="L64" t="str">
            <v>내선</v>
          </cell>
          <cell r="M64">
            <v>0.3</v>
          </cell>
        </row>
        <row r="65">
          <cell r="A65" t="str">
            <v>58A</v>
          </cell>
          <cell r="B65" t="str">
            <v>V/ELBOW 2.3T</v>
          </cell>
          <cell r="C65" t="str">
            <v>100W X100H</v>
          </cell>
          <cell r="D65" t="str">
            <v>EA</v>
          </cell>
          <cell r="E65">
            <v>31940</v>
          </cell>
          <cell r="F65">
            <v>31940</v>
          </cell>
          <cell r="G65">
            <v>749</v>
          </cell>
          <cell r="L65" t="str">
            <v>내선</v>
          </cell>
          <cell r="M65">
            <v>0.3</v>
          </cell>
        </row>
        <row r="66">
          <cell r="A66">
            <v>59</v>
          </cell>
          <cell r="B66" t="str">
            <v>행거볼트</v>
          </cell>
          <cell r="C66" t="str">
            <v>9 -1000</v>
          </cell>
          <cell r="D66" t="str">
            <v>EA</v>
          </cell>
          <cell r="E66">
            <v>933</v>
          </cell>
          <cell r="F66">
            <v>933</v>
          </cell>
          <cell r="G66">
            <v>117</v>
          </cell>
          <cell r="H66">
            <v>1017</v>
          </cell>
          <cell r="I66">
            <v>86</v>
          </cell>
          <cell r="M66">
            <v>0</v>
          </cell>
        </row>
        <row r="67">
          <cell r="A67">
            <v>60</v>
          </cell>
          <cell r="B67" t="str">
            <v>인서트</v>
          </cell>
          <cell r="C67" t="str">
            <v>Φ9</v>
          </cell>
          <cell r="D67" t="str">
            <v>EA</v>
          </cell>
          <cell r="E67">
            <v>40</v>
          </cell>
          <cell r="J67">
            <v>40</v>
          </cell>
          <cell r="L67" t="str">
            <v>내선</v>
          </cell>
          <cell r="M67">
            <v>2.8000000000000001E-2</v>
          </cell>
        </row>
        <row r="68">
          <cell r="A68">
            <v>61</v>
          </cell>
          <cell r="B68" t="str">
            <v>C-CHANNEL</v>
          </cell>
          <cell r="C68" t="str">
            <v>41-41-2.6t</v>
          </cell>
          <cell r="D68" t="str">
            <v>M</v>
          </cell>
          <cell r="E68">
            <v>2775</v>
          </cell>
          <cell r="J68">
            <v>2775</v>
          </cell>
          <cell r="M68">
            <v>0</v>
          </cell>
        </row>
        <row r="69">
          <cell r="A69">
            <v>62</v>
          </cell>
          <cell r="B69" t="str">
            <v>6각너트</v>
          </cell>
          <cell r="C69" t="str">
            <v>3/8,M10</v>
          </cell>
          <cell r="D69" t="str">
            <v>EA</v>
          </cell>
          <cell r="E69">
            <v>25</v>
          </cell>
          <cell r="F69">
            <v>27</v>
          </cell>
          <cell r="G69">
            <v>117</v>
          </cell>
          <cell r="H69">
            <v>25</v>
          </cell>
          <cell r="I69">
            <v>95</v>
          </cell>
        </row>
        <row r="70">
          <cell r="A70">
            <v>63</v>
          </cell>
          <cell r="B70" t="str">
            <v>스프링와샤</v>
          </cell>
          <cell r="C70" t="str">
            <v>D10</v>
          </cell>
          <cell r="D70" t="str">
            <v>EA</v>
          </cell>
          <cell r="E70">
            <v>8</v>
          </cell>
          <cell r="F70">
            <v>8</v>
          </cell>
          <cell r="G70">
            <v>118</v>
          </cell>
          <cell r="H70">
            <v>13</v>
          </cell>
          <cell r="I70">
            <v>90</v>
          </cell>
        </row>
        <row r="71">
          <cell r="A71">
            <v>64</v>
          </cell>
          <cell r="B71" t="str">
            <v>DUCT JOINT 콘넥타</v>
          </cell>
          <cell r="C71" t="str">
            <v>100H</v>
          </cell>
          <cell r="D71" t="str">
            <v>EA</v>
          </cell>
          <cell r="E71">
            <v>1200</v>
          </cell>
          <cell r="F71">
            <v>1200</v>
          </cell>
          <cell r="G71">
            <v>749</v>
          </cell>
          <cell r="M71">
            <v>0</v>
          </cell>
        </row>
        <row r="72">
          <cell r="A72">
            <v>65</v>
          </cell>
          <cell r="B72" t="str">
            <v>BONDING JUMPER</v>
          </cell>
          <cell r="C72" t="str">
            <v>35 sq</v>
          </cell>
          <cell r="D72" t="str">
            <v>EA</v>
          </cell>
          <cell r="E72">
            <v>1843</v>
          </cell>
          <cell r="J72">
            <v>1843</v>
          </cell>
          <cell r="M72">
            <v>0</v>
          </cell>
        </row>
        <row r="73">
          <cell r="A73">
            <v>66</v>
          </cell>
          <cell r="B73" t="str">
            <v>SHANK B/NUT</v>
          </cell>
          <cell r="C73" t="str">
            <v>3/8"</v>
          </cell>
          <cell r="D73" t="str">
            <v>EA</v>
          </cell>
          <cell r="E73">
            <v>68</v>
          </cell>
          <cell r="F73">
            <v>100</v>
          </cell>
          <cell r="G73">
            <v>749</v>
          </cell>
          <cell r="J73">
            <v>68</v>
          </cell>
          <cell r="M73">
            <v>0</v>
          </cell>
        </row>
        <row r="74">
          <cell r="A74">
            <v>67</v>
          </cell>
          <cell r="B74" t="str">
            <v>케이블DUCT부속품</v>
          </cell>
          <cell r="C74" t="str">
            <v>찬넬스프링 너트, 아연도</v>
          </cell>
          <cell r="D74" t="str">
            <v>EA</v>
          </cell>
          <cell r="E74">
            <v>262</v>
          </cell>
          <cell r="F74">
            <v>450</v>
          </cell>
          <cell r="G74">
            <v>747</v>
          </cell>
          <cell r="J74">
            <v>262</v>
          </cell>
        </row>
        <row r="75">
          <cell r="A75">
            <v>68</v>
          </cell>
          <cell r="B75" t="str">
            <v>케이블DUCT부속품</v>
          </cell>
          <cell r="C75" t="str">
            <v>HOLD DOWN CLAMP, 아연도</v>
          </cell>
          <cell r="D75" t="str">
            <v>EA</v>
          </cell>
          <cell r="E75">
            <v>194</v>
          </cell>
          <cell r="F75">
            <v>430</v>
          </cell>
          <cell r="G75">
            <v>745</v>
          </cell>
          <cell r="H75">
            <v>430</v>
          </cell>
          <cell r="I75">
            <v>1117</v>
          </cell>
          <cell r="J75">
            <v>194</v>
          </cell>
        </row>
        <row r="76">
          <cell r="A76">
            <v>69</v>
          </cell>
          <cell r="B76" t="str">
            <v>재실감지센서</v>
          </cell>
          <cell r="C76" t="str">
            <v>화장실용</v>
          </cell>
          <cell r="D76" t="str">
            <v>EA</v>
          </cell>
          <cell r="E76">
            <v>79000</v>
          </cell>
          <cell r="F76">
            <v>93000</v>
          </cell>
          <cell r="G76">
            <v>846</v>
          </cell>
          <cell r="H76">
            <v>79000</v>
          </cell>
          <cell r="I76">
            <v>1207</v>
          </cell>
          <cell r="L76" t="str">
            <v>내선</v>
          </cell>
          <cell r="M76">
            <v>0.19</v>
          </cell>
        </row>
        <row r="77">
          <cell r="A77">
            <v>70</v>
          </cell>
          <cell r="B77" t="str">
            <v>MCCB 차단기</v>
          </cell>
          <cell r="C77" t="str">
            <v>4P 250AF/250AT</v>
          </cell>
          <cell r="D77" t="str">
            <v>EA</v>
          </cell>
          <cell r="E77">
            <v>223200</v>
          </cell>
          <cell r="F77">
            <v>223300</v>
          </cell>
          <cell r="G77">
            <v>780</v>
          </cell>
          <cell r="H77">
            <v>223200</v>
          </cell>
          <cell r="I77">
            <v>1157</v>
          </cell>
          <cell r="L77" t="str">
            <v>내선</v>
          </cell>
          <cell r="M77">
            <v>0.88400000000000001</v>
          </cell>
        </row>
        <row r="78">
          <cell r="A78">
            <v>71</v>
          </cell>
          <cell r="B78" t="str">
            <v>MCCB 차단기</v>
          </cell>
          <cell r="C78" t="str">
            <v>4P 60AF/60AT</v>
          </cell>
          <cell r="D78" t="str">
            <v>EA</v>
          </cell>
          <cell r="E78">
            <v>56200</v>
          </cell>
          <cell r="F78">
            <v>56200</v>
          </cell>
          <cell r="G78">
            <v>780</v>
          </cell>
          <cell r="H78">
            <v>56200</v>
          </cell>
          <cell r="I78">
            <v>1157</v>
          </cell>
          <cell r="L78" t="str">
            <v>내선</v>
          </cell>
          <cell r="M78">
            <v>0.46800000000000003</v>
          </cell>
        </row>
        <row r="79">
          <cell r="A79">
            <v>72</v>
          </cell>
          <cell r="B79" t="str">
            <v>MCCB 차단기</v>
          </cell>
          <cell r="C79" t="str">
            <v>4P 50AF/40AT</v>
          </cell>
          <cell r="D79" t="str">
            <v>EA</v>
          </cell>
          <cell r="E79">
            <v>53200</v>
          </cell>
          <cell r="F79">
            <v>53200</v>
          </cell>
          <cell r="G79">
            <v>780</v>
          </cell>
          <cell r="H79">
            <v>53600</v>
          </cell>
          <cell r="I79">
            <v>1157</v>
          </cell>
          <cell r="L79" t="str">
            <v>내선</v>
          </cell>
          <cell r="M79">
            <v>0.33800000000000002</v>
          </cell>
        </row>
        <row r="80">
          <cell r="A80">
            <v>73</v>
          </cell>
          <cell r="B80" t="str">
            <v>조명기구 "A"</v>
          </cell>
          <cell r="C80" t="str">
            <v>평판매입 LED 40W(300x1200)</v>
          </cell>
          <cell r="D80" t="str">
            <v>SET</v>
          </cell>
          <cell r="E80" t="str">
            <v>관급자재</v>
          </cell>
          <cell r="L80" t="str">
            <v>내선</v>
          </cell>
          <cell r="M80">
            <v>0.27500000000000002</v>
          </cell>
        </row>
        <row r="81">
          <cell r="A81">
            <v>74</v>
          </cell>
          <cell r="B81" t="str">
            <v>조명기구 "B"</v>
          </cell>
          <cell r="C81" t="str">
            <v>직부 LED 40W(300x1200)</v>
          </cell>
          <cell r="D81" t="str">
            <v>SET</v>
          </cell>
          <cell r="E81" t="str">
            <v>관급자재</v>
          </cell>
          <cell r="L81" t="str">
            <v>내선</v>
          </cell>
          <cell r="M81">
            <v>0.2</v>
          </cell>
        </row>
        <row r="82">
          <cell r="A82">
            <v>75</v>
          </cell>
          <cell r="B82" t="str">
            <v>조명기구 "C"</v>
          </cell>
          <cell r="C82" t="str">
            <v>다운라이트 LED 12W</v>
          </cell>
          <cell r="D82" t="str">
            <v>SET</v>
          </cell>
          <cell r="E82" t="str">
            <v>관급자재</v>
          </cell>
          <cell r="L82" t="str">
            <v>내선</v>
          </cell>
          <cell r="M82">
            <v>0.13900000000000001</v>
          </cell>
        </row>
        <row r="83">
          <cell r="A83">
            <v>76</v>
          </cell>
          <cell r="B83" t="str">
            <v>조명기구 "D"</v>
          </cell>
          <cell r="C83" t="str">
            <v>직부,벽부등 LED 15W</v>
          </cell>
          <cell r="D83" t="str">
            <v>SET</v>
          </cell>
          <cell r="E83" t="str">
            <v>관급자재</v>
          </cell>
          <cell r="L83" t="str">
            <v>내선</v>
          </cell>
          <cell r="M83">
            <v>0.16200000000000001</v>
          </cell>
        </row>
        <row r="84">
          <cell r="A84">
            <v>77</v>
          </cell>
          <cell r="B84" t="str">
            <v>조명기구 "E"</v>
          </cell>
          <cell r="C84" t="str">
            <v>투광등 LED 200W</v>
          </cell>
          <cell r="D84" t="str">
            <v>SET</v>
          </cell>
          <cell r="E84" t="str">
            <v>관급자재</v>
          </cell>
          <cell r="L84" t="str">
            <v>내선</v>
          </cell>
          <cell r="M84">
            <v>0.39600000000000002</v>
          </cell>
        </row>
        <row r="85">
          <cell r="A85">
            <v>78</v>
          </cell>
          <cell r="B85" t="str">
            <v>전력용맨홀 (수공1호)</v>
          </cell>
          <cell r="C85" t="str">
            <v>950*450*700</v>
          </cell>
          <cell r="D85" t="str">
            <v>개소</v>
          </cell>
          <cell r="E85">
            <v>86000</v>
          </cell>
          <cell r="F85">
            <v>86000</v>
          </cell>
          <cell r="G85">
            <v>304</v>
          </cell>
          <cell r="H85">
            <v>95000</v>
          </cell>
          <cell r="I85">
            <v>204</v>
          </cell>
          <cell r="L85" t="str">
            <v>내선</v>
          </cell>
          <cell r="M85">
            <v>0.06</v>
          </cell>
        </row>
        <row r="86">
          <cell r="A86">
            <v>79</v>
          </cell>
          <cell r="B86" t="str">
            <v>주철제 철개</v>
          </cell>
          <cell r="C86" t="str">
            <v>1120X620X132</v>
          </cell>
          <cell r="D86" t="str">
            <v>EA</v>
          </cell>
          <cell r="E86">
            <v>234000</v>
          </cell>
          <cell r="F86">
            <v>234000</v>
          </cell>
          <cell r="G86">
            <v>304</v>
          </cell>
          <cell r="H86">
            <v>260000</v>
          </cell>
          <cell r="I86">
            <v>204</v>
          </cell>
          <cell r="L86" t="str">
            <v>보통</v>
          </cell>
          <cell r="M86">
            <v>0.3</v>
          </cell>
        </row>
        <row r="87">
          <cell r="A87">
            <v>80</v>
          </cell>
          <cell r="B87" t="str">
            <v>경고테이프</v>
          </cell>
          <cell r="C87" t="str">
            <v>300x250</v>
          </cell>
          <cell r="D87" t="str">
            <v>M</v>
          </cell>
          <cell r="E87">
            <v>270</v>
          </cell>
          <cell r="F87">
            <v>270</v>
          </cell>
          <cell r="G87">
            <v>859</v>
          </cell>
          <cell r="L87" t="str">
            <v>저케보통</v>
          </cell>
          <cell r="M87" t="str">
            <v>0.00050.001</v>
          </cell>
        </row>
        <row r="88">
          <cell r="A88" t="str">
            <v>80A</v>
          </cell>
          <cell r="B88" t="str">
            <v>접지동봉(콘넥타 포함)</v>
          </cell>
          <cell r="C88" t="str">
            <v>18Φx2400</v>
          </cell>
          <cell r="D88" t="str">
            <v>EA</v>
          </cell>
          <cell r="E88">
            <v>10100</v>
          </cell>
          <cell r="F88">
            <v>13000</v>
          </cell>
          <cell r="G88">
            <v>813</v>
          </cell>
          <cell r="H88">
            <v>16700</v>
          </cell>
          <cell r="I88">
            <v>1189</v>
          </cell>
          <cell r="J88">
            <v>10100</v>
          </cell>
          <cell r="L88" t="str">
            <v>내선보통</v>
          </cell>
          <cell r="M88" t="str">
            <v>0.110.08</v>
          </cell>
        </row>
        <row r="89">
          <cell r="A89">
            <v>200</v>
          </cell>
          <cell r="B89" t="str">
            <v>Z C T</v>
          </cell>
          <cell r="C89" t="str">
            <v>250A  (ELD용)</v>
          </cell>
          <cell r="D89" t="str">
            <v>EA</v>
          </cell>
          <cell r="E89">
            <v>22600</v>
          </cell>
          <cell r="H89">
            <v>22600</v>
          </cell>
          <cell r="I89">
            <v>1184</v>
          </cell>
          <cell r="L89" t="str">
            <v>내선</v>
          </cell>
          <cell r="M89">
            <v>0.4</v>
          </cell>
        </row>
        <row r="90">
          <cell r="A90">
            <v>201</v>
          </cell>
          <cell r="B90" t="str">
            <v>선풍기 스위치 플레이트</v>
          </cell>
          <cell r="C90" t="str">
            <v>아크릴 (2개용)</v>
          </cell>
          <cell r="D90" t="str">
            <v>EA</v>
          </cell>
          <cell r="E90">
            <v>9000</v>
          </cell>
          <cell r="F90">
            <v>9000</v>
          </cell>
          <cell r="G90" t="str">
            <v>시중가</v>
          </cell>
          <cell r="L90" t="str">
            <v>내선</v>
          </cell>
          <cell r="M90">
            <v>8.5000000000000006E-2</v>
          </cell>
        </row>
        <row r="91">
          <cell r="A91">
            <v>202</v>
          </cell>
          <cell r="B91" t="str">
            <v>선풍기 스위치 플레이트</v>
          </cell>
          <cell r="C91" t="str">
            <v>아크릴 (4개용)</v>
          </cell>
          <cell r="D91" t="str">
            <v>EA</v>
          </cell>
          <cell r="E91">
            <v>14000</v>
          </cell>
          <cell r="F91">
            <v>14000</v>
          </cell>
          <cell r="G91" t="str">
            <v>시중가</v>
          </cell>
          <cell r="L91" t="str">
            <v>내선</v>
          </cell>
          <cell r="M91">
            <v>8.5000000000000006E-2</v>
          </cell>
        </row>
        <row r="92">
          <cell r="A92">
            <v>203</v>
          </cell>
          <cell r="B92" t="str">
            <v>천장형 선풍기</v>
          </cell>
          <cell r="C92" t="str">
            <v>360도 회전형</v>
          </cell>
          <cell r="D92" t="str">
            <v>EA</v>
          </cell>
          <cell r="E92">
            <v>49636</v>
          </cell>
          <cell r="F92">
            <v>55455</v>
          </cell>
          <cell r="G92" t="str">
            <v>A사</v>
          </cell>
          <cell r="H92">
            <v>49636</v>
          </cell>
          <cell r="I92" t="str">
            <v>B사</v>
          </cell>
          <cell r="L92" t="str">
            <v>내선</v>
          </cell>
          <cell r="M92">
            <v>0.5</v>
          </cell>
        </row>
        <row r="93">
          <cell r="A93">
            <v>204</v>
          </cell>
          <cell r="B93" t="str">
            <v>폐기물 처리비</v>
          </cell>
          <cell r="C93" t="str">
            <v>폐아스콘</v>
          </cell>
          <cell r="D93" t="str">
            <v>톤</v>
          </cell>
          <cell r="E93">
            <v>20088</v>
          </cell>
          <cell r="F93">
            <v>20088</v>
          </cell>
          <cell r="G93" t="str">
            <v>부록-123</v>
          </cell>
          <cell r="M93">
            <v>0</v>
          </cell>
        </row>
        <row r="94">
          <cell r="A94">
            <v>205</v>
          </cell>
          <cell r="B94" t="str">
            <v>폐기물 수집, 운반비</v>
          </cell>
          <cell r="D94" t="str">
            <v>톤</v>
          </cell>
          <cell r="E94">
            <v>13660</v>
          </cell>
          <cell r="F94">
            <v>13660</v>
          </cell>
          <cell r="G94" t="str">
            <v>부록-122</v>
          </cell>
          <cell r="M94">
            <v>0</v>
          </cell>
        </row>
        <row r="95">
          <cell r="A95">
            <v>94</v>
          </cell>
          <cell r="B95" t="str">
            <v>분전반</v>
          </cell>
          <cell r="C95" t="str">
            <v>L-1M</v>
          </cell>
          <cell r="D95" t="str">
            <v>면</v>
          </cell>
          <cell r="E95" t="str">
            <v>관급자재</v>
          </cell>
          <cell r="L95" t="str">
            <v>내선</v>
          </cell>
          <cell r="M95">
            <v>0.85499999999999998</v>
          </cell>
        </row>
        <row r="96">
          <cell r="A96">
            <v>95</v>
          </cell>
          <cell r="B96" t="str">
            <v>분전반</v>
          </cell>
          <cell r="C96" t="str">
            <v>L-2</v>
          </cell>
          <cell r="D96" t="str">
            <v>면</v>
          </cell>
          <cell r="E96" t="str">
            <v>관급자재</v>
          </cell>
          <cell r="L96" t="str">
            <v>내선</v>
          </cell>
          <cell r="M96">
            <v>0.85499999999999998</v>
          </cell>
        </row>
        <row r="97">
          <cell r="A97">
            <v>96</v>
          </cell>
          <cell r="B97" t="str">
            <v>분전반</v>
          </cell>
          <cell r="C97" t="str">
            <v>P-E</v>
          </cell>
          <cell r="D97" t="str">
            <v>면</v>
          </cell>
          <cell r="E97" t="str">
            <v>관급자재</v>
          </cell>
          <cell r="L97" t="str">
            <v>내선</v>
          </cell>
          <cell r="M97">
            <v>0.85499999999999998</v>
          </cell>
        </row>
        <row r="98">
          <cell r="A98">
            <v>97</v>
          </cell>
          <cell r="B98" t="str">
            <v>분전반</v>
          </cell>
          <cell r="C98" t="str">
            <v>P-EHP</v>
          </cell>
          <cell r="D98" t="str">
            <v>면</v>
          </cell>
          <cell r="E98" t="str">
            <v>관급자재</v>
          </cell>
          <cell r="L98" t="str">
            <v>내선</v>
          </cell>
          <cell r="M98">
            <v>0.85499999999999998</v>
          </cell>
        </row>
        <row r="99">
          <cell r="A99">
            <v>98</v>
          </cell>
          <cell r="B99" t="str">
            <v>분전반</v>
          </cell>
          <cell r="C99" t="str">
            <v>전등일괄제어</v>
          </cell>
          <cell r="D99" t="str">
            <v>면</v>
          </cell>
          <cell r="E99" t="str">
            <v>관급자재</v>
          </cell>
          <cell r="L99" t="str">
            <v>내선</v>
          </cell>
          <cell r="M99">
            <v>0.59399999999999997</v>
          </cell>
        </row>
        <row r="100">
          <cell r="A100">
            <v>99</v>
          </cell>
          <cell r="B100" t="str">
            <v>분전반</v>
          </cell>
          <cell r="C100" t="str">
            <v>L-A-1</v>
          </cell>
          <cell r="D100" t="str">
            <v>면</v>
          </cell>
          <cell r="E100" t="str">
            <v>관급자재</v>
          </cell>
          <cell r="L100" t="str">
            <v>내선</v>
          </cell>
          <cell r="M100">
            <v>0.85499999999999998</v>
          </cell>
        </row>
        <row r="101">
          <cell r="A101">
            <v>100</v>
          </cell>
          <cell r="B101" t="str">
            <v>분전반</v>
          </cell>
          <cell r="C101" t="str">
            <v>L-B-1</v>
          </cell>
          <cell r="D101" t="str">
            <v>면</v>
          </cell>
          <cell r="E101" t="str">
            <v>관급자재</v>
          </cell>
          <cell r="L101" t="str">
            <v>내선</v>
          </cell>
          <cell r="M101">
            <v>0.85499999999999998</v>
          </cell>
        </row>
        <row r="102">
          <cell r="A102">
            <v>101</v>
          </cell>
          <cell r="B102" t="str">
            <v>무선판넬(외함포함)</v>
          </cell>
          <cell r="C102" t="str">
            <v>투광등용</v>
          </cell>
          <cell r="D102" t="str">
            <v>면</v>
          </cell>
          <cell r="E102" t="str">
            <v>관급자재</v>
          </cell>
          <cell r="L102" t="str">
            <v>내선</v>
          </cell>
          <cell r="M102">
            <v>0.59399999999999997</v>
          </cell>
        </row>
        <row r="103">
          <cell r="A103">
            <v>81</v>
          </cell>
          <cell r="B103" t="str">
            <v>벽관통</v>
          </cell>
          <cell r="C103" t="str">
            <v>배관</v>
          </cell>
          <cell r="D103" t="str">
            <v>EA</v>
          </cell>
          <cell r="L103" t="str">
            <v>특별</v>
          </cell>
          <cell r="M103">
            <v>0.37</v>
          </cell>
        </row>
        <row r="104">
          <cell r="A104">
            <v>82</v>
          </cell>
          <cell r="B104" t="str">
            <v>철거</v>
          </cell>
          <cell r="C104" t="str">
            <v>MCCB 4P 100AF/100AT</v>
          </cell>
          <cell r="D104" t="str">
            <v>EA</v>
          </cell>
          <cell r="L104" t="str">
            <v>내선</v>
          </cell>
          <cell r="M104">
            <v>0.18</v>
          </cell>
        </row>
        <row r="105">
          <cell r="A105">
            <v>83</v>
          </cell>
          <cell r="B105" t="str">
            <v>철거</v>
          </cell>
          <cell r="C105" t="str">
            <v>콘센트</v>
          </cell>
          <cell r="D105" t="str">
            <v>개소</v>
          </cell>
          <cell r="L105" t="str">
            <v>내선</v>
          </cell>
          <cell r="M105">
            <v>2.4E-2</v>
          </cell>
        </row>
        <row r="106">
          <cell r="A106">
            <v>84</v>
          </cell>
          <cell r="B106" t="str">
            <v>철거</v>
          </cell>
          <cell r="C106" t="str">
            <v>멀티덕트</v>
          </cell>
          <cell r="D106" t="str">
            <v>M</v>
          </cell>
          <cell r="L106" t="str">
            <v>내선</v>
          </cell>
          <cell r="M106">
            <v>0.1</v>
          </cell>
        </row>
        <row r="107">
          <cell r="A107">
            <v>85</v>
          </cell>
          <cell r="B107" t="str">
            <v>철거</v>
          </cell>
          <cell r="C107" t="str">
            <v>매입형광등 FL 2/20W</v>
          </cell>
          <cell r="D107" t="str">
            <v>SET</v>
          </cell>
          <cell r="L107" t="str">
            <v>내선</v>
          </cell>
          <cell r="M107">
            <v>8.1000000000000003E-2</v>
          </cell>
        </row>
        <row r="108">
          <cell r="A108">
            <v>86</v>
          </cell>
          <cell r="B108" t="str">
            <v>철거</v>
          </cell>
          <cell r="C108" t="str">
            <v>매입형광등 FL 2/32W</v>
          </cell>
          <cell r="D108" t="str">
            <v>SET</v>
          </cell>
          <cell r="L108" t="str">
            <v>내선</v>
          </cell>
          <cell r="M108">
            <v>0.125</v>
          </cell>
        </row>
        <row r="109">
          <cell r="A109">
            <v>87</v>
          </cell>
          <cell r="B109" t="str">
            <v>철거</v>
          </cell>
          <cell r="C109" t="str">
            <v>칠판등 FL 1/32W</v>
          </cell>
          <cell r="D109" t="str">
            <v>SET</v>
          </cell>
          <cell r="L109" t="str">
            <v>내선</v>
          </cell>
          <cell r="M109">
            <v>6.6000000000000003E-2</v>
          </cell>
        </row>
        <row r="110">
          <cell r="A110">
            <v>88</v>
          </cell>
          <cell r="B110" t="str">
            <v>철거</v>
          </cell>
          <cell r="C110" t="str">
            <v>다운라이트 12W</v>
          </cell>
          <cell r="D110" t="str">
            <v>SET</v>
          </cell>
          <cell r="L110" t="str">
            <v>내선</v>
          </cell>
          <cell r="M110">
            <v>7.2999999999999995E-2</v>
          </cell>
        </row>
        <row r="111">
          <cell r="A111">
            <v>89</v>
          </cell>
          <cell r="B111" t="str">
            <v>철거</v>
          </cell>
          <cell r="C111" t="str">
            <v>S/W 1로 3구</v>
          </cell>
          <cell r="D111" t="str">
            <v>EA</v>
          </cell>
          <cell r="L111" t="str">
            <v>내선</v>
          </cell>
          <cell r="M111">
            <v>2.5000000000000001E-2</v>
          </cell>
        </row>
        <row r="112">
          <cell r="A112">
            <v>90</v>
          </cell>
          <cell r="B112" t="str">
            <v>철거</v>
          </cell>
          <cell r="C112" t="str">
            <v>선풍기</v>
          </cell>
          <cell r="D112" t="str">
            <v>EA</v>
          </cell>
          <cell r="L112" t="str">
            <v>내선</v>
          </cell>
          <cell r="M112">
            <v>0.15</v>
          </cell>
        </row>
        <row r="113">
          <cell r="A113">
            <v>91</v>
          </cell>
          <cell r="B113" t="str">
            <v>철거</v>
          </cell>
          <cell r="C113" t="str">
            <v>선풍기 조절기</v>
          </cell>
          <cell r="D113" t="str">
            <v>EA</v>
          </cell>
          <cell r="L113" t="str">
            <v>내선</v>
          </cell>
          <cell r="M113">
            <v>2.5000000000000001E-2</v>
          </cell>
        </row>
        <row r="114">
          <cell r="A114">
            <v>92</v>
          </cell>
          <cell r="B114" t="str">
            <v>철거후 재설치</v>
          </cell>
          <cell r="C114" t="str">
            <v>선풍기</v>
          </cell>
          <cell r="D114" t="str">
            <v>EA</v>
          </cell>
          <cell r="L114" t="str">
            <v>내선</v>
          </cell>
          <cell r="M114">
            <v>0.75</v>
          </cell>
        </row>
        <row r="115">
          <cell r="A115">
            <v>93</v>
          </cell>
          <cell r="B115" t="str">
            <v>철거후 재설치</v>
          </cell>
          <cell r="C115" t="str">
            <v>선풍기 조절기</v>
          </cell>
          <cell r="D115" t="str">
            <v>EA</v>
          </cell>
          <cell r="L115" t="str">
            <v>내선</v>
          </cell>
          <cell r="M115">
            <v>0.127</v>
          </cell>
        </row>
        <row r="116">
          <cell r="A116">
            <v>102</v>
          </cell>
          <cell r="B116" t="str">
            <v>덕트 지지 (천장)</v>
          </cell>
          <cell r="C116" t="str">
            <v>W100</v>
          </cell>
          <cell r="D116" t="str">
            <v>개소</v>
          </cell>
          <cell r="E116" t="str">
            <v>일위대가표</v>
          </cell>
          <cell r="M116">
            <v>0</v>
          </cell>
        </row>
        <row r="117">
          <cell r="A117">
            <v>103</v>
          </cell>
          <cell r="B117" t="str">
            <v>덕트 지지 (수직)</v>
          </cell>
          <cell r="C117" t="str">
            <v>W100</v>
          </cell>
          <cell r="D117" t="str">
            <v>개소</v>
          </cell>
          <cell r="E117" t="str">
            <v>일위대가표</v>
          </cell>
          <cell r="M117">
            <v>0</v>
          </cell>
        </row>
        <row r="118">
          <cell r="A118">
            <v>104</v>
          </cell>
          <cell r="B118" t="str">
            <v>접지공사</v>
          </cell>
          <cell r="C118" t="str">
            <v>1본</v>
          </cell>
          <cell r="D118" t="str">
            <v>개소</v>
          </cell>
          <cell r="E118" t="str">
            <v>일위대가표</v>
          </cell>
        </row>
        <row r="119">
          <cell r="A119">
            <v>105</v>
          </cell>
          <cell r="B119" t="str">
            <v>접지공사</v>
          </cell>
          <cell r="C119" t="str">
            <v>4본</v>
          </cell>
          <cell r="D119" t="str">
            <v>개소</v>
          </cell>
          <cell r="E119" t="str">
            <v>일위대가표</v>
          </cell>
        </row>
        <row r="120">
          <cell r="A120">
            <v>106</v>
          </cell>
          <cell r="B120" t="str">
            <v>기계터파기</v>
          </cell>
          <cell r="C120" t="str">
            <v>토사(인력+백호0.7)</v>
          </cell>
          <cell r="D120" t="str">
            <v>m3</v>
          </cell>
          <cell r="E120" t="str">
            <v>토목단가적용</v>
          </cell>
          <cell r="M120">
            <v>0</v>
          </cell>
        </row>
        <row r="121">
          <cell r="A121">
            <v>107</v>
          </cell>
          <cell r="B121" t="str">
            <v>기계되메우기</v>
          </cell>
          <cell r="C121" t="str">
            <v>토사(인력+백호0.7)</v>
          </cell>
          <cell r="D121" t="str">
            <v>m3</v>
          </cell>
          <cell r="E121" t="str">
            <v>토목단가적용</v>
          </cell>
          <cell r="M121">
            <v>0</v>
          </cell>
        </row>
        <row r="122">
          <cell r="A122">
            <v>108</v>
          </cell>
          <cell r="B122" t="str">
            <v>아스콘포장절단</v>
          </cell>
          <cell r="C122" t="str">
            <v>캇타 D=320~400</v>
          </cell>
          <cell r="D122" t="str">
            <v>m</v>
          </cell>
          <cell r="E122" t="str">
            <v>토목단가적용</v>
          </cell>
          <cell r="M122">
            <v>0</v>
          </cell>
        </row>
        <row r="123">
          <cell r="A123">
            <v>109</v>
          </cell>
          <cell r="B123" t="str">
            <v>아스콘포장깨기(30cm이상)</v>
          </cell>
          <cell r="C123" t="str">
            <v>백호0.4m3+브레이카</v>
          </cell>
          <cell r="D123" t="str">
            <v>m3</v>
          </cell>
          <cell r="E123" t="str">
            <v>토목단가적용</v>
          </cell>
          <cell r="M123">
            <v>0</v>
          </cell>
        </row>
        <row r="124">
          <cell r="A124">
            <v>110</v>
          </cell>
          <cell r="B124" t="str">
            <v>아스콘 포장</v>
          </cell>
          <cell r="D124" t="str">
            <v>a</v>
          </cell>
          <cell r="E124" t="str">
            <v>토목단가적용</v>
          </cell>
          <cell r="M124">
            <v>0</v>
          </cell>
        </row>
        <row r="125">
          <cell r="A125">
            <v>111</v>
          </cell>
          <cell r="B125" t="str">
            <v>보도블럭걷기</v>
          </cell>
          <cell r="C125" t="str">
            <v>(인력)</v>
          </cell>
          <cell r="D125" t="str">
            <v>m2</v>
          </cell>
          <cell r="E125" t="str">
            <v>토목단가적용</v>
          </cell>
          <cell r="M125">
            <v>0</v>
          </cell>
        </row>
        <row r="126">
          <cell r="A126">
            <v>112</v>
          </cell>
          <cell r="B126" t="str">
            <v>보도블럭포장</v>
          </cell>
          <cell r="C126" t="str">
            <v>(소형고압블럭)T=6cm</v>
          </cell>
          <cell r="D126" t="str">
            <v>m2</v>
          </cell>
          <cell r="E126" t="str">
            <v>토목단가적용</v>
          </cell>
          <cell r="M126">
            <v>0</v>
          </cell>
        </row>
        <row r="127">
          <cell r="M127">
            <v>0</v>
          </cell>
        </row>
        <row r="128">
          <cell r="M128">
            <v>0</v>
          </cell>
        </row>
        <row r="129">
          <cell r="M129">
            <v>0</v>
          </cell>
        </row>
        <row r="130">
          <cell r="M130">
            <v>0</v>
          </cell>
        </row>
        <row r="131">
          <cell r="M131">
            <v>0</v>
          </cell>
        </row>
        <row r="132">
          <cell r="M132">
            <v>0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M138">
            <v>0</v>
          </cell>
        </row>
        <row r="139">
          <cell r="M139">
            <v>0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0</v>
          </cell>
        </row>
        <row r="144">
          <cell r="M144">
            <v>0</v>
          </cell>
        </row>
      </sheetData>
      <sheetData sheetId="8"/>
      <sheetData sheetId="9"/>
      <sheetData sheetId="10"/>
      <sheetData sheetId="11"/>
      <sheetData sheetId="12"/>
      <sheetData sheetId="13">
        <row r="2">
          <cell r="A2" t="str">
            <v>내선</v>
          </cell>
          <cell r="B2" t="str">
            <v>내선전공</v>
          </cell>
          <cell r="C2">
            <v>169202</v>
          </cell>
        </row>
        <row r="3">
          <cell r="A3" t="str">
            <v>통내</v>
          </cell>
          <cell r="B3" t="str">
            <v>통신내선공</v>
          </cell>
          <cell r="C3">
            <v>160672</v>
          </cell>
        </row>
        <row r="4">
          <cell r="A4" t="str">
            <v>통설</v>
          </cell>
          <cell r="B4" t="str">
            <v>통신설비공</v>
          </cell>
          <cell r="C4">
            <v>175822</v>
          </cell>
        </row>
        <row r="5">
          <cell r="A5" t="str">
            <v>통케</v>
          </cell>
          <cell r="B5" t="str">
            <v>통신케이블공</v>
          </cell>
          <cell r="C5">
            <v>254897</v>
          </cell>
        </row>
        <row r="6">
          <cell r="A6" t="str">
            <v>저케</v>
          </cell>
          <cell r="B6" t="str">
            <v>저압케이블공</v>
          </cell>
          <cell r="C6">
            <v>199868</v>
          </cell>
        </row>
        <row r="7">
          <cell r="A7" t="str">
            <v>특케</v>
          </cell>
          <cell r="B7" t="str">
            <v>특고케이블공</v>
          </cell>
          <cell r="C7">
            <v>264903</v>
          </cell>
        </row>
        <row r="8">
          <cell r="A8" t="str">
            <v>보인</v>
          </cell>
          <cell r="B8" t="str">
            <v>보통인부</v>
          </cell>
          <cell r="C8">
            <v>94338</v>
          </cell>
        </row>
        <row r="9">
          <cell r="A9" t="str">
            <v>특별</v>
          </cell>
          <cell r="B9" t="str">
            <v>특별인부</v>
          </cell>
          <cell r="C9">
            <v>115272</v>
          </cell>
        </row>
        <row r="10">
          <cell r="A10" t="str">
            <v>배전</v>
          </cell>
          <cell r="B10" t="str">
            <v>배전전공</v>
          </cell>
          <cell r="C10">
            <v>274706</v>
          </cell>
        </row>
        <row r="11">
          <cell r="A11" t="str">
            <v>전산</v>
          </cell>
          <cell r="B11" t="str">
            <v>전기공사산업기사</v>
          </cell>
          <cell r="C11">
            <v>151967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집계"/>
      <sheetName val="정산내역"/>
      <sheetName val="data"/>
    </sheetNames>
    <sheetDataSet>
      <sheetData sheetId="0" refreshError="1"/>
      <sheetData sheetId="1" refreshError="1"/>
      <sheetData sheetId="2" refreshError="1">
        <row r="1">
          <cell r="A1" t="str">
            <v>cord</v>
          </cell>
          <cell r="B1" t="str">
            <v>공   종</v>
          </cell>
          <cell r="C1" t="str">
            <v>규격</v>
          </cell>
          <cell r="D1" t="str">
            <v>단가</v>
          </cell>
          <cell r="E1" t="str">
            <v>요  율</v>
          </cell>
        </row>
        <row r="2">
          <cell r="A2">
            <v>0</v>
          </cell>
          <cell r="B2" t="str">
            <v>지입재료비</v>
          </cell>
        </row>
        <row r="3">
          <cell r="A3">
            <v>1</v>
          </cell>
          <cell r="C3" t="str">
            <v>열쇠</v>
          </cell>
          <cell r="D3">
            <v>1200</v>
          </cell>
          <cell r="F3" t="str">
            <v>개</v>
          </cell>
        </row>
        <row r="4">
          <cell r="A4">
            <v>2</v>
          </cell>
          <cell r="C4" t="str">
            <v>모래 (되메우기)</v>
          </cell>
          <cell r="D4">
            <v>9000</v>
          </cell>
          <cell r="E4" t="str">
            <v>할증1.276</v>
          </cell>
          <cell r="F4" t="str">
            <v>개</v>
          </cell>
        </row>
        <row r="5">
          <cell r="A5">
            <v>3</v>
          </cell>
          <cell r="C5" t="str">
            <v>잡석 4-40-200</v>
          </cell>
          <cell r="D5">
            <v>6600</v>
          </cell>
          <cell r="E5" t="str">
            <v>할증1.12</v>
          </cell>
          <cell r="F5" t="str">
            <v>개</v>
          </cell>
        </row>
        <row r="6">
          <cell r="A6">
            <v>4</v>
          </cell>
          <cell r="C6" t="str">
            <v>세트앙카</v>
          </cell>
          <cell r="D6">
            <v>150</v>
          </cell>
          <cell r="F6" t="str">
            <v>개</v>
          </cell>
        </row>
        <row r="7">
          <cell r="A7">
            <v>5</v>
          </cell>
          <cell r="C7" t="str">
            <v>상표시찰</v>
          </cell>
          <cell r="D7">
            <v>500</v>
          </cell>
          <cell r="F7" t="str">
            <v>개</v>
          </cell>
        </row>
        <row r="8">
          <cell r="A8">
            <v>6</v>
          </cell>
          <cell r="C8" t="str">
            <v>레미콘 40*135*8</v>
          </cell>
          <cell r="D8">
            <v>32246</v>
          </cell>
          <cell r="F8" t="str">
            <v>개</v>
          </cell>
        </row>
        <row r="9">
          <cell r="A9">
            <v>7</v>
          </cell>
          <cell r="C9" t="str">
            <v>레미콘 20*210*8</v>
          </cell>
          <cell r="D9">
            <v>40472</v>
          </cell>
          <cell r="F9" t="str">
            <v>개</v>
          </cell>
        </row>
        <row r="10">
          <cell r="A10">
            <v>8</v>
          </cell>
          <cell r="C10" t="str">
            <v>전산번호찰</v>
          </cell>
          <cell r="D10">
            <v>1500</v>
          </cell>
          <cell r="F10" t="str">
            <v>개</v>
          </cell>
        </row>
        <row r="11">
          <cell r="A11">
            <v>9</v>
          </cell>
          <cell r="C11" t="str">
            <v>선로명시찰</v>
          </cell>
          <cell r="D11">
            <v>1000</v>
          </cell>
          <cell r="F11" t="str">
            <v>개</v>
          </cell>
        </row>
        <row r="12">
          <cell r="A12">
            <v>10</v>
          </cell>
          <cell r="C12" t="str">
            <v>접속자명찰</v>
          </cell>
          <cell r="D12">
            <v>2000</v>
          </cell>
        </row>
        <row r="13">
          <cell r="A13">
            <v>11</v>
          </cell>
          <cell r="C13" t="str">
            <v>600V 비닐전선 22SQ</v>
          </cell>
        </row>
        <row r="14">
          <cell r="A14">
            <v>12</v>
          </cell>
          <cell r="C14" t="str">
            <v>600V 비닐전선 38SQ</v>
          </cell>
          <cell r="D14">
            <v>1100</v>
          </cell>
        </row>
        <row r="15">
          <cell r="A15">
            <v>13</v>
          </cell>
          <cell r="C15" t="str">
            <v>600V 비닐전선 60SQ</v>
          </cell>
          <cell r="D15">
            <v>1730</v>
          </cell>
        </row>
        <row r="16">
          <cell r="A16">
            <v>14</v>
          </cell>
          <cell r="C16" t="str">
            <v>WO 전선 22SQ</v>
          </cell>
        </row>
        <row r="17">
          <cell r="A17">
            <v>15</v>
          </cell>
          <cell r="C17" t="str">
            <v>WO 전선 38SQ</v>
          </cell>
          <cell r="D17">
            <v>980</v>
          </cell>
        </row>
        <row r="18">
          <cell r="A18">
            <v>16</v>
          </cell>
          <cell r="C18" t="str">
            <v>WO 전선 60SQ</v>
          </cell>
          <cell r="D18">
            <v>351436</v>
          </cell>
        </row>
        <row r="19">
          <cell r="A19">
            <v>17</v>
          </cell>
          <cell r="C19" t="str">
            <v>케이블표지시트</v>
          </cell>
          <cell r="D19">
            <v>65</v>
          </cell>
        </row>
        <row r="20">
          <cell r="A20">
            <v>18</v>
          </cell>
          <cell r="C20" t="str">
            <v>이형철근D-10</v>
          </cell>
          <cell r="D20">
            <v>241301</v>
          </cell>
        </row>
        <row r="21">
          <cell r="A21">
            <v>19</v>
          </cell>
          <cell r="C21" t="str">
            <v>이형철근D-16</v>
          </cell>
          <cell r="D21">
            <v>233332</v>
          </cell>
        </row>
        <row r="22">
          <cell r="A22">
            <v>20</v>
          </cell>
          <cell r="C22" t="str">
            <v>맨홀용발판볼트</v>
          </cell>
          <cell r="D22">
            <v>1100</v>
          </cell>
        </row>
        <row r="23">
          <cell r="A23">
            <v>21</v>
          </cell>
          <cell r="C23" t="str">
            <v>맨홀용사다리L=1700(H/H용)</v>
          </cell>
          <cell r="D23">
            <v>18600</v>
          </cell>
        </row>
        <row r="24">
          <cell r="A24">
            <v>22</v>
          </cell>
          <cell r="C24" t="str">
            <v>접지동봉</v>
          </cell>
          <cell r="D24">
            <v>3590</v>
          </cell>
        </row>
        <row r="25">
          <cell r="A25">
            <v>23</v>
          </cell>
          <cell r="C25" t="str">
            <v>리드단자</v>
          </cell>
          <cell r="D25">
            <v>1708</v>
          </cell>
        </row>
        <row r="26">
          <cell r="A26">
            <v>24</v>
          </cell>
          <cell r="C26" t="str">
            <v>청동볼트</v>
          </cell>
          <cell r="D26">
            <v>17000</v>
          </cell>
        </row>
        <row r="27">
          <cell r="A27">
            <v>25</v>
          </cell>
          <cell r="C27" t="str">
            <v>합성수지관로구몸체125</v>
          </cell>
          <cell r="D27">
            <v>14300</v>
          </cell>
        </row>
        <row r="28">
          <cell r="A28">
            <v>26</v>
          </cell>
          <cell r="C28" t="str">
            <v>합성수지관로구덮개125</v>
          </cell>
          <cell r="D28">
            <v>3500</v>
          </cell>
        </row>
        <row r="29">
          <cell r="A29">
            <v>27</v>
          </cell>
          <cell r="C29" t="str">
            <v>합성수지관로구몸체150</v>
          </cell>
          <cell r="D29">
            <v>18000</v>
          </cell>
        </row>
        <row r="30">
          <cell r="A30">
            <v>28</v>
          </cell>
          <cell r="C30" t="str">
            <v>합성수지관로구덮개150</v>
          </cell>
          <cell r="D30">
            <v>4300</v>
          </cell>
        </row>
        <row r="31">
          <cell r="A31">
            <v>29</v>
          </cell>
          <cell r="C31" t="str">
            <v>합성수지관로구몸체175</v>
          </cell>
          <cell r="D31">
            <v>19700</v>
          </cell>
        </row>
        <row r="32">
          <cell r="A32">
            <v>30</v>
          </cell>
          <cell r="C32" t="str">
            <v>합성수지관로구덮개175</v>
          </cell>
          <cell r="D32">
            <v>5500</v>
          </cell>
        </row>
        <row r="33">
          <cell r="A33">
            <v>31</v>
          </cell>
          <cell r="C33" t="str">
            <v>합성수지파형관아탑타125</v>
          </cell>
          <cell r="D33">
            <v>3000</v>
          </cell>
        </row>
        <row r="34">
          <cell r="A34">
            <v>32</v>
          </cell>
          <cell r="C34" t="str">
            <v>합성수지파형관아탑타150</v>
          </cell>
          <cell r="D34">
            <v>6000</v>
          </cell>
        </row>
        <row r="35">
          <cell r="A35">
            <v>33</v>
          </cell>
          <cell r="C35" t="str">
            <v>합성수지파형관아탑타175</v>
          </cell>
          <cell r="D35">
            <v>6000</v>
          </cell>
        </row>
        <row r="36">
          <cell r="A36">
            <v>34</v>
          </cell>
          <cell r="C36" t="str">
            <v>앵글형지지대AS=1100</v>
          </cell>
          <cell r="D36">
            <v>7050</v>
          </cell>
        </row>
        <row r="37">
          <cell r="A37">
            <v>35</v>
          </cell>
          <cell r="C37" t="str">
            <v>앵글형지지대AS=1500</v>
          </cell>
          <cell r="D37">
            <v>9600</v>
          </cell>
        </row>
        <row r="38">
          <cell r="A38">
            <v>36</v>
          </cell>
          <cell r="C38" t="str">
            <v>앵글형지지대L=1800</v>
          </cell>
          <cell r="D38">
            <v>11520</v>
          </cell>
        </row>
        <row r="39">
          <cell r="A39">
            <v>37</v>
          </cell>
          <cell r="C39" t="str">
            <v>I형항가260*40</v>
          </cell>
          <cell r="D39">
            <v>2200</v>
          </cell>
        </row>
        <row r="40">
          <cell r="A40">
            <v>38</v>
          </cell>
          <cell r="C40" t="str">
            <v>I형항가370*40</v>
          </cell>
          <cell r="D40">
            <v>2600</v>
          </cell>
        </row>
        <row r="41">
          <cell r="A41">
            <v>39</v>
          </cell>
          <cell r="C41" t="str">
            <v>I형항가460*50</v>
          </cell>
          <cell r="D41">
            <v>3400</v>
          </cell>
        </row>
        <row r="42">
          <cell r="A42">
            <v>40</v>
          </cell>
          <cell r="C42" t="str">
            <v>기역형항가앵글260*40</v>
          </cell>
          <cell r="D42">
            <v>2140</v>
          </cell>
        </row>
        <row r="43">
          <cell r="A43">
            <v>41</v>
          </cell>
          <cell r="C43" t="str">
            <v>기역형항가앵글370*40</v>
          </cell>
          <cell r="D43">
            <v>2770</v>
          </cell>
        </row>
        <row r="44">
          <cell r="A44">
            <v>42</v>
          </cell>
          <cell r="C44" t="str">
            <v>기역형항가앵글460*50</v>
          </cell>
          <cell r="D44">
            <v>4200</v>
          </cell>
        </row>
        <row r="45">
          <cell r="A45">
            <v>43</v>
          </cell>
          <cell r="C45" t="str">
            <v>I형항가실린더형260*40</v>
          </cell>
          <cell r="D45">
            <v>4390</v>
          </cell>
        </row>
        <row r="46">
          <cell r="A46">
            <v>44</v>
          </cell>
          <cell r="C46" t="str">
            <v>I형항가실린더형370*40</v>
          </cell>
          <cell r="D46">
            <v>4480</v>
          </cell>
        </row>
        <row r="47">
          <cell r="A47">
            <v>45</v>
          </cell>
          <cell r="C47" t="str">
            <v>I형항가실린더형460*50</v>
          </cell>
          <cell r="D47">
            <v>5100</v>
          </cell>
        </row>
        <row r="48">
          <cell r="A48">
            <v>46</v>
          </cell>
          <cell r="C48" t="str">
            <v>지지대(실린더)L=1600</v>
          </cell>
          <cell r="D48">
            <v>37000</v>
          </cell>
        </row>
        <row r="49">
          <cell r="A49">
            <v>47</v>
          </cell>
          <cell r="C49" t="str">
            <v>지지대(실린더)L=1800</v>
          </cell>
          <cell r="D49">
            <v>39700</v>
          </cell>
        </row>
        <row r="50">
          <cell r="A50">
            <v>48</v>
          </cell>
          <cell r="C50" t="str">
            <v>지지대(실린더)L=2000</v>
          </cell>
          <cell r="D50">
            <v>40200</v>
          </cell>
        </row>
        <row r="51">
          <cell r="A51">
            <v>49</v>
          </cell>
          <cell r="C51" t="str">
            <v>지지대(실린더)L=2200</v>
          </cell>
          <cell r="D51">
            <v>41500</v>
          </cell>
        </row>
        <row r="52">
          <cell r="A52">
            <v>50</v>
          </cell>
          <cell r="C52" t="str">
            <v>케이블크리트C-D3선조</v>
          </cell>
          <cell r="D52">
            <v>1573</v>
          </cell>
        </row>
        <row r="53">
          <cell r="A53">
            <v>51</v>
          </cell>
          <cell r="C53" t="str">
            <v>케이블크리트3구25*150</v>
          </cell>
          <cell r="D53">
            <v>1240</v>
          </cell>
        </row>
        <row r="54">
          <cell r="A54">
            <v>52</v>
          </cell>
          <cell r="C54" t="str">
            <v>케이블크리트3구25*240</v>
          </cell>
          <cell r="D54">
            <v>1560</v>
          </cell>
        </row>
        <row r="55">
          <cell r="A55">
            <v>53</v>
          </cell>
          <cell r="C55" t="str">
            <v>케이블지지금구220</v>
          </cell>
          <cell r="D55">
            <v>36000</v>
          </cell>
        </row>
        <row r="56">
          <cell r="A56">
            <v>54</v>
          </cell>
          <cell r="C56" t="str">
            <v>전주용입상관130*2.2</v>
          </cell>
          <cell r="D56">
            <v>10000</v>
          </cell>
        </row>
        <row r="57">
          <cell r="A57">
            <v>55</v>
          </cell>
          <cell r="C57" t="str">
            <v>훅  크(맨홀용)100*250</v>
          </cell>
          <cell r="D57">
            <v>6590</v>
          </cell>
        </row>
        <row r="58">
          <cell r="A58">
            <v>56</v>
          </cell>
          <cell r="C58" t="str">
            <v>맨홀뚜껑750*250(원형)</v>
          </cell>
          <cell r="D58">
            <v>253608</v>
          </cell>
        </row>
        <row r="59">
          <cell r="A59">
            <v>57</v>
          </cell>
          <cell r="C59" t="str">
            <v>조립식반활관</v>
          </cell>
          <cell r="D59">
            <v>28500</v>
          </cell>
        </row>
        <row r="60">
          <cell r="A60">
            <v>58</v>
          </cell>
          <cell r="C60" t="str">
            <v>케이블입상용반활관</v>
          </cell>
          <cell r="D60">
            <v>58980</v>
          </cell>
        </row>
        <row r="61">
          <cell r="A61">
            <v>59</v>
          </cell>
          <cell r="C61" t="str">
            <v>강새들SS-2</v>
          </cell>
          <cell r="D61">
            <v>840</v>
          </cell>
        </row>
        <row r="62">
          <cell r="A62">
            <v>60</v>
          </cell>
          <cell r="C62" t="str">
            <v>강새들SS-3</v>
          </cell>
          <cell r="D62">
            <v>1000</v>
          </cell>
        </row>
        <row r="63">
          <cell r="A63">
            <v>61</v>
          </cell>
          <cell r="C63" t="str">
            <v>튜브방수장치125-60</v>
          </cell>
          <cell r="D63">
            <v>32000</v>
          </cell>
        </row>
        <row r="64">
          <cell r="A64">
            <v>62</v>
          </cell>
          <cell r="C64" t="str">
            <v>튜브방수장치175-60</v>
          </cell>
          <cell r="D64">
            <v>39000</v>
          </cell>
        </row>
        <row r="65">
          <cell r="A65">
            <v>63</v>
          </cell>
          <cell r="C65" t="str">
            <v>튜브방수장치175-325</v>
          </cell>
          <cell r="D65">
            <v>39000</v>
          </cell>
        </row>
        <row r="66">
          <cell r="A66">
            <v>64</v>
          </cell>
          <cell r="C66" t="str">
            <v>600V CV케이블22SQ</v>
          </cell>
          <cell r="D66">
            <v>777</v>
          </cell>
        </row>
        <row r="67">
          <cell r="A67">
            <v>65</v>
          </cell>
          <cell r="C67" t="str">
            <v>600V CV케이블38SQ</v>
          </cell>
          <cell r="D67">
            <v>1163</v>
          </cell>
        </row>
        <row r="68">
          <cell r="A68">
            <v>66</v>
          </cell>
          <cell r="C68" t="str">
            <v>600V CV케이블60SQ</v>
          </cell>
          <cell r="D68">
            <v>1784</v>
          </cell>
        </row>
        <row r="69">
          <cell r="A69">
            <v>67</v>
          </cell>
          <cell r="C69" t="str">
            <v>튜브방수장치150*60</v>
          </cell>
          <cell r="D69">
            <v>32000</v>
          </cell>
        </row>
        <row r="70">
          <cell r="A70">
            <v>68</v>
          </cell>
          <cell r="C70" t="str">
            <v>변압기기초대T-1B</v>
          </cell>
          <cell r="D70">
            <v>269980</v>
          </cell>
        </row>
        <row r="71">
          <cell r="A71">
            <v>69</v>
          </cell>
          <cell r="C71" t="str">
            <v>변압기기초대T-1H</v>
          </cell>
          <cell r="D71">
            <v>289890</v>
          </cell>
        </row>
        <row r="72">
          <cell r="A72">
            <v>70</v>
          </cell>
          <cell r="C72" t="str">
            <v>변압기기초대T-3L</v>
          </cell>
          <cell r="D72">
            <v>312120</v>
          </cell>
        </row>
        <row r="73">
          <cell r="A73">
            <v>71</v>
          </cell>
          <cell r="C73" t="str">
            <v>변압기기초대T-3U</v>
          </cell>
          <cell r="D73">
            <v>318250</v>
          </cell>
        </row>
        <row r="74">
          <cell r="A74">
            <v>72</v>
          </cell>
          <cell r="C74" t="str">
            <v>개폐기기초대S-O</v>
          </cell>
          <cell r="D74">
            <v>342910</v>
          </cell>
        </row>
        <row r="75">
          <cell r="A75">
            <v>73</v>
          </cell>
          <cell r="C75" t="str">
            <v>흄관용아탑타200</v>
          </cell>
          <cell r="D75">
            <v>6000</v>
          </cell>
        </row>
        <row r="76">
          <cell r="A76">
            <v>74</v>
          </cell>
          <cell r="C76" t="str">
            <v>맨홀용사다리L=2300(M/H용)</v>
          </cell>
          <cell r="D76">
            <v>23800</v>
          </cell>
        </row>
        <row r="77">
          <cell r="A77">
            <v>75</v>
          </cell>
          <cell r="C77" t="str">
            <v>맨홀용물받이300*H350</v>
          </cell>
          <cell r="D77">
            <v>19000</v>
          </cell>
        </row>
        <row r="78">
          <cell r="A78">
            <v>76</v>
          </cell>
          <cell r="C78" t="str">
            <v>합성수지파형관100MM</v>
          </cell>
          <cell r="D78">
            <v>1830</v>
          </cell>
        </row>
        <row r="79">
          <cell r="A79">
            <v>77</v>
          </cell>
          <cell r="C79" t="str">
            <v>합성수지파형관125MM</v>
          </cell>
          <cell r="D79">
            <v>2388</v>
          </cell>
        </row>
        <row r="80">
          <cell r="A80">
            <v>78</v>
          </cell>
          <cell r="C80" t="str">
            <v>합성수지파형관150MM</v>
          </cell>
          <cell r="D80">
            <v>3044</v>
          </cell>
        </row>
        <row r="81">
          <cell r="A81">
            <v>79</v>
          </cell>
          <cell r="C81" t="str">
            <v>합성수지파형관175MM</v>
          </cell>
          <cell r="D81">
            <v>4497</v>
          </cell>
        </row>
        <row r="82">
          <cell r="A82">
            <v>80</v>
          </cell>
          <cell r="C82" t="str">
            <v>합성수지이음관125MM</v>
          </cell>
          <cell r="D82">
            <v>2238</v>
          </cell>
        </row>
        <row r="83">
          <cell r="A83">
            <v>81</v>
          </cell>
          <cell r="C83" t="str">
            <v>합성수지이음관150MM</v>
          </cell>
          <cell r="D83">
            <v>2955</v>
          </cell>
        </row>
        <row r="84">
          <cell r="A84">
            <v>82</v>
          </cell>
          <cell r="C84" t="str">
            <v>합성수지이음관175MM</v>
          </cell>
          <cell r="D84">
            <v>4885</v>
          </cell>
        </row>
        <row r="85">
          <cell r="A85">
            <v>83</v>
          </cell>
          <cell r="C85" t="str">
            <v>지중케이블용강관200*6</v>
          </cell>
          <cell r="D85">
            <v>103000</v>
          </cell>
        </row>
        <row r="86">
          <cell r="A86">
            <v>84</v>
          </cell>
          <cell r="C86" t="str">
            <v>강관접속용스리브200</v>
          </cell>
          <cell r="D86">
            <v>3480</v>
          </cell>
        </row>
        <row r="87">
          <cell r="A87">
            <v>85</v>
          </cell>
          <cell r="C87" t="str">
            <v>이형철근D-13</v>
          </cell>
          <cell r="D87">
            <v>237317</v>
          </cell>
        </row>
        <row r="88">
          <cell r="A88">
            <v>86</v>
          </cell>
          <cell r="C88" t="str">
            <v>자갈#467-40-50</v>
          </cell>
          <cell r="D88">
            <v>8000</v>
          </cell>
        </row>
        <row r="89">
          <cell r="A89">
            <v>87</v>
          </cell>
          <cell r="C89" t="str">
            <v>포틀랜드시멘트1종보통</v>
          </cell>
          <cell r="D89">
            <v>1879</v>
          </cell>
        </row>
        <row r="90">
          <cell r="A90">
            <v>88</v>
          </cell>
          <cell r="C90" t="str">
            <v>레미콘40*210*8</v>
          </cell>
          <cell r="D90">
            <v>38389</v>
          </cell>
        </row>
        <row r="91">
          <cell r="A91">
            <v>89</v>
          </cell>
          <cell r="C91" t="str">
            <v>멤브레인클로스</v>
          </cell>
          <cell r="D91">
            <v>525</v>
          </cell>
        </row>
        <row r="92">
          <cell r="A92">
            <v>90</v>
          </cell>
          <cell r="C92" t="str">
            <v>보호재(폴리에틸렌품)</v>
          </cell>
          <cell r="D92">
            <v>3000</v>
          </cell>
        </row>
        <row r="93">
          <cell r="A93">
            <v>91</v>
          </cell>
          <cell r="C93" t="str">
            <v>도막시멘트페이스트</v>
          </cell>
          <cell r="D93">
            <v>600</v>
          </cell>
        </row>
        <row r="94">
          <cell r="A94">
            <v>92</v>
          </cell>
          <cell r="C94" t="str">
            <v>고무아스팔트에멜젼</v>
          </cell>
          <cell r="D94">
            <v>1800</v>
          </cell>
        </row>
        <row r="95">
          <cell r="A95">
            <v>93</v>
          </cell>
          <cell r="C95" t="str">
            <v>GROUNDING        KIT</v>
          </cell>
          <cell r="D95">
            <v>4600</v>
          </cell>
        </row>
        <row r="96">
          <cell r="A96">
            <v>94</v>
          </cell>
          <cell r="C96" t="str">
            <v>이형철근D-22</v>
          </cell>
          <cell r="D96">
            <v>233332</v>
          </cell>
        </row>
        <row r="97">
          <cell r="A97">
            <v>95</v>
          </cell>
          <cell r="C97" t="str">
            <v>앵글형지지대  L=1800</v>
          </cell>
          <cell r="D97">
            <v>5130</v>
          </cell>
        </row>
        <row r="98">
          <cell r="A98">
            <v>96</v>
          </cell>
          <cell r="C98" t="str">
            <v>맨홀뚜껑  880*360(각형)</v>
          </cell>
          <cell r="D98">
            <v>151190</v>
          </cell>
        </row>
        <row r="99">
          <cell r="A99">
            <v>97</v>
          </cell>
          <cell r="C99" t="str">
            <v>합성수지파형이음관100MM</v>
          </cell>
        </row>
        <row r="100">
          <cell r="A100">
            <v>98</v>
          </cell>
          <cell r="C100" t="str">
            <v>지중선로표시기  직선방향UM-1</v>
          </cell>
          <cell r="D100">
            <v>3860</v>
          </cell>
        </row>
        <row r="101">
          <cell r="A101">
            <v>99</v>
          </cell>
          <cell r="C101" t="str">
            <v>케이블접속장치 2TS</v>
          </cell>
          <cell r="D101">
            <v>64680</v>
          </cell>
        </row>
        <row r="102">
          <cell r="A102">
            <v>100</v>
          </cell>
          <cell r="C102" t="str">
            <v>케이블접속장치 4TS</v>
          </cell>
          <cell r="D102">
            <v>123480</v>
          </cell>
        </row>
        <row r="103">
          <cell r="A103">
            <v>101</v>
          </cell>
          <cell r="C103" t="str">
            <v>동관단자  22SQ</v>
          </cell>
          <cell r="D103">
            <v>350</v>
          </cell>
        </row>
        <row r="104">
          <cell r="A104">
            <v>102</v>
          </cell>
          <cell r="C104" t="str">
            <v>동관단자  38SQ</v>
          </cell>
          <cell r="D104">
            <v>475</v>
          </cell>
        </row>
        <row r="105">
          <cell r="A105">
            <v>103</v>
          </cell>
          <cell r="C105" t="str">
            <v>동관단자  60SQ</v>
          </cell>
          <cell r="D105">
            <v>770</v>
          </cell>
        </row>
        <row r="106">
          <cell r="A106">
            <v>104</v>
          </cell>
          <cell r="C106" t="str">
            <v>개폐기압착터미널60-325SQ</v>
          </cell>
          <cell r="D106">
            <v>15000</v>
          </cell>
        </row>
        <row r="107">
          <cell r="A107">
            <v>105</v>
          </cell>
          <cell r="C107">
            <v>14</v>
          </cell>
        </row>
        <row r="108">
          <cell r="A108">
            <v>106</v>
          </cell>
          <cell r="C108">
            <v>15</v>
          </cell>
        </row>
        <row r="109">
          <cell r="A109">
            <v>107</v>
          </cell>
          <cell r="C109">
            <v>16</v>
          </cell>
        </row>
        <row r="110">
          <cell r="A110">
            <v>108</v>
          </cell>
          <cell r="C110">
            <v>17</v>
          </cell>
        </row>
        <row r="111">
          <cell r="A111">
            <v>109</v>
          </cell>
          <cell r="C111">
            <v>18</v>
          </cell>
        </row>
        <row r="112">
          <cell r="A112">
            <v>110</v>
          </cell>
          <cell r="C112">
            <v>19</v>
          </cell>
        </row>
        <row r="113">
          <cell r="A113">
            <v>111</v>
          </cell>
          <cell r="C113">
            <v>20</v>
          </cell>
        </row>
        <row r="114">
          <cell r="A114">
            <v>112</v>
          </cell>
          <cell r="C114">
            <v>21</v>
          </cell>
        </row>
        <row r="115">
          <cell r="A115">
            <v>113</v>
          </cell>
          <cell r="C115">
            <v>22</v>
          </cell>
        </row>
        <row r="116">
          <cell r="A116">
            <v>114</v>
          </cell>
          <cell r="B116" t="str">
            <v>잡 재 료 비</v>
          </cell>
        </row>
        <row r="117">
          <cell r="A117">
            <v>115</v>
          </cell>
          <cell r="B117" t="str">
            <v xml:space="preserve">관 로 신 설 </v>
          </cell>
        </row>
        <row r="118">
          <cell r="A118">
            <v>116</v>
          </cell>
          <cell r="C118" t="str">
            <v>토사터파기0.4백호우</v>
          </cell>
          <cell r="D118">
            <v>48</v>
          </cell>
        </row>
        <row r="119">
          <cell r="A119">
            <v>117</v>
          </cell>
          <cell r="C119" t="str">
            <v>토사터파기0.4백호우</v>
          </cell>
          <cell r="D119">
            <v>62</v>
          </cell>
        </row>
        <row r="120">
          <cell r="A120">
            <v>118</v>
          </cell>
          <cell r="C120" t="str">
            <v>토사터파기0.7백호우</v>
          </cell>
          <cell r="D120">
            <v>71</v>
          </cell>
        </row>
        <row r="121">
          <cell r="A121">
            <v>119</v>
          </cell>
          <cell r="C121" t="str">
            <v>모래되메우기다지기인력</v>
          </cell>
          <cell r="D121">
            <v>2435</v>
          </cell>
        </row>
        <row r="122">
          <cell r="A122">
            <v>120</v>
          </cell>
          <cell r="C122" t="str">
            <v>모래되메우기다지기기계</v>
          </cell>
          <cell r="D122">
            <v>2469</v>
          </cell>
        </row>
        <row r="123">
          <cell r="A123">
            <v>121</v>
          </cell>
          <cell r="C123" t="str">
            <v>원토되메우기다지기기계</v>
          </cell>
          <cell r="D123">
            <v>34</v>
          </cell>
        </row>
        <row r="124">
          <cell r="A124">
            <v>122</v>
          </cell>
          <cell r="C124" t="str">
            <v>원토되메우기다지기인력</v>
          </cell>
        </row>
        <row r="125">
          <cell r="A125">
            <v>123</v>
          </cell>
          <cell r="C125" t="str">
            <v>잔토처리기계보통토0.4</v>
          </cell>
          <cell r="D125">
            <v>171</v>
          </cell>
        </row>
        <row r="126">
          <cell r="A126">
            <v>124</v>
          </cell>
          <cell r="C126" t="str">
            <v>잔토처리기계보통토0.4</v>
          </cell>
          <cell r="D126">
            <v>217</v>
          </cell>
        </row>
        <row r="127">
          <cell r="A127">
            <v>125</v>
          </cell>
          <cell r="C127" t="str">
            <v>잔토처리기계견질토0.4</v>
          </cell>
          <cell r="D127">
            <v>228</v>
          </cell>
        </row>
        <row r="128">
          <cell r="A128">
            <v>126</v>
          </cell>
          <cell r="C128" t="str">
            <v>잔토처리기계견질토0.4</v>
          </cell>
          <cell r="D128">
            <v>474</v>
          </cell>
        </row>
        <row r="129">
          <cell r="A129">
            <v>127</v>
          </cell>
          <cell r="C129" t="str">
            <v>잔토처리기계견질토0.4</v>
          </cell>
          <cell r="D129">
            <v>506</v>
          </cell>
        </row>
        <row r="130">
          <cell r="A130">
            <v>128</v>
          </cell>
          <cell r="C130" t="str">
            <v>잔토처리인력AS</v>
          </cell>
          <cell r="D130">
            <v>89</v>
          </cell>
        </row>
        <row r="131">
          <cell r="A131">
            <v>129</v>
          </cell>
          <cell r="C131" t="str">
            <v>잔토처리인력보통토</v>
          </cell>
          <cell r="D131">
            <v>69</v>
          </cell>
        </row>
        <row r="132">
          <cell r="A132">
            <v>130</v>
          </cell>
          <cell r="C132" t="str">
            <v>잔토처리기계AS0.7</v>
          </cell>
          <cell r="D132">
            <v>2949</v>
          </cell>
        </row>
        <row r="133">
          <cell r="A133">
            <v>131</v>
          </cell>
          <cell r="C133" t="str">
            <v>잔토처리기계고사토0.7</v>
          </cell>
          <cell r="D133">
            <v>2205</v>
          </cell>
        </row>
        <row r="134">
          <cell r="A134">
            <v>132</v>
          </cell>
          <cell r="C134" t="str">
            <v>잔토처리기계AS0.7</v>
          </cell>
          <cell r="D134">
            <v>409</v>
          </cell>
        </row>
        <row r="135">
          <cell r="A135">
            <v>133</v>
          </cell>
          <cell r="C135" t="str">
            <v>잔토처리기계경암0.7</v>
          </cell>
          <cell r="D135">
            <v>3222</v>
          </cell>
        </row>
        <row r="136">
          <cell r="A136">
            <v>134</v>
          </cell>
          <cell r="C136" t="str">
            <v>보도불럭철거및가복구</v>
          </cell>
          <cell r="D136">
            <v>123</v>
          </cell>
        </row>
        <row r="137">
          <cell r="A137">
            <v>135</v>
          </cell>
          <cell r="C137" t="str">
            <v>AS포장줄눈파기CUTTER</v>
          </cell>
          <cell r="D137">
            <v>246</v>
          </cell>
        </row>
        <row r="138">
          <cell r="A138">
            <v>136</v>
          </cell>
          <cell r="C138" t="str">
            <v>포장파기(AS)인력</v>
          </cell>
          <cell r="D138">
            <v>2691</v>
          </cell>
        </row>
        <row r="139">
          <cell r="A139">
            <v>137</v>
          </cell>
          <cell r="C139" t="str">
            <v>포장파기(AS)기계</v>
          </cell>
          <cell r="D139">
            <v>1328</v>
          </cell>
        </row>
        <row r="140">
          <cell r="A140">
            <v>138</v>
          </cell>
          <cell r="C140" t="str">
            <v>강관부설200동시4공</v>
          </cell>
          <cell r="D140">
            <v>13</v>
          </cell>
        </row>
        <row r="141">
          <cell r="A141">
            <v>139</v>
          </cell>
          <cell r="C141" t="str">
            <v>기초잡석부설</v>
          </cell>
          <cell r="D141">
            <v>2275</v>
          </cell>
        </row>
        <row r="142">
          <cell r="A142">
            <v>140</v>
          </cell>
          <cell r="C142" t="str">
            <v>콘크리트타설(인력)1:2:4</v>
          </cell>
          <cell r="D142">
            <v>2610</v>
          </cell>
        </row>
        <row r="143">
          <cell r="A143">
            <v>141</v>
          </cell>
          <cell r="C143" t="str">
            <v>거프집설치6회</v>
          </cell>
          <cell r="D143">
            <v>2064</v>
          </cell>
        </row>
        <row r="144">
          <cell r="A144">
            <v>142</v>
          </cell>
        </row>
        <row r="145">
          <cell r="A145">
            <v>143</v>
          </cell>
        </row>
        <row r="146">
          <cell r="A146">
            <v>144</v>
          </cell>
        </row>
        <row r="147">
          <cell r="A147">
            <v>145</v>
          </cell>
        </row>
        <row r="148">
          <cell r="A148">
            <v>146</v>
          </cell>
        </row>
        <row r="149">
          <cell r="A149">
            <v>147</v>
          </cell>
        </row>
        <row r="150">
          <cell r="A150">
            <v>148</v>
          </cell>
        </row>
        <row r="151">
          <cell r="A151">
            <v>149</v>
          </cell>
        </row>
        <row r="152">
          <cell r="A152">
            <v>150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</row>
        <row r="156">
          <cell r="A156">
            <v>154</v>
          </cell>
        </row>
        <row r="157">
          <cell r="A157">
            <v>155</v>
          </cell>
        </row>
        <row r="158">
          <cell r="A158">
            <v>156</v>
          </cell>
        </row>
        <row r="159">
          <cell r="A159">
            <v>157</v>
          </cell>
        </row>
        <row r="160">
          <cell r="A160">
            <v>158</v>
          </cell>
        </row>
        <row r="161">
          <cell r="A161">
            <v>159</v>
          </cell>
        </row>
        <row r="162">
          <cell r="A162">
            <v>160</v>
          </cell>
          <cell r="B162" t="str">
            <v>맨 홀 신 설</v>
          </cell>
        </row>
        <row r="163">
          <cell r="A163">
            <v>161</v>
          </cell>
          <cell r="C163" t="str">
            <v>토사더파기0.7백호우</v>
          </cell>
          <cell r="D163">
            <v>71</v>
          </cell>
        </row>
        <row r="164">
          <cell r="A164">
            <v>162</v>
          </cell>
          <cell r="C164" t="str">
            <v>토사더파기0.4백호우</v>
          </cell>
          <cell r="D164">
            <v>48</v>
          </cell>
        </row>
        <row r="165">
          <cell r="A165">
            <v>163</v>
          </cell>
          <cell r="C165" t="str">
            <v>토사더파기0.4백호우</v>
          </cell>
          <cell r="D165">
            <v>62</v>
          </cell>
        </row>
        <row r="166">
          <cell r="A166">
            <v>164</v>
          </cell>
          <cell r="C166" t="str">
            <v>모래되메우기다지기인력</v>
          </cell>
          <cell r="D166">
            <v>2435</v>
          </cell>
        </row>
        <row r="167">
          <cell r="A167">
            <v>165</v>
          </cell>
          <cell r="C167" t="str">
            <v>모래되메우기다지기기계</v>
          </cell>
          <cell r="D167">
            <v>2469</v>
          </cell>
        </row>
        <row r="168">
          <cell r="A168">
            <v>166</v>
          </cell>
          <cell r="C168" t="str">
            <v>원토되메우기다지기기계</v>
          </cell>
          <cell r="D168">
            <v>34</v>
          </cell>
        </row>
        <row r="169">
          <cell r="A169">
            <v>167</v>
          </cell>
          <cell r="C169" t="str">
            <v>원토되메우기다지기인력</v>
          </cell>
        </row>
        <row r="170">
          <cell r="A170">
            <v>168</v>
          </cell>
          <cell r="C170" t="str">
            <v>잔토처리기계경암0.7</v>
          </cell>
          <cell r="D170">
            <v>3222</v>
          </cell>
        </row>
        <row r="171">
          <cell r="A171">
            <v>169</v>
          </cell>
          <cell r="C171" t="str">
            <v>잔토처리기계보통토0.4</v>
          </cell>
          <cell r="D171">
            <v>171</v>
          </cell>
        </row>
        <row r="172">
          <cell r="A172">
            <v>170</v>
          </cell>
          <cell r="C172" t="str">
            <v>잔토처리기계견질토0.4</v>
          </cell>
          <cell r="D172">
            <v>228</v>
          </cell>
        </row>
        <row r="173">
          <cell r="A173">
            <v>171</v>
          </cell>
          <cell r="C173" t="str">
            <v>잔토처리기계견질토0.4</v>
          </cell>
          <cell r="D173">
            <v>506</v>
          </cell>
        </row>
        <row r="174">
          <cell r="A174">
            <v>172</v>
          </cell>
          <cell r="C174" t="str">
            <v>잔토처리인력(AS)</v>
          </cell>
          <cell r="D174">
            <v>89</v>
          </cell>
        </row>
        <row r="175">
          <cell r="A175">
            <v>173</v>
          </cell>
          <cell r="C175" t="str">
            <v>잔토처리인력보통토</v>
          </cell>
          <cell r="D175">
            <v>69</v>
          </cell>
        </row>
        <row r="176">
          <cell r="A176">
            <v>174</v>
          </cell>
          <cell r="C176" t="str">
            <v>잔토처리기계(AS)0.7</v>
          </cell>
          <cell r="D176">
            <v>2949</v>
          </cell>
        </row>
        <row r="177">
          <cell r="A177">
            <v>175</v>
          </cell>
          <cell r="C177" t="str">
            <v>잔토처리기계고사토0.7</v>
          </cell>
          <cell r="D177">
            <v>2205</v>
          </cell>
        </row>
        <row r="178">
          <cell r="A178">
            <v>176</v>
          </cell>
          <cell r="C178" t="str">
            <v>잔토처리기계(AS)0.4</v>
          </cell>
          <cell r="D178">
            <v>409</v>
          </cell>
        </row>
        <row r="179">
          <cell r="A179">
            <v>177</v>
          </cell>
          <cell r="C179" t="str">
            <v>보도불럭철거및가복구</v>
          </cell>
          <cell r="D179">
            <v>123</v>
          </cell>
        </row>
        <row r="180">
          <cell r="A180">
            <v>178</v>
          </cell>
          <cell r="C180" t="str">
            <v>AS포장줄눈파기CUTTER</v>
          </cell>
          <cell r="D180">
            <v>246</v>
          </cell>
        </row>
        <row r="181">
          <cell r="A181">
            <v>179</v>
          </cell>
          <cell r="C181" t="str">
            <v>포장파기(AS)인력</v>
          </cell>
          <cell r="D181">
            <v>2691</v>
          </cell>
        </row>
        <row r="182">
          <cell r="A182">
            <v>180</v>
          </cell>
          <cell r="C182" t="str">
            <v>포장파기(AS)기계</v>
          </cell>
          <cell r="D182">
            <v>1328</v>
          </cell>
        </row>
        <row r="183">
          <cell r="A183">
            <v>181</v>
          </cell>
          <cell r="C183" t="str">
            <v>기초잡석부설</v>
          </cell>
          <cell r="D183">
            <v>2275</v>
          </cell>
        </row>
        <row r="184">
          <cell r="A184">
            <v>182</v>
          </cell>
          <cell r="C184" t="str">
            <v>동바리설치철거3회</v>
          </cell>
          <cell r="D184">
            <v>621</v>
          </cell>
        </row>
        <row r="185">
          <cell r="A185">
            <v>183</v>
          </cell>
          <cell r="C185" t="str">
            <v>경암파쇄기계</v>
          </cell>
          <cell r="D185">
            <v>5435</v>
          </cell>
        </row>
        <row r="186">
          <cell r="A186">
            <v>184</v>
          </cell>
          <cell r="C186" t="str">
            <v>콘크리트타설(믹서)1:3:6</v>
          </cell>
          <cell r="D186">
            <v>3014</v>
          </cell>
        </row>
        <row r="187">
          <cell r="A187">
            <v>185</v>
          </cell>
          <cell r="C187" t="str">
            <v>레미콘타설R-40-210-8</v>
          </cell>
          <cell r="D187">
            <v>26</v>
          </cell>
        </row>
        <row r="188">
          <cell r="A188">
            <v>186</v>
          </cell>
          <cell r="C188" t="str">
            <v>보호몰탈바름5MM</v>
          </cell>
          <cell r="D188">
            <v>10</v>
          </cell>
        </row>
        <row r="189">
          <cell r="A189">
            <v>187</v>
          </cell>
          <cell r="C189" t="str">
            <v>보호몰탈바름30MM</v>
          </cell>
          <cell r="D189">
            <v>62</v>
          </cell>
        </row>
        <row r="190">
          <cell r="A190">
            <v>188</v>
          </cell>
          <cell r="C190" t="str">
            <v>철근가공조립복잡</v>
          </cell>
          <cell r="D190">
            <v>3080</v>
          </cell>
        </row>
        <row r="191">
          <cell r="A191">
            <v>189</v>
          </cell>
          <cell r="C191" t="str">
            <v>거프집설치3회</v>
          </cell>
          <cell r="D191">
            <v>2742</v>
          </cell>
        </row>
        <row r="192">
          <cell r="A192">
            <v>190</v>
          </cell>
          <cell r="C192" t="str">
            <v>거프집설치4회</v>
          </cell>
          <cell r="D192">
            <v>2385</v>
          </cell>
        </row>
        <row r="193">
          <cell r="A193">
            <v>191</v>
          </cell>
        </row>
        <row r="194">
          <cell r="A194">
            <v>192</v>
          </cell>
        </row>
        <row r="195">
          <cell r="A195">
            <v>193</v>
          </cell>
        </row>
        <row r="196">
          <cell r="A196">
            <v>194</v>
          </cell>
        </row>
        <row r="197">
          <cell r="A197">
            <v>195</v>
          </cell>
        </row>
        <row r="198">
          <cell r="A198">
            <v>196</v>
          </cell>
        </row>
        <row r="199">
          <cell r="A199">
            <v>197</v>
          </cell>
        </row>
        <row r="200">
          <cell r="A200">
            <v>198</v>
          </cell>
        </row>
        <row r="201">
          <cell r="A201">
            <v>199</v>
          </cell>
        </row>
        <row r="202">
          <cell r="A202">
            <v>200</v>
          </cell>
        </row>
        <row r="203">
          <cell r="A203">
            <v>201</v>
          </cell>
        </row>
        <row r="204">
          <cell r="A204">
            <v>202</v>
          </cell>
        </row>
        <row r="205">
          <cell r="A205">
            <v>203</v>
          </cell>
        </row>
        <row r="206">
          <cell r="A206">
            <v>204</v>
          </cell>
        </row>
        <row r="207">
          <cell r="A207">
            <v>205</v>
          </cell>
        </row>
        <row r="208">
          <cell r="A208">
            <v>206</v>
          </cell>
        </row>
        <row r="209">
          <cell r="A209">
            <v>207</v>
          </cell>
        </row>
        <row r="210">
          <cell r="A210">
            <v>208</v>
          </cell>
        </row>
        <row r="211">
          <cell r="A211">
            <v>209</v>
          </cell>
        </row>
        <row r="212">
          <cell r="A212">
            <v>210</v>
          </cell>
        </row>
        <row r="213">
          <cell r="A213">
            <v>211</v>
          </cell>
        </row>
        <row r="214">
          <cell r="A214">
            <v>212</v>
          </cell>
        </row>
        <row r="215">
          <cell r="A215">
            <v>213</v>
          </cell>
        </row>
        <row r="216">
          <cell r="A216">
            <v>214</v>
          </cell>
        </row>
        <row r="217">
          <cell r="A217">
            <v>215</v>
          </cell>
          <cell r="B217" t="str">
            <v>핸    드    홀</v>
          </cell>
        </row>
        <row r="218">
          <cell r="A218">
            <v>216</v>
          </cell>
          <cell r="C218" t="str">
            <v>토사터파기0.4백호우</v>
          </cell>
          <cell r="D218">
            <v>48</v>
          </cell>
        </row>
        <row r="219">
          <cell r="A219">
            <v>217</v>
          </cell>
          <cell r="C219" t="str">
            <v>토사터파기0.4백호우</v>
          </cell>
          <cell r="D219">
            <v>60</v>
          </cell>
        </row>
        <row r="220">
          <cell r="A220">
            <v>218</v>
          </cell>
          <cell r="C220" t="str">
            <v>토사터파기0.4백호우</v>
          </cell>
          <cell r="D220">
            <v>62</v>
          </cell>
        </row>
        <row r="221">
          <cell r="A221">
            <v>219</v>
          </cell>
          <cell r="C221" t="str">
            <v>토사터파기0.7백호우</v>
          </cell>
          <cell r="D221">
            <v>71</v>
          </cell>
        </row>
        <row r="222">
          <cell r="A222">
            <v>220</v>
          </cell>
          <cell r="C222" t="str">
            <v>모래되메우기다지기인력</v>
          </cell>
          <cell r="D222">
            <v>2435</v>
          </cell>
        </row>
        <row r="223">
          <cell r="A223">
            <v>221</v>
          </cell>
          <cell r="C223" t="str">
            <v>모래되메우기다지기기계</v>
          </cell>
          <cell r="D223">
            <v>2469</v>
          </cell>
        </row>
        <row r="224">
          <cell r="A224">
            <v>222</v>
          </cell>
          <cell r="C224" t="str">
            <v>원토되메우기다지기기계</v>
          </cell>
          <cell r="D224">
            <v>34</v>
          </cell>
        </row>
        <row r="225">
          <cell r="A225">
            <v>223</v>
          </cell>
          <cell r="C225" t="str">
            <v>잔토처리기계보통토0.4</v>
          </cell>
          <cell r="D225">
            <v>171</v>
          </cell>
        </row>
        <row r="226">
          <cell r="A226">
            <v>224</v>
          </cell>
          <cell r="C226" t="str">
            <v>잔토처리기계보통토0.4</v>
          </cell>
          <cell r="D226">
            <v>217</v>
          </cell>
        </row>
        <row r="227">
          <cell r="A227">
            <v>225</v>
          </cell>
          <cell r="C227" t="str">
            <v>잔토처리기계견질토0.4</v>
          </cell>
          <cell r="D227">
            <v>228</v>
          </cell>
        </row>
        <row r="228">
          <cell r="A228">
            <v>226</v>
          </cell>
          <cell r="C228" t="str">
            <v>잔토처리기계견질토0.4</v>
          </cell>
          <cell r="D228">
            <v>506</v>
          </cell>
        </row>
        <row r="229">
          <cell r="A229">
            <v>227</v>
          </cell>
          <cell r="C229" t="str">
            <v>잔토처리인력AS</v>
          </cell>
          <cell r="D229">
            <v>89</v>
          </cell>
        </row>
        <row r="230">
          <cell r="A230">
            <v>228</v>
          </cell>
          <cell r="C230" t="str">
            <v>잔토처리인력보통토</v>
          </cell>
          <cell r="D230">
            <v>69</v>
          </cell>
        </row>
        <row r="231">
          <cell r="A231">
            <v>229</v>
          </cell>
          <cell r="C231" t="str">
            <v>잔토처리기계AS0.7</v>
          </cell>
          <cell r="D231">
            <v>2949</v>
          </cell>
        </row>
        <row r="232">
          <cell r="A232">
            <v>230</v>
          </cell>
          <cell r="C232" t="str">
            <v>잔토처리기계고사토0.7</v>
          </cell>
          <cell r="D232">
            <v>2205</v>
          </cell>
        </row>
        <row r="233">
          <cell r="A233">
            <v>231</v>
          </cell>
          <cell r="C233" t="str">
            <v>잔토처리기계AS0.4</v>
          </cell>
          <cell r="D233">
            <v>409</v>
          </cell>
        </row>
        <row r="234">
          <cell r="A234">
            <v>232</v>
          </cell>
          <cell r="C234" t="str">
            <v>잔토처리기계경암0.7</v>
          </cell>
          <cell r="D234">
            <v>3222</v>
          </cell>
        </row>
        <row r="235">
          <cell r="A235">
            <v>233</v>
          </cell>
          <cell r="C235" t="str">
            <v>보도불럭철거및가복구</v>
          </cell>
          <cell r="D235">
            <v>123</v>
          </cell>
        </row>
        <row r="236">
          <cell r="A236">
            <v>234</v>
          </cell>
          <cell r="C236" t="str">
            <v>AS포장줄눈파기CUTTER</v>
          </cell>
          <cell r="D236">
            <v>246</v>
          </cell>
        </row>
        <row r="237">
          <cell r="A237">
            <v>235</v>
          </cell>
          <cell r="C237" t="str">
            <v>포장파괴(AS)인력</v>
          </cell>
          <cell r="D237">
            <v>2691</v>
          </cell>
        </row>
        <row r="238">
          <cell r="A238">
            <v>236</v>
          </cell>
          <cell r="C238" t="str">
            <v>포장파괴(AS)기계</v>
          </cell>
          <cell r="D238">
            <v>1328</v>
          </cell>
        </row>
        <row r="239">
          <cell r="A239">
            <v>237</v>
          </cell>
          <cell r="C239" t="str">
            <v>기초잡석부설</v>
          </cell>
          <cell r="D239">
            <v>2275</v>
          </cell>
        </row>
        <row r="240">
          <cell r="A240">
            <v>238</v>
          </cell>
          <cell r="C240" t="str">
            <v>레미콘타설R-20-210-8</v>
          </cell>
          <cell r="D240">
            <v>26</v>
          </cell>
        </row>
        <row r="241">
          <cell r="A241">
            <v>239</v>
          </cell>
          <cell r="C241" t="str">
            <v>철근가공조립보통</v>
          </cell>
          <cell r="D241">
            <v>2502</v>
          </cell>
        </row>
        <row r="242">
          <cell r="A242">
            <v>240</v>
          </cell>
          <cell r="C242" t="str">
            <v>거프집설치3회</v>
          </cell>
          <cell r="D242">
            <v>2742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  <cell r="B262" t="str">
            <v>개 폐 기 신 설</v>
          </cell>
        </row>
        <row r="263">
          <cell r="A263">
            <v>261</v>
          </cell>
          <cell r="C263" t="str">
            <v>토사터파기0.4백호우</v>
          </cell>
          <cell r="D263">
            <v>48</v>
          </cell>
        </row>
        <row r="264">
          <cell r="A264">
            <v>262</v>
          </cell>
          <cell r="C264" t="str">
            <v>토사터파기0.4백호우</v>
          </cell>
          <cell r="D264">
            <v>60</v>
          </cell>
        </row>
        <row r="265">
          <cell r="A265">
            <v>263</v>
          </cell>
          <cell r="C265" t="str">
            <v>토사터파기0.4백호우</v>
          </cell>
          <cell r="D265">
            <v>62</v>
          </cell>
        </row>
        <row r="266">
          <cell r="A266">
            <v>264</v>
          </cell>
          <cell r="C266" t="str">
            <v>모래되메우기다지기인력</v>
          </cell>
          <cell r="D266">
            <v>2435</v>
          </cell>
        </row>
        <row r="267">
          <cell r="A267">
            <v>265</v>
          </cell>
          <cell r="C267" t="str">
            <v>모래되메우기다지기기계</v>
          </cell>
          <cell r="D267">
            <v>2469</v>
          </cell>
        </row>
        <row r="268">
          <cell r="A268">
            <v>266</v>
          </cell>
          <cell r="C268" t="str">
            <v>원토되메우기다지기기계</v>
          </cell>
          <cell r="D268">
            <v>34</v>
          </cell>
        </row>
        <row r="269">
          <cell r="A269">
            <v>267</v>
          </cell>
          <cell r="C269" t="str">
            <v>잔토처리기계보통토0.4</v>
          </cell>
          <cell r="D269">
            <v>171</v>
          </cell>
        </row>
        <row r="270">
          <cell r="A270">
            <v>268</v>
          </cell>
          <cell r="C270" t="str">
            <v>잔토처리기계보통토0.4</v>
          </cell>
          <cell r="D270">
            <v>217</v>
          </cell>
        </row>
        <row r="271">
          <cell r="A271">
            <v>269</v>
          </cell>
          <cell r="C271" t="str">
            <v>잔토처리기계견질토0.4</v>
          </cell>
          <cell r="D271">
            <v>228</v>
          </cell>
        </row>
        <row r="272">
          <cell r="A272">
            <v>270</v>
          </cell>
          <cell r="C272" t="str">
            <v>잔토처리기계견질토0.4</v>
          </cell>
          <cell r="D272">
            <v>506</v>
          </cell>
        </row>
        <row r="273">
          <cell r="A273">
            <v>271</v>
          </cell>
          <cell r="C273" t="str">
            <v>잔토처리기계견질토0.4</v>
          </cell>
          <cell r="D273">
            <v>474</v>
          </cell>
        </row>
        <row r="274">
          <cell r="A274">
            <v>272</v>
          </cell>
          <cell r="C274" t="str">
            <v>잔토처리인력AS</v>
          </cell>
          <cell r="D274">
            <v>89</v>
          </cell>
        </row>
        <row r="275">
          <cell r="A275">
            <v>273</v>
          </cell>
          <cell r="C275" t="str">
            <v>잔토처리인력보통토</v>
          </cell>
          <cell r="D275">
            <v>69</v>
          </cell>
        </row>
        <row r="276">
          <cell r="A276">
            <v>274</v>
          </cell>
          <cell r="C276" t="str">
            <v>잔토처리기계AS0.7</v>
          </cell>
          <cell r="D276">
            <v>2949</v>
          </cell>
        </row>
        <row r="277">
          <cell r="A277">
            <v>275</v>
          </cell>
          <cell r="C277" t="str">
            <v>잔토처리기계고사토0.7</v>
          </cell>
          <cell r="D277">
            <v>2205</v>
          </cell>
        </row>
        <row r="278">
          <cell r="A278">
            <v>276</v>
          </cell>
          <cell r="C278" t="str">
            <v>잔토처리기계AS0.4</v>
          </cell>
          <cell r="D278">
            <v>409</v>
          </cell>
        </row>
        <row r="279">
          <cell r="A279">
            <v>277</v>
          </cell>
          <cell r="C279" t="str">
            <v>잔토처리기계경암0.7</v>
          </cell>
          <cell r="D279">
            <v>3222</v>
          </cell>
        </row>
        <row r="280">
          <cell r="A280">
            <v>278</v>
          </cell>
          <cell r="C280" t="str">
            <v>보도불러철거및가복구</v>
          </cell>
          <cell r="D280">
            <v>123</v>
          </cell>
        </row>
        <row r="281">
          <cell r="A281">
            <v>279</v>
          </cell>
          <cell r="C281" t="str">
            <v>AS포장줄눈파기CUTTER</v>
          </cell>
          <cell r="D281">
            <v>246</v>
          </cell>
        </row>
        <row r="282">
          <cell r="A282">
            <v>280</v>
          </cell>
          <cell r="C282" t="str">
            <v>포장파기(AS)인력</v>
          </cell>
          <cell r="D282">
            <v>2691</v>
          </cell>
        </row>
        <row r="283">
          <cell r="A283">
            <v>281</v>
          </cell>
          <cell r="C283" t="str">
            <v>포장파기(AS)기계</v>
          </cell>
          <cell r="D283">
            <v>1328</v>
          </cell>
        </row>
        <row r="284">
          <cell r="A284">
            <v>282</v>
          </cell>
          <cell r="C284" t="str">
            <v>기초잡석부설</v>
          </cell>
          <cell r="D284">
            <v>2275</v>
          </cell>
        </row>
        <row r="285">
          <cell r="A285">
            <v>283</v>
          </cell>
          <cell r="C285" t="str">
            <v>개폐기기계화시공1대설치</v>
          </cell>
          <cell r="D285">
            <v>4611</v>
          </cell>
        </row>
        <row r="286">
          <cell r="A286">
            <v>284</v>
          </cell>
          <cell r="C286" t="str">
            <v>조립식개폐기STICK</v>
          </cell>
          <cell r="D286">
            <v>3860</v>
          </cell>
        </row>
        <row r="287">
          <cell r="A287">
            <v>285</v>
          </cell>
          <cell r="B287" t="str">
            <v xml:space="preserve">   철거재사용</v>
          </cell>
          <cell r="C287" t="str">
            <v>개폐기기계화시공1대설치</v>
          </cell>
          <cell r="D287">
            <v>3688</v>
          </cell>
        </row>
        <row r="288">
          <cell r="A288">
            <v>286</v>
          </cell>
          <cell r="B288" t="str">
            <v xml:space="preserve">   철거재사용</v>
          </cell>
          <cell r="C288" t="str">
            <v>조립식개폐기STICK</v>
          </cell>
          <cell r="D288">
            <v>3088</v>
          </cell>
        </row>
        <row r="289">
          <cell r="A289">
            <v>287</v>
          </cell>
          <cell r="B289" t="str">
            <v xml:space="preserve">         철거</v>
          </cell>
          <cell r="C289" t="str">
            <v>개폐기기계화시공1대설치</v>
          </cell>
          <cell r="D289">
            <v>2305</v>
          </cell>
        </row>
        <row r="290">
          <cell r="A290">
            <v>288</v>
          </cell>
          <cell r="B290" t="str">
            <v xml:space="preserve">         철거</v>
          </cell>
          <cell r="C290" t="str">
            <v>조립식개폐기STICK</v>
          </cell>
          <cell r="D290">
            <v>1930</v>
          </cell>
        </row>
        <row r="291">
          <cell r="A291">
            <v>289</v>
          </cell>
        </row>
        <row r="292">
          <cell r="A292">
            <v>290</v>
          </cell>
        </row>
        <row r="293">
          <cell r="A293">
            <v>291</v>
          </cell>
        </row>
        <row r="294">
          <cell r="A294">
            <v>292</v>
          </cell>
        </row>
        <row r="295">
          <cell r="A295">
            <v>293</v>
          </cell>
        </row>
        <row r="296">
          <cell r="A296">
            <v>294</v>
          </cell>
        </row>
        <row r="297">
          <cell r="A297">
            <v>295</v>
          </cell>
        </row>
        <row r="298">
          <cell r="A298">
            <v>296</v>
          </cell>
        </row>
        <row r="299">
          <cell r="A299">
            <v>297</v>
          </cell>
        </row>
        <row r="300">
          <cell r="A300">
            <v>298</v>
          </cell>
        </row>
        <row r="301">
          <cell r="A301">
            <v>299</v>
          </cell>
        </row>
        <row r="302">
          <cell r="A302">
            <v>300</v>
          </cell>
        </row>
        <row r="303">
          <cell r="A303">
            <v>301</v>
          </cell>
        </row>
        <row r="304">
          <cell r="A304">
            <v>302</v>
          </cell>
        </row>
        <row r="305">
          <cell r="A305">
            <v>303</v>
          </cell>
        </row>
        <row r="306">
          <cell r="A306">
            <v>304</v>
          </cell>
        </row>
        <row r="307">
          <cell r="A307">
            <v>305</v>
          </cell>
          <cell r="B307" t="str">
            <v>변 압 기 신 설</v>
          </cell>
        </row>
        <row r="308">
          <cell r="A308">
            <v>306</v>
          </cell>
          <cell r="C308" t="str">
            <v>토사터파기0.4백호우</v>
          </cell>
          <cell r="D308">
            <v>48</v>
          </cell>
        </row>
        <row r="309">
          <cell r="A309">
            <v>307</v>
          </cell>
          <cell r="C309" t="str">
            <v>토사터파기0.4백호우</v>
          </cell>
          <cell r="D309">
            <v>60</v>
          </cell>
        </row>
        <row r="310">
          <cell r="A310">
            <v>308</v>
          </cell>
          <cell r="C310" t="str">
            <v>토사터파기0.4백호우</v>
          </cell>
          <cell r="D310">
            <v>62</v>
          </cell>
        </row>
        <row r="311">
          <cell r="A311">
            <v>309</v>
          </cell>
          <cell r="C311" t="str">
            <v>모래되메우기다지기인력</v>
          </cell>
          <cell r="D311">
            <v>2435</v>
          </cell>
        </row>
        <row r="312">
          <cell r="A312">
            <v>310</v>
          </cell>
          <cell r="C312" t="str">
            <v>모래되메우기다지기기계</v>
          </cell>
          <cell r="D312">
            <v>2469</v>
          </cell>
        </row>
        <row r="313">
          <cell r="A313">
            <v>311</v>
          </cell>
          <cell r="C313" t="str">
            <v>원토되메우기다지기기계</v>
          </cell>
          <cell r="D313">
            <v>34</v>
          </cell>
        </row>
        <row r="314">
          <cell r="A314">
            <v>312</v>
          </cell>
          <cell r="C314" t="str">
            <v>원토되메우기다지기인력</v>
          </cell>
        </row>
        <row r="315">
          <cell r="A315">
            <v>313</v>
          </cell>
          <cell r="C315" t="str">
            <v>잔토처리기계보통토0.4</v>
          </cell>
          <cell r="D315">
            <v>171</v>
          </cell>
        </row>
        <row r="316">
          <cell r="A316">
            <v>314</v>
          </cell>
          <cell r="C316" t="str">
            <v>잔토처리기계보통토0.4</v>
          </cell>
          <cell r="D316">
            <v>217</v>
          </cell>
        </row>
        <row r="317">
          <cell r="A317">
            <v>315</v>
          </cell>
          <cell r="C317" t="str">
            <v>잔토처리기계견질토0.4</v>
          </cell>
          <cell r="D317">
            <v>228</v>
          </cell>
        </row>
        <row r="318">
          <cell r="A318">
            <v>316</v>
          </cell>
          <cell r="C318" t="str">
            <v>잔토처리기계견질토0.4</v>
          </cell>
          <cell r="D318">
            <v>506</v>
          </cell>
        </row>
        <row r="319">
          <cell r="A319">
            <v>317</v>
          </cell>
          <cell r="C319" t="str">
            <v>잔토처리기계견질토0.4</v>
          </cell>
          <cell r="D319">
            <v>474</v>
          </cell>
        </row>
        <row r="320">
          <cell r="A320">
            <v>318</v>
          </cell>
          <cell r="C320" t="str">
            <v>잔토처리인력AS</v>
          </cell>
          <cell r="D320">
            <v>89</v>
          </cell>
        </row>
        <row r="321">
          <cell r="A321">
            <v>319</v>
          </cell>
          <cell r="C321" t="str">
            <v>잔토처리인력보통토</v>
          </cell>
          <cell r="D321">
            <v>69</v>
          </cell>
        </row>
        <row r="322">
          <cell r="A322">
            <v>320</v>
          </cell>
          <cell r="C322" t="str">
            <v>잔토처리기계AS0.7</v>
          </cell>
          <cell r="D322">
            <v>2949</v>
          </cell>
        </row>
        <row r="323">
          <cell r="A323">
            <v>321</v>
          </cell>
          <cell r="C323" t="str">
            <v>잔토처리기계고사토0.7</v>
          </cell>
          <cell r="D323">
            <v>2205</v>
          </cell>
        </row>
        <row r="324">
          <cell r="A324">
            <v>322</v>
          </cell>
          <cell r="C324" t="str">
            <v>잔토처리기계AS0.4</v>
          </cell>
          <cell r="D324">
            <v>409</v>
          </cell>
        </row>
        <row r="325">
          <cell r="A325">
            <v>323</v>
          </cell>
          <cell r="C325" t="str">
            <v>잔토처리기계경암0.7</v>
          </cell>
          <cell r="D325">
            <v>3222</v>
          </cell>
        </row>
        <row r="326">
          <cell r="A326">
            <v>324</v>
          </cell>
          <cell r="C326" t="str">
            <v>보도불럭철거및가복구</v>
          </cell>
          <cell r="D326">
            <v>123</v>
          </cell>
        </row>
        <row r="327">
          <cell r="A327">
            <v>325</v>
          </cell>
          <cell r="C327" t="str">
            <v>AS포장줄눈파기CUTTER</v>
          </cell>
          <cell r="D327">
            <v>246</v>
          </cell>
        </row>
        <row r="328">
          <cell r="A328">
            <v>326</v>
          </cell>
          <cell r="C328" t="str">
            <v>포장파기(AS)인력</v>
          </cell>
          <cell r="D328">
            <v>2691</v>
          </cell>
        </row>
        <row r="329">
          <cell r="A329">
            <v>327</v>
          </cell>
          <cell r="C329" t="str">
            <v>포장파기(AS)기계</v>
          </cell>
          <cell r="D329">
            <v>1328</v>
          </cell>
        </row>
        <row r="330">
          <cell r="A330">
            <v>328</v>
          </cell>
          <cell r="C330" t="str">
            <v>기초잡석부설</v>
          </cell>
          <cell r="D330">
            <v>2275</v>
          </cell>
        </row>
        <row r="331">
          <cell r="A331">
            <v>329</v>
          </cell>
          <cell r="C331" t="str">
            <v>지상변압기1상30KVA기계화</v>
          </cell>
          <cell r="D331">
            <v>4017</v>
          </cell>
        </row>
        <row r="332">
          <cell r="A332">
            <v>330</v>
          </cell>
          <cell r="C332" t="str">
            <v>지상변압기1상50KVA기계화</v>
          </cell>
          <cell r="D332">
            <v>4017</v>
          </cell>
        </row>
        <row r="333">
          <cell r="A333">
            <v>331</v>
          </cell>
          <cell r="C333" t="str">
            <v>지상변압기1상75KVA기계화</v>
          </cell>
          <cell r="D333">
            <v>5188</v>
          </cell>
        </row>
        <row r="334">
          <cell r="A334">
            <v>332</v>
          </cell>
          <cell r="C334" t="str">
            <v>지상변압기1상100KVA기계화</v>
          </cell>
          <cell r="D334">
            <v>5188</v>
          </cell>
        </row>
        <row r="335">
          <cell r="A335">
            <v>333</v>
          </cell>
          <cell r="C335" t="str">
            <v>지상변압기1상150KVA기계화</v>
          </cell>
          <cell r="D335">
            <v>6575</v>
          </cell>
        </row>
        <row r="336">
          <cell r="A336">
            <v>334</v>
          </cell>
          <cell r="C336" t="str">
            <v>지상변압기1상200KVA기계화</v>
          </cell>
          <cell r="D336">
            <v>6575</v>
          </cell>
        </row>
        <row r="337">
          <cell r="A337">
            <v>335</v>
          </cell>
          <cell r="C337" t="str">
            <v>지상변압기3상기계화75KVA</v>
          </cell>
          <cell r="D337">
            <v>5188</v>
          </cell>
        </row>
        <row r="338">
          <cell r="A338">
            <v>336</v>
          </cell>
          <cell r="C338" t="str">
            <v>지상변압기3상기계화100KVA</v>
          </cell>
          <cell r="D338">
            <v>5188</v>
          </cell>
        </row>
        <row r="339">
          <cell r="A339">
            <v>337</v>
          </cell>
          <cell r="C339" t="str">
            <v>지상변압기3상기계화150KVA</v>
          </cell>
          <cell r="D339">
            <v>6575</v>
          </cell>
        </row>
        <row r="340">
          <cell r="A340">
            <v>338</v>
          </cell>
          <cell r="C340" t="str">
            <v>지상변압기3상기계화200KVA</v>
          </cell>
          <cell r="D340">
            <v>6575</v>
          </cell>
        </row>
        <row r="341">
          <cell r="A341">
            <v>339</v>
          </cell>
          <cell r="C341" t="str">
            <v>지상변압기3상기계화300KVA</v>
          </cell>
          <cell r="D341">
            <v>6845</v>
          </cell>
        </row>
        <row r="342">
          <cell r="A342">
            <v>340</v>
          </cell>
          <cell r="C342" t="str">
            <v>조립식기초대단상</v>
          </cell>
          <cell r="D342">
            <v>3860</v>
          </cell>
        </row>
        <row r="343">
          <cell r="A343">
            <v>341</v>
          </cell>
          <cell r="C343" t="str">
            <v>조립식기초대삼상</v>
          </cell>
          <cell r="D343">
            <v>3860</v>
          </cell>
        </row>
        <row r="344">
          <cell r="A344">
            <v>342</v>
          </cell>
        </row>
        <row r="345">
          <cell r="A345">
            <v>343</v>
          </cell>
        </row>
        <row r="346">
          <cell r="A346">
            <v>344</v>
          </cell>
        </row>
        <row r="347">
          <cell r="A347">
            <v>345</v>
          </cell>
        </row>
        <row r="348">
          <cell r="A348">
            <v>346</v>
          </cell>
        </row>
        <row r="349">
          <cell r="A349">
            <v>347</v>
          </cell>
        </row>
        <row r="350">
          <cell r="A350">
            <v>348</v>
          </cell>
        </row>
        <row r="351">
          <cell r="A351">
            <v>349</v>
          </cell>
        </row>
        <row r="352">
          <cell r="A352">
            <v>350</v>
          </cell>
        </row>
        <row r="353">
          <cell r="A353">
            <v>351</v>
          </cell>
        </row>
        <row r="354">
          <cell r="A354">
            <v>352</v>
          </cell>
        </row>
        <row r="355">
          <cell r="A355">
            <v>353</v>
          </cell>
        </row>
        <row r="356">
          <cell r="A356">
            <v>354</v>
          </cell>
        </row>
        <row r="357">
          <cell r="A357">
            <v>355</v>
          </cell>
          <cell r="B357" t="str">
            <v>변 압 기 철 거</v>
          </cell>
        </row>
        <row r="358">
          <cell r="A358">
            <v>356</v>
          </cell>
          <cell r="C358" t="str">
            <v>지상변압기1상30KVA</v>
          </cell>
          <cell r="D358">
            <v>2008</v>
          </cell>
        </row>
        <row r="359">
          <cell r="A359">
            <v>357</v>
          </cell>
          <cell r="C359" t="str">
            <v>지상변압기1상50KVA</v>
          </cell>
          <cell r="D359">
            <v>2008</v>
          </cell>
        </row>
        <row r="360">
          <cell r="A360">
            <v>358</v>
          </cell>
          <cell r="C360" t="str">
            <v>지상변압기1상75KVA</v>
          </cell>
          <cell r="D360">
            <v>2594</v>
          </cell>
        </row>
        <row r="361">
          <cell r="A361">
            <v>359</v>
          </cell>
          <cell r="C361" t="str">
            <v>지상변압기1상100KVA</v>
          </cell>
          <cell r="D361">
            <v>2594</v>
          </cell>
        </row>
        <row r="362">
          <cell r="A362">
            <v>360</v>
          </cell>
          <cell r="C362" t="str">
            <v>지상변압기1상150KVA</v>
          </cell>
          <cell r="D362">
            <v>3287</v>
          </cell>
        </row>
        <row r="363">
          <cell r="A363">
            <v>361</v>
          </cell>
          <cell r="C363" t="str">
            <v>지상변압기1상200KVA</v>
          </cell>
          <cell r="D363">
            <v>3287</v>
          </cell>
        </row>
        <row r="364">
          <cell r="A364">
            <v>362</v>
          </cell>
          <cell r="C364" t="str">
            <v>지상변압기3상75KVA</v>
          </cell>
          <cell r="D364">
            <v>2594</v>
          </cell>
        </row>
        <row r="365">
          <cell r="A365">
            <v>363</v>
          </cell>
          <cell r="C365" t="str">
            <v>지상변압기3상100KVA</v>
          </cell>
          <cell r="D365">
            <v>2594</v>
          </cell>
        </row>
        <row r="366">
          <cell r="A366">
            <v>364</v>
          </cell>
          <cell r="C366" t="str">
            <v>지상변압기3상150KVA</v>
          </cell>
          <cell r="D366">
            <v>3287</v>
          </cell>
        </row>
        <row r="367">
          <cell r="A367">
            <v>365</v>
          </cell>
          <cell r="C367" t="str">
            <v>지상변압기3상200KVA</v>
          </cell>
          <cell r="D367">
            <v>3287</v>
          </cell>
        </row>
        <row r="368">
          <cell r="A368">
            <v>366</v>
          </cell>
          <cell r="C368" t="str">
            <v>지상변압기3상300KVA</v>
          </cell>
          <cell r="D368">
            <v>3422</v>
          </cell>
        </row>
        <row r="369">
          <cell r="A369">
            <v>367</v>
          </cell>
        </row>
        <row r="370">
          <cell r="A370">
            <v>368</v>
          </cell>
        </row>
        <row r="371">
          <cell r="A371">
            <v>369</v>
          </cell>
        </row>
        <row r="372">
          <cell r="A372">
            <v>370</v>
          </cell>
        </row>
        <row r="373">
          <cell r="A373">
            <v>371</v>
          </cell>
          <cell r="B373" t="str">
            <v>변압기철거재사용</v>
          </cell>
        </row>
        <row r="374">
          <cell r="A374">
            <v>372</v>
          </cell>
          <cell r="C374" t="str">
            <v>지상변압기1상30KVA</v>
          </cell>
          <cell r="D374">
            <v>3213</v>
          </cell>
        </row>
        <row r="375">
          <cell r="A375">
            <v>373</v>
          </cell>
          <cell r="C375" t="str">
            <v>지상변압기1상50KVA</v>
          </cell>
          <cell r="D375">
            <v>3213</v>
          </cell>
        </row>
        <row r="376">
          <cell r="A376">
            <v>374</v>
          </cell>
          <cell r="C376" t="str">
            <v>지상변압기1상75KVA</v>
          </cell>
          <cell r="D376">
            <v>4150</v>
          </cell>
        </row>
        <row r="377">
          <cell r="A377">
            <v>375</v>
          </cell>
          <cell r="C377" t="str">
            <v>지상변압기1상100KVA</v>
          </cell>
          <cell r="D377">
            <v>4150</v>
          </cell>
        </row>
        <row r="378">
          <cell r="A378">
            <v>376</v>
          </cell>
          <cell r="C378" t="str">
            <v>지상변압기1상150KVA</v>
          </cell>
          <cell r="D378">
            <v>5260</v>
          </cell>
        </row>
        <row r="379">
          <cell r="A379">
            <v>377</v>
          </cell>
          <cell r="C379" t="str">
            <v>지상변압기1상200KVA</v>
          </cell>
          <cell r="D379">
            <v>5260</v>
          </cell>
        </row>
        <row r="380">
          <cell r="A380">
            <v>378</v>
          </cell>
          <cell r="C380" t="str">
            <v>지상변압기3상75KVA</v>
          </cell>
          <cell r="D380">
            <v>4150</v>
          </cell>
        </row>
        <row r="381">
          <cell r="A381">
            <v>379</v>
          </cell>
          <cell r="C381" t="str">
            <v>지상변압기3상100KVA</v>
          </cell>
          <cell r="D381">
            <v>4150</v>
          </cell>
        </row>
        <row r="382">
          <cell r="A382">
            <v>380</v>
          </cell>
          <cell r="C382" t="str">
            <v>지상변압기3상150KVA</v>
          </cell>
          <cell r="D382">
            <v>5260</v>
          </cell>
        </row>
        <row r="383">
          <cell r="A383">
            <v>381</v>
          </cell>
          <cell r="C383" t="str">
            <v>지상변압기3상200KVA</v>
          </cell>
          <cell r="D383">
            <v>5260</v>
          </cell>
        </row>
        <row r="384">
          <cell r="A384">
            <v>382</v>
          </cell>
          <cell r="C384" t="str">
            <v>지상변압기3상300KVA</v>
          </cell>
          <cell r="D384">
            <v>5476</v>
          </cell>
        </row>
        <row r="385">
          <cell r="A385">
            <v>383</v>
          </cell>
        </row>
        <row r="386">
          <cell r="A386">
            <v>384</v>
          </cell>
        </row>
        <row r="387">
          <cell r="A387">
            <v>385</v>
          </cell>
        </row>
        <row r="388">
          <cell r="A388">
            <v>386</v>
          </cell>
        </row>
        <row r="389">
          <cell r="A389">
            <v>387</v>
          </cell>
        </row>
        <row r="390">
          <cell r="A390">
            <v>388</v>
          </cell>
        </row>
        <row r="391">
          <cell r="A391">
            <v>389</v>
          </cell>
        </row>
        <row r="392">
          <cell r="A392">
            <v>390</v>
          </cell>
        </row>
        <row r="393">
          <cell r="A393">
            <v>391</v>
          </cell>
        </row>
        <row r="394">
          <cell r="A394">
            <v>392</v>
          </cell>
        </row>
        <row r="395">
          <cell r="A395">
            <v>393</v>
          </cell>
        </row>
        <row r="396">
          <cell r="A396">
            <v>394</v>
          </cell>
        </row>
        <row r="397">
          <cell r="A397">
            <v>395</v>
          </cell>
        </row>
        <row r="398">
          <cell r="A398">
            <v>396</v>
          </cell>
        </row>
        <row r="399">
          <cell r="A399">
            <v>397</v>
          </cell>
          <cell r="B399" t="str">
            <v>잡재료비  소계</v>
          </cell>
        </row>
        <row r="400">
          <cell r="A400">
            <v>398</v>
          </cell>
          <cell r="B400" t="str">
            <v>인력비용A 소계</v>
          </cell>
        </row>
        <row r="401">
          <cell r="A401">
            <v>399</v>
          </cell>
          <cell r="B401" t="str">
            <v>인력비용B 소계</v>
          </cell>
        </row>
        <row r="402">
          <cell r="A402">
            <v>400</v>
          </cell>
          <cell r="B402" t="str">
            <v>소     계</v>
          </cell>
        </row>
        <row r="403">
          <cell r="A403">
            <v>401</v>
          </cell>
          <cell r="B403" t="str">
            <v>기계비용  소계</v>
          </cell>
        </row>
        <row r="404">
          <cell r="A404">
            <v>402</v>
          </cell>
          <cell r="B404" t="str">
            <v>기 준 비 용</v>
          </cell>
        </row>
        <row r="405">
          <cell r="A405">
            <v>403</v>
          </cell>
          <cell r="B405" t="str">
            <v>인력비용A(0.68)</v>
          </cell>
        </row>
        <row r="406">
          <cell r="A406">
            <v>404</v>
          </cell>
          <cell r="B406" t="str">
            <v>관로케이블신설</v>
          </cell>
        </row>
        <row r="407">
          <cell r="A407">
            <v>405</v>
          </cell>
          <cell r="C407" t="str">
            <v>직선접속60SQ1개동시</v>
          </cell>
          <cell r="D407">
            <v>68068</v>
          </cell>
        </row>
        <row r="408">
          <cell r="A408">
            <v>406</v>
          </cell>
          <cell r="C408" t="str">
            <v>직선접속60SQ2개동시</v>
          </cell>
          <cell r="D408">
            <v>67388</v>
          </cell>
        </row>
        <row r="409">
          <cell r="A409">
            <v>407</v>
          </cell>
          <cell r="C409" t="str">
            <v>직선접속60SQ3개동시</v>
          </cell>
          <cell r="D409">
            <v>64891</v>
          </cell>
        </row>
        <row r="410">
          <cell r="A410">
            <v>408</v>
          </cell>
          <cell r="C410" t="str">
            <v>직선접속60SQ4개동시</v>
          </cell>
          <cell r="D410">
            <v>63644</v>
          </cell>
        </row>
        <row r="411">
          <cell r="A411">
            <v>409</v>
          </cell>
          <cell r="C411" t="str">
            <v>직선접속60SQ5개동시</v>
          </cell>
          <cell r="D411">
            <v>62895</v>
          </cell>
        </row>
        <row r="412">
          <cell r="A412">
            <v>410</v>
          </cell>
          <cell r="C412" t="str">
            <v>직선접속60SQ6개동시</v>
          </cell>
          <cell r="D412">
            <v>62396</v>
          </cell>
        </row>
        <row r="413">
          <cell r="A413">
            <v>411</v>
          </cell>
          <cell r="C413" t="str">
            <v>직선접속60SQ9개동시</v>
          </cell>
          <cell r="D413">
            <v>61564</v>
          </cell>
        </row>
        <row r="414">
          <cell r="A414">
            <v>412</v>
          </cell>
          <cell r="C414" t="str">
            <v>직선접속60SQ12개동시</v>
          </cell>
          <cell r="D414">
            <v>61148</v>
          </cell>
        </row>
        <row r="415">
          <cell r="A415">
            <v>413</v>
          </cell>
          <cell r="C415" t="str">
            <v>직선접속325SQ1개동시</v>
          </cell>
          <cell r="D415">
            <v>136137</v>
          </cell>
        </row>
        <row r="416">
          <cell r="A416">
            <v>414</v>
          </cell>
          <cell r="C416" t="str">
            <v>직선접속325SQ2개동시</v>
          </cell>
          <cell r="D416">
            <v>134775</v>
          </cell>
        </row>
        <row r="417">
          <cell r="A417">
            <v>415</v>
          </cell>
          <cell r="C417" t="str">
            <v>직선접속325SQ3개동시</v>
          </cell>
          <cell r="D417">
            <v>129782</v>
          </cell>
        </row>
        <row r="418">
          <cell r="A418">
            <v>416</v>
          </cell>
          <cell r="C418" t="str">
            <v>직선접속325SQ4개동시</v>
          </cell>
          <cell r="D418">
            <v>127288</v>
          </cell>
        </row>
        <row r="419">
          <cell r="A419">
            <v>417</v>
          </cell>
          <cell r="C419" t="str">
            <v>직선접속325SQ5개동시</v>
          </cell>
          <cell r="D419">
            <v>125790</v>
          </cell>
        </row>
        <row r="420">
          <cell r="A420">
            <v>418</v>
          </cell>
          <cell r="C420" t="str">
            <v>직선접속325SQ6개동시</v>
          </cell>
          <cell r="D420">
            <v>124792</v>
          </cell>
        </row>
        <row r="421">
          <cell r="A421">
            <v>419</v>
          </cell>
          <cell r="C421" t="str">
            <v>직선접속325SQ9개동시</v>
          </cell>
          <cell r="D421">
            <v>123128</v>
          </cell>
        </row>
        <row r="422">
          <cell r="A422">
            <v>420</v>
          </cell>
          <cell r="C422" t="str">
            <v>직선접속325SQ12개동시</v>
          </cell>
          <cell r="D422">
            <v>122295</v>
          </cell>
        </row>
        <row r="423">
          <cell r="A423">
            <v>421</v>
          </cell>
          <cell r="C423" t="str">
            <v>접지공사600V비닐(개소당)</v>
          </cell>
          <cell r="D423">
            <v>5448</v>
          </cell>
        </row>
        <row r="424">
          <cell r="A424">
            <v>422</v>
          </cell>
          <cell r="C424" t="str">
            <v>도통시험특고공300MM1공</v>
          </cell>
          <cell r="D424">
            <v>1826</v>
          </cell>
        </row>
        <row r="425">
          <cell r="A425">
            <v>423</v>
          </cell>
          <cell r="C425" t="str">
            <v>도통시험특고공300MM2공</v>
          </cell>
          <cell r="D425">
            <v>1643</v>
          </cell>
        </row>
        <row r="426">
          <cell r="A426">
            <v>424</v>
          </cell>
          <cell r="C426" t="str">
            <v>도통시험특고공300MM3공</v>
          </cell>
          <cell r="D426">
            <v>1582</v>
          </cell>
        </row>
        <row r="427">
          <cell r="A427">
            <v>425</v>
          </cell>
          <cell r="C427" t="str">
            <v>도통시험특고공300MM4공</v>
          </cell>
          <cell r="D427">
            <v>1552</v>
          </cell>
        </row>
        <row r="428">
          <cell r="A428">
            <v>426</v>
          </cell>
          <cell r="C428" t="str">
            <v>도통시험특고공300MM5공</v>
          </cell>
          <cell r="D428">
            <v>1533</v>
          </cell>
        </row>
        <row r="429">
          <cell r="A429">
            <v>427</v>
          </cell>
          <cell r="C429" t="str">
            <v>도통시험특고공300MM6공</v>
          </cell>
          <cell r="D429">
            <v>1521</v>
          </cell>
        </row>
        <row r="430">
          <cell r="A430">
            <v>428</v>
          </cell>
          <cell r="C430" t="str">
            <v>도통시험특고공150MM1공</v>
          </cell>
          <cell r="D430">
            <v>1498</v>
          </cell>
        </row>
        <row r="431">
          <cell r="A431">
            <v>429</v>
          </cell>
          <cell r="C431" t="str">
            <v>도통시험특고공150MM2공</v>
          </cell>
          <cell r="D431">
            <v>1348</v>
          </cell>
        </row>
        <row r="432">
          <cell r="A432">
            <v>430</v>
          </cell>
          <cell r="C432" t="str">
            <v>도통시험특고공150MM3공</v>
          </cell>
          <cell r="D432">
            <v>1298</v>
          </cell>
        </row>
        <row r="433">
          <cell r="A433">
            <v>431</v>
          </cell>
          <cell r="C433" t="str">
            <v>도통시험특고공150MM4공</v>
          </cell>
          <cell r="D433">
            <v>1273</v>
          </cell>
        </row>
        <row r="434">
          <cell r="A434">
            <v>432</v>
          </cell>
          <cell r="C434" t="str">
            <v>도통시험특고공150MM5공</v>
          </cell>
          <cell r="D434">
            <v>1258</v>
          </cell>
        </row>
        <row r="435">
          <cell r="A435">
            <v>433</v>
          </cell>
          <cell r="C435" t="str">
            <v>도통시험특고공150MM6공</v>
          </cell>
          <cell r="D435">
            <v>1248</v>
          </cell>
        </row>
        <row r="436">
          <cell r="A436">
            <v>434</v>
          </cell>
          <cell r="C436" t="str">
            <v>도통시험저압공150MM1공</v>
          </cell>
          <cell r="D436">
            <v>1221</v>
          </cell>
        </row>
        <row r="437">
          <cell r="A437">
            <v>435</v>
          </cell>
          <cell r="C437" t="str">
            <v>도통시험저압공150MM2공</v>
          </cell>
          <cell r="D437">
            <v>1099</v>
          </cell>
        </row>
        <row r="438">
          <cell r="A438">
            <v>436</v>
          </cell>
          <cell r="C438" t="str">
            <v>도통시험저압공150MM3공</v>
          </cell>
          <cell r="D438">
            <v>1058</v>
          </cell>
        </row>
        <row r="439">
          <cell r="A439">
            <v>437</v>
          </cell>
          <cell r="C439" t="str">
            <v>도통시험저압공150MM4공</v>
          </cell>
          <cell r="D439">
            <v>1037</v>
          </cell>
        </row>
        <row r="440">
          <cell r="A440">
            <v>438</v>
          </cell>
          <cell r="C440" t="str">
            <v>도통시험저압공150MM5공</v>
          </cell>
          <cell r="D440">
            <v>1025</v>
          </cell>
        </row>
        <row r="441">
          <cell r="A441">
            <v>439</v>
          </cell>
          <cell r="C441" t="str">
            <v>도통시험저압공150MM6공</v>
          </cell>
          <cell r="D441">
            <v>1017</v>
          </cell>
        </row>
        <row r="442">
          <cell r="A442">
            <v>440</v>
          </cell>
          <cell r="C442" t="str">
            <v>CV1회조수2CV22SQ</v>
          </cell>
          <cell r="D442">
            <v>647</v>
          </cell>
        </row>
        <row r="443">
          <cell r="A443">
            <v>441</v>
          </cell>
          <cell r="C443" t="str">
            <v>CV1회조수2CV38SQ</v>
          </cell>
          <cell r="D443">
            <v>730</v>
          </cell>
        </row>
        <row r="444">
          <cell r="A444">
            <v>442</v>
          </cell>
          <cell r="C444" t="str">
            <v>CV1회조수2CV60SQ</v>
          </cell>
          <cell r="D444">
            <v>847</v>
          </cell>
        </row>
        <row r="445">
          <cell r="A445">
            <v>443</v>
          </cell>
          <cell r="C445" t="str">
            <v>CV1회조수2CV100SQ</v>
          </cell>
        </row>
        <row r="446">
          <cell r="A446">
            <v>444</v>
          </cell>
          <cell r="C446" t="str">
            <v>CV1회조수2CV150SQ</v>
          </cell>
        </row>
        <row r="447">
          <cell r="A447">
            <v>445</v>
          </cell>
          <cell r="C447" t="str">
            <v>CV1회조수2CV200SQ</v>
          </cell>
        </row>
        <row r="448">
          <cell r="A448">
            <v>446</v>
          </cell>
          <cell r="C448" t="str">
            <v>CV1회조수2CV325SQ</v>
          </cell>
        </row>
        <row r="449">
          <cell r="A449">
            <v>447</v>
          </cell>
          <cell r="C449" t="str">
            <v>CNCV1회조수160SQ</v>
          </cell>
        </row>
        <row r="450">
          <cell r="A450">
            <v>448</v>
          </cell>
          <cell r="C450" t="str">
            <v>CNCV1회조수260SQ</v>
          </cell>
        </row>
        <row r="451">
          <cell r="A451">
            <v>449</v>
          </cell>
          <cell r="C451" t="str">
            <v>CNCV1회조수360SQ</v>
          </cell>
        </row>
        <row r="452">
          <cell r="A452">
            <v>450</v>
          </cell>
          <cell r="C452" t="str">
            <v>CNCV2회조수160SQ</v>
          </cell>
        </row>
        <row r="453">
          <cell r="A453">
            <v>451</v>
          </cell>
          <cell r="C453" t="str">
            <v>CNCV2회조수260SQ</v>
          </cell>
          <cell r="D453">
            <v>1651</v>
          </cell>
        </row>
        <row r="454">
          <cell r="A454">
            <v>452</v>
          </cell>
          <cell r="C454" t="str">
            <v>CNCV2회조수360SQ</v>
          </cell>
        </row>
        <row r="455">
          <cell r="A455">
            <v>453</v>
          </cell>
          <cell r="C455" t="str">
            <v>CNCV3회조수1,60SQ</v>
          </cell>
          <cell r="D455">
            <v>1589</v>
          </cell>
        </row>
        <row r="456">
          <cell r="A456">
            <v>454</v>
          </cell>
          <cell r="C456" t="str">
            <v>CNCV3회조수2,60SQ</v>
          </cell>
          <cell r="D456">
            <v>1589</v>
          </cell>
        </row>
        <row r="457">
          <cell r="A457">
            <v>455</v>
          </cell>
          <cell r="C457" t="str">
            <v>CNCV3회조수3,60SQ</v>
          </cell>
          <cell r="D457">
            <v>1531</v>
          </cell>
        </row>
        <row r="458">
          <cell r="A458">
            <v>456</v>
          </cell>
          <cell r="C458" t="str">
            <v>CNCV4회조수160SQ</v>
          </cell>
        </row>
        <row r="459">
          <cell r="A459">
            <v>457</v>
          </cell>
          <cell r="C459" t="str">
            <v>CNCV4회조수260SQ</v>
          </cell>
        </row>
        <row r="460">
          <cell r="A460">
            <v>458</v>
          </cell>
          <cell r="C460" t="str">
            <v>CNCV4회조수3,60SQ</v>
          </cell>
          <cell r="D460">
            <v>1501</v>
          </cell>
        </row>
        <row r="461">
          <cell r="A461">
            <v>459</v>
          </cell>
          <cell r="C461" t="str">
            <v>CNCV1회조수3,325SQ</v>
          </cell>
          <cell r="D461">
            <v>5169</v>
          </cell>
        </row>
        <row r="462">
          <cell r="A462">
            <v>460</v>
          </cell>
          <cell r="C462" t="str">
            <v>CNCV2회조수3,325SQ</v>
          </cell>
        </row>
        <row r="463">
          <cell r="A463">
            <v>461</v>
          </cell>
          <cell r="C463" t="str">
            <v>CNCV3회조수3,325SQ</v>
          </cell>
          <cell r="D463">
            <v>4479</v>
          </cell>
        </row>
        <row r="464">
          <cell r="A464">
            <v>462</v>
          </cell>
          <cell r="C464" t="str">
            <v>CNCV4회조수3,325SQ</v>
          </cell>
          <cell r="D464">
            <v>4393</v>
          </cell>
        </row>
        <row r="465">
          <cell r="A465">
            <v>463</v>
          </cell>
          <cell r="C465" t="str">
            <v>CV1회조수4 ,22SQ</v>
          </cell>
          <cell r="D465">
            <v>611</v>
          </cell>
        </row>
        <row r="466">
          <cell r="A466">
            <v>464</v>
          </cell>
          <cell r="C466" t="str">
            <v>CV1회조수4 ,38SQ</v>
          </cell>
          <cell r="D466">
            <v>688</v>
          </cell>
        </row>
        <row r="467">
          <cell r="A467">
            <v>465</v>
          </cell>
          <cell r="C467" t="str">
            <v>CV1회조수4 ,60SQ</v>
          </cell>
          <cell r="D467">
            <v>797</v>
          </cell>
        </row>
        <row r="468">
          <cell r="A468">
            <v>466</v>
          </cell>
          <cell r="B468" t="str">
            <v xml:space="preserve">  철거재사용</v>
          </cell>
          <cell r="C468" t="str">
            <v>CV1회조수2 ,22SQ</v>
          </cell>
          <cell r="D468">
            <v>517</v>
          </cell>
        </row>
        <row r="469">
          <cell r="A469">
            <v>467</v>
          </cell>
          <cell r="B469" t="str">
            <v xml:space="preserve">  철거재사용</v>
          </cell>
          <cell r="C469" t="str">
            <v>CV1회조수2 ,38SQ</v>
          </cell>
          <cell r="D469">
            <v>584</v>
          </cell>
        </row>
        <row r="470">
          <cell r="A470">
            <v>468</v>
          </cell>
          <cell r="B470" t="str">
            <v xml:space="preserve">  철거재사용</v>
          </cell>
          <cell r="C470" t="str">
            <v>CV1회조수2 ,60SQ</v>
          </cell>
          <cell r="D470">
            <v>677</v>
          </cell>
        </row>
        <row r="471">
          <cell r="A471">
            <v>469</v>
          </cell>
          <cell r="C471" t="str">
            <v>케이블접속장치 4TS</v>
          </cell>
          <cell r="D471">
            <v>132689</v>
          </cell>
        </row>
        <row r="472">
          <cell r="A472">
            <v>470</v>
          </cell>
          <cell r="C472" t="str">
            <v>케이블접속장치 2TS</v>
          </cell>
          <cell r="D472">
            <v>109506</v>
          </cell>
        </row>
        <row r="473">
          <cell r="A473">
            <v>471</v>
          </cell>
        </row>
        <row r="474">
          <cell r="A474">
            <v>472</v>
          </cell>
        </row>
        <row r="475">
          <cell r="A475">
            <v>473</v>
          </cell>
        </row>
        <row r="476">
          <cell r="A476">
            <v>474</v>
          </cell>
        </row>
        <row r="477">
          <cell r="A477">
            <v>475</v>
          </cell>
        </row>
        <row r="478">
          <cell r="A478">
            <v>476</v>
          </cell>
          <cell r="B478" t="str">
            <v>관로케이블철거</v>
          </cell>
        </row>
        <row r="479">
          <cell r="A479">
            <v>477</v>
          </cell>
          <cell r="C479" t="str">
            <v>CNCV2동시3,  22.9KV60SQ</v>
          </cell>
          <cell r="D479">
            <v>794</v>
          </cell>
        </row>
        <row r="480">
          <cell r="A480">
            <v>478</v>
          </cell>
        </row>
        <row r="481">
          <cell r="A481">
            <v>479</v>
          </cell>
        </row>
        <row r="482">
          <cell r="A482">
            <v>480</v>
          </cell>
        </row>
        <row r="483">
          <cell r="A483">
            <v>481</v>
          </cell>
        </row>
        <row r="484">
          <cell r="A484">
            <v>482</v>
          </cell>
          <cell r="B484" t="str">
            <v>케이블햇드신설</v>
          </cell>
        </row>
        <row r="485">
          <cell r="A485">
            <v>483</v>
          </cell>
          <cell r="C485" t="str">
            <v>전선압축접속95M미만</v>
          </cell>
          <cell r="D485">
            <v>16344</v>
          </cell>
        </row>
        <row r="486">
          <cell r="A486">
            <v>484</v>
          </cell>
          <cell r="C486" t="str">
            <v>전선압축접속95M이상</v>
          </cell>
          <cell r="D486">
            <v>17434</v>
          </cell>
        </row>
        <row r="487">
          <cell r="A487">
            <v>485</v>
          </cell>
          <cell r="C487" t="str">
            <v>종단접속제23KV325SQ3동시</v>
          </cell>
          <cell r="D487">
            <v>216304</v>
          </cell>
        </row>
        <row r="488">
          <cell r="A488">
            <v>486</v>
          </cell>
          <cell r="C488" t="str">
            <v>종단접속제23KV60SQ3동시</v>
          </cell>
        </row>
        <row r="489">
          <cell r="A489">
            <v>487</v>
          </cell>
        </row>
        <row r="490">
          <cell r="A490">
            <v>488</v>
          </cell>
        </row>
        <row r="491">
          <cell r="A491">
            <v>489</v>
          </cell>
        </row>
        <row r="492">
          <cell r="A492">
            <v>490</v>
          </cell>
        </row>
        <row r="493">
          <cell r="A493">
            <v>491</v>
          </cell>
        </row>
        <row r="494">
          <cell r="A494">
            <v>492</v>
          </cell>
        </row>
        <row r="495">
          <cell r="A495">
            <v>493</v>
          </cell>
        </row>
        <row r="496">
          <cell r="A496">
            <v>494</v>
          </cell>
        </row>
        <row r="497">
          <cell r="A497">
            <v>495</v>
          </cell>
        </row>
        <row r="498">
          <cell r="A498">
            <v>496</v>
          </cell>
        </row>
        <row r="499">
          <cell r="A499">
            <v>497</v>
          </cell>
        </row>
        <row r="500">
          <cell r="A500">
            <v>498</v>
          </cell>
        </row>
        <row r="501">
          <cell r="A501">
            <v>499</v>
          </cell>
        </row>
        <row r="502">
          <cell r="A502">
            <v>500</v>
          </cell>
          <cell r="B502" t="str">
            <v>관  로  신  설</v>
          </cell>
        </row>
        <row r="503">
          <cell r="A503">
            <v>501</v>
          </cell>
          <cell r="C503" t="str">
            <v>도통시험특고공300MM1공</v>
          </cell>
          <cell r="D503">
            <v>1826</v>
          </cell>
        </row>
        <row r="504">
          <cell r="A504">
            <v>502</v>
          </cell>
          <cell r="C504" t="str">
            <v>도통시험특고공300MM2공</v>
          </cell>
          <cell r="D504">
            <v>1643</v>
          </cell>
        </row>
        <row r="505">
          <cell r="A505">
            <v>503</v>
          </cell>
          <cell r="C505" t="str">
            <v>도통시험특고공300MM3공</v>
          </cell>
          <cell r="D505">
            <v>1582</v>
          </cell>
        </row>
        <row r="506">
          <cell r="A506">
            <v>504</v>
          </cell>
          <cell r="C506" t="str">
            <v>도통시험특고공300MM4공</v>
          </cell>
          <cell r="D506">
            <v>1552</v>
          </cell>
        </row>
        <row r="507">
          <cell r="A507">
            <v>505</v>
          </cell>
          <cell r="C507" t="str">
            <v>도통시험특고공300MM5공</v>
          </cell>
          <cell r="D507">
            <v>1533</v>
          </cell>
        </row>
        <row r="508">
          <cell r="A508">
            <v>506</v>
          </cell>
          <cell r="C508" t="str">
            <v>도통시험특고공300MM6공</v>
          </cell>
          <cell r="D508">
            <v>1521</v>
          </cell>
        </row>
        <row r="509">
          <cell r="A509">
            <v>507</v>
          </cell>
          <cell r="C509" t="str">
            <v>도통시험특고공150MM1공</v>
          </cell>
          <cell r="D509">
            <v>1498</v>
          </cell>
        </row>
        <row r="510">
          <cell r="A510">
            <v>508</v>
          </cell>
          <cell r="C510" t="str">
            <v>도통시험특고공150MM2공</v>
          </cell>
          <cell r="D510">
            <v>1348</v>
          </cell>
        </row>
        <row r="511">
          <cell r="A511">
            <v>509</v>
          </cell>
          <cell r="C511" t="str">
            <v>도통시험특고공150MM3공</v>
          </cell>
          <cell r="D511">
            <v>1298</v>
          </cell>
        </row>
        <row r="512">
          <cell r="A512">
            <v>510</v>
          </cell>
          <cell r="C512" t="str">
            <v>도통시험특고공150MM4공</v>
          </cell>
          <cell r="D512">
            <v>1273</v>
          </cell>
        </row>
        <row r="513">
          <cell r="A513">
            <v>511</v>
          </cell>
          <cell r="C513" t="str">
            <v>도통시험특고공150MM5공</v>
          </cell>
          <cell r="D513">
            <v>1258</v>
          </cell>
        </row>
        <row r="514">
          <cell r="A514">
            <v>512</v>
          </cell>
          <cell r="C514" t="str">
            <v>도통시험특고공150MM6공</v>
          </cell>
          <cell r="D514">
            <v>1248</v>
          </cell>
        </row>
        <row r="515">
          <cell r="A515">
            <v>513</v>
          </cell>
          <cell r="C515" t="str">
            <v>도통시험저압공150MM1공</v>
          </cell>
          <cell r="D515">
            <v>1221</v>
          </cell>
        </row>
        <row r="516">
          <cell r="A516">
            <v>514</v>
          </cell>
          <cell r="C516" t="str">
            <v>도통시험저압공150MM2공</v>
          </cell>
          <cell r="D516">
            <v>1098</v>
          </cell>
        </row>
        <row r="517">
          <cell r="A517">
            <v>515</v>
          </cell>
          <cell r="C517" t="str">
            <v>도통시험저압공150MM3공</v>
          </cell>
          <cell r="D517">
            <v>1058</v>
          </cell>
        </row>
        <row r="518">
          <cell r="A518">
            <v>516</v>
          </cell>
          <cell r="C518" t="str">
            <v>도통시험저압공150MM4공</v>
          </cell>
          <cell r="D518">
            <v>1037</v>
          </cell>
        </row>
        <row r="519">
          <cell r="A519">
            <v>517</v>
          </cell>
          <cell r="C519" t="str">
            <v>도통시험저압공150MM5공</v>
          </cell>
          <cell r="D519">
            <v>1025</v>
          </cell>
        </row>
        <row r="520">
          <cell r="A520">
            <v>518</v>
          </cell>
          <cell r="C520" t="str">
            <v>도통시험저압공150MM6공</v>
          </cell>
          <cell r="D520">
            <v>1017</v>
          </cell>
        </row>
        <row r="521">
          <cell r="A521">
            <v>519</v>
          </cell>
        </row>
        <row r="522">
          <cell r="A522">
            <v>520</v>
          </cell>
        </row>
        <row r="523">
          <cell r="A523">
            <v>521</v>
          </cell>
        </row>
        <row r="524">
          <cell r="A524">
            <v>522</v>
          </cell>
        </row>
        <row r="525">
          <cell r="A525">
            <v>523</v>
          </cell>
        </row>
        <row r="526">
          <cell r="A526">
            <v>524</v>
          </cell>
        </row>
        <row r="527">
          <cell r="A527">
            <v>525</v>
          </cell>
        </row>
        <row r="528">
          <cell r="A528">
            <v>526</v>
          </cell>
        </row>
        <row r="529">
          <cell r="A529">
            <v>527</v>
          </cell>
        </row>
        <row r="530">
          <cell r="A530">
            <v>528</v>
          </cell>
        </row>
        <row r="531">
          <cell r="A531">
            <v>529</v>
          </cell>
        </row>
        <row r="532">
          <cell r="A532">
            <v>530</v>
          </cell>
          <cell r="B532" t="str">
            <v>맨  홀  신  설</v>
          </cell>
        </row>
        <row r="533">
          <cell r="A533">
            <v>531</v>
          </cell>
          <cell r="C533" t="str">
            <v>접지공사1-2*1본</v>
          </cell>
          <cell r="D533">
            <v>21793</v>
          </cell>
        </row>
        <row r="534">
          <cell r="A534">
            <v>532</v>
          </cell>
          <cell r="C534" t="str">
            <v>접지공사1-2*3본</v>
          </cell>
          <cell r="D534">
            <v>88448</v>
          </cell>
        </row>
        <row r="535">
          <cell r="A535">
            <v>533</v>
          </cell>
          <cell r="C535" t="str">
            <v>고무아스팔트에멜젼도막방수</v>
          </cell>
          <cell r="D535">
            <v>12930</v>
          </cell>
        </row>
        <row r="536">
          <cell r="A536">
            <v>534</v>
          </cell>
          <cell r="C536" t="str">
            <v>접지선매설</v>
          </cell>
          <cell r="D536">
            <v>1083</v>
          </cell>
        </row>
        <row r="537">
          <cell r="A537">
            <v>535</v>
          </cell>
        </row>
        <row r="538">
          <cell r="A538">
            <v>536</v>
          </cell>
        </row>
        <row r="539">
          <cell r="A539">
            <v>537</v>
          </cell>
        </row>
        <row r="540">
          <cell r="A540">
            <v>538</v>
          </cell>
        </row>
        <row r="541">
          <cell r="A541">
            <v>539</v>
          </cell>
        </row>
        <row r="542">
          <cell r="A542">
            <v>540</v>
          </cell>
        </row>
        <row r="543">
          <cell r="A543">
            <v>541</v>
          </cell>
        </row>
        <row r="544">
          <cell r="A544">
            <v>542</v>
          </cell>
        </row>
        <row r="545">
          <cell r="A545">
            <v>543</v>
          </cell>
        </row>
        <row r="546">
          <cell r="A546">
            <v>544</v>
          </cell>
        </row>
        <row r="547">
          <cell r="A547">
            <v>545</v>
          </cell>
        </row>
        <row r="548">
          <cell r="A548">
            <v>546</v>
          </cell>
        </row>
        <row r="549">
          <cell r="A549">
            <v>547</v>
          </cell>
        </row>
        <row r="550">
          <cell r="A550">
            <v>548</v>
          </cell>
        </row>
        <row r="551">
          <cell r="A551">
            <v>549</v>
          </cell>
        </row>
        <row r="552">
          <cell r="A552">
            <v>550</v>
          </cell>
          <cell r="B552" t="str">
            <v>핸 드 홀 신 설</v>
          </cell>
        </row>
        <row r="553">
          <cell r="A553">
            <v>551</v>
          </cell>
          <cell r="C553" t="str">
            <v>접지공사1-2*1본(개당)</v>
          </cell>
          <cell r="D553">
            <v>21793</v>
          </cell>
        </row>
        <row r="554">
          <cell r="A554">
            <v>552</v>
          </cell>
        </row>
        <row r="555">
          <cell r="A555">
            <v>553</v>
          </cell>
        </row>
        <row r="556">
          <cell r="A556">
            <v>554</v>
          </cell>
        </row>
        <row r="557">
          <cell r="A557">
            <v>555</v>
          </cell>
        </row>
        <row r="558">
          <cell r="A558">
            <v>556</v>
          </cell>
        </row>
        <row r="559">
          <cell r="A559">
            <v>557</v>
          </cell>
        </row>
        <row r="560">
          <cell r="A560">
            <v>558</v>
          </cell>
        </row>
        <row r="561">
          <cell r="A561">
            <v>559</v>
          </cell>
        </row>
        <row r="562">
          <cell r="A562">
            <v>560</v>
          </cell>
          <cell r="B562" t="str">
            <v>개 폐 기 신 설</v>
          </cell>
        </row>
        <row r="563">
          <cell r="A563">
            <v>561</v>
          </cell>
          <cell r="C563" t="str">
            <v>접지공사1-2*1본(개당)</v>
          </cell>
          <cell r="D563">
            <v>21793</v>
          </cell>
        </row>
        <row r="564">
          <cell r="A564">
            <v>562</v>
          </cell>
          <cell r="C564" t="str">
            <v>개폐기신설인력</v>
          </cell>
          <cell r="D564">
            <v>290065</v>
          </cell>
        </row>
        <row r="565">
          <cell r="A565">
            <v>563</v>
          </cell>
          <cell r="C565" t="str">
            <v>개폐기엘보60SQ1동시</v>
          </cell>
          <cell r="D565">
            <v>56183</v>
          </cell>
        </row>
        <row r="566">
          <cell r="A566">
            <v>564</v>
          </cell>
          <cell r="C566" t="str">
            <v>개폐기엘보60SQ2동시</v>
          </cell>
          <cell r="D566">
            <v>50565</v>
          </cell>
        </row>
        <row r="567">
          <cell r="A567">
            <v>565</v>
          </cell>
          <cell r="C567" t="str">
            <v>개폐기엘보60SQ3동시</v>
          </cell>
          <cell r="D567">
            <v>48692</v>
          </cell>
        </row>
        <row r="568">
          <cell r="A568">
            <v>566</v>
          </cell>
          <cell r="C568" t="str">
            <v>개폐기엘보60SQ4동시</v>
          </cell>
          <cell r="D568">
            <v>47756</v>
          </cell>
        </row>
        <row r="569">
          <cell r="A569">
            <v>567</v>
          </cell>
          <cell r="C569" t="str">
            <v>개폐기엘보60SQ5동시</v>
          </cell>
          <cell r="D569">
            <v>47194</v>
          </cell>
        </row>
        <row r="570">
          <cell r="A570">
            <v>568</v>
          </cell>
          <cell r="C570" t="str">
            <v>개폐기엘보60SQ6동시</v>
          </cell>
          <cell r="D570">
            <v>46819</v>
          </cell>
        </row>
        <row r="571">
          <cell r="A571">
            <v>569</v>
          </cell>
          <cell r="C571" t="str">
            <v>개폐기엘보60SQ7동시</v>
          </cell>
          <cell r="D571">
            <v>46552</v>
          </cell>
        </row>
        <row r="572">
          <cell r="A572">
            <v>570</v>
          </cell>
          <cell r="C572" t="str">
            <v>개폐기엘보60SQ8동시</v>
          </cell>
          <cell r="D572">
            <v>46351</v>
          </cell>
        </row>
        <row r="573">
          <cell r="A573">
            <v>571</v>
          </cell>
          <cell r="C573" t="str">
            <v>개폐기엘보60SQ9동시</v>
          </cell>
          <cell r="D573">
            <v>46195</v>
          </cell>
        </row>
        <row r="574">
          <cell r="A574">
            <v>572</v>
          </cell>
          <cell r="C574" t="str">
            <v>개폐기엘보60SQ10동시</v>
          </cell>
          <cell r="D574">
            <v>46070</v>
          </cell>
        </row>
        <row r="575">
          <cell r="A575">
            <v>573</v>
          </cell>
          <cell r="C575" t="str">
            <v>개폐기엘보60SQ11동시</v>
          </cell>
          <cell r="D575">
            <v>45968</v>
          </cell>
        </row>
        <row r="576">
          <cell r="A576">
            <v>574</v>
          </cell>
          <cell r="C576" t="str">
            <v>개폐기엘보60SQ12동시</v>
          </cell>
          <cell r="D576">
            <v>45883</v>
          </cell>
        </row>
        <row r="577">
          <cell r="A577">
            <v>575</v>
          </cell>
          <cell r="C577" t="str">
            <v>개폐기엘보325SQ3동시</v>
          </cell>
          <cell r="D577">
            <v>70229</v>
          </cell>
        </row>
        <row r="578">
          <cell r="A578">
            <v>576</v>
          </cell>
          <cell r="C578" t="str">
            <v>개폐기엘보325SQ6동시</v>
          </cell>
          <cell r="D578">
            <v>67528</v>
          </cell>
        </row>
        <row r="579">
          <cell r="A579">
            <v>577</v>
          </cell>
          <cell r="C579" t="str">
            <v>개폐기엘보325SQ9동시</v>
          </cell>
          <cell r="D579">
            <v>66628</v>
          </cell>
        </row>
        <row r="580">
          <cell r="A580">
            <v>578</v>
          </cell>
          <cell r="C580" t="str">
            <v>개폐기엘보325SQ12동시</v>
          </cell>
          <cell r="D580">
            <v>66177</v>
          </cell>
        </row>
        <row r="581">
          <cell r="A581">
            <v>579</v>
          </cell>
          <cell r="C581" t="str">
            <v>접지선메설(M당)</v>
          </cell>
          <cell r="D581">
            <v>1083</v>
          </cell>
        </row>
        <row r="582">
          <cell r="A582">
            <v>580</v>
          </cell>
        </row>
        <row r="583">
          <cell r="A583">
            <v>581</v>
          </cell>
        </row>
        <row r="584">
          <cell r="A584">
            <v>582</v>
          </cell>
        </row>
        <row r="585">
          <cell r="A585">
            <v>583</v>
          </cell>
          <cell r="B585" t="str">
            <v xml:space="preserve">         철거</v>
          </cell>
          <cell r="C585" t="str">
            <v>개폐기엘보60SQ  3동시</v>
          </cell>
          <cell r="D585">
            <v>24346</v>
          </cell>
        </row>
        <row r="586">
          <cell r="A586">
            <v>584</v>
          </cell>
          <cell r="B586" t="str">
            <v xml:space="preserve">         철거</v>
          </cell>
          <cell r="C586" t="str">
            <v>개폐기엘보60SQ  6동시</v>
          </cell>
          <cell r="D586">
            <v>23409</v>
          </cell>
        </row>
        <row r="587">
          <cell r="A587">
            <v>585</v>
          </cell>
          <cell r="B587" t="str">
            <v xml:space="preserve">         철거</v>
          </cell>
          <cell r="C587" t="str">
            <v>개페기엘보60SQ  9동시</v>
          </cell>
          <cell r="D587">
            <v>23097</v>
          </cell>
        </row>
        <row r="588">
          <cell r="A588">
            <v>586</v>
          </cell>
        </row>
        <row r="589">
          <cell r="A589">
            <v>587</v>
          </cell>
        </row>
        <row r="590">
          <cell r="A590">
            <v>588</v>
          </cell>
        </row>
        <row r="591">
          <cell r="A591">
            <v>589</v>
          </cell>
        </row>
        <row r="592">
          <cell r="A592">
            <v>590</v>
          </cell>
        </row>
        <row r="593">
          <cell r="A593">
            <v>591</v>
          </cell>
        </row>
        <row r="594">
          <cell r="A594">
            <v>592</v>
          </cell>
        </row>
        <row r="595">
          <cell r="A595">
            <v>593</v>
          </cell>
        </row>
        <row r="596">
          <cell r="A596">
            <v>594</v>
          </cell>
        </row>
        <row r="597">
          <cell r="A597">
            <v>595</v>
          </cell>
        </row>
        <row r="598">
          <cell r="A598">
            <v>596</v>
          </cell>
        </row>
        <row r="599">
          <cell r="A599">
            <v>597</v>
          </cell>
        </row>
        <row r="600">
          <cell r="A600">
            <v>598</v>
          </cell>
        </row>
        <row r="601">
          <cell r="A601">
            <v>599</v>
          </cell>
        </row>
        <row r="602">
          <cell r="A602">
            <v>600</v>
          </cell>
        </row>
        <row r="603">
          <cell r="A603">
            <v>601</v>
          </cell>
        </row>
        <row r="604">
          <cell r="A604">
            <v>602</v>
          </cell>
        </row>
        <row r="605">
          <cell r="A605">
            <v>603</v>
          </cell>
        </row>
        <row r="606">
          <cell r="A606">
            <v>604</v>
          </cell>
        </row>
        <row r="607">
          <cell r="A607">
            <v>605</v>
          </cell>
        </row>
        <row r="608">
          <cell r="A608">
            <v>606</v>
          </cell>
        </row>
        <row r="609">
          <cell r="A609">
            <v>607</v>
          </cell>
        </row>
        <row r="610">
          <cell r="A610">
            <v>608</v>
          </cell>
        </row>
        <row r="611">
          <cell r="A611">
            <v>609</v>
          </cell>
        </row>
        <row r="612">
          <cell r="A612">
            <v>610</v>
          </cell>
          <cell r="B612" t="str">
            <v>변 압 기 공 사</v>
          </cell>
        </row>
        <row r="613">
          <cell r="A613">
            <v>611</v>
          </cell>
          <cell r="C613" t="str">
            <v>접지공사1-2*1본(개당)</v>
          </cell>
          <cell r="D613">
            <v>21793</v>
          </cell>
        </row>
        <row r="614">
          <cell r="A614">
            <v>612</v>
          </cell>
          <cell r="C614" t="str">
            <v>접지선메설(M당)</v>
          </cell>
          <cell r="D614">
            <v>1083</v>
          </cell>
        </row>
        <row r="615">
          <cell r="A615">
            <v>613</v>
          </cell>
        </row>
        <row r="616">
          <cell r="A616">
            <v>614</v>
          </cell>
        </row>
        <row r="617">
          <cell r="A617">
            <v>615</v>
          </cell>
        </row>
        <row r="618">
          <cell r="A618">
            <v>616</v>
          </cell>
        </row>
        <row r="619">
          <cell r="A619">
            <v>617</v>
          </cell>
        </row>
        <row r="620">
          <cell r="A620">
            <v>618</v>
          </cell>
        </row>
        <row r="621">
          <cell r="A621">
            <v>619</v>
          </cell>
        </row>
        <row r="622">
          <cell r="A622">
            <v>620</v>
          </cell>
          <cell r="B622" t="str">
            <v>인력비용B(0.7)</v>
          </cell>
        </row>
        <row r="623">
          <cell r="A623">
            <v>621</v>
          </cell>
          <cell r="B623" t="str">
            <v>관로케이블신설</v>
          </cell>
        </row>
        <row r="624">
          <cell r="A624">
            <v>622</v>
          </cell>
          <cell r="C624" t="str">
            <v>행거취브(특고압)</v>
          </cell>
          <cell r="D624">
            <v>1417</v>
          </cell>
        </row>
        <row r="625">
          <cell r="A625">
            <v>623</v>
          </cell>
          <cell r="C625" t="str">
            <v>써포트2M이하1동시</v>
          </cell>
          <cell r="D625">
            <v>2835</v>
          </cell>
        </row>
        <row r="626">
          <cell r="A626">
            <v>624</v>
          </cell>
          <cell r="C626" t="str">
            <v>써포트2M이하2동시</v>
          </cell>
          <cell r="D626">
            <v>2551</v>
          </cell>
        </row>
        <row r="627">
          <cell r="A627">
            <v>625</v>
          </cell>
          <cell r="C627" t="str">
            <v>써포트2M이하3동시</v>
          </cell>
          <cell r="D627">
            <v>2457</v>
          </cell>
        </row>
        <row r="628">
          <cell r="A628">
            <v>626</v>
          </cell>
          <cell r="C628" t="str">
            <v>써포트2M이하4동시</v>
          </cell>
          <cell r="D628">
            <v>2410</v>
          </cell>
        </row>
        <row r="629">
          <cell r="A629">
            <v>627</v>
          </cell>
          <cell r="C629" t="str">
            <v>써포트2M이하5동시</v>
          </cell>
          <cell r="D629">
            <v>2381</v>
          </cell>
        </row>
        <row r="630">
          <cell r="A630">
            <v>628</v>
          </cell>
          <cell r="C630" t="str">
            <v>써포트2M이하6동시</v>
          </cell>
          <cell r="D630">
            <v>2362</v>
          </cell>
        </row>
        <row r="631">
          <cell r="A631">
            <v>629</v>
          </cell>
          <cell r="C631" t="str">
            <v>써포트2M이하7동시</v>
          </cell>
          <cell r="D631">
            <v>2349</v>
          </cell>
        </row>
        <row r="632">
          <cell r="A632">
            <v>630</v>
          </cell>
          <cell r="C632" t="str">
            <v>써포트2M이하8동시</v>
          </cell>
          <cell r="D632">
            <v>2338</v>
          </cell>
        </row>
        <row r="633">
          <cell r="A633">
            <v>631</v>
          </cell>
          <cell r="C633" t="str">
            <v>써포트2M이하9동시</v>
          </cell>
          <cell r="D633">
            <v>2330</v>
          </cell>
        </row>
        <row r="634">
          <cell r="A634">
            <v>632</v>
          </cell>
          <cell r="C634" t="str">
            <v>써포트2M이하10동시</v>
          </cell>
          <cell r="D634">
            <v>2324</v>
          </cell>
        </row>
        <row r="635">
          <cell r="A635">
            <v>633</v>
          </cell>
          <cell r="C635" t="str">
            <v>써포트2M이하11동시</v>
          </cell>
          <cell r="D635">
            <v>2319</v>
          </cell>
        </row>
        <row r="636">
          <cell r="A636">
            <v>634</v>
          </cell>
          <cell r="C636" t="str">
            <v>써포트2M이하12동시</v>
          </cell>
          <cell r="D636">
            <v>2315</v>
          </cell>
        </row>
        <row r="637">
          <cell r="A637">
            <v>635</v>
          </cell>
          <cell r="C637" t="str">
            <v>크리트취브선조임</v>
          </cell>
          <cell r="D637">
            <v>5269</v>
          </cell>
        </row>
        <row r="638">
          <cell r="A638">
            <v>636</v>
          </cell>
          <cell r="C638" t="str">
            <v>크리트취부하부고정</v>
          </cell>
          <cell r="D638">
            <v>2634</v>
          </cell>
        </row>
        <row r="639">
          <cell r="A639">
            <v>637</v>
          </cell>
          <cell r="C639" t="str">
            <v>아카볼트</v>
          </cell>
          <cell r="D639">
            <v>5269</v>
          </cell>
        </row>
        <row r="640">
          <cell r="A640">
            <v>638</v>
          </cell>
          <cell r="C640" t="str">
            <v>지중용표시찰취부(특고압)</v>
          </cell>
          <cell r="D640">
            <v>893</v>
          </cell>
        </row>
        <row r="641">
          <cell r="A641">
            <v>639</v>
          </cell>
          <cell r="C641" t="str">
            <v>지중용표시찰취부(저압)</v>
          </cell>
          <cell r="D641">
            <v>680</v>
          </cell>
        </row>
        <row r="642">
          <cell r="A642">
            <v>640</v>
          </cell>
          <cell r="C642" t="str">
            <v>특고압케이블지중선로표시기</v>
          </cell>
          <cell r="D642">
            <v>10940</v>
          </cell>
        </row>
        <row r="643">
          <cell r="A643">
            <v>641</v>
          </cell>
          <cell r="C643" t="str">
            <v>삽입형관로구방수장치1동시</v>
          </cell>
          <cell r="D643">
            <v>23392</v>
          </cell>
        </row>
        <row r="644">
          <cell r="A644">
            <v>642</v>
          </cell>
          <cell r="C644" t="str">
            <v>삽입형관로구방수장치2동시</v>
          </cell>
          <cell r="D644">
            <v>21053</v>
          </cell>
        </row>
        <row r="645">
          <cell r="A645">
            <v>643</v>
          </cell>
          <cell r="C645" t="str">
            <v>삽입형관로구방수장치3동시</v>
          </cell>
          <cell r="D645">
            <v>20273</v>
          </cell>
        </row>
        <row r="646">
          <cell r="A646">
            <v>644</v>
          </cell>
          <cell r="C646" t="str">
            <v>삽입형관로구방수장치4동시</v>
          </cell>
          <cell r="D646">
            <v>19883</v>
          </cell>
        </row>
        <row r="647">
          <cell r="A647">
            <v>645</v>
          </cell>
          <cell r="C647" t="str">
            <v>삽입형관로구방수장치5동시</v>
          </cell>
          <cell r="D647">
            <v>19649</v>
          </cell>
        </row>
        <row r="648">
          <cell r="A648">
            <v>646</v>
          </cell>
          <cell r="C648" t="str">
            <v>삽입형관로구방수장치6동시</v>
          </cell>
          <cell r="D648">
            <v>19493</v>
          </cell>
        </row>
        <row r="649">
          <cell r="A649">
            <v>647</v>
          </cell>
          <cell r="C649" t="str">
            <v>삽입형관로구방수장치7동시</v>
          </cell>
          <cell r="D649">
            <v>19381</v>
          </cell>
        </row>
        <row r="650">
          <cell r="A650">
            <v>648</v>
          </cell>
          <cell r="C650" t="str">
            <v>삽입형관로구방수장치8동시</v>
          </cell>
          <cell r="D650">
            <v>19298</v>
          </cell>
        </row>
        <row r="651">
          <cell r="A651">
            <v>649</v>
          </cell>
          <cell r="C651" t="str">
            <v>삽입형관로구방수장치9동시</v>
          </cell>
          <cell r="D651">
            <v>19233</v>
          </cell>
        </row>
        <row r="652">
          <cell r="A652">
            <v>650</v>
          </cell>
          <cell r="C652" t="str">
            <v>삽입형관로구방수장치10동시</v>
          </cell>
          <cell r="D652">
            <v>19181</v>
          </cell>
        </row>
        <row r="653">
          <cell r="A653">
            <v>651</v>
          </cell>
          <cell r="C653" t="str">
            <v>삽입형관로구방수장치11동시</v>
          </cell>
          <cell r="D653">
            <v>19138</v>
          </cell>
        </row>
        <row r="654">
          <cell r="A654">
            <v>652</v>
          </cell>
          <cell r="C654" t="str">
            <v>삽입형관로구방수장치12동시</v>
          </cell>
          <cell r="D654">
            <v>19103</v>
          </cell>
        </row>
        <row r="655">
          <cell r="A655">
            <v>653</v>
          </cell>
          <cell r="C655" t="str">
            <v>동관단자단말처리 22SQ(7/2.0)</v>
          </cell>
          <cell r="D655">
            <v>6445</v>
          </cell>
        </row>
        <row r="656">
          <cell r="A656">
            <v>654</v>
          </cell>
          <cell r="C656" t="str">
            <v>동관단자단말처리 38SQ(7/2.6)</v>
          </cell>
          <cell r="D656">
            <v>7654</v>
          </cell>
        </row>
        <row r="657">
          <cell r="A657">
            <v>655</v>
          </cell>
          <cell r="C657" t="str">
            <v>동관단자단말처리 60SQ(19/2.0)</v>
          </cell>
          <cell r="D657">
            <v>9265</v>
          </cell>
        </row>
        <row r="658">
          <cell r="A658">
            <v>656</v>
          </cell>
          <cell r="C658" t="str">
            <v>강제전선관(ST54)</v>
          </cell>
          <cell r="D658">
            <v>21308</v>
          </cell>
        </row>
        <row r="659">
          <cell r="A659">
            <v>657</v>
          </cell>
        </row>
        <row r="660">
          <cell r="A660">
            <v>658</v>
          </cell>
        </row>
        <row r="661">
          <cell r="A661">
            <v>659</v>
          </cell>
        </row>
        <row r="662">
          <cell r="A662">
            <v>660</v>
          </cell>
        </row>
        <row r="663">
          <cell r="A663">
            <v>661</v>
          </cell>
        </row>
        <row r="664">
          <cell r="A664">
            <v>662</v>
          </cell>
          <cell r="B664" t="str">
            <v>관로케이블철거</v>
          </cell>
        </row>
        <row r="665">
          <cell r="A665">
            <v>663</v>
          </cell>
          <cell r="C665" t="str">
            <v>지중용표시찰(특고압)</v>
          </cell>
          <cell r="D665">
            <v>446</v>
          </cell>
        </row>
        <row r="666">
          <cell r="A666">
            <v>664</v>
          </cell>
          <cell r="C666" t="str">
            <v>삽입형관로구방수장치1동시</v>
          </cell>
          <cell r="D666">
            <v>11969</v>
          </cell>
        </row>
        <row r="667">
          <cell r="A667">
            <v>665</v>
          </cell>
          <cell r="C667" t="str">
            <v>삽입형관로구방수장치2동시</v>
          </cell>
          <cell r="D667">
            <v>10526</v>
          </cell>
        </row>
        <row r="668">
          <cell r="A668">
            <v>666</v>
          </cell>
          <cell r="C668" t="str">
            <v>삽입형관로구방수장치3동시</v>
          </cell>
          <cell r="D668">
            <v>10136</v>
          </cell>
        </row>
        <row r="669">
          <cell r="A669">
            <v>667</v>
          </cell>
          <cell r="C669" t="str">
            <v>삽입형관로구방수장치4동시</v>
          </cell>
          <cell r="D669">
            <v>9941</v>
          </cell>
        </row>
        <row r="670">
          <cell r="A670">
            <v>668</v>
          </cell>
          <cell r="C670" t="str">
            <v>삽입형관로구방수장치5동시</v>
          </cell>
          <cell r="D670">
            <v>9824</v>
          </cell>
        </row>
        <row r="671">
          <cell r="A671">
            <v>669</v>
          </cell>
          <cell r="C671" t="str">
            <v>삽입형관로구방수장치6동시</v>
          </cell>
          <cell r="D671">
            <v>9746</v>
          </cell>
        </row>
        <row r="672">
          <cell r="A672">
            <v>670</v>
          </cell>
          <cell r="C672" t="str">
            <v>삽입형관로구방수장치7동시</v>
          </cell>
          <cell r="D672">
            <v>9690</v>
          </cell>
        </row>
        <row r="673">
          <cell r="A673">
            <v>671</v>
          </cell>
          <cell r="C673" t="str">
            <v>삽입형관로구방수장치8동시</v>
          </cell>
          <cell r="D673">
            <v>9649</v>
          </cell>
        </row>
        <row r="674">
          <cell r="A674">
            <v>672</v>
          </cell>
          <cell r="C674" t="str">
            <v>삽입형관로구방수장치9동시</v>
          </cell>
          <cell r="D674">
            <v>9616</v>
          </cell>
        </row>
        <row r="675">
          <cell r="A675">
            <v>673</v>
          </cell>
          <cell r="C675" t="str">
            <v>삽입형관로구방수장치10동시</v>
          </cell>
          <cell r="D675">
            <v>9590</v>
          </cell>
        </row>
        <row r="676">
          <cell r="A676">
            <v>674</v>
          </cell>
        </row>
        <row r="677">
          <cell r="A677">
            <v>675</v>
          </cell>
        </row>
        <row r="678">
          <cell r="A678">
            <v>676</v>
          </cell>
        </row>
        <row r="679">
          <cell r="A679">
            <v>677</v>
          </cell>
        </row>
        <row r="680">
          <cell r="A680">
            <v>678</v>
          </cell>
        </row>
        <row r="681">
          <cell r="A681">
            <v>679</v>
          </cell>
        </row>
        <row r="682">
          <cell r="A682">
            <v>680</v>
          </cell>
        </row>
        <row r="683">
          <cell r="A683">
            <v>681</v>
          </cell>
        </row>
        <row r="684">
          <cell r="A684">
            <v>682</v>
          </cell>
        </row>
        <row r="685">
          <cell r="A685">
            <v>683</v>
          </cell>
        </row>
        <row r="686">
          <cell r="A686">
            <v>684</v>
          </cell>
          <cell r="B686" t="str">
            <v>케이블햇드신설</v>
          </cell>
        </row>
        <row r="687">
          <cell r="A687">
            <v>685</v>
          </cell>
          <cell r="C687" t="str">
            <v>케이블지지금구(220)</v>
          </cell>
          <cell r="D687">
            <v>48011</v>
          </cell>
        </row>
        <row r="688">
          <cell r="A688">
            <v>686</v>
          </cell>
          <cell r="C688" t="str">
            <v>전주용입상관130*2.2*2</v>
          </cell>
          <cell r="D688">
            <v>46709</v>
          </cell>
        </row>
        <row r="689">
          <cell r="A689">
            <v>687</v>
          </cell>
          <cell r="C689" t="str">
            <v>분기스리브카바</v>
          </cell>
          <cell r="D689">
            <v>4232</v>
          </cell>
        </row>
        <row r="690">
          <cell r="A690">
            <v>688</v>
          </cell>
          <cell r="C690" t="str">
            <v>분기스리브카바4동시</v>
          </cell>
          <cell r="D690">
            <v>2010</v>
          </cell>
        </row>
        <row r="691">
          <cell r="A691">
            <v>689</v>
          </cell>
          <cell r="C691" t="str">
            <v>조립식반활관</v>
          </cell>
          <cell r="D691">
            <v>46709</v>
          </cell>
        </row>
        <row r="692">
          <cell r="A692">
            <v>690</v>
          </cell>
          <cell r="C692" t="str">
            <v>인하선3선식</v>
          </cell>
          <cell r="D692">
            <v>13692</v>
          </cell>
        </row>
        <row r="693">
          <cell r="A693">
            <v>691</v>
          </cell>
        </row>
        <row r="694">
          <cell r="A694">
            <v>692</v>
          </cell>
        </row>
        <row r="695">
          <cell r="A695">
            <v>693</v>
          </cell>
        </row>
        <row r="696">
          <cell r="A696">
            <v>694</v>
          </cell>
        </row>
        <row r="697">
          <cell r="A697">
            <v>695</v>
          </cell>
        </row>
        <row r="698">
          <cell r="A698">
            <v>696</v>
          </cell>
        </row>
        <row r="699">
          <cell r="A699">
            <v>697</v>
          </cell>
        </row>
        <row r="700">
          <cell r="A700">
            <v>698</v>
          </cell>
        </row>
        <row r="701">
          <cell r="A701">
            <v>699</v>
          </cell>
        </row>
        <row r="702">
          <cell r="A702">
            <v>700</v>
          </cell>
          <cell r="B702" t="str">
            <v>관 로 신 설</v>
          </cell>
        </row>
        <row r="703">
          <cell r="A703">
            <v>701</v>
          </cell>
          <cell r="C703" t="str">
            <v>토사터파기(보통토)인력0-1M</v>
          </cell>
          <cell r="D703">
            <v>7276</v>
          </cell>
        </row>
        <row r="704">
          <cell r="A704">
            <v>702</v>
          </cell>
          <cell r="C704" t="str">
            <v>토사터파기(보통토)인력1-2M</v>
          </cell>
          <cell r="D704">
            <v>9822</v>
          </cell>
        </row>
        <row r="705">
          <cell r="A705">
            <v>703</v>
          </cell>
          <cell r="C705" t="str">
            <v>원토되메우기다지기인력</v>
          </cell>
          <cell r="D705">
            <v>7639</v>
          </cell>
        </row>
        <row r="706">
          <cell r="A706">
            <v>704</v>
          </cell>
          <cell r="C706" t="str">
            <v>포장파괴(AS)인력</v>
          </cell>
          <cell r="D706">
            <v>77369</v>
          </cell>
        </row>
        <row r="707">
          <cell r="A707">
            <v>705</v>
          </cell>
          <cell r="C707" t="str">
            <v>보도불럭철거및가복구</v>
          </cell>
          <cell r="D707">
            <v>3542</v>
          </cell>
        </row>
        <row r="708">
          <cell r="A708">
            <v>706</v>
          </cell>
          <cell r="C708" t="str">
            <v>강관부설200MM동시4공</v>
          </cell>
          <cell r="D708">
            <v>16624</v>
          </cell>
        </row>
        <row r="709">
          <cell r="A709">
            <v>707</v>
          </cell>
          <cell r="C709" t="str">
            <v>강관부설200MM동시3공</v>
          </cell>
        </row>
        <row r="710">
          <cell r="A710">
            <v>708</v>
          </cell>
          <cell r="C710" t="str">
            <v>강관부설200MM동시2공</v>
          </cell>
        </row>
        <row r="711">
          <cell r="A711">
            <v>709</v>
          </cell>
          <cell r="C711" t="str">
            <v>강관부설200MM동시1공</v>
          </cell>
        </row>
        <row r="712">
          <cell r="A712">
            <v>710</v>
          </cell>
          <cell r="C712" t="str">
            <v>레미콘타설R-40-135-8</v>
          </cell>
          <cell r="D712">
            <v>30354</v>
          </cell>
        </row>
        <row r="713">
          <cell r="A713">
            <v>711</v>
          </cell>
          <cell r="C713" t="str">
            <v>거프집설치6회</v>
          </cell>
          <cell r="D713">
            <v>8934</v>
          </cell>
        </row>
        <row r="714">
          <cell r="A714">
            <v>712</v>
          </cell>
          <cell r="C714" t="str">
            <v>표지시트부설</v>
          </cell>
          <cell r="D714">
            <v>36</v>
          </cell>
        </row>
        <row r="715">
          <cell r="A715">
            <v>713</v>
          </cell>
          <cell r="C715" t="str">
            <v>100MM이종접속관설치</v>
          </cell>
          <cell r="D715">
            <v>12447</v>
          </cell>
        </row>
        <row r="716">
          <cell r="A716">
            <v>714</v>
          </cell>
          <cell r="C716" t="str">
            <v>파형관부설100MM1공</v>
          </cell>
          <cell r="D716">
            <v>3659</v>
          </cell>
        </row>
        <row r="717">
          <cell r="A717">
            <v>715</v>
          </cell>
          <cell r="C717" t="str">
            <v>파형관부설100MM2공</v>
          </cell>
          <cell r="D717">
            <v>3293</v>
          </cell>
        </row>
        <row r="718">
          <cell r="A718">
            <v>716</v>
          </cell>
          <cell r="C718" t="str">
            <v>파형관부설100MM3공</v>
          </cell>
          <cell r="D718">
            <v>3171</v>
          </cell>
        </row>
        <row r="719">
          <cell r="A719">
            <v>717</v>
          </cell>
          <cell r="C719" t="str">
            <v>파형관부설100MM4공</v>
          </cell>
          <cell r="D719">
            <v>3110</v>
          </cell>
        </row>
        <row r="720">
          <cell r="A720">
            <v>718</v>
          </cell>
          <cell r="C720" t="str">
            <v>파형관부설100MM6공</v>
          </cell>
          <cell r="D720">
            <v>2561</v>
          </cell>
        </row>
        <row r="721">
          <cell r="A721">
            <v>719</v>
          </cell>
          <cell r="C721" t="str">
            <v>파형관부설100MM8공</v>
          </cell>
          <cell r="D721">
            <v>2286</v>
          </cell>
        </row>
        <row r="722">
          <cell r="A722">
            <v>720</v>
          </cell>
          <cell r="C722" t="str">
            <v>파형관부설125MM1공</v>
          </cell>
          <cell r="D722">
            <v>5003</v>
          </cell>
        </row>
        <row r="723">
          <cell r="A723">
            <v>721</v>
          </cell>
          <cell r="C723" t="str">
            <v>파형관부설125MM2공</v>
          </cell>
          <cell r="D723">
            <v>4503</v>
          </cell>
        </row>
        <row r="724">
          <cell r="A724">
            <v>722</v>
          </cell>
          <cell r="C724" t="str">
            <v>파형관부설125MM3공</v>
          </cell>
          <cell r="D724">
            <v>4336</v>
          </cell>
        </row>
        <row r="725">
          <cell r="A725">
            <v>723</v>
          </cell>
          <cell r="C725" t="str">
            <v>파형관부설125MM4공</v>
          </cell>
          <cell r="D725">
            <v>4253</v>
          </cell>
        </row>
        <row r="726">
          <cell r="A726">
            <v>724</v>
          </cell>
          <cell r="C726" t="str">
            <v>파형관부설125MM6공</v>
          </cell>
          <cell r="D726">
            <v>4169</v>
          </cell>
        </row>
        <row r="727">
          <cell r="A727">
            <v>725</v>
          </cell>
          <cell r="C727" t="str">
            <v>파형관부설125MM8공</v>
          </cell>
          <cell r="D727">
            <v>4128</v>
          </cell>
        </row>
        <row r="728">
          <cell r="A728">
            <v>726</v>
          </cell>
          <cell r="C728" t="str">
            <v>파형관부설150MM1공</v>
          </cell>
          <cell r="D728">
            <v>6170</v>
          </cell>
        </row>
        <row r="729">
          <cell r="A729">
            <v>727</v>
          </cell>
          <cell r="C729" t="str">
            <v>파형관부설150MM2공</v>
          </cell>
          <cell r="D729">
            <v>5554</v>
          </cell>
        </row>
        <row r="730">
          <cell r="A730">
            <v>728</v>
          </cell>
          <cell r="C730" t="str">
            <v>파형관부설150MM3공</v>
          </cell>
          <cell r="D730">
            <v>5347</v>
          </cell>
        </row>
        <row r="731">
          <cell r="A731">
            <v>729</v>
          </cell>
          <cell r="C731" t="str">
            <v>파형관부설150MM4공</v>
          </cell>
          <cell r="D731">
            <v>5245</v>
          </cell>
        </row>
        <row r="732">
          <cell r="A732">
            <v>730</v>
          </cell>
          <cell r="C732" t="str">
            <v>파형관부설150MM6공</v>
          </cell>
          <cell r="D732">
            <v>4319</v>
          </cell>
        </row>
        <row r="733">
          <cell r="A733">
            <v>731</v>
          </cell>
          <cell r="C733" t="str">
            <v>파형관부설150MM8공</v>
          </cell>
          <cell r="D733">
            <v>3856</v>
          </cell>
        </row>
        <row r="734">
          <cell r="A734">
            <v>732</v>
          </cell>
          <cell r="C734" t="str">
            <v>파형관부설175MM1공</v>
          </cell>
          <cell r="D734">
            <v>7428</v>
          </cell>
        </row>
        <row r="735">
          <cell r="A735">
            <v>733</v>
          </cell>
          <cell r="C735" t="str">
            <v>파형관부설175MM2공</v>
          </cell>
          <cell r="D735">
            <v>6685</v>
          </cell>
        </row>
        <row r="736">
          <cell r="A736">
            <v>734</v>
          </cell>
          <cell r="C736" t="str">
            <v>파형관부설175MM3공</v>
          </cell>
          <cell r="D736">
            <v>6437</v>
          </cell>
        </row>
        <row r="737">
          <cell r="A737">
            <v>735</v>
          </cell>
          <cell r="C737" t="str">
            <v>파형관부설175MM4공</v>
          </cell>
          <cell r="D737">
            <v>6313</v>
          </cell>
        </row>
        <row r="738">
          <cell r="A738">
            <v>736</v>
          </cell>
          <cell r="C738" t="str">
            <v>파형관부설175MM6공</v>
          </cell>
          <cell r="D738">
            <v>5199</v>
          </cell>
        </row>
        <row r="739">
          <cell r="A739">
            <v>737</v>
          </cell>
          <cell r="C739" t="str">
            <v>파형관부설175MM8공</v>
          </cell>
          <cell r="D739">
            <v>4642</v>
          </cell>
        </row>
        <row r="740">
          <cell r="A740">
            <v>738</v>
          </cell>
        </row>
        <row r="741">
          <cell r="A741">
            <v>739</v>
          </cell>
        </row>
        <row r="742">
          <cell r="A742">
            <v>740</v>
          </cell>
        </row>
        <row r="743">
          <cell r="A743">
            <v>741</v>
          </cell>
        </row>
        <row r="744">
          <cell r="A744">
            <v>742</v>
          </cell>
        </row>
        <row r="745">
          <cell r="A745">
            <v>743</v>
          </cell>
        </row>
        <row r="746">
          <cell r="A746">
            <v>744</v>
          </cell>
        </row>
        <row r="747">
          <cell r="A747">
            <v>745</v>
          </cell>
        </row>
        <row r="748">
          <cell r="A748">
            <v>746</v>
          </cell>
        </row>
        <row r="749">
          <cell r="A749">
            <v>747</v>
          </cell>
        </row>
        <row r="750">
          <cell r="A750">
            <v>748</v>
          </cell>
        </row>
        <row r="751">
          <cell r="A751">
            <v>749</v>
          </cell>
        </row>
        <row r="752">
          <cell r="A752">
            <v>750</v>
          </cell>
          <cell r="B752" t="str">
            <v>핸드홀신설</v>
          </cell>
        </row>
        <row r="753">
          <cell r="A753">
            <v>751</v>
          </cell>
          <cell r="C753" t="str">
            <v>보도불럭철거및가복구</v>
          </cell>
          <cell r="D753">
            <v>3542</v>
          </cell>
        </row>
        <row r="754">
          <cell r="A754">
            <v>752</v>
          </cell>
          <cell r="C754" t="str">
            <v>발판볼트설치</v>
          </cell>
          <cell r="D754">
            <v>4253</v>
          </cell>
        </row>
        <row r="755">
          <cell r="A755">
            <v>753</v>
          </cell>
          <cell r="C755" t="str">
            <v>청동볼트설치</v>
          </cell>
          <cell r="D755">
            <v>21257</v>
          </cell>
        </row>
        <row r="756">
          <cell r="A756">
            <v>754</v>
          </cell>
          <cell r="C756" t="str">
            <v>레미콘타설R-40-135-8</v>
          </cell>
          <cell r="D756">
            <v>19244</v>
          </cell>
        </row>
        <row r="757">
          <cell r="A757">
            <v>755</v>
          </cell>
          <cell r="C757" t="str">
            <v>핸드홀카바설치</v>
          </cell>
          <cell r="D757">
            <v>63797</v>
          </cell>
        </row>
        <row r="758">
          <cell r="A758">
            <v>756</v>
          </cell>
          <cell r="C758" t="str">
            <v>철근가공조립보통</v>
          </cell>
          <cell r="D758">
            <v>346939</v>
          </cell>
        </row>
        <row r="759">
          <cell r="A759">
            <v>757</v>
          </cell>
          <cell r="C759" t="str">
            <v>거프집설치3회</v>
          </cell>
          <cell r="D759">
            <v>13149</v>
          </cell>
        </row>
        <row r="760">
          <cell r="A760">
            <v>758</v>
          </cell>
          <cell r="C760" t="str">
            <v>훅구설치</v>
          </cell>
          <cell r="D760">
            <v>17012</v>
          </cell>
        </row>
        <row r="761">
          <cell r="A761">
            <v>759</v>
          </cell>
          <cell r="C761" t="str">
            <v>관로구방수장치몸체100MM1동시</v>
          </cell>
          <cell r="D761">
            <v>8619</v>
          </cell>
        </row>
        <row r="762">
          <cell r="A762">
            <v>760</v>
          </cell>
          <cell r="C762" t="str">
            <v>관로구방수장치몸체100MM2동시</v>
          </cell>
          <cell r="D762">
            <v>7757</v>
          </cell>
        </row>
        <row r="763">
          <cell r="A763">
            <v>761</v>
          </cell>
          <cell r="C763" t="str">
            <v>관로구방수장치몸체100MM3동시</v>
          </cell>
          <cell r="D763">
            <v>7469</v>
          </cell>
        </row>
        <row r="764">
          <cell r="A764">
            <v>762</v>
          </cell>
          <cell r="C764" t="str">
            <v>관로구방수장치몸체100MM4동시</v>
          </cell>
          <cell r="D764">
            <v>7326</v>
          </cell>
        </row>
        <row r="765">
          <cell r="A765">
            <v>763</v>
          </cell>
          <cell r="C765" t="str">
            <v>관로구방수장치몸체100MM5동시</v>
          </cell>
          <cell r="D765">
            <v>7239</v>
          </cell>
        </row>
        <row r="766">
          <cell r="A766">
            <v>764</v>
          </cell>
          <cell r="C766" t="str">
            <v>관로구방수장치몸체100MM6동시</v>
          </cell>
          <cell r="D766">
            <v>7182</v>
          </cell>
        </row>
        <row r="767">
          <cell r="A767">
            <v>765</v>
          </cell>
          <cell r="C767" t="str">
            <v>관로구방수장치몸체100MM7동시</v>
          </cell>
          <cell r="D767">
            <v>7141</v>
          </cell>
        </row>
        <row r="768">
          <cell r="A768">
            <v>766</v>
          </cell>
          <cell r="C768" t="str">
            <v>관로구방수장치몸체100MM8동시</v>
          </cell>
          <cell r="D768">
            <v>7110</v>
          </cell>
        </row>
        <row r="769">
          <cell r="A769">
            <v>767</v>
          </cell>
          <cell r="C769" t="str">
            <v>관로구방수장치몸체100MM9동시</v>
          </cell>
          <cell r="D769">
            <v>7086</v>
          </cell>
        </row>
        <row r="770">
          <cell r="A770">
            <v>768</v>
          </cell>
          <cell r="C770" t="str">
            <v>관로구방수장치몸체100MM10동시</v>
          </cell>
          <cell r="D770">
            <v>7067</v>
          </cell>
        </row>
        <row r="771">
          <cell r="A771">
            <v>769</v>
          </cell>
          <cell r="C771" t="str">
            <v>관로구방수장치몸체150MM1동시</v>
          </cell>
          <cell r="D771">
            <v>8829</v>
          </cell>
        </row>
        <row r="772">
          <cell r="A772">
            <v>770</v>
          </cell>
          <cell r="C772" t="str">
            <v>관로구방수장치몸체150MM2동시</v>
          </cell>
          <cell r="D772">
            <v>7946</v>
          </cell>
        </row>
        <row r="773">
          <cell r="A773">
            <v>771</v>
          </cell>
          <cell r="C773" t="str">
            <v>관로구방수장치몸체150MM3동시</v>
          </cell>
          <cell r="D773">
            <v>7651</v>
          </cell>
        </row>
        <row r="774">
          <cell r="A774">
            <v>772</v>
          </cell>
          <cell r="C774" t="str">
            <v>관로구방수장치몸체150MM4동시</v>
          </cell>
          <cell r="D774">
            <v>7504</v>
          </cell>
        </row>
        <row r="775">
          <cell r="A775">
            <v>773</v>
          </cell>
          <cell r="C775" t="str">
            <v>관로구방수장치몸체150MM5동시</v>
          </cell>
          <cell r="D775">
            <v>7416</v>
          </cell>
        </row>
        <row r="776">
          <cell r="A776">
            <v>774</v>
          </cell>
          <cell r="C776" t="str">
            <v>관로구방수장치몸체150MM6동시</v>
          </cell>
          <cell r="D776">
            <v>7357</v>
          </cell>
        </row>
        <row r="777">
          <cell r="A777">
            <v>775</v>
          </cell>
          <cell r="C777" t="str">
            <v>관로구방수장치몸체150MM7동시</v>
          </cell>
          <cell r="D777">
            <v>7315</v>
          </cell>
        </row>
        <row r="778">
          <cell r="A778">
            <v>776</v>
          </cell>
          <cell r="C778" t="str">
            <v>관로구방수장치몸체150MM8동시</v>
          </cell>
          <cell r="D778">
            <v>7284</v>
          </cell>
        </row>
        <row r="779">
          <cell r="A779">
            <v>777</v>
          </cell>
          <cell r="C779" t="str">
            <v>관로구방수장치몸체150MM9동시</v>
          </cell>
          <cell r="D779">
            <v>7259</v>
          </cell>
        </row>
        <row r="780">
          <cell r="A780">
            <v>778</v>
          </cell>
          <cell r="C780" t="str">
            <v>관로구방수장치몸체150MM10동시</v>
          </cell>
          <cell r="D780">
            <v>7239</v>
          </cell>
        </row>
        <row r="781">
          <cell r="A781">
            <v>779</v>
          </cell>
          <cell r="C781" t="str">
            <v>관로구방수장치몸체175MM1동시</v>
          </cell>
          <cell r="D781">
            <v>10036</v>
          </cell>
        </row>
        <row r="782">
          <cell r="A782">
            <v>780</v>
          </cell>
          <cell r="C782" t="str">
            <v>관로구방수장치몸체175MM2동시</v>
          </cell>
          <cell r="D782">
            <v>9032</v>
          </cell>
        </row>
        <row r="783">
          <cell r="A783">
            <v>781</v>
          </cell>
          <cell r="C783" t="str">
            <v>관로구방수장치몸체175MM3동시</v>
          </cell>
          <cell r="D783">
            <v>8697</v>
          </cell>
        </row>
        <row r="784">
          <cell r="A784">
            <v>782</v>
          </cell>
          <cell r="C784" t="str">
            <v>관로구방수장치몸체175MM4동시</v>
          </cell>
          <cell r="D784">
            <v>8530</v>
          </cell>
        </row>
        <row r="785">
          <cell r="A785">
            <v>783</v>
          </cell>
          <cell r="C785" t="str">
            <v>관로구방수장치몸체175MM5동시</v>
          </cell>
          <cell r="D785">
            <v>8430</v>
          </cell>
        </row>
        <row r="786">
          <cell r="A786">
            <v>784</v>
          </cell>
          <cell r="C786" t="str">
            <v>관로구방수장치몸체175MM6동시</v>
          </cell>
          <cell r="D786">
            <v>8363</v>
          </cell>
        </row>
        <row r="787">
          <cell r="A787">
            <v>785</v>
          </cell>
          <cell r="C787" t="str">
            <v>관로구방수장치몸체175MM7동시</v>
          </cell>
          <cell r="D787">
            <v>8315</v>
          </cell>
        </row>
        <row r="788">
          <cell r="A788">
            <v>786</v>
          </cell>
          <cell r="C788" t="str">
            <v>관로구방수장치몸체175MM8동시</v>
          </cell>
          <cell r="D788">
            <v>8280</v>
          </cell>
        </row>
        <row r="789">
          <cell r="A789">
            <v>787</v>
          </cell>
          <cell r="C789" t="str">
            <v>관로구방수장치몸체175MM9동시</v>
          </cell>
          <cell r="D789">
            <v>8251</v>
          </cell>
        </row>
        <row r="790">
          <cell r="A790">
            <v>788</v>
          </cell>
          <cell r="C790" t="str">
            <v>관로구방수장치몸체175MM10동시</v>
          </cell>
          <cell r="D790">
            <v>8229</v>
          </cell>
        </row>
        <row r="791">
          <cell r="A791">
            <v>789</v>
          </cell>
          <cell r="C791" t="str">
            <v>관로구방수장치몸체175MM11동시</v>
          </cell>
          <cell r="D791">
            <v>8211</v>
          </cell>
        </row>
        <row r="792">
          <cell r="A792">
            <v>790</v>
          </cell>
        </row>
        <row r="793">
          <cell r="A793">
            <v>791</v>
          </cell>
        </row>
        <row r="794">
          <cell r="A794">
            <v>792</v>
          </cell>
        </row>
        <row r="795">
          <cell r="A795">
            <v>793</v>
          </cell>
        </row>
        <row r="796">
          <cell r="A796">
            <v>794</v>
          </cell>
        </row>
        <row r="797">
          <cell r="A797">
            <v>795</v>
          </cell>
        </row>
        <row r="798">
          <cell r="A798">
            <v>796</v>
          </cell>
        </row>
        <row r="799">
          <cell r="A799">
            <v>797</v>
          </cell>
        </row>
        <row r="800">
          <cell r="A800">
            <v>798</v>
          </cell>
        </row>
        <row r="801">
          <cell r="A801">
            <v>799</v>
          </cell>
        </row>
        <row r="802">
          <cell r="A802">
            <v>800</v>
          </cell>
        </row>
        <row r="803">
          <cell r="A803">
            <v>801</v>
          </cell>
        </row>
        <row r="804">
          <cell r="A804">
            <v>802</v>
          </cell>
        </row>
        <row r="805">
          <cell r="A805">
            <v>803</v>
          </cell>
        </row>
        <row r="806">
          <cell r="A806">
            <v>804</v>
          </cell>
        </row>
        <row r="807">
          <cell r="A807">
            <v>805</v>
          </cell>
          <cell r="B807" t="str">
            <v>맨 홀 신 설</v>
          </cell>
        </row>
        <row r="808">
          <cell r="A808">
            <v>806</v>
          </cell>
          <cell r="C808" t="str">
            <v>보도불럭철거및가복구</v>
          </cell>
          <cell r="D808">
            <v>3542</v>
          </cell>
        </row>
        <row r="809">
          <cell r="A809">
            <v>807</v>
          </cell>
          <cell r="C809" t="str">
            <v>발판볼트설치</v>
          </cell>
          <cell r="D809">
            <v>4253</v>
          </cell>
        </row>
        <row r="810">
          <cell r="A810">
            <v>808</v>
          </cell>
          <cell r="C810" t="str">
            <v>동바리설치철거3회</v>
          </cell>
          <cell r="D810">
            <v>19715</v>
          </cell>
        </row>
        <row r="811">
          <cell r="A811">
            <v>809</v>
          </cell>
          <cell r="C811" t="str">
            <v>청동볼트설치</v>
          </cell>
          <cell r="D811">
            <v>21257</v>
          </cell>
        </row>
        <row r="812">
          <cell r="A812">
            <v>810</v>
          </cell>
          <cell r="C812" t="str">
            <v>물받이설치</v>
          </cell>
          <cell r="D812">
            <v>17012</v>
          </cell>
        </row>
        <row r="813">
          <cell r="A813">
            <v>811</v>
          </cell>
          <cell r="C813" t="str">
            <v>훅구설치</v>
          </cell>
          <cell r="D813">
            <v>17012</v>
          </cell>
        </row>
        <row r="814">
          <cell r="A814">
            <v>812</v>
          </cell>
          <cell r="C814" t="str">
            <v>맨홀카바설치</v>
          </cell>
          <cell r="D814">
            <v>63797</v>
          </cell>
        </row>
        <row r="815">
          <cell r="A815">
            <v>813</v>
          </cell>
          <cell r="C815" t="str">
            <v>철근가공조립복잡</v>
          </cell>
          <cell r="D815">
            <v>435493</v>
          </cell>
        </row>
        <row r="816">
          <cell r="A816">
            <v>814</v>
          </cell>
          <cell r="C816" t="str">
            <v>방수층보호재바름</v>
          </cell>
          <cell r="D816">
            <v>2545</v>
          </cell>
        </row>
        <row r="817">
          <cell r="A817">
            <v>815</v>
          </cell>
          <cell r="C817" t="str">
            <v>거프집설치3회</v>
          </cell>
          <cell r="D817">
            <v>13149</v>
          </cell>
        </row>
        <row r="818">
          <cell r="A818">
            <v>816</v>
          </cell>
          <cell r="C818" t="str">
            <v>거프집설치4회</v>
          </cell>
          <cell r="D818">
            <v>11167</v>
          </cell>
        </row>
        <row r="819">
          <cell r="A819">
            <v>817</v>
          </cell>
        </row>
        <row r="820">
          <cell r="A820">
            <v>818</v>
          </cell>
        </row>
        <row r="821">
          <cell r="A821">
            <v>819</v>
          </cell>
        </row>
        <row r="822">
          <cell r="A822">
            <v>820</v>
          </cell>
        </row>
        <row r="823">
          <cell r="A823">
            <v>821</v>
          </cell>
        </row>
        <row r="824">
          <cell r="A824">
            <v>822</v>
          </cell>
        </row>
        <row r="825">
          <cell r="A825">
            <v>823</v>
          </cell>
        </row>
        <row r="826">
          <cell r="A826">
            <v>824</v>
          </cell>
        </row>
        <row r="827">
          <cell r="A827">
            <v>825</v>
          </cell>
        </row>
        <row r="828">
          <cell r="A828">
            <v>826</v>
          </cell>
        </row>
        <row r="829">
          <cell r="A829">
            <v>827</v>
          </cell>
        </row>
        <row r="830">
          <cell r="A830">
            <v>828</v>
          </cell>
        </row>
        <row r="831">
          <cell r="A831">
            <v>829</v>
          </cell>
        </row>
        <row r="832">
          <cell r="A832">
            <v>830</v>
          </cell>
          <cell r="B832" t="str">
            <v>개 폐 기 설 치</v>
          </cell>
        </row>
        <row r="833">
          <cell r="A833">
            <v>831</v>
          </cell>
          <cell r="C833" t="str">
            <v>원토되메우기다지기인력</v>
          </cell>
          <cell r="D833">
            <v>7639</v>
          </cell>
        </row>
        <row r="834">
          <cell r="A834">
            <v>832</v>
          </cell>
          <cell r="C834" t="str">
            <v>터파기(보통토)인력0-1M</v>
          </cell>
          <cell r="D834">
            <v>7276</v>
          </cell>
        </row>
        <row r="835">
          <cell r="A835">
            <v>833</v>
          </cell>
          <cell r="C835" t="str">
            <v>터파기(보통토)인력1-2M</v>
          </cell>
          <cell r="D835">
            <v>9822</v>
          </cell>
        </row>
        <row r="836">
          <cell r="A836">
            <v>834</v>
          </cell>
          <cell r="C836" t="str">
            <v>보도불럭철거및가복구</v>
          </cell>
          <cell r="D836">
            <v>3542</v>
          </cell>
        </row>
        <row r="837">
          <cell r="A837">
            <v>835</v>
          </cell>
          <cell r="C837" t="str">
            <v>기초잡석부설</v>
          </cell>
          <cell r="D837">
            <v>18190</v>
          </cell>
        </row>
        <row r="838">
          <cell r="A838">
            <v>836</v>
          </cell>
          <cell r="C838" t="str">
            <v>모래되메우기다지기인력</v>
          </cell>
          <cell r="D838">
            <v>5820</v>
          </cell>
        </row>
        <row r="839">
          <cell r="A839">
            <v>837</v>
          </cell>
          <cell r="C839" t="str">
            <v>잔토처리(보통토)인력</v>
          </cell>
          <cell r="D839">
            <v>4038</v>
          </cell>
        </row>
        <row r="840">
          <cell r="A840">
            <v>838</v>
          </cell>
        </row>
        <row r="841">
          <cell r="A841">
            <v>839</v>
          </cell>
        </row>
        <row r="842">
          <cell r="A842">
            <v>840</v>
          </cell>
        </row>
        <row r="843">
          <cell r="A843">
            <v>841</v>
          </cell>
        </row>
        <row r="844">
          <cell r="A844">
            <v>842</v>
          </cell>
        </row>
        <row r="845">
          <cell r="A845">
            <v>843</v>
          </cell>
        </row>
        <row r="846">
          <cell r="A846">
            <v>844</v>
          </cell>
        </row>
        <row r="847">
          <cell r="A847">
            <v>845</v>
          </cell>
        </row>
        <row r="848">
          <cell r="A848">
            <v>846</v>
          </cell>
        </row>
        <row r="849">
          <cell r="A849">
            <v>847</v>
          </cell>
        </row>
        <row r="850">
          <cell r="A850">
            <v>848</v>
          </cell>
        </row>
        <row r="851">
          <cell r="A851">
            <v>849</v>
          </cell>
        </row>
        <row r="852">
          <cell r="A852">
            <v>850</v>
          </cell>
          <cell r="B852" t="str">
            <v>변 압 기 신 설</v>
          </cell>
        </row>
        <row r="853">
          <cell r="A853">
            <v>851</v>
          </cell>
          <cell r="C853" t="str">
            <v>원토되메우기다지기인력</v>
          </cell>
          <cell r="D853">
            <v>7639</v>
          </cell>
        </row>
        <row r="854">
          <cell r="A854">
            <v>852</v>
          </cell>
          <cell r="C854" t="str">
            <v>터파기(보통토)인력0-1</v>
          </cell>
          <cell r="D854">
            <v>7276</v>
          </cell>
        </row>
        <row r="855">
          <cell r="A855">
            <v>853</v>
          </cell>
          <cell r="C855" t="str">
            <v>터파기(보통토)인력1-2</v>
          </cell>
          <cell r="D855">
            <v>9822</v>
          </cell>
        </row>
        <row r="856">
          <cell r="A856">
            <v>854</v>
          </cell>
          <cell r="C856" t="str">
            <v>모래되메우기다지기인력</v>
          </cell>
          <cell r="D856">
            <v>5820</v>
          </cell>
        </row>
        <row r="857">
          <cell r="A857">
            <v>855</v>
          </cell>
          <cell r="C857" t="str">
            <v>잔토처리인력보통토</v>
          </cell>
          <cell r="D857">
            <v>4038</v>
          </cell>
        </row>
        <row r="858">
          <cell r="A858">
            <v>856</v>
          </cell>
          <cell r="C858" t="str">
            <v>기초잡석부설</v>
          </cell>
          <cell r="D858">
            <v>18190</v>
          </cell>
        </row>
        <row r="859">
          <cell r="A859">
            <v>857</v>
          </cell>
          <cell r="C859" t="str">
            <v>보도불럭철거및가복구</v>
          </cell>
          <cell r="D859">
            <v>3542</v>
          </cell>
        </row>
        <row r="860">
          <cell r="A860">
            <v>858</v>
          </cell>
          <cell r="C860" t="str">
            <v>앙카볼트</v>
          </cell>
          <cell r="D860">
            <v>5269</v>
          </cell>
        </row>
        <row r="861">
          <cell r="A861">
            <v>859</v>
          </cell>
          <cell r="C861" t="str">
            <v>패드변압기엘보1동시</v>
          </cell>
          <cell r="D861">
            <v>46372</v>
          </cell>
        </row>
        <row r="862">
          <cell r="A862">
            <v>860</v>
          </cell>
          <cell r="C862" t="str">
            <v>패드변압기엘보2동시</v>
          </cell>
          <cell r="D862">
            <v>41735</v>
          </cell>
        </row>
        <row r="863">
          <cell r="A863">
            <v>861</v>
          </cell>
          <cell r="C863" t="str">
            <v>패드변압기엘보3동시</v>
          </cell>
          <cell r="D863">
            <v>40189</v>
          </cell>
        </row>
        <row r="864">
          <cell r="A864">
            <v>862</v>
          </cell>
          <cell r="C864" t="str">
            <v>패드변압기엘보4동시</v>
          </cell>
          <cell r="D864">
            <v>39416</v>
          </cell>
        </row>
        <row r="865">
          <cell r="A865">
            <v>863</v>
          </cell>
          <cell r="C865" t="str">
            <v>패드변압기엘보5동시</v>
          </cell>
          <cell r="D865">
            <v>38952</v>
          </cell>
        </row>
        <row r="866">
          <cell r="A866">
            <v>864</v>
          </cell>
          <cell r="C866" t="str">
            <v>패드변압기엘보6동시</v>
          </cell>
          <cell r="D866">
            <v>38643</v>
          </cell>
        </row>
        <row r="867">
          <cell r="A867">
            <v>865</v>
          </cell>
        </row>
        <row r="868">
          <cell r="A868">
            <v>866</v>
          </cell>
        </row>
        <row r="869">
          <cell r="A869">
            <v>867</v>
          </cell>
        </row>
        <row r="870">
          <cell r="A870">
            <v>868</v>
          </cell>
        </row>
        <row r="871">
          <cell r="A871">
            <v>869</v>
          </cell>
        </row>
        <row r="872">
          <cell r="A872">
            <v>870</v>
          </cell>
        </row>
        <row r="873">
          <cell r="A873">
            <v>871</v>
          </cell>
        </row>
        <row r="874">
          <cell r="A874">
            <v>872</v>
          </cell>
        </row>
        <row r="875">
          <cell r="A875">
            <v>873</v>
          </cell>
        </row>
        <row r="876">
          <cell r="A876">
            <v>874</v>
          </cell>
        </row>
        <row r="877">
          <cell r="A877">
            <v>875</v>
          </cell>
          <cell r="B877" t="str">
            <v>변압기철거</v>
          </cell>
        </row>
        <row r="878">
          <cell r="A878">
            <v>876</v>
          </cell>
          <cell r="C878" t="str">
            <v>앙카볼트</v>
          </cell>
          <cell r="D878">
            <v>5269</v>
          </cell>
        </row>
        <row r="879">
          <cell r="A879">
            <v>877</v>
          </cell>
          <cell r="C879" t="str">
            <v>패드변압기엘보1동시</v>
          </cell>
          <cell r="D879">
            <v>23186</v>
          </cell>
        </row>
        <row r="880">
          <cell r="A880">
            <v>878</v>
          </cell>
          <cell r="C880" t="str">
            <v>패드변압기엘보2동시</v>
          </cell>
          <cell r="D880">
            <v>20867</v>
          </cell>
        </row>
        <row r="881">
          <cell r="A881">
            <v>879</v>
          </cell>
          <cell r="C881" t="str">
            <v>패드변압기엘보3동시</v>
          </cell>
          <cell r="D881">
            <v>20094</v>
          </cell>
        </row>
        <row r="882">
          <cell r="A882">
            <v>880</v>
          </cell>
          <cell r="C882" t="str">
            <v>패드변압기엘보4동시</v>
          </cell>
          <cell r="D882">
            <v>19708</v>
          </cell>
        </row>
        <row r="883">
          <cell r="A883">
            <v>881</v>
          </cell>
          <cell r="C883" t="str">
            <v>패드변압기엘보5동시</v>
          </cell>
          <cell r="D883">
            <v>19476</v>
          </cell>
        </row>
        <row r="884">
          <cell r="A884">
            <v>882</v>
          </cell>
          <cell r="C884" t="str">
            <v>패드변압기엘보6동시</v>
          </cell>
          <cell r="D884">
            <v>19321</v>
          </cell>
        </row>
        <row r="885">
          <cell r="A885">
            <v>883</v>
          </cell>
        </row>
        <row r="886">
          <cell r="A886">
            <v>884</v>
          </cell>
        </row>
        <row r="887">
          <cell r="A887">
            <v>885</v>
          </cell>
        </row>
        <row r="888">
          <cell r="A888">
            <v>886</v>
          </cell>
        </row>
        <row r="889">
          <cell r="A889">
            <v>887</v>
          </cell>
        </row>
        <row r="890">
          <cell r="A890">
            <v>888</v>
          </cell>
        </row>
        <row r="891">
          <cell r="A891">
            <v>889</v>
          </cell>
        </row>
        <row r="892">
          <cell r="A892">
            <v>890</v>
          </cell>
        </row>
        <row r="893">
          <cell r="A893">
            <v>891</v>
          </cell>
        </row>
        <row r="894">
          <cell r="A894">
            <v>892</v>
          </cell>
        </row>
        <row r="895">
          <cell r="A895">
            <v>893</v>
          </cell>
        </row>
        <row r="896">
          <cell r="A896">
            <v>894</v>
          </cell>
        </row>
        <row r="897">
          <cell r="A897">
            <v>895</v>
          </cell>
        </row>
        <row r="898">
          <cell r="A898">
            <v>896</v>
          </cell>
        </row>
        <row r="899">
          <cell r="A899">
            <v>897</v>
          </cell>
        </row>
        <row r="900">
          <cell r="A900">
            <v>898</v>
          </cell>
        </row>
        <row r="901">
          <cell r="A901">
            <v>899</v>
          </cell>
        </row>
        <row r="902">
          <cell r="A902">
            <v>900</v>
          </cell>
        </row>
        <row r="903">
          <cell r="A903">
            <v>901</v>
          </cell>
          <cell r="B903" t="str">
            <v>기 계 비 용</v>
          </cell>
        </row>
        <row r="904">
          <cell r="A904">
            <v>902</v>
          </cell>
          <cell r="B904" t="str">
            <v>관로케이블신설</v>
          </cell>
        </row>
        <row r="905">
          <cell r="A905">
            <v>903</v>
          </cell>
          <cell r="C905" t="str">
            <v>케이블기계화포설22.9KVCNCV325SQ</v>
          </cell>
          <cell r="D905">
            <v>4316</v>
          </cell>
          <cell r="E905">
            <v>0.69</v>
          </cell>
        </row>
        <row r="906">
          <cell r="A906">
            <v>904</v>
          </cell>
          <cell r="C906" t="str">
            <v>케이블기계화포설22.9KVCNCV60SQ</v>
          </cell>
          <cell r="D906">
            <v>1475</v>
          </cell>
          <cell r="E906">
            <v>0.69</v>
          </cell>
        </row>
        <row r="907">
          <cell r="A907">
            <v>905</v>
          </cell>
          <cell r="C907" t="str">
            <v>케이블기계화포설22.9KVCNCV60SQ</v>
          </cell>
          <cell r="D907">
            <v>2213</v>
          </cell>
          <cell r="E907">
            <v>0.69</v>
          </cell>
        </row>
        <row r="908">
          <cell r="A908">
            <v>906</v>
          </cell>
        </row>
        <row r="909">
          <cell r="A909">
            <v>907</v>
          </cell>
        </row>
        <row r="910">
          <cell r="A910">
            <v>908</v>
          </cell>
        </row>
        <row r="911">
          <cell r="A911">
            <v>909</v>
          </cell>
        </row>
        <row r="912">
          <cell r="A912">
            <v>910</v>
          </cell>
        </row>
        <row r="913">
          <cell r="A913">
            <v>911</v>
          </cell>
          <cell r="B913" t="str">
            <v>관로케이블철거</v>
          </cell>
        </row>
        <row r="914">
          <cell r="A914">
            <v>912</v>
          </cell>
          <cell r="C914" t="str">
            <v>케이블기계화포설22.9KVCNCV325SQ</v>
          </cell>
          <cell r="D914">
            <v>2589</v>
          </cell>
          <cell r="E914">
            <v>0.69</v>
          </cell>
        </row>
        <row r="915">
          <cell r="A915">
            <v>913</v>
          </cell>
          <cell r="C915" t="str">
            <v>케이블기계화포설22.9KVCNCV60SQ</v>
          </cell>
          <cell r="D915">
            <v>885</v>
          </cell>
          <cell r="E915">
            <v>0.69</v>
          </cell>
        </row>
        <row r="916">
          <cell r="A916">
            <v>914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대가 "/>
      <sheetName val="대비"/>
      <sheetName val="단-원산"/>
      <sheetName val="단-천우"/>
      <sheetName val="단-조은"/>
      <sheetName val="내역서"/>
      <sheetName val="조사 "/>
      <sheetName val="갑지"/>
      <sheetName val="타-천우"/>
      <sheetName val="타-조은"/>
      <sheetName val="산-기계"/>
      <sheetName val="산-전기"/>
      <sheetName val="겉지"/>
      <sheetName val="전기일위대가"/>
      <sheetName val="직공비"/>
      <sheetName val="단"/>
      <sheetName val="신우"/>
      <sheetName val="WORK"/>
      <sheetName val="data"/>
      <sheetName val="NEY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전기자료"/>
      <sheetName val="#REF"/>
      <sheetName val="자재테이블"/>
      <sheetName val="수변전"/>
      <sheetName val="XXXXXX"/>
      <sheetName val="발전기data"/>
      <sheetName val="조도"/>
      <sheetName val="부하"/>
      <sheetName val="동력"/>
      <sheetName val="동력(380v)"/>
      <sheetName val="동력(380v)주공"/>
      <sheetName val="조명자료"/>
      <sheetName val="변압기DATA"/>
      <sheetName val="변압기DATA(주공)"/>
      <sheetName val="변압기"/>
      <sheetName val="발전기"/>
      <sheetName val="간선"/>
      <sheetName val="APT"/>
      <sheetName val="도체종-상수표"/>
      <sheetName val="FR8 허용전류표"/>
      <sheetName val="FCV 허용전류표"/>
      <sheetName val="CV 허용전류표-2"/>
      <sheetName val="CV 허용전류표-1"/>
      <sheetName val="HIV허용전류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8"/>
      <sheetName val="GEN"/>
      <sheetName val="동부하-L"/>
      <sheetName val="변압기 "/>
      <sheetName val="L-A"/>
      <sheetName val="세대부하"/>
      <sheetName val="DUT-BAT1"/>
      <sheetName val="건축원가 "/>
      <sheetName val="집계표"/>
      <sheetName val="내역서"/>
      <sheetName val="일위대가목록"/>
      <sheetName val="일위대가"/>
      <sheetName val="단가대비표"/>
      <sheetName val="토공"/>
      <sheetName val="자판실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개폐기"/>
      <sheetName val="변압기"/>
      <sheetName val="이동녕정리최종제출목록표"/>
      <sheetName val="차량방호대 조사 양식 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40총괄"/>
      <sheetName val="40단가산출서"/>
      <sheetName val="40인공산출서"/>
      <sheetName val="40산출기초"/>
      <sheetName val="40집계"/>
      <sheetName val="40전기실"/>
      <sheetName val="40전력간선"/>
      <sheetName val="40용접기용"/>
      <sheetName val="40전등"/>
      <sheetName val="40RACE WAY"/>
      <sheetName val="40전열"/>
      <sheetName val="견적단가"/>
      <sheetName val="30신설일위대가"/>
      <sheetName val="30집계표"/>
      <sheetName val="노임단가"/>
      <sheetName val="자재단가"/>
      <sheetName val="노임"/>
    </sheetNames>
    <sheetDataSet>
      <sheetData sheetId="0" refreshError="1">
        <row r="4">
          <cell r="C4" t="str">
            <v>9. 새마을 차고 전력설비 신설</v>
          </cell>
        </row>
        <row r="5">
          <cell r="A5" t="str">
            <v>40신_1A</v>
          </cell>
          <cell r="B5" t="str">
            <v>40신_1</v>
          </cell>
          <cell r="C5" t="str">
            <v>1, 고압반신설</v>
          </cell>
          <cell r="D5" t="str">
            <v>HV-1(DS-AS)</v>
          </cell>
          <cell r="E5" t="str">
            <v>면</v>
          </cell>
          <cell r="F5">
            <v>1</v>
          </cell>
          <cell r="G5">
            <v>0</v>
          </cell>
          <cell r="H5">
            <v>0</v>
          </cell>
          <cell r="I5">
            <v>494394</v>
          </cell>
          <cell r="J5">
            <v>494394</v>
          </cell>
          <cell r="K5">
            <v>14789</v>
          </cell>
          <cell r="L5">
            <v>14789</v>
          </cell>
          <cell r="M5">
            <v>509183</v>
          </cell>
          <cell r="N5">
            <v>509183</v>
          </cell>
          <cell r="O5" t="str">
            <v>관급</v>
          </cell>
        </row>
        <row r="6">
          <cell r="A6" t="str">
            <v>40신_2A</v>
          </cell>
          <cell r="B6" t="str">
            <v>40신_2</v>
          </cell>
          <cell r="C6" t="str">
            <v>2. 변압기신설</v>
          </cell>
          <cell r="D6" t="str">
            <v>TR-1 3상 200KVA 380/220V</v>
          </cell>
          <cell r="E6" t="str">
            <v>면</v>
          </cell>
          <cell r="F6">
            <v>1</v>
          </cell>
          <cell r="G6">
            <v>0</v>
          </cell>
          <cell r="H6">
            <v>0</v>
          </cell>
          <cell r="I6">
            <v>772910</v>
          </cell>
          <cell r="J6">
            <v>772910</v>
          </cell>
          <cell r="K6">
            <v>25734</v>
          </cell>
          <cell r="L6">
            <v>25734</v>
          </cell>
          <cell r="M6">
            <v>798644</v>
          </cell>
          <cell r="N6">
            <v>798644</v>
          </cell>
          <cell r="O6" t="str">
            <v>관급</v>
          </cell>
        </row>
        <row r="7">
          <cell r="A7" t="str">
            <v>40신_3A</v>
          </cell>
          <cell r="B7" t="str">
            <v>40신_3</v>
          </cell>
          <cell r="C7" t="str">
            <v>3. 변압기신설</v>
          </cell>
          <cell r="D7" t="str">
            <v>TR-2 3상 300KVA 380/220V</v>
          </cell>
          <cell r="E7" t="str">
            <v>면</v>
          </cell>
          <cell r="F7">
            <v>1</v>
          </cell>
          <cell r="G7">
            <v>0</v>
          </cell>
          <cell r="H7">
            <v>0</v>
          </cell>
          <cell r="I7">
            <v>772910</v>
          </cell>
          <cell r="J7">
            <v>772910</v>
          </cell>
          <cell r="K7">
            <v>22177</v>
          </cell>
          <cell r="L7">
            <v>22177</v>
          </cell>
          <cell r="M7">
            <v>795087</v>
          </cell>
          <cell r="N7">
            <v>795087</v>
          </cell>
          <cell r="O7" t="str">
            <v>관급</v>
          </cell>
        </row>
        <row r="8">
          <cell r="A8" t="str">
            <v>40신_4A</v>
          </cell>
          <cell r="B8" t="str">
            <v>40신_4</v>
          </cell>
          <cell r="C8" t="str">
            <v>4. 변압기신설</v>
          </cell>
          <cell r="D8" t="str">
            <v>TR-3 3상 300KVA 220V</v>
          </cell>
          <cell r="E8" t="str">
            <v>면</v>
          </cell>
          <cell r="F8">
            <v>1</v>
          </cell>
          <cell r="G8">
            <v>0</v>
          </cell>
          <cell r="H8">
            <v>0</v>
          </cell>
          <cell r="I8">
            <v>772910</v>
          </cell>
          <cell r="J8">
            <v>772910</v>
          </cell>
          <cell r="K8">
            <v>22177</v>
          </cell>
          <cell r="L8">
            <v>22177</v>
          </cell>
          <cell r="M8">
            <v>795087</v>
          </cell>
          <cell r="N8">
            <v>795087</v>
          </cell>
          <cell r="O8" t="str">
            <v>관급</v>
          </cell>
        </row>
        <row r="9">
          <cell r="A9" t="str">
            <v>40신_5A</v>
          </cell>
          <cell r="B9" t="str">
            <v>40신_5</v>
          </cell>
          <cell r="C9" t="str">
            <v>5. 변압기신설</v>
          </cell>
          <cell r="D9" t="str">
            <v>TR-4 3상 300KVA 440V</v>
          </cell>
          <cell r="E9" t="str">
            <v>면</v>
          </cell>
          <cell r="F9">
            <v>1</v>
          </cell>
          <cell r="G9">
            <v>0</v>
          </cell>
          <cell r="H9">
            <v>0</v>
          </cell>
          <cell r="I9">
            <v>772910</v>
          </cell>
          <cell r="J9">
            <v>772910</v>
          </cell>
          <cell r="K9">
            <v>22177</v>
          </cell>
          <cell r="L9">
            <v>22177</v>
          </cell>
          <cell r="M9">
            <v>795087</v>
          </cell>
          <cell r="N9">
            <v>795087</v>
          </cell>
          <cell r="O9" t="str">
            <v>관급</v>
          </cell>
        </row>
        <row r="10">
          <cell r="A10" t="str">
            <v>40신_6A</v>
          </cell>
          <cell r="B10" t="str">
            <v>40신_6</v>
          </cell>
          <cell r="C10" t="str">
            <v>6. 배전반신설</v>
          </cell>
          <cell r="D10" t="str">
            <v>LV-1</v>
          </cell>
          <cell r="E10" t="str">
            <v>면</v>
          </cell>
          <cell r="F10">
            <v>1</v>
          </cell>
          <cell r="G10">
            <v>0</v>
          </cell>
          <cell r="H10">
            <v>0</v>
          </cell>
          <cell r="I10">
            <v>330524</v>
          </cell>
          <cell r="J10">
            <v>330524</v>
          </cell>
          <cell r="K10">
            <v>9247</v>
          </cell>
          <cell r="L10">
            <v>9247</v>
          </cell>
          <cell r="M10">
            <v>339771</v>
          </cell>
          <cell r="N10">
            <v>339771</v>
          </cell>
          <cell r="O10" t="str">
            <v>관급</v>
          </cell>
        </row>
        <row r="11">
          <cell r="A11" t="str">
            <v>40신_7A</v>
          </cell>
          <cell r="B11" t="str">
            <v>40신_7</v>
          </cell>
          <cell r="C11" t="str">
            <v>7. 배전반신설</v>
          </cell>
          <cell r="D11" t="str">
            <v>LV-2</v>
          </cell>
          <cell r="E11" t="str">
            <v>면</v>
          </cell>
          <cell r="F11">
            <v>1</v>
          </cell>
          <cell r="G11">
            <v>0</v>
          </cell>
          <cell r="H11">
            <v>0</v>
          </cell>
          <cell r="I11">
            <v>330524</v>
          </cell>
          <cell r="J11">
            <v>330524</v>
          </cell>
          <cell r="K11">
            <v>9247</v>
          </cell>
          <cell r="L11">
            <v>9247</v>
          </cell>
          <cell r="M11">
            <v>339771</v>
          </cell>
          <cell r="N11">
            <v>339771</v>
          </cell>
          <cell r="O11" t="str">
            <v>관급</v>
          </cell>
        </row>
        <row r="12">
          <cell r="A12" t="str">
            <v>40신_8A</v>
          </cell>
          <cell r="B12" t="str">
            <v>40신_8</v>
          </cell>
          <cell r="C12" t="str">
            <v>8. 배전반신설</v>
          </cell>
          <cell r="D12" t="str">
            <v>LV-3</v>
          </cell>
          <cell r="E12" t="str">
            <v>면</v>
          </cell>
          <cell r="F12">
            <v>1</v>
          </cell>
          <cell r="G12">
            <v>0</v>
          </cell>
          <cell r="H12">
            <v>0</v>
          </cell>
          <cell r="I12">
            <v>330524</v>
          </cell>
          <cell r="J12">
            <v>330524</v>
          </cell>
          <cell r="K12">
            <v>9247</v>
          </cell>
          <cell r="L12">
            <v>9247</v>
          </cell>
          <cell r="M12">
            <v>339771</v>
          </cell>
          <cell r="N12">
            <v>339771</v>
          </cell>
          <cell r="O12" t="str">
            <v>관급</v>
          </cell>
        </row>
        <row r="13">
          <cell r="A13" t="str">
            <v>40신_9A</v>
          </cell>
          <cell r="B13" t="str">
            <v>40신_9</v>
          </cell>
          <cell r="C13" t="str">
            <v>9. 배전반신설</v>
          </cell>
          <cell r="D13" t="str">
            <v>LV-4</v>
          </cell>
          <cell r="E13" t="str">
            <v>면</v>
          </cell>
          <cell r="F13">
            <v>1</v>
          </cell>
          <cell r="G13">
            <v>0</v>
          </cell>
          <cell r="H13">
            <v>0</v>
          </cell>
          <cell r="I13">
            <v>330524</v>
          </cell>
          <cell r="J13">
            <v>330524</v>
          </cell>
          <cell r="K13">
            <v>9247</v>
          </cell>
          <cell r="L13">
            <v>9247</v>
          </cell>
          <cell r="M13">
            <v>339771</v>
          </cell>
          <cell r="N13">
            <v>339771</v>
          </cell>
          <cell r="O13" t="str">
            <v>관급</v>
          </cell>
        </row>
        <row r="14">
          <cell r="A14" t="str">
            <v>40신_10A</v>
          </cell>
          <cell r="B14" t="str">
            <v>40신_10</v>
          </cell>
          <cell r="C14" t="str">
            <v>10. 분전반 신설(LS-A, LS-E)</v>
          </cell>
          <cell r="D14" t="str">
            <v>SUS 노출 18회로</v>
          </cell>
          <cell r="E14" t="str">
            <v>면</v>
          </cell>
          <cell r="F14">
            <v>2</v>
          </cell>
          <cell r="G14">
            <v>1249413</v>
          </cell>
          <cell r="H14">
            <v>2498826</v>
          </cell>
          <cell r="I14">
            <v>280889</v>
          </cell>
          <cell r="J14">
            <v>561778</v>
          </cell>
          <cell r="K14">
            <v>7476</v>
          </cell>
          <cell r="L14">
            <v>14952</v>
          </cell>
          <cell r="M14">
            <v>1537778</v>
          </cell>
          <cell r="N14">
            <v>3075556</v>
          </cell>
        </row>
        <row r="15">
          <cell r="A15" t="str">
            <v>40신_11A</v>
          </cell>
          <cell r="B15" t="str">
            <v>40신_11</v>
          </cell>
          <cell r="C15" t="str">
            <v>11. 분전반 신설(LS-B, LS-D)</v>
          </cell>
          <cell r="D15" t="str">
            <v>SUS 노출 24회로</v>
          </cell>
          <cell r="E15" t="str">
            <v>면</v>
          </cell>
          <cell r="F15">
            <v>2</v>
          </cell>
          <cell r="G15">
            <v>1519390</v>
          </cell>
          <cell r="H15">
            <v>3038780</v>
          </cell>
          <cell r="I15">
            <v>361524</v>
          </cell>
          <cell r="J15">
            <v>723048</v>
          </cell>
          <cell r="K15">
            <v>10146</v>
          </cell>
          <cell r="L15">
            <v>20292</v>
          </cell>
          <cell r="M15">
            <v>1891060</v>
          </cell>
          <cell r="N15">
            <v>3782120</v>
          </cell>
        </row>
        <row r="16">
          <cell r="A16" t="str">
            <v>40신_12A</v>
          </cell>
          <cell r="B16" t="str">
            <v>40신_12</v>
          </cell>
          <cell r="C16" t="str">
            <v>12. 분전반 신설(LS-C)</v>
          </cell>
          <cell r="D16" t="str">
            <v>SUS 노출 16회로</v>
          </cell>
          <cell r="E16" t="str">
            <v>면</v>
          </cell>
          <cell r="F16">
            <v>1</v>
          </cell>
          <cell r="G16">
            <v>1175149</v>
          </cell>
          <cell r="H16">
            <v>1175149</v>
          </cell>
          <cell r="I16">
            <v>254188</v>
          </cell>
          <cell r="J16">
            <v>254188</v>
          </cell>
          <cell r="K16">
            <v>6942</v>
          </cell>
          <cell r="L16">
            <v>6942</v>
          </cell>
          <cell r="M16">
            <v>1436279</v>
          </cell>
          <cell r="N16">
            <v>1436279</v>
          </cell>
        </row>
        <row r="17">
          <cell r="A17" t="str">
            <v>40신_13A</v>
          </cell>
          <cell r="B17" t="str">
            <v>40신_13</v>
          </cell>
          <cell r="C17" t="str">
            <v>13. 분전반 신설(LS-F)</v>
          </cell>
          <cell r="D17" t="str">
            <v>SUS 노출 16회로</v>
          </cell>
          <cell r="E17" t="str">
            <v>면</v>
          </cell>
          <cell r="F17">
            <v>1</v>
          </cell>
          <cell r="G17">
            <v>1137327</v>
          </cell>
          <cell r="H17">
            <v>1137327</v>
          </cell>
          <cell r="I17">
            <v>261130</v>
          </cell>
          <cell r="J17">
            <v>261130</v>
          </cell>
          <cell r="K17">
            <v>6408</v>
          </cell>
          <cell r="L17">
            <v>6408</v>
          </cell>
          <cell r="M17">
            <v>1404865</v>
          </cell>
          <cell r="N17">
            <v>1404865</v>
          </cell>
        </row>
        <row r="18">
          <cell r="A18" t="str">
            <v>40신_14A</v>
          </cell>
          <cell r="B18" t="str">
            <v>40신_14</v>
          </cell>
          <cell r="C18" t="str">
            <v>14. 분전반 신설(LS-G)</v>
          </cell>
          <cell r="D18" t="str">
            <v>SUS 노출 14회로</v>
          </cell>
          <cell r="E18" t="str">
            <v>면</v>
          </cell>
          <cell r="F18">
            <v>1</v>
          </cell>
          <cell r="G18">
            <v>1064964</v>
          </cell>
          <cell r="H18">
            <v>1064964</v>
          </cell>
          <cell r="I18">
            <v>233896</v>
          </cell>
          <cell r="J18">
            <v>233896</v>
          </cell>
          <cell r="K18">
            <v>5874</v>
          </cell>
          <cell r="L18">
            <v>5874</v>
          </cell>
          <cell r="M18">
            <v>1304734</v>
          </cell>
          <cell r="N18">
            <v>1304734</v>
          </cell>
        </row>
        <row r="19">
          <cell r="A19" t="str">
            <v>40신_15A</v>
          </cell>
          <cell r="B19" t="str">
            <v>40신_15</v>
          </cell>
          <cell r="C19" t="str">
            <v>15. 분전반 신설(LS-W1~W8)</v>
          </cell>
          <cell r="D19" t="str">
            <v>SUS 노출 8회로</v>
          </cell>
          <cell r="E19" t="str">
            <v>면</v>
          </cell>
          <cell r="F19">
            <v>8</v>
          </cell>
          <cell r="G19">
            <v>713416</v>
          </cell>
          <cell r="H19">
            <v>5707328</v>
          </cell>
          <cell r="I19">
            <v>207729</v>
          </cell>
          <cell r="J19">
            <v>1661832</v>
          </cell>
          <cell r="K19">
            <v>5874</v>
          </cell>
          <cell r="L19">
            <v>46992</v>
          </cell>
          <cell r="M19">
            <v>927019</v>
          </cell>
          <cell r="N19">
            <v>7416152</v>
          </cell>
        </row>
        <row r="20">
          <cell r="A20" t="str">
            <v>40신_16A</v>
          </cell>
          <cell r="B20" t="str">
            <v>40신_16</v>
          </cell>
          <cell r="C20" t="str">
            <v>16. 분전반 신설(LS-M1~M3)</v>
          </cell>
          <cell r="D20" t="str">
            <v>SUS 노출 1회로</v>
          </cell>
          <cell r="E20" t="str">
            <v>면</v>
          </cell>
          <cell r="F20">
            <v>3</v>
          </cell>
          <cell r="G20">
            <v>135804</v>
          </cell>
          <cell r="H20">
            <v>407412</v>
          </cell>
          <cell r="I20">
            <v>42186</v>
          </cell>
          <cell r="J20">
            <v>126558</v>
          </cell>
          <cell r="K20">
            <v>1068</v>
          </cell>
          <cell r="L20">
            <v>3204</v>
          </cell>
          <cell r="M20">
            <v>179058</v>
          </cell>
          <cell r="N20">
            <v>537174</v>
          </cell>
        </row>
        <row r="21">
          <cell r="A21" t="str">
            <v>40신_17A</v>
          </cell>
          <cell r="B21" t="str">
            <v>40신_17</v>
          </cell>
          <cell r="C21" t="str">
            <v>17. 분전반 신설(LS-P)</v>
          </cell>
          <cell r="D21" t="str">
            <v>SUS 노출 1회로</v>
          </cell>
          <cell r="E21" t="str">
            <v>면</v>
          </cell>
          <cell r="F21">
            <v>1</v>
          </cell>
          <cell r="G21">
            <v>682518</v>
          </cell>
          <cell r="H21">
            <v>682518</v>
          </cell>
          <cell r="I21">
            <v>69955</v>
          </cell>
          <cell r="J21">
            <v>69955</v>
          </cell>
          <cell r="K21">
            <v>1602</v>
          </cell>
          <cell r="L21">
            <v>1602</v>
          </cell>
          <cell r="M21">
            <v>754075</v>
          </cell>
          <cell r="N21">
            <v>754075</v>
          </cell>
        </row>
        <row r="22">
          <cell r="A22" t="str">
            <v>40신_18A</v>
          </cell>
          <cell r="B22" t="str">
            <v>40신_18</v>
          </cell>
          <cell r="C22" t="str">
            <v>18. 분전반 신설(MCCB 3P 50/30AT)</v>
          </cell>
          <cell r="D22" t="str">
            <v>SUS 노출 1회로</v>
          </cell>
          <cell r="E22" t="str">
            <v>면</v>
          </cell>
          <cell r="F22">
            <v>2</v>
          </cell>
          <cell r="G22">
            <v>86172</v>
          </cell>
          <cell r="H22">
            <v>172344</v>
          </cell>
          <cell r="I22">
            <v>16554</v>
          </cell>
          <cell r="J22">
            <v>33108</v>
          </cell>
          <cell r="K22">
            <v>0</v>
          </cell>
          <cell r="L22">
            <v>0</v>
          </cell>
          <cell r="M22">
            <v>102726</v>
          </cell>
          <cell r="N22">
            <v>205452</v>
          </cell>
        </row>
        <row r="23">
          <cell r="A23" t="str">
            <v>40신_19A</v>
          </cell>
          <cell r="B23" t="str">
            <v>40신_19</v>
          </cell>
          <cell r="C23" t="str">
            <v>19. 분전반 신설 (MCCB 2P 100/75AT)</v>
          </cell>
          <cell r="D23" t="str">
            <v>SUS 노출 1회로</v>
          </cell>
          <cell r="E23" t="str">
            <v>면</v>
          </cell>
          <cell r="F23">
            <v>48</v>
          </cell>
          <cell r="G23">
            <v>106877</v>
          </cell>
          <cell r="H23">
            <v>5130096</v>
          </cell>
          <cell r="I23">
            <v>16554</v>
          </cell>
          <cell r="J23">
            <v>794592</v>
          </cell>
          <cell r="K23">
            <v>0</v>
          </cell>
          <cell r="L23">
            <v>0</v>
          </cell>
          <cell r="M23">
            <v>123431</v>
          </cell>
          <cell r="N23">
            <v>5924688</v>
          </cell>
        </row>
        <row r="24">
          <cell r="A24" t="str">
            <v>40신_20A</v>
          </cell>
          <cell r="B24" t="str">
            <v>40신_20</v>
          </cell>
          <cell r="C24" t="str">
            <v>20. 접지장치 신설</v>
          </cell>
          <cell r="D24" t="str">
            <v>제1종 (60 ㎟)</v>
          </cell>
          <cell r="E24" t="str">
            <v>개소</v>
          </cell>
          <cell r="F24">
            <v>2</v>
          </cell>
          <cell r="G24">
            <v>164592</v>
          </cell>
          <cell r="H24">
            <v>329184</v>
          </cell>
          <cell r="I24">
            <v>352504</v>
          </cell>
          <cell r="J24">
            <v>705008</v>
          </cell>
          <cell r="K24">
            <v>8743</v>
          </cell>
          <cell r="L24">
            <v>17486</v>
          </cell>
          <cell r="M24">
            <v>525839</v>
          </cell>
          <cell r="N24">
            <v>1051678</v>
          </cell>
        </row>
        <row r="25">
          <cell r="A25" t="str">
            <v>40신_21A</v>
          </cell>
          <cell r="B25" t="str">
            <v>40신_21</v>
          </cell>
          <cell r="C25" t="str">
            <v>21. 접지장치 신설</v>
          </cell>
          <cell r="D25" t="str">
            <v>제2종 (60 ㎟)</v>
          </cell>
          <cell r="E25" t="str">
            <v>개소</v>
          </cell>
          <cell r="F25">
            <v>1</v>
          </cell>
          <cell r="G25">
            <v>114092</v>
          </cell>
          <cell r="H25">
            <v>114092</v>
          </cell>
          <cell r="I25">
            <v>186802</v>
          </cell>
          <cell r="J25">
            <v>186802</v>
          </cell>
          <cell r="K25">
            <v>3982</v>
          </cell>
          <cell r="L25">
            <v>3982</v>
          </cell>
          <cell r="M25">
            <v>304876</v>
          </cell>
          <cell r="N25">
            <v>304876</v>
          </cell>
        </row>
        <row r="26">
          <cell r="A26" t="str">
            <v>40신_22A</v>
          </cell>
          <cell r="B26" t="str">
            <v>40신_22</v>
          </cell>
          <cell r="C26" t="str">
            <v>22. 접지장치 신설</v>
          </cell>
          <cell r="D26" t="str">
            <v>제3종 (38 ㎟)</v>
          </cell>
          <cell r="E26" t="str">
            <v>개소</v>
          </cell>
          <cell r="F26">
            <v>17</v>
          </cell>
          <cell r="G26">
            <v>60768</v>
          </cell>
          <cell r="H26">
            <v>1033056</v>
          </cell>
          <cell r="I26">
            <v>88170</v>
          </cell>
          <cell r="J26">
            <v>1498890</v>
          </cell>
          <cell r="K26">
            <v>1068</v>
          </cell>
          <cell r="L26">
            <v>18156</v>
          </cell>
          <cell r="M26">
            <v>150006</v>
          </cell>
          <cell r="N26">
            <v>2550102</v>
          </cell>
        </row>
        <row r="27">
          <cell r="A27" t="str">
            <v>40신_23A</v>
          </cell>
          <cell r="B27" t="str">
            <v>40신_23</v>
          </cell>
          <cell r="C27" t="str">
            <v>23. 접지장치 신설</v>
          </cell>
          <cell r="D27" t="str">
            <v>제3종 (60 ㎟)</v>
          </cell>
          <cell r="E27" t="str">
            <v>개소</v>
          </cell>
          <cell r="F27">
            <v>4</v>
          </cell>
          <cell r="G27">
            <v>60289</v>
          </cell>
          <cell r="H27">
            <v>241156</v>
          </cell>
          <cell r="I27">
            <v>89238</v>
          </cell>
          <cell r="J27">
            <v>356952</v>
          </cell>
          <cell r="K27">
            <v>1068</v>
          </cell>
          <cell r="L27">
            <v>4272</v>
          </cell>
          <cell r="M27">
            <v>150595</v>
          </cell>
          <cell r="N27">
            <v>602380</v>
          </cell>
        </row>
        <row r="28">
          <cell r="A28" t="str">
            <v>40신_24A</v>
          </cell>
          <cell r="B28" t="str">
            <v>40신_24</v>
          </cell>
          <cell r="C28" t="str">
            <v>24. 접지장치 신설</v>
          </cell>
          <cell r="D28" t="str">
            <v>TEST 접지 (38 ㎟)</v>
          </cell>
          <cell r="E28" t="str">
            <v>개소</v>
          </cell>
          <cell r="F28">
            <v>1</v>
          </cell>
          <cell r="G28">
            <v>14768</v>
          </cell>
          <cell r="H28">
            <v>14768</v>
          </cell>
          <cell r="I28">
            <v>49946</v>
          </cell>
          <cell r="J28">
            <v>49946</v>
          </cell>
          <cell r="K28">
            <v>0</v>
          </cell>
          <cell r="L28">
            <v>0</v>
          </cell>
          <cell r="M28">
            <v>64714</v>
          </cell>
          <cell r="N28">
            <v>64714</v>
          </cell>
        </row>
        <row r="29">
          <cell r="A29" t="str">
            <v>40신_25A</v>
          </cell>
          <cell r="B29" t="str">
            <v>40신_25</v>
          </cell>
          <cell r="C29" t="str">
            <v>25. 접지단자반 신설</v>
          </cell>
          <cell r="D29" t="str">
            <v>5 CCT</v>
          </cell>
          <cell r="E29" t="str">
            <v>면</v>
          </cell>
          <cell r="F29">
            <v>1</v>
          </cell>
          <cell r="G29">
            <v>140000</v>
          </cell>
          <cell r="H29">
            <v>140000</v>
          </cell>
          <cell r="I29">
            <v>35244</v>
          </cell>
          <cell r="J29">
            <v>35244</v>
          </cell>
          <cell r="K29">
            <v>534</v>
          </cell>
          <cell r="L29">
            <v>534</v>
          </cell>
          <cell r="M29">
            <v>175778</v>
          </cell>
          <cell r="N29">
            <v>175778</v>
          </cell>
        </row>
        <row r="30">
          <cell r="A30" t="str">
            <v>40신_26A</v>
          </cell>
          <cell r="B30" t="str">
            <v>40신_26</v>
          </cell>
          <cell r="C30" t="str">
            <v>26. 조명기구 신설</v>
          </cell>
          <cell r="D30" t="str">
            <v>TYPE 'A' FHF 2/32W</v>
          </cell>
          <cell r="E30" t="str">
            <v>개소</v>
          </cell>
          <cell r="F30">
            <v>30</v>
          </cell>
          <cell r="G30">
            <v>72446</v>
          </cell>
          <cell r="H30">
            <v>2173380</v>
          </cell>
          <cell r="I30">
            <v>36846</v>
          </cell>
          <cell r="J30">
            <v>1105380</v>
          </cell>
          <cell r="K30">
            <v>1068</v>
          </cell>
          <cell r="L30">
            <v>32040</v>
          </cell>
          <cell r="M30">
            <v>110360</v>
          </cell>
          <cell r="N30">
            <v>3310800</v>
          </cell>
        </row>
        <row r="31">
          <cell r="A31" t="str">
            <v>40신_27A</v>
          </cell>
          <cell r="B31" t="str">
            <v>40신_27</v>
          </cell>
          <cell r="C31" t="str">
            <v>27. 조명기구 신설</v>
          </cell>
          <cell r="D31" t="str">
            <v>TYPE 'N' IL 60W</v>
          </cell>
          <cell r="E31" t="str">
            <v>개소</v>
          </cell>
          <cell r="F31">
            <v>11</v>
          </cell>
          <cell r="G31">
            <v>6580</v>
          </cell>
          <cell r="H31">
            <v>72380</v>
          </cell>
          <cell r="I31">
            <v>9612</v>
          </cell>
          <cell r="J31">
            <v>105732</v>
          </cell>
          <cell r="K31">
            <v>0</v>
          </cell>
          <cell r="L31">
            <v>0</v>
          </cell>
          <cell r="M31">
            <v>16192</v>
          </cell>
          <cell r="N31">
            <v>178112</v>
          </cell>
        </row>
        <row r="32">
          <cell r="A32" t="str">
            <v>40신_28A</v>
          </cell>
          <cell r="B32" t="str">
            <v>40신_28</v>
          </cell>
          <cell r="C32" t="str">
            <v>28. 조명기구 신설</v>
          </cell>
          <cell r="D32" t="str">
            <v>TYPE 'R' FHF 1/32W</v>
          </cell>
          <cell r="E32" t="str">
            <v>식</v>
          </cell>
          <cell r="F32">
            <v>1134</v>
          </cell>
          <cell r="G32">
            <v>0</v>
          </cell>
          <cell r="H32">
            <v>0</v>
          </cell>
          <cell r="I32">
            <v>11748</v>
          </cell>
          <cell r="J32">
            <v>13322232</v>
          </cell>
          <cell r="K32">
            <v>0</v>
          </cell>
          <cell r="L32">
            <v>0</v>
          </cell>
          <cell r="M32">
            <v>11748</v>
          </cell>
          <cell r="N32">
            <v>13322232</v>
          </cell>
          <cell r="O32" t="str">
            <v>관급</v>
          </cell>
        </row>
        <row r="33">
          <cell r="A33" t="str">
            <v>40신_29A</v>
          </cell>
          <cell r="B33" t="str">
            <v>40신_29</v>
          </cell>
          <cell r="C33" t="str">
            <v>29. 조명기구 신설</v>
          </cell>
          <cell r="D33" t="str">
            <v>TYPE 'S' MH 250W</v>
          </cell>
          <cell r="E33" t="str">
            <v>개소</v>
          </cell>
          <cell r="F33">
            <v>16</v>
          </cell>
          <cell r="G33">
            <v>98000</v>
          </cell>
          <cell r="H33">
            <v>1568000</v>
          </cell>
          <cell r="I33">
            <v>80101</v>
          </cell>
          <cell r="J33">
            <v>1281616</v>
          </cell>
          <cell r="K33">
            <v>2136</v>
          </cell>
          <cell r="L33">
            <v>34176</v>
          </cell>
          <cell r="M33">
            <v>180237</v>
          </cell>
          <cell r="N33">
            <v>2883792</v>
          </cell>
        </row>
        <row r="34">
          <cell r="A34" t="str">
            <v>40신_30A</v>
          </cell>
          <cell r="B34" t="str">
            <v>40신_30</v>
          </cell>
          <cell r="C34" t="str">
            <v>30. RACE WAY 신설</v>
          </cell>
          <cell r="D34" t="str">
            <v>70x40</v>
          </cell>
          <cell r="E34" t="str">
            <v>m</v>
          </cell>
          <cell r="F34">
            <v>3126</v>
          </cell>
          <cell r="G34">
            <v>6390</v>
          </cell>
          <cell r="H34">
            <v>19976939</v>
          </cell>
          <cell r="I34">
            <v>19406</v>
          </cell>
          <cell r="J34">
            <v>60663890</v>
          </cell>
          <cell r="K34">
            <v>576</v>
          </cell>
          <cell r="L34">
            <v>1802817</v>
          </cell>
          <cell r="M34">
            <v>26372</v>
          </cell>
          <cell r="N34">
            <v>82443646</v>
          </cell>
        </row>
        <row r="35">
          <cell r="A35" t="str">
            <v>40신_31A</v>
          </cell>
          <cell r="B35" t="str">
            <v>40신_31</v>
          </cell>
          <cell r="C35" t="str">
            <v>31. 개폐기 신설</v>
          </cell>
          <cell r="D35" t="str">
            <v>1구-15A-250V</v>
          </cell>
          <cell r="E35" t="str">
            <v>개소</v>
          </cell>
          <cell r="F35">
            <v>15</v>
          </cell>
          <cell r="G35">
            <v>2070</v>
          </cell>
          <cell r="H35">
            <v>31050</v>
          </cell>
          <cell r="I35">
            <v>3738</v>
          </cell>
          <cell r="J35">
            <v>56070</v>
          </cell>
          <cell r="K35">
            <v>0</v>
          </cell>
          <cell r="L35">
            <v>0</v>
          </cell>
          <cell r="M35">
            <v>5808</v>
          </cell>
          <cell r="N35">
            <v>87120</v>
          </cell>
        </row>
        <row r="36">
          <cell r="A36" t="str">
            <v>40신_32A</v>
          </cell>
          <cell r="B36" t="str">
            <v>40신_32</v>
          </cell>
          <cell r="C36" t="str">
            <v>32. 개폐기 신설</v>
          </cell>
          <cell r="D36" t="str">
            <v>2구-15A-250V</v>
          </cell>
          <cell r="E36" t="str">
            <v>개소</v>
          </cell>
          <cell r="F36">
            <v>6</v>
          </cell>
          <cell r="G36">
            <v>2931</v>
          </cell>
          <cell r="H36">
            <v>17586</v>
          </cell>
          <cell r="I36">
            <v>4806</v>
          </cell>
          <cell r="J36">
            <v>28836</v>
          </cell>
          <cell r="K36">
            <v>0</v>
          </cell>
          <cell r="L36">
            <v>0</v>
          </cell>
          <cell r="M36">
            <v>7737</v>
          </cell>
          <cell r="N36">
            <v>46422</v>
          </cell>
        </row>
        <row r="37">
          <cell r="A37" t="str">
            <v>40신_33A</v>
          </cell>
          <cell r="B37" t="str">
            <v>40신_33</v>
          </cell>
          <cell r="C37" t="str">
            <v>33. 콘센트 신설</v>
          </cell>
          <cell r="D37" t="str">
            <v>2P-15A-250W-1구</v>
          </cell>
          <cell r="E37" t="str">
            <v>개소</v>
          </cell>
          <cell r="F37">
            <v>4</v>
          </cell>
          <cell r="G37">
            <v>1080</v>
          </cell>
          <cell r="H37">
            <v>4320</v>
          </cell>
          <cell r="I37">
            <v>4806</v>
          </cell>
          <cell r="J37">
            <v>19224</v>
          </cell>
          <cell r="K37">
            <v>0</v>
          </cell>
          <cell r="L37">
            <v>0</v>
          </cell>
          <cell r="M37">
            <v>5886</v>
          </cell>
          <cell r="N37">
            <v>23544</v>
          </cell>
        </row>
        <row r="38">
          <cell r="A38" t="str">
            <v>40신_34A</v>
          </cell>
          <cell r="B38" t="str">
            <v>40신_34</v>
          </cell>
          <cell r="C38" t="str">
            <v>34. 콘센트 신설</v>
          </cell>
          <cell r="D38" t="str">
            <v>2P-15A-250W-1구</v>
          </cell>
          <cell r="E38" t="str">
            <v>개소</v>
          </cell>
          <cell r="F38">
            <v>234</v>
          </cell>
          <cell r="G38">
            <v>12100</v>
          </cell>
          <cell r="H38">
            <v>2831400</v>
          </cell>
          <cell r="I38">
            <v>4806</v>
          </cell>
          <cell r="J38">
            <v>1124604</v>
          </cell>
          <cell r="K38">
            <v>0</v>
          </cell>
          <cell r="L38">
            <v>0</v>
          </cell>
          <cell r="M38">
            <v>16906</v>
          </cell>
          <cell r="N38">
            <v>3956004</v>
          </cell>
        </row>
        <row r="39">
          <cell r="A39" t="str">
            <v>40신_35A</v>
          </cell>
          <cell r="B39" t="str">
            <v>40신_35</v>
          </cell>
          <cell r="C39" t="str">
            <v>35. 콘센트 신설</v>
          </cell>
          <cell r="D39" t="str">
            <v>2P-15A-250W-2구</v>
          </cell>
          <cell r="E39" t="str">
            <v>개소</v>
          </cell>
          <cell r="F39">
            <v>32</v>
          </cell>
          <cell r="G39">
            <v>1364</v>
          </cell>
          <cell r="H39">
            <v>43648</v>
          </cell>
          <cell r="I39">
            <v>4806</v>
          </cell>
          <cell r="J39">
            <v>153792</v>
          </cell>
          <cell r="K39">
            <v>0</v>
          </cell>
          <cell r="L39">
            <v>0</v>
          </cell>
          <cell r="M39">
            <v>6170</v>
          </cell>
          <cell r="N39">
            <v>197440</v>
          </cell>
        </row>
        <row r="40">
          <cell r="A40" t="str">
            <v>40신_36A</v>
          </cell>
          <cell r="B40" t="str">
            <v>40신_36</v>
          </cell>
          <cell r="C40" t="str">
            <v>36. 옥내 배관 배선</v>
          </cell>
          <cell r="D40" t="str">
            <v>각  종</v>
          </cell>
          <cell r="E40" t="str">
            <v>m</v>
          </cell>
          <cell r="F40">
            <v>1</v>
          </cell>
          <cell r="G40">
            <v>18132313</v>
          </cell>
          <cell r="H40">
            <v>18132313</v>
          </cell>
          <cell r="I40">
            <v>59513812</v>
          </cell>
          <cell r="J40">
            <v>59513812</v>
          </cell>
          <cell r="K40">
            <v>1785195</v>
          </cell>
          <cell r="L40">
            <v>1785195</v>
          </cell>
          <cell r="M40">
            <v>79431320</v>
          </cell>
          <cell r="N40">
            <v>79431320</v>
          </cell>
        </row>
        <row r="41">
          <cell r="A41" t="str">
            <v>40신_37A</v>
          </cell>
          <cell r="B41" t="str">
            <v>40신_37</v>
          </cell>
          <cell r="C41" t="str">
            <v>37. 케이블 신설</v>
          </cell>
          <cell r="D41" t="str">
            <v>CV 22㎟/1C외 각종</v>
          </cell>
          <cell r="E41" t="str">
            <v>m</v>
          </cell>
          <cell r="F41">
            <v>14895</v>
          </cell>
          <cell r="G41">
            <v>1112</v>
          </cell>
          <cell r="H41">
            <v>16574374</v>
          </cell>
          <cell r="I41">
            <v>1768</v>
          </cell>
          <cell r="J41">
            <v>26339447</v>
          </cell>
          <cell r="K41">
            <v>53</v>
          </cell>
          <cell r="L41">
            <v>790000</v>
          </cell>
          <cell r="M41">
            <v>2933</v>
          </cell>
          <cell r="N41">
            <v>43703821</v>
          </cell>
        </row>
        <row r="42">
          <cell r="A42" t="str">
            <v>40신_38A</v>
          </cell>
          <cell r="B42" t="str">
            <v>40신_38</v>
          </cell>
          <cell r="C42" t="str">
            <v>38. 케이블 DUCT 신설</v>
          </cell>
          <cell r="D42" t="str">
            <v>W600xH200</v>
          </cell>
          <cell r="E42" t="str">
            <v>m</v>
          </cell>
          <cell r="F42">
            <v>6</v>
          </cell>
          <cell r="G42">
            <v>54241</v>
          </cell>
          <cell r="H42">
            <v>325448</v>
          </cell>
          <cell r="I42">
            <v>107157</v>
          </cell>
          <cell r="J42">
            <v>642947</v>
          </cell>
          <cell r="K42">
            <v>3026</v>
          </cell>
          <cell r="L42">
            <v>18156</v>
          </cell>
          <cell r="M42">
            <v>164424</v>
          </cell>
          <cell r="N42">
            <v>986551</v>
          </cell>
        </row>
        <row r="43">
          <cell r="A43" t="str">
            <v>40신_39A</v>
          </cell>
          <cell r="B43" t="str">
            <v>40신_39</v>
          </cell>
          <cell r="C43" t="str">
            <v>39. 케이블 TRAY 신설</v>
          </cell>
          <cell r="D43" t="str">
            <v>300Wx100Hx1.2t</v>
          </cell>
          <cell r="E43" t="str">
            <v>m</v>
          </cell>
          <cell r="F43">
            <v>425</v>
          </cell>
          <cell r="G43">
            <v>23385</v>
          </cell>
          <cell r="H43">
            <v>9939015</v>
          </cell>
          <cell r="I43">
            <v>18401</v>
          </cell>
          <cell r="J43">
            <v>7820711</v>
          </cell>
          <cell r="K43">
            <v>547</v>
          </cell>
          <cell r="L43">
            <v>232828</v>
          </cell>
          <cell r="M43">
            <v>42333</v>
          </cell>
          <cell r="N43">
            <v>17992554</v>
          </cell>
        </row>
        <row r="44">
          <cell r="A44" t="str">
            <v>40신_40A</v>
          </cell>
          <cell r="B44" t="str">
            <v>40신_40</v>
          </cell>
          <cell r="C44" t="str">
            <v>40. 케이블 TRAY 신설</v>
          </cell>
          <cell r="D44" t="str">
            <v>600Wx100Hx1.2t</v>
          </cell>
          <cell r="E44" t="str">
            <v>m</v>
          </cell>
          <cell r="F44">
            <v>390</v>
          </cell>
          <cell r="G44">
            <v>34081</v>
          </cell>
          <cell r="H44">
            <v>13291785</v>
          </cell>
          <cell r="I44">
            <v>33473</v>
          </cell>
          <cell r="J44">
            <v>13054543</v>
          </cell>
          <cell r="K44">
            <v>999</v>
          </cell>
          <cell r="L44">
            <v>389827</v>
          </cell>
          <cell r="M44">
            <v>26736155</v>
          </cell>
          <cell r="N44">
            <v>26736155</v>
          </cell>
        </row>
        <row r="45">
          <cell r="A45" t="str">
            <v>40신_41A</v>
          </cell>
          <cell r="B45" t="str">
            <v>40신_41</v>
          </cell>
          <cell r="C45" t="str">
            <v>41. 옥외변대기초 신설</v>
          </cell>
          <cell r="D45" t="str">
            <v>15mx5.1mx0.5m</v>
          </cell>
          <cell r="E45" t="str">
            <v>개소</v>
          </cell>
          <cell r="F45">
            <v>1</v>
          </cell>
          <cell r="G45">
            <v>2113233</v>
          </cell>
          <cell r="H45">
            <v>2113233</v>
          </cell>
          <cell r="I45">
            <v>1170989</v>
          </cell>
          <cell r="J45">
            <v>1170989</v>
          </cell>
          <cell r="K45">
            <v>25384</v>
          </cell>
          <cell r="L45">
            <v>25384</v>
          </cell>
          <cell r="M45">
            <v>3309606</v>
          </cell>
          <cell r="N45">
            <v>3309606</v>
          </cell>
        </row>
        <row r="46">
          <cell r="A46" t="str">
            <v>40신_42A</v>
          </cell>
          <cell r="B46" t="str">
            <v>40신_42</v>
          </cell>
          <cell r="C46" t="str">
            <v>42. 휀스 신설</v>
          </cell>
          <cell r="D46" t="str">
            <v>경간:2m, 높이:1.8m</v>
          </cell>
          <cell r="E46" t="str">
            <v>경간</v>
          </cell>
          <cell r="F46">
            <v>11</v>
          </cell>
          <cell r="G46">
            <v>55176</v>
          </cell>
          <cell r="H46">
            <v>606936</v>
          </cell>
          <cell r="I46">
            <v>63997</v>
          </cell>
          <cell r="J46">
            <v>703967</v>
          </cell>
          <cell r="K46">
            <v>1055</v>
          </cell>
          <cell r="L46">
            <v>11605</v>
          </cell>
          <cell r="M46">
            <v>120228</v>
          </cell>
          <cell r="N46">
            <v>1322508</v>
          </cell>
        </row>
        <row r="47">
          <cell r="A47" t="str">
            <v>40신_43A</v>
          </cell>
          <cell r="B47" t="str">
            <v>40신_43</v>
          </cell>
          <cell r="C47" t="str">
            <v>43. 조명제어 설비 신설</v>
          </cell>
          <cell r="D47" t="str">
            <v>분전반용(LS-A~LS-E)</v>
          </cell>
          <cell r="E47" t="str">
            <v>면</v>
          </cell>
          <cell r="F47">
            <v>5</v>
          </cell>
          <cell r="G47">
            <v>1318600</v>
          </cell>
          <cell r="H47">
            <v>6593000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1318600</v>
          </cell>
          <cell r="N47">
            <v>6593000</v>
          </cell>
        </row>
        <row r="48">
          <cell r="A48" t="str">
            <v>40신_44A</v>
          </cell>
          <cell r="B48" t="str">
            <v>40신_44</v>
          </cell>
          <cell r="C48" t="str">
            <v>44. 조명제어 설비 신설</v>
          </cell>
          <cell r="D48" t="str">
            <v>모 장치(LCP-M)</v>
          </cell>
          <cell r="E48" t="str">
            <v>면</v>
          </cell>
          <cell r="F48">
            <v>1</v>
          </cell>
          <cell r="G48">
            <v>2109000</v>
          </cell>
          <cell r="H48">
            <v>2109000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2109000</v>
          </cell>
          <cell r="N48">
            <v>2109000</v>
          </cell>
        </row>
        <row r="49">
          <cell r="A49" t="str">
            <v>40신_45A</v>
          </cell>
          <cell r="B49" t="str">
            <v>40신_45</v>
          </cell>
          <cell r="C49" t="str">
            <v>45. 조명제어 설비 신설</v>
          </cell>
          <cell r="D49" t="str">
            <v>모 장치(LCP-M1)</v>
          </cell>
          <cell r="E49" t="str">
            <v>면</v>
          </cell>
          <cell r="F49">
            <v>1</v>
          </cell>
          <cell r="G49">
            <v>1104000</v>
          </cell>
          <cell r="H49">
            <v>1104000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1104000</v>
          </cell>
          <cell r="N49">
            <v>1104000</v>
          </cell>
        </row>
        <row r="50">
          <cell r="A50" t="str">
            <v>40신_46A</v>
          </cell>
          <cell r="B50" t="str">
            <v>40신_46</v>
          </cell>
          <cell r="C50" t="str">
            <v>43. 조명제어 설비 신설</v>
          </cell>
          <cell r="D50" t="str">
            <v>SETTING UNIT외 각종</v>
          </cell>
          <cell r="E50" t="str">
            <v>식</v>
          </cell>
          <cell r="F50">
            <v>1</v>
          </cell>
          <cell r="G50">
            <v>775000</v>
          </cell>
          <cell r="H50">
            <v>775000</v>
          </cell>
          <cell r="I50">
            <v>1000000</v>
          </cell>
          <cell r="J50">
            <v>1000000</v>
          </cell>
          <cell r="K50">
            <v>0</v>
          </cell>
          <cell r="L50">
            <v>0</v>
          </cell>
          <cell r="M50">
            <v>1775000</v>
          </cell>
          <cell r="N50">
            <v>1775000</v>
          </cell>
        </row>
        <row r="53">
          <cell r="C53" t="str">
            <v>합   계</v>
          </cell>
          <cell r="F53">
            <v>0</v>
          </cell>
          <cell r="H53">
            <v>121169807</v>
          </cell>
          <cell r="J53">
            <v>200568849</v>
          </cell>
          <cell r="L53">
            <v>5416766</v>
          </cell>
          <cell r="N53">
            <v>327155422</v>
          </cell>
        </row>
      </sheetData>
      <sheetData sheetId="1"/>
      <sheetData sheetId="2"/>
      <sheetData sheetId="3"/>
      <sheetData sheetId="4" refreshError="1">
        <row r="4">
          <cell r="A4" t="str">
            <v>강제전선관ST 16C</v>
          </cell>
          <cell r="B4" t="str">
            <v>강제전선관</v>
          </cell>
          <cell r="C4" t="str">
            <v>ST 16C</v>
          </cell>
          <cell r="D4" t="str">
            <v>m</v>
          </cell>
          <cell r="G4">
            <v>172.5</v>
          </cell>
          <cell r="H4">
            <v>285.5</v>
          </cell>
          <cell r="J4">
            <v>458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503</v>
          </cell>
          <cell r="O4" t="str">
            <v>전품1-6</v>
          </cell>
        </row>
        <row r="5">
          <cell r="A5" t="str">
            <v>강제전선관ST 22C</v>
          </cell>
          <cell r="B5" t="str">
            <v>강제전선관</v>
          </cell>
          <cell r="C5" t="str">
            <v>ST 22C</v>
          </cell>
          <cell r="D5" t="str">
            <v>m</v>
          </cell>
          <cell r="G5">
            <v>29.5</v>
          </cell>
          <cell r="H5">
            <v>37</v>
          </cell>
          <cell r="J5">
            <v>66.5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73</v>
          </cell>
          <cell r="O5" t="str">
            <v>전품1-6</v>
          </cell>
        </row>
        <row r="6">
          <cell r="A6" t="str">
            <v>강제전선관ST 28C</v>
          </cell>
          <cell r="B6" t="str">
            <v>강제전선관</v>
          </cell>
          <cell r="C6" t="str">
            <v>ST 28C</v>
          </cell>
          <cell r="D6" t="str">
            <v>m</v>
          </cell>
          <cell r="G6">
            <v>72</v>
          </cell>
          <cell r="H6">
            <v>2196</v>
          </cell>
          <cell r="J6">
            <v>2268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2494</v>
          </cell>
          <cell r="O6" t="str">
            <v>전품1-6</v>
          </cell>
        </row>
        <row r="7">
          <cell r="A7" t="str">
            <v>강제전선관ST 36C</v>
          </cell>
          <cell r="B7" t="str">
            <v>강제전선관</v>
          </cell>
          <cell r="C7" t="str">
            <v>ST 36C</v>
          </cell>
          <cell r="D7" t="str">
            <v>m</v>
          </cell>
          <cell r="F7">
            <v>20</v>
          </cell>
          <cell r="H7">
            <v>132</v>
          </cell>
          <cell r="J7">
            <v>152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167</v>
          </cell>
          <cell r="O7" t="str">
            <v>전품1-6</v>
          </cell>
        </row>
        <row r="8">
          <cell r="A8" t="str">
            <v>강제전선관ST 42C</v>
          </cell>
          <cell r="B8" t="str">
            <v>강제전선관</v>
          </cell>
          <cell r="C8" t="str">
            <v>ST 42C</v>
          </cell>
          <cell r="D8" t="str">
            <v>m</v>
          </cell>
          <cell r="F8">
            <v>20</v>
          </cell>
          <cell r="H8">
            <v>144</v>
          </cell>
          <cell r="J8">
            <v>164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180</v>
          </cell>
          <cell r="O8" t="str">
            <v>전품1-6</v>
          </cell>
        </row>
        <row r="9">
          <cell r="A9" t="str">
            <v>강제전선관ST 54C</v>
          </cell>
          <cell r="B9" t="str">
            <v>강제전선관</v>
          </cell>
          <cell r="C9" t="str">
            <v>ST 54C</v>
          </cell>
          <cell r="D9" t="str">
            <v>m</v>
          </cell>
          <cell r="F9">
            <v>52</v>
          </cell>
          <cell r="H9">
            <v>432</v>
          </cell>
          <cell r="J9">
            <v>484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532</v>
          </cell>
          <cell r="O9" t="str">
            <v>전품1-6</v>
          </cell>
        </row>
        <row r="10">
          <cell r="A10" t="str">
            <v>강제전선관ST 70C</v>
          </cell>
          <cell r="B10" t="str">
            <v>강제전선관</v>
          </cell>
          <cell r="C10" t="str">
            <v>ST 70C</v>
          </cell>
          <cell r="D10" t="str">
            <v>m</v>
          </cell>
          <cell r="F10">
            <v>12</v>
          </cell>
          <cell r="J10">
            <v>12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13</v>
          </cell>
          <cell r="O10" t="str">
            <v>전품1-6</v>
          </cell>
        </row>
        <row r="11">
          <cell r="A11" t="str">
            <v>강제전선관ST 82C</v>
          </cell>
          <cell r="B11" t="str">
            <v>강제전선관</v>
          </cell>
          <cell r="C11" t="str">
            <v>ST 82C</v>
          </cell>
          <cell r="D11" t="str">
            <v>m</v>
          </cell>
          <cell r="F11">
            <v>4</v>
          </cell>
          <cell r="J11">
            <v>4</v>
          </cell>
          <cell r="K11" t="str">
            <v>x</v>
          </cell>
          <cell r="L11">
            <v>1.1000000000000001</v>
          </cell>
          <cell r="M11" t="str">
            <v>=</v>
          </cell>
          <cell r="N11">
            <v>4</v>
          </cell>
          <cell r="O11" t="str">
            <v>전품1-6</v>
          </cell>
        </row>
        <row r="12">
          <cell r="A12" t="str">
            <v>강제전선관ST 104C</v>
          </cell>
          <cell r="B12" t="str">
            <v>강제전선관</v>
          </cell>
          <cell r="C12" t="str">
            <v>ST 104C</v>
          </cell>
          <cell r="D12" t="str">
            <v>m</v>
          </cell>
          <cell r="F12">
            <v>4</v>
          </cell>
          <cell r="J12">
            <v>4</v>
          </cell>
          <cell r="K12" t="str">
            <v>x</v>
          </cell>
          <cell r="L12">
            <v>1.1000000000000001</v>
          </cell>
          <cell r="M12" t="str">
            <v>=</v>
          </cell>
          <cell r="N12">
            <v>4</v>
          </cell>
          <cell r="O12" t="str">
            <v>전품1-6</v>
          </cell>
        </row>
        <row r="13">
          <cell r="A13" t="str">
            <v>경질비닐전선관HI-PVC 22C</v>
          </cell>
          <cell r="B13" t="str">
            <v>경질비닐전선관</v>
          </cell>
          <cell r="C13" t="str">
            <v>HI-PVC 22C</v>
          </cell>
          <cell r="D13" t="str">
            <v>m</v>
          </cell>
          <cell r="E13">
            <v>50</v>
          </cell>
          <cell r="J13">
            <v>50</v>
          </cell>
          <cell r="K13" t="str">
            <v>x</v>
          </cell>
          <cell r="L13">
            <v>1.1000000000000001</v>
          </cell>
          <cell r="M13" t="str">
            <v>=</v>
          </cell>
          <cell r="N13">
            <v>55</v>
          </cell>
          <cell r="O13" t="str">
            <v>전품1-6</v>
          </cell>
        </row>
        <row r="14">
          <cell r="A14" t="str">
            <v>경질비닐전선관HI-PVC 36C</v>
          </cell>
          <cell r="B14" t="str">
            <v>경질비닐전선관</v>
          </cell>
          <cell r="C14" t="str">
            <v>HI-PVC 36C</v>
          </cell>
          <cell r="D14" t="str">
            <v>m</v>
          </cell>
          <cell r="E14">
            <v>150</v>
          </cell>
          <cell r="J14">
            <v>150</v>
          </cell>
          <cell r="K14" t="str">
            <v>x</v>
          </cell>
          <cell r="L14">
            <v>1.1000000000000001</v>
          </cell>
          <cell r="M14" t="str">
            <v>=</v>
          </cell>
          <cell r="N14">
            <v>165</v>
          </cell>
          <cell r="O14" t="str">
            <v>전품1-6</v>
          </cell>
        </row>
        <row r="15">
          <cell r="A15" t="str">
            <v>플랙시블 전선관고장력방수  28C</v>
          </cell>
          <cell r="B15" t="str">
            <v>플랙시블 전선관</v>
          </cell>
          <cell r="C15" t="str">
            <v>고장력방수  28C</v>
          </cell>
          <cell r="D15" t="str">
            <v>m</v>
          </cell>
          <cell r="H15">
            <v>317</v>
          </cell>
          <cell r="J15">
            <v>317</v>
          </cell>
          <cell r="K15" t="str">
            <v>x</v>
          </cell>
          <cell r="L15">
            <v>1.1000000000000001</v>
          </cell>
          <cell r="M15" t="str">
            <v>=</v>
          </cell>
          <cell r="N15">
            <v>348</v>
          </cell>
          <cell r="O15" t="str">
            <v>전품1-6</v>
          </cell>
        </row>
        <row r="16">
          <cell r="A16" t="str">
            <v>노말 밴드ST  36C</v>
          </cell>
          <cell r="B16" t="str">
            <v>노말 밴드</v>
          </cell>
          <cell r="C16" t="str">
            <v>ST  36C</v>
          </cell>
          <cell r="D16" t="str">
            <v>m</v>
          </cell>
          <cell r="F16">
            <v>6</v>
          </cell>
          <cell r="H16">
            <v>6</v>
          </cell>
          <cell r="J16">
            <v>12</v>
          </cell>
          <cell r="K16" t="str">
            <v>x</v>
          </cell>
          <cell r="L16">
            <v>1</v>
          </cell>
          <cell r="M16" t="str">
            <v>=</v>
          </cell>
          <cell r="N16">
            <v>12</v>
          </cell>
          <cell r="O16" t="str">
            <v>전품1-6</v>
          </cell>
        </row>
        <row r="17">
          <cell r="A17" t="str">
            <v>노말 밴드ST  42C</v>
          </cell>
          <cell r="B17" t="str">
            <v>노말 밴드</v>
          </cell>
          <cell r="C17" t="str">
            <v>ST  42C</v>
          </cell>
          <cell r="D17" t="str">
            <v>m</v>
          </cell>
          <cell r="F17">
            <v>5</v>
          </cell>
          <cell r="H17">
            <v>24</v>
          </cell>
          <cell r="J17">
            <v>29</v>
          </cell>
          <cell r="K17" t="str">
            <v>x</v>
          </cell>
          <cell r="L17">
            <v>1</v>
          </cell>
          <cell r="M17" t="str">
            <v>=</v>
          </cell>
          <cell r="N17">
            <v>29</v>
          </cell>
          <cell r="O17" t="str">
            <v>전품1-6</v>
          </cell>
        </row>
        <row r="18">
          <cell r="A18" t="str">
            <v>노말 밴드ST  54C</v>
          </cell>
          <cell r="B18" t="str">
            <v>노말 밴드</v>
          </cell>
          <cell r="C18" t="str">
            <v>ST  54C</v>
          </cell>
          <cell r="D18" t="str">
            <v>m</v>
          </cell>
          <cell r="F18">
            <v>7</v>
          </cell>
          <cell r="H18">
            <v>32</v>
          </cell>
          <cell r="J18">
            <v>39</v>
          </cell>
          <cell r="K18" t="str">
            <v>x</v>
          </cell>
          <cell r="L18">
            <v>1</v>
          </cell>
          <cell r="M18" t="str">
            <v>=</v>
          </cell>
          <cell r="N18">
            <v>39</v>
          </cell>
          <cell r="O18" t="str">
            <v>전품1-6</v>
          </cell>
        </row>
        <row r="19">
          <cell r="A19" t="str">
            <v>노말 밴드ST  70C</v>
          </cell>
          <cell r="B19" t="str">
            <v>노말 밴드</v>
          </cell>
          <cell r="C19" t="str">
            <v>ST  70C</v>
          </cell>
          <cell r="D19" t="str">
            <v>m</v>
          </cell>
          <cell r="F19">
            <v>6</v>
          </cell>
          <cell r="J19">
            <v>6</v>
          </cell>
          <cell r="K19" t="str">
            <v>x</v>
          </cell>
          <cell r="L19">
            <v>1</v>
          </cell>
          <cell r="M19" t="str">
            <v>=</v>
          </cell>
          <cell r="N19">
            <v>6</v>
          </cell>
          <cell r="O19" t="str">
            <v>전품1-6</v>
          </cell>
        </row>
        <row r="20">
          <cell r="A20" t="str">
            <v>노말 밴드ST  82C</v>
          </cell>
          <cell r="B20" t="str">
            <v>노말 밴드</v>
          </cell>
          <cell r="C20" t="str">
            <v>ST  82C</v>
          </cell>
          <cell r="D20" t="str">
            <v>m</v>
          </cell>
          <cell r="F20">
            <v>1</v>
          </cell>
          <cell r="J20">
            <v>1</v>
          </cell>
          <cell r="K20" t="str">
            <v>x</v>
          </cell>
          <cell r="L20">
            <v>1</v>
          </cell>
          <cell r="M20" t="str">
            <v>=</v>
          </cell>
          <cell r="N20">
            <v>1</v>
          </cell>
          <cell r="O20" t="str">
            <v>전품1-6</v>
          </cell>
        </row>
        <row r="21">
          <cell r="A21" t="str">
            <v>노말 밴드ST  104C</v>
          </cell>
          <cell r="B21" t="str">
            <v>노말 밴드</v>
          </cell>
          <cell r="C21" t="str">
            <v>ST  104C</v>
          </cell>
          <cell r="D21" t="str">
            <v>m</v>
          </cell>
          <cell r="F21">
            <v>1</v>
          </cell>
          <cell r="J21">
            <v>1</v>
          </cell>
          <cell r="K21" t="str">
            <v>x</v>
          </cell>
          <cell r="L21">
            <v>1</v>
          </cell>
          <cell r="M21" t="str">
            <v>=</v>
          </cell>
          <cell r="N21">
            <v>1</v>
          </cell>
          <cell r="O21" t="str">
            <v>전품1-6</v>
          </cell>
        </row>
        <row r="22">
          <cell r="A22" t="str">
            <v>전선관지지금구1개용 16C</v>
          </cell>
          <cell r="B22" t="str">
            <v>전선관지지금구</v>
          </cell>
          <cell r="C22" t="str">
            <v>1개용 16C</v>
          </cell>
          <cell r="D22" t="str">
            <v>개소</v>
          </cell>
          <cell r="G22">
            <v>166</v>
          </cell>
          <cell r="H22">
            <v>190.33333333333334</v>
          </cell>
          <cell r="J22">
            <v>356.33333333333337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391</v>
          </cell>
          <cell r="O22" t="str">
            <v>전품1-6</v>
          </cell>
        </row>
        <row r="23">
          <cell r="A23" t="str">
            <v>전선관지지금구1개용 22C</v>
          </cell>
          <cell r="B23" t="str">
            <v>전선관지지금구</v>
          </cell>
          <cell r="C23" t="str">
            <v>1개용 22C</v>
          </cell>
          <cell r="D23" t="str">
            <v>개소</v>
          </cell>
          <cell r="G23">
            <v>57</v>
          </cell>
          <cell r="J23">
            <v>57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62</v>
          </cell>
          <cell r="O23" t="str">
            <v>전품1-6</v>
          </cell>
        </row>
        <row r="24">
          <cell r="A24" t="str">
            <v>전선관지지금구1개용 28C</v>
          </cell>
          <cell r="B24" t="str">
            <v>전선관지지금구</v>
          </cell>
          <cell r="C24" t="str">
            <v>1개용 28C</v>
          </cell>
          <cell r="D24" t="str">
            <v>개소</v>
          </cell>
          <cell r="G24">
            <v>48</v>
          </cell>
          <cell r="H24">
            <v>1332</v>
          </cell>
          <cell r="J24">
            <v>1380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1518</v>
          </cell>
          <cell r="O24" t="str">
            <v>전품1-6</v>
          </cell>
        </row>
        <row r="25">
          <cell r="A25" t="str">
            <v>전선관지지금구1개용 36C</v>
          </cell>
          <cell r="B25" t="str">
            <v>전선관지지금구</v>
          </cell>
          <cell r="C25" t="str">
            <v>1개용 36C</v>
          </cell>
          <cell r="D25" t="str">
            <v>개소</v>
          </cell>
          <cell r="F25">
            <v>10</v>
          </cell>
          <cell r="H25">
            <v>56</v>
          </cell>
          <cell r="J25">
            <v>66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72</v>
          </cell>
          <cell r="O25" t="str">
            <v>전품1-6</v>
          </cell>
        </row>
        <row r="26">
          <cell r="A26" t="str">
            <v>전선관지지금구1개용 42C</v>
          </cell>
          <cell r="B26" t="str">
            <v>전선관지지금구</v>
          </cell>
          <cell r="C26" t="str">
            <v>1개용 42C</v>
          </cell>
          <cell r="D26" t="str">
            <v>개소</v>
          </cell>
          <cell r="F26">
            <v>10</v>
          </cell>
          <cell r="H26">
            <v>72</v>
          </cell>
          <cell r="J26">
            <v>82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90</v>
          </cell>
          <cell r="O26" t="str">
            <v>전품1-6</v>
          </cell>
        </row>
        <row r="27">
          <cell r="A27" t="str">
            <v>전선관지지금구1개용 54C</v>
          </cell>
          <cell r="B27" t="str">
            <v>전선관지지금구</v>
          </cell>
          <cell r="C27" t="str">
            <v>1개용 54C</v>
          </cell>
          <cell r="D27" t="str">
            <v>개소</v>
          </cell>
          <cell r="F27">
            <v>10</v>
          </cell>
          <cell r="H27">
            <v>216</v>
          </cell>
          <cell r="J27">
            <v>226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248</v>
          </cell>
          <cell r="O27" t="str">
            <v>전품1-6</v>
          </cell>
        </row>
        <row r="28">
          <cell r="A28" t="str">
            <v>전선관지지금구1개용 70C</v>
          </cell>
          <cell r="B28" t="str">
            <v>전선관지지금구</v>
          </cell>
          <cell r="C28" t="str">
            <v>1개용 70C</v>
          </cell>
          <cell r="D28" t="str">
            <v>개소</v>
          </cell>
          <cell r="F28">
            <v>6</v>
          </cell>
          <cell r="J28">
            <v>6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6</v>
          </cell>
          <cell r="O28" t="str">
            <v>전품1-6</v>
          </cell>
        </row>
        <row r="29">
          <cell r="A29" t="str">
            <v>전선관지지금구1개용 82C</v>
          </cell>
          <cell r="B29" t="str">
            <v>전선관지지금구</v>
          </cell>
          <cell r="C29" t="str">
            <v>1개용 82C</v>
          </cell>
          <cell r="D29" t="str">
            <v>개소</v>
          </cell>
          <cell r="F29">
            <v>2</v>
          </cell>
          <cell r="J29">
            <v>2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2</v>
          </cell>
          <cell r="O29" t="str">
            <v>전품1-6</v>
          </cell>
        </row>
        <row r="30">
          <cell r="A30" t="str">
            <v>전선관지지금구1개용 104C</v>
          </cell>
          <cell r="B30" t="str">
            <v>전선관지지금구</v>
          </cell>
          <cell r="C30" t="str">
            <v>1개용 104C</v>
          </cell>
          <cell r="D30" t="str">
            <v>개소</v>
          </cell>
          <cell r="F30">
            <v>2</v>
          </cell>
          <cell r="J30">
            <v>2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2</v>
          </cell>
          <cell r="O30" t="str">
            <v>전품1-6</v>
          </cell>
        </row>
        <row r="31">
          <cell r="A31" t="str">
            <v>새들28C</v>
          </cell>
          <cell r="B31" t="str">
            <v>새들</v>
          </cell>
          <cell r="C31" t="str">
            <v>28C</v>
          </cell>
          <cell r="D31" t="str">
            <v>EA</v>
          </cell>
          <cell r="H31">
            <v>936</v>
          </cell>
          <cell r="J31">
            <v>936</v>
          </cell>
          <cell r="K31" t="str">
            <v>x</v>
          </cell>
          <cell r="L31">
            <v>1.1000000000000001</v>
          </cell>
          <cell r="M31" t="str">
            <v>=</v>
          </cell>
          <cell r="N31">
            <v>1029</v>
          </cell>
          <cell r="O31" t="str">
            <v>전품1-6</v>
          </cell>
        </row>
        <row r="32">
          <cell r="A32" t="str">
            <v>케 이 블600V CV 5.5㎟/1C</v>
          </cell>
          <cell r="B32" t="str">
            <v>케 이 블</v>
          </cell>
          <cell r="C32" t="str">
            <v>600V CV 5.5㎟/1C</v>
          </cell>
          <cell r="D32" t="str">
            <v>m</v>
          </cell>
          <cell r="G32">
            <v>234</v>
          </cell>
          <cell r="H32">
            <v>5010</v>
          </cell>
          <cell r="J32">
            <v>5244</v>
          </cell>
          <cell r="K32" t="str">
            <v>x</v>
          </cell>
          <cell r="L32">
            <v>1.05</v>
          </cell>
          <cell r="M32" t="str">
            <v>=</v>
          </cell>
          <cell r="N32">
            <v>5506</v>
          </cell>
          <cell r="O32" t="str">
            <v>전품1-6</v>
          </cell>
        </row>
        <row r="33">
          <cell r="A33" t="str">
            <v>케 이 블600V CV 14㎟/1C</v>
          </cell>
          <cell r="B33" t="str">
            <v>케 이 블</v>
          </cell>
          <cell r="C33" t="str">
            <v>600V CV 14㎟/1C</v>
          </cell>
          <cell r="D33" t="str">
            <v>m</v>
          </cell>
          <cell r="F33">
            <v>1600</v>
          </cell>
          <cell r="J33">
            <v>1600</v>
          </cell>
          <cell r="K33" t="str">
            <v>x</v>
          </cell>
          <cell r="L33">
            <v>1.05</v>
          </cell>
          <cell r="M33" t="str">
            <v>=</v>
          </cell>
          <cell r="N33">
            <v>1680</v>
          </cell>
          <cell r="O33" t="str">
            <v>전품1-6</v>
          </cell>
        </row>
        <row r="34">
          <cell r="A34" t="str">
            <v>케 이 블600V CV 22㎟/1C</v>
          </cell>
          <cell r="B34" t="str">
            <v>케 이 블</v>
          </cell>
          <cell r="C34" t="str">
            <v>600V CV 22㎟/1C</v>
          </cell>
          <cell r="D34" t="str">
            <v>m</v>
          </cell>
          <cell r="F34">
            <v>4060</v>
          </cell>
          <cell r="J34">
            <v>4060</v>
          </cell>
          <cell r="K34" t="str">
            <v>x</v>
          </cell>
          <cell r="L34">
            <v>1.05</v>
          </cell>
          <cell r="M34" t="str">
            <v>=</v>
          </cell>
          <cell r="N34">
            <v>4263</v>
          </cell>
          <cell r="O34" t="str">
            <v>전품1-6</v>
          </cell>
        </row>
        <row r="35">
          <cell r="A35" t="str">
            <v>케 이 블600V CV 38㎟/1C</v>
          </cell>
          <cell r="B35" t="str">
            <v>케 이 블</v>
          </cell>
          <cell r="C35" t="str">
            <v>600V CV 38㎟/1C</v>
          </cell>
          <cell r="D35" t="str">
            <v>m</v>
          </cell>
          <cell r="F35">
            <v>680</v>
          </cell>
          <cell r="H35">
            <v>1152</v>
          </cell>
          <cell r="J35">
            <v>1832</v>
          </cell>
          <cell r="K35" t="str">
            <v>x</v>
          </cell>
          <cell r="L35">
            <v>1.05</v>
          </cell>
          <cell r="M35" t="str">
            <v>=</v>
          </cell>
          <cell r="N35">
            <v>1923</v>
          </cell>
          <cell r="O35" t="str">
            <v>전품1-6</v>
          </cell>
        </row>
        <row r="36">
          <cell r="A36" t="str">
            <v>케 이 블600V CV 100㎟/1C</v>
          </cell>
          <cell r="B36" t="str">
            <v>케 이 블</v>
          </cell>
          <cell r="C36" t="str">
            <v>600V CV 100㎟/1C</v>
          </cell>
          <cell r="D36" t="str">
            <v>m</v>
          </cell>
          <cell r="F36">
            <v>310</v>
          </cell>
          <cell r="J36">
            <v>310</v>
          </cell>
          <cell r="K36" t="str">
            <v>x</v>
          </cell>
          <cell r="L36">
            <v>1.05</v>
          </cell>
          <cell r="M36" t="str">
            <v>=</v>
          </cell>
          <cell r="N36">
            <v>325</v>
          </cell>
          <cell r="O36" t="str">
            <v>전품1-6</v>
          </cell>
        </row>
        <row r="37">
          <cell r="A37" t="str">
            <v>케 이 블600V CV 150㎟/1C</v>
          </cell>
          <cell r="B37" t="str">
            <v>케 이 블</v>
          </cell>
          <cell r="C37" t="str">
            <v>600V CV 150㎟/1C</v>
          </cell>
          <cell r="D37" t="str">
            <v>m</v>
          </cell>
          <cell r="E37">
            <v>84</v>
          </cell>
          <cell r="F37">
            <v>360</v>
          </cell>
          <cell r="J37">
            <v>444</v>
          </cell>
          <cell r="K37" t="str">
            <v>x</v>
          </cell>
          <cell r="L37">
            <v>1.05</v>
          </cell>
          <cell r="M37" t="str">
            <v>=</v>
          </cell>
          <cell r="N37">
            <v>466</v>
          </cell>
          <cell r="O37" t="str">
            <v>전품1-6</v>
          </cell>
        </row>
        <row r="38">
          <cell r="A38" t="str">
            <v>케 이 블600V CV 200㎟/1C</v>
          </cell>
          <cell r="B38" t="str">
            <v>케 이 블</v>
          </cell>
          <cell r="C38" t="str">
            <v>600V CV 200㎟/1C</v>
          </cell>
          <cell r="D38" t="str">
            <v>m</v>
          </cell>
          <cell r="E38">
            <v>53</v>
          </cell>
          <cell r="F38">
            <v>285</v>
          </cell>
          <cell r="J38">
            <v>338</v>
          </cell>
          <cell r="K38" t="str">
            <v>x</v>
          </cell>
          <cell r="L38">
            <v>1.05</v>
          </cell>
          <cell r="M38" t="str">
            <v>=</v>
          </cell>
          <cell r="N38">
            <v>354</v>
          </cell>
          <cell r="O38" t="str">
            <v>전품1-6</v>
          </cell>
        </row>
        <row r="39">
          <cell r="A39" t="str">
            <v>케 이 블CVV-S 1.25㎟/2C</v>
          </cell>
          <cell r="B39" t="str">
            <v>케 이 블</v>
          </cell>
          <cell r="C39" t="str">
            <v>CVV-S 1.25㎟/2C</v>
          </cell>
          <cell r="D39" t="str">
            <v>m</v>
          </cell>
          <cell r="G39">
            <v>360</v>
          </cell>
          <cell r="J39">
            <v>360</v>
          </cell>
          <cell r="K39" t="str">
            <v>x</v>
          </cell>
          <cell r="L39">
            <v>1.05</v>
          </cell>
          <cell r="M39" t="str">
            <v>=</v>
          </cell>
          <cell r="N39">
            <v>378</v>
          </cell>
          <cell r="O39" t="str">
            <v>전품1-6</v>
          </cell>
        </row>
        <row r="40">
          <cell r="A40" t="str">
            <v>전     선IV  1.6mm</v>
          </cell>
          <cell r="B40" t="str">
            <v>전     선</v>
          </cell>
          <cell r="C40" t="str">
            <v>IV  1.6mm</v>
          </cell>
          <cell r="D40" t="str">
            <v>m</v>
          </cell>
          <cell r="G40">
            <v>150.5</v>
          </cell>
          <cell r="H40">
            <v>285.5</v>
          </cell>
          <cell r="J40">
            <v>436</v>
          </cell>
          <cell r="K40" t="str">
            <v>x</v>
          </cell>
          <cell r="L40">
            <v>1.1000000000000001</v>
          </cell>
          <cell r="M40" t="str">
            <v>=</v>
          </cell>
          <cell r="N40">
            <v>479</v>
          </cell>
          <cell r="O40" t="str">
            <v>전품1-6</v>
          </cell>
        </row>
        <row r="41">
          <cell r="A41" t="str">
            <v>전     선IV  2.0mm</v>
          </cell>
          <cell r="B41" t="str">
            <v>전     선</v>
          </cell>
          <cell r="C41" t="str">
            <v>IV  2.0mm</v>
          </cell>
          <cell r="D41" t="str">
            <v>m</v>
          </cell>
          <cell r="G41">
            <v>14380.5</v>
          </cell>
          <cell r="H41">
            <v>571</v>
          </cell>
          <cell r="J41">
            <v>14951.5</v>
          </cell>
          <cell r="K41" t="str">
            <v>x</v>
          </cell>
          <cell r="L41">
            <v>1.1000000000000001</v>
          </cell>
          <cell r="M41" t="str">
            <v>=</v>
          </cell>
          <cell r="N41">
            <v>16446</v>
          </cell>
          <cell r="O41" t="str">
            <v>전품1-6</v>
          </cell>
        </row>
        <row r="42">
          <cell r="A42" t="str">
            <v>전     선IV  5.5㎟</v>
          </cell>
          <cell r="B42" t="str">
            <v>전     선</v>
          </cell>
          <cell r="C42" t="str">
            <v>IV  5.5㎟</v>
          </cell>
          <cell r="D42" t="str">
            <v>m</v>
          </cell>
          <cell r="G42">
            <v>210</v>
          </cell>
          <cell r="H42">
            <v>2499</v>
          </cell>
          <cell r="J42">
            <v>2709</v>
          </cell>
          <cell r="K42" t="str">
            <v>x</v>
          </cell>
          <cell r="L42">
            <v>1.1000000000000001</v>
          </cell>
          <cell r="M42" t="str">
            <v>=</v>
          </cell>
          <cell r="N42">
            <v>2979</v>
          </cell>
          <cell r="O42" t="str">
            <v>전품1-6</v>
          </cell>
        </row>
        <row r="43">
          <cell r="A43" t="str">
            <v>전     선IV  8㎟</v>
          </cell>
          <cell r="B43" t="str">
            <v>전     선</v>
          </cell>
          <cell r="C43" t="str">
            <v>IV  8㎟</v>
          </cell>
          <cell r="D43" t="str">
            <v>m</v>
          </cell>
          <cell r="F43">
            <v>1230</v>
          </cell>
          <cell r="H43">
            <v>576</v>
          </cell>
          <cell r="J43">
            <v>1806</v>
          </cell>
          <cell r="K43" t="str">
            <v>x</v>
          </cell>
          <cell r="L43">
            <v>1.1000000000000001</v>
          </cell>
          <cell r="M43" t="str">
            <v>=</v>
          </cell>
          <cell r="N43">
            <v>1986</v>
          </cell>
          <cell r="O43" t="str">
            <v>전품1-6</v>
          </cell>
        </row>
        <row r="44">
          <cell r="A44" t="str">
            <v>전     선IV  14㎟</v>
          </cell>
          <cell r="B44" t="str">
            <v>전     선</v>
          </cell>
          <cell r="C44" t="str">
            <v>IV  14㎟</v>
          </cell>
          <cell r="D44" t="str">
            <v>m</v>
          </cell>
          <cell r="F44">
            <v>60</v>
          </cell>
          <cell r="J44">
            <v>60</v>
          </cell>
          <cell r="K44" t="str">
            <v>x</v>
          </cell>
          <cell r="L44">
            <v>1.1000000000000001</v>
          </cell>
          <cell r="M44" t="str">
            <v>=</v>
          </cell>
          <cell r="N44">
            <v>66</v>
          </cell>
          <cell r="O44" t="str">
            <v>전품1-6</v>
          </cell>
        </row>
        <row r="45">
          <cell r="A45" t="str">
            <v>전     선IV  38㎟</v>
          </cell>
          <cell r="B45" t="str">
            <v>전     선</v>
          </cell>
          <cell r="C45" t="str">
            <v>IV  38㎟</v>
          </cell>
          <cell r="D45" t="str">
            <v>m</v>
          </cell>
          <cell r="F45">
            <v>335</v>
          </cell>
          <cell r="J45">
            <v>335</v>
          </cell>
          <cell r="K45" t="str">
            <v>x</v>
          </cell>
          <cell r="L45">
            <v>1.1000000000000001</v>
          </cell>
          <cell r="M45" t="str">
            <v>=</v>
          </cell>
          <cell r="N45">
            <v>368</v>
          </cell>
          <cell r="O45" t="str">
            <v>전품1-6</v>
          </cell>
        </row>
        <row r="46">
          <cell r="A46" t="str">
            <v>전     선IV  60㎟</v>
          </cell>
          <cell r="B46" t="str">
            <v>전     선</v>
          </cell>
          <cell r="C46" t="str">
            <v>IV  60㎟</v>
          </cell>
          <cell r="D46" t="str">
            <v>m</v>
          </cell>
          <cell r="F46">
            <v>135</v>
          </cell>
          <cell r="J46">
            <v>135</v>
          </cell>
          <cell r="K46" t="str">
            <v>x</v>
          </cell>
          <cell r="L46">
            <v>1.1000000000000001</v>
          </cell>
          <cell r="M46" t="str">
            <v>=</v>
          </cell>
          <cell r="N46">
            <v>148</v>
          </cell>
          <cell r="O46" t="str">
            <v>전품1-6</v>
          </cell>
        </row>
        <row r="47">
          <cell r="A47" t="str">
            <v>전     선GV  38㎟</v>
          </cell>
          <cell r="B47" t="str">
            <v>전     선</v>
          </cell>
          <cell r="C47" t="str">
            <v>GV  38㎟</v>
          </cell>
          <cell r="D47" t="str">
            <v>m</v>
          </cell>
          <cell r="E47">
            <v>50</v>
          </cell>
          <cell r="F47">
            <v>340</v>
          </cell>
          <cell r="J47">
            <v>390</v>
          </cell>
          <cell r="K47" t="str">
            <v>x</v>
          </cell>
          <cell r="L47">
            <v>1.1000000000000001</v>
          </cell>
          <cell r="M47" t="str">
            <v>=</v>
          </cell>
          <cell r="N47">
            <v>429</v>
          </cell>
          <cell r="O47" t="str">
            <v>전품1-6</v>
          </cell>
        </row>
        <row r="48">
          <cell r="A48" t="str">
            <v>전     선GV  60㎟</v>
          </cell>
          <cell r="B48" t="str">
            <v>전     선</v>
          </cell>
          <cell r="C48" t="str">
            <v>GV  60㎟</v>
          </cell>
          <cell r="D48" t="str">
            <v>m</v>
          </cell>
          <cell r="E48">
            <v>195</v>
          </cell>
          <cell r="F48">
            <v>80</v>
          </cell>
          <cell r="J48">
            <v>275</v>
          </cell>
          <cell r="K48" t="str">
            <v>x</v>
          </cell>
          <cell r="L48">
            <v>1.1000000000000001</v>
          </cell>
          <cell r="M48" t="str">
            <v>=</v>
          </cell>
          <cell r="N48">
            <v>302</v>
          </cell>
          <cell r="O48" t="str">
            <v>전품1-6</v>
          </cell>
        </row>
        <row r="49">
          <cell r="A49" t="str">
            <v>압착단자14 ㎟</v>
          </cell>
          <cell r="B49" t="str">
            <v>압착단자</v>
          </cell>
          <cell r="C49" t="str">
            <v>14 ㎟</v>
          </cell>
          <cell r="D49" t="str">
            <v>EA</v>
          </cell>
          <cell r="E49">
            <v>1</v>
          </cell>
          <cell r="F49">
            <v>32</v>
          </cell>
          <cell r="J49">
            <v>33</v>
          </cell>
          <cell r="K49" t="str">
            <v>x</v>
          </cell>
          <cell r="L49">
            <v>1</v>
          </cell>
          <cell r="M49" t="str">
            <v>=</v>
          </cell>
          <cell r="N49">
            <v>33</v>
          </cell>
          <cell r="O49" t="str">
            <v>전품1-6</v>
          </cell>
        </row>
        <row r="50">
          <cell r="A50" t="str">
            <v>압착단자22 ㎟</v>
          </cell>
          <cell r="B50" t="str">
            <v>압착단자</v>
          </cell>
          <cell r="C50" t="str">
            <v>22 ㎟</v>
          </cell>
          <cell r="D50" t="str">
            <v>EA</v>
          </cell>
          <cell r="F50">
            <v>48</v>
          </cell>
          <cell r="J50">
            <v>48</v>
          </cell>
          <cell r="K50" t="str">
            <v>x</v>
          </cell>
          <cell r="L50">
            <v>1</v>
          </cell>
          <cell r="M50" t="str">
            <v>=</v>
          </cell>
          <cell r="N50">
            <v>48</v>
          </cell>
          <cell r="O50" t="str">
            <v>전품1-6</v>
          </cell>
        </row>
        <row r="51">
          <cell r="A51" t="str">
            <v>압착단자38 ㎟</v>
          </cell>
          <cell r="B51" t="str">
            <v>압착단자</v>
          </cell>
          <cell r="C51" t="str">
            <v>38 ㎟</v>
          </cell>
          <cell r="D51" t="str">
            <v>EA</v>
          </cell>
          <cell r="F51">
            <v>12</v>
          </cell>
          <cell r="J51">
            <v>12</v>
          </cell>
          <cell r="K51" t="str">
            <v>x</v>
          </cell>
          <cell r="L51">
            <v>1</v>
          </cell>
          <cell r="M51" t="str">
            <v>=</v>
          </cell>
          <cell r="N51">
            <v>12</v>
          </cell>
          <cell r="O51" t="str">
            <v>전품1-6</v>
          </cell>
        </row>
        <row r="52">
          <cell r="A52" t="str">
            <v>압착단자100 ㎟</v>
          </cell>
          <cell r="B52" t="str">
            <v>압착단자</v>
          </cell>
          <cell r="C52" t="str">
            <v>100 ㎟</v>
          </cell>
          <cell r="D52" t="str">
            <v>EA</v>
          </cell>
          <cell r="F52">
            <v>12</v>
          </cell>
          <cell r="J52">
            <v>12</v>
          </cell>
          <cell r="K52" t="str">
            <v>x</v>
          </cell>
          <cell r="L52">
            <v>1</v>
          </cell>
          <cell r="M52" t="str">
            <v>=</v>
          </cell>
          <cell r="N52">
            <v>12</v>
          </cell>
          <cell r="O52" t="str">
            <v>전품1-6</v>
          </cell>
        </row>
        <row r="53">
          <cell r="A53" t="str">
            <v>압착단자150 ㎟</v>
          </cell>
          <cell r="B53" t="str">
            <v>압착단자</v>
          </cell>
          <cell r="C53" t="str">
            <v>150 ㎟</v>
          </cell>
          <cell r="D53" t="str">
            <v>EA</v>
          </cell>
          <cell r="F53">
            <v>12</v>
          </cell>
          <cell r="J53">
            <v>12</v>
          </cell>
          <cell r="K53" t="str">
            <v>x</v>
          </cell>
          <cell r="L53">
            <v>1</v>
          </cell>
          <cell r="M53" t="str">
            <v>=</v>
          </cell>
          <cell r="N53">
            <v>12</v>
          </cell>
          <cell r="O53" t="str">
            <v>전품1-6</v>
          </cell>
        </row>
        <row r="54">
          <cell r="A54" t="str">
            <v>압착단자200 ㎟</v>
          </cell>
          <cell r="B54" t="str">
            <v>압착단자</v>
          </cell>
          <cell r="C54" t="str">
            <v>200 ㎟</v>
          </cell>
          <cell r="D54" t="str">
            <v>EA</v>
          </cell>
          <cell r="F54">
            <v>10</v>
          </cell>
          <cell r="J54">
            <v>10</v>
          </cell>
          <cell r="K54" t="str">
            <v>x</v>
          </cell>
          <cell r="L54">
            <v>1</v>
          </cell>
          <cell r="M54" t="str">
            <v>=</v>
          </cell>
          <cell r="N54">
            <v>10</v>
          </cell>
          <cell r="O54" t="str">
            <v>전품1-6</v>
          </cell>
        </row>
        <row r="55">
          <cell r="A55" t="str">
            <v>동관단자(2HOLE)150 ㎟</v>
          </cell>
          <cell r="B55" t="str">
            <v>동관단자(2HOLE)</v>
          </cell>
          <cell r="C55" t="str">
            <v>150 ㎟</v>
          </cell>
          <cell r="D55" t="str">
            <v>EA</v>
          </cell>
          <cell r="E55">
            <v>10</v>
          </cell>
          <cell r="J55">
            <v>10</v>
          </cell>
          <cell r="K55" t="str">
            <v>x</v>
          </cell>
          <cell r="L55">
            <v>1</v>
          </cell>
          <cell r="M55" t="str">
            <v>=</v>
          </cell>
          <cell r="N55">
            <v>10</v>
          </cell>
          <cell r="O55" t="str">
            <v>전품1-6</v>
          </cell>
        </row>
        <row r="56">
          <cell r="A56" t="str">
            <v>동관단자(2HOLE)200 ㎟</v>
          </cell>
          <cell r="B56" t="str">
            <v>동관단자(2HOLE)</v>
          </cell>
          <cell r="C56" t="str">
            <v>200 ㎟</v>
          </cell>
          <cell r="D56" t="str">
            <v>EA</v>
          </cell>
          <cell r="E56">
            <v>7</v>
          </cell>
          <cell r="J56">
            <v>7</v>
          </cell>
          <cell r="K56" t="str">
            <v>x</v>
          </cell>
          <cell r="L56">
            <v>1</v>
          </cell>
          <cell r="M56" t="str">
            <v>=</v>
          </cell>
          <cell r="N56">
            <v>7</v>
          </cell>
          <cell r="O56" t="str">
            <v>전품1-6</v>
          </cell>
        </row>
        <row r="57">
          <cell r="A57" t="str">
            <v>케이블헤드(옥내용)6.9kV 60㎟/1C(3상분)</v>
          </cell>
          <cell r="B57" t="str">
            <v>케이블헤드(옥내용)</v>
          </cell>
          <cell r="C57" t="str">
            <v>6.9kV 60㎟/1C(3상분)</v>
          </cell>
          <cell r="D57" t="str">
            <v>KIT</v>
          </cell>
          <cell r="E57">
            <v>2</v>
          </cell>
          <cell r="J57">
            <v>2</v>
          </cell>
          <cell r="K57" t="str">
            <v>x</v>
          </cell>
          <cell r="L57">
            <v>1</v>
          </cell>
          <cell r="M57" t="str">
            <v>=</v>
          </cell>
          <cell r="N57">
            <v>2</v>
          </cell>
          <cell r="O57" t="str">
            <v>전품1-6</v>
          </cell>
        </row>
        <row r="58">
          <cell r="A58" t="str">
            <v>직선 접속재(저압)22㎟/1C(1접속)</v>
          </cell>
          <cell r="B58" t="str">
            <v>직선 접속재(저압)</v>
          </cell>
          <cell r="C58" t="str">
            <v>22㎟/1C(1접속)</v>
          </cell>
          <cell r="D58" t="str">
            <v>EA</v>
          </cell>
          <cell r="F58">
            <v>16</v>
          </cell>
          <cell r="J58">
            <v>16</v>
          </cell>
          <cell r="K58" t="str">
            <v>x</v>
          </cell>
          <cell r="L58">
            <v>1</v>
          </cell>
          <cell r="M58" t="str">
            <v>=</v>
          </cell>
          <cell r="N58">
            <v>16</v>
          </cell>
          <cell r="O58" t="str">
            <v>전품1-6</v>
          </cell>
        </row>
        <row r="59">
          <cell r="A59" t="str">
            <v>직선 접속재(저압)38㎟/1C(1접속)</v>
          </cell>
          <cell r="B59" t="str">
            <v>직선 접속재(저압)</v>
          </cell>
          <cell r="C59" t="str">
            <v>38㎟/1C(1접속)</v>
          </cell>
          <cell r="D59" t="str">
            <v>EA</v>
          </cell>
          <cell r="F59">
            <v>4</v>
          </cell>
          <cell r="J59">
            <v>4</v>
          </cell>
          <cell r="K59" t="str">
            <v>x</v>
          </cell>
          <cell r="L59">
            <v>1</v>
          </cell>
          <cell r="M59" t="str">
            <v>=</v>
          </cell>
          <cell r="N59">
            <v>4</v>
          </cell>
          <cell r="O59" t="str">
            <v>전품1-6</v>
          </cell>
        </row>
        <row r="60">
          <cell r="A60" t="str">
            <v>직선 접속재(저압)200㎟/1C(1접속)</v>
          </cell>
          <cell r="B60" t="str">
            <v>직선 접속재(저압)</v>
          </cell>
          <cell r="C60" t="str">
            <v>200㎟/1C(1접속)</v>
          </cell>
          <cell r="D60" t="str">
            <v>EA</v>
          </cell>
          <cell r="F60">
            <v>2</v>
          </cell>
          <cell r="J60">
            <v>2</v>
          </cell>
          <cell r="K60" t="str">
            <v>x</v>
          </cell>
          <cell r="L60">
            <v>1</v>
          </cell>
          <cell r="M60" t="str">
            <v>=</v>
          </cell>
          <cell r="N60">
            <v>2</v>
          </cell>
          <cell r="O60" t="str">
            <v>전품1-6</v>
          </cell>
        </row>
        <row r="61">
          <cell r="A61" t="str">
            <v>PIPE BONDING CLAMPST  16C</v>
          </cell>
          <cell r="B61" t="str">
            <v>PIPE BONDING CLAMP</v>
          </cell>
          <cell r="C61" t="str">
            <v>ST  16C</v>
          </cell>
          <cell r="D61" t="str">
            <v>EA</v>
          </cell>
          <cell r="G61">
            <v>101.11111111111111</v>
          </cell>
          <cell r="H61">
            <v>197.22222222222223</v>
          </cell>
          <cell r="J61">
            <v>298.33333333333337</v>
          </cell>
          <cell r="K61" t="str">
            <v>x</v>
          </cell>
          <cell r="L61">
            <v>1</v>
          </cell>
          <cell r="M61" t="str">
            <v>=</v>
          </cell>
          <cell r="N61">
            <v>298</v>
          </cell>
          <cell r="O61" t="str">
            <v>전품1-6</v>
          </cell>
        </row>
        <row r="62">
          <cell r="A62" t="str">
            <v>PIPE BONDING CLAMPST  22C</v>
          </cell>
          <cell r="B62" t="str">
            <v>PIPE BONDING CLAMP</v>
          </cell>
          <cell r="C62" t="str">
            <v>ST  22C</v>
          </cell>
          <cell r="D62" t="str">
            <v>EA</v>
          </cell>
          <cell r="G62">
            <v>19.444444444444443</v>
          </cell>
          <cell r="H62">
            <v>25.833333333333332</v>
          </cell>
          <cell r="J62">
            <v>45.277777777777771</v>
          </cell>
          <cell r="K62" t="str">
            <v>x</v>
          </cell>
          <cell r="L62">
            <v>1</v>
          </cell>
          <cell r="M62" t="str">
            <v>=</v>
          </cell>
          <cell r="N62">
            <v>45</v>
          </cell>
          <cell r="O62" t="str">
            <v>전품1-6</v>
          </cell>
        </row>
        <row r="63">
          <cell r="A63" t="str">
            <v>PIPE BONDING CLAMPST  28C</v>
          </cell>
          <cell r="B63" t="str">
            <v>PIPE BONDING CLAMP</v>
          </cell>
          <cell r="C63" t="str">
            <v>ST  28C</v>
          </cell>
          <cell r="D63" t="str">
            <v>EA</v>
          </cell>
          <cell r="G63">
            <v>40</v>
          </cell>
          <cell r="H63">
            <v>73.333333333333329</v>
          </cell>
          <cell r="J63">
            <v>113.33333333333333</v>
          </cell>
          <cell r="K63" t="str">
            <v>x</v>
          </cell>
          <cell r="L63">
            <v>1</v>
          </cell>
          <cell r="M63" t="str">
            <v>=</v>
          </cell>
          <cell r="N63">
            <v>113</v>
          </cell>
          <cell r="O63" t="str">
            <v>전품1-6</v>
          </cell>
        </row>
        <row r="64">
          <cell r="A64" t="str">
            <v>PIPE BONDING CLAMPST  36C</v>
          </cell>
          <cell r="B64" t="str">
            <v>PIPE BONDING CLAMP</v>
          </cell>
          <cell r="C64" t="str">
            <v>ST  36C</v>
          </cell>
          <cell r="D64" t="str">
            <v>EA</v>
          </cell>
          <cell r="H64">
            <v>1220</v>
          </cell>
          <cell r="J64">
            <v>1220</v>
          </cell>
          <cell r="K64" t="str">
            <v>x</v>
          </cell>
          <cell r="L64">
            <v>1</v>
          </cell>
          <cell r="M64" t="str">
            <v>=</v>
          </cell>
          <cell r="N64">
            <v>1220</v>
          </cell>
          <cell r="O64" t="str">
            <v>전품1-6</v>
          </cell>
        </row>
        <row r="65">
          <cell r="A65" t="str">
            <v>PIPE BONDING CLAMPST  42C</v>
          </cell>
          <cell r="B65" t="str">
            <v>PIPE BONDING CLAMP</v>
          </cell>
          <cell r="C65" t="str">
            <v>ST  42C</v>
          </cell>
          <cell r="D65" t="str">
            <v>EA</v>
          </cell>
          <cell r="H65">
            <v>80</v>
          </cell>
          <cell r="J65">
            <v>80</v>
          </cell>
          <cell r="K65" t="str">
            <v>x</v>
          </cell>
          <cell r="L65">
            <v>1</v>
          </cell>
          <cell r="M65" t="str">
            <v>=</v>
          </cell>
          <cell r="N65">
            <v>80</v>
          </cell>
          <cell r="O65" t="str">
            <v>전품1-6</v>
          </cell>
        </row>
        <row r="66">
          <cell r="A66" t="str">
            <v>PIPE BONDING CLAMPST  54C</v>
          </cell>
          <cell r="B66" t="str">
            <v>PIPE BONDING CLAMP</v>
          </cell>
          <cell r="C66" t="str">
            <v>ST  54C</v>
          </cell>
          <cell r="D66" t="str">
            <v>EA</v>
          </cell>
          <cell r="H66">
            <v>240</v>
          </cell>
          <cell r="J66">
            <v>240</v>
          </cell>
          <cell r="K66" t="str">
            <v>x</v>
          </cell>
          <cell r="L66">
            <v>1</v>
          </cell>
          <cell r="M66" t="str">
            <v>=</v>
          </cell>
          <cell r="N66">
            <v>240</v>
          </cell>
          <cell r="O66" t="str">
            <v>전품1-6</v>
          </cell>
        </row>
        <row r="67">
          <cell r="A67" t="str">
            <v>나 동 선2.0㎟</v>
          </cell>
          <cell r="B67" t="str">
            <v>나 동 선</v>
          </cell>
          <cell r="C67" t="str">
            <v>2.0㎟</v>
          </cell>
          <cell r="D67" t="str">
            <v>m</v>
          </cell>
          <cell r="G67">
            <v>24.083333333333329</v>
          </cell>
          <cell r="H67">
            <v>227.45833333333334</v>
          </cell>
          <cell r="J67">
            <v>251.54166666666669</v>
          </cell>
          <cell r="K67" t="str">
            <v>x</v>
          </cell>
          <cell r="L67">
            <v>1</v>
          </cell>
          <cell r="M67" t="str">
            <v>=</v>
          </cell>
          <cell r="N67">
            <v>251</v>
          </cell>
          <cell r="O67" t="str">
            <v>전품1-6</v>
          </cell>
        </row>
        <row r="68">
          <cell r="A68" t="str">
            <v>접지단자반 (SUS)5 CCT</v>
          </cell>
          <cell r="B68" t="str">
            <v>접지단자반 (SUS)</v>
          </cell>
          <cell r="C68" t="str">
            <v>5 CCT</v>
          </cell>
          <cell r="D68" t="str">
            <v>면</v>
          </cell>
          <cell r="E68">
            <v>1</v>
          </cell>
          <cell r="J68">
            <v>1</v>
          </cell>
          <cell r="K68" t="str">
            <v>x</v>
          </cell>
          <cell r="L68">
            <v>1</v>
          </cell>
          <cell r="M68" t="str">
            <v>=</v>
          </cell>
          <cell r="N68">
            <v>1</v>
          </cell>
          <cell r="O68" t="str">
            <v>전품1-6</v>
          </cell>
        </row>
        <row r="69">
          <cell r="A69" t="str">
            <v>접지크램프60㎟</v>
          </cell>
          <cell r="B69" t="str">
            <v>접지크램프</v>
          </cell>
          <cell r="C69" t="str">
            <v>60㎟</v>
          </cell>
          <cell r="D69" t="str">
            <v>EA</v>
          </cell>
          <cell r="E69">
            <v>3</v>
          </cell>
          <cell r="J69">
            <v>3</v>
          </cell>
          <cell r="K69" t="str">
            <v>x</v>
          </cell>
          <cell r="L69">
            <v>1</v>
          </cell>
          <cell r="M69" t="str">
            <v>=</v>
          </cell>
          <cell r="N69">
            <v>3</v>
          </cell>
          <cell r="O69" t="str">
            <v>전품1-6</v>
          </cell>
        </row>
        <row r="70">
          <cell r="A70" t="str">
            <v>접지장치1종(60㎟)</v>
          </cell>
          <cell r="B70" t="str">
            <v>접지장치</v>
          </cell>
          <cell r="C70" t="str">
            <v>1종(60㎟)</v>
          </cell>
          <cell r="D70" t="str">
            <v>개소</v>
          </cell>
          <cell r="E70">
            <v>2</v>
          </cell>
          <cell r="J70">
            <v>2</v>
          </cell>
          <cell r="K70" t="str">
            <v>x</v>
          </cell>
          <cell r="L70">
            <v>1</v>
          </cell>
          <cell r="M70" t="str">
            <v>=</v>
          </cell>
          <cell r="N70">
            <v>2</v>
          </cell>
          <cell r="O70" t="str">
            <v>전품1-6</v>
          </cell>
        </row>
        <row r="71">
          <cell r="A71" t="str">
            <v>접지장치2종(60㎟)</v>
          </cell>
          <cell r="B71" t="str">
            <v>접지장치</v>
          </cell>
          <cell r="C71" t="str">
            <v>2종(60㎟)</v>
          </cell>
          <cell r="D71" t="str">
            <v>개소</v>
          </cell>
          <cell r="E71">
            <v>1</v>
          </cell>
          <cell r="J71">
            <v>1</v>
          </cell>
          <cell r="K71" t="str">
            <v>x</v>
          </cell>
          <cell r="L71">
            <v>1</v>
          </cell>
          <cell r="M71" t="str">
            <v>=</v>
          </cell>
          <cell r="N71">
            <v>1</v>
          </cell>
          <cell r="O71" t="str">
            <v>전품1-6</v>
          </cell>
        </row>
        <row r="72">
          <cell r="A72" t="str">
            <v>접지장치3종(38 ㎟)</v>
          </cell>
          <cell r="B72" t="str">
            <v>접지장치</v>
          </cell>
          <cell r="C72" t="str">
            <v>3종(38 ㎟)</v>
          </cell>
          <cell r="D72" t="str">
            <v>개소</v>
          </cell>
          <cell r="F72">
            <v>17</v>
          </cell>
          <cell r="J72">
            <v>17</v>
          </cell>
          <cell r="K72" t="str">
            <v>x</v>
          </cell>
          <cell r="L72">
            <v>1</v>
          </cell>
          <cell r="M72" t="str">
            <v>=</v>
          </cell>
          <cell r="N72">
            <v>17</v>
          </cell>
          <cell r="O72" t="str">
            <v>전품1-6</v>
          </cell>
        </row>
        <row r="73">
          <cell r="A73" t="str">
            <v>접지장치3종(60 ㎟)</v>
          </cell>
          <cell r="B73" t="str">
            <v>접지장치</v>
          </cell>
          <cell r="C73" t="str">
            <v>3종(60 ㎟)</v>
          </cell>
          <cell r="D73" t="str">
            <v>개소</v>
          </cell>
          <cell r="F73">
            <v>4</v>
          </cell>
          <cell r="J73">
            <v>4</v>
          </cell>
          <cell r="K73" t="str">
            <v>x</v>
          </cell>
          <cell r="L73">
            <v>1</v>
          </cell>
          <cell r="M73" t="str">
            <v>=</v>
          </cell>
          <cell r="N73">
            <v>4</v>
          </cell>
          <cell r="O73" t="str">
            <v>전품1-6</v>
          </cell>
        </row>
        <row r="74">
          <cell r="A74" t="str">
            <v>접지장치TEST (38㎟)</v>
          </cell>
          <cell r="B74" t="str">
            <v>접지장치</v>
          </cell>
          <cell r="C74" t="str">
            <v>TEST (38㎟)</v>
          </cell>
          <cell r="D74" t="str">
            <v>개소</v>
          </cell>
          <cell r="E74">
            <v>1</v>
          </cell>
          <cell r="J74">
            <v>1</v>
          </cell>
          <cell r="K74" t="str">
            <v>x</v>
          </cell>
          <cell r="L74">
            <v>1</v>
          </cell>
          <cell r="M74" t="str">
            <v>=</v>
          </cell>
          <cell r="N74">
            <v>1</v>
          </cell>
          <cell r="O74" t="str">
            <v>전품1-6</v>
          </cell>
        </row>
        <row r="75">
          <cell r="A75" t="str">
            <v>CABLE DUCT (W/COVER)W600xH200</v>
          </cell>
          <cell r="B75" t="str">
            <v>CABLE DUCT (W/COVER)</v>
          </cell>
          <cell r="C75" t="str">
            <v>W600xH200</v>
          </cell>
          <cell r="D75" t="str">
            <v>m</v>
          </cell>
          <cell r="E75">
            <v>6</v>
          </cell>
          <cell r="J75">
            <v>6</v>
          </cell>
          <cell r="K75" t="str">
            <v>x</v>
          </cell>
          <cell r="L75">
            <v>1</v>
          </cell>
          <cell r="M75" t="str">
            <v>=</v>
          </cell>
          <cell r="N75">
            <v>6</v>
          </cell>
          <cell r="O75" t="str">
            <v>전품1-6</v>
          </cell>
        </row>
        <row r="76">
          <cell r="A76" t="str">
            <v>DUCT 지지금구W600</v>
          </cell>
          <cell r="B76" t="str">
            <v>DUCT 지지금구</v>
          </cell>
          <cell r="C76" t="str">
            <v>W600</v>
          </cell>
          <cell r="D76" t="str">
            <v>개소</v>
          </cell>
          <cell r="E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전품1-6</v>
          </cell>
        </row>
        <row r="77">
          <cell r="A77" t="str">
            <v>옥외변대 기초15mx5.1mx0.5m</v>
          </cell>
          <cell r="B77" t="str">
            <v>옥외변대 기초</v>
          </cell>
          <cell r="C77" t="str">
            <v>15mx5.1mx0.5m</v>
          </cell>
          <cell r="D77" t="str">
            <v>㎥</v>
          </cell>
          <cell r="E77">
            <v>17.55</v>
          </cell>
          <cell r="J77">
            <v>17.55</v>
          </cell>
          <cell r="K77" t="str">
            <v>x</v>
          </cell>
          <cell r="L77">
            <v>1</v>
          </cell>
          <cell r="M77" t="str">
            <v>=</v>
          </cell>
          <cell r="N77">
            <v>17</v>
          </cell>
          <cell r="O77" t="str">
            <v>전품1-6</v>
          </cell>
        </row>
        <row r="78">
          <cell r="A78" t="str">
            <v>CABLE TRENCH</v>
          </cell>
          <cell r="B78" t="str">
            <v>CABLE TRENCH</v>
          </cell>
          <cell r="D78" t="str">
            <v>식</v>
          </cell>
          <cell r="E78">
            <v>1</v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전품1-6</v>
          </cell>
        </row>
        <row r="79">
          <cell r="A79" t="str">
            <v>CABLE TRAY (PUNCH)분체도장300Wx100Hx1.2t</v>
          </cell>
          <cell r="B79" t="str">
            <v>CABLE TRAY (PUNCH)분체도장</v>
          </cell>
          <cell r="C79" t="str">
            <v>300Wx100Hx1.2t</v>
          </cell>
          <cell r="D79" t="str">
            <v>m</v>
          </cell>
          <cell r="F79">
            <v>425</v>
          </cell>
          <cell r="J79">
            <v>425</v>
          </cell>
          <cell r="K79" t="str">
            <v>x</v>
          </cell>
          <cell r="L79">
            <v>1</v>
          </cell>
          <cell r="M79" t="str">
            <v>=</v>
          </cell>
          <cell r="N79">
            <v>425</v>
          </cell>
          <cell r="O79" t="str">
            <v>전품1-6</v>
          </cell>
        </row>
        <row r="80">
          <cell r="A80" t="str">
            <v>CABLE TRAY (PUNCH)분체도장600Wx100Hx1.2t</v>
          </cell>
          <cell r="B80" t="str">
            <v>CABLE TRAY (PUNCH)분체도장</v>
          </cell>
          <cell r="C80" t="str">
            <v>600Wx100Hx1.2t</v>
          </cell>
          <cell r="D80" t="str">
            <v>m</v>
          </cell>
          <cell r="F80">
            <v>390</v>
          </cell>
          <cell r="J80">
            <v>390</v>
          </cell>
          <cell r="K80" t="str">
            <v>x</v>
          </cell>
          <cell r="L80">
            <v>1</v>
          </cell>
          <cell r="M80" t="str">
            <v>=</v>
          </cell>
          <cell r="N80">
            <v>390</v>
          </cell>
          <cell r="O80" t="str">
            <v>전품1-6</v>
          </cell>
        </row>
        <row r="81">
          <cell r="A81" t="str">
            <v>TRAY 지지금구W300</v>
          </cell>
          <cell r="B81" t="str">
            <v>TRAY 지지금구</v>
          </cell>
          <cell r="C81" t="str">
            <v>W300</v>
          </cell>
          <cell r="D81" t="str">
            <v>개소</v>
          </cell>
          <cell r="F81">
            <v>66</v>
          </cell>
          <cell r="J81">
            <v>66</v>
          </cell>
          <cell r="K81" t="str">
            <v>x</v>
          </cell>
          <cell r="L81">
            <v>1</v>
          </cell>
          <cell r="M81" t="str">
            <v>=</v>
          </cell>
          <cell r="N81">
            <v>66</v>
          </cell>
          <cell r="O81" t="str">
            <v>전품1-6</v>
          </cell>
        </row>
        <row r="82">
          <cell r="A82" t="str">
            <v>TRAY 지지금구W600</v>
          </cell>
          <cell r="B82" t="str">
            <v>TRAY 지지금구</v>
          </cell>
          <cell r="C82" t="str">
            <v>W600</v>
          </cell>
          <cell r="D82" t="str">
            <v>개소</v>
          </cell>
          <cell r="F82">
            <v>66</v>
          </cell>
          <cell r="J82">
            <v>66</v>
          </cell>
          <cell r="K82" t="str">
            <v>x</v>
          </cell>
          <cell r="L82">
            <v>1</v>
          </cell>
          <cell r="M82" t="str">
            <v>=</v>
          </cell>
          <cell r="N82">
            <v>66</v>
          </cell>
          <cell r="O82" t="str">
            <v>전품1-6</v>
          </cell>
        </row>
        <row r="83">
          <cell r="A83" t="str">
            <v>TRAY 행거 지지대W:0.35m, H:3m</v>
          </cell>
          <cell r="B83" t="str">
            <v>TRAY 행거 지지대</v>
          </cell>
          <cell r="C83" t="str">
            <v>W:0.35m, H:3m</v>
          </cell>
          <cell r="D83" t="str">
            <v>개소</v>
          </cell>
          <cell r="F83">
            <v>132</v>
          </cell>
          <cell r="J83">
            <v>132</v>
          </cell>
          <cell r="K83" t="str">
            <v>x</v>
          </cell>
          <cell r="L83">
            <v>1</v>
          </cell>
          <cell r="M83" t="str">
            <v>=</v>
          </cell>
          <cell r="N83">
            <v>132</v>
          </cell>
          <cell r="O83" t="str">
            <v>전품1-6</v>
          </cell>
        </row>
        <row r="84">
          <cell r="A84" t="str">
            <v>TRAY 행거 지지대W:0.65m, H:4m</v>
          </cell>
          <cell r="B84" t="str">
            <v>TRAY 행거 지지대</v>
          </cell>
          <cell r="C84" t="str">
            <v>W:0.65m, H:4m</v>
          </cell>
          <cell r="D84" t="str">
            <v>개소</v>
          </cell>
          <cell r="F84">
            <v>132</v>
          </cell>
          <cell r="J84">
            <v>132</v>
          </cell>
          <cell r="K84" t="str">
            <v>x</v>
          </cell>
          <cell r="L84">
            <v>1</v>
          </cell>
          <cell r="M84" t="str">
            <v>=</v>
          </cell>
          <cell r="N84">
            <v>132</v>
          </cell>
          <cell r="O84" t="str">
            <v>전품1-7</v>
          </cell>
        </row>
        <row r="85">
          <cell r="A85" t="str">
            <v>PULL BOX (용융도금)300x300x150x1.2t</v>
          </cell>
          <cell r="B85" t="str">
            <v>PULL BOX (용융도금)</v>
          </cell>
          <cell r="C85" t="str">
            <v>300x300x150x1.2t</v>
          </cell>
          <cell r="D85" t="str">
            <v>EA</v>
          </cell>
          <cell r="F85">
            <v>2</v>
          </cell>
          <cell r="J85">
            <v>2</v>
          </cell>
          <cell r="K85" t="str">
            <v>x</v>
          </cell>
          <cell r="L85">
            <v>1</v>
          </cell>
          <cell r="M85" t="str">
            <v>=</v>
          </cell>
          <cell r="N85">
            <v>2</v>
          </cell>
          <cell r="O85" t="str">
            <v>전품1-6</v>
          </cell>
        </row>
        <row r="86">
          <cell r="A86" t="str">
            <v>RACEWAY BODY70 x 40</v>
          </cell>
          <cell r="B86" t="str">
            <v>RACEWAY BODY</v>
          </cell>
          <cell r="C86" t="str">
            <v>70 x 40</v>
          </cell>
          <cell r="D86" t="str">
            <v>m</v>
          </cell>
          <cell r="G86">
            <v>3126</v>
          </cell>
          <cell r="J86">
            <v>3126</v>
          </cell>
          <cell r="K86" t="str">
            <v>x</v>
          </cell>
          <cell r="L86">
            <v>1</v>
          </cell>
          <cell r="M86" t="str">
            <v>=</v>
          </cell>
          <cell r="N86">
            <v>3126</v>
          </cell>
          <cell r="O86" t="str">
            <v>전품1-6</v>
          </cell>
        </row>
        <row r="87">
          <cell r="A87" t="str">
            <v>RACEWAY COVER70 x 40</v>
          </cell>
          <cell r="B87" t="str">
            <v>RACEWAY COVER</v>
          </cell>
          <cell r="C87" t="str">
            <v>70 x 40</v>
          </cell>
          <cell r="D87" t="str">
            <v>m</v>
          </cell>
          <cell r="G87">
            <v>3126</v>
          </cell>
          <cell r="J87">
            <v>3126</v>
          </cell>
          <cell r="K87" t="str">
            <v>x</v>
          </cell>
          <cell r="L87">
            <v>1</v>
          </cell>
          <cell r="M87" t="str">
            <v>=</v>
          </cell>
          <cell r="N87">
            <v>3126</v>
          </cell>
          <cell r="O87" t="str">
            <v>전품1-6</v>
          </cell>
        </row>
        <row r="88">
          <cell r="A88" t="str">
            <v>END CAP70 x 40</v>
          </cell>
          <cell r="B88" t="str">
            <v>END CAP</v>
          </cell>
          <cell r="C88" t="str">
            <v>70 x 40</v>
          </cell>
          <cell r="D88" t="str">
            <v>EA</v>
          </cell>
          <cell r="G88">
            <v>14</v>
          </cell>
          <cell r="J88">
            <v>14</v>
          </cell>
          <cell r="K88" t="str">
            <v>x</v>
          </cell>
          <cell r="L88">
            <v>1</v>
          </cell>
          <cell r="M88" t="str">
            <v>=</v>
          </cell>
          <cell r="N88">
            <v>14</v>
          </cell>
          <cell r="O88" t="str">
            <v>전품1-6</v>
          </cell>
        </row>
        <row r="89">
          <cell r="A89" t="str">
            <v>A형 행가70 x 40</v>
          </cell>
          <cell r="B89" t="str">
            <v>A형 행가</v>
          </cell>
          <cell r="C89" t="str">
            <v>70 x 40</v>
          </cell>
          <cell r="D89" t="str">
            <v>EA</v>
          </cell>
          <cell r="G89">
            <v>1564</v>
          </cell>
          <cell r="J89">
            <v>1564</v>
          </cell>
          <cell r="K89" t="str">
            <v>x</v>
          </cell>
          <cell r="L89">
            <v>1</v>
          </cell>
          <cell r="M89" t="str">
            <v>=</v>
          </cell>
          <cell r="N89">
            <v>1564</v>
          </cell>
          <cell r="O89" t="str">
            <v>전품1-6</v>
          </cell>
        </row>
        <row r="90">
          <cell r="A90" t="str">
            <v>RACE WAY 지지대4m</v>
          </cell>
          <cell r="B90" t="str">
            <v>RACE WAY 지지대</v>
          </cell>
          <cell r="C90" t="str">
            <v>4m</v>
          </cell>
          <cell r="D90" t="str">
            <v>개소</v>
          </cell>
          <cell r="G90">
            <v>520</v>
          </cell>
          <cell r="J90">
            <v>520</v>
          </cell>
          <cell r="K90" t="str">
            <v>x</v>
          </cell>
          <cell r="L90">
            <v>1</v>
          </cell>
          <cell r="M90" t="str">
            <v>=</v>
          </cell>
          <cell r="N90">
            <v>520</v>
          </cell>
          <cell r="O90" t="str">
            <v>전품1-6</v>
          </cell>
        </row>
        <row r="91">
          <cell r="A91" t="str">
            <v>RACE WAY 지지대5m</v>
          </cell>
          <cell r="B91" t="str">
            <v>RACE WAY 지지대</v>
          </cell>
          <cell r="C91" t="str">
            <v>5m</v>
          </cell>
          <cell r="D91" t="str">
            <v>개소</v>
          </cell>
          <cell r="G91">
            <v>598</v>
          </cell>
          <cell r="J91">
            <v>598</v>
          </cell>
          <cell r="K91" t="str">
            <v>x</v>
          </cell>
          <cell r="L91">
            <v>1</v>
          </cell>
          <cell r="M91" t="str">
            <v>=</v>
          </cell>
          <cell r="N91">
            <v>598</v>
          </cell>
          <cell r="O91" t="str">
            <v>전품1-6</v>
          </cell>
        </row>
        <row r="92">
          <cell r="A92" t="str">
            <v>RACE WAY 지지대6m</v>
          </cell>
          <cell r="B92" t="str">
            <v>RACE WAY 지지대</v>
          </cell>
          <cell r="C92" t="str">
            <v>6m</v>
          </cell>
          <cell r="D92" t="str">
            <v>개소</v>
          </cell>
          <cell r="G92">
            <v>260</v>
          </cell>
          <cell r="J92">
            <v>260</v>
          </cell>
          <cell r="K92" t="str">
            <v>x</v>
          </cell>
          <cell r="L92">
            <v>1</v>
          </cell>
          <cell r="M92" t="str">
            <v>=</v>
          </cell>
          <cell r="N92">
            <v>260</v>
          </cell>
          <cell r="O92" t="str">
            <v>전품1-6</v>
          </cell>
        </row>
        <row r="93">
          <cell r="A93" t="str">
            <v>RACE WAY 지지대7m</v>
          </cell>
          <cell r="B93" t="str">
            <v>RACE WAY 지지대</v>
          </cell>
          <cell r="C93" t="str">
            <v>7m</v>
          </cell>
          <cell r="D93" t="str">
            <v>개소</v>
          </cell>
          <cell r="G93">
            <v>78</v>
          </cell>
          <cell r="J93">
            <v>78</v>
          </cell>
          <cell r="K93" t="str">
            <v>x</v>
          </cell>
          <cell r="L93">
            <v>1</v>
          </cell>
          <cell r="M93" t="str">
            <v>=</v>
          </cell>
          <cell r="N93">
            <v>78</v>
          </cell>
          <cell r="O93" t="str">
            <v>전품1-7</v>
          </cell>
        </row>
        <row r="94">
          <cell r="A94" t="str">
            <v>JUNCTION BOX"+" 형</v>
          </cell>
          <cell r="B94" t="str">
            <v>JUNCTION BOX</v>
          </cell>
          <cell r="C94" t="str">
            <v>"+" 형</v>
          </cell>
          <cell r="D94" t="str">
            <v>EA</v>
          </cell>
          <cell r="G94">
            <v>60</v>
          </cell>
          <cell r="J94">
            <v>60</v>
          </cell>
          <cell r="K94" t="str">
            <v>x</v>
          </cell>
          <cell r="L94">
            <v>1</v>
          </cell>
          <cell r="M94" t="str">
            <v>=</v>
          </cell>
          <cell r="N94">
            <v>60</v>
          </cell>
          <cell r="O94" t="str">
            <v>전품1-6</v>
          </cell>
        </row>
        <row r="95">
          <cell r="A95" t="str">
            <v>JUNCTION BOX"T" 형</v>
          </cell>
          <cell r="B95" t="str">
            <v>JUNCTION BOX</v>
          </cell>
          <cell r="C95" t="str">
            <v>"T" 형</v>
          </cell>
          <cell r="D95" t="str">
            <v>EA</v>
          </cell>
          <cell r="G95">
            <v>17</v>
          </cell>
          <cell r="J95">
            <v>17</v>
          </cell>
          <cell r="K95" t="str">
            <v>x</v>
          </cell>
          <cell r="L95">
            <v>1</v>
          </cell>
          <cell r="M95" t="str">
            <v>=</v>
          </cell>
          <cell r="N95">
            <v>17</v>
          </cell>
          <cell r="O95" t="str">
            <v>전품1-6</v>
          </cell>
        </row>
        <row r="96">
          <cell r="A96" t="str">
            <v>기구용 금구"B" 형</v>
          </cell>
          <cell r="B96" t="str">
            <v>기구용 금구</v>
          </cell>
          <cell r="C96" t="str">
            <v>"B" 형</v>
          </cell>
          <cell r="D96" t="str">
            <v>EA</v>
          </cell>
          <cell r="G96">
            <v>4530</v>
          </cell>
          <cell r="J96">
            <v>4530</v>
          </cell>
          <cell r="K96" t="str">
            <v>x</v>
          </cell>
          <cell r="L96">
            <v>1</v>
          </cell>
          <cell r="M96" t="str">
            <v>=</v>
          </cell>
          <cell r="N96">
            <v>4530</v>
          </cell>
          <cell r="O96" t="str">
            <v>전품1-6</v>
          </cell>
        </row>
        <row r="97">
          <cell r="A97" t="str">
            <v>JOINER70 x 40</v>
          </cell>
          <cell r="B97" t="str">
            <v>JOINER</v>
          </cell>
          <cell r="C97" t="str">
            <v>70 x 40</v>
          </cell>
          <cell r="D97" t="str">
            <v>EA</v>
          </cell>
          <cell r="G97">
            <v>1042</v>
          </cell>
          <cell r="J97">
            <v>1042</v>
          </cell>
          <cell r="K97" t="str">
            <v>x</v>
          </cell>
          <cell r="L97">
            <v>1</v>
          </cell>
          <cell r="M97" t="str">
            <v>=</v>
          </cell>
          <cell r="N97">
            <v>1042</v>
          </cell>
          <cell r="O97" t="str">
            <v>전품1-6</v>
          </cell>
        </row>
        <row r="98">
          <cell r="A98" t="str">
            <v>스위치 (WIDE형)1구-15A-250V</v>
          </cell>
          <cell r="B98" t="str">
            <v>스위치 (WIDE형)</v>
          </cell>
          <cell r="C98" t="str">
            <v>1구-15A-250V</v>
          </cell>
          <cell r="D98" t="str">
            <v>EA</v>
          </cell>
          <cell r="G98">
            <v>15</v>
          </cell>
          <cell r="J98">
            <v>15</v>
          </cell>
          <cell r="K98" t="str">
            <v>x</v>
          </cell>
          <cell r="L98">
            <v>1</v>
          </cell>
          <cell r="M98" t="str">
            <v>=</v>
          </cell>
          <cell r="N98">
            <v>15</v>
          </cell>
          <cell r="O98" t="str">
            <v>전품1-6</v>
          </cell>
        </row>
        <row r="99">
          <cell r="A99" t="str">
            <v>스위치 (WIDE형)2구-15A-250V</v>
          </cell>
          <cell r="B99" t="str">
            <v>스위치 (WIDE형)</v>
          </cell>
          <cell r="C99" t="str">
            <v>2구-15A-250V</v>
          </cell>
          <cell r="D99" t="str">
            <v>EA</v>
          </cell>
          <cell r="G99">
            <v>6</v>
          </cell>
          <cell r="J99">
            <v>6</v>
          </cell>
          <cell r="K99" t="str">
            <v>x</v>
          </cell>
          <cell r="L99">
            <v>1</v>
          </cell>
          <cell r="M99" t="str">
            <v>=</v>
          </cell>
          <cell r="N99">
            <v>6</v>
          </cell>
          <cell r="O99" t="str">
            <v>전품1-6</v>
          </cell>
        </row>
        <row r="100">
          <cell r="A100" t="str">
            <v>콘센트 (접지)2P-15A-250V-1구</v>
          </cell>
          <cell r="B100" t="str">
            <v>콘센트 (접지)</v>
          </cell>
          <cell r="C100" t="str">
            <v>2P-15A-250V-1구</v>
          </cell>
          <cell r="D100" t="str">
            <v>EA</v>
          </cell>
          <cell r="H100">
            <v>4</v>
          </cell>
          <cell r="J100">
            <v>4</v>
          </cell>
          <cell r="K100" t="str">
            <v>x</v>
          </cell>
          <cell r="L100">
            <v>1</v>
          </cell>
          <cell r="M100" t="str">
            <v>=</v>
          </cell>
          <cell r="N100">
            <v>4</v>
          </cell>
          <cell r="O100" t="str">
            <v>전품1-6</v>
          </cell>
        </row>
        <row r="101">
          <cell r="A101" t="str">
            <v>콘센트 (접지,방수형)2P-15A-250V-1구</v>
          </cell>
          <cell r="B101" t="str">
            <v>콘센트 (접지,방수형)</v>
          </cell>
          <cell r="C101" t="str">
            <v>2P-15A-250V-1구</v>
          </cell>
          <cell r="D101" t="str">
            <v>EA</v>
          </cell>
          <cell r="H101">
            <v>234</v>
          </cell>
          <cell r="J101">
            <v>234</v>
          </cell>
          <cell r="K101" t="str">
            <v>x</v>
          </cell>
          <cell r="L101">
            <v>1</v>
          </cell>
          <cell r="M101" t="str">
            <v>=</v>
          </cell>
          <cell r="N101">
            <v>234</v>
          </cell>
          <cell r="O101" t="str">
            <v>전품1-6</v>
          </cell>
        </row>
        <row r="102">
          <cell r="A102" t="str">
            <v>콘센트 (접지)2P-15A-250V-2구</v>
          </cell>
          <cell r="B102" t="str">
            <v>콘센트 (접지)</v>
          </cell>
          <cell r="C102" t="str">
            <v>2P-15A-250V-2구</v>
          </cell>
          <cell r="D102" t="str">
            <v>EA</v>
          </cell>
          <cell r="H102">
            <v>32</v>
          </cell>
          <cell r="J102">
            <v>32</v>
          </cell>
          <cell r="K102" t="str">
            <v>x</v>
          </cell>
          <cell r="L102">
            <v>1</v>
          </cell>
          <cell r="M102" t="str">
            <v>=</v>
          </cell>
          <cell r="N102">
            <v>32</v>
          </cell>
          <cell r="O102" t="str">
            <v>전품1-6</v>
          </cell>
        </row>
        <row r="103">
          <cell r="A103" t="str">
            <v>노출스위치박스(1개용)16C 1방</v>
          </cell>
          <cell r="B103" t="str">
            <v>노출스위치박스(1개용)</v>
          </cell>
          <cell r="C103" t="str">
            <v>16C 1방</v>
          </cell>
          <cell r="D103" t="str">
            <v>EA</v>
          </cell>
          <cell r="G103">
            <v>21</v>
          </cell>
          <cell r="H103">
            <v>40</v>
          </cell>
          <cell r="J103">
            <v>61</v>
          </cell>
          <cell r="K103" t="str">
            <v>x</v>
          </cell>
          <cell r="L103">
            <v>1</v>
          </cell>
          <cell r="M103" t="str">
            <v>=</v>
          </cell>
          <cell r="N103">
            <v>61</v>
          </cell>
          <cell r="O103" t="str">
            <v>전품1-6</v>
          </cell>
        </row>
        <row r="104">
          <cell r="A104" t="str">
            <v>환형노출박스(3방출)28C</v>
          </cell>
          <cell r="B104" t="str">
            <v>환형노출박스(3방출)</v>
          </cell>
          <cell r="C104" t="str">
            <v>28C</v>
          </cell>
          <cell r="D104" t="str">
            <v>EA</v>
          </cell>
          <cell r="H104">
            <v>210</v>
          </cell>
          <cell r="J104">
            <v>210</v>
          </cell>
          <cell r="K104" t="str">
            <v>x</v>
          </cell>
          <cell r="L104">
            <v>1</v>
          </cell>
          <cell r="M104" t="str">
            <v>=</v>
          </cell>
          <cell r="N104">
            <v>210</v>
          </cell>
          <cell r="O104" t="str">
            <v>전품1-6</v>
          </cell>
        </row>
        <row r="105">
          <cell r="A105" t="str">
            <v>환형노출박스(4방출)28C</v>
          </cell>
          <cell r="B105" t="str">
            <v>환형노출박스(4방출)</v>
          </cell>
          <cell r="C105" t="str">
            <v>28C</v>
          </cell>
          <cell r="D105" t="str">
            <v>EA</v>
          </cell>
          <cell r="H105">
            <v>12</v>
          </cell>
          <cell r="J105">
            <v>12</v>
          </cell>
          <cell r="K105" t="str">
            <v>x</v>
          </cell>
          <cell r="L105">
            <v>1</v>
          </cell>
          <cell r="M105" t="str">
            <v>=</v>
          </cell>
          <cell r="N105">
            <v>12</v>
          </cell>
          <cell r="O105" t="str">
            <v>전품1-6</v>
          </cell>
        </row>
        <row r="106">
          <cell r="A106" t="str">
            <v>JOINT BOX</v>
          </cell>
          <cell r="B106" t="str">
            <v>JOINT BOX</v>
          </cell>
          <cell r="D106" t="str">
            <v>EA</v>
          </cell>
          <cell r="H106">
            <v>21</v>
          </cell>
          <cell r="J106">
            <v>21</v>
          </cell>
          <cell r="K106" t="str">
            <v>x</v>
          </cell>
          <cell r="L106">
            <v>1</v>
          </cell>
          <cell r="M106" t="str">
            <v>=</v>
          </cell>
          <cell r="N106">
            <v>21</v>
          </cell>
          <cell r="O106" t="str">
            <v>전품1-6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등</v>
          </cell>
          <cell r="G107">
            <v>30</v>
          </cell>
          <cell r="J107">
            <v>30</v>
          </cell>
          <cell r="K107" t="str">
            <v>x</v>
          </cell>
          <cell r="L107">
            <v>1</v>
          </cell>
          <cell r="M107" t="str">
            <v>=</v>
          </cell>
          <cell r="N107">
            <v>30</v>
          </cell>
          <cell r="O107" t="str">
            <v>전품1-6</v>
          </cell>
        </row>
        <row r="108">
          <cell r="A108" t="str">
            <v>조명기구 N TYPE직부등 IL 60W</v>
          </cell>
          <cell r="B108" t="str">
            <v>조명기구 N TYPE</v>
          </cell>
          <cell r="C108" t="str">
            <v>직부등 IL 60W</v>
          </cell>
          <cell r="D108" t="str">
            <v>등</v>
          </cell>
          <cell r="G108">
            <v>11</v>
          </cell>
          <cell r="J108">
            <v>11</v>
          </cell>
          <cell r="K108" t="str">
            <v>x</v>
          </cell>
          <cell r="L108">
            <v>1</v>
          </cell>
          <cell r="M108" t="str">
            <v>=</v>
          </cell>
          <cell r="N108">
            <v>11</v>
          </cell>
          <cell r="O108" t="str">
            <v>전품1-6</v>
          </cell>
        </row>
        <row r="109">
          <cell r="A109" t="str">
            <v>조명기구 R TYPE방진방습등 FL 1/32W</v>
          </cell>
          <cell r="B109" t="str">
            <v>조명기구 R TYPE</v>
          </cell>
          <cell r="C109" t="str">
            <v>방진방습등 FL 1/32W</v>
          </cell>
          <cell r="D109" t="str">
            <v>등</v>
          </cell>
          <cell r="G109">
            <v>1134</v>
          </cell>
          <cell r="J109">
            <v>1134</v>
          </cell>
          <cell r="K109" t="str">
            <v>x</v>
          </cell>
          <cell r="L109">
            <v>1</v>
          </cell>
          <cell r="M109" t="str">
            <v>=</v>
          </cell>
          <cell r="N109">
            <v>1134</v>
          </cell>
          <cell r="O109" t="str">
            <v>전품1-6</v>
          </cell>
        </row>
        <row r="110">
          <cell r="A110" t="str">
            <v>조명기구 S TYPE투광기 MH 250W</v>
          </cell>
          <cell r="B110" t="str">
            <v>조명기구 S TYPE</v>
          </cell>
          <cell r="C110" t="str">
            <v>투광기 MH 250W</v>
          </cell>
          <cell r="D110" t="str">
            <v>등</v>
          </cell>
          <cell r="G110">
            <v>16</v>
          </cell>
          <cell r="J110">
            <v>16</v>
          </cell>
          <cell r="K110" t="str">
            <v>x</v>
          </cell>
          <cell r="L110">
            <v>1</v>
          </cell>
          <cell r="M110" t="str">
            <v>=</v>
          </cell>
          <cell r="N110">
            <v>16</v>
          </cell>
          <cell r="O110" t="str">
            <v>전품1-6</v>
          </cell>
        </row>
        <row r="111">
          <cell r="A111" t="str">
            <v>고압반HV-1(DS-AS)</v>
          </cell>
          <cell r="B111" t="str">
            <v>고압반</v>
          </cell>
          <cell r="C111" t="str">
            <v>HV-1(DS-AS)</v>
          </cell>
          <cell r="D111" t="str">
            <v>면</v>
          </cell>
          <cell r="E111">
            <v>1</v>
          </cell>
          <cell r="J111">
            <v>1</v>
          </cell>
          <cell r="K111" t="str">
            <v>x</v>
          </cell>
          <cell r="L111">
            <v>1</v>
          </cell>
          <cell r="M111" t="str">
            <v>=</v>
          </cell>
          <cell r="N111">
            <v>1</v>
          </cell>
          <cell r="O111" t="str">
            <v>전품1-6</v>
          </cell>
        </row>
        <row r="112">
          <cell r="A112" t="str">
            <v>변압기반TR-1 3상 200KVA 380/220V</v>
          </cell>
          <cell r="B112" t="str">
            <v>변압기반</v>
          </cell>
          <cell r="C112" t="str">
            <v>TR-1 3상 200KVA 380/220V</v>
          </cell>
          <cell r="D112" t="str">
            <v>면</v>
          </cell>
          <cell r="E112">
            <v>1</v>
          </cell>
          <cell r="J112">
            <v>1</v>
          </cell>
          <cell r="K112" t="str">
            <v>x</v>
          </cell>
          <cell r="L112">
            <v>1</v>
          </cell>
          <cell r="M112" t="str">
            <v>=</v>
          </cell>
          <cell r="N112">
            <v>1</v>
          </cell>
          <cell r="O112" t="str">
            <v>전품1-6</v>
          </cell>
        </row>
        <row r="113">
          <cell r="A113" t="str">
            <v>변압기반TR-2 3상 300KVA 380/220V</v>
          </cell>
          <cell r="B113" t="str">
            <v>변압기반</v>
          </cell>
          <cell r="C113" t="str">
            <v>TR-2 3상 300KVA 380/220V</v>
          </cell>
          <cell r="D113" t="str">
            <v>면</v>
          </cell>
          <cell r="E113">
            <v>1</v>
          </cell>
          <cell r="J113">
            <v>1</v>
          </cell>
          <cell r="K113" t="str">
            <v>x</v>
          </cell>
          <cell r="L113">
            <v>1</v>
          </cell>
          <cell r="M113" t="str">
            <v>=</v>
          </cell>
          <cell r="N113">
            <v>1</v>
          </cell>
          <cell r="O113" t="str">
            <v>전품1-6</v>
          </cell>
        </row>
        <row r="114">
          <cell r="A114" t="str">
            <v>변압기반TR-3 3상 300KVA 220V</v>
          </cell>
          <cell r="B114" t="str">
            <v>변압기반</v>
          </cell>
          <cell r="C114" t="str">
            <v>TR-3 3상 300KVA 220V</v>
          </cell>
          <cell r="D114" t="str">
            <v>면</v>
          </cell>
          <cell r="E114">
            <v>1</v>
          </cell>
          <cell r="J114">
            <v>1</v>
          </cell>
          <cell r="K114" t="str">
            <v>x</v>
          </cell>
          <cell r="L114">
            <v>1</v>
          </cell>
          <cell r="M114" t="str">
            <v>=</v>
          </cell>
          <cell r="N114">
            <v>1</v>
          </cell>
          <cell r="O114" t="str">
            <v>전품1-6</v>
          </cell>
        </row>
        <row r="115">
          <cell r="A115" t="str">
            <v>변압기반TR-4 3상 300KVA 440V</v>
          </cell>
          <cell r="B115" t="str">
            <v>변압기반</v>
          </cell>
          <cell r="C115" t="str">
            <v>TR-4 3상 300KVA 440V</v>
          </cell>
          <cell r="D115" t="str">
            <v>면</v>
          </cell>
          <cell r="E115">
            <v>1</v>
          </cell>
          <cell r="J115">
            <v>1</v>
          </cell>
          <cell r="K115" t="str">
            <v>x</v>
          </cell>
          <cell r="L115">
            <v>1</v>
          </cell>
          <cell r="M115" t="str">
            <v>=</v>
          </cell>
          <cell r="N115">
            <v>1</v>
          </cell>
          <cell r="O115" t="str">
            <v>전품1-6</v>
          </cell>
        </row>
        <row r="116">
          <cell r="A116" t="str">
            <v>저압반LV-1</v>
          </cell>
          <cell r="B116" t="str">
            <v>저압반</v>
          </cell>
          <cell r="C116" t="str">
            <v>LV-1</v>
          </cell>
          <cell r="D116" t="str">
            <v>면</v>
          </cell>
          <cell r="E116">
            <v>1</v>
          </cell>
          <cell r="J116">
            <v>1</v>
          </cell>
          <cell r="K116" t="str">
            <v>x</v>
          </cell>
          <cell r="L116">
            <v>1</v>
          </cell>
          <cell r="M116" t="str">
            <v>=</v>
          </cell>
          <cell r="N116">
            <v>1</v>
          </cell>
          <cell r="O116" t="str">
            <v>전품1-6</v>
          </cell>
        </row>
        <row r="117">
          <cell r="A117" t="str">
            <v>저압반LV-2</v>
          </cell>
          <cell r="B117" t="str">
            <v>저압반</v>
          </cell>
          <cell r="C117" t="str">
            <v>LV-2</v>
          </cell>
          <cell r="D117" t="str">
            <v>면</v>
          </cell>
          <cell r="E117">
            <v>1</v>
          </cell>
          <cell r="J117">
            <v>1</v>
          </cell>
          <cell r="K117" t="str">
            <v>x</v>
          </cell>
          <cell r="L117">
            <v>1</v>
          </cell>
          <cell r="M117" t="str">
            <v>=</v>
          </cell>
          <cell r="N117">
            <v>1</v>
          </cell>
          <cell r="O117" t="str">
            <v>전품1-6</v>
          </cell>
        </row>
        <row r="118">
          <cell r="A118" t="str">
            <v>저압반LV-3</v>
          </cell>
          <cell r="B118" t="str">
            <v>저압반</v>
          </cell>
          <cell r="C118" t="str">
            <v>LV-3</v>
          </cell>
          <cell r="D118" t="str">
            <v>면</v>
          </cell>
          <cell r="E118">
            <v>1</v>
          </cell>
          <cell r="J118">
            <v>1</v>
          </cell>
          <cell r="K118" t="str">
            <v>x</v>
          </cell>
          <cell r="L118">
            <v>1</v>
          </cell>
          <cell r="M118" t="str">
            <v>=</v>
          </cell>
          <cell r="N118">
            <v>1</v>
          </cell>
          <cell r="O118" t="str">
            <v>전품1-6</v>
          </cell>
        </row>
        <row r="119">
          <cell r="A119" t="str">
            <v>저압반LV-4</v>
          </cell>
          <cell r="B119" t="str">
            <v>저압반</v>
          </cell>
          <cell r="C119" t="str">
            <v>LV-4</v>
          </cell>
          <cell r="D119" t="str">
            <v>면</v>
          </cell>
          <cell r="E119">
            <v>1</v>
          </cell>
          <cell r="J119">
            <v>1</v>
          </cell>
          <cell r="K119" t="str">
            <v>x</v>
          </cell>
          <cell r="L119">
            <v>1</v>
          </cell>
          <cell r="M119" t="str">
            <v>=</v>
          </cell>
          <cell r="N119">
            <v>1</v>
          </cell>
          <cell r="O119" t="str">
            <v>전품1-6</v>
          </cell>
        </row>
        <row r="120">
          <cell r="A120" t="str">
            <v>분전반LS-A</v>
          </cell>
          <cell r="B120" t="str">
            <v>분전반</v>
          </cell>
          <cell r="C120" t="str">
            <v>LS-A</v>
          </cell>
          <cell r="D120" t="str">
            <v>면</v>
          </cell>
          <cell r="G120">
            <v>1</v>
          </cell>
          <cell r="J120">
            <v>1</v>
          </cell>
          <cell r="K120" t="str">
            <v>x</v>
          </cell>
          <cell r="L120">
            <v>1</v>
          </cell>
          <cell r="M120" t="str">
            <v>=</v>
          </cell>
          <cell r="N120">
            <v>1</v>
          </cell>
          <cell r="O120" t="str">
            <v>전품1-6</v>
          </cell>
        </row>
        <row r="121">
          <cell r="A121" t="str">
            <v>분전반LS-B</v>
          </cell>
          <cell r="B121" t="str">
            <v>분전반</v>
          </cell>
          <cell r="C121" t="str">
            <v>LS-B</v>
          </cell>
          <cell r="D121" t="str">
            <v>면</v>
          </cell>
          <cell r="G121">
            <v>1</v>
          </cell>
          <cell r="J121">
            <v>1</v>
          </cell>
          <cell r="K121" t="str">
            <v>x</v>
          </cell>
          <cell r="L121">
            <v>1</v>
          </cell>
          <cell r="M121" t="str">
            <v>=</v>
          </cell>
          <cell r="N121">
            <v>1</v>
          </cell>
          <cell r="O121" t="str">
            <v>전품1-6</v>
          </cell>
        </row>
        <row r="122">
          <cell r="A122" t="str">
            <v>분전반LS-C</v>
          </cell>
          <cell r="B122" t="str">
            <v>분전반</v>
          </cell>
          <cell r="C122" t="str">
            <v>LS-C</v>
          </cell>
          <cell r="D122" t="str">
            <v>면</v>
          </cell>
          <cell r="G122">
            <v>1</v>
          </cell>
          <cell r="J122">
            <v>1</v>
          </cell>
          <cell r="K122" t="str">
            <v>x</v>
          </cell>
          <cell r="L122">
            <v>1</v>
          </cell>
          <cell r="M122" t="str">
            <v>=</v>
          </cell>
          <cell r="N122">
            <v>1</v>
          </cell>
          <cell r="O122" t="str">
            <v>전품1-6</v>
          </cell>
        </row>
        <row r="123">
          <cell r="A123" t="str">
            <v>분전반LS-D</v>
          </cell>
          <cell r="B123" t="str">
            <v>분전반</v>
          </cell>
          <cell r="C123" t="str">
            <v>LS-D</v>
          </cell>
          <cell r="D123" t="str">
            <v>면</v>
          </cell>
          <cell r="G123">
            <v>1</v>
          </cell>
          <cell r="J123">
            <v>1</v>
          </cell>
          <cell r="K123" t="str">
            <v>x</v>
          </cell>
          <cell r="L123">
            <v>1</v>
          </cell>
          <cell r="M123" t="str">
            <v>=</v>
          </cell>
          <cell r="N123">
            <v>1</v>
          </cell>
          <cell r="O123" t="str">
            <v>전품1-6</v>
          </cell>
        </row>
        <row r="124">
          <cell r="A124" t="str">
            <v>분전반LS-E</v>
          </cell>
          <cell r="B124" t="str">
            <v>분전반</v>
          </cell>
          <cell r="C124" t="str">
            <v>LS-E</v>
          </cell>
          <cell r="D124" t="str">
            <v>면</v>
          </cell>
          <cell r="G124">
            <v>1</v>
          </cell>
          <cell r="J124">
            <v>1</v>
          </cell>
          <cell r="K124" t="str">
            <v>x</v>
          </cell>
          <cell r="L124">
            <v>1</v>
          </cell>
          <cell r="M124" t="str">
            <v>=</v>
          </cell>
          <cell r="N124">
            <v>1</v>
          </cell>
          <cell r="O124" t="str">
            <v>전품1-6</v>
          </cell>
        </row>
        <row r="125">
          <cell r="A125" t="str">
            <v>분전반LS-F</v>
          </cell>
          <cell r="B125" t="str">
            <v>분전반</v>
          </cell>
          <cell r="C125" t="str">
            <v>LS-F</v>
          </cell>
          <cell r="D125" t="str">
            <v>면</v>
          </cell>
          <cell r="G125">
            <v>1</v>
          </cell>
          <cell r="J125">
            <v>1</v>
          </cell>
          <cell r="K125" t="str">
            <v>x</v>
          </cell>
          <cell r="L125">
            <v>1</v>
          </cell>
          <cell r="M125" t="str">
            <v>=</v>
          </cell>
          <cell r="N125">
            <v>1</v>
          </cell>
          <cell r="O125" t="str">
            <v>전품1-6</v>
          </cell>
        </row>
        <row r="126">
          <cell r="A126" t="str">
            <v>분전반LS-G</v>
          </cell>
          <cell r="B126" t="str">
            <v>분전반</v>
          </cell>
          <cell r="C126" t="str">
            <v>LS-G</v>
          </cell>
          <cell r="D126" t="str">
            <v>면</v>
          </cell>
          <cell r="G126">
            <v>1</v>
          </cell>
          <cell r="J126">
            <v>1</v>
          </cell>
          <cell r="K126" t="str">
            <v>x</v>
          </cell>
          <cell r="L126">
            <v>1</v>
          </cell>
          <cell r="M126" t="str">
            <v>=</v>
          </cell>
          <cell r="N126">
            <v>1</v>
          </cell>
          <cell r="O126" t="str">
            <v>전품1-6</v>
          </cell>
        </row>
        <row r="127">
          <cell r="A127" t="str">
            <v>분전반LS-W1</v>
          </cell>
          <cell r="B127" t="str">
            <v>분전반</v>
          </cell>
          <cell r="C127" t="str">
            <v>LS-W1</v>
          </cell>
          <cell r="D127" t="str">
            <v>면</v>
          </cell>
          <cell r="H127">
            <v>1</v>
          </cell>
          <cell r="J127">
            <v>1</v>
          </cell>
          <cell r="K127" t="str">
            <v>x</v>
          </cell>
          <cell r="L127">
            <v>1</v>
          </cell>
          <cell r="M127" t="str">
            <v>=</v>
          </cell>
          <cell r="N127">
            <v>1</v>
          </cell>
          <cell r="O127" t="str">
            <v>전품1-6</v>
          </cell>
        </row>
        <row r="128">
          <cell r="A128" t="str">
            <v>분전반LS-W2</v>
          </cell>
          <cell r="B128" t="str">
            <v>분전반</v>
          </cell>
          <cell r="C128" t="str">
            <v>LS-W2</v>
          </cell>
          <cell r="D128" t="str">
            <v>면</v>
          </cell>
          <cell r="H128">
            <v>1</v>
          </cell>
          <cell r="J128">
            <v>1</v>
          </cell>
          <cell r="K128" t="str">
            <v>x</v>
          </cell>
          <cell r="L128">
            <v>1</v>
          </cell>
          <cell r="M128" t="str">
            <v>=</v>
          </cell>
          <cell r="N128">
            <v>1</v>
          </cell>
          <cell r="O128" t="str">
            <v>전품1-6</v>
          </cell>
        </row>
        <row r="129">
          <cell r="A129" t="str">
            <v>분전반LS-W3</v>
          </cell>
          <cell r="B129" t="str">
            <v>분전반</v>
          </cell>
          <cell r="C129" t="str">
            <v>LS-W3</v>
          </cell>
          <cell r="D129" t="str">
            <v>면</v>
          </cell>
          <cell r="H129">
            <v>1</v>
          </cell>
          <cell r="J129">
            <v>1</v>
          </cell>
          <cell r="K129" t="str">
            <v>x</v>
          </cell>
          <cell r="L129">
            <v>1</v>
          </cell>
          <cell r="M129" t="str">
            <v>=</v>
          </cell>
          <cell r="N129">
            <v>1</v>
          </cell>
          <cell r="O129" t="str">
            <v>전품1-6</v>
          </cell>
        </row>
        <row r="130">
          <cell r="A130" t="str">
            <v>분전반LS-W4</v>
          </cell>
          <cell r="B130" t="str">
            <v>분전반</v>
          </cell>
          <cell r="C130" t="str">
            <v>LS-W4</v>
          </cell>
          <cell r="D130" t="str">
            <v>면</v>
          </cell>
          <cell r="H130">
            <v>1</v>
          </cell>
          <cell r="J130">
            <v>1</v>
          </cell>
          <cell r="K130" t="str">
            <v>x</v>
          </cell>
          <cell r="L130">
            <v>1</v>
          </cell>
          <cell r="M130" t="str">
            <v>=</v>
          </cell>
          <cell r="N130">
            <v>1</v>
          </cell>
          <cell r="O130" t="str">
            <v>전품1-6</v>
          </cell>
        </row>
        <row r="131">
          <cell r="A131" t="str">
            <v>분전반LS-W5</v>
          </cell>
          <cell r="B131" t="str">
            <v>분전반</v>
          </cell>
          <cell r="C131" t="str">
            <v>LS-W5</v>
          </cell>
          <cell r="D131" t="str">
            <v>면</v>
          </cell>
          <cell r="H131">
            <v>1</v>
          </cell>
          <cell r="J131">
            <v>1</v>
          </cell>
          <cell r="K131" t="str">
            <v>x</v>
          </cell>
          <cell r="L131">
            <v>1</v>
          </cell>
          <cell r="M131" t="str">
            <v>=</v>
          </cell>
          <cell r="N131">
            <v>1</v>
          </cell>
          <cell r="O131" t="str">
            <v>전품1-6</v>
          </cell>
        </row>
        <row r="132">
          <cell r="A132" t="str">
            <v>분전반LS-W6</v>
          </cell>
          <cell r="B132" t="str">
            <v>분전반</v>
          </cell>
          <cell r="C132" t="str">
            <v>LS-W6</v>
          </cell>
          <cell r="D132" t="str">
            <v>면</v>
          </cell>
          <cell r="H132">
            <v>1</v>
          </cell>
          <cell r="J132">
            <v>1</v>
          </cell>
          <cell r="K132" t="str">
            <v>x</v>
          </cell>
          <cell r="L132">
            <v>1</v>
          </cell>
          <cell r="M132" t="str">
            <v>=</v>
          </cell>
          <cell r="N132">
            <v>1</v>
          </cell>
          <cell r="O132" t="str">
            <v>전품1-6</v>
          </cell>
        </row>
        <row r="133">
          <cell r="A133" t="str">
            <v>분전반LS-W7</v>
          </cell>
          <cell r="B133" t="str">
            <v>분전반</v>
          </cell>
          <cell r="C133" t="str">
            <v>LS-W7</v>
          </cell>
          <cell r="D133" t="str">
            <v>면</v>
          </cell>
          <cell r="H133">
            <v>1</v>
          </cell>
          <cell r="J133">
            <v>1</v>
          </cell>
          <cell r="K133" t="str">
            <v>x</v>
          </cell>
          <cell r="L133">
            <v>1</v>
          </cell>
          <cell r="M133" t="str">
            <v>=</v>
          </cell>
          <cell r="N133">
            <v>1</v>
          </cell>
          <cell r="O133" t="str">
            <v>전품1-6</v>
          </cell>
        </row>
        <row r="134">
          <cell r="A134" t="str">
            <v>분전반LS-W8</v>
          </cell>
          <cell r="B134" t="str">
            <v>분전반</v>
          </cell>
          <cell r="C134" t="str">
            <v>LS-W8</v>
          </cell>
          <cell r="D134" t="str">
            <v>면</v>
          </cell>
          <cell r="H134">
            <v>1</v>
          </cell>
          <cell r="J134">
            <v>1</v>
          </cell>
          <cell r="K134" t="str">
            <v>x</v>
          </cell>
          <cell r="L134">
            <v>1</v>
          </cell>
          <cell r="M134" t="str">
            <v>=</v>
          </cell>
          <cell r="N134">
            <v>1</v>
          </cell>
          <cell r="O134" t="str">
            <v>전품1-6</v>
          </cell>
        </row>
        <row r="135">
          <cell r="A135" t="str">
            <v>분전반LS-M1</v>
          </cell>
          <cell r="B135" t="str">
            <v>분전반</v>
          </cell>
          <cell r="C135" t="str">
            <v>LS-M1</v>
          </cell>
          <cell r="D135" t="str">
            <v>면</v>
          </cell>
          <cell r="F135">
            <v>1</v>
          </cell>
          <cell r="J135">
            <v>1</v>
          </cell>
          <cell r="K135" t="str">
            <v>x</v>
          </cell>
          <cell r="L135">
            <v>1</v>
          </cell>
          <cell r="M135" t="str">
            <v>=</v>
          </cell>
          <cell r="N135">
            <v>1</v>
          </cell>
          <cell r="O135" t="str">
            <v>전품1-6</v>
          </cell>
        </row>
        <row r="136">
          <cell r="A136" t="str">
            <v>분전반LS-M2</v>
          </cell>
          <cell r="B136" t="str">
            <v>분전반</v>
          </cell>
          <cell r="C136" t="str">
            <v>LS-M2</v>
          </cell>
          <cell r="D136" t="str">
            <v>면</v>
          </cell>
          <cell r="F136">
            <v>1</v>
          </cell>
          <cell r="J136">
            <v>1</v>
          </cell>
          <cell r="K136" t="str">
            <v>x</v>
          </cell>
          <cell r="L136">
            <v>1</v>
          </cell>
          <cell r="M136" t="str">
            <v>=</v>
          </cell>
          <cell r="N136">
            <v>1</v>
          </cell>
          <cell r="O136" t="str">
            <v>전품1-6</v>
          </cell>
        </row>
        <row r="137">
          <cell r="A137" t="str">
            <v>분전반LS-M3</v>
          </cell>
          <cell r="B137" t="str">
            <v>분전반</v>
          </cell>
          <cell r="C137" t="str">
            <v>LS-M3</v>
          </cell>
          <cell r="D137" t="str">
            <v>면</v>
          </cell>
          <cell r="F137">
            <v>1</v>
          </cell>
          <cell r="J137">
            <v>1</v>
          </cell>
          <cell r="K137" t="str">
            <v>x</v>
          </cell>
          <cell r="L137">
            <v>1</v>
          </cell>
          <cell r="M137" t="str">
            <v>=</v>
          </cell>
          <cell r="N137">
            <v>1</v>
          </cell>
          <cell r="O137" t="str">
            <v>전품1-6</v>
          </cell>
        </row>
        <row r="138">
          <cell r="A138" t="str">
            <v>분전반LS-P</v>
          </cell>
          <cell r="B138" t="str">
            <v>분전반</v>
          </cell>
          <cell r="C138" t="str">
            <v>LS-P</v>
          </cell>
          <cell r="D138" t="str">
            <v>면</v>
          </cell>
          <cell r="F138">
            <v>1</v>
          </cell>
          <cell r="J138">
            <v>1</v>
          </cell>
          <cell r="K138" t="str">
            <v>x</v>
          </cell>
          <cell r="L138">
            <v>1</v>
          </cell>
          <cell r="M138" t="str">
            <v>=</v>
          </cell>
          <cell r="N138">
            <v>1</v>
          </cell>
          <cell r="O138" t="str">
            <v>전품1-6</v>
          </cell>
        </row>
        <row r="139">
          <cell r="A139" t="str">
            <v>MCCB BOXMCCB 3P 50/30AT</v>
          </cell>
          <cell r="B139" t="str">
            <v>MCCB BOX</v>
          </cell>
          <cell r="C139" t="str">
            <v>MCCB 3P 50/30AT</v>
          </cell>
          <cell r="D139" t="str">
            <v>면</v>
          </cell>
          <cell r="F139">
            <v>2</v>
          </cell>
          <cell r="J139">
            <v>2</v>
          </cell>
          <cell r="K139" t="str">
            <v>x</v>
          </cell>
          <cell r="L139">
            <v>1</v>
          </cell>
          <cell r="M139" t="str">
            <v>=</v>
          </cell>
          <cell r="N139">
            <v>2</v>
          </cell>
          <cell r="O139" t="str">
            <v>전품1-6</v>
          </cell>
        </row>
        <row r="140">
          <cell r="A140" t="str">
            <v>MCCB BOXMCCB 2P 100/75AT</v>
          </cell>
          <cell r="B140" t="str">
            <v>MCCB BOX</v>
          </cell>
          <cell r="C140" t="str">
            <v>MCCB 2P 100/75AT</v>
          </cell>
          <cell r="D140" t="str">
            <v>면</v>
          </cell>
          <cell r="F140">
            <v>48</v>
          </cell>
          <cell r="J140">
            <v>48</v>
          </cell>
          <cell r="K140" t="str">
            <v>x</v>
          </cell>
          <cell r="L140">
            <v>1</v>
          </cell>
          <cell r="M140" t="str">
            <v>=</v>
          </cell>
          <cell r="N140">
            <v>48</v>
          </cell>
          <cell r="O140" t="str">
            <v>전품1-6</v>
          </cell>
        </row>
        <row r="141">
          <cell r="A141" t="str">
            <v>휀스경간:2m, 높이:1.8m</v>
          </cell>
          <cell r="B141" t="str">
            <v>휀스</v>
          </cell>
          <cell r="C141" t="str">
            <v>경간:2m, 높이:1.8m</v>
          </cell>
          <cell r="D141" t="str">
            <v>개소</v>
          </cell>
          <cell r="E141">
            <v>11</v>
          </cell>
          <cell r="J141">
            <v>11</v>
          </cell>
          <cell r="K141" t="str">
            <v>x</v>
          </cell>
          <cell r="L141">
            <v>1</v>
          </cell>
          <cell r="M141" t="str">
            <v>=</v>
          </cell>
          <cell r="N141">
            <v>11</v>
          </cell>
          <cell r="O141" t="str">
            <v>전품1-6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대로근거"/>
      <sheetName val="중로근거"/>
      <sheetName val="내역서 "/>
      <sheetName val="단가"/>
      <sheetName val="1.설계조건"/>
      <sheetName val="Y-WORK"/>
      <sheetName val="ABUT수량-A1"/>
      <sheetName val="단면가정"/>
      <sheetName val="기둥(원형)"/>
      <sheetName val="철근단면적"/>
      <sheetName val="DATA"/>
      <sheetName val="관리,공감"/>
      <sheetName val="가도공"/>
      <sheetName val="원형맨홀수량"/>
      <sheetName val="교각1"/>
      <sheetName val="하도금액분계"/>
      <sheetName val="hvac(제어동)"/>
      <sheetName val="견적990322"/>
      <sheetName val="구조물철거타공정이월"/>
      <sheetName val="업체별기성내역"/>
      <sheetName val="물량표S"/>
      <sheetName val="PAINT"/>
      <sheetName val="SUMMARY"/>
      <sheetName val="물량표"/>
      <sheetName val="물량표(신)"/>
      <sheetName val="노임이"/>
      <sheetName val="전기"/>
      <sheetName val="TEL"/>
      <sheetName val="danga"/>
      <sheetName val="ilch"/>
      <sheetName val="#REF"/>
      <sheetName val="산출근거"/>
      <sheetName val="입찰안"/>
      <sheetName val="일위대가(계측기설치)"/>
      <sheetName val="guard(mac)"/>
      <sheetName val="지장물C"/>
      <sheetName val="DATE"/>
      <sheetName val="Macro(전선)"/>
      <sheetName val="SLAB&quot;1&quot;"/>
      <sheetName val="8.PILE  (돌출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겉지"/>
      <sheetName val="내역서"/>
      <sheetName val="대가"/>
      <sheetName val="산출1"/>
      <sheetName val="산출2"/>
      <sheetName val="조사"/>
      <sheetName val="대비"/>
      <sheetName val="단-원산"/>
      <sheetName val="매화-단"/>
      <sheetName val="조-단"/>
      <sheetName val="견적서"/>
      <sheetName val="타-매화"/>
      <sheetName val="타-조은"/>
      <sheetName val="전기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수량산출"/>
      <sheetName val="laroux"/>
      <sheetName val="중량산출"/>
      <sheetName val="PANEL 중량산출"/>
      <sheetName val="내역서"/>
      <sheetName val="견적대비표"/>
      <sheetName val="단가대비표"/>
      <sheetName val="TEL"/>
      <sheetName val="I一般比"/>
      <sheetName val="부대대비"/>
      <sheetName val="냉연집계"/>
      <sheetName val="Sheet3"/>
      <sheetName val="과천MAIN"/>
      <sheetName val="대비"/>
      <sheetName val="내역서(총)"/>
      <sheetName val="신우"/>
      <sheetName val="교각계산"/>
      <sheetName val="민속촌메뉴"/>
      <sheetName val="수량산출서"/>
      <sheetName val="N賃率-職"/>
      <sheetName val="노원열병합  건축공사기성내역서"/>
      <sheetName val="일위대가"/>
      <sheetName val="도"/>
      <sheetName val="plan&amp;section of foundation"/>
      <sheetName val="업무"/>
      <sheetName val="code"/>
      <sheetName val="공사현황"/>
      <sheetName val="설계조건"/>
      <sheetName val="직노"/>
      <sheetName val="경산"/>
      <sheetName val="Sheet2"/>
      <sheetName val="소비자가"/>
      <sheetName val="주소록"/>
      <sheetName val="DATE"/>
      <sheetName val="sheets"/>
      <sheetName val="예산M12A"/>
      <sheetName val="일위대가목차"/>
      <sheetName val="노임단가"/>
      <sheetName val="경비_원본"/>
      <sheetName val="직재"/>
      <sheetName val="FANDBS"/>
      <sheetName val="GRDATA"/>
      <sheetName val="SHAFTDBSE"/>
      <sheetName val="감가상각"/>
      <sheetName val="J直材4"/>
      <sheetName val="자재단가비교표"/>
      <sheetName val="합천내역"/>
      <sheetName val="1안"/>
      <sheetName val="을지"/>
      <sheetName val="DB"/>
      <sheetName val="음료실행"/>
      <sheetName val="APT내역"/>
      <sheetName val="부대시설"/>
      <sheetName val="기둥(원형)"/>
      <sheetName val="Sheet1"/>
      <sheetName val="공사원가계산서"/>
      <sheetName val="TOTAL"/>
      <sheetName val="단가비교표"/>
      <sheetName val="견적서"/>
      <sheetName val="내역"/>
      <sheetName val="전기일위대가"/>
      <sheetName val="DATA"/>
      <sheetName val="개요"/>
      <sheetName val="설직재-1"/>
      <sheetName val="화재 탐지 설비"/>
      <sheetName val="工완성공사율"/>
      <sheetName val="20관리비율"/>
      <sheetName val="노임"/>
      <sheetName val="EACT10"/>
      <sheetName val="C-노임단가"/>
      <sheetName val="입찰안"/>
      <sheetName val="터널조도"/>
      <sheetName val="실행내역서 "/>
      <sheetName val="부하계산서"/>
      <sheetName val="CT "/>
      <sheetName val="ABUT수량-A1"/>
      <sheetName val="발신정보"/>
      <sheetName val="기본일위"/>
      <sheetName val="2F 회의실견적(5_14 일대)"/>
      <sheetName val="NOMUBI"/>
      <sheetName val="sw1"/>
      <sheetName val="실행철강하도"/>
      <sheetName val="동원(3)"/>
      <sheetName val="예정(3)"/>
      <sheetName val="인건-측정"/>
      <sheetName val="조도계산서 (도서)"/>
      <sheetName val="동력부하(도산)"/>
      <sheetName val="명세서"/>
      <sheetName val="유림골조"/>
      <sheetName val="danga"/>
      <sheetName val="ilch"/>
      <sheetName val="Sheet14"/>
      <sheetName val="Sheet13"/>
      <sheetName val="6호기"/>
      <sheetName val="조명시설"/>
      <sheetName val="예산변경사항"/>
      <sheetName val="세부내역"/>
      <sheetName val="정공공사"/>
      <sheetName val="Sheet5"/>
      <sheetName val="갑지"/>
      <sheetName val="인건비"/>
      <sheetName val="재집"/>
      <sheetName val="제36-40호표"/>
      <sheetName val="#REF"/>
      <sheetName val="총괄집계표"/>
      <sheetName val="노무비"/>
      <sheetName val="공조기휀"/>
      <sheetName val="재료"/>
      <sheetName val="설치자재"/>
      <sheetName val="기본사항"/>
      <sheetName val="환산"/>
      <sheetName val="일위"/>
      <sheetName val="단가조사"/>
      <sheetName val="을"/>
      <sheetName val="노임이"/>
      <sheetName val="TABLE"/>
      <sheetName val="유기공정"/>
      <sheetName val="96물가 CODE"/>
      <sheetName val="연부97-1"/>
      <sheetName val="갑지1"/>
      <sheetName val="단가산출2"/>
      <sheetName val="DB단가"/>
      <sheetName val="공사내역"/>
      <sheetName val="조경"/>
      <sheetName val="BID"/>
      <sheetName val="LEGEND"/>
      <sheetName val="건축내역"/>
      <sheetName val="일위단가"/>
      <sheetName val="단가산출(변경없음)"/>
      <sheetName val="갑지(추정)"/>
      <sheetName val="도체종-상수표"/>
      <sheetName val="본장"/>
      <sheetName val="최종갑지"/>
      <sheetName val="sum1 (2)"/>
      <sheetName val="견적정보"/>
      <sheetName val="PANEL_중량산출"/>
      <sheetName val="노원열병합__건축공사기성내역서"/>
      <sheetName val="plan&amp;section_of_foundation"/>
      <sheetName val="1단계"/>
      <sheetName val="FB25JN"/>
      <sheetName val="년도별실"/>
      <sheetName val="기성금내역서"/>
      <sheetName val="소상 &quot;1&quot;"/>
      <sheetName val="계산서(곡선부)"/>
      <sheetName val="-치수표(곡선부)"/>
      <sheetName val="Y-WORK"/>
      <sheetName val="GAEYO"/>
      <sheetName val="원가계산서"/>
      <sheetName val="타견적1"/>
      <sheetName val="타견적2"/>
      <sheetName val="타견적3"/>
      <sheetName val="1.설계조건"/>
      <sheetName val="LOPCALC"/>
      <sheetName val="프로그램"/>
      <sheetName val="예산서"/>
      <sheetName val="운반비"/>
      <sheetName val="단가(1)"/>
      <sheetName val="단가(2)"/>
      <sheetName val="배관(TON)"/>
      <sheetName val="물량집계"/>
      <sheetName val="물량비교"/>
      <sheetName val="배관비교"/>
      <sheetName val="리스트"/>
      <sheetName val="용량-침사"/>
      <sheetName val="용량-펌프"/>
      <sheetName val="통신원가"/>
      <sheetName val="OPT7"/>
      <sheetName val="장애코드"/>
      <sheetName val="현금예금"/>
      <sheetName val="UserData"/>
      <sheetName val="환율"/>
      <sheetName val="Sheet9"/>
      <sheetName val="종배수관"/>
      <sheetName val="CP-E2 (품셈표)"/>
      <sheetName val="품목납기"/>
      <sheetName val="설비"/>
      <sheetName val="U-TYPE(1)"/>
      <sheetName val="조도계산(1)"/>
      <sheetName val="전차선로 물량표"/>
      <sheetName val="일위대가목록"/>
      <sheetName val="001"/>
      <sheetName val="와동25-3(변경)"/>
      <sheetName val="60명당사(총괄)"/>
      <sheetName val="CT_"/>
      <sheetName val="2F_회의실견적(5_14_일대)"/>
      <sheetName val="조도계산서_(도서)"/>
      <sheetName val="96물가_CODE"/>
      <sheetName val="CP-E2_(품셈표)"/>
      <sheetName val="70%"/>
      <sheetName val="전기단가조사서"/>
      <sheetName val="반중력식옹벽3.5"/>
      <sheetName val="중기사용료"/>
      <sheetName val="Macro1"/>
      <sheetName val="Macro2"/>
      <sheetName val="김재복부장님"/>
      <sheetName val="기초대가"/>
      <sheetName val="97"/>
      <sheetName val="WORK"/>
      <sheetName val="K1자재(3차등)"/>
      <sheetName val="자재단가"/>
      <sheetName val="덕전리"/>
      <sheetName val="선급금신청서"/>
      <sheetName val="실행비교"/>
      <sheetName val="원가"/>
      <sheetName val="6PILE  (돌출)"/>
      <sheetName val="신규 수주분(사용자 정의)"/>
      <sheetName val="운반"/>
      <sheetName val="UR2-Calculation"/>
      <sheetName val="금액집계"/>
      <sheetName val="터파기및재료"/>
      <sheetName val="여과지동"/>
      <sheetName val="기초자료"/>
      <sheetName val="CONCRETE"/>
      <sheetName val="부하LOAD"/>
      <sheetName val="데이타"/>
      <sheetName val="11월 가격"/>
      <sheetName val="일위대가(1)"/>
      <sheetName val="연수동"/>
      <sheetName val="1000 DB구축 부표"/>
      <sheetName val="청천내"/>
      <sheetName val="차액보증"/>
      <sheetName val="10월가격"/>
      <sheetName val="원형1호맨홀토공수량"/>
      <sheetName val="정부노임단가"/>
      <sheetName val="철거산출근거"/>
      <sheetName val="기계경비산출기준"/>
      <sheetName val="원본(갑지)"/>
      <sheetName val="판매96"/>
      <sheetName val="제-노임"/>
      <sheetName val="제직재"/>
      <sheetName val="단가표"/>
      <sheetName val="내역서1999.8최종"/>
      <sheetName val="밸브설치"/>
      <sheetName val="사통"/>
      <sheetName val="dtxl"/>
      <sheetName val="견적대비 견적서"/>
      <sheetName val="화재_탐지_설비"/>
      <sheetName val="copy"/>
      <sheetName val="전기"/>
      <sheetName val="날개벽수량표"/>
      <sheetName val="교각1"/>
      <sheetName val="토공(우물통,기타) "/>
      <sheetName val="wall"/>
      <sheetName val="COPING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집계표"/>
      <sheetName val="9GNG운반"/>
      <sheetName val="준검 내역서"/>
      <sheetName val="T13(P68~72,78)"/>
      <sheetName val="2"/>
      <sheetName val="여방토공 "/>
      <sheetName val="11.단가비교표_"/>
      <sheetName val="16.기계경비산출내역_"/>
      <sheetName val="토공정보"/>
      <sheetName val="예산M5A"/>
      <sheetName val="예산M2"/>
      <sheetName val="표지"/>
      <sheetName val="남양시작동자105노65기1.3화1.2"/>
      <sheetName val="지급자재"/>
      <sheetName val="계약내역서(을지)"/>
      <sheetName val="장비분석"/>
      <sheetName val="공조기"/>
      <sheetName val="STORAGE"/>
      <sheetName val="토목주소"/>
      <sheetName val="프랜트면허"/>
      <sheetName val="별표 "/>
      <sheetName val="조명율표"/>
      <sheetName val="단가조사-2"/>
      <sheetName val="단"/>
      <sheetName val="기성"/>
      <sheetName val="7.1 자재단가표(케이블)"/>
      <sheetName val="LOAD-46"/>
      <sheetName val="부하(성남)"/>
      <sheetName val="토공계산서(부체도로)"/>
      <sheetName val="부속동"/>
      <sheetName val="공사개요(좌)"/>
      <sheetName val="직공비"/>
      <sheetName val="매입세율"/>
      <sheetName val="공사개요"/>
      <sheetName val="Sheet7"/>
      <sheetName val="어음광고주"/>
      <sheetName val="FPA"/>
      <sheetName val="순수개발"/>
      <sheetName val="Data Vol"/>
      <sheetName val="차수"/>
      <sheetName val="공통가설"/>
      <sheetName val="전체"/>
      <sheetName val="Galaxy 소비자가격표"/>
      <sheetName val="CTEMCOST"/>
      <sheetName val="가로등기초"/>
      <sheetName val="BASIC (2)"/>
      <sheetName val="백암비스타내역"/>
      <sheetName val="dt0301"/>
      <sheetName val="dtt0301"/>
      <sheetName val="목록"/>
      <sheetName val="내부부하"/>
      <sheetName val="입출재고현황 (2)"/>
      <sheetName val="본체"/>
      <sheetName val="심사계산"/>
      <sheetName val="심사물량"/>
      <sheetName val="첨부파일"/>
      <sheetName val="단면가정"/>
      <sheetName val="VE절감"/>
      <sheetName val="물량표S"/>
      <sheetName val="금액내역서"/>
      <sheetName val="물가시세"/>
      <sheetName val="ITEM"/>
      <sheetName val="type-F"/>
      <sheetName val="실행"/>
      <sheetName val="제잡비"/>
      <sheetName val="산출내역서집계표"/>
      <sheetName val="플랜트 설치"/>
      <sheetName val="교대(A1-A2)"/>
      <sheetName val="공사비집계"/>
      <sheetName val="건축"/>
      <sheetName val="B(함)일반수량"/>
      <sheetName val="산출근거"/>
      <sheetName val="기계경비(시간당)"/>
      <sheetName val="램머"/>
      <sheetName val="내역서 (2)"/>
      <sheetName val="총괄내역서"/>
      <sheetName val="단가산출"/>
      <sheetName val="환경평가"/>
      <sheetName val="인구"/>
      <sheetName val="배수관공"/>
      <sheetName val="Sheet1 (2)"/>
      <sheetName val="일반수량총괄"/>
      <sheetName val="토공총괄"/>
      <sheetName val="골재수량"/>
      <sheetName val="레미콘집계"/>
      <sheetName val="주요자재"/>
      <sheetName val="타공종이기"/>
      <sheetName val="(C)원내역"/>
      <sheetName val="원가계산"/>
      <sheetName val="사급자재"/>
      <sheetName val="이토변실(A3-LINE)"/>
      <sheetName val="7내역"/>
      <sheetName val="기계내역"/>
      <sheetName val="소상_&quot;1&quot;"/>
      <sheetName val="건축원가계산서"/>
      <sheetName val="설계내역(2001)"/>
      <sheetName val="토목"/>
      <sheetName val="Oper Amount"/>
      <sheetName val="실적단가"/>
      <sheetName val="일위대가_복합"/>
      <sheetName val="일위대가_서비스"/>
      <sheetName val="장비집계"/>
      <sheetName val="8.PILE  (돌출)"/>
      <sheetName val="임차품의(농조)"/>
      <sheetName val="실행내역"/>
      <sheetName val="조도계산서 _도서_"/>
      <sheetName val="원가 (2)"/>
      <sheetName val="대치판정"/>
      <sheetName val="rate"/>
      <sheetName val="98수문일위"/>
      <sheetName val="진주방향"/>
      <sheetName val="유통망계획"/>
      <sheetName val="기준자료"/>
      <sheetName val="제품"/>
      <sheetName val="견적계산"/>
      <sheetName val="TRE TABLE"/>
      <sheetName val="자재운반단가일람표"/>
      <sheetName val="단가목록"/>
      <sheetName val="대창(장성)"/>
      <sheetName val="DRUM"/>
      <sheetName val="표지판단위"/>
      <sheetName val="설계"/>
      <sheetName val="품산출서"/>
      <sheetName val="BUS제원1"/>
      <sheetName val="자료"/>
      <sheetName val="우각부보강"/>
      <sheetName val="외주가공"/>
      <sheetName val="7단가"/>
      <sheetName val="NEYOK"/>
      <sheetName val="협조전"/>
      <sheetName val="11"/>
      <sheetName val="CB"/>
      <sheetName val="단위수량"/>
      <sheetName val="변경갑지"/>
      <sheetName val="증감(갑지)"/>
      <sheetName val="손익차9월2"/>
      <sheetName val="단가"/>
      <sheetName val="담장산출"/>
      <sheetName val="소업1교"/>
      <sheetName val="말뚝지지력산정"/>
      <sheetName val="예산대비"/>
      <sheetName val="공문"/>
      <sheetName val="품목"/>
      <sheetName val="AV시스템"/>
      <sheetName val="C1"/>
      <sheetName val="기성내역서표지"/>
      <sheetName val="sub"/>
      <sheetName val="(A)내역서"/>
      <sheetName val="값"/>
      <sheetName val="횡 연장"/>
      <sheetName val="호표"/>
      <sheetName val="공사비명세서"/>
      <sheetName val="지수"/>
      <sheetName val="일위대가표"/>
      <sheetName val="약품공급2"/>
      <sheetName val="노무비 근거"/>
      <sheetName val="배수내역 (2)"/>
      <sheetName val="간지"/>
      <sheetName val="단가조사서"/>
      <sheetName val="목차"/>
      <sheetName val="간선계산"/>
      <sheetName val="BOX"/>
      <sheetName val="건축내역서"/>
      <sheetName val="실정공사비단가표"/>
      <sheetName val="PROCESS"/>
      <sheetName val="일위대가(계측기설치)"/>
      <sheetName val="1-1"/>
      <sheetName val="차도조도계산"/>
      <sheetName val="견내"/>
      <sheetName val="매립"/>
      <sheetName val="Cost bd-&quot;A&quot;"/>
    </sheetNames>
    <sheetDataSet>
      <sheetData sheetId="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</row>
        <row r="26">
          <cell r="A26">
            <v>26</v>
          </cell>
        </row>
        <row r="27">
          <cell r="A27">
            <v>27</v>
          </cell>
        </row>
        <row r="28">
          <cell r="A28">
            <v>28</v>
          </cell>
        </row>
        <row r="29">
          <cell r="A29">
            <v>29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36</v>
          </cell>
        </row>
        <row r="37">
          <cell r="A37">
            <v>37</v>
          </cell>
        </row>
        <row r="38">
          <cell r="A38">
            <v>38</v>
          </cell>
        </row>
        <row r="39">
          <cell r="A39">
            <v>39</v>
          </cell>
        </row>
        <row r="40">
          <cell r="A40">
            <v>40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</row>
        <row r="52">
          <cell r="A52">
            <v>52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  <row r="64">
          <cell r="A64">
            <v>64</v>
          </cell>
        </row>
        <row r="65">
          <cell r="A65">
            <v>65</v>
          </cell>
        </row>
        <row r="66">
          <cell r="A66">
            <v>66</v>
          </cell>
        </row>
        <row r="67">
          <cell r="A67">
            <v>67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  <row r="463">
          <cell r="A463">
            <v>463</v>
          </cell>
        </row>
        <row r="464">
          <cell r="A464">
            <v>464</v>
          </cell>
        </row>
        <row r="465">
          <cell r="A465">
            <v>465</v>
          </cell>
        </row>
        <row r="466">
          <cell r="A466">
            <v>466</v>
          </cell>
        </row>
        <row r="467">
          <cell r="A467">
            <v>467</v>
          </cell>
        </row>
        <row r="468">
          <cell r="A468">
            <v>468</v>
          </cell>
        </row>
        <row r="469">
          <cell r="A469">
            <v>469</v>
          </cell>
        </row>
        <row r="470">
          <cell r="A470">
            <v>470</v>
          </cell>
        </row>
        <row r="471">
          <cell r="A471">
            <v>471</v>
          </cell>
        </row>
        <row r="472">
          <cell r="A472">
            <v>472</v>
          </cell>
        </row>
        <row r="473">
          <cell r="A473">
            <v>473</v>
          </cell>
        </row>
        <row r="474">
          <cell r="A474">
            <v>474</v>
          </cell>
        </row>
        <row r="475">
          <cell r="A475">
            <v>475</v>
          </cell>
        </row>
        <row r="476">
          <cell r="A476">
            <v>476</v>
          </cell>
        </row>
        <row r="477">
          <cell r="A477">
            <v>477</v>
          </cell>
        </row>
        <row r="478">
          <cell r="A478">
            <v>478</v>
          </cell>
        </row>
        <row r="479">
          <cell r="A479">
            <v>479</v>
          </cell>
        </row>
        <row r="480">
          <cell r="A480">
            <v>480</v>
          </cell>
        </row>
        <row r="481">
          <cell r="A481">
            <v>481</v>
          </cell>
        </row>
        <row r="482">
          <cell r="A482">
            <v>482</v>
          </cell>
        </row>
        <row r="483">
          <cell r="A483">
            <v>483</v>
          </cell>
        </row>
        <row r="484">
          <cell r="A484">
            <v>484</v>
          </cell>
        </row>
        <row r="485">
          <cell r="A485">
            <v>485</v>
          </cell>
        </row>
        <row r="486">
          <cell r="A486">
            <v>486</v>
          </cell>
        </row>
        <row r="487">
          <cell r="A487">
            <v>487</v>
          </cell>
        </row>
        <row r="488">
          <cell r="A488">
            <v>488</v>
          </cell>
        </row>
        <row r="489">
          <cell r="A489">
            <v>489</v>
          </cell>
        </row>
        <row r="490">
          <cell r="A490">
            <v>490</v>
          </cell>
        </row>
        <row r="491">
          <cell r="A491">
            <v>491</v>
          </cell>
        </row>
        <row r="492">
          <cell r="A492">
            <v>492</v>
          </cell>
        </row>
        <row r="493">
          <cell r="A493">
            <v>493</v>
          </cell>
        </row>
        <row r="494">
          <cell r="A494">
            <v>494</v>
          </cell>
        </row>
        <row r="495">
          <cell r="A495">
            <v>495</v>
          </cell>
        </row>
        <row r="496">
          <cell r="A496">
            <v>496</v>
          </cell>
        </row>
        <row r="497">
          <cell r="A497">
            <v>497</v>
          </cell>
        </row>
        <row r="498">
          <cell r="A498">
            <v>498</v>
          </cell>
        </row>
        <row r="499">
          <cell r="A499">
            <v>499</v>
          </cell>
        </row>
        <row r="500">
          <cell r="A500">
            <v>500</v>
          </cell>
        </row>
        <row r="501">
          <cell r="A501">
            <v>501</v>
          </cell>
        </row>
        <row r="502">
          <cell r="A502">
            <v>502</v>
          </cell>
        </row>
        <row r="503">
          <cell r="A503">
            <v>503</v>
          </cell>
        </row>
        <row r="504">
          <cell r="A504">
            <v>504</v>
          </cell>
        </row>
        <row r="505">
          <cell r="A505">
            <v>505</v>
          </cell>
        </row>
        <row r="506">
          <cell r="A506">
            <v>506</v>
          </cell>
        </row>
        <row r="507">
          <cell r="A507">
            <v>507</v>
          </cell>
        </row>
        <row r="508">
          <cell r="A508">
            <v>508</v>
          </cell>
        </row>
        <row r="509">
          <cell r="A509">
            <v>509</v>
          </cell>
        </row>
        <row r="510">
          <cell r="A510">
            <v>510</v>
          </cell>
        </row>
        <row r="511">
          <cell r="A511">
            <v>511</v>
          </cell>
        </row>
        <row r="512">
          <cell r="A512">
            <v>512</v>
          </cell>
        </row>
        <row r="513">
          <cell r="A513">
            <v>513</v>
          </cell>
        </row>
        <row r="514">
          <cell r="A514">
            <v>514</v>
          </cell>
        </row>
        <row r="515">
          <cell r="A515">
            <v>515</v>
          </cell>
        </row>
        <row r="516">
          <cell r="A516">
            <v>516</v>
          </cell>
        </row>
        <row r="517">
          <cell r="A517">
            <v>517</v>
          </cell>
        </row>
        <row r="518">
          <cell r="A518">
            <v>518</v>
          </cell>
        </row>
        <row r="519">
          <cell r="A519">
            <v>519</v>
          </cell>
        </row>
        <row r="520">
          <cell r="A520">
            <v>520</v>
          </cell>
        </row>
        <row r="521">
          <cell r="A521">
            <v>521</v>
          </cell>
        </row>
        <row r="522">
          <cell r="A522">
            <v>522</v>
          </cell>
        </row>
        <row r="523">
          <cell r="A523">
            <v>523</v>
          </cell>
        </row>
        <row r="524">
          <cell r="A524">
            <v>524</v>
          </cell>
        </row>
        <row r="525">
          <cell r="A525">
            <v>525</v>
          </cell>
        </row>
        <row r="526">
          <cell r="A526">
            <v>526</v>
          </cell>
        </row>
        <row r="527">
          <cell r="A527">
            <v>527</v>
          </cell>
        </row>
        <row r="528">
          <cell r="A528">
            <v>528</v>
          </cell>
        </row>
        <row r="529">
          <cell r="A529">
            <v>529</v>
          </cell>
        </row>
        <row r="530">
          <cell r="A530">
            <v>530</v>
          </cell>
        </row>
        <row r="531">
          <cell r="A531">
            <v>531</v>
          </cell>
        </row>
        <row r="532">
          <cell r="A532">
            <v>532</v>
          </cell>
        </row>
        <row r="533">
          <cell r="A533">
            <v>533</v>
          </cell>
        </row>
        <row r="534">
          <cell r="A534">
            <v>534</v>
          </cell>
        </row>
        <row r="535">
          <cell r="A535">
            <v>535</v>
          </cell>
        </row>
        <row r="536">
          <cell r="A536">
            <v>536</v>
          </cell>
        </row>
        <row r="537">
          <cell r="A537">
            <v>537</v>
          </cell>
        </row>
        <row r="538">
          <cell r="A538">
            <v>538</v>
          </cell>
        </row>
        <row r="539">
          <cell r="A539">
            <v>539</v>
          </cell>
        </row>
        <row r="540">
          <cell r="A540">
            <v>540</v>
          </cell>
        </row>
        <row r="541">
          <cell r="A541">
            <v>541</v>
          </cell>
        </row>
        <row r="542">
          <cell r="A542">
            <v>542</v>
          </cell>
        </row>
        <row r="543">
          <cell r="A543">
            <v>543</v>
          </cell>
        </row>
        <row r="544">
          <cell r="A544">
            <v>544</v>
          </cell>
        </row>
        <row r="545">
          <cell r="A545">
            <v>545</v>
          </cell>
        </row>
        <row r="546">
          <cell r="A546">
            <v>546</v>
          </cell>
        </row>
        <row r="547">
          <cell r="A547">
            <v>547</v>
          </cell>
        </row>
        <row r="548">
          <cell r="A548">
            <v>548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</row>
        <row r="552">
          <cell r="A552">
            <v>552</v>
          </cell>
        </row>
        <row r="553">
          <cell r="A553">
            <v>553</v>
          </cell>
        </row>
        <row r="554">
          <cell r="A554">
            <v>554</v>
          </cell>
        </row>
        <row r="555">
          <cell r="A555">
            <v>555</v>
          </cell>
        </row>
        <row r="556">
          <cell r="A556">
            <v>556</v>
          </cell>
        </row>
        <row r="557">
          <cell r="A557">
            <v>557</v>
          </cell>
        </row>
        <row r="558">
          <cell r="A558">
            <v>558</v>
          </cell>
        </row>
        <row r="559">
          <cell r="A559">
            <v>559</v>
          </cell>
        </row>
        <row r="560">
          <cell r="A560">
            <v>560</v>
          </cell>
        </row>
        <row r="561">
          <cell r="A561">
            <v>561</v>
          </cell>
        </row>
        <row r="562">
          <cell r="A562">
            <v>562</v>
          </cell>
        </row>
        <row r="563">
          <cell r="A563">
            <v>563</v>
          </cell>
        </row>
        <row r="564">
          <cell r="A564">
            <v>564</v>
          </cell>
        </row>
        <row r="565">
          <cell r="A565">
            <v>565</v>
          </cell>
        </row>
        <row r="566">
          <cell r="A566">
            <v>566</v>
          </cell>
        </row>
        <row r="567">
          <cell r="A567">
            <v>567</v>
          </cell>
        </row>
        <row r="568">
          <cell r="A568">
            <v>568</v>
          </cell>
        </row>
        <row r="569">
          <cell r="A569">
            <v>569</v>
          </cell>
        </row>
        <row r="570">
          <cell r="A570">
            <v>570</v>
          </cell>
        </row>
        <row r="571">
          <cell r="A571">
            <v>571</v>
          </cell>
        </row>
        <row r="572">
          <cell r="A572">
            <v>572</v>
          </cell>
        </row>
        <row r="573">
          <cell r="A573">
            <v>573</v>
          </cell>
        </row>
        <row r="574">
          <cell r="A574">
            <v>574</v>
          </cell>
        </row>
        <row r="575">
          <cell r="A575">
            <v>575</v>
          </cell>
        </row>
        <row r="576">
          <cell r="A576">
            <v>576</v>
          </cell>
        </row>
        <row r="577">
          <cell r="A577">
            <v>577</v>
          </cell>
        </row>
        <row r="578">
          <cell r="A578">
            <v>578</v>
          </cell>
        </row>
        <row r="579">
          <cell r="A579">
            <v>579</v>
          </cell>
        </row>
        <row r="580">
          <cell r="A580">
            <v>580</v>
          </cell>
        </row>
        <row r="581">
          <cell r="A581">
            <v>581</v>
          </cell>
        </row>
        <row r="582">
          <cell r="A582">
            <v>582</v>
          </cell>
        </row>
        <row r="583">
          <cell r="A583">
            <v>583</v>
          </cell>
        </row>
        <row r="584">
          <cell r="A584">
            <v>584</v>
          </cell>
        </row>
        <row r="585">
          <cell r="A585">
            <v>585</v>
          </cell>
        </row>
        <row r="586">
          <cell r="A586">
            <v>586</v>
          </cell>
        </row>
        <row r="587">
          <cell r="A587">
            <v>587</v>
          </cell>
        </row>
        <row r="588">
          <cell r="A588">
            <v>588</v>
          </cell>
        </row>
        <row r="589">
          <cell r="A589">
            <v>589</v>
          </cell>
        </row>
        <row r="590">
          <cell r="A590">
            <v>590</v>
          </cell>
        </row>
        <row r="591">
          <cell r="A591">
            <v>591</v>
          </cell>
        </row>
        <row r="592">
          <cell r="A592">
            <v>592</v>
          </cell>
        </row>
        <row r="593">
          <cell r="A593">
            <v>593</v>
          </cell>
        </row>
        <row r="594">
          <cell r="A594">
            <v>594</v>
          </cell>
        </row>
        <row r="595">
          <cell r="A595">
            <v>595</v>
          </cell>
        </row>
        <row r="596">
          <cell r="A596">
            <v>596</v>
          </cell>
        </row>
        <row r="597">
          <cell r="A597">
            <v>597</v>
          </cell>
        </row>
        <row r="598">
          <cell r="A598">
            <v>598</v>
          </cell>
        </row>
        <row r="599">
          <cell r="A599">
            <v>599</v>
          </cell>
        </row>
        <row r="600">
          <cell r="A600">
            <v>600</v>
          </cell>
        </row>
        <row r="601">
          <cell r="A601">
            <v>601</v>
          </cell>
        </row>
        <row r="602">
          <cell r="A602">
            <v>602</v>
          </cell>
        </row>
        <row r="603">
          <cell r="A603">
            <v>603</v>
          </cell>
        </row>
        <row r="604">
          <cell r="A604">
            <v>604</v>
          </cell>
        </row>
        <row r="605">
          <cell r="A605">
            <v>605</v>
          </cell>
        </row>
        <row r="606">
          <cell r="A606">
            <v>606</v>
          </cell>
        </row>
        <row r="607">
          <cell r="A607">
            <v>607</v>
          </cell>
        </row>
        <row r="608">
          <cell r="A608">
            <v>608</v>
          </cell>
        </row>
        <row r="609">
          <cell r="A609">
            <v>609</v>
          </cell>
        </row>
        <row r="610">
          <cell r="A610">
            <v>610</v>
          </cell>
        </row>
        <row r="611">
          <cell r="A611">
            <v>611</v>
          </cell>
        </row>
        <row r="612">
          <cell r="A612">
            <v>612</v>
          </cell>
        </row>
        <row r="613">
          <cell r="A613">
            <v>613</v>
          </cell>
        </row>
        <row r="614">
          <cell r="A614">
            <v>614</v>
          </cell>
        </row>
        <row r="615">
          <cell r="A615">
            <v>615</v>
          </cell>
        </row>
        <row r="616">
          <cell r="A616">
            <v>616</v>
          </cell>
        </row>
        <row r="617">
          <cell r="A617">
            <v>617</v>
          </cell>
        </row>
        <row r="618">
          <cell r="A618">
            <v>618</v>
          </cell>
        </row>
        <row r="619">
          <cell r="A619">
            <v>619</v>
          </cell>
        </row>
        <row r="620">
          <cell r="A620">
            <v>620</v>
          </cell>
        </row>
        <row r="621">
          <cell r="A621">
            <v>621</v>
          </cell>
        </row>
        <row r="622">
          <cell r="A622">
            <v>622</v>
          </cell>
        </row>
        <row r="623">
          <cell r="A623">
            <v>623</v>
          </cell>
        </row>
        <row r="624">
          <cell r="A624">
            <v>624</v>
          </cell>
        </row>
        <row r="625">
          <cell r="A625">
            <v>625</v>
          </cell>
        </row>
        <row r="626">
          <cell r="A626">
            <v>626</v>
          </cell>
        </row>
        <row r="627">
          <cell r="A627">
            <v>627</v>
          </cell>
        </row>
        <row r="628">
          <cell r="A628">
            <v>628</v>
          </cell>
        </row>
        <row r="629">
          <cell r="A629">
            <v>629</v>
          </cell>
        </row>
        <row r="630">
          <cell r="A630">
            <v>630</v>
          </cell>
        </row>
        <row r="631">
          <cell r="A631">
            <v>631</v>
          </cell>
        </row>
        <row r="632">
          <cell r="A632">
            <v>632</v>
          </cell>
        </row>
        <row r="633">
          <cell r="A633">
            <v>633</v>
          </cell>
        </row>
        <row r="634">
          <cell r="A634">
            <v>634</v>
          </cell>
        </row>
        <row r="635">
          <cell r="A635">
            <v>635</v>
          </cell>
        </row>
        <row r="636">
          <cell r="A636">
            <v>636</v>
          </cell>
        </row>
        <row r="637">
          <cell r="A637">
            <v>637</v>
          </cell>
        </row>
        <row r="638">
          <cell r="A638">
            <v>638</v>
          </cell>
        </row>
        <row r="639">
          <cell r="A639">
            <v>639</v>
          </cell>
        </row>
        <row r="640">
          <cell r="A640">
            <v>640</v>
          </cell>
        </row>
        <row r="641">
          <cell r="A641">
            <v>641</v>
          </cell>
        </row>
        <row r="642">
          <cell r="A642">
            <v>642</v>
          </cell>
        </row>
        <row r="643">
          <cell r="A643">
            <v>643</v>
          </cell>
        </row>
        <row r="644">
          <cell r="A644">
            <v>644</v>
          </cell>
        </row>
        <row r="645">
          <cell r="A645">
            <v>645</v>
          </cell>
        </row>
        <row r="646">
          <cell r="A646">
            <v>646</v>
          </cell>
        </row>
        <row r="647">
          <cell r="A647">
            <v>647</v>
          </cell>
        </row>
        <row r="648">
          <cell r="A648">
            <v>648</v>
          </cell>
        </row>
        <row r="649">
          <cell r="A649">
            <v>649</v>
          </cell>
        </row>
        <row r="650">
          <cell r="A650">
            <v>650</v>
          </cell>
        </row>
        <row r="651">
          <cell r="A651">
            <v>651</v>
          </cell>
        </row>
        <row r="652">
          <cell r="A652">
            <v>652</v>
          </cell>
        </row>
        <row r="653">
          <cell r="A653">
            <v>653</v>
          </cell>
        </row>
        <row r="654">
          <cell r="A654">
            <v>654</v>
          </cell>
        </row>
        <row r="655">
          <cell r="A655">
            <v>655</v>
          </cell>
        </row>
        <row r="656">
          <cell r="A656">
            <v>656</v>
          </cell>
        </row>
        <row r="657">
          <cell r="A657">
            <v>657</v>
          </cell>
        </row>
        <row r="658">
          <cell r="A658">
            <v>658</v>
          </cell>
        </row>
        <row r="659">
          <cell r="A659">
            <v>659</v>
          </cell>
        </row>
        <row r="660">
          <cell r="A660">
            <v>660</v>
          </cell>
        </row>
        <row r="661">
          <cell r="A661">
            <v>661</v>
          </cell>
        </row>
        <row r="662">
          <cell r="A662">
            <v>662</v>
          </cell>
        </row>
        <row r="663">
          <cell r="A663">
            <v>663</v>
          </cell>
        </row>
        <row r="664">
          <cell r="A664">
            <v>664</v>
          </cell>
        </row>
        <row r="665">
          <cell r="A665">
            <v>665</v>
          </cell>
        </row>
        <row r="666">
          <cell r="A666">
            <v>666</v>
          </cell>
        </row>
        <row r="667">
          <cell r="A667">
            <v>667</v>
          </cell>
        </row>
        <row r="668">
          <cell r="A668">
            <v>668</v>
          </cell>
        </row>
        <row r="669">
          <cell r="A669">
            <v>669</v>
          </cell>
        </row>
        <row r="670">
          <cell r="A670">
            <v>670</v>
          </cell>
        </row>
        <row r="671">
          <cell r="A671">
            <v>671</v>
          </cell>
        </row>
        <row r="672">
          <cell r="A672">
            <v>672</v>
          </cell>
        </row>
        <row r="673">
          <cell r="A673">
            <v>673</v>
          </cell>
        </row>
        <row r="674">
          <cell r="A674">
            <v>674</v>
          </cell>
        </row>
        <row r="675">
          <cell r="A675">
            <v>675</v>
          </cell>
        </row>
        <row r="676">
          <cell r="A676">
            <v>676</v>
          </cell>
        </row>
        <row r="677">
          <cell r="A677">
            <v>677</v>
          </cell>
        </row>
        <row r="678">
          <cell r="A678">
            <v>678</v>
          </cell>
        </row>
        <row r="679">
          <cell r="A679">
            <v>679</v>
          </cell>
        </row>
        <row r="680">
          <cell r="A680">
            <v>680</v>
          </cell>
        </row>
        <row r="681">
          <cell r="A681">
            <v>681</v>
          </cell>
        </row>
        <row r="682">
          <cell r="A682">
            <v>682</v>
          </cell>
        </row>
        <row r="683">
          <cell r="A683">
            <v>683</v>
          </cell>
        </row>
        <row r="684">
          <cell r="A684">
            <v>684</v>
          </cell>
        </row>
        <row r="685">
          <cell r="A685">
            <v>685</v>
          </cell>
        </row>
        <row r="686">
          <cell r="A686">
            <v>686</v>
          </cell>
        </row>
        <row r="687">
          <cell r="A687">
            <v>687</v>
          </cell>
        </row>
        <row r="688">
          <cell r="A688">
            <v>688</v>
          </cell>
        </row>
        <row r="689">
          <cell r="A689">
            <v>689</v>
          </cell>
        </row>
        <row r="690">
          <cell r="A690">
            <v>690</v>
          </cell>
        </row>
        <row r="691">
          <cell r="A691">
            <v>691</v>
          </cell>
        </row>
        <row r="692">
          <cell r="A692">
            <v>692</v>
          </cell>
        </row>
        <row r="693">
          <cell r="A693">
            <v>693</v>
          </cell>
        </row>
        <row r="694">
          <cell r="A694">
            <v>694</v>
          </cell>
        </row>
        <row r="695">
          <cell r="A695">
            <v>695</v>
          </cell>
        </row>
        <row r="696">
          <cell r="A696">
            <v>696</v>
          </cell>
        </row>
        <row r="697">
          <cell r="A697">
            <v>697</v>
          </cell>
        </row>
        <row r="698">
          <cell r="A698">
            <v>698</v>
          </cell>
        </row>
        <row r="699">
          <cell r="A699">
            <v>699</v>
          </cell>
        </row>
        <row r="700">
          <cell r="A700">
            <v>700</v>
          </cell>
        </row>
        <row r="701">
          <cell r="A701">
            <v>701</v>
          </cell>
        </row>
        <row r="702">
          <cell r="A702">
            <v>702</v>
          </cell>
        </row>
        <row r="703">
          <cell r="A703">
            <v>703</v>
          </cell>
        </row>
        <row r="704">
          <cell r="A704">
            <v>704</v>
          </cell>
        </row>
        <row r="705">
          <cell r="A705">
            <v>705</v>
          </cell>
        </row>
        <row r="706">
          <cell r="A706">
            <v>706</v>
          </cell>
        </row>
        <row r="707">
          <cell r="A707">
            <v>707</v>
          </cell>
        </row>
        <row r="708">
          <cell r="A708">
            <v>708</v>
          </cell>
        </row>
        <row r="709">
          <cell r="A709">
            <v>709</v>
          </cell>
        </row>
        <row r="710">
          <cell r="A710">
            <v>710</v>
          </cell>
        </row>
        <row r="711">
          <cell r="A711">
            <v>711</v>
          </cell>
        </row>
        <row r="712">
          <cell r="A712">
            <v>712</v>
          </cell>
        </row>
        <row r="713">
          <cell r="A713">
            <v>713</v>
          </cell>
        </row>
        <row r="714">
          <cell r="A714">
            <v>714</v>
          </cell>
        </row>
        <row r="715">
          <cell r="A715">
            <v>715</v>
          </cell>
        </row>
        <row r="716">
          <cell r="A716">
            <v>716</v>
          </cell>
        </row>
        <row r="717">
          <cell r="A717">
            <v>717</v>
          </cell>
        </row>
        <row r="718">
          <cell r="A718">
            <v>718</v>
          </cell>
        </row>
        <row r="719">
          <cell r="A719">
            <v>719</v>
          </cell>
        </row>
        <row r="720">
          <cell r="A720">
            <v>720</v>
          </cell>
        </row>
        <row r="721">
          <cell r="A721">
            <v>721</v>
          </cell>
        </row>
        <row r="722">
          <cell r="A722">
            <v>722</v>
          </cell>
        </row>
        <row r="723">
          <cell r="A723">
            <v>723</v>
          </cell>
        </row>
        <row r="724">
          <cell r="A724">
            <v>724</v>
          </cell>
        </row>
        <row r="725">
          <cell r="A725">
            <v>725</v>
          </cell>
        </row>
        <row r="726">
          <cell r="A726">
            <v>726</v>
          </cell>
        </row>
        <row r="727">
          <cell r="A727">
            <v>727</v>
          </cell>
        </row>
        <row r="728">
          <cell r="A728">
            <v>728</v>
          </cell>
        </row>
        <row r="729">
          <cell r="A729">
            <v>729</v>
          </cell>
        </row>
        <row r="730">
          <cell r="A730">
            <v>730</v>
          </cell>
        </row>
        <row r="731">
          <cell r="A731">
            <v>731</v>
          </cell>
        </row>
        <row r="732">
          <cell r="A732">
            <v>732</v>
          </cell>
        </row>
        <row r="733">
          <cell r="A733">
            <v>733</v>
          </cell>
        </row>
        <row r="734">
          <cell r="A734">
            <v>734</v>
          </cell>
        </row>
        <row r="735">
          <cell r="A735">
            <v>735</v>
          </cell>
        </row>
        <row r="736">
          <cell r="A736">
            <v>736</v>
          </cell>
        </row>
        <row r="737">
          <cell r="A737">
            <v>737</v>
          </cell>
        </row>
        <row r="738">
          <cell r="A738">
            <v>738</v>
          </cell>
        </row>
        <row r="739">
          <cell r="A739">
            <v>739</v>
          </cell>
        </row>
        <row r="740">
          <cell r="A740">
            <v>740</v>
          </cell>
        </row>
        <row r="741">
          <cell r="A741">
            <v>741</v>
          </cell>
        </row>
        <row r="742">
          <cell r="A742">
            <v>742</v>
          </cell>
        </row>
        <row r="743">
          <cell r="A743">
            <v>743</v>
          </cell>
        </row>
        <row r="744">
          <cell r="A744">
            <v>744</v>
          </cell>
        </row>
        <row r="745">
          <cell r="A745">
            <v>745</v>
          </cell>
        </row>
        <row r="746">
          <cell r="A746">
            <v>746</v>
          </cell>
        </row>
        <row r="747">
          <cell r="A747">
            <v>747</v>
          </cell>
        </row>
        <row r="748">
          <cell r="A748">
            <v>748</v>
          </cell>
        </row>
        <row r="749">
          <cell r="A749">
            <v>749</v>
          </cell>
        </row>
        <row r="750">
          <cell r="A750">
            <v>750</v>
          </cell>
        </row>
        <row r="751">
          <cell r="A751">
            <v>751</v>
          </cell>
        </row>
        <row r="752">
          <cell r="A752">
            <v>752</v>
          </cell>
        </row>
        <row r="753">
          <cell r="A753">
            <v>753</v>
          </cell>
        </row>
        <row r="754">
          <cell r="A754">
            <v>754</v>
          </cell>
        </row>
        <row r="755">
          <cell r="A755">
            <v>755</v>
          </cell>
        </row>
        <row r="756">
          <cell r="A756">
            <v>756</v>
          </cell>
        </row>
        <row r="757">
          <cell r="A757">
            <v>757</v>
          </cell>
        </row>
        <row r="758">
          <cell r="A758">
            <v>758</v>
          </cell>
        </row>
        <row r="759">
          <cell r="A759">
            <v>759</v>
          </cell>
        </row>
        <row r="760">
          <cell r="A760">
            <v>760</v>
          </cell>
        </row>
        <row r="761">
          <cell r="A761">
            <v>761</v>
          </cell>
        </row>
        <row r="762">
          <cell r="A762">
            <v>762</v>
          </cell>
        </row>
        <row r="763">
          <cell r="A763">
            <v>763</v>
          </cell>
        </row>
        <row r="764">
          <cell r="A764">
            <v>764</v>
          </cell>
        </row>
        <row r="765">
          <cell r="A765">
            <v>765</v>
          </cell>
        </row>
        <row r="766">
          <cell r="A766">
            <v>766</v>
          </cell>
        </row>
        <row r="767">
          <cell r="A767">
            <v>767</v>
          </cell>
        </row>
        <row r="768">
          <cell r="A768">
            <v>768</v>
          </cell>
        </row>
        <row r="769">
          <cell r="A769">
            <v>769</v>
          </cell>
        </row>
        <row r="770">
          <cell r="A770">
            <v>770</v>
          </cell>
        </row>
        <row r="771">
          <cell r="A771">
            <v>771</v>
          </cell>
        </row>
        <row r="772">
          <cell r="A772">
            <v>772</v>
          </cell>
        </row>
        <row r="773">
          <cell r="A773">
            <v>773</v>
          </cell>
        </row>
        <row r="774">
          <cell r="A774">
            <v>774</v>
          </cell>
        </row>
        <row r="775">
          <cell r="A775">
            <v>775</v>
          </cell>
        </row>
        <row r="776">
          <cell r="A776">
            <v>776</v>
          </cell>
        </row>
        <row r="777">
          <cell r="A777">
            <v>777</v>
          </cell>
        </row>
        <row r="778">
          <cell r="A778">
            <v>778</v>
          </cell>
        </row>
        <row r="779">
          <cell r="A779">
            <v>779</v>
          </cell>
        </row>
        <row r="780">
          <cell r="A780">
            <v>780</v>
          </cell>
        </row>
        <row r="781">
          <cell r="A781">
            <v>781</v>
          </cell>
        </row>
        <row r="782">
          <cell r="A782">
            <v>782</v>
          </cell>
        </row>
        <row r="783">
          <cell r="A783">
            <v>783</v>
          </cell>
        </row>
        <row r="784">
          <cell r="A784">
            <v>784</v>
          </cell>
        </row>
        <row r="785">
          <cell r="A785">
            <v>785</v>
          </cell>
        </row>
        <row r="786">
          <cell r="A786">
            <v>786</v>
          </cell>
        </row>
        <row r="787">
          <cell r="A787">
            <v>787</v>
          </cell>
        </row>
        <row r="788">
          <cell r="A788">
            <v>788</v>
          </cell>
        </row>
        <row r="789">
          <cell r="A789">
            <v>789</v>
          </cell>
        </row>
        <row r="790">
          <cell r="A790">
            <v>790</v>
          </cell>
        </row>
        <row r="791">
          <cell r="A791">
            <v>791</v>
          </cell>
        </row>
        <row r="792">
          <cell r="A792">
            <v>792</v>
          </cell>
        </row>
        <row r="793">
          <cell r="A793">
            <v>793</v>
          </cell>
        </row>
        <row r="794">
          <cell r="A794">
            <v>794</v>
          </cell>
        </row>
        <row r="795">
          <cell r="A795">
            <v>795</v>
          </cell>
        </row>
        <row r="796">
          <cell r="A796">
            <v>796</v>
          </cell>
        </row>
        <row r="797">
          <cell r="A797">
            <v>797</v>
          </cell>
        </row>
        <row r="798">
          <cell r="A798">
            <v>798</v>
          </cell>
        </row>
        <row r="799">
          <cell r="A799">
            <v>799</v>
          </cell>
        </row>
        <row r="800">
          <cell r="A800">
            <v>800</v>
          </cell>
        </row>
        <row r="801">
          <cell r="A801">
            <v>801</v>
          </cell>
        </row>
        <row r="802">
          <cell r="A802">
            <v>802</v>
          </cell>
        </row>
        <row r="803">
          <cell r="A803">
            <v>803</v>
          </cell>
        </row>
        <row r="804">
          <cell r="A804">
            <v>804</v>
          </cell>
        </row>
        <row r="805">
          <cell r="A805">
            <v>805</v>
          </cell>
        </row>
        <row r="806">
          <cell r="A806">
            <v>806</v>
          </cell>
        </row>
        <row r="807">
          <cell r="A807">
            <v>807</v>
          </cell>
        </row>
        <row r="808">
          <cell r="A808">
            <v>808</v>
          </cell>
        </row>
        <row r="809">
          <cell r="A809">
            <v>809</v>
          </cell>
        </row>
        <row r="810">
          <cell r="A810">
            <v>810</v>
          </cell>
        </row>
        <row r="811">
          <cell r="A811">
            <v>811</v>
          </cell>
        </row>
        <row r="812">
          <cell r="A812">
            <v>812</v>
          </cell>
        </row>
        <row r="813">
          <cell r="A813">
            <v>813</v>
          </cell>
        </row>
        <row r="814">
          <cell r="A814">
            <v>814</v>
          </cell>
        </row>
        <row r="815">
          <cell r="A815">
            <v>815</v>
          </cell>
        </row>
        <row r="816">
          <cell r="A816">
            <v>816</v>
          </cell>
        </row>
        <row r="817">
          <cell r="A817">
            <v>817</v>
          </cell>
        </row>
        <row r="818">
          <cell r="A818">
            <v>818</v>
          </cell>
        </row>
        <row r="819">
          <cell r="A819">
            <v>819</v>
          </cell>
        </row>
        <row r="820">
          <cell r="A820">
            <v>820</v>
          </cell>
        </row>
        <row r="821">
          <cell r="A821">
            <v>821</v>
          </cell>
        </row>
        <row r="822">
          <cell r="A822">
            <v>822</v>
          </cell>
        </row>
        <row r="823">
          <cell r="A823">
            <v>823</v>
          </cell>
        </row>
        <row r="824">
          <cell r="A824">
            <v>824</v>
          </cell>
        </row>
        <row r="825">
          <cell r="A825">
            <v>825</v>
          </cell>
        </row>
        <row r="826">
          <cell r="A826">
            <v>826</v>
          </cell>
        </row>
        <row r="827">
          <cell r="A827">
            <v>827</v>
          </cell>
        </row>
        <row r="828">
          <cell r="A828">
            <v>828</v>
          </cell>
        </row>
        <row r="829">
          <cell r="A829">
            <v>829</v>
          </cell>
        </row>
        <row r="830">
          <cell r="A830">
            <v>830</v>
          </cell>
        </row>
        <row r="831">
          <cell r="A831">
            <v>831</v>
          </cell>
        </row>
        <row r="832">
          <cell r="A832">
            <v>832</v>
          </cell>
        </row>
        <row r="833">
          <cell r="A833">
            <v>833</v>
          </cell>
        </row>
        <row r="834">
          <cell r="A834">
            <v>834</v>
          </cell>
        </row>
        <row r="835">
          <cell r="A835">
            <v>835</v>
          </cell>
        </row>
        <row r="836">
          <cell r="A836">
            <v>836</v>
          </cell>
        </row>
        <row r="837">
          <cell r="A837">
            <v>837</v>
          </cell>
        </row>
        <row r="838">
          <cell r="A838">
            <v>838</v>
          </cell>
        </row>
        <row r="839">
          <cell r="A839">
            <v>839</v>
          </cell>
        </row>
        <row r="840">
          <cell r="A840">
            <v>840</v>
          </cell>
        </row>
        <row r="841">
          <cell r="A841">
            <v>841</v>
          </cell>
        </row>
        <row r="842">
          <cell r="A842">
            <v>842</v>
          </cell>
        </row>
        <row r="843">
          <cell r="A843">
            <v>843</v>
          </cell>
        </row>
        <row r="844">
          <cell r="A844">
            <v>844</v>
          </cell>
        </row>
        <row r="845">
          <cell r="A845">
            <v>845</v>
          </cell>
        </row>
        <row r="846">
          <cell r="A846">
            <v>846</v>
          </cell>
        </row>
        <row r="847">
          <cell r="A847">
            <v>847</v>
          </cell>
        </row>
        <row r="848">
          <cell r="A848">
            <v>848</v>
          </cell>
        </row>
        <row r="849">
          <cell r="A849">
            <v>849</v>
          </cell>
        </row>
        <row r="850">
          <cell r="A850">
            <v>850</v>
          </cell>
        </row>
        <row r="851">
          <cell r="A851">
            <v>851</v>
          </cell>
        </row>
        <row r="852">
          <cell r="A852">
            <v>852</v>
          </cell>
        </row>
        <row r="853">
          <cell r="A853">
            <v>853</v>
          </cell>
        </row>
        <row r="854">
          <cell r="A854">
            <v>854</v>
          </cell>
        </row>
        <row r="855">
          <cell r="A855">
            <v>855</v>
          </cell>
        </row>
        <row r="856">
          <cell r="A856">
            <v>856</v>
          </cell>
        </row>
        <row r="857">
          <cell r="A857">
            <v>857</v>
          </cell>
        </row>
        <row r="858">
          <cell r="A858">
            <v>858</v>
          </cell>
        </row>
        <row r="859">
          <cell r="A859">
            <v>859</v>
          </cell>
        </row>
        <row r="860">
          <cell r="A860">
            <v>860</v>
          </cell>
        </row>
        <row r="861">
          <cell r="A861">
            <v>861</v>
          </cell>
        </row>
        <row r="862">
          <cell r="A862">
            <v>862</v>
          </cell>
        </row>
        <row r="863">
          <cell r="A863">
            <v>863</v>
          </cell>
        </row>
        <row r="864">
          <cell r="A864">
            <v>864</v>
          </cell>
        </row>
        <row r="865">
          <cell r="A865">
            <v>865</v>
          </cell>
        </row>
        <row r="866">
          <cell r="A866">
            <v>866</v>
          </cell>
        </row>
        <row r="867">
          <cell r="A867">
            <v>867</v>
          </cell>
        </row>
        <row r="868">
          <cell r="A868">
            <v>868</v>
          </cell>
        </row>
        <row r="869">
          <cell r="A869">
            <v>869</v>
          </cell>
        </row>
        <row r="870">
          <cell r="A870">
            <v>870</v>
          </cell>
        </row>
        <row r="871">
          <cell r="A871">
            <v>871</v>
          </cell>
        </row>
        <row r="872">
          <cell r="A872">
            <v>872</v>
          </cell>
        </row>
        <row r="873">
          <cell r="A873">
            <v>873</v>
          </cell>
        </row>
        <row r="874">
          <cell r="A874">
            <v>874</v>
          </cell>
        </row>
        <row r="875">
          <cell r="A875">
            <v>875</v>
          </cell>
        </row>
        <row r="876">
          <cell r="A876">
            <v>876</v>
          </cell>
        </row>
        <row r="877">
          <cell r="A877">
            <v>877</v>
          </cell>
        </row>
        <row r="878">
          <cell r="A878">
            <v>878</v>
          </cell>
        </row>
        <row r="879">
          <cell r="A879">
            <v>879</v>
          </cell>
        </row>
        <row r="880">
          <cell r="A880">
            <v>880</v>
          </cell>
        </row>
        <row r="881">
          <cell r="A881">
            <v>881</v>
          </cell>
        </row>
        <row r="882">
          <cell r="A882">
            <v>882</v>
          </cell>
        </row>
        <row r="883">
          <cell r="A883">
            <v>883</v>
          </cell>
        </row>
        <row r="884">
          <cell r="A884">
            <v>884</v>
          </cell>
        </row>
        <row r="885">
          <cell r="A885">
            <v>885</v>
          </cell>
        </row>
        <row r="886">
          <cell r="A886">
            <v>886</v>
          </cell>
        </row>
        <row r="887">
          <cell r="A887">
            <v>887</v>
          </cell>
        </row>
        <row r="888">
          <cell r="A888">
            <v>888</v>
          </cell>
        </row>
        <row r="889">
          <cell r="A889">
            <v>889</v>
          </cell>
        </row>
        <row r="890">
          <cell r="A890">
            <v>890</v>
          </cell>
        </row>
        <row r="891">
          <cell r="A891">
            <v>891</v>
          </cell>
        </row>
        <row r="892">
          <cell r="A892">
            <v>892</v>
          </cell>
        </row>
        <row r="893">
          <cell r="A893">
            <v>893</v>
          </cell>
        </row>
        <row r="894">
          <cell r="A894">
            <v>894</v>
          </cell>
        </row>
        <row r="895">
          <cell r="A895">
            <v>895</v>
          </cell>
        </row>
        <row r="896">
          <cell r="A896">
            <v>896</v>
          </cell>
        </row>
        <row r="897">
          <cell r="A897">
            <v>897</v>
          </cell>
        </row>
        <row r="898">
          <cell r="A898">
            <v>898</v>
          </cell>
        </row>
        <row r="899">
          <cell r="A899">
            <v>899</v>
          </cell>
        </row>
        <row r="900">
          <cell r="A900">
            <v>900</v>
          </cell>
        </row>
        <row r="901">
          <cell r="A901">
            <v>901</v>
          </cell>
        </row>
        <row r="902">
          <cell r="A902">
            <v>902</v>
          </cell>
        </row>
        <row r="903">
          <cell r="A903">
            <v>903</v>
          </cell>
        </row>
        <row r="904">
          <cell r="A904">
            <v>904</v>
          </cell>
        </row>
        <row r="905">
          <cell r="A905">
            <v>905</v>
          </cell>
        </row>
        <row r="906">
          <cell r="A906">
            <v>906</v>
          </cell>
        </row>
        <row r="907">
          <cell r="A907">
            <v>907</v>
          </cell>
        </row>
        <row r="908">
          <cell r="A908">
            <v>908</v>
          </cell>
        </row>
        <row r="909">
          <cell r="A909">
            <v>909</v>
          </cell>
        </row>
        <row r="910">
          <cell r="A910">
            <v>910</v>
          </cell>
        </row>
        <row r="911">
          <cell r="A911">
            <v>911</v>
          </cell>
        </row>
        <row r="912">
          <cell r="A912">
            <v>912</v>
          </cell>
        </row>
        <row r="913">
          <cell r="A913">
            <v>913</v>
          </cell>
        </row>
        <row r="914">
          <cell r="A914">
            <v>914</v>
          </cell>
        </row>
        <row r="915">
          <cell r="A915">
            <v>915</v>
          </cell>
        </row>
        <row r="916">
          <cell r="A916">
            <v>916</v>
          </cell>
        </row>
        <row r="917">
          <cell r="A917">
            <v>917</v>
          </cell>
        </row>
        <row r="918">
          <cell r="A918">
            <v>918</v>
          </cell>
        </row>
        <row r="919">
          <cell r="A919">
            <v>919</v>
          </cell>
        </row>
        <row r="920">
          <cell r="A920">
            <v>920</v>
          </cell>
        </row>
        <row r="921">
          <cell r="A921">
            <v>921</v>
          </cell>
        </row>
        <row r="922">
          <cell r="A922">
            <v>922</v>
          </cell>
        </row>
        <row r="923">
          <cell r="A923">
            <v>923</v>
          </cell>
        </row>
        <row r="924">
          <cell r="A924">
            <v>924</v>
          </cell>
        </row>
        <row r="925">
          <cell r="A925">
            <v>925</v>
          </cell>
        </row>
        <row r="926">
          <cell r="A926">
            <v>926</v>
          </cell>
        </row>
        <row r="927">
          <cell r="A927">
            <v>927</v>
          </cell>
        </row>
        <row r="928">
          <cell r="A928">
            <v>928</v>
          </cell>
        </row>
        <row r="929">
          <cell r="A929">
            <v>929</v>
          </cell>
        </row>
        <row r="930">
          <cell r="A930">
            <v>930</v>
          </cell>
        </row>
        <row r="931">
          <cell r="A931">
            <v>931</v>
          </cell>
        </row>
        <row r="932">
          <cell r="A932">
            <v>932</v>
          </cell>
        </row>
        <row r="933">
          <cell r="A933">
            <v>933</v>
          </cell>
        </row>
        <row r="934">
          <cell r="A934">
            <v>934</v>
          </cell>
        </row>
        <row r="935">
          <cell r="A935">
            <v>935</v>
          </cell>
        </row>
        <row r="936">
          <cell r="A936">
            <v>936</v>
          </cell>
        </row>
        <row r="937">
          <cell r="A937">
            <v>937</v>
          </cell>
        </row>
        <row r="938">
          <cell r="A938">
            <v>938</v>
          </cell>
        </row>
        <row r="939">
          <cell r="A939">
            <v>939</v>
          </cell>
        </row>
        <row r="940">
          <cell r="A940">
            <v>940</v>
          </cell>
        </row>
        <row r="941">
          <cell r="A941">
            <v>941</v>
          </cell>
        </row>
        <row r="942">
          <cell r="A942">
            <v>942</v>
          </cell>
        </row>
        <row r="943">
          <cell r="A943">
            <v>943</v>
          </cell>
        </row>
        <row r="944">
          <cell r="A944">
            <v>944</v>
          </cell>
        </row>
        <row r="945">
          <cell r="A945">
            <v>945</v>
          </cell>
        </row>
        <row r="946">
          <cell r="A946">
            <v>946</v>
          </cell>
        </row>
        <row r="947">
          <cell r="A947">
            <v>947</v>
          </cell>
        </row>
        <row r="948">
          <cell r="A948">
            <v>948</v>
          </cell>
        </row>
        <row r="949">
          <cell r="A949">
            <v>949</v>
          </cell>
        </row>
        <row r="950">
          <cell r="A950">
            <v>950</v>
          </cell>
        </row>
        <row r="951">
          <cell r="A951">
            <v>951</v>
          </cell>
        </row>
        <row r="952">
          <cell r="A952">
            <v>952</v>
          </cell>
        </row>
        <row r="953">
          <cell r="A953">
            <v>953</v>
          </cell>
        </row>
        <row r="954">
          <cell r="A954">
            <v>954</v>
          </cell>
        </row>
        <row r="955">
          <cell r="A955">
            <v>955</v>
          </cell>
        </row>
        <row r="956">
          <cell r="A956">
            <v>956</v>
          </cell>
        </row>
        <row r="957">
          <cell r="A957">
            <v>957</v>
          </cell>
        </row>
        <row r="958">
          <cell r="A958">
            <v>958</v>
          </cell>
        </row>
        <row r="959">
          <cell r="A959">
            <v>959</v>
          </cell>
        </row>
        <row r="960">
          <cell r="A960">
            <v>960</v>
          </cell>
        </row>
        <row r="961">
          <cell r="A961">
            <v>961</v>
          </cell>
        </row>
        <row r="962">
          <cell r="A962">
            <v>962</v>
          </cell>
        </row>
        <row r="963">
          <cell r="A963">
            <v>963</v>
          </cell>
        </row>
        <row r="964">
          <cell r="A964">
            <v>964</v>
          </cell>
        </row>
        <row r="965">
          <cell r="A965">
            <v>965</v>
          </cell>
        </row>
        <row r="966">
          <cell r="A966">
            <v>966</v>
          </cell>
        </row>
        <row r="967">
          <cell r="A967">
            <v>967</v>
          </cell>
        </row>
        <row r="968">
          <cell r="A968">
            <v>968</v>
          </cell>
        </row>
        <row r="969">
          <cell r="A969">
            <v>969</v>
          </cell>
        </row>
        <row r="970">
          <cell r="A970">
            <v>970</v>
          </cell>
        </row>
        <row r="971">
          <cell r="A971">
            <v>971</v>
          </cell>
        </row>
        <row r="972">
          <cell r="A972">
            <v>972</v>
          </cell>
        </row>
        <row r="973">
          <cell r="A973">
            <v>973</v>
          </cell>
        </row>
        <row r="974">
          <cell r="A974">
            <v>974</v>
          </cell>
        </row>
        <row r="975">
          <cell r="A975">
            <v>975</v>
          </cell>
        </row>
        <row r="976">
          <cell r="A976">
            <v>976</v>
          </cell>
        </row>
        <row r="977">
          <cell r="A977">
            <v>977</v>
          </cell>
        </row>
        <row r="978">
          <cell r="A978">
            <v>978</v>
          </cell>
        </row>
        <row r="979">
          <cell r="A979">
            <v>979</v>
          </cell>
        </row>
        <row r="980">
          <cell r="A980">
            <v>980</v>
          </cell>
        </row>
        <row r="981">
          <cell r="A981">
            <v>981</v>
          </cell>
        </row>
        <row r="982">
          <cell r="A982">
            <v>982</v>
          </cell>
        </row>
        <row r="983">
          <cell r="A983">
            <v>983</v>
          </cell>
        </row>
        <row r="984">
          <cell r="A984">
            <v>984</v>
          </cell>
        </row>
        <row r="985">
          <cell r="A985">
            <v>985</v>
          </cell>
        </row>
        <row r="986">
          <cell r="A986">
            <v>986</v>
          </cell>
        </row>
        <row r="987">
          <cell r="A987">
            <v>987</v>
          </cell>
        </row>
        <row r="988">
          <cell r="A988">
            <v>988</v>
          </cell>
        </row>
        <row r="989">
          <cell r="A989">
            <v>989</v>
          </cell>
        </row>
        <row r="990">
          <cell r="A990">
            <v>990</v>
          </cell>
        </row>
        <row r="991">
          <cell r="A991">
            <v>991</v>
          </cell>
        </row>
        <row r="992">
          <cell r="A992">
            <v>992</v>
          </cell>
        </row>
        <row r="993">
          <cell r="A993">
            <v>993</v>
          </cell>
        </row>
        <row r="994">
          <cell r="A994">
            <v>994</v>
          </cell>
        </row>
        <row r="995">
          <cell r="A995">
            <v>995</v>
          </cell>
        </row>
        <row r="996">
          <cell r="A996">
            <v>996</v>
          </cell>
        </row>
        <row r="997">
          <cell r="A997">
            <v>997</v>
          </cell>
        </row>
        <row r="998">
          <cell r="A998">
            <v>998</v>
          </cell>
        </row>
        <row r="999">
          <cell r="A999">
            <v>999</v>
          </cell>
        </row>
        <row r="1000">
          <cell r="A1000">
            <v>1000</v>
          </cell>
        </row>
        <row r="1001">
          <cell r="A1001">
            <v>1001</v>
          </cell>
        </row>
        <row r="1002">
          <cell r="A1002">
            <v>1002</v>
          </cell>
        </row>
        <row r="1003">
          <cell r="A1003">
            <v>1003</v>
          </cell>
        </row>
        <row r="1004">
          <cell r="A1004">
            <v>1004</v>
          </cell>
        </row>
        <row r="1005">
          <cell r="A1005">
            <v>1005</v>
          </cell>
        </row>
        <row r="1006">
          <cell r="A1006">
            <v>1006</v>
          </cell>
        </row>
        <row r="1007">
          <cell r="A1007">
            <v>1007</v>
          </cell>
        </row>
        <row r="1008">
          <cell r="A1008">
            <v>1008</v>
          </cell>
        </row>
        <row r="1009">
          <cell r="A1009">
            <v>1009</v>
          </cell>
        </row>
        <row r="1010">
          <cell r="A1010">
            <v>1010</v>
          </cell>
        </row>
        <row r="1011">
          <cell r="A1011">
            <v>1011</v>
          </cell>
        </row>
        <row r="1012">
          <cell r="A1012">
            <v>1012</v>
          </cell>
        </row>
        <row r="1013">
          <cell r="A1013">
            <v>1013</v>
          </cell>
        </row>
        <row r="1014">
          <cell r="A1014">
            <v>1014</v>
          </cell>
        </row>
        <row r="1015">
          <cell r="A1015">
            <v>1015</v>
          </cell>
        </row>
        <row r="1016">
          <cell r="A1016">
            <v>1016</v>
          </cell>
        </row>
        <row r="1017">
          <cell r="A1017">
            <v>1017</v>
          </cell>
        </row>
        <row r="1018">
          <cell r="A1018">
            <v>1018</v>
          </cell>
        </row>
        <row r="1019">
          <cell r="A1019">
            <v>1019</v>
          </cell>
        </row>
        <row r="1020">
          <cell r="A1020">
            <v>1020</v>
          </cell>
        </row>
        <row r="1021">
          <cell r="A1021">
            <v>1021</v>
          </cell>
        </row>
        <row r="1022">
          <cell r="A1022">
            <v>1022</v>
          </cell>
        </row>
        <row r="1023">
          <cell r="A1023">
            <v>1023</v>
          </cell>
        </row>
        <row r="1024">
          <cell r="A1024">
            <v>1024</v>
          </cell>
        </row>
        <row r="1025">
          <cell r="A1025">
            <v>1025</v>
          </cell>
        </row>
        <row r="1026">
          <cell r="A1026">
            <v>1026</v>
          </cell>
        </row>
        <row r="1027">
          <cell r="A1027">
            <v>1027</v>
          </cell>
        </row>
        <row r="1028">
          <cell r="A1028">
            <v>1028</v>
          </cell>
        </row>
        <row r="1029">
          <cell r="A1029">
            <v>1029</v>
          </cell>
        </row>
        <row r="1030">
          <cell r="A1030">
            <v>1030</v>
          </cell>
        </row>
        <row r="1031">
          <cell r="A1031">
            <v>1031</v>
          </cell>
        </row>
        <row r="1032">
          <cell r="A1032">
            <v>1032</v>
          </cell>
        </row>
        <row r="1033">
          <cell r="A1033">
            <v>1033</v>
          </cell>
        </row>
        <row r="1034">
          <cell r="A1034">
            <v>1034</v>
          </cell>
        </row>
        <row r="1035">
          <cell r="A1035">
            <v>1035</v>
          </cell>
        </row>
        <row r="1036">
          <cell r="A1036">
            <v>1036</v>
          </cell>
        </row>
        <row r="1037">
          <cell r="A1037">
            <v>1037</v>
          </cell>
        </row>
        <row r="1038">
          <cell r="A1038">
            <v>1038</v>
          </cell>
        </row>
        <row r="1039">
          <cell r="A1039">
            <v>1039</v>
          </cell>
        </row>
        <row r="1040">
          <cell r="A1040">
            <v>1040</v>
          </cell>
        </row>
        <row r="1041">
          <cell r="A1041">
            <v>1041</v>
          </cell>
        </row>
        <row r="1042">
          <cell r="A1042">
            <v>1042</v>
          </cell>
        </row>
        <row r="1043">
          <cell r="A1043">
            <v>1043</v>
          </cell>
        </row>
        <row r="1044">
          <cell r="A1044">
            <v>1044</v>
          </cell>
        </row>
        <row r="1045">
          <cell r="A1045">
            <v>1045</v>
          </cell>
        </row>
        <row r="1046">
          <cell r="A1046">
            <v>1046</v>
          </cell>
        </row>
        <row r="1047">
          <cell r="A1047">
            <v>1047</v>
          </cell>
        </row>
        <row r="1048">
          <cell r="A1048">
            <v>1048</v>
          </cell>
        </row>
        <row r="1049">
          <cell r="A1049">
            <v>1049</v>
          </cell>
        </row>
        <row r="1050">
          <cell r="A1050">
            <v>1050</v>
          </cell>
        </row>
        <row r="1051">
          <cell r="A1051">
            <v>1051</v>
          </cell>
        </row>
        <row r="1052">
          <cell r="A1052">
            <v>1052</v>
          </cell>
        </row>
        <row r="1053">
          <cell r="A1053">
            <v>1053</v>
          </cell>
        </row>
        <row r="1054">
          <cell r="A1054">
            <v>1054</v>
          </cell>
        </row>
        <row r="1055">
          <cell r="A1055">
            <v>1055</v>
          </cell>
        </row>
        <row r="1056">
          <cell r="A1056">
            <v>1056</v>
          </cell>
        </row>
        <row r="1057">
          <cell r="A1057">
            <v>1057</v>
          </cell>
        </row>
        <row r="1058">
          <cell r="A1058">
            <v>1058</v>
          </cell>
        </row>
        <row r="1059">
          <cell r="A1059">
            <v>1059</v>
          </cell>
        </row>
        <row r="1060">
          <cell r="A1060">
            <v>1060</v>
          </cell>
        </row>
        <row r="1061">
          <cell r="A1061">
            <v>1061</v>
          </cell>
        </row>
        <row r="1062">
          <cell r="A1062">
            <v>1062</v>
          </cell>
        </row>
        <row r="1063">
          <cell r="A1063">
            <v>1063</v>
          </cell>
        </row>
        <row r="1064">
          <cell r="A1064">
            <v>1064</v>
          </cell>
        </row>
        <row r="1065">
          <cell r="A1065">
            <v>1065</v>
          </cell>
        </row>
        <row r="1066">
          <cell r="A1066">
            <v>1066</v>
          </cell>
        </row>
        <row r="1067">
          <cell r="A1067">
            <v>1067</v>
          </cell>
        </row>
        <row r="1068">
          <cell r="A1068">
            <v>1068</v>
          </cell>
        </row>
        <row r="1069">
          <cell r="A1069">
            <v>1069</v>
          </cell>
        </row>
        <row r="1070">
          <cell r="A1070">
            <v>1070</v>
          </cell>
        </row>
        <row r="1071">
          <cell r="A1071">
            <v>1071</v>
          </cell>
        </row>
        <row r="1072">
          <cell r="A1072">
            <v>1072</v>
          </cell>
        </row>
        <row r="1073">
          <cell r="A1073">
            <v>1073</v>
          </cell>
        </row>
        <row r="1074">
          <cell r="A1074">
            <v>1074</v>
          </cell>
        </row>
        <row r="1075">
          <cell r="A1075">
            <v>1075</v>
          </cell>
        </row>
        <row r="1076">
          <cell r="A1076">
            <v>1076</v>
          </cell>
        </row>
        <row r="1077">
          <cell r="A1077">
            <v>1077</v>
          </cell>
        </row>
        <row r="1078">
          <cell r="A1078">
            <v>1078</v>
          </cell>
        </row>
        <row r="1079">
          <cell r="A1079">
            <v>1079</v>
          </cell>
        </row>
        <row r="1080">
          <cell r="A1080">
            <v>1080</v>
          </cell>
        </row>
        <row r="1081">
          <cell r="A1081">
            <v>1081</v>
          </cell>
        </row>
        <row r="1082">
          <cell r="A1082">
            <v>1082</v>
          </cell>
        </row>
        <row r="1083">
          <cell r="A1083">
            <v>1083</v>
          </cell>
        </row>
        <row r="1084">
          <cell r="A1084">
            <v>1084</v>
          </cell>
        </row>
        <row r="1085">
          <cell r="A1085">
            <v>1085</v>
          </cell>
        </row>
        <row r="1086">
          <cell r="A1086">
            <v>1086</v>
          </cell>
        </row>
        <row r="1087">
          <cell r="A1087">
            <v>1087</v>
          </cell>
        </row>
        <row r="1088">
          <cell r="A1088">
            <v>1088</v>
          </cell>
        </row>
        <row r="1089">
          <cell r="A1089">
            <v>1089</v>
          </cell>
        </row>
        <row r="1090">
          <cell r="A1090">
            <v>1090</v>
          </cell>
        </row>
        <row r="1091">
          <cell r="A1091">
            <v>1091</v>
          </cell>
        </row>
        <row r="1092">
          <cell r="A1092">
            <v>1092</v>
          </cell>
        </row>
        <row r="1093">
          <cell r="A1093">
            <v>1093</v>
          </cell>
        </row>
        <row r="1094">
          <cell r="A1094">
            <v>1094</v>
          </cell>
        </row>
        <row r="1095">
          <cell r="A1095">
            <v>1095</v>
          </cell>
        </row>
        <row r="1096">
          <cell r="A1096">
            <v>1096</v>
          </cell>
        </row>
        <row r="1097">
          <cell r="A1097">
            <v>1097</v>
          </cell>
        </row>
        <row r="1098">
          <cell r="A1098">
            <v>1098</v>
          </cell>
        </row>
        <row r="1099">
          <cell r="A1099">
            <v>1099</v>
          </cell>
        </row>
        <row r="1100">
          <cell r="A1100">
            <v>1100</v>
          </cell>
        </row>
        <row r="1101">
          <cell r="A1101">
            <v>1101</v>
          </cell>
        </row>
        <row r="1102">
          <cell r="A1102">
            <v>1102</v>
          </cell>
        </row>
        <row r="1103">
          <cell r="A1103">
            <v>1103</v>
          </cell>
        </row>
        <row r="1104">
          <cell r="A1104">
            <v>1104</v>
          </cell>
        </row>
        <row r="1105">
          <cell r="A1105">
            <v>1105</v>
          </cell>
        </row>
        <row r="1106">
          <cell r="A1106">
            <v>1106</v>
          </cell>
        </row>
        <row r="1107">
          <cell r="A1107">
            <v>1107</v>
          </cell>
        </row>
        <row r="1108">
          <cell r="A1108">
            <v>1108</v>
          </cell>
        </row>
        <row r="1109">
          <cell r="A1109">
            <v>1109</v>
          </cell>
        </row>
        <row r="1110">
          <cell r="A1110">
            <v>1110</v>
          </cell>
        </row>
        <row r="1111">
          <cell r="A1111">
            <v>1111</v>
          </cell>
        </row>
        <row r="1112">
          <cell r="A1112">
            <v>1112</v>
          </cell>
        </row>
        <row r="1113">
          <cell r="A1113">
            <v>1113</v>
          </cell>
        </row>
        <row r="1114">
          <cell r="A1114">
            <v>1114</v>
          </cell>
        </row>
        <row r="1115">
          <cell r="A1115">
            <v>1115</v>
          </cell>
        </row>
        <row r="1116">
          <cell r="A1116">
            <v>1116</v>
          </cell>
        </row>
        <row r="1117">
          <cell r="A1117">
            <v>1117</v>
          </cell>
        </row>
        <row r="1118">
          <cell r="A1118">
            <v>1118</v>
          </cell>
        </row>
        <row r="1119">
          <cell r="A1119">
            <v>1119</v>
          </cell>
        </row>
        <row r="1120">
          <cell r="A1120">
            <v>1120</v>
          </cell>
        </row>
        <row r="1121">
          <cell r="A1121">
            <v>1121</v>
          </cell>
        </row>
        <row r="1122">
          <cell r="A1122">
            <v>1122</v>
          </cell>
        </row>
        <row r="1123">
          <cell r="A1123">
            <v>1123</v>
          </cell>
        </row>
        <row r="1124">
          <cell r="A1124">
            <v>1124</v>
          </cell>
        </row>
        <row r="1125">
          <cell r="A1125">
            <v>1125</v>
          </cell>
        </row>
        <row r="1126">
          <cell r="A1126">
            <v>1126</v>
          </cell>
        </row>
        <row r="1127">
          <cell r="A1127">
            <v>1127</v>
          </cell>
        </row>
        <row r="1128">
          <cell r="A1128">
            <v>1128</v>
          </cell>
        </row>
        <row r="1129">
          <cell r="A1129">
            <v>1129</v>
          </cell>
        </row>
        <row r="1130">
          <cell r="A1130">
            <v>1130</v>
          </cell>
        </row>
        <row r="1131">
          <cell r="A1131">
            <v>1131</v>
          </cell>
        </row>
        <row r="1132">
          <cell r="A1132">
            <v>1132</v>
          </cell>
        </row>
        <row r="1133">
          <cell r="A1133">
            <v>1133</v>
          </cell>
        </row>
        <row r="1134">
          <cell r="A1134">
            <v>1134</v>
          </cell>
        </row>
        <row r="1135">
          <cell r="A1135">
            <v>1135</v>
          </cell>
        </row>
        <row r="1136">
          <cell r="A1136">
            <v>1136</v>
          </cell>
        </row>
        <row r="1137">
          <cell r="A1137">
            <v>1137</v>
          </cell>
        </row>
        <row r="1138">
          <cell r="A1138">
            <v>1138</v>
          </cell>
        </row>
        <row r="1139">
          <cell r="A1139">
            <v>1139</v>
          </cell>
        </row>
        <row r="1140">
          <cell r="A1140">
            <v>1140</v>
          </cell>
        </row>
        <row r="1141">
          <cell r="A1141">
            <v>1141</v>
          </cell>
        </row>
        <row r="1142">
          <cell r="A1142">
            <v>1142</v>
          </cell>
        </row>
        <row r="1143">
          <cell r="A1143">
            <v>1143</v>
          </cell>
        </row>
        <row r="1144">
          <cell r="A1144">
            <v>1144</v>
          </cell>
        </row>
        <row r="1145">
          <cell r="A1145">
            <v>1145</v>
          </cell>
        </row>
        <row r="1146">
          <cell r="A1146">
            <v>1146</v>
          </cell>
        </row>
        <row r="1147">
          <cell r="A1147">
            <v>1147</v>
          </cell>
        </row>
        <row r="1148">
          <cell r="A1148">
            <v>1148</v>
          </cell>
        </row>
        <row r="1149">
          <cell r="A1149">
            <v>1149</v>
          </cell>
        </row>
        <row r="1150">
          <cell r="A1150">
            <v>1150</v>
          </cell>
        </row>
        <row r="1151">
          <cell r="A1151">
            <v>1151</v>
          </cell>
        </row>
        <row r="1152">
          <cell r="A1152">
            <v>1152</v>
          </cell>
        </row>
        <row r="1153">
          <cell r="A1153">
            <v>1153</v>
          </cell>
        </row>
        <row r="1154">
          <cell r="A1154">
            <v>1154</v>
          </cell>
        </row>
        <row r="1155">
          <cell r="A1155">
            <v>1155</v>
          </cell>
        </row>
        <row r="1156">
          <cell r="A1156">
            <v>1156</v>
          </cell>
        </row>
        <row r="1157">
          <cell r="A1157">
            <v>1157</v>
          </cell>
        </row>
        <row r="1158">
          <cell r="A1158">
            <v>1158</v>
          </cell>
        </row>
        <row r="1159">
          <cell r="A1159">
            <v>1159</v>
          </cell>
        </row>
        <row r="1160">
          <cell r="A1160">
            <v>1160</v>
          </cell>
        </row>
        <row r="1161">
          <cell r="A1161">
            <v>1161</v>
          </cell>
        </row>
        <row r="1162">
          <cell r="A1162">
            <v>1162</v>
          </cell>
        </row>
        <row r="1163">
          <cell r="A1163">
            <v>1163</v>
          </cell>
        </row>
        <row r="1164">
          <cell r="A1164">
            <v>1164</v>
          </cell>
        </row>
        <row r="1165">
          <cell r="A1165">
            <v>1165</v>
          </cell>
        </row>
        <row r="1166">
          <cell r="A1166">
            <v>1166</v>
          </cell>
        </row>
        <row r="1167">
          <cell r="A1167">
            <v>1167</v>
          </cell>
        </row>
        <row r="1168">
          <cell r="A1168">
            <v>1168</v>
          </cell>
        </row>
        <row r="1169">
          <cell r="A1169">
            <v>1169</v>
          </cell>
        </row>
        <row r="1170">
          <cell r="A1170">
            <v>1170</v>
          </cell>
        </row>
        <row r="1171">
          <cell r="A1171">
            <v>1171</v>
          </cell>
        </row>
        <row r="1172">
          <cell r="A1172">
            <v>1172</v>
          </cell>
        </row>
        <row r="1173">
          <cell r="A1173">
            <v>1173</v>
          </cell>
        </row>
        <row r="1174">
          <cell r="A1174">
            <v>1174</v>
          </cell>
        </row>
        <row r="1175">
          <cell r="A1175">
            <v>1175</v>
          </cell>
        </row>
        <row r="1176">
          <cell r="A1176">
            <v>1176</v>
          </cell>
        </row>
        <row r="1177">
          <cell r="A1177">
            <v>1177</v>
          </cell>
        </row>
        <row r="1178">
          <cell r="A1178">
            <v>1178</v>
          </cell>
        </row>
        <row r="1179">
          <cell r="A1179">
            <v>1179</v>
          </cell>
        </row>
        <row r="1180">
          <cell r="A1180">
            <v>1180</v>
          </cell>
        </row>
        <row r="1181">
          <cell r="A1181">
            <v>1181</v>
          </cell>
        </row>
        <row r="1182">
          <cell r="A1182">
            <v>1182</v>
          </cell>
        </row>
        <row r="1183">
          <cell r="A1183">
            <v>1183</v>
          </cell>
        </row>
        <row r="1184">
          <cell r="A1184">
            <v>1184</v>
          </cell>
        </row>
        <row r="1185">
          <cell r="A1185">
            <v>1185</v>
          </cell>
        </row>
        <row r="1186">
          <cell r="A1186">
            <v>1186</v>
          </cell>
        </row>
        <row r="1187">
          <cell r="A1187">
            <v>1187</v>
          </cell>
        </row>
        <row r="1188">
          <cell r="A1188">
            <v>1188</v>
          </cell>
        </row>
        <row r="1189">
          <cell r="A1189">
            <v>1189</v>
          </cell>
        </row>
        <row r="1190">
          <cell r="A1190">
            <v>1190</v>
          </cell>
        </row>
        <row r="1191">
          <cell r="A1191">
            <v>1191</v>
          </cell>
        </row>
        <row r="1192">
          <cell r="A1192">
            <v>1192</v>
          </cell>
        </row>
        <row r="1193">
          <cell r="A1193">
            <v>1193</v>
          </cell>
        </row>
        <row r="1194">
          <cell r="A1194">
            <v>1194</v>
          </cell>
        </row>
        <row r="1195">
          <cell r="A1195">
            <v>1195</v>
          </cell>
        </row>
        <row r="1196">
          <cell r="A1196">
            <v>1196</v>
          </cell>
        </row>
        <row r="1197">
          <cell r="A1197">
            <v>1197</v>
          </cell>
        </row>
        <row r="1198">
          <cell r="A1198">
            <v>1198</v>
          </cell>
        </row>
        <row r="1199">
          <cell r="A1199">
            <v>1199</v>
          </cell>
        </row>
        <row r="1200">
          <cell r="A1200">
            <v>1200</v>
          </cell>
        </row>
        <row r="1201">
          <cell r="A1201">
            <v>1201</v>
          </cell>
        </row>
        <row r="1202">
          <cell r="A1202">
            <v>1202</v>
          </cell>
        </row>
        <row r="1203">
          <cell r="A1203">
            <v>1203</v>
          </cell>
        </row>
        <row r="1204">
          <cell r="A1204">
            <v>1204</v>
          </cell>
        </row>
        <row r="1205">
          <cell r="A1205">
            <v>1205</v>
          </cell>
        </row>
        <row r="1206">
          <cell r="A1206">
            <v>1206</v>
          </cell>
        </row>
        <row r="1207">
          <cell r="A1207">
            <v>1207</v>
          </cell>
        </row>
        <row r="1208">
          <cell r="A1208">
            <v>1208</v>
          </cell>
        </row>
        <row r="1209">
          <cell r="A1209">
            <v>1209</v>
          </cell>
        </row>
        <row r="1210">
          <cell r="A1210">
            <v>1210</v>
          </cell>
        </row>
        <row r="1211">
          <cell r="A1211">
            <v>1211</v>
          </cell>
        </row>
        <row r="1212">
          <cell r="A1212">
            <v>1212</v>
          </cell>
        </row>
        <row r="1213">
          <cell r="A1213">
            <v>1213</v>
          </cell>
        </row>
        <row r="1214">
          <cell r="A1214">
            <v>1214</v>
          </cell>
        </row>
        <row r="1215">
          <cell r="A1215">
            <v>1215</v>
          </cell>
        </row>
        <row r="1216">
          <cell r="A1216">
            <v>1216</v>
          </cell>
        </row>
        <row r="1217">
          <cell r="A1217">
            <v>1217</v>
          </cell>
        </row>
        <row r="1218">
          <cell r="A1218">
            <v>1218</v>
          </cell>
        </row>
        <row r="1219">
          <cell r="A1219">
            <v>1219</v>
          </cell>
        </row>
        <row r="1220">
          <cell r="A1220">
            <v>1220</v>
          </cell>
        </row>
        <row r="1221">
          <cell r="A1221">
            <v>1221</v>
          </cell>
        </row>
        <row r="1222">
          <cell r="A1222">
            <v>1222</v>
          </cell>
        </row>
        <row r="1223">
          <cell r="A1223">
            <v>1223</v>
          </cell>
        </row>
        <row r="1224">
          <cell r="A1224">
            <v>1224</v>
          </cell>
        </row>
        <row r="1225">
          <cell r="A1225">
            <v>1225</v>
          </cell>
        </row>
        <row r="1226">
          <cell r="A1226">
            <v>1226</v>
          </cell>
        </row>
        <row r="1227">
          <cell r="A1227">
            <v>1227</v>
          </cell>
        </row>
        <row r="1228">
          <cell r="A1228">
            <v>1228</v>
          </cell>
        </row>
        <row r="1229">
          <cell r="A1229">
            <v>1229</v>
          </cell>
        </row>
        <row r="1230">
          <cell r="A1230">
            <v>1230</v>
          </cell>
        </row>
        <row r="1231">
          <cell r="A1231">
            <v>1231</v>
          </cell>
        </row>
        <row r="1232">
          <cell r="A1232">
            <v>1232</v>
          </cell>
        </row>
        <row r="1233">
          <cell r="A1233">
            <v>1233</v>
          </cell>
        </row>
        <row r="1234">
          <cell r="A1234">
            <v>1234</v>
          </cell>
        </row>
        <row r="1235">
          <cell r="A1235">
            <v>1235</v>
          </cell>
        </row>
        <row r="1236">
          <cell r="A1236">
            <v>1236</v>
          </cell>
        </row>
        <row r="1237">
          <cell r="A1237">
            <v>1237</v>
          </cell>
        </row>
        <row r="1238">
          <cell r="A1238">
            <v>1238</v>
          </cell>
        </row>
        <row r="1239">
          <cell r="A1239">
            <v>1239</v>
          </cell>
        </row>
        <row r="1240">
          <cell r="A1240">
            <v>1240</v>
          </cell>
        </row>
        <row r="1241">
          <cell r="A1241">
            <v>1241</v>
          </cell>
        </row>
        <row r="1242">
          <cell r="A1242">
            <v>1242</v>
          </cell>
        </row>
        <row r="1243">
          <cell r="A1243">
            <v>1243</v>
          </cell>
        </row>
        <row r="1244">
          <cell r="A1244">
            <v>1244</v>
          </cell>
        </row>
        <row r="1245">
          <cell r="A1245">
            <v>1245</v>
          </cell>
        </row>
        <row r="1246">
          <cell r="A1246">
            <v>1246</v>
          </cell>
        </row>
        <row r="1247">
          <cell r="A1247">
            <v>1247</v>
          </cell>
        </row>
        <row r="1248">
          <cell r="A1248">
            <v>1248</v>
          </cell>
        </row>
        <row r="1249">
          <cell r="A1249">
            <v>1249</v>
          </cell>
        </row>
        <row r="1250">
          <cell r="A1250">
            <v>1250</v>
          </cell>
        </row>
        <row r="1251">
          <cell r="A1251">
            <v>1251</v>
          </cell>
        </row>
        <row r="1252">
          <cell r="A1252">
            <v>1252</v>
          </cell>
        </row>
        <row r="1253">
          <cell r="A1253">
            <v>1253</v>
          </cell>
        </row>
        <row r="1254">
          <cell r="A1254">
            <v>1254</v>
          </cell>
        </row>
        <row r="1255">
          <cell r="A1255">
            <v>1255</v>
          </cell>
        </row>
        <row r="1256">
          <cell r="A1256">
            <v>1256</v>
          </cell>
        </row>
        <row r="1257">
          <cell r="A1257">
            <v>1257</v>
          </cell>
        </row>
        <row r="1258">
          <cell r="A1258">
            <v>1258</v>
          </cell>
        </row>
        <row r="1259">
          <cell r="A1259">
            <v>1259</v>
          </cell>
        </row>
        <row r="1260">
          <cell r="A1260">
            <v>1260</v>
          </cell>
        </row>
        <row r="1261">
          <cell r="A1261">
            <v>1261</v>
          </cell>
        </row>
        <row r="1262">
          <cell r="A1262">
            <v>1262</v>
          </cell>
        </row>
        <row r="1263">
          <cell r="A1263">
            <v>1263</v>
          </cell>
        </row>
        <row r="1264">
          <cell r="A1264">
            <v>1264</v>
          </cell>
        </row>
        <row r="1265">
          <cell r="A1265">
            <v>1265</v>
          </cell>
        </row>
        <row r="1266">
          <cell r="A1266">
            <v>1266</v>
          </cell>
        </row>
        <row r="1267">
          <cell r="A1267">
            <v>1267</v>
          </cell>
        </row>
        <row r="1268">
          <cell r="A1268">
            <v>1268</v>
          </cell>
        </row>
        <row r="1269">
          <cell r="A1269">
            <v>1269</v>
          </cell>
        </row>
        <row r="1270">
          <cell r="A1270">
            <v>1270</v>
          </cell>
        </row>
        <row r="1271">
          <cell r="A1271">
            <v>1271</v>
          </cell>
        </row>
        <row r="1272">
          <cell r="A1272">
            <v>1272</v>
          </cell>
        </row>
        <row r="1273">
          <cell r="A1273">
            <v>1273</v>
          </cell>
        </row>
        <row r="1274">
          <cell r="A1274">
            <v>1274</v>
          </cell>
        </row>
        <row r="1275">
          <cell r="A1275">
            <v>1275</v>
          </cell>
        </row>
        <row r="1276">
          <cell r="A1276">
            <v>1276</v>
          </cell>
        </row>
        <row r="1277">
          <cell r="A1277">
            <v>1277</v>
          </cell>
        </row>
        <row r="1278">
          <cell r="A1278">
            <v>1278</v>
          </cell>
        </row>
        <row r="1279">
          <cell r="A1279">
            <v>1279</v>
          </cell>
        </row>
        <row r="1280">
          <cell r="A1280">
            <v>1280</v>
          </cell>
        </row>
        <row r="1281">
          <cell r="A1281">
            <v>1281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간 선 (3)"/>
      <sheetName val="간 선 (2)"/>
      <sheetName val="전등-전열"/>
      <sheetName val="동 력"/>
      <sheetName val="MCC"/>
      <sheetName val="간 선"/>
      <sheetName val="변압기"/>
      <sheetName val="발전기(갑)"/>
      <sheetName val="발전기(을)"/>
      <sheetName val="조 도"/>
      <sheetName val="전화회선"/>
      <sheetName val="방송 AMP"/>
      <sheetName val="Sheet1"/>
      <sheetName val="Sheet2"/>
      <sheetName val="Macro(차단기)"/>
      <sheetName val="Macro(전선)"/>
      <sheetName val="Macro(전동기)"/>
      <sheetName val="0000000"/>
      <sheetName val="기초공"/>
      <sheetName val="기둥(원형)"/>
      <sheetName val="N賃率-職"/>
      <sheetName val="데이타"/>
      <sheetName val="DATA"/>
      <sheetName val="수량산출"/>
      <sheetName val="MACRO(전선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 견적서"/>
      <sheetName val="Macro(전선)"/>
      <sheetName val="조명율데이타"/>
      <sheetName val="조도계산(가로등NEW)"/>
      <sheetName val="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수량산출서(1)"/>
      <sheetName val="(1)"/>
      <sheetName val="(2)"/>
      <sheetName val="XXXXXX"/>
      <sheetName val="VXXX"/>
      <sheetName val="공사비단가"/>
      <sheetName val="시방서"/>
      <sheetName val="품셈집계표"/>
      <sheetName val="방수품셈"/>
      <sheetName val="수량총괄표"/>
      <sheetName val="맨홀청소 및 점검수량"/>
      <sheetName val="방수수량"/>
      <sheetName val="제목"/>
      <sheetName val="설계조건"/>
      <sheetName val="안정계산"/>
      <sheetName val="단면검토"/>
      <sheetName val="차액보증"/>
      <sheetName val="내역서"/>
      <sheetName val="9GNG운반"/>
      <sheetName val="Macro(전선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현설(토.철)"/>
      <sheetName val="토공견적서"/>
      <sheetName val="철콘견적서"/>
      <sheetName val="3BL공동구 수량"/>
      <sheetName val="(2)"/>
      <sheetName val="차액보증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공사원가"/>
      <sheetName val="내역서집계표"/>
      <sheetName val="내역서99-4"/>
      <sheetName val="일위대가집계표"/>
      <sheetName val="정부노임단가"/>
      <sheetName val="단가조사서"/>
      <sheetName val="견적중기"/>
      <sheetName val="중기산출근거"/>
      <sheetName val="중기집계표"/>
      <sheetName val="중기계산"/>
      <sheetName val="주입율"/>
      <sheetName val="토공일위"/>
      <sheetName val="공통일위"/>
      <sheetName val="일반토목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RCD-장비운반"/>
      <sheetName val="RCD-STAND파일압입"/>
      <sheetName val="RCD-장비이동및거치"/>
      <sheetName val="RCD-굴착(풍화암)"/>
      <sheetName val="RCD-굴착(기반암)"/>
      <sheetName val="RCD-슬라임처리"/>
      <sheetName val="RCD-말뚝조성공"/>
      <sheetName val="RCD-두부정리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가시-쓰암천공"/>
      <sheetName val="3BL공동구 수량"/>
      <sheetName val="단가표"/>
      <sheetName val="데이타"/>
      <sheetName val="식재인부"/>
      <sheetName val="일위대가목차"/>
      <sheetName val="영동(D)"/>
      <sheetName val="99-05-10-서울대관련(내역서-1수정중)"/>
      <sheetName val="계화배수"/>
      <sheetName val="가시-파으박기(디젤햄머)"/>
      <sheetName val="교통대책내역"/>
      <sheetName val="말뚝물량"/>
      <sheetName val="내역서"/>
      <sheetName val="BSD (2)"/>
      <sheetName val="Total"/>
      <sheetName val="일위대가"/>
      <sheetName val="관람석제출"/>
      <sheetName val="차액보증"/>
      <sheetName val="수량산출서"/>
      <sheetName val="Customer Databas"/>
      <sheetName val="전기일위대가"/>
      <sheetName val="대비"/>
      <sheetName val="Proposal"/>
      <sheetName val="hvac내역서(제어동)"/>
      <sheetName val="도급"/>
      <sheetName val="가공비"/>
      <sheetName val="Sheet1"/>
      <sheetName val="JUCKEYK"/>
      <sheetName val="INPUT"/>
      <sheetName val="예산M12A"/>
      <sheetName val="내역서(총)"/>
      <sheetName val="Cover"/>
      <sheetName val="full (2)"/>
      <sheetName val="토공사"/>
      <sheetName val="건축집계표"/>
      <sheetName val="단면가정"/>
      <sheetName val="unit 4"/>
      <sheetName val="교각1"/>
      <sheetName val=" 견적서"/>
      <sheetName val="세부내역"/>
      <sheetName val="CODE"/>
      <sheetName val="경비2내역"/>
      <sheetName val="금액집계"/>
      <sheetName val="N賃率-職"/>
      <sheetName val="을"/>
      <sheetName val="물량표"/>
      <sheetName val="여과지동"/>
      <sheetName val="기초자료"/>
      <sheetName val="GRDBS"/>
      <sheetName val="보도경계블럭"/>
      <sheetName val="수량산출"/>
      <sheetName val="단면(RW1)"/>
      <sheetName val="설계서"/>
      <sheetName val="건축원가계산서"/>
      <sheetName val="토목"/>
      <sheetName val="BSD _2_"/>
      <sheetName val="20관리비율"/>
      <sheetName val="wall"/>
      <sheetName val="조명시설"/>
      <sheetName val="금액내역서"/>
      <sheetName val="준검 내역서"/>
      <sheetName val="FB25JN"/>
      <sheetName val="서울대규장각(가시설흙막이)"/>
      <sheetName val="소비자가"/>
      <sheetName val="BID"/>
      <sheetName val="공사원가계산서"/>
      <sheetName val="RCD-두부정리_x0000_ꘄŤ_x0000__x0004__x0000__x0000__x0000__x0000__x0000__x0000_휰Ť_x0000__x0000__x0000__x0000__x0000__x0000__x0000__x0000_ꐨŤ"/>
      <sheetName val="6호기"/>
      <sheetName val="변화치수"/>
      <sheetName val="설계조건"/>
      <sheetName val="안정계산"/>
      <sheetName val="단면검토"/>
      <sheetName val="BLOCK(1)"/>
      <sheetName val="Sheet2"/>
      <sheetName val="건축"/>
      <sheetName val="원가계산"/>
      <sheetName val="직접비"/>
      <sheetName val="시추주상도"/>
      <sheetName val="DR(SUM)"/>
      <sheetName val="TL(SUM)"/>
      <sheetName val="도급잔고내역"/>
      <sheetName val="Macro(전선)"/>
      <sheetName val="투찰"/>
      <sheetName val="공사비집계"/>
      <sheetName val="건축내역"/>
      <sheetName val="공사비내역서"/>
      <sheetName val="설계개요"/>
      <sheetName val="도급양식"/>
      <sheetName val="8월현금흐름표"/>
      <sheetName val="DI1"/>
      <sheetName val="UR2-Calculation"/>
      <sheetName val="Sheet5"/>
      <sheetName val="날개벽"/>
      <sheetName val="공사비 내역 (가)"/>
      <sheetName val="토공(완충)"/>
      <sheetName val="예산서"/>
      <sheetName val="TEL"/>
      <sheetName val="견적서"/>
      <sheetName val="공사비예산서(토목분)"/>
      <sheetName val="옹벽"/>
      <sheetName val="단면치수"/>
      <sheetName val="factor"/>
      <sheetName val="내역집계표_소방"/>
      <sheetName val="#REF"/>
      <sheetName val="날개벽(좌,우=45도,75도)"/>
      <sheetName val="터파기및재료"/>
      <sheetName val="fitting"/>
      <sheetName val="소방사항"/>
      <sheetName val="CALCULATION"/>
      <sheetName val="DESIGN_CRETERIA"/>
      <sheetName val="영업소실적"/>
      <sheetName val="노원열병합  건축공사기성내역서"/>
      <sheetName val="제경비"/>
      <sheetName val="list price"/>
      <sheetName val="상 부"/>
      <sheetName val="ELECTRIC"/>
      <sheetName val="내역"/>
      <sheetName val="노임변동률"/>
      <sheetName val="danga"/>
      <sheetName val="ilch"/>
      <sheetName val="단위수량"/>
      <sheetName val="맨홀토공수량"/>
      <sheetName val="차량구입"/>
      <sheetName val="WO"/>
      <sheetName val="부표총괄"/>
      <sheetName val="지장물C"/>
      <sheetName val="수량분배표"/>
      <sheetName val="원가"/>
      <sheetName val="차수"/>
      <sheetName val="단중표"/>
      <sheetName val="7.5.2 BOQ Summary "/>
      <sheetName val="SE-611"/>
      <sheetName val="단가표 "/>
      <sheetName val="재집"/>
      <sheetName val="직재"/>
      <sheetName val="data1"/>
      <sheetName val="원형맨홀수량"/>
      <sheetName val="공사비총괄표"/>
      <sheetName val="전기"/>
      <sheetName val="공사개요"/>
      <sheetName val="광진통합기성내역"/>
      <sheetName val="대전월평내역"/>
      <sheetName val="출역 "/>
      <sheetName val="토사(PE)"/>
      <sheetName val="단면 (2)"/>
      <sheetName val="EACT10"/>
      <sheetName val="대우단가(풍산)"/>
      <sheetName val="RCD-STRAND_PILE_압입및굴착4"/>
      <sheetName val="RCD-STRAND_PILE_압입및굴착"/>
      <sheetName val="RCD-STRAND_PILE_압입및굴착1"/>
      <sheetName val="RCD-STRAND_PILE_압입및굴착2"/>
      <sheetName val="RCD-STRAND_PILE_압입및굴착3"/>
      <sheetName val="A-4"/>
      <sheetName val="ABUT수량-A1"/>
      <sheetName val="표지"/>
      <sheetName val="세부내역서(전기)"/>
      <sheetName val="BSD_(2)"/>
      <sheetName val="3BL공동구_수량"/>
      <sheetName val="공사비_내역_(가)"/>
      <sheetName val="Customer_Databas"/>
      <sheetName val="분전반"/>
      <sheetName val="단가조사표"/>
      <sheetName val="DATA(BAC)"/>
      <sheetName val="토공계산서(부체도로)"/>
      <sheetName val="노무비"/>
      <sheetName val="Sheet3"/>
      <sheetName val="BQ"/>
      <sheetName val="시멘트"/>
      <sheetName val="가설공사내역"/>
      <sheetName val="RCD-두부정리?ꘄŤ?_x0004_??????휰Ť????????ꐨŤ"/>
      <sheetName val="3련 BOX"/>
      <sheetName val="1.설계기준"/>
      <sheetName val="금액"/>
      <sheetName val="직노"/>
      <sheetName val="FAB별"/>
      <sheetName val="당초수량"/>
      <sheetName val="노임"/>
      <sheetName val="PAINT"/>
      <sheetName val="건축내역서"/>
      <sheetName val="Y-WORK"/>
      <sheetName val="I.설계조건"/>
      <sheetName val="COPING"/>
      <sheetName val="대치판정"/>
      <sheetName val="DATA"/>
      <sheetName val="연습"/>
      <sheetName val="전산망"/>
      <sheetName val="RCD-두부정리_x0000_ꘄŤ_x0004__x0000_휰ŤꐨŤ&amp;)[99-05-10-서울"/>
      <sheetName val="kimre scrubber"/>
      <sheetName val="견"/>
      <sheetName val="공문"/>
      <sheetName val="2.설계제원"/>
      <sheetName val="조경"/>
      <sheetName val="1.우편집중내역서"/>
      <sheetName val="부대대비"/>
      <sheetName val="냉연집계"/>
      <sheetName val="b_gunmul"/>
      <sheetName val="b_balju (2)"/>
      <sheetName val="입찰안"/>
      <sheetName val="TB-내역서"/>
      <sheetName val="RCD-두부정리?ꘄŤ_x0004_?휰ŤꐨŤ&amp;)[99-05-10-서울"/>
      <sheetName val="I一般比"/>
      <sheetName val="자재집계표"/>
      <sheetName val="부대공"/>
      <sheetName val="실행내역"/>
      <sheetName val="h-013211-2"/>
      <sheetName val="갑지1"/>
      <sheetName val="CAL"/>
      <sheetName val="dg"/>
      <sheetName val="총괄표"/>
      <sheetName val="산출내역서집계표"/>
      <sheetName val="갑지(추정)"/>
      <sheetName val="공통비"/>
      <sheetName val="FRT_O"/>
      <sheetName val="FAB_I"/>
      <sheetName val="DATE"/>
      <sheetName val="Sheet15"/>
      <sheetName val="을 2"/>
      <sheetName val="표지 (2)"/>
      <sheetName val="을지"/>
      <sheetName val="단가산출"/>
      <sheetName val="신우"/>
      <sheetName val="을 1"/>
      <sheetName val="손익분석"/>
      <sheetName val="direct"/>
      <sheetName val="wage"/>
      <sheetName val="내역서 "/>
      <sheetName val="Earthwork"/>
      <sheetName val="관급단가"/>
      <sheetName val="기본일위"/>
      <sheetName val="지급자재"/>
      <sheetName val="공통가설"/>
      <sheetName val="단가대비"/>
      <sheetName val="경산"/>
      <sheetName val="현금"/>
      <sheetName val="GiaVT"/>
      <sheetName val="gVL"/>
      <sheetName val="WORK"/>
      <sheetName val="부재예실"/>
      <sheetName val="REQDELTA"/>
      <sheetName val="A"/>
      <sheetName val="시행예산"/>
      <sheetName val="회사99"/>
      <sheetName val="입출재고현황 (2)"/>
      <sheetName val="품셈TABLE"/>
      <sheetName val="백암비스타내역"/>
      <sheetName val="간접비"/>
      <sheetName val="SUMMARY"/>
      <sheetName val="물가연동제"/>
      <sheetName val="공틀공사"/>
      <sheetName val="간선계산"/>
      <sheetName val="통합"/>
      <sheetName val="난방열교"/>
      <sheetName val="급탕열교"/>
      <sheetName val="OHU"/>
      <sheetName val="문학간접"/>
      <sheetName val="제원.설계조건"/>
      <sheetName val="기초공"/>
      <sheetName val="기둥(원형)"/>
      <sheetName val="SPEC"/>
      <sheetName val="실행예산"/>
      <sheetName val="재무가정"/>
      <sheetName val="설변물량"/>
      <sheetName val="APT내역"/>
      <sheetName val="말뚝지지력산정"/>
      <sheetName val="원가입력"/>
      <sheetName val="개요"/>
      <sheetName val="설직재-1"/>
      <sheetName val="설계명세서"/>
      <sheetName val="통신물량"/>
      <sheetName val="(2)"/>
      <sheetName val="AH-1 "/>
    </sheetNames>
    <sheetDataSet>
      <sheetData sheetId="0" refreshError="1"/>
      <sheetData sheetId="1"/>
      <sheetData sheetId="2"/>
      <sheetData sheetId="3"/>
      <sheetData sheetId="4"/>
      <sheetData sheetId="5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ITEM"/>
      <sheetName val="단가비교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DATA"/>
      <sheetName val="3BL공동구 수량"/>
      <sheetName val="부대내역"/>
      <sheetName val="정부노임단가"/>
      <sheetName val="전기일위대가"/>
      <sheetName val="WORK"/>
      <sheetName val="Sheet2"/>
      <sheetName val="ilch"/>
      <sheetName val="데이타"/>
      <sheetName val="목차"/>
      <sheetName val="BLOCK(1)"/>
      <sheetName val="오산갈곳"/>
      <sheetName val="BQ"/>
      <sheetName val="비교표"/>
      <sheetName val="기계내역"/>
      <sheetName val="단면(RW1)"/>
      <sheetName val="단가"/>
      <sheetName val="시설물일위"/>
      <sheetName val="소비자가"/>
      <sheetName val="A-4"/>
      <sheetName val="IMP(MAIN)"/>
      <sheetName val="IMP (REACTOR)"/>
      <sheetName val="설계조건"/>
      <sheetName val="날개벽(TYPE3)"/>
      <sheetName val="맨홀수량집계"/>
      <sheetName val="차액보증"/>
      <sheetName val="일위대가"/>
      <sheetName val="YES"/>
      <sheetName val="안정계산"/>
      <sheetName val="단면검토"/>
      <sheetName val="경비2내역"/>
      <sheetName val="을"/>
      <sheetName val="일위대가목차"/>
      <sheetName val="b_balju_cho"/>
      <sheetName val="조명율표"/>
      <sheetName val="수량산출"/>
      <sheetName val="일용노임단가"/>
      <sheetName val="현장관리비내역서"/>
      <sheetName val="내역서"/>
      <sheetName val="일위대가목록"/>
      <sheetName val="직노"/>
      <sheetName val="토목내역"/>
      <sheetName val="I一般比"/>
      <sheetName val="자재단가비교표"/>
      <sheetName val="Sheet4"/>
      <sheetName val="물량산출근거"/>
      <sheetName val="CONCRETE"/>
      <sheetName val="전압강하계산"/>
      <sheetName val="계산근거"/>
      <sheetName val="공통부대비"/>
      <sheetName val="투자효율분석"/>
      <sheetName val="산출근거"/>
      <sheetName val="2F 회의실견적(5_14 일대)"/>
      <sheetName val="예산서"/>
      <sheetName val="Macro(전선)"/>
      <sheetName val="월선수금"/>
      <sheetName val="woo(mac)"/>
      <sheetName val="sw1"/>
      <sheetName val="NOMUBI"/>
      <sheetName val="NEYOK"/>
      <sheetName val="#REF"/>
      <sheetName val="sum1 (2)"/>
      <sheetName val="단가대비표"/>
      <sheetName val="날개벽"/>
      <sheetName val="교각계산"/>
      <sheetName val="토공계산서(부체도로)"/>
      <sheetName val="자재단가표"/>
      <sheetName val="집1"/>
      <sheetName val="보차도경계석"/>
      <sheetName val="설산1.나"/>
      <sheetName val="본사S"/>
      <sheetName val="D-3503"/>
      <sheetName val="SORCE1"/>
      <sheetName val="가시설단위수량"/>
      <sheetName val="TABLE"/>
      <sheetName val="전체"/>
      <sheetName val="STORAGE"/>
      <sheetName val="공통(20-91)"/>
      <sheetName val="차도조도계산"/>
      <sheetName val="단면가정"/>
      <sheetName val="부재력정리"/>
      <sheetName val="포장복구집계"/>
      <sheetName val="지장물C"/>
      <sheetName val="General Data"/>
      <sheetName val="Site Expenses"/>
      <sheetName val="일위대가표 (2)"/>
      <sheetName val="남양시작동자105노65기1.3화1.2"/>
      <sheetName val="노임단가"/>
      <sheetName val="토목"/>
      <sheetName val="Testing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BID"/>
      <sheetName val="점수계산1-2"/>
      <sheetName val="설계예산서"/>
      <sheetName val="수량집계"/>
      <sheetName val="총괄"/>
      <sheetName val="가로등내역서"/>
      <sheetName val="수량산출서"/>
      <sheetName val="2000.11월설계내역"/>
      <sheetName val="터파기및재료"/>
      <sheetName val="내역"/>
      <sheetName val="집계표"/>
      <sheetName val="총괄표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입찰안"/>
      <sheetName val="단가 및 재료비"/>
      <sheetName val="준검 내역서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복구량산정 및 전용회선 사용"/>
      <sheetName val="기안"/>
      <sheetName val="갑지"/>
      <sheetName val="견적서"/>
      <sheetName val="호계"/>
      <sheetName val="제암"/>
      <sheetName val="월마트"/>
      <sheetName val="월드컵"/>
      <sheetName val="Sheet1"/>
      <sheetName val="Sheet3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봉양~조차장간고하개명(신설)"/>
      <sheetName val="주상도"/>
      <sheetName val="6호기"/>
      <sheetName val="INPUT"/>
      <sheetName val="하조서"/>
      <sheetName val="보증수수료산출"/>
      <sheetName val="기계경비"/>
      <sheetName val="1.수인터널"/>
      <sheetName val="가로등"/>
      <sheetName val="공사비예산서(토목분)"/>
      <sheetName val="수목데이타 "/>
      <sheetName val="변압기 및 발전기 용량"/>
      <sheetName val="JUCK"/>
      <sheetName val="설계내역서"/>
      <sheetName val="단가조사"/>
      <sheetName val="본선차로수량집계표"/>
      <sheetName val="일반공사"/>
      <sheetName val="대비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실행내역"/>
      <sheetName val="200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ASP포장"/>
      <sheetName val="내역서(전기)"/>
      <sheetName val="일위대가표"/>
      <sheetName val="단가산출서(기계)"/>
      <sheetName val="표지 (2)"/>
      <sheetName val="에너지동"/>
      <sheetName val="연습"/>
      <sheetName val="Total"/>
      <sheetName val="원가계산"/>
      <sheetName val="코드표"/>
      <sheetName val="Sheet1 (2)"/>
      <sheetName val="MOTOR"/>
      <sheetName val="부하계산서"/>
      <sheetName val="견적조건"/>
      <sheetName val="견적조건(을지)"/>
      <sheetName val="식생블럭단위수량"/>
      <sheetName val="예정(3)"/>
      <sheetName val="동원(3)"/>
      <sheetName val="1.설계기준"/>
      <sheetName val="터널조도"/>
      <sheetName val="노임"/>
      <sheetName val="현황CODE"/>
      <sheetName val="손익현황"/>
      <sheetName val="3차설계"/>
      <sheetName val="기둥(원형)"/>
      <sheetName val="주형"/>
      <sheetName val="ABUT수량-A1"/>
      <sheetName val="옹벽"/>
      <sheetName val="밸브설치"/>
      <sheetName val="3.바닥판설계"/>
      <sheetName val="REACTION(USD지진시)"/>
      <sheetName val="안정검토"/>
      <sheetName val="REACTION(USE평시)"/>
      <sheetName val="TYPE-A"/>
      <sheetName val="공사비집계"/>
      <sheetName val="IP좌표"/>
      <sheetName val="계화배수"/>
      <sheetName val="조명시설"/>
      <sheetName val="방음벽 기초 일반수량"/>
      <sheetName val="I.설계조건"/>
      <sheetName val="단면치수"/>
      <sheetName val="노원열병합  건축공사기성내역서"/>
      <sheetName val="단위세대"/>
      <sheetName val="TEL"/>
      <sheetName val="단가산출집계"/>
      <sheetName val="우각부보강"/>
      <sheetName val="노무"/>
      <sheetName val="방송노임"/>
      <sheetName val="SE-611"/>
      <sheetName val="단가표 "/>
      <sheetName val="일집"/>
      <sheetName val="일위"/>
      <sheetName val="소업1교"/>
      <sheetName val="을지"/>
      <sheetName val="간선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가로등부표"/>
      <sheetName val="001"/>
      <sheetName val="산출내역서집계표"/>
      <sheetName val="노무비"/>
      <sheetName val="총계"/>
      <sheetName val="매립"/>
      <sheetName val="조도계산서 (도서)"/>
      <sheetName val="LOPCALC"/>
      <sheetName val="재료"/>
      <sheetName val="제경비율"/>
      <sheetName val="MAIN_TABLE"/>
      <sheetName val="1.설계조건"/>
      <sheetName val="입찰보고"/>
      <sheetName val="건축공사"/>
      <sheetName val="1차설계변경내역"/>
      <sheetName val="수주현황2월"/>
      <sheetName val="토공유동표"/>
      <sheetName val="단면 (2)"/>
      <sheetName val="XL4Poppy"/>
      <sheetName val="교각1"/>
      <sheetName val="요율"/>
      <sheetName val="자재대"/>
      <sheetName val="아산추가1220"/>
      <sheetName val="당초"/>
      <sheetName val="3-1.CB"/>
      <sheetName val="노무비단가"/>
      <sheetName val="일위대가(가설)"/>
      <sheetName val="98지급계획"/>
      <sheetName val="본공사"/>
      <sheetName val="DANGA"/>
      <sheetName val="실행내역서"/>
      <sheetName val="인건비"/>
      <sheetName val="BID-도로"/>
      <sheetName val="내력서"/>
      <sheetName val="대창(함평)-창열"/>
      <sheetName val="대창(장성)"/>
      <sheetName val="90.03실행 "/>
      <sheetName val="자료입력"/>
      <sheetName val="3.공통공사대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AS포장복구 "/>
      <sheetName val="소요자재"/>
      <sheetName val="노무산출서"/>
      <sheetName val="ETC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토공"/>
      <sheetName val="기계경비시간당손료목록"/>
      <sheetName val="동력부하(도산)"/>
      <sheetName val="신우"/>
      <sheetName val="돌망태단위수량"/>
      <sheetName val="말뚝물량"/>
      <sheetName val="우수맨홀공제단위수량"/>
      <sheetName val="스톱로그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공구원가계산"/>
      <sheetName val="2000전체분"/>
      <sheetName val="입찰결과(DATA)"/>
      <sheetName val="일반수량"/>
      <sheetName val="Macro(차단기)"/>
      <sheetName val="일위대가표(유단가)"/>
      <sheetName val="대치판정"/>
      <sheetName val="CABLE SIZE-3"/>
      <sheetName val="EQUIP-H"/>
      <sheetName val="경비_원본"/>
      <sheetName val="가감수량"/>
      <sheetName val="맨홀수량산출"/>
      <sheetName val="기초코드"/>
      <sheetName val="하수급견적대비"/>
      <sheetName val="발주설계서(당초)"/>
      <sheetName val="총괄내역서"/>
      <sheetName val="일위대가 집계표"/>
      <sheetName val="9GNG운반"/>
      <sheetName val="횡배수관토공수량"/>
      <sheetName val="원가"/>
      <sheetName val="수문일1"/>
      <sheetName val="품셈TABLE"/>
      <sheetName val="지급자재"/>
      <sheetName val="DATA(BAC)"/>
      <sheetName val="제원.설계조건"/>
      <sheetName val="기초공"/>
      <sheetName val="노무비 근거"/>
      <sheetName val="연령현황"/>
      <sheetName val="BSD (2)"/>
      <sheetName val="품의서"/>
      <sheetName val="물가시세"/>
      <sheetName val="물가자료"/>
      <sheetName val="SG"/>
      <sheetName val="전신환매도율"/>
      <sheetName val="EACT10"/>
      <sheetName val="원가계산서 (총괄)"/>
      <sheetName val="원가계산서 (건축)"/>
      <sheetName val="(총괄집계)"/>
      <sheetName val="방음벽기초(H=4m)"/>
      <sheetName val="가공비"/>
      <sheetName val="내역서(총)"/>
      <sheetName val="DATE"/>
      <sheetName val="설계명세서"/>
      <sheetName val="관람석제출"/>
      <sheetName val="전기"/>
      <sheetName val="건축원가계산서"/>
      <sheetName val="플랜트 설치"/>
      <sheetName val="type-F"/>
      <sheetName val="SLAB"/>
      <sheetName val="변화치수"/>
      <sheetName val="2002계약현황"/>
      <sheetName val="제-노임"/>
      <sheetName val="제직재"/>
      <sheetName val="48전력선로일위"/>
      <sheetName val="unit 4"/>
      <sheetName val="AIR SHOWER(3인용)"/>
      <sheetName val="부대공Ⅱ"/>
      <sheetName val="재집"/>
      <sheetName val="직재"/>
      <sheetName val="구역화물"/>
      <sheetName val="단가일람"/>
      <sheetName val="49-119"/>
      <sheetName val="발신정보"/>
      <sheetName val="부하(성남)"/>
      <sheetName val="연부97-1"/>
      <sheetName val="갑지1"/>
      <sheetName val="J直材4"/>
      <sheetName val="기계경비(시간당)"/>
      <sheetName val="램머"/>
      <sheetName val="중기일위대가"/>
      <sheetName val="단위단가"/>
      <sheetName val="율촌법률사무소2내역"/>
      <sheetName val="지주목시비량산출서"/>
      <sheetName val="손익분석"/>
      <sheetName val="원가계산서"/>
      <sheetName val="수량"/>
      <sheetName val="포장공"/>
      <sheetName val="금리계산"/>
      <sheetName val="우배수"/>
      <sheetName val="가설건물"/>
      <sheetName val="Macro2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CTEMCOST"/>
      <sheetName val="96보완계획7.12"/>
      <sheetName val="계수시트"/>
      <sheetName val="ITB COST"/>
      <sheetName val="고분전시관"/>
      <sheetName val="설비"/>
      <sheetName val="검사조서"/>
      <sheetName val="검사원"/>
      <sheetName val="집계(총괄)"/>
      <sheetName val="구성비"/>
      <sheetName val="실적보고"/>
      <sheetName val="표준안전집계"/>
      <sheetName val="표준안전내역"/>
      <sheetName val="wall"/>
      <sheetName val="20관리비율"/>
      <sheetName val="총괄집계표"/>
      <sheetName val="점검총괄"/>
      <sheetName val="자재목록"/>
      <sheetName val="견적대비"/>
      <sheetName val="부속동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Y-WORK"/>
      <sheetName val="ITEM"/>
      <sheetName val="ITEL"/>
      <sheetName val="단가비교표"/>
      <sheetName val="Module1"/>
      <sheetName val="Module11"/>
      <sheetName val="Module13"/>
      <sheetName val="Module3"/>
      <sheetName val="Module5"/>
      <sheetName val="Module7"/>
      <sheetName val="Module9"/>
      <sheetName val="Module10"/>
      <sheetName val="Module12"/>
      <sheetName val="Module2"/>
      <sheetName val="Module4"/>
      <sheetName val="Module6"/>
      <sheetName val="Module8"/>
      <sheetName val="Module14"/>
    </sheetNames>
    <sheetDataSet>
      <sheetData sheetId="0" refreshError="1"/>
      <sheetData sheetId="1">
        <row r="22">
          <cell r="G22">
            <v>0</v>
          </cell>
          <cell r="H22">
            <v>0</v>
          </cell>
          <cell r="J22">
            <v>277</v>
          </cell>
          <cell r="K22">
            <v>0</v>
          </cell>
          <cell r="L22">
            <v>0</v>
          </cell>
        </row>
        <row r="23">
          <cell r="G23">
            <v>0</v>
          </cell>
          <cell r="H23">
            <v>0</v>
          </cell>
          <cell r="J23">
            <v>377</v>
          </cell>
          <cell r="K23">
            <v>0</v>
          </cell>
          <cell r="L23">
            <v>0</v>
          </cell>
        </row>
        <row r="24">
          <cell r="G24">
            <v>0</v>
          </cell>
          <cell r="H24">
            <v>0</v>
          </cell>
          <cell r="J24">
            <v>576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J25">
            <v>971</v>
          </cell>
          <cell r="K25">
            <v>0</v>
          </cell>
          <cell r="L25">
            <v>0</v>
          </cell>
        </row>
        <row r="26">
          <cell r="G26">
            <v>0</v>
          </cell>
          <cell r="H26">
            <v>0</v>
          </cell>
          <cell r="J26">
            <v>1348</v>
          </cell>
          <cell r="K26">
            <v>0</v>
          </cell>
          <cell r="L26">
            <v>0</v>
          </cell>
        </row>
        <row r="27">
          <cell r="G27">
            <v>0</v>
          </cell>
          <cell r="H27">
            <v>0</v>
          </cell>
          <cell r="J27">
            <v>1978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J28">
            <v>2913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J29">
            <v>3717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J30">
            <v>3753</v>
          </cell>
          <cell r="K30">
            <v>0</v>
          </cell>
          <cell r="L30">
            <v>0</v>
          </cell>
        </row>
        <row r="31">
          <cell r="G31">
            <v>0</v>
          </cell>
          <cell r="H31">
            <v>0</v>
          </cell>
          <cell r="J31">
            <v>2539</v>
          </cell>
          <cell r="K31">
            <v>0</v>
          </cell>
          <cell r="L31">
            <v>0</v>
          </cell>
        </row>
        <row r="32">
          <cell r="G32">
            <v>0</v>
          </cell>
          <cell r="H32">
            <v>0</v>
          </cell>
          <cell r="J32">
            <v>4790</v>
          </cell>
          <cell r="K32">
            <v>0</v>
          </cell>
          <cell r="L32">
            <v>0</v>
          </cell>
        </row>
        <row r="33">
          <cell r="G33">
            <v>0</v>
          </cell>
          <cell r="H33">
            <v>0</v>
          </cell>
          <cell r="J33">
            <v>90</v>
          </cell>
          <cell r="K33">
            <v>0</v>
          </cell>
          <cell r="L33">
            <v>0</v>
          </cell>
        </row>
        <row r="34">
          <cell r="G34">
            <v>0</v>
          </cell>
          <cell r="H34">
            <v>0</v>
          </cell>
          <cell r="J34">
            <v>134</v>
          </cell>
          <cell r="K34">
            <v>0</v>
          </cell>
          <cell r="L34">
            <v>0</v>
          </cell>
        </row>
        <row r="35">
          <cell r="G35">
            <v>0</v>
          </cell>
          <cell r="H35">
            <v>0</v>
          </cell>
          <cell r="J35">
            <v>238</v>
          </cell>
          <cell r="K35">
            <v>0</v>
          </cell>
          <cell r="L35">
            <v>0</v>
          </cell>
        </row>
        <row r="36">
          <cell r="G36">
            <v>0</v>
          </cell>
          <cell r="H36">
            <v>0</v>
          </cell>
          <cell r="J36">
            <v>95</v>
          </cell>
          <cell r="K36">
            <v>0</v>
          </cell>
          <cell r="L36">
            <v>0</v>
          </cell>
        </row>
        <row r="37">
          <cell r="G37">
            <v>0</v>
          </cell>
          <cell r="H37">
            <v>0</v>
          </cell>
          <cell r="J37">
            <v>140</v>
          </cell>
          <cell r="K37">
            <v>0</v>
          </cell>
          <cell r="L37">
            <v>0</v>
          </cell>
        </row>
        <row r="38">
          <cell r="G38">
            <v>0</v>
          </cell>
          <cell r="H38">
            <v>0</v>
          </cell>
          <cell r="J38">
            <v>80</v>
          </cell>
          <cell r="K38">
            <v>0</v>
          </cell>
          <cell r="L38">
            <v>0</v>
          </cell>
        </row>
        <row r="39"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>
            <v>0</v>
          </cell>
          <cell r="H40">
            <v>0</v>
          </cell>
          <cell r="J40">
            <v>533</v>
          </cell>
          <cell r="K40">
            <v>0</v>
          </cell>
          <cell r="L40">
            <v>0</v>
          </cell>
        </row>
        <row r="41">
          <cell r="G41">
            <v>0</v>
          </cell>
          <cell r="H41">
            <v>0</v>
          </cell>
          <cell r="J41">
            <v>801</v>
          </cell>
          <cell r="K41">
            <v>0</v>
          </cell>
          <cell r="L41">
            <v>0</v>
          </cell>
        </row>
        <row r="42">
          <cell r="G42">
            <v>0</v>
          </cell>
          <cell r="H42">
            <v>0</v>
          </cell>
          <cell r="J42">
            <v>1008</v>
          </cell>
          <cell r="K42">
            <v>0</v>
          </cell>
          <cell r="L42">
            <v>0</v>
          </cell>
        </row>
        <row r="43">
          <cell r="G43">
            <v>0</v>
          </cell>
          <cell r="H43">
            <v>0</v>
          </cell>
          <cell r="J43">
            <v>1800</v>
          </cell>
          <cell r="K43">
            <v>0</v>
          </cell>
          <cell r="L43">
            <v>0</v>
          </cell>
        </row>
        <row r="44">
          <cell r="G44">
            <v>0</v>
          </cell>
          <cell r="H44">
            <v>0</v>
          </cell>
          <cell r="J44">
            <v>2640</v>
          </cell>
          <cell r="K44">
            <v>0</v>
          </cell>
          <cell r="L44">
            <v>0</v>
          </cell>
        </row>
        <row r="45">
          <cell r="G45">
            <v>0</v>
          </cell>
          <cell r="H45">
            <v>0</v>
          </cell>
          <cell r="J45">
            <v>3690</v>
          </cell>
          <cell r="K45">
            <v>0</v>
          </cell>
          <cell r="L45">
            <v>0</v>
          </cell>
        </row>
        <row r="46">
          <cell r="G46">
            <v>0</v>
          </cell>
          <cell r="H46">
            <v>0</v>
          </cell>
          <cell r="J46">
            <v>762</v>
          </cell>
          <cell r="K46">
            <v>0</v>
          </cell>
          <cell r="L46">
            <v>0</v>
          </cell>
        </row>
        <row r="47">
          <cell r="G47">
            <v>0</v>
          </cell>
          <cell r="H47">
            <v>0</v>
          </cell>
          <cell r="J47">
            <v>1055</v>
          </cell>
          <cell r="K47">
            <v>0</v>
          </cell>
          <cell r="L47">
            <v>0</v>
          </cell>
        </row>
        <row r="48">
          <cell r="G48">
            <v>0</v>
          </cell>
          <cell r="H48">
            <v>0</v>
          </cell>
          <cell r="J48">
            <v>1338</v>
          </cell>
          <cell r="K48">
            <v>0</v>
          </cell>
          <cell r="L48">
            <v>0</v>
          </cell>
        </row>
        <row r="49">
          <cell r="G49">
            <v>0</v>
          </cell>
          <cell r="H49">
            <v>0</v>
          </cell>
          <cell r="J49">
            <v>2400</v>
          </cell>
          <cell r="K49">
            <v>0</v>
          </cell>
          <cell r="L49">
            <v>0</v>
          </cell>
        </row>
        <row r="50">
          <cell r="G50">
            <v>0</v>
          </cell>
          <cell r="H50">
            <v>0</v>
          </cell>
          <cell r="J50">
            <v>5202</v>
          </cell>
          <cell r="K50">
            <v>0</v>
          </cell>
          <cell r="L50">
            <v>0</v>
          </cell>
        </row>
        <row r="51">
          <cell r="G51">
            <v>0</v>
          </cell>
          <cell r="H51">
            <v>0</v>
          </cell>
          <cell r="J51">
            <v>1305</v>
          </cell>
          <cell r="K51">
            <v>0</v>
          </cell>
          <cell r="L51">
            <v>0</v>
          </cell>
        </row>
        <row r="52">
          <cell r="G52">
            <v>0</v>
          </cell>
          <cell r="H52">
            <v>0</v>
          </cell>
          <cell r="J52">
            <v>1701</v>
          </cell>
          <cell r="K52">
            <v>0</v>
          </cell>
          <cell r="L52">
            <v>0</v>
          </cell>
        </row>
        <row r="53">
          <cell r="G53">
            <v>0</v>
          </cell>
          <cell r="H53">
            <v>0</v>
          </cell>
          <cell r="J53">
            <v>3060</v>
          </cell>
          <cell r="K53">
            <v>0</v>
          </cell>
          <cell r="L53">
            <v>0</v>
          </cell>
        </row>
        <row r="54">
          <cell r="G54">
            <v>0</v>
          </cell>
          <cell r="H54">
            <v>0</v>
          </cell>
          <cell r="J54">
            <v>4086</v>
          </cell>
          <cell r="K54">
            <v>0</v>
          </cell>
          <cell r="L54">
            <v>0</v>
          </cell>
        </row>
        <row r="55">
          <cell r="G55">
            <v>0</v>
          </cell>
          <cell r="H55">
            <v>0</v>
          </cell>
          <cell r="J55">
            <v>6660</v>
          </cell>
          <cell r="K55">
            <v>0</v>
          </cell>
          <cell r="L55">
            <v>0</v>
          </cell>
        </row>
        <row r="56"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>
            <v>0</v>
          </cell>
          <cell r="H57">
            <v>0</v>
          </cell>
          <cell r="J57">
            <v>11347</v>
          </cell>
          <cell r="K57">
            <v>0</v>
          </cell>
          <cell r="L57">
            <v>0</v>
          </cell>
        </row>
        <row r="58">
          <cell r="G58">
            <v>0</v>
          </cell>
          <cell r="H58">
            <v>0</v>
          </cell>
          <cell r="J58">
            <v>21767</v>
          </cell>
          <cell r="K58">
            <v>0</v>
          </cell>
          <cell r="L58">
            <v>0</v>
          </cell>
        </row>
        <row r="59">
          <cell r="G59">
            <v>0</v>
          </cell>
          <cell r="H59">
            <v>0</v>
          </cell>
          <cell r="J59">
            <v>34041</v>
          </cell>
          <cell r="K59">
            <v>0</v>
          </cell>
          <cell r="L59">
            <v>0</v>
          </cell>
        </row>
        <row r="60">
          <cell r="G60">
            <v>0</v>
          </cell>
          <cell r="H60">
            <v>0</v>
          </cell>
          <cell r="J60">
            <v>65301</v>
          </cell>
          <cell r="K60">
            <v>0</v>
          </cell>
          <cell r="L60">
            <v>0</v>
          </cell>
        </row>
        <row r="61">
          <cell r="G61">
            <v>0</v>
          </cell>
          <cell r="H61">
            <v>0</v>
          </cell>
          <cell r="J61">
            <v>320</v>
          </cell>
          <cell r="K61">
            <v>0</v>
          </cell>
          <cell r="L61">
            <v>0</v>
          </cell>
        </row>
        <row r="62">
          <cell r="G62">
            <v>0</v>
          </cell>
          <cell r="H62">
            <v>0</v>
          </cell>
          <cell r="J62">
            <v>489</v>
          </cell>
          <cell r="K62">
            <v>0</v>
          </cell>
          <cell r="L62">
            <v>0</v>
          </cell>
        </row>
        <row r="63">
          <cell r="G63">
            <v>0</v>
          </cell>
          <cell r="H63">
            <v>0</v>
          </cell>
          <cell r="J63">
            <v>449</v>
          </cell>
          <cell r="K63">
            <v>0</v>
          </cell>
          <cell r="L63">
            <v>0</v>
          </cell>
        </row>
        <row r="64">
          <cell r="G64">
            <v>0</v>
          </cell>
          <cell r="H64">
            <v>0</v>
          </cell>
          <cell r="J64">
            <v>728</v>
          </cell>
          <cell r="K64">
            <v>0</v>
          </cell>
          <cell r="L64">
            <v>0</v>
          </cell>
        </row>
        <row r="65">
          <cell r="G65">
            <v>0</v>
          </cell>
          <cell r="H65">
            <v>0</v>
          </cell>
          <cell r="J65">
            <v>653</v>
          </cell>
          <cell r="K65">
            <v>0</v>
          </cell>
          <cell r="L65">
            <v>0</v>
          </cell>
        </row>
        <row r="66">
          <cell r="G66">
            <v>0</v>
          </cell>
          <cell r="H66">
            <v>0</v>
          </cell>
          <cell r="J66">
            <v>560</v>
          </cell>
          <cell r="K66">
            <v>0</v>
          </cell>
          <cell r="L66">
            <v>0</v>
          </cell>
        </row>
        <row r="67">
          <cell r="G67">
            <v>0</v>
          </cell>
          <cell r="H67">
            <v>0</v>
          </cell>
          <cell r="J67">
            <v>360</v>
          </cell>
          <cell r="K67">
            <v>0</v>
          </cell>
          <cell r="L67">
            <v>0</v>
          </cell>
        </row>
        <row r="68">
          <cell r="G68">
            <v>0</v>
          </cell>
          <cell r="H68">
            <v>0</v>
          </cell>
          <cell r="J68">
            <v>619</v>
          </cell>
          <cell r="K68">
            <v>0</v>
          </cell>
          <cell r="L68">
            <v>0</v>
          </cell>
        </row>
        <row r="69">
          <cell r="G69">
            <v>0</v>
          </cell>
          <cell r="H69">
            <v>0</v>
          </cell>
          <cell r="J69">
            <v>783</v>
          </cell>
          <cell r="K69">
            <v>0</v>
          </cell>
          <cell r="L69">
            <v>0</v>
          </cell>
        </row>
        <row r="70">
          <cell r="G70">
            <v>0</v>
          </cell>
          <cell r="H70">
            <v>0</v>
          </cell>
          <cell r="J70">
            <v>1158</v>
          </cell>
          <cell r="K70">
            <v>0</v>
          </cell>
          <cell r="L70">
            <v>0</v>
          </cell>
        </row>
        <row r="71">
          <cell r="G71">
            <v>0</v>
          </cell>
          <cell r="H71">
            <v>0</v>
          </cell>
          <cell r="J71">
            <v>1049</v>
          </cell>
          <cell r="K71">
            <v>0</v>
          </cell>
          <cell r="L71">
            <v>0</v>
          </cell>
        </row>
        <row r="72">
          <cell r="G72">
            <v>0</v>
          </cell>
          <cell r="H72">
            <v>0</v>
          </cell>
          <cell r="J72">
            <v>1229</v>
          </cell>
          <cell r="K72">
            <v>0</v>
          </cell>
          <cell r="L72">
            <v>0</v>
          </cell>
        </row>
        <row r="73">
          <cell r="G73">
            <v>0</v>
          </cell>
          <cell r="H73">
            <v>0</v>
          </cell>
          <cell r="J73">
            <v>1605</v>
          </cell>
          <cell r="K73">
            <v>0</v>
          </cell>
          <cell r="L73">
            <v>0</v>
          </cell>
        </row>
        <row r="74">
          <cell r="G74">
            <v>0</v>
          </cell>
          <cell r="H74">
            <v>0</v>
          </cell>
          <cell r="J74">
            <v>1966</v>
          </cell>
          <cell r="K74">
            <v>0</v>
          </cell>
          <cell r="L74">
            <v>0</v>
          </cell>
        </row>
        <row r="75">
          <cell r="G75">
            <v>0</v>
          </cell>
          <cell r="H75">
            <v>0</v>
          </cell>
          <cell r="J75">
            <v>2442</v>
          </cell>
          <cell r="K75">
            <v>0</v>
          </cell>
          <cell r="L75">
            <v>0</v>
          </cell>
        </row>
        <row r="76">
          <cell r="G76">
            <v>0</v>
          </cell>
          <cell r="H76">
            <v>0</v>
          </cell>
          <cell r="J76">
            <v>3481</v>
          </cell>
          <cell r="K76">
            <v>0</v>
          </cell>
          <cell r="L76">
            <v>0</v>
          </cell>
        </row>
        <row r="77">
          <cell r="G77">
            <v>0</v>
          </cell>
          <cell r="H77">
            <v>0</v>
          </cell>
          <cell r="J77">
            <v>4900</v>
          </cell>
          <cell r="K77">
            <v>0</v>
          </cell>
          <cell r="L77">
            <v>0</v>
          </cell>
        </row>
        <row r="78">
          <cell r="G78">
            <v>0</v>
          </cell>
          <cell r="H78">
            <v>0</v>
          </cell>
          <cell r="J78">
            <v>6400</v>
          </cell>
          <cell r="K78">
            <v>0</v>
          </cell>
          <cell r="L78">
            <v>0</v>
          </cell>
        </row>
        <row r="79">
          <cell r="G79">
            <v>0</v>
          </cell>
          <cell r="H79">
            <v>0</v>
          </cell>
          <cell r="J79">
            <v>7800</v>
          </cell>
          <cell r="K79">
            <v>0</v>
          </cell>
          <cell r="L79">
            <v>0</v>
          </cell>
        </row>
        <row r="80">
          <cell r="G80">
            <v>0</v>
          </cell>
          <cell r="H80">
            <v>0</v>
          </cell>
          <cell r="J80">
            <v>220</v>
          </cell>
          <cell r="K80">
            <v>0</v>
          </cell>
          <cell r="L80">
            <v>0</v>
          </cell>
        </row>
        <row r="81">
          <cell r="G81">
            <v>0</v>
          </cell>
          <cell r="H81">
            <v>0</v>
          </cell>
          <cell r="J81">
            <v>332</v>
          </cell>
          <cell r="K81">
            <v>0</v>
          </cell>
          <cell r="L81">
            <v>0</v>
          </cell>
        </row>
        <row r="82">
          <cell r="G82">
            <v>0</v>
          </cell>
          <cell r="H82">
            <v>0</v>
          </cell>
          <cell r="J82">
            <v>400</v>
          </cell>
          <cell r="K82">
            <v>0</v>
          </cell>
          <cell r="L82">
            <v>0</v>
          </cell>
        </row>
        <row r="83">
          <cell r="G83">
            <v>0</v>
          </cell>
          <cell r="H83">
            <v>0</v>
          </cell>
          <cell r="J83">
            <v>773</v>
          </cell>
          <cell r="K83">
            <v>0</v>
          </cell>
          <cell r="L83">
            <v>0</v>
          </cell>
        </row>
        <row r="84">
          <cell r="G84">
            <v>0</v>
          </cell>
          <cell r="H84">
            <v>0</v>
          </cell>
          <cell r="J84">
            <v>1081</v>
          </cell>
          <cell r="K84">
            <v>0</v>
          </cell>
          <cell r="L84">
            <v>0</v>
          </cell>
        </row>
        <row r="85">
          <cell r="G85">
            <v>0</v>
          </cell>
          <cell r="H85">
            <v>0</v>
          </cell>
          <cell r="J85">
            <v>1414</v>
          </cell>
          <cell r="K85">
            <v>0</v>
          </cell>
          <cell r="L85">
            <v>0</v>
          </cell>
        </row>
        <row r="86">
          <cell r="G86">
            <v>0</v>
          </cell>
          <cell r="H86">
            <v>0</v>
          </cell>
          <cell r="J86">
            <v>2007</v>
          </cell>
          <cell r="K86">
            <v>0</v>
          </cell>
          <cell r="L86">
            <v>0</v>
          </cell>
        </row>
        <row r="87">
          <cell r="G87">
            <v>0</v>
          </cell>
          <cell r="H87">
            <v>0</v>
          </cell>
          <cell r="J87">
            <v>31900</v>
          </cell>
          <cell r="K87">
            <v>0</v>
          </cell>
          <cell r="L87">
            <v>0</v>
          </cell>
        </row>
        <row r="88">
          <cell r="G88">
            <v>0</v>
          </cell>
          <cell r="H88">
            <v>0</v>
          </cell>
          <cell r="J88">
            <v>63800</v>
          </cell>
          <cell r="K88">
            <v>0</v>
          </cell>
          <cell r="L88">
            <v>0</v>
          </cell>
        </row>
        <row r="89">
          <cell r="G89">
            <v>0</v>
          </cell>
          <cell r="H89">
            <v>0</v>
          </cell>
          <cell r="J89">
            <v>95700</v>
          </cell>
          <cell r="K89">
            <v>0</v>
          </cell>
          <cell r="L89">
            <v>0</v>
          </cell>
        </row>
        <row r="90">
          <cell r="G90">
            <v>0</v>
          </cell>
          <cell r="H90">
            <v>0</v>
          </cell>
          <cell r="J90">
            <v>63800</v>
          </cell>
          <cell r="K90">
            <v>0</v>
          </cell>
          <cell r="L90">
            <v>0</v>
          </cell>
        </row>
        <row r="91">
          <cell r="G91">
            <v>0</v>
          </cell>
          <cell r="H91">
            <v>0</v>
          </cell>
          <cell r="J91">
            <v>95700</v>
          </cell>
          <cell r="K91">
            <v>0</v>
          </cell>
          <cell r="L91">
            <v>0</v>
          </cell>
        </row>
        <row r="92">
          <cell r="G92">
            <v>0</v>
          </cell>
          <cell r="H92">
            <v>0</v>
          </cell>
          <cell r="J92">
            <v>31900</v>
          </cell>
          <cell r="K92">
            <v>0</v>
          </cell>
          <cell r="L92">
            <v>0</v>
          </cell>
        </row>
        <row r="93">
          <cell r="G93">
            <v>0</v>
          </cell>
          <cell r="H93">
            <v>0</v>
          </cell>
          <cell r="J93">
            <v>95700</v>
          </cell>
          <cell r="K93">
            <v>0</v>
          </cell>
          <cell r="L93">
            <v>0</v>
          </cell>
        </row>
        <row r="94">
          <cell r="G94">
            <v>0</v>
          </cell>
          <cell r="H94">
            <v>0</v>
          </cell>
          <cell r="J94">
            <v>330</v>
          </cell>
          <cell r="K94">
            <v>0</v>
          </cell>
          <cell r="L94">
            <v>0</v>
          </cell>
        </row>
        <row r="95">
          <cell r="G95">
            <v>0</v>
          </cell>
          <cell r="H95">
            <v>0</v>
          </cell>
          <cell r="J95">
            <v>510</v>
          </cell>
          <cell r="K95">
            <v>0</v>
          </cell>
          <cell r="L95">
            <v>0</v>
          </cell>
        </row>
        <row r="96">
          <cell r="G96">
            <v>0</v>
          </cell>
          <cell r="H96">
            <v>0</v>
          </cell>
          <cell r="J96">
            <v>620</v>
          </cell>
          <cell r="K96">
            <v>0</v>
          </cell>
          <cell r="L96">
            <v>0</v>
          </cell>
        </row>
        <row r="97">
          <cell r="G97">
            <v>0</v>
          </cell>
          <cell r="H97">
            <v>0</v>
          </cell>
          <cell r="J97">
            <v>1300</v>
          </cell>
          <cell r="K97">
            <v>0</v>
          </cell>
          <cell r="L97">
            <v>0</v>
          </cell>
        </row>
        <row r="98">
          <cell r="G98">
            <v>0</v>
          </cell>
          <cell r="H98">
            <v>0</v>
          </cell>
          <cell r="J98">
            <v>1600</v>
          </cell>
          <cell r="K98">
            <v>0</v>
          </cell>
          <cell r="L98">
            <v>0</v>
          </cell>
        </row>
        <row r="99">
          <cell r="G99">
            <v>0</v>
          </cell>
          <cell r="H99">
            <v>0</v>
          </cell>
          <cell r="J99">
            <v>3380</v>
          </cell>
          <cell r="K99">
            <v>0</v>
          </cell>
          <cell r="L99">
            <v>0</v>
          </cell>
        </row>
        <row r="100">
          <cell r="G100">
            <v>0</v>
          </cell>
          <cell r="H100">
            <v>0</v>
          </cell>
          <cell r="J100">
            <v>10200</v>
          </cell>
          <cell r="K100">
            <v>0</v>
          </cell>
          <cell r="L100">
            <v>0</v>
          </cell>
        </row>
        <row r="101">
          <cell r="G101">
            <v>0</v>
          </cell>
          <cell r="H101">
            <v>0</v>
          </cell>
          <cell r="J101">
            <v>20400</v>
          </cell>
          <cell r="K101">
            <v>0</v>
          </cell>
          <cell r="L101">
            <v>0</v>
          </cell>
        </row>
        <row r="102">
          <cell r="G102">
            <v>0</v>
          </cell>
          <cell r="H102">
            <v>0</v>
          </cell>
          <cell r="J102">
            <v>30600</v>
          </cell>
          <cell r="K102">
            <v>0</v>
          </cell>
          <cell r="L102">
            <v>0</v>
          </cell>
        </row>
        <row r="103">
          <cell r="G103">
            <v>0</v>
          </cell>
          <cell r="H103">
            <v>0</v>
          </cell>
          <cell r="J103">
            <v>20400</v>
          </cell>
          <cell r="K103">
            <v>0</v>
          </cell>
          <cell r="L103">
            <v>0</v>
          </cell>
        </row>
        <row r="104">
          <cell r="G104">
            <v>0</v>
          </cell>
          <cell r="H104">
            <v>0</v>
          </cell>
          <cell r="J104">
            <v>30600</v>
          </cell>
          <cell r="K104">
            <v>0</v>
          </cell>
          <cell r="L104">
            <v>0</v>
          </cell>
        </row>
        <row r="105">
          <cell r="G105">
            <v>0</v>
          </cell>
          <cell r="H105">
            <v>0</v>
          </cell>
          <cell r="J105">
            <v>285</v>
          </cell>
          <cell r="K105">
            <v>0</v>
          </cell>
          <cell r="L105">
            <v>0</v>
          </cell>
        </row>
        <row r="106">
          <cell r="G106">
            <v>0</v>
          </cell>
          <cell r="H106">
            <v>0</v>
          </cell>
          <cell r="J106">
            <v>470</v>
          </cell>
          <cell r="K106">
            <v>0</v>
          </cell>
          <cell r="L106">
            <v>0</v>
          </cell>
        </row>
        <row r="107">
          <cell r="G107">
            <v>0</v>
          </cell>
          <cell r="H107">
            <v>0</v>
          </cell>
          <cell r="J107">
            <v>700</v>
          </cell>
          <cell r="K107">
            <v>0</v>
          </cell>
          <cell r="L107">
            <v>0</v>
          </cell>
        </row>
        <row r="108">
          <cell r="G108">
            <v>0</v>
          </cell>
          <cell r="H108">
            <v>0</v>
          </cell>
          <cell r="J108">
            <v>820</v>
          </cell>
          <cell r="K108">
            <v>0</v>
          </cell>
          <cell r="L108">
            <v>0</v>
          </cell>
        </row>
        <row r="109">
          <cell r="G109">
            <v>0</v>
          </cell>
          <cell r="H109">
            <v>0</v>
          </cell>
          <cell r="J109">
            <v>1235</v>
          </cell>
          <cell r="K109">
            <v>0</v>
          </cell>
          <cell r="L109">
            <v>0</v>
          </cell>
        </row>
        <row r="110">
          <cell r="G110">
            <v>0</v>
          </cell>
          <cell r="H110">
            <v>0</v>
          </cell>
          <cell r="J110">
            <v>1715</v>
          </cell>
          <cell r="K110">
            <v>0</v>
          </cell>
          <cell r="L110">
            <v>0</v>
          </cell>
        </row>
        <row r="111">
          <cell r="G111">
            <v>0</v>
          </cell>
          <cell r="H111">
            <v>0</v>
          </cell>
          <cell r="J111">
            <v>1049</v>
          </cell>
          <cell r="K111">
            <v>0</v>
          </cell>
          <cell r="L111">
            <v>0</v>
          </cell>
        </row>
        <row r="112">
          <cell r="G112">
            <v>0</v>
          </cell>
          <cell r="H112">
            <v>0</v>
          </cell>
          <cell r="J112">
            <v>2442</v>
          </cell>
          <cell r="K112">
            <v>0</v>
          </cell>
          <cell r="L112">
            <v>0</v>
          </cell>
        </row>
        <row r="113">
          <cell r="G113">
            <v>0</v>
          </cell>
          <cell r="H113">
            <v>0</v>
          </cell>
          <cell r="J113">
            <v>3481</v>
          </cell>
          <cell r="K113">
            <v>0</v>
          </cell>
          <cell r="L113">
            <v>0</v>
          </cell>
        </row>
        <row r="114">
          <cell r="G114">
            <v>0</v>
          </cell>
          <cell r="H114">
            <v>0</v>
          </cell>
          <cell r="J114">
            <v>332</v>
          </cell>
          <cell r="K114">
            <v>0</v>
          </cell>
          <cell r="L114">
            <v>0</v>
          </cell>
        </row>
        <row r="115">
          <cell r="G115">
            <v>0</v>
          </cell>
          <cell r="H115">
            <v>0</v>
          </cell>
          <cell r="J115">
            <v>400</v>
          </cell>
          <cell r="K115">
            <v>0</v>
          </cell>
          <cell r="L115">
            <v>0</v>
          </cell>
        </row>
        <row r="116">
          <cell r="G116">
            <v>0</v>
          </cell>
          <cell r="H116">
            <v>0</v>
          </cell>
          <cell r="J116">
            <v>773</v>
          </cell>
          <cell r="K116">
            <v>0</v>
          </cell>
          <cell r="L116">
            <v>0</v>
          </cell>
        </row>
        <row r="117">
          <cell r="G117">
            <v>0</v>
          </cell>
          <cell r="H117">
            <v>0</v>
          </cell>
          <cell r="J117">
            <v>285</v>
          </cell>
          <cell r="K117">
            <v>0</v>
          </cell>
          <cell r="L117">
            <v>0</v>
          </cell>
        </row>
        <row r="118">
          <cell r="G118">
            <v>0</v>
          </cell>
          <cell r="H118">
            <v>0</v>
          </cell>
          <cell r="J118">
            <v>470</v>
          </cell>
          <cell r="K118">
            <v>0</v>
          </cell>
          <cell r="L118">
            <v>0</v>
          </cell>
        </row>
        <row r="119">
          <cell r="G119">
            <v>0</v>
          </cell>
          <cell r="H119">
            <v>0</v>
          </cell>
          <cell r="J119">
            <v>700</v>
          </cell>
          <cell r="K119">
            <v>0</v>
          </cell>
          <cell r="L119">
            <v>0</v>
          </cell>
        </row>
        <row r="120">
          <cell r="G120">
            <v>0</v>
          </cell>
          <cell r="H120">
            <v>0</v>
          </cell>
          <cell r="J120">
            <v>1235</v>
          </cell>
          <cell r="K120">
            <v>0</v>
          </cell>
          <cell r="L120">
            <v>0</v>
          </cell>
        </row>
        <row r="121">
          <cell r="G121">
            <v>0</v>
          </cell>
          <cell r="H121">
            <v>0</v>
          </cell>
          <cell r="J121">
            <v>20000</v>
          </cell>
          <cell r="K121">
            <v>0</v>
          </cell>
          <cell r="L121">
            <v>0</v>
          </cell>
        </row>
        <row r="122"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>
            <v>0</v>
          </cell>
          <cell r="H124">
            <v>0</v>
          </cell>
          <cell r="J124">
            <v>91</v>
          </cell>
          <cell r="K124">
            <v>0</v>
          </cell>
          <cell r="L124">
            <v>0</v>
          </cell>
        </row>
        <row r="125">
          <cell r="G125">
            <v>0</v>
          </cell>
          <cell r="H125">
            <v>0</v>
          </cell>
          <cell r="J125">
            <v>117</v>
          </cell>
          <cell r="K125">
            <v>0</v>
          </cell>
          <cell r="L125">
            <v>0</v>
          </cell>
        </row>
        <row r="126">
          <cell r="G126">
            <v>0</v>
          </cell>
          <cell r="H126">
            <v>0</v>
          </cell>
          <cell r="J126">
            <v>143</v>
          </cell>
          <cell r="K126">
            <v>0</v>
          </cell>
          <cell r="L126">
            <v>0</v>
          </cell>
        </row>
        <row r="127">
          <cell r="G127">
            <v>0</v>
          </cell>
          <cell r="H127">
            <v>0</v>
          </cell>
          <cell r="J127">
            <v>350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J128">
            <v>455</v>
          </cell>
          <cell r="K128">
            <v>0</v>
          </cell>
          <cell r="L128">
            <v>0</v>
          </cell>
        </row>
        <row r="129">
          <cell r="G129">
            <v>0</v>
          </cell>
          <cell r="H129">
            <v>0</v>
          </cell>
          <cell r="J129">
            <v>455</v>
          </cell>
          <cell r="K129">
            <v>0</v>
          </cell>
          <cell r="L129">
            <v>0</v>
          </cell>
        </row>
        <row r="130">
          <cell r="G130">
            <v>0</v>
          </cell>
          <cell r="H130">
            <v>0</v>
          </cell>
          <cell r="J130">
            <v>510</v>
          </cell>
          <cell r="K130">
            <v>0</v>
          </cell>
          <cell r="L130">
            <v>0</v>
          </cell>
        </row>
        <row r="131">
          <cell r="G131">
            <v>0</v>
          </cell>
          <cell r="H131">
            <v>0</v>
          </cell>
          <cell r="J131">
            <v>715</v>
          </cell>
          <cell r="K131">
            <v>0</v>
          </cell>
          <cell r="L131">
            <v>0</v>
          </cell>
        </row>
        <row r="132">
          <cell r="G132">
            <v>0</v>
          </cell>
          <cell r="H132">
            <v>0</v>
          </cell>
          <cell r="J132">
            <v>4550</v>
          </cell>
          <cell r="K132">
            <v>0</v>
          </cell>
          <cell r="L132">
            <v>0</v>
          </cell>
        </row>
        <row r="133">
          <cell r="G133">
            <v>0</v>
          </cell>
          <cell r="H133">
            <v>0</v>
          </cell>
          <cell r="J133">
            <v>14700</v>
          </cell>
          <cell r="K133">
            <v>0</v>
          </cell>
          <cell r="L133">
            <v>0</v>
          </cell>
        </row>
        <row r="134">
          <cell r="G134">
            <v>0</v>
          </cell>
          <cell r="H134">
            <v>0</v>
          </cell>
          <cell r="J134">
            <v>3820</v>
          </cell>
          <cell r="K134">
            <v>0</v>
          </cell>
          <cell r="L134">
            <v>0</v>
          </cell>
        </row>
        <row r="135">
          <cell r="G135">
            <v>0</v>
          </cell>
          <cell r="H135">
            <v>0</v>
          </cell>
          <cell r="J135">
            <v>2570</v>
          </cell>
          <cell r="K135">
            <v>0</v>
          </cell>
          <cell r="L135">
            <v>0</v>
          </cell>
        </row>
        <row r="136">
          <cell r="G136">
            <v>0</v>
          </cell>
          <cell r="H136">
            <v>0</v>
          </cell>
          <cell r="J136">
            <v>1650000</v>
          </cell>
          <cell r="K136">
            <v>0</v>
          </cell>
          <cell r="L136">
            <v>0</v>
          </cell>
        </row>
        <row r="137">
          <cell r="G137">
            <v>0</v>
          </cell>
          <cell r="H137">
            <v>0</v>
          </cell>
          <cell r="J137">
            <v>750000</v>
          </cell>
          <cell r="K137">
            <v>0</v>
          </cell>
          <cell r="L137">
            <v>0</v>
          </cell>
        </row>
        <row r="138">
          <cell r="G138">
            <v>0</v>
          </cell>
          <cell r="H138">
            <v>0</v>
          </cell>
          <cell r="J138">
            <v>450000</v>
          </cell>
          <cell r="K138">
            <v>0</v>
          </cell>
          <cell r="L138">
            <v>0</v>
          </cell>
        </row>
        <row r="139">
          <cell r="G139">
            <v>0</v>
          </cell>
          <cell r="H139">
            <v>0</v>
          </cell>
          <cell r="J139">
            <v>120000</v>
          </cell>
          <cell r="K139">
            <v>0</v>
          </cell>
          <cell r="L139">
            <v>0</v>
          </cell>
        </row>
        <row r="140">
          <cell r="G140">
            <v>0</v>
          </cell>
          <cell r="H140">
            <v>0</v>
          </cell>
          <cell r="J140">
            <v>30000</v>
          </cell>
          <cell r="K140">
            <v>0</v>
          </cell>
          <cell r="L140">
            <v>0</v>
          </cell>
        </row>
        <row r="141">
          <cell r="G141">
            <v>0</v>
          </cell>
          <cell r="H141">
            <v>0</v>
          </cell>
          <cell r="J141">
            <v>750000</v>
          </cell>
          <cell r="K141">
            <v>0</v>
          </cell>
          <cell r="L141">
            <v>0</v>
          </cell>
        </row>
        <row r="142">
          <cell r="G142">
            <v>0</v>
          </cell>
          <cell r="H142">
            <v>0</v>
          </cell>
          <cell r="J142">
            <v>600000</v>
          </cell>
          <cell r="K142">
            <v>0</v>
          </cell>
          <cell r="L142">
            <v>0</v>
          </cell>
        </row>
        <row r="143">
          <cell r="G143">
            <v>0</v>
          </cell>
          <cell r="H143">
            <v>0</v>
          </cell>
          <cell r="J143">
            <v>650000</v>
          </cell>
          <cell r="K143">
            <v>0</v>
          </cell>
          <cell r="L143">
            <v>0</v>
          </cell>
        </row>
        <row r="144">
          <cell r="G144">
            <v>0</v>
          </cell>
          <cell r="H144">
            <v>0</v>
          </cell>
          <cell r="J144">
            <v>550000</v>
          </cell>
          <cell r="K144">
            <v>0</v>
          </cell>
          <cell r="L144">
            <v>0</v>
          </cell>
        </row>
        <row r="145">
          <cell r="G145">
            <v>0</v>
          </cell>
          <cell r="H145">
            <v>0</v>
          </cell>
          <cell r="J145">
            <v>120000</v>
          </cell>
          <cell r="K145">
            <v>0</v>
          </cell>
          <cell r="L145">
            <v>0</v>
          </cell>
        </row>
        <row r="146">
          <cell r="G146">
            <v>0</v>
          </cell>
          <cell r="H146">
            <v>0</v>
          </cell>
          <cell r="J146">
            <v>80000</v>
          </cell>
          <cell r="K146">
            <v>0</v>
          </cell>
          <cell r="L146">
            <v>0</v>
          </cell>
        </row>
        <row r="147">
          <cell r="G147">
            <v>0</v>
          </cell>
          <cell r="H147">
            <v>0</v>
          </cell>
          <cell r="J147">
            <v>80000</v>
          </cell>
          <cell r="K147">
            <v>0</v>
          </cell>
          <cell r="L147">
            <v>0</v>
          </cell>
        </row>
        <row r="148">
          <cell r="G148">
            <v>0</v>
          </cell>
          <cell r="H148">
            <v>0</v>
          </cell>
          <cell r="J148">
            <v>100000</v>
          </cell>
          <cell r="K148">
            <v>0</v>
          </cell>
          <cell r="L148">
            <v>0</v>
          </cell>
        </row>
        <row r="149">
          <cell r="G149">
            <v>0</v>
          </cell>
          <cell r="H149">
            <v>0</v>
          </cell>
          <cell r="J149">
            <v>80000</v>
          </cell>
          <cell r="K149">
            <v>0</v>
          </cell>
          <cell r="L149">
            <v>0</v>
          </cell>
        </row>
        <row r="150">
          <cell r="G150">
            <v>0</v>
          </cell>
          <cell r="H150">
            <v>0</v>
          </cell>
          <cell r="J150">
            <v>430000</v>
          </cell>
          <cell r="K150">
            <v>0</v>
          </cell>
          <cell r="L150">
            <v>0</v>
          </cell>
        </row>
        <row r="151">
          <cell r="G151">
            <v>0</v>
          </cell>
          <cell r="H151">
            <v>0</v>
          </cell>
          <cell r="J151">
            <v>350000</v>
          </cell>
          <cell r="K151">
            <v>0</v>
          </cell>
          <cell r="L151">
            <v>0</v>
          </cell>
        </row>
        <row r="152">
          <cell r="G152">
            <v>0</v>
          </cell>
          <cell r="H152">
            <v>0</v>
          </cell>
          <cell r="J152">
            <v>900000</v>
          </cell>
          <cell r="K152">
            <v>0</v>
          </cell>
          <cell r="L152">
            <v>0</v>
          </cell>
        </row>
        <row r="153">
          <cell r="G153">
            <v>0</v>
          </cell>
          <cell r="H153">
            <v>0</v>
          </cell>
          <cell r="J153">
            <v>12000000</v>
          </cell>
          <cell r="K153">
            <v>0</v>
          </cell>
          <cell r="L153">
            <v>0</v>
          </cell>
        </row>
        <row r="154">
          <cell r="G154">
            <v>0</v>
          </cell>
          <cell r="H154">
            <v>0</v>
          </cell>
          <cell r="J154">
            <v>380000</v>
          </cell>
          <cell r="K154">
            <v>0</v>
          </cell>
          <cell r="L154">
            <v>0</v>
          </cell>
        </row>
        <row r="155">
          <cell r="G155">
            <v>0</v>
          </cell>
          <cell r="H155">
            <v>0</v>
          </cell>
          <cell r="J155">
            <v>250000</v>
          </cell>
          <cell r="K155">
            <v>0</v>
          </cell>
          <cell r="L155">
            <v>0</v>
          </cell>
        </row>
        <row r="156">
          <cell r="G156">
            <v>0</v>
          </cell>
          <cell r="H156">
            <v>0</v>
          </cell>
          <cell r="J156">
            <v>800000</v>
          </cell>
          <cell r="K156">
            <v>0</v>
          </cell>
          <cell r="L156">
            <v>0</v>
          </cell>
        </row>
        <row r="157">
          <cell r="G157">
            <v>0</v>
          </cell>
          <cell r="H157">
            <v>0</v>
          </cell>
          <cell r="J157">
            <v>1200000</v>
          </cell>
          <cell r="K157">
            <v>0</v>
          </cell>
          <cell r="L157">
            <v>0</v>
          </cell>
        </row>
        <row r="158">
          <cell r="G158">
            <v>0</v>
          </cell>
          <cell r="H158">
            <v>0</v>
          </cell>
          <cell r="J158">
            <v>5200000</v>
          </cell>
          <cell r="K158">
            <v>0</v>
          </cell>
          <cell r="L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1450000</v>
          </cell>
          <cell r="K159">
            <v>0</v>
          </cell>
          <cell r="L159">
            <v>0</v>
          </cell>
          <cell r="M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400000</v>
          </cell>
          <cell r="K160">
            <v>0</v>
          </cell>
          <cell r="L160">
            <v>0</v>
          </cell>
          <cell r="M160">
            <v>0</v>
          </cell>
        </row>
        <row r="161">
          <cell r="G161">
            <v>0</v>
          </cell>
          <cell r="H161">
            <v>0</v>
          </cell>
          <cell r="J161">
            <v>20000</v>
          </cell>
          <cell r="K161">
            <v>0</v>
          </cell>
          <cell r="L161">
            <v>0</v>
          </cell>
        </row>
        <row r="162">
          <cell r="G162">
            <v>0</v>
          </cell>
          <cell r="H162">
            <v>0</v>
          </cell>
          <cell r="J162">
            <v>72025</v>
          </cell>
          <cell r="K162">
            <v>0</v>
          </cell>
          <cell r="L162">
            <v>0</v>
          </cell>
        </row>
        <row r="163">
          <cell r="G163">
            <v>0</v>
          </cell>
          <cell r="H163">
            <v>0</v>
          </cell>
          <cell r="J163">
            <v>8000000</v>
          </cell>
          <cell r="K163">
            <v>0</v>
          </cell>
          <cell r="L163">
            <v>0</v>
          </cell>
        </row>
        <row r="164">
          <cell r="G164">
            <v>0</v>
          </cell>
          <cell r="H164">
            <v>0</v>
          </cell>
          <cell r="J164">
            <v>750000</v>
          </cell>
          <cell r="K164">
            <v>0</v>
          </cell>
          <cell r="L164">
            <v>0</v>
          </cell>
        </row>
        <row r="165">
          <cell r="G165">
            <v>0</v>
          </cell>
          <cell r="H165">
            <v>0</v>
          </cell>
          <cell r="J165">
            <v>1370000</v>
          </cell>
          <cell r="K165">
            <v>0</v>
          </cell>
          <cell r="L165">
            <v>0</v>
          </cell>
        </row>
        <row r="166">
          <cell r="G166">
            <v>0</v>
          </cell>
          <cell r="H166">
            <v>0</v>
          </cell>
          <cell r="J166">
            <v>72029</v>
          </cell>
          <cell r="K166">
            <v>0</v>
          </cell>
          <cell r="L166">
            <v>0</v>
          </cell>
        </row>
        <row r="167">
          <cell r="G167">
            <v>0</v>
          </cell>
          <cell r="H167">
            <v>0</v>
          </cell>
          <cell r="J167">
            <v>1080</v>
          </cell>
          <cell r="K167">
            <v>0</v>
          </cell>
          <cell r="L167">
            <v>0</v>
          </cell>
        </row>
        <row r="168">
          <cell r="G168">
            <v>0</v>
          </cell>
          <cell r="H168">
            <v>0</v>
          </cell>
          <cell r="J168">
            <v>1358</v>
          </cell>
          <cell r="K168">
            <v>0</v>
          </cell>
          <cell r="L168">
            <v>0</v>
          </cell>
        </row>
        <row r="169">
          <cell r="G169">
            <v>0</v>
          </cell>
          <cell r="H169">
            <v>0</v>
          </cell>
          <cell r="J169">
            <v>700000</v>
          </cell>
          <cell r="K169">
            <v>0</v>
          </cell>
          <cell r="L169">
            <v>0</v>
          </cell>
        </row>
        <row r="170">
          <cell r="G170">
            <v>0</v>
          </cell>
          <cell r="H170">
            <v>0</v>
          </cell>
          <cell r="J170">
            <v>240000</v>
          </cell>
          <cell r="K170">
            <v>0</v>
          </cell>
          <cell r="L170">
            <v>0</v>
          </cell>
        </row>
        <row r="171">
          <cell r="G171">
            <v>0</v>
          </cell>
          <cell r="H171">
            <v>0</v>
          </cell>
          <cell r="J171">
            <v>2329</v>
          </cell>
          <cell r="K171">
            <v>0</v>
          </cell>
          <cell r="L171">
            <v>0</v>
          </cell>
        </row>
        <row r="172">
          <cell r="G172">
            <v>0</v>
          </cell>
          <cell r="H172">
            <v>0</v>
          </cell>
          <cell r="J172">
            <v>3301</v>
          </cell>
          <cell r="K172">
            <v>0</v>
          </cell>
          <cell r="L172">
            <v>0</v>
          </cell>
        </row>
        <row r="173">
          <cell r="G173">
            <v>0</v>
          </cell>
          <cell r="H173">
            <v>0</v>
          </cell>
          <cell r="J173">
            <v>45000</v>
          </cell>
          <cell r="K173">
            <v>0</v>
          </cell>
          <cell r="L173">
            <v>0</v>
          </cell>
        </row>
        <row r="174">
          <cell r="G174">
            <v>0</v>
          </cell>
          <cell r="H174">
            <v>0</v>
          </cell>
          <cell r="J174">
            <v>230000</v>
          </cell>
          <cell r="K174">
            <v>0</v>
          </cell>
          <cell r="L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35000</v>
          </cell>
          <cell r="K175">
            <v>0</v>
          </cell>
          <cell r="L175">
            <v>0</v>
          </cell>
          <cell r="M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135000</v>
          </cell>
          <cell r="K176">
            <v>0</v>
          </cell>
          <cell r="L176">
            <v>0</v>
          </cell>
          <cell r="M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125000</v>
          </cell>
          <cell r="K177">
            <v>0</v>
          </cell>
          <cell r="L177">
            <v>0</v>
          </cell>
          <cell r="M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88000</v>
          </cell>
          <cell r="K178">
            <v>0</v>
          </cell>
          <cell r="L178">
            <v>0</v>
          </cell>
          <cell r="M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65000</v>
          </cell>
          <cell r="K179">
            <v>0</v>
          </cell>
          <cell r="L179">
            <v>0</v>
          </cell>
          <cell r="M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65000</v>
          </cell>
          <cell r="K180">
            <v>0</v>
          </cell>
          <cell r="L180">
            <v>0</v>
          </cell>
          <cell r="M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45000</v>
          </cell>
          <cell r="K181">
            <v>0</v>
          </cell>
          <cell r="L181">
            <v>0</v>
          </cell>
          <cell r="M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20000</v>
          </cell>
          <cell r="K182">
            <v>0</v>
          </cell>
          <cell r="L182">
            <v>0</v>
          </cell>
          <cell r="M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18000</v>
          </cell>
          <cell r="K183">
            <v>0</v>
          </cell>
          <cell r="L183">
            <v>0</v>
          </cell>
          <cell r="M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6000</v>
          </cell>
          <cell r="K184">
            <v>0</v>
          </cell>
          <cell r="L184">
            <v>0</v>
          </cell>
          <cell r="M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6000</v>
          </cell>
          <cell r="K185">
            <v>0</v>
          </cell>
          <cell r="L185">
            <v>0</v>
          </cell>
          <cell r="M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19000</v>
          </cell>
          <cell r="K186">
            <v>0</v>
          </cell>
          <cell r="L186">
            <v>0</v>
          </cell>
          <cell r="M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19000</v>
          </cell>
          <cell r="K187">
            <v>0</v>
          </cell>
          <cell r="L187">
            <v>0</v>
          </cell>
          <cell r="M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65000</v>
          </cell>
          <cell r="K188">
            <v>0</v>
          </cell>
          <cell r="L188">
            <v>0</v>
          </cell>
          <cell r="M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80</v>
          </cell>
          <cell r="K197">
            <v>0</v>
          </cell>
          <cell r="L197">
            <v>0</v>
          </cell>
          <cell r="M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14800000</v>
          </cell>
          <cell r="K201">
            <v>0</v>
          </cell>
          <cell r="L201">
            <v>0</v>
          </cell>
          <cell r="M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33300</v>
          </cell>
          <cell r="K202">
            <v>0</v>
          </cell>
          <cell r="L202">
            <v>0</v>
          </cell>
          <cell r="M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49900</v>
          </cell>
          <cell r="K203">
            <v>0</v>
          </cell>
          <cell r="L203">
            <v>0</v>
          </cell>
          <cell r="M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9400</v>
          </cell>
          <cell r="K255">
            <v>0</v>
          </cell>
          <cell r="L255">
            <v>0</v>
          </cell>
          <cell r="M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21000</v>
          </cell>
          <cell r="K256">
            <v>0</v>
          </cell>
          <cell r="L256">
            <v>0</v>
          </cell>
          <cell r="M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32500</v>
          </cell>
          <cell r="K257">
            <v>0</v>
          </cell>
          <cell r="L257">
            <v>0</v>
          </cell>
          <cell r="M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42500</v>
          </cell>
          <cell r="K258">
            <v>0</v>
          </cell>
          <cell r="L258">
            <v>0</v>
          </cell>
          <cell r="M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430000</v>
          </cell>
          <cell r="K259">
            <v>0</v>
          </cell>
          <cell r="L259">
            <v>0</v>
          </cell>
          <cell r="M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900</v>
          </cell>
          <cell r="K260">
            <v>0</v>
          </cell>
          <cell r="L260">
            <v>0</v>
          </cell>
          <cell r="M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2000</v>
          </cell>
          <cell r="K261">
            <v>0</v>
          </cell>
          <cell r="L261">
            <v>0</v>
          </cell>
          <cell r="M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50000</v>
          </cell>
          <cell r="K262">
            <v>0</v>
          </cell>
          <cell r="L262">
            <v>0</v>
          </cell>
          <cell r="M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5500</v>
          </cell>
          <cell r="K263">
            <v>0</v>
          </cell>
          <cell r="L263">
            <v>0</v>
          </cell>
          <cell r="M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396</v>
          </cell>
          <cell r="K323">
            <v>0</v>
          </cell>
          <cell r="L323">
            <v>0</v>
          </cell>
          <cell r="M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1340</v>
          </cell>
          <cell r="K324">
            <v>0</v>
          </cell>
          <cell r="L324">
            <v>0</v>
          </cell>
          <cell r="M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50000</v>
          </cell>
          <cell r="K325">
            <v>0</v>
          </cell>
          <cell r="L325">
            <v>0</v>
          </cell>
          <cell r="M325">
            <v>0</v>
          </cell>
        </row>
        <row r="326">
          <cell r="G326">
            <v>0</v>
          </cell>
          <cell r="H326">
            <v>47799</v>
          </cell>
          <cell r="I326">
            <v>0</v>
          </cell>
          <cell r="J326">
            <v>72220</v>
          </cell>
          <cell r="K326">
            <v>0</v>
          </cell>
          <cell r="L326">
            <v>1433</v>
          </cell>
          <cell r="M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G335">
            <v>189183</v>
          </cell>
          <cell r="H335">
            <v>3669</v>
          </cell>
          <cell r="I335">
            <v>167904</v>
          </cell>
          <cell r="J335">
            <v>465</v>
          </cell>
          <cell r="K335">
            <v>21279</v>
          </cell>
          <cell r="L335">
            <v>0</v>
          </cell>
          <cell r="M335">
            <v>0</v>
          </cell>
        </row>
        <row r="336">
          <cell r="G336">
            <v>0</v>
          </cell>
          <cell r="H336">
            <v>10474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G337">
            <v>0</v>
          </cell>
          <cell r="H337">
            <v>14140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G338">
            <v>139801</v>
          </cell>
          <cell r="H338">
            <v>3590</v>
          </cell>
          <cell r="I338">
            <v>124879</v>
          </cell>
          <cell r="J338">
            <v>429</v>
          </cell>
          <cell r="K338">
            <v>14922</v>
          </cell>
          <cell r="L338">
            <v>0</v>
          </cell>
          <cell r="M338">
            <v>0</v>
          </cell>
        </row>
        <row r="339">
          <cell r="G339">
            <v>71355</v>
          </cell>
          <cell r="H339">
            <v>1424</v>
          </cell>
          <cell r="I339">
            <v>49639</v>
          </cell>
          <cell r="J339">
            <v>65</v>
          </cell>
          <cell r="K339">
            <v>2265</v>
          </cell>
          <cell r="L339">
            <v>558</v>
          </cell>
          <cell r="M339">
            <v>19451</v>
          </cell>
        </row>
        <row r="340">
          <cell r="G340">
            <v>0</v>
          </cell>
          <cell r="H340">
            <v>5761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G341">
            <v>114344</v>
          </cell>
          <cell r="H341">
            <v>10474</v>
          </cell>
          <cell r="I341">
            <v>114344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G342">
            <v>362643</v>
          </cell>
          <cell r="H342">
            <v>30174</v>
          </cell>
          <cell r="I342">
            <v>133610</v>
          </cell>
          <cell r="J342">
            <v>51724</v>
          </cell>
          <cell r="K342">
            <v>229033</v>
          </cell>
          <cell r="L342">
            <v>0</v>
          </cell>
          <cell r="M342">
            <v>0</v>
          </cell>
        </row>
        <row r="343">
          <cell r="G343">
            <v>65697</v>
          </cell>
          <cell r="H343">
            <v>27362</v>
          </cell>
          <cell r="I343">
            <v>24571</v>
          </cell>
          <cell r="J343">
            <v>45798</v>
          </cell>
          <cell r="K343">
            <v>41126</v>
          </cell>
          <cell r="L343">
            <v>0</v>
          </cell>
          <cell r="M343">
            <v>0</v>
          </cell>
        </row>
        <row r="344">
          <cell r="G344">
            <v>0</v>
          </cell>
          <cell r="H344">
            <v>40765</v>
          </cell>
          <cell r="I344">
            <v>0</v>
          </cell>
          <cell r="J344">
            <v>18403</v>
          </cell>
          <cell r="K344">
            <v>0</v>
          </cell>
          <cell r="L344">
            <v>0</v>
          </cell>
          <cell r="M344">
            <v>0</v>
          </cell>
        </row>
        <row r="345">
          <cell r="G345">
            <v>931684</v>
          </cell>
          <cell r="H345">
            <v>16346</v>
          </cell>
          <cell r="I345">
            <v>642397</v>
          </cell>
          <cell r="J345">
            <v>7361</v>
          </cell>
          <cell r="K345">
            <v>289287</v>
          </cell>
          <cell r="L345">
            <v>0</v>
          </cell>
          <cell r="M345">
            <v>0</v>
          </cell>
        </row>
        <row r="346">
          <cell r="G346">
            <v>357171</v>
          </cell>
          <cell r="H346">
            <v>2697208</v>
          </cell>
          <cell r="I346">
            <v>207415</v>
          </cell>
          <cell r="J346">
            <v>1937751</v>
          </cell>
          <cell r="K346">
            <v>149013</v>
          </cell>
          <cell r="L346">
            <v>9668</v>
          </cell>
          <cell r="M346">
            <v>743</v>
          </cell>
        </row>
        <row r="347">
          <cell r="G347">
            <v>212216</v>
          </cell>
          <cell r="H347">
            <v>415397</v>
          </cell>
          <cell r="I347">
            <v>210486</v>
          </cell>
          <cell r="J347">
            <v>3415</v>
          </cell>
          <cell r="K347">
            <v>1730</v>
          </cell>
          <cell r="L347">
            <v>0</v>
          </cell>
          <cell r="M347">
            <v>0</v>
          </cell>
        </row>
        <row r="348">
          <cell r="G348">
            <v>21302</v>
          </cell>
          <cell r="H348">
            <v>126657</v>
          </cell>
          <cell r="I348">
            <v>15198</v>
          </cell>
          <cell r="J348">
            <v>50870</v>
          </cell>
          <cell r="K348">
            <v>6104</v>
          </cell>
          <cell r="L348">
            <v>0</v>
          </cell>
          <cell r="M348">
            <v>0</v>
          </cell>
        </row>
        <row r="349">
          <cell r="G349">
            <v>357444</v>
          </cell>
          <cell r="H349">
            <v>15625</v>
          </cell>
          <cell r="I349">
            <v>281250</v>
          </cell>
          <cell r="J349">
            <v>4233</v>
          </cell>
          <cell r="K349">
            <v>76194</v>
          </cell>
          <cell r="L349">
            <v>0</v>
          </cell>
          <cell r="M349">
            <v>0</v>
          </cell>
        </row>
        <row r="350">
          <cell r="G350">
            <v>29880</v>
          </cell>
          <cell r="H350">
            <v>22515</v>
          </cell>
          <cell r="I350">
            <v>19813</v>
          </cell>
          <cell r="J350">
            <v>11440</v>
          </cell>
          <cell r="K350">
            <v>10067</v>
          </cell>
          <cell r="L350">
            <v>0</v>
          </cell>
          <cell r="M350">
            <v>0</v>
          </cell>
        </row>
        <row r="351">
          <cell r="G351">
            <v>0</v>
          </cell>
          <cell r="H351">
            <v>8035</v>
          </cell>
          <cell r="I351">
            <v>0</v>
          </cell>
          <cell r="J351">
            <v>118800</v>
          </cell>
          <cell r="K351">
            <v>0</v>
          </cell>
          <cell r="L351">
            <v>0</v>
          </cell>
          <cell r="M351">
            <v>0</v>
          </cell>
        </row>
        <row r="352">
          <cell r="G352">
            <v>0</v>
          </cell>
          <cell r="H352">
            <v>711</v>
          </cell>
          <cell r="I352">
            <v>0</v>
          </cell>
          <cell r="J352">
            <v>5463</v>
          </cell>
          <cell r="K352">
            <v>0</v>
          </cell>
          <cell r="L352">
            <v>51</v>
          </cell>
          <cell r="M352">
            <v>0</v>
          </cell>
        </row>
        <row r="353">
          <cell r="G353">
            <v>0</v>
          </cell>
          <cell r="H353">
            <v>747</v>
          </cell>
          <cell r="I353">
            <v>0</v>
          </cell>
          <cell r="J353">
            <v>6205</v>
          </cell>
          <cell r="K353">
            <v>0</v>
          </cell>
          <cell r="L353">
            <v>51</v>
          </cell>
          <cell r="M353">
            <v>0</v>
          </cell>
        </row>
        <row r="354">
          <cell r="G354">
            <v>0</v>
          </cell>
          <cell r="H354">
            <v>26272</v>
          </cell>
          <cell r="I354">
            <v>0</v>
          </cell>
          <cell r="J354">
            <v>4496</v>
          </cell>
          <cell r="K354">
            <v>0</v>
          </cell>
          <cell r="L354">
            <v>5290</v>
          </cell>
          <cell r="M354">
            <v>0</v>
          </cell>
        </row>
        <row r="355">
          <cell r="G355">
            <v>0</v>
          </cell>
          <cell r="H355">
            <v>39171</v>
          </cell>
          <cell r="I355">
            <v>0</v>
          </cell>
          <cell r="J355">
            <v>4430</v>
          </cell>
          <cell r="K355">
            <v>0</v>
          </cell>
          <cell r="L355">
            <v>4232</v>
          </cell>
          <cell r="M355">
            <v>0</v>
          </cell>
        </row>
        <row r="356">
          <cell r="G356">
            <v>0</v>
          </cell>
          <cell r="H356">
            <v>6754</v>
          </cell>
          <cell r="I356">
            <v>0</v>
          </cell>
          <cell r="J356">
            <v>101</v>
          </cell>
          <cell r="K356">
            <v>0</v>
          </cell>
          <cell r="L356">
            <v>114</v>
          </cell>
          <cell r="M356">
            <v>0</v>
          </cell>
        </row>
        <row r="357">
          <cell r="G357">
            <v>0</v>
          </cell>
          <cell r="H357">
            <v>6202</v>
          </cell>
          <cell r="I357">
            <v>0</v>
          </cell>
          <cell r="J357">
            <v>100</v>
          </cell>
          <cell r="K357">
            <v>0</v>
          </cell>
          <cell r="L357">
            <v>109</v>
          </cell>
          <cell r="M357">
            <v>0</v>
          </cell>
        </row>
        <row r="358">
          <cell r="G358">
            <v>0</v>
          </cell>
          <cell r="H358">
            <v>2994</v>
          </cell>
          <cell r="I358">
            <v>0</v>
          </cell>
          <cell r="J358">
            <v>371</v>
          </cell>
          <cell r="K358">
            <v>0</v>
          </cell>
          <cell r="L358">
            <v>413</v>
          </cell>
          <cell r="M358">
            <v>0</v>
          </cell>
        </row>
        <row r="359">
          <cell r="G359">
            <v>0</v>
          </cell>
          <cell r="H359">
            <v>15121</v>
          </cell>
          <cell r="I359">
            <v>0</v>
          </cell>
          <cell r="J359">
            <v>1397</v>
          </cell>
          <cell r="K359">
            <v>0</v>
          </cell>
          <cell r="L359">
            <v>167</v>
          </cell>
          <cell r="M359">
            <v>0</v>
          </cell>
        </row>
        <row r="360">
          <cell r="G360">
            <v>0</v>
          </cell>
          <cell r="H360">
            <v>13694</v>
          </cell>
          <cell r="I360">
            <v>0</v>
          </cell>
          <cell r="J360">
            <v>481</v>
          </cell>
          <cell r="K360">
            <v>0</v>
          </cell>
          <cell r="L360">
            <v>733</v>
          </cell>
          <cell r="M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G363">
            <v>0</v>
          </cell>
          <cell r="H363">
            <v>28309</v>
          </cell>
          <cell r="I363">
            <v>0</v>
          </cell>
          <cell r="J363">
            <v>3125</v>
          </cell>
          <cell r="K363">
            <v>0</v>
          </cell>
          <cell r="L363">
            <v>0</v>
          </cell>
          <cell r="M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21970</v>
          </cell>
          <cell r="M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20438</v>
          </cell>
          <cell r="M365">
            <v>0</v>
          </cell>
        </row>
        <row r="366">
          <cell r="G366">
            <v>0</v>
          </cell>
          <cell r="H366">
            <v>27126</v>
          </cell>
          <cell r="I366">
            <v>0</v>
          </cell>
          <cell r="J366">
            <v>3180</v>
          </cell>
          <cell r="K366">
            <v>0</v>
          </cell>
          <cell r="L366">
            <v>0</v>
          </cell>
          <cell r="M366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63000</v>
          </cell>
          <cell r="K376">
            <v>0</v>
          </cell>
          <cell r="L376">
            <v>0</v>
          </cell>
          <cell r="M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17500</v>
          </cell>
          <cell r="K383">
            <v>0</v>
          </cell>
          <cell r="L383">
            <v>0</v>
          </cell>
          <cell r="M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33000</v>
          </cell>
          <cell r="K384">
            <v>0</v>
          </cell>
          <cell r="L384">
            <v>0</v>
          </cell>
          <cell r="M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16500</v>
          </cell>
          <cell r="K389">
            <v>0</v>
          </cell>
          <cell r="L389">
            <v>0</v>
          </cell>
          <cell r="M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31500</v>
          </cell>
          <cell r="K390">
            <v>0</v>
          </cell>
          <cell r="L390">
            <v>0</v>
          </cell>
          <cell r="M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60000</v>
          </cell>
          <cell r="K391">
            <v>0</v>
          </cell>
          <cell r="L391">
            <v>0</v>
          </cell>
          <cell r="M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5000</v>
          </cell>
          <cell r="K392">
            <v>0</v>
          </cell>
          <cell r="L392">
            <v>0</v>
          </cell>
          <cell r="M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1620</v>
          </cell>
          <cell r="K393">
            <v>0</v>
          </cell>
          <cell r="L393">
            <v>0</v>
          </cell>
          <cell r="M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2200</v>
          </cell>
          <cell r="K394">
            <v>0</v>
          </cell>
          <cell r="L394">
            <v>0</v>
          </cell>
          <cell r="M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70</v>
          </cell>
          <cell r="K395">
            <v>0</v>
          </cell>
          <cell r="L395">
            <v>0</v>
          </cell>
          <cell r="M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25000</v>
          </cell>
          <cell r="K396">
            <v>0</v>
          </cell>
          <cell r="L396">
            <v>0</v>
          </cell>
          <cell r="M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5000</v>
          </cell>
          <cell r="K397">
            <v>0</v>
          </cell>
          <cell r="L397">
            <v>0</v>
          </cell>
          <cell r="M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786</v>
          </cell>
          <cell r="M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1321</v>
          </cell>
          <cell r="M399">
            <v>0</v>
          </cell>
        </row>
        <row r="400">
          <cell r="G400">
            <v>51724</v>
          </cell>
          <cell r="H400">
            <v>0</v>
          </cell>
          <cell r="I400">
            <v>0</v>
          </cell>
          <cell r="J400">
            <v>50710</v>
          </cell>
          <cell r="K400">
            <v>51724</v>
          </cell>
          <cell r="L400">
            <v>0</v>
          </cell>
          <cell r="M400">
            <v>0</v>
          </cell>
        </row>
        <row r="401">
          <cell r="G401">
            <v>45798</v>
          </cell>
          <cell r="H401">
            <v>0</v>
          </cell>
          <cell r="I401">
            <v>0</v>
          </cell>
          <cell r="J401">
            <v>44900</v>
          </cell>
          <cell r="K401">
            <v>45798</v>
          </cell>
          <cell r="L401">
            <v>0</v>
          </cell>
          <cell r="M40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목차"/>
      <sheetName val="원가계산"/>
      <sheetName val="원가계산기준"/>
      <sheetName val="총괄집계표"/>
      <sheetName val="집계표"/>
      <sheetName val="단가산출서"/>
      <sheetName val="수량산출-재료"/>
      <sheetName val="수량산출-노무"/>
      <sheetName val="산출2-전력"/>
      <sheetName val="산출2-분전반"/>
      <sheetName val="산출2-기기동력"/>
      <sheetName val="산출2-동력"/>
      <sheetName val="산출2-풀박스"/>
      <sheetName val="산출2-피뢰침"/>
      <sheetName val="산출2-전등"/>
      <sheetName val="산출2-조명기구"/>
      <sheetName val="산출2-전등TRAY"/>
      <sheetName val="산출2-전열"/>
      <sheetName val="산출2-조명제어"/>
      <sheetName val="산출2-TRAY"/>
      <sheetName val="산출3-유도등"/>
      <sheetName val="공통단가"/>
      <sheetName val="견적단가"/>
      <sheetName val="노임단가"/>
      <sheetName val="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Y-WORK"/>
      <sheetName val="ITEM"/>
      <sheetName val="ITEL"/>
      <sheetName val="단가비교표"/>
      <sheetName val="Module1"/>
      <sheetName val="Module11"/>
      <sheetName val="Module13"/>
      <sheetName val="Module3"/>
      <sheetName val="Module5"/>
      <sheetName val="Module7"/>
      <sheetName val="Module9"/>
      <sheetName val="Module10"/>
      <sheetName val="Module12"/>
      <sheetName val="Module2"/>
      <sheetName val="Module4"/>
      <sheetName val="Module6"/>
      <sheetName val="Module8"/>
      <sheetName val="Module14"/>
    </sheetNames>
    <sheetDataSet>
      <sheetData sheetId="0" refreshError="1"/>
      <sheetData sheetId="1">
        <row r="22">
          <cell r="G22">
            <v>0</v>
          </cell>
          <cell r="H22">
            <v>0</v>
          </cell>
          <cell r="J22">
            <v>277</v>
          </cell>
          <cell r="K22">
            <v>0</v>
          </cell>
          <cell r="L22">
            <v>0</v>
          </cell>
        </row>
        <row r="23">
          <cell r="G23">
            <v>0</v>
          </cell>
          <cell r="H23">
            <v>0</v>
          </cell>
          <cell r="J23">
            <v>377</v>
          </cell>
          <cell r="K23">
            <v>0</v>
          </cell>
          <cell r="L23">
            <v>0</v>
          </cell>
        </row>
        <row r="24">
          <cell r="G24">
            <v>0</v>
          </cell>
          <cell r="H24">
            <v>0</v>
          </cell>
          <cell r="J24">
            <v>576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J25">
            <v>971</v>
          </cell>
          <cell r="K25">
            <v>0</v>
          </cell>
          <cell r="L25">
            <v>0</v>
          </cell>
        </row>
        <row r="26">
          <cell r="G26">
            <v>0</v>
          </cell>
          <cell r="H26">
            <v>0</v>
          </cell>
          <cell r="J26">
            <v>1348</v>
          </cell>
          <cell r="K26">
            <v>0</v>
          </cell>
          <cell r="L26">
            <v>0</v>
          </cell>
        </row>
        <row r="27">
          <cell r="G27">
            <v>0</v>
          </cell>
          <cell r="H27">
            <v>0</v>
          </cell>
          <cell r="J27">
            <v>1978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J28">
            <v>2913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J29">
            <v>3717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J30">
            <v>3753</v>
          </cell>
          <cell r="K30">
            <v>0</v>
          </cell>
          <cell r="L30">
            <v>0</v>
          </cell>
        </row>
        <row r="31">
          <cell r="G31">
            <v>0</v>
          </cell>
          <cell r="H31">
            <v>0</v>
          </cell>
          <cell r="J31">
            <v>2539</v>
          </cell>
          <cell r="K31">
            <v>0</v>
          </cell>
          <cell r="L31">
            <v>0</v>
          </cell>
        </row>
        <row r="32">
          <cell r="G32">
            <v>0</v>
          </cell>
          <cell r="H32">
            <v>0</v>
          </cell>
          <cell r="J32">
            <v>4790</v>
          </cell>
          <cell r="K32">
            <v>0</v>
          </cell>
          <cell r="L32">
            <v>0</v>
          </cell>
        </row>
        <row r="33">
          <cell r="G33">
            <v>0</v>
          </cell>
          <cell r="H33">
            <v>0</v>
          </cell>
          <cell r="J33">
            <v>90</v>
          </cell>
          <cell r="K33">
            <v>0</v>
          </cell>
          <cell r="L33">
            <v>0</v>
          </cell>
        </row>
        <row r="34">
          <cell r="G34">
            <v>0</v>
          </cell>
          <cell r="H34">
            <v>0</v>
          </cell>
          <cell r="J34">
            <v>134</v>
          </cell>
          <cell r="K34">
            <v>0</v>
          </cell>
          <cell r="L34">
            <v>0</v>
          </cell>
        </row>
        <row r="35">
          <cell r="G35">
            <v>0</v>
          </cell>
          <cell r="H35">
            <v>0</v>
          </cell>
          <cell r="J35">
            <v>238</v>
          </cell>
          <cell r="K35">
            <v>0</v>
          </cell>
          <cell r="L35">
            <v>0</v>
          </cell>
        </row>
        <row r="36">
          <cell r="G36">
            <v>0</v>
          </cell>
          <cell r="H36">
            <v>0</v>
          </cell>
          <cell r="J36">
            <v>95</v>
          </cell>
          <cell r="K36">
            <v>0</v>
          </cell>
          <cell r="L36">
            <v>0</v>
          </cell>
        </row>
        <row r="37">
          <cell r="G37">
            <v>0</v>
          </cell>
          <cell r="H37">
            <v>0</v>
          </cell>
          <cell r="J37">
            <v>140</v>
          </cell>
          <cell r="K37">
            <v>0</v>
          </cell>
          <cell r="L37">
            <v>0</v>
          </cell>
        </row>
        <row r="38">
          <cell r="G38">
            <v>0</v>
          </cell>
          <cell r="H38">
            <v>0</v>
          </cell>
          <cell r="J38">
            <v>80</v>
          </cell>
          <cell r="K38">
            <v>0</v>
          </cell>
          <cell r="L38">
            <v>0</v>
          </cell>
        </row>
        <row r="39"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>
            <v>0</v>
          </cell>
          <cell r="H40">
            <v>0</v>
          </cell>
          <cell r="J40">
            <v>533</v>
          </cell>
          <cell r="K40">
            <v>0</v>
          </cell>
          <cell r="L40">
            <v>0</v>
          </cell>
        </row>
        <row r="41">
          <cell r="G41">
            <v>0</v>
          </cell>
          <cell r="H41">
            <v>0</v>
          </cell>
          <cell r="J41">
            <v>801</v>
          </cell>
          <cell r="K41">
            <v>0</v>
          </cell>
          <cell r="L41">
            <v>0</v>
          </cell>
        </row>
        <row r="42">
          <cell r="G42">
            <v>0</v>
          </cell>
          <cell r="H42">
            <v>0</v>
          </cell>
          <cell r="J42">
            <v>1008</v>
          </cell>
          <cell r="K42">
            <v>0</v>
          </cell>
          <cell r="L42">
            <v>0</v>
          </cell>
        </row>
        <row r="43">
          <cell r="G43">
            <v>0</v>
          </cell>
          <cell r="H43">
            <v>0</v>
          </cell>
          <cell r="J43">
            <v>1800</v>
          </cell>
          <cell r="K43">
            <v>0</v>
          </cell>
          <cell r="L43">
            <v>0</v>
          </cell>
        </row>
        <row r="44">
          <cell r="G44">
            <v>0</v>
          </cell>
          <cell r="H44">
            <v>0</v>
          </cell>
          <cell r="J44">
            <v>2640</v>
          </cell>
          <cell r="K44">
            <v>0</v>
          </cell>
          <cell r="L44">
            <v>0</v>
          </cell>
        </row>
        <row r="45">
          <cell r="G45">
            <v>0</v>
          </cell>
          <cell r="H45">
            <v>0</v>
          </cell>
          <cell r="J45">
            <v>3690</v>
          </cell>
          <cell r="K45">
            <v>0</v>
          </cell>
          <cell r="L45">
            <v>0</v>
          </cell>
        </row>
        <row r="46">
          <cell r="G46">
            <v>0</v>
          </cell>
          <cell r="H46">
            <v>0</v>
          </cell>
          <cell r="J46">
            <v>762</v>
          </cell>
          <cell r="K46">
            <v>0</v>
          </cell>
          <cell r="L46">
            <v>0</v>
          </cell>
        </row>
        <row r="47">
          <cell r="G47">
            <v>0</v>
          </cell>
          <cell r="H47">
            <v>0</v>
          </cell>
          <cell r="J47">
            <v>1055</v>
          </cell>
          <cell r="K47">
            <v>0</v>
          </cell>
          <cell r="L47">
            <v>0</v>
          </cell>
        </row>
        <row r="48">
          <cell r="G48">
            <v>0</v>
          </cell>
          <cell r="H48">
            <v>0</v>
          </cell>
          <cell r="J48">
            <v>1338</v>
          </cell>
          <cell r="K48">
            <v>0</v>
          </cell>
          <cell r="L48">
            <v>0</v>
          </cell>
        </row>
        <row r="49">
          <cell r="G49">
            <v>0</v>
          </cell>
          <cell r="H49">
            <v>0</v>
          </cell>
          <cell r="J49">
            <v>2400</v>
          </cell>
          <cell r="K49">
            <v>0</v>
          </cell>
          <cell r="L49">
            <v>0</v>
          </cell>
        </row>
        <row r="50">
          <cell r="G50">
            <v>0</v>
          </cell>
          <cell r="H50">
            <v>0</v>
          </cell>
          <cell r="J50">
            <v>5202</v>
          </cell>
          <cell r="K50">
            <v>0</v>
          </cell>
          <cell r="L50">
            <v>0</v>
          </cell>
        </row>
        <row r="51">
          <cell r="G51">
            <v>0</v>
          </cell>
          <cell r="H51">
            <v>0</v>
          </cell>
          <cell r="J51">
            <v>1305</v>
          </cell>
          <cell r="K51">
            <v>0</v>
          </cell>
          <cell r="L51">
            <v>0</v>
          </cell>
        </row>
        <row r="52">
          <cell r="G52">
            <v>0</v>
          </cell>
          <cell r="H52">
            <v>0</v>
          </cell>
          <cell r="J52">
            <v>1701</v>
          </cell>
          <cell r="K52">
            <v>0</v>
          </cell>
          <cell r="L52">
            <v>0</v>
          </cell>
        </row>
        <row r="53">
          <cell r="G53">
            <v>0</v>
          </cell>
          <cell r="H53">
            <v>0</v>
          </cell>
          <cell r="J53">
            <v>3060</v>
          </cell>
          <cell r="K53">
            <v>0</v>
          </cell>
          <cell r="L53">
            <v>0</v>
          </cell>
        </row>
        <row r="54">
          <cell r="G54">
            <v>0</v>
          </cell>
          <cell r="H54">
            <v>0</v>
          </cell>
          <cell r="J54">
            <v>4086</v>
          </cell>
          <cell r="K54">
            <v>0</v>
          </cell>
          <cell r="L54">
            <v>0</v>
          </cell>
        </row>
        <row r="55">
          <cell r="G55">
            <v>0</v>
          </cell>
          <cell r="H55">
            <v>0</v>
          </cell>
          <cell r="J55">
            <v>6660</v>
          </cell>
          <cell r="K55">
            <v>0</v>
          </cell>
          <cell r="L55">
            <v>0</v>
          </cell>
        </row>
        <row r="56"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>
            <v>0</v>
          </cell>
          <cell r="H57">
            <v>0</v>
          </cell>
          <cell r="J57">
            <v>11347</v>
          </cell>
          <cell r="K57">
            <v>0</v>
          </cell>
          <cell r="L57">
            <v>0</v>
          </cell>
        </row>
        <row r="58">
          <cell r="G58">
            <v>0</v>
          </cell>
          <cell r="H58">
            <v>0</v>
          </cell>
          <cell r="J58">
            <v>21767</v>
          </cell>
          <cell r="K58">
            <v>0</v>
          </cell>
          <cell r="L58">
            <v>0</v>
          </cell>
        </row>
        <row r="59">
          <cell r="G59">
            <v>0</v>
          </cell>
          <cell r="H59">
            <v>0</v>
          </cell>
          <cell r="J59">
            <v>34041</v>
          </cell>
          <cell r="K59">
            <v>0</v>
          </cell>
          <cell r="L59">
            <v>0</v>
          </cell>
        </row>
        <row r="60">
          <cell r="G60">
            <v>0</v>
          </cell>
          <cell r="H60">
            <v>0</v>
          </cell>
          <cell r="J60">
            <v>65301</v>
          </cell>
          <cell r="K60">
            <v>0</v>
          </cell>
          <cell r="L60">
            <v>0</v>
          </cell>
        </row>
        <row r="61">
          <cell r="G61">
            <v>0</v>
          </cell>
          <cell r="H61">
            <v>0</v>
          </cell>
          <cell r="J61">
            <v>320</v>
          </cell>
          <cell r="K61">
            <v>0</v>
          </cell>
          <cell r="L61">
            <v>0</v>
          </cell>
        </row>
        <row r="62">
          <cell r="G62">
            <v>0</v>
          </cell>
          <cell r="H62">
            <v>0</v>
          </cell>
          <cell r="J62">
            <v>489</v>
          </cell>
          <cell r="K62">
            <v>0</v>
          </cell>
          <cell r="L62">
            <v>0</v>
          </cell>
        </row>
        <row r="63">
          <cell r="G63">
            <v>0</v>
          </cell>
          <cell r="H63">
            <v>0</v>
          </cell>
          <cell r="J63">
            <v>449</v>
          </cell>
          <cell r="K63">
            <v>0</v>
          </cell>
          <cell r="L63">
            <v>0</v>
          </cell>
        </row>
        <row r="64">
          <cell r="G64">
            <v>0</v>
          </cell>
          <cell r="H64">
            <v>0</v>
          </cell>
          <cell r="J64">
            <v>728</v>
          </cell>
          <cell r="K64">
            <v>0</v>
          </cell>
          <cell r="L64">
            <v>0</v>
          </cell>
        </row>
        <row r="65">
          <cell r="G65">
            <v>0</v>
          </cell>
          <cell r="H65">
            <v>0</v>
          </cell>
          <cell r="J65">
            <v>653</v>
          </cell>
          <cell r="K65">
            <v>0</v>
          </cell>
          <cell r="L65">
            <v>0</v>
          </cell>
        </row>
        <row r="66">
          <cell r="G66">
            <v>0</v>
          </cell>
          <cell r="H66">
            <v>0</v>
          </cell>
          <cell r="J66">
            <v>560</v>
          </cell>
          <cell r="K66">
            <v>0</v>
          </cell>
          <cell r="L66">
            <v>0</v>
          </cell>
        </row>
        <row r="67">
          <cell r="G67">
            <v>0</v>
          </cell>
          <cell r="H67">
            <v>0</v>
          </cell>
          <cell r="J67">
            <v>360</v>
          </cell>
          <cell r="K67">
            <v>0</v>
          </cell>
          <cell r="L67">
            <v>0</v>
          </cell>
        </row>
        <row r="68">
          <cell r="G68">
            <v>0</v>
          </cell>
          <cell r="H68">
            <v>0</v>
          </cell>
          <cell r="J68">
            <v>619</v>
          </cell>
          <cell r="K68">
            <v>0</v>
          </cell>
          <cell r="L68">
            <v>0</v>
          </cell>
        </row>
        <row r="69">
          <cell r="G69">
            <v>0</v>
          </cell>
          <cell r="H69">
            <v>0</v>
          </cell>
          <cell r="J69">
            <v>783</v>
          </cell>
          <cell r="K69">
            <v>0</v>
          </cell>
          <cell r="L69">
            <v>0</v>
          </cell>
        </row>
        <row r="70">
          <cell r="G70">
            <v>0</v>
          </cell>
          <cell r="H70">
            <v>0</v>
          </cell>
          <cell r="J70">
            <v>1158</v>
          </cell>
          <cell r="K70">
            <v>0</v>
          </cell>
          <cell r="L70">
            <v>0</v>
          </cell>
        </row>
        <row r="71">
          <cell r="G71">
            <v>0</v>
          </cell>
          <cell r="H71">
            <v>0</v>
          </cell>
          <cell r="J71">
            <v>1049</v>
          </cell>
          <cell r="K71">
            <v>0</v>
          </cell>
          <cell r="L71">
            <v>0</v>
          </cell>
        </row>
        <row r="72">
          <cell r="G72">
            <v>0</v>
          </cell>
          <cell r="H72">
            <v>0</v>
          </cell>
          <cell r="J72">
            <v>1229</v>
          </cell>
          <cell r="K72">
            <v>0</v>
          </cell>
          <cell r="L72">
            <v>0</v>
          </cell>
        </row>
        <row r="73">
          <cell r="G73">
            <v>0</v>
          </cell>
          <cell r="H73">
            <v>0</v>
          </cell>
          <cell r="J73">
            <v>1605</v>
          </cell>
          <cell r="K73">
            <v>0</v>
          </cell>
          <cell r="L73">
            <v>0</v>
          </cell>
        </row>
        <row r="74">
          <cell r="G74">
            <v>0</v>
          </cell>
          <cell r="H74">
            <v>0</v>
          </cell>
          <cell r="J74">
            <v>1966</v>
          </cell>
          <cell r="K74">
            <v>0</v>
          </cell>
          <cell r="L74">
            <v>0</v>
          </cell>
        </row>
        <row r="75">
          <cell r="G75">
            <v>0</v>
          </cell>
          <cell r="H75">
            <v>0</v>
          </cell>
          <cell r="J75">
            <v>2442</v>
          </cell>
          <cell r="K75">
            <v>0</v>
          </cell>
          <cell r="L75">
            <v>0</v>
          </cell>
        </row>
        <row r="76">
          <cell r="G76">
            <v>0</v>
          </cell>
          <cell r="H76">
            <v>0</v>
          </cell>
          <cell r="J76">
            <v>3481</v>
          </cell>
          <cell r="K76">
            <v>0</v>
          </cell>
          <cell r="L76">
            <v>0</v>
          </cell>
        </row>
        <row r="77">
          <cell r="G77">
            <v>0</v>
          </cell>
          <cell r="H77">
            <v>0</v>
          </cell>
          <cell r="J77">
            <v>4900</v>
          </cell>
          <cell r="K77">
            <v>0</v>
          </cell>
          <cell r="L77">
            <v>0</v>
          </cell>
        </row>
        <row r="78">
          <cell r="G78">
            <v>0</v>
          </cell>
          <cell r="H78">
            <v>0</v>
          </cell>
          <cell r="J78">
            <v>6400</v>
          </cell>
          <cell r="K78">
            <v>0</v>
          </cell>
          <cell r="L78">
            <v>0</v>
          </cell>
        </row>
        <row r="79">
          <cell r="G79">
            <v>0</v>
          </cell>
          <cell r="H79">
            <v>0</v>
          </cell>
          <cell r="J79">
            <v>7800</v>
          </cell>
          <cell r="K79">
            <v>0</v>
          </cell>
          <cell r="L79">
            <v>0</v>
          </cell>
        </row>
        <row r="80">
          <cell r="G80">
            <v>0</v>
          </cell>
          <cell r="H80">
            <v>0</v>
          </cell>
          <cell r="J80">
            <v>220</v>
          </cell>
          <cell r="K80">
            <v>0</v>
          </cell>
          <cell r="L80">
            <v>0</v>
          </cell>
        </row>
        <row r="81">
          <cell r="G81">
            <v>0</v>
          </cell>
          <cell r="H81">
            <v>0</v>
          </cell>
          <cell r="J81">
            <v>332</v>
          </cell>
          <cell r="K81">
            <v>0</v>
          </cell>
          <cell r="L81">
            <v>0</v>
          </cell>
        </row>
        <row r="82">
          <cell r="G82">
            <v>0</v>
          </cell>
          <cell r="H82">
            <v>0</v>
          </cell>
          <cell r="J82">
            <v>400</v>
          </cell>
          <cell r="K82">
            <v>0</v>
          </cell>
          <cell r="L82">
            <v>0</v>
          </cell>
        </row>
        <row r="83">
          <cell r="G83">
            <v>0</v>
          </cell>
          <cell r="H83">
            <v>0</v>
          </cell>
          <cell r="J83">
            <v>773</v>
          </cell>
          <cell r="K83">
            <v>0</v>
          </cell>
          <cell r="L83">
            <v>0</v>
          </cell>
        </row>
        <row r="84">
          <cell r="G84">
            <v>0</v>
          </cell>
          <cell r="H84">
            <v>0</v>
          </cell>
          <cell r="J84">
            <v>1081</v>
          </cell>
          <cell r="K84">
            <v>0</v>
          </cell>
          <cell r="L84">
            <v>0</v>
          </cell>
        </row>
        <row r="85">
          <cell r="G85">
            <v>0</v>
          </cell>
          <cell r="H85">
            <v>0</v>
          </cell>
          <cell r="J85">
            <v>1414</v>
          </cell>
          <cell r="K85">
            <v>0</v>
          </cell>
          <cell r="L85">
            <v>0</v>
          </cell>
        </row>
        <row r="86">
          <cell r="G86">
            <v>0</v>
          </cell>
          <cell r="H86">
            <v>0</v>
          </cell>
          <cell r="J86">
            <v>2007</v>
          </cell>
          <cell r="K86">
            <v>0</v>
          </cell>
          <cell r="L86">
            <v>0</v>
          </cell>
        </row>
        <row r="87">
          <cell r="G87">
            <v>0</v>
          </cell>
          <cell r="H87">
            <v>0</v>
          </cell>
          <cell r="J87">
            <v>31900</v>
          </cell>
          <cell r="K87">
            <v>0</v>
          </cell>
          <cell r="L87">
            <v>0</v>
          </cell>
        </row>
        <row r="88">
          <cell r="G88">
            <v>0</v>
          </cell>
          <cell r="H88">
            <v>0</v>
          </cell>
          <cell r="J88">
            <v>63800</v>
          </cell>
          <cell r="K88">
            <v>0</v>
          </cell>
          <cell r="L88">
            <v>0</v>
          </cell>
        </row>
        <row r="89">
          <cell r="G89">
            <v>0</v>
          </cell>
          <cell r="H89">
            <v>0</v>
          </cell>
          <cell r="J89">
            <v>95700</v>
          </cell>
          <cell r="K89">
            <v>0</v>
          </cell>
          <cell r="L89">
            <v>0</v>
          </cell>
        </row>
        <row r="90">
          <cell r="G90">
            <v>0</v>
          </cell>
          <cell r="H90">
            <v>0</v>
          </cell>
          <cell r="J90">
            <v>63800</v>
          </cell>
          <cell r="K90">
            <v>0</v>
          </cell>
          <cell r="L90">
            <v>0</v>
          </cell>
        </row>
        <row r="91">
          <cell r="G91">
            <v>0</v>
          </cell>
          <cell r="H91">
            <v>0</v>
          </cell>
          <cell r="J91">
            <v>95700</v>
          </cell>
          <cell r="K91">
            <v>0</v>
          </cell>
          <cell r="L91">
            <v>0</v>
          </cell>
        </row>
        <row r="92">
          <cell r="G92">
            <v>0</v>
          </cell>
          <cell r="H92">
            <v>0</v>
          </cell>
          <cell r="J92">
            <v>31900</v>
          </cell>
          <cell r="K92">
            <v>0</v>
          </cell>
          <cell r="L92">
            <v>0</v>
          </cell>
        </row>
        <row r="93">
          <cell r="G93">
            <v>0</v>
          </cell>
          <cell r="H93">
            <v>0</v>
          </cell>
          <cell r="J93">
            <v>95700</v>
          </cell>
          <cell r="K93">
            <v>0</v>
          </cell>
          <cell r="L93">
            <v>0</v>
          </cell>
        </row>
        <row r="94">
          <cell r="G94">
            <v>0</v>
          </cell>
          <cell r="H94">
            <v>0</v>
          </cell>
          <cell r="J94">
            <v>330</v>
          </cell>
          <cell r="K94">
            <v>0</v>
          </cell>
          <cell r="L94">
            <v>0</v>
          </cell>
        </row>
        <row r="95">
          <cell r="G95">
            <v>0</v>
          </cell>
          <cell r="H95">
            <v>0</v>
          </cell>
          <cell r="J95">
            <v>510</v>
          </cell>
          <cell r="K95">
            <v>0</v>
          </cell>
          <cell r="L95">
            <v>0</v>
          </cell>
        </row>
        <row r="96">
          <cell r="G96">
            <v>0</v>
          </cell>
          <cell r="H96">
            <v>0</v>
          </cell>
          <cell r="J96">
            <v>620</v>
          </cell>
          <cell r="K96">
            <v>0</v>
          </cell>
          <cell r="L96">
            <v>0</v>
          </cell>
        </row>
        <row r="97">
          <cell r="G97">
            <v>0</v>
          </cell>
          <cell r="H97">
            <v>0</v>
          </cell>
          <cell r="J97">
            <v>1300</v>
          </cell>
          <cell r="K97">
            <v>0</v>
          </cell>
          <cell r="L97">
            <v>0</v>
          </cell>
        </row>
        <row r="98">
          <cell r="G98">
            <v>0</v>
          </cell>
          <cell r="H98">
            <v>0</v>
          </cell>
          <cell r="J98">
            <v>1600</v>
          </cell>
          <cell r="K98">
            <v>0</v>
          </cell>
          <cell r="L98">
            <v>0</v>
          </cell>
        </row>
        <row r="99">
          <cell r="G99">
            <v>0</v>
          </cell>
          <cell r="H99">
            <v>0</v>
          </cell>
          <cell r="J99">
            <v>3380</v>
          </cell>
          <cell r="K99">
            <v>0</v>
          </cell>
          <cell r="L99">
            <v>0</v>
          </cell>
        </row>
        <row r="100">
          <cell r="G100">
            <v>0</v>
          </cell>
          <cell r="H100">
            <v>0</v>
          </cell>
          <cell r="J100">
            <v>10200</v>
          </cell>
          <cell r="K100">
            <v>0</v>
          </cell>
          <cell r="L100">
            <v>0</v>
          </cell>
        </row>
        <row r="101">
          <cell r="G101">
            <v>0</v>
          </cell>
          <cell r="H101">
            <v>0</v>
          </cell>
          <cell r="J101">
            <v>20400</v>
          </cell>
          <cell r="K101">
            <v>0</v>
          </cell>
          <cell r="L101">
            <v>0</v>
          </cell>
        </row>
        <row r="102">
          <cell r="G102">
            <v>0</v>
          </cell>
          <cell r="H102">
            <v>0</v>
          </cell>
          <cell r="J102">
            <v>30600</v>
          </cell>
          <cell r="K102">
            <v>0</v>
          </cell>
          <cell r="L102">
            <v>0</v>
          </cell>
        </row>
        <row r="103">
          <cell r="G103">
            <v>0</v>
          </cell>
          <cell r="H103">
            <v>0</v>
          </cell>
          <cell r="J103">
            <v>20400</v>
          </cell>
          <cell r="K103">
            <v>0</v>
          </cell>
          <cell r="L103">
            <v>0</v>
          </cell>
        </row>
        <row r="104">
          <cell r="G104">
            <v>0</v>
          </cell>
          <cell r="H104">
            <v>0</v>
          </cell>
          <cell r="J104">
            <v>30600</v>
          </cell>
          <cell r="K104">
            <v>0</v>
          </cell>
          <cell r="L104">
            <v>0</v>
          </cell>
        </row>
        <row r="105">
          <cell r="G105">
            <v>0</v>
          </cell>
          <cell r="H105">
            <v>0</v>
          </cell>
          <cell r="J105">
            <v>285</v>
          </cell>
          <cell r="K105">
            <v>0</v>
          </cell>
          <cell r="L105">
            <v>0</v>
          </cell>
        </row>
        <row r="106">
          <cell r="G106">
            <v>0</v>
          </cell>
          <cell r="H106">
            <v>0</v>
          </cell>
          <cell r="J106">
            <v>470</v>
          </cell>
          <cell r="K106">
            <v>0</v>
          </cell>
          <cell r="L106">
            <v>0</v>
          </cell>
        </row>
        <row r="107">
          <cell r="G107">
            <v>0</v>
          </cell>
          <cell r="H107">
            <v>0</v>
          </cell>
          <cell r="J107">
            <v>700</v>
          </cell>
          <cell r="K107">
            <v>0</v>
          </cell>
          <cell r="L107">
            <v>0</v>
          </cell>
        </row>
        <row r="108">
          <cell r="G108">
            <v>0</v>
          </cell>
          <cell r="H108">
            <v>0</v>
          </cell>
          <cell r="J108">
            <v>820</v>
          </cell>
          <cell r="K108">
            <v>0</v>
          </cell>
          <cell r="L108">
            <v>0</v>
          </cell>
        </row>
        <row r="109">
          <cell r="G109">
            <v>0</v>
          </cell>
          <cell r="H109">
            <v>0</v>
          </cell>
          <cell r="J109">
            <v>1235</v>
          </cell>
          <cell r="K109">
            <v>0</v>
          </cell>
          <cell r="L109">
            <v>0</v>
          </cell>
        </row>
        <row r="110">
          <cell r="G110">
            <v>0</v>
          </cell>
          <cell r="H110">
            <v>0</v>
          </cell>
          <cell r="J110">
            <v>1715</v>
          </cell>
          <cell r="K110">
            <v>0</v>
          </cell>
          <cell r="L110">
            <v>0</v>
          </cell>
        </row>
        <row r="111">
          <cell r="G111">
            <v>0</v>
          </cell>
          <cell r="H111">
            <v>0</v>
          </cell>
          <cell r="J111">
            <v>1049</v>
          </cell>
          <cell r="K111">
            <v>0</v>
          </cell>
          <cell r="L111">
            <v>0</v>
          </cell>
        </row>
        <row r="112">
          <cell r="G112">
            <v>0</v>
          </cell>
          <cell r="H112">
            <v>0</v>
          </cell>
          <cell r="J112">
            <v>2442</v>
          </cell>
          <cell r="K112">
            <v>0</v>
          </cell>
          <cell r="L112">
            <v>0</v>
          </cell>
        </row>
        <row r="113">
          <cell r="G113">
            <v>0</v>
          </cell>
          <cell r="H113">
            <v>0</v>
          </cell>
          <cell r="J113">
            <v>3481</v>
          </cell>
          <cell r="K113">
            <v>0</v>
          </cell>
          <cell r="L113">
            <v>0</v>
          </cell>
        </row>
        <row r="114">
          <cell r="G114">
            <v>0</v>
          </cell>
          <cell r="H114">
            <v>0</v>
          </cell>
          <cell r="J114">
            <v>332</v>
          </cell>
          <cell r="K114">
            <v>0</v>
          </cell>
          <cell r="L114">
            <v>0</v>
          </cell>
        </row>
        <row r="115">
          <cell r="G115">
            <v>0</v>
          </cell>
          <cell r="H115">
            <v>0</v>
          </cell>
          <cell r="J115">
            <v>400</v>
          </cell>
          <cell r="K115">
            <v>0</v>
          </cell>
          <cell r="L115">
            <v>0</v>
          </cell>
        </row>
        <row r="116">
          <cell r="G116">
            <v>0</v>
          </cell>
          <cell r="H116">
            <v>0</v>
          </cell>
          <cell r="J116">
            <v>773</v>
          </cell>
          <cell r="K116">
            <v>0</v>
          </cell>
          <cell r="L116">
            <v>0</v>
          </cell>
        </row>
        <row r="117">
          <cell r="G117">
            <v>0</v>
          </cell>
          <cell r="H117">
            <v>0</v>
          </cell>
          <cell r="J117">
            <v>285</v>
          </cell>
          <cell r="K117">
            <v>0</v>
          </cell>
          <cell r="L117">
            <v>0</v>
          </cell>
        </row>
        <row r="118">
          <cell r="G118">
            <v>0</v>
          </cell>
          <cell r="H118">
            <v>0</v>
          </cell>
          <cell r="J118">
            <v>470</v>
          </cell>
          <cell r="K118">
            <v>0</v>
          </cell>
          <cell r="L118">
            <v>0</v>
          </cell>
        </row>
        <row r="119">
          <cell r="G119">
            <v>0</v>
          </cell>
          <cell r="H119">
            <v>0</v>
          </cell>
          <cell r="J119">
            <v>700</v>
          </cell>
          <cell r="K119">
            <v>0</v>
          </cell>
          <cell r="L119">
            <v>0</v>
          </cell>
        </row>
        <row r="120">
          <cell r="G120">
            <v>0</v>
          </cell>
          <cell r="H120">
            <v>0</v>
          </cell>
          <cell r="J120">
            <v>1235</v>
          </cell>
          <cell r="K120">
            <v>0</v>
          </cell>
          <cell r="L120">
            <v>0</v>
          </cell>
        </row>
        <row r="121">
          <cell r="G121">
            <v>0</v>
          </cell>
          <cell r="H121">
            <v>0</v>
          </cell>
          <cell r="J121">
            <v>20000</v>
          </cell>
          <cell r="K121">
            <v>0</v>
          </cell>
          <cell r="L121">
            <v>0</v>
          </cell>
        </row>
        <row r="122"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>
            <v>0</v>
          </cell>
          <cell r="H124">
            <v>0</v>
          </cell>
          <cell r="J124">
            <v>91</v>
          </cell>
          <cell r="K124">
            <v>0</v>
          </cell>
          <cell r="L124">
            <v>0</v>
          </cell>
        </row>
        <row r="125">
          <cell r="G125">
            <v>0</v>
          </cell>
          <cell r="H125">
            <v>0</v>
          </cell>
          <cell r="J125">
            <v>117</v>
          </cell>
          <cell r="K125">
            <v>0</v>
          </cell>
          <cell r="L125">
            <v>0</v>
          </cell>
        </row>
        <row r="126">
          <cell r="G126">
            <v>0</v>
          </cell>
          <cell r="H126">
            <v>0</v>
          </cell>
          <cell r="J126">
            <v>143</v>
          </cell>
          <cell r="K126">
            <v>0</v>
          </cell>
          <cell r="L126">
            <v>0</v>
          </cell>
        </row>
        <row r="127">
          <cell r="G127">
            <v>0</v>
          </cell>
          <cell r="H127">
            <v>0</v>
          </cell>
          <cell r="J127">
            <v>350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J128">
            <v>455</v>
          </cell>
          <cell r="K128">
            <v>0</v>
          </cell>
          <cell r="L128">
            <v>0</v>
          </cell>
        </row>
        <row r="129">
          <cell r="G129">
            <v>0</v>
          </cell>
          <cell r="H129">
            <v>0</v>
          </cell>
          <cell r="J129">
            <v>455</v>
          </cell>
          <cell r="K129">
            <v>0</v>
          </cell>
          <cell r="L129">
            <v>0</v>
          </cell>
        </row>
        <row r="130">
          <cell r="G130">
            <v>0</v>
          </cell>
          <cell r="H130">
            <v>0</v>
          </cell>
          <cell r="J130">
            <v>510</v>
          </cell>
          <cell r="K130">
            <v>0</v>
          </cell>
          <cell r="L130">
            <v>0</v>
          </cell>
        </row>
        <row r="131">
          <cell r="G131">
            <v>0</v>
          </cell>
          <cell r="H131">
            <v>0</v>
          </cell>
          <cell r="J131">
            <v>715</v>
          </cell>
          <cell r="K131">
            <v>0</v>
          </cell>
          <cell r="L131">
            <v>0</v>
          </cell>
        </row>
        <row r="132">
          <cell r="G132">
            <v>0</v>
          </cell>
          <cell r="H132">
            <v>0</v>
          </cell>
          <cell r="J132">
            <v>4550</v>
          </cell>
          <cell r="K132">
            <v>0</v>
          </cell>
          <cell r="L132">
            <v>0</v>
          </cell>
        </row>
        <row r="133">
          <cell r="G133">
            <v>0</v>
          </cell>
          <cell r="H133">
            <v>0</v>
          </cell>
          <cell r="J133">
            <v>14700</v>
          </cell>
          <cell r="K133">
            <v>0</v>
          </cell>
          <cell r="L133">
            <v>0</v>
          </cell>
        </row>
        <row r="134">
          <cell r="G134">
            <v>0</v>
          </cell>
          <cell r="H134">
            <v>0</v>
          </cell>
          <cell r="J134">
            <v>3820</v>
          </cell>
          <cell r="K134">
            <v>0</v>
          </cell>
          <cell r="L134">
            <v>0</v>
          </cell>
        </row>
        <row r="135">
          <cell r="G135">
            <v>0</v>
          </cell>
          <cell r="H135">
            <v>0</v>
          </cell>
          <cell r="J135">
            <v>2570</v>
          </cell>
          <cell r="K135">
            <v>0</v>
          </cell>
          <cell r="L135">
            <v>0</v>
          </cell>
        </row>
        <row r="136">
          <cell r="G136">
            <v>0</v>
          </cell>
          <cell r="H136">
            <v>0</v>
          </cell>
          <cell r="J136">
            <v>1650000</v>
          </cell>
          <cell r="K136">
            <v>0</v>
          </cell>
          <cell r="L136">
            <v>0</v>
          </cell>
        </row>
        <row r="137">
          <cell r="G137">
            <v>0</v>
          </cell>
          <cell r="H137">
            <v>0</v>
          </cell>
          <cell r="J137">
            <v>750000</v>
          </cell>
          <cell r="K137">
            <v>0</v>
          </cell>
          <cell r="L137">
            <v>0</v>
          </cell>
        </row>
        <row r="138">
          <cell r="G138">
            <v>0</v>
          </cell>
          <cell r="H138">
            <v>0</v>
          </cell>
          <cell r="J138">
            <v>450000</v>
          </cell>
          <cell r="K138">
            <v>0</v>
          </cell>
          <cell r="L138">
            <v>0</v>
          </cell>
        </row>
        <row r="139">
          <cell r="G139">
            <v>0</v>
          </cell>
          <cell r="H139">
            <v>0</v>
          </cell>
          <cell r="J139">
            <v>120000</v>
          </cell>
          <cell r="K139">
            <v>0</v>
          </cell>
          <cell r="L139">
            <v>0</v>
          </cell>
        </row>
        <row r="140">
          <cell r="G140">
            <v>0</v>
          </cell>
          <cell r="H140">
            <v>0</v>
          </cell>
          <cell r="J140">
            <v>30000</v>
          </cell>
          <cell r="K140">
            <v>0</v>
          </cell>
          <cell r="L140">
            <v>0</v>
          </cell>
        </row>
        <row r="141">
          <cell r="G141">
            <v>0</v>
          </cell>
          <cell r="H141">
            <v>0</v>
          </cell>
          <cell r="J141">
            <v>750000</v>
          </cell>
          <cell r="K141">
            <v>0</v>
          </cell>
          <cell r="L141">
            <v>0</v>
          </cell>
        </row>
        <row r="142">
          <cell r="G142">
            <v>0</v>
          </cell>
          <cell r="H142">
            <v>0</v>
          </cell>
          <cell r="J142">
            <v>600000</v>
          </cell>
          <cell r="K142">
            <v>0</v>
          </cell>
          <cell r="L142">
            <v>0</v>
          </cell>
        </row>
        <row r="143">
          <cell r="G143">
            <v>0</v>
          </cell>
          <cell r="H143">
            <v>0</v>
          </cell>
          <cell r="J143">
            <v>650000</v>
          </cell>
          <cell r="K143">
            <v>0</v>
          </cell>
          <cell r="L143">
            <v>0</v>
          </cell>
        </row>
        <row r="144">
          <cell r="G144">
            <v>0</v>
          </cell>
          <cell r="H144">
            <v>0</v>
          </cell>
          <cell r="J144">
            <v>550000</v>
          </cell>
          <cell r="K144">
            <v>0</v>
          </cell>
          <cell r="L144">
            <v>0</v>
          </cell>
        </row>
        <row r="145">
          <cell r="G145">
            <v>0</v>
          </cell>
          <cell r="H145">
            <v>0</v>
          </cell>
          <cell r="J145">
            <v>120000</v>
          </cell>
          <cell r="K145">
            <v>0</v>
          </cell>
          <cell r="L145">
            <v>0</v>
          </cell>
        </row>
        <row r="146">
          <cell r="G146">
            <v>0</v>
          </cell>
          <cell r="H146">
            <v>0</v>
          </cell>
          <cell r="J146">
            <v>80000</v>
          </cell>
          <cell r="K146">
            <v>0</v>
          </cell>
          <cell r="L146">
            <v>0</v>
          </cell>
        </row>
        <row r="147">
          <cell r="G147">
            <v>0</v>
          </cell>
          <cell r="H147">
            <v>0</v>
          </cell>
          <cell r="J147">
            <v>80000</v>
          </cell>
          <cell r="K147">
            <v>0</v>
          </cell>
          <cell r="L147">
            <v>0</v>
          </cell>
        </row>
        <row r="148">
          <cell r="G148">
            <v>0</v>
          </cell>
          <cell r="H148">
            <v>0</v>
          </cell>
          <cell r="J148">
            <v>100000</v>
          </cell>
          <cell r="K148">
            <v>0</v>
          </cell>
          <cell r="L148">
            <v>0</v>
          </cell>
        </row>
        <row r="149">
          <cell r="G149">
            <v>0</v>
          </cell>
          <cell r="H149">
            <v>0</v>
          </cell>
          <cell r="J149">
            <v>80000</v>
          </cell>
          <cell r="K149">
            <v>0</v>
          </cell>
          <cell r="L149">
            <v>0</v>
          </cell>
        </row>
        <row r="150">
          <cell r="G150">
            <v>0</v>
          </cell>
          <cell r="H150">
            <v>0</v>
          </cell>
          <cell r="J150">
            <v>430000</v>
          </cell>
          <cell r="K150">
            <v>0</v>
          </cell>
          <cell r="L150">
            <v>0</v>
          </cell>
        </row>
        <row r="151">
          <cell r="G151">
            <v>0</v>
          </cell>
          <cell r="H151">
            <v>0</v>
          </cell>
          <cell r="J151">
            <v>350000</v>
          </cell>
          <cell r="K151">
            <v>0</v>
          </cell>
          <cell r="L151">
            <v>0</v>
          </cell>
        </row>
        <row r="152">
          <cell r="G152">
            <v>0</v>
          </cell>
          <cell r="H152">
            <v>0</v>
          </cell>
          <cell r="J152">
            <v>900000</v>
          </cell>
          <cell r="K152">
            <v>0</v>
          </cell>
          <cell r="L152">
            <v>0</v>
          </cell>
        </row>
        <row r="153">
          <cell r="G153">
            <v>0</v>
          </cell>
          <cell r="H153">
            <v>0</v>
          </cell>
          <cell r="J153">
            <v>12000000</v>
          </cell>
          <cell r="K153">
            <v>0</v>
          </cell>
          <cell r="L153">
            <v>0</v>
          </cell>
        </row>
        <row r="154">
          <cell r="G154">
            <v>0</v>
          </cell>
          <cell r="H154">
            <v>0</v>
          </cell>
          <cell r="J154">
            <v>380000</v>
          </cell>
          <cell r="K154">
            <v>0</v>
          </cell>
          <cell r="L154">
            <v>0</v>
          </cell>
        </row>
        <row r="155">
          <cell r="G155">
            <v>0</v>
          </cell>
          <cell r="H155">
            <v>0</v>
          </cell>
          <cell r="J155">
            <v>250000</v>
          </cell>
          <cell r="K155">
            <v>0</v>
          </cell>
          <cell r="L155">
            <v>0</v>
          </cell>
        </row>
        <row r="156">
          <cell r="G156">
            <v>0</v>
          </cell>
          <cell r="H156">
            <v>0</v>
          </cell>
          <cell r="J156">
            <v>800000</v>
          </cell>
          <cell r="K156">
            <v>0</v>
          </cell>
          <cell r="L156">
            <v>0</v>
          </cell>
        </row>
        <row r="157">
          <cell r="G157">
            <v>0</v>
          </cell>
          <cell r="H157">
            <v>0</v>
          </cell>
          <cell r="J157">
            <v>1200000</v>
          </cell>
          <cell r="K157">
            <v>0</v>
          </cell>
          <cell r="L157">
            <v>0</v>
          </cell>
        </row>
        <row r="158">
          <cell r="G158">
            <v>0</v>
          </cell>
          <cell r="H158">
            <v>0</v>
          </cell>
          <cell r="J158">
            <v>5200000</v>
          </cell>
          <cell r="K158">
            <v>0</v>
          </cell>
          <cell r="L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1450000</v>
          </cell>
          <cell r="K159">
            <v>0</v>
          </cell>
          <cell r="L159">
            <v>0</v>
          </cell>
          <cell r="M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400000</v>
          </cell>
          <cell r="K160">
            <v>0</v>
          </cell>
          <cell r="L160">
            <v>0</v>
          </cell>
          <cell r="M160">
            <v>0</v>
          </cell>
        </row>
        <row r="161">
          <cell r="G161">
            <v>0</v>
          </cell>
          <cell r="H161">
            <v>0</v>
          </cell>
          <cell r="J161">
            <v>20000</v>
          </cell>
          <cell r="K161">
            <v>0</v>
          </cell>
          <cell r="L161">
            <v>0</v>
          </cell>
        </row>
        <row r="162">
          <cell r="G162">
            <v>0</v>
          </cell>
          <cell r="H162">
            <v>0</v>
          </cell>
          <cell r="J162">
            <v>72025</v>
          </cell>
          <cell r="K162">
            <v>0</v>
          </cell>
          <cell r="L162">
            <v>0</v>
          </cell>
        </row>
        <row r="163">
          <cell r="G163">
            <v>0</v>
          </cell>
          <cell r="H163">
            <v>0</v>
          </cell>
          <cell r="J163">
            <v>8000000</v>
          </cell>
          <cell r="K163">
            <v>0</v>
          </cell>
          <cell r="L163">
            <v>0</v>
          </cell>
        </row>
        <row r="164">
          <cell r="G164">
            <v>0</v>
          </cell>
          <cell r="H164">
            <v>0</v>
          </cell>
          <cell r="J164">
            <v>750000</v>
          </cell>
          <cell r="K164">
            <v>0</v>
          </cell>
          <cell r="L164">
            <v>0</v>
          </cell>
        </row>
        <row r="165">
          <cell r="G165">
            <v>0</v>
          </cell>
          <cell r="H165">
            <v>0</v>
          </cell>
          <cell r="J165">
            <v>1370000</v>
          </cell>
          <cell r="K165">
            <v>0</v>
          </cell>
          <cell r="L165">
            <v>0</v>
          </cell>
        </row>
        <row r="166">
          <cell r="G166">
            <v>0</v>
          </cell>
          <cell r="H166">
            <v>0</v>
          </cell>
          <cell r="J166">
            <v>72029</v>
          </cell>
          <cell r="K166">
            <v>0</v>
          </cell>
          <cell r="L166">
            <v>0</v>
          </cell>
        </row>
        <row r="167">
          <cell r="G167">
            <v>0</v>
          </cell>
          <cell r="H167">
            <v>0</v>
          </cell>
          <cell r="J167">
            <v>1080</v>
          </cell>
          <cell r="K167">
            <v>0</v>
          </cell>
          <cell r="L167">
            <v>0</v>
          </cell>
        </row>
        <row r="168">
          <cell r="G168">
            <v>0</v>
          </cell>
          <cell r="H168">
            <v>0</v>
          </cell>
          <cell r="J168">
            <v>1358</v>
          </cell>
          <cell r="K168">
            <v>0</v>
          </cell>
          <cell r="L168">
            <v>0</v>
          </cell>
        </row>
        <row r="169">
          <cell r="G169">
            <v>0</v>
          </cell>
          <cell r="H169">
            <v>0</v>
          </cell>
          <cell r="J169">
            <v>700000</v>
          </cell>
          <cell r="K169">
            <v>0</v>
          </cell>
          <cell r="L169">
            <v>0</v>
          </cell>
        </row>
        <row r="170">
          <cell r="G170">
            <v>0</v>
          </cell>
          <cell r="H170">
            <v>0</v>
          </cell>
          <cell r="J170">
            <v>240000</v>
          </cell>
          <cell r="K170">
            <v>0</v>
          </cell>
          <cell r="L170">
            <v>0</v>
          </cell>
        </row>
        <row r="171">
          <cell r="G171">
            <v>0</v>
          </cell>
          <cell r="H171">
            <v>0</v>
          </cell>
          <cell r="J171">
            <v>2329</v>
          </cell>
          <cell r="K171">
            <v>0</v>
          </cell>
          <cell r="L171">
            <v>0</v>
          </cell>
        </row>
        <row r="172">
          <cell r="G172">
            <v>0</v>
          </cell>
          <cell r="H172">
            <v>0</v>
          </cell>
          <cell r="J172">
            <v>3301</v>
          </cell>
          <cell r="K172">
            <v>0</v>
          </cell>
          <cell r="L172">
            <v>0</v>
          </cell>
        </row>
        <row r="173">
          <cell r="G173">
            <v>0</v>
          </cell>
          <cell r="H173">
            <v>0</v>
          </cell>
          <cell r="J173">
            <v>45000</v>
          </cell>
          <cell r="K173">
            <v>0</v>
          </cell>
          <cell r="L173">
            <v>0</v>
          </cell>
        </row>
        <row r="174">
          <cell r="G174">
            <v>0</v>
          </cell>
          <cell r="H174">
            <v>0</v>
          </cell>
          <cell r="J174">
            <v>230000</v>
          </cell>
          <cell r="K174">
            <v>0</v>
          </cell>
          <cell r="L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35000</v>
          </cell>
          <cell r="K175">
            <v>0</v>
          </cell>
          <cell r="L175">
            <v>0</v>
          </cell>
          <cell r="M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135000</v>
          </cell>
          <cell r="K176">
            <v>0</v>
          </cell>
          <cell r="L176">
            <v>0</v>
          </cell>
          <cell r="M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125000</v>
          </cell>
          <cell r="K177">
            <v>0</v>
          </cell>
          <cell r="L177">
            <v>0</v>
          </cell>
          <cell r="M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88000</v>
          </cell>
          <cell r="K178">
            <v>0</v>
          </cell>
          <cell r="L178">
            <v>0</v>
          </cell>
          <cell r="M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65000</v>
          </cell>
          <cell r="K179">
            <v>0</v>
          </cell>
          <cell r="L179">
            <v>0</v>
          </cell>
          <cell r="M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65000</v>
          </cell>
          <cell r="K180">
            <v>0</v>
          </cell>
          <cell r="L180">
            <v>0</v>
          </cell>
          <cell r="M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45000</v>
          </cell>
          <cell r="K181">
            <v>0</v>
          </cell>
          <cell r="L181">
            <v>0</v>
          </cell>
          <cell r="M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20000</v>
          </cell>
          <cell r="K182">
            <v>0</v>
          </cell>
          <cell r="L182">
            <v>0</v>
          </cell>
          <cell r="M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18000</v>
          </cell>
          <cell r="K183">
            <v>0</v>
          </cell>
          <cell r="L183">
            <v>0</v>
          </cell>
          <cell r="M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6000</v>
          </cell>
          <cell r="K184">
            <v>0</v>
          </cell>
          <cell r="L184">
            <v>0</v>
          </cell>
          <cell r="M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6000</v>
          </cell>
          <cell r="K185">
            <v>0</v>
          </cell>
          <cell r="L185">
            <v>0</v>
          </cell>
          <cell r="M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19000</v>
          </cell>
          <cell r="K186">
            <v>0</v>
          </cell>
          <cell r="L186">
            <v>0</v>
          </cell>
          <cell r="M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19000</v>
          </cell>
          <cell r="K187">
            <v>0</v>
          </cell>
          <cell r="L187">
            <v>0</v>
          </cell>
          <cell r="M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65000</v>
          </cell>
          <cell r="K188">
            <v>0</v>
          </cell>
          <cell r="L188">
            <v>0</v>
          </cell>
          <cell r="M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80</v>
          </cell>
          <cell r="K197">
            <v>0</v>
          </cell>
          <cell r="L197">
            <v>0</v>
          </cell>
          <cell r="M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14800000</v>
          </cell>
          <cell r="K201">
            <v>0</v>
          </cell>
          <cell r="L201">
            <v>0</v>
          </cell>
          <cell r="M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33300</v>
          </cell>
          <cell r="K202">
            <v>0</v>
          </cell>
          <cell r="L202">
            <v>0</v>
          </cell>
          <cell r="M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49900</v>
          </cell>
          <cell r="K203">
            <v>0</v>
          </cell>
          <cell r="L203">
            <v>0</v>
          </cell>
          <cell r="M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9400</v>
          </cell>
          <cell r="K255">
            <v>0</v>
          </cell>
          <cell r="L255">
            <v>0</v>
          </cell>
          <cell r="M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21000</v>
          </cell>
          <cell r="K256">
            <v>0</v>
          </cell>
          <cell r="L256">
            <v>0</v>
          </cell>
          <cell r="M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32500</v>
          </cell>
          <cell r="K257">
            <v>0</v>
          </cell>
          <cell r="L257">
            <v>0</v>
          </cell>
          <cell r="M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42500</v>
          </cell>
          <cell r="K258">
            <v>0</v>
          </cell>
          <cell r="L258">
            <v>0</v>
          </cell>
          <cell r="M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430000</v>
          </cell>
          <cell r="K259">
            <v>0</v>
          </cell>
          <cell r="L259">
            <v>0</v>
          </cell>
          <cell r="M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900</v>
          </cell>
          <cell r="K260">
            <v>0</v>
          </cell>
          <cell r="L260">
            <v>0</v>
          </cell>
          <cell r="M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2000</v>
          </cell>
          <cell r="K261">
            <v>0</v>
          </cell>
          <cell r="L261">
            <v>0</v>
          </cell>
          <cell r="M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50000</v>
          </cell>
          <cell r="K262">
            <v>0</v>
          </cell>
          <cell r="L262">
            <v>0</v>
          </cell>
          <cell r="M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5500</v>
          </cell>
          <cell r="K263">
            <v>0</v>
          </cell>
          <cell r="L263">
            <v>0</v>
          </cell>
          <cell r="M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396</v>
          </cell>
          <cell r="K323">
            <v>0</v>
          </cell>
          <cell r="L323">
            <v>0</v>
          </cell>
          <cell r="M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1340</v>
          </cell>
          <cell r="K324">
            <v>0</v>
          </cell>
          <cell r="L324">
            <v>0</v>
          </cell>
          <cell r="M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50000</v>
          </cell>
          <cell r="K325">
            <v>0</v>
          </cell>
          <cell r="L325">
            <v>0</v>
          </cell>
          <cell r="M325">
            <v>0</v>
          </cell>
        </row>
        <row r="326">
          <cell r="G326">
            <v>0</v>
          </cell>
          <cell r="H326">
            <v>47799</v>
          </cell>
          <cell r="I326">
            <v>0</v>
          </cell>
          <cell r="J326">
            <v>72220</v>
          </cell>
          <cell r="K326">
            <v>0</v>
          </cell>
          <cell r="L326">
            <v>1433</v>
          </cell>
          <cell r="M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G335">
            <v>189183</v>
          </cell>
          <cell r="H335">
            <v>3669</v>
          </cell>
          <cell r="I335">
            <v>167904</v>
          </cell>
          <cell r="J335">
            <v>465</v>
          </cell>
          <cell r="K335">
            <v>21279</v>
          </cell>
          <cell r="L335">
            <v>0</v>
          </cell>
          <cell r="M335">
            <v>0</v>
          </cell>
        </row>
        <row r="336">
          <cell r="G336">
            <v>0</v>
          </cell>
          <cell r="H336">
            <v>10474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G337">
            <v>0</v>
          </cell>
          <cell r="H337">
            <v>14140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G338">
            <v>139801</v>
          </cell>
          <cell r="H338">
            <v>3590</v>
          </cell>
          <cell r="I338">
            <v>124879</v>
          </cell>
          <cell r="J338">
            <v>429</v>
          </cell>
          <cell r="K338">
            <v>14922</v>
          </cell>
          <cell r="L338">
            <v>0</v>
          </cell>
          <cell r="M338">
            <v>0</v>
          </cell>
        </row>
        <row r="339">
          <cell r="G339">
            <v>71355</v>
          </cell>
          <cell r="H339">
            <v>1424</v>
          </cell>
          <cell r="I339">
            <v>49639</v>
          </cell>
          <cell r="J339">
            <v>65</v>
          </cell>
          <cell r="K339">
            <v>2265</v>
          </cell>
          <cell r="L339">
            <v>558</v>
          </cell>
          <cell r="M339">
            <v>19451</v>
          </cell>
        </row>
        <row r="340">
          <cell r="G340">
            <v>0</v>
          </cell>
          <cell r="H340">
            <v>5761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G341">
            <v>114344</v>
          </cell>
          <cell r="H341">
            <v>10474</v>
          </cell>
          <cell r="I341">
            <v>114344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G342">
            <v>362643</v>
          </cell>
          <cell r="H342">
            <v>30174</v>
          </cell>
          <cell r="I342">
            <v>133610</v>
          </cell>
          <cell r="J342">
            <v>51724</v>
          </cell>
          <cell r="K342">
            <v>229033</v>
          </cell>
          <cell r="L342">
            <v>0</v>
          </cell>
          <cell r="M342">
            <v>0</v>
          </cell>
        </row>
        <row r="343">
          <cell r="G343">
            <v>65697</v>
          </cell>
          <cell r="H343">
            <v>27362</v>
          </cell>
          <cell r="I343">
            <v>24571</v>
          </cell>
          <cell r="J343">
            <v>45798</v>
          </cell>
          <cell r="K343">
            <v>41126</v>
          </cell>
          <cell r="L343">
            <v>0</v>
          </cell>
          <cell r="M343">
            <v>0</v>
          </cell>
        </row>
        <row r="344">
          <cell r="G344">
            <v>0</v>
          </cell>
          <cell r="H344">
            <v>40765</v>
          </cell>
          <cell r="I344">
            <v>0</v>
          </cell>
          <cell r="J344">
            <v>18403</v>
          </cell>
          <cell r="K344">
            <v>0</v>
          </cell>
          <cell r="L344">
            <v>0</v>
          </cell>
          <cell r="M344">
            <v>0</v>
          </cell>
        </row>
        <row r="345">
          <cell r="G345">
            <v>931684</v>
          </cell>
          <cell r="H345">
            <v>16346</v>
          </cell>
          <cell r="I345">
            <v>642397</v>
          </cell>
          <cell r="J345">
            <v>7361</v>
          </cell>
          <cell r="K345">
            <v>289287</v>
          </cell>
          <cell r="L345">
            <v>0</v>
          </cell>
          <cell r="M345">
            <v>0</v>
          </cell>
        </row>
        <row r="346">
          <cell r="G346">
            <v>357171</v>
          </cell>
          <cell r="H346">
            <v>2697208</v>
          </cell>
          <cell r="I346">
            <v>207415</v>
          </cell>
          <cell r="J346">
            <v>1937751</v>
          </cell>
          <cell r="K346">
            <v>149013</v>
          </cell>
          <cell r="L346">
            <v>9668</v>
          </cell>
          <cell r="M346">
            <v>743</v>
          </cell>
        </row>
        <row r="347">
          <cell r="G347">
            <v>212216</v>
          </cell>
          <cell r="H347">
            <v>415397</v>
          </cell>
          <cell r="I347">
            <v>210486</v>
          </cell>
          <cell r="J347">
            <v>3415</v>
          </cell>
          <cell r="K347">
            <v>1730</v>
          </cell>
          <cell r="L347">
            <v>0</v>
          </cell>
          <cell r="M347">
            <v>0</v>
          </cell>
        </row>
        <row r="348">
          <cell r="G348">
            <v>21302</v>
          </cell>
          <cell r="H348">
            <v>126657</v>
          </cell>
          <cell r="I348">
            <v>15198</v>
          </cell>
          <cell r="J348">
            <v>50870</v>
          </cell>
          <cell r="K348">
            <v>6104</v>
          </cell>
          <cell r="L348">
            <v>0</v>
          </cell>
          <cell r="M348">
            <v>0</v>
          </cell>
        </row>
        <row r="349">
          <cell r="G349">
            <v>357444</v>
          </cell>
          <cell r="H349">
            <v>15625</v>
          </cell>
          <cell r="I349">
            <v>281250</v>
          </cell>
          <cell r="J349">
            <v>4233</v>
          </cell>
          <cell r="K349">
            <v>76194</v>
          </cell>
          <cell r="L349">
            <v>0</v>
          </cell>
          <cell r="M349">
            <v>0</v>
          </cell>
        </row>
        <row r="350">
          <cell r="G350">
            <v>29880</v>
          </cell>
          <cell r="H350">
            <v>22515</v>
          </cell>
          <cell r="I350">
            <v>19813</v>
          </cell>
          <cell r="J350">
            <v>11440</v>
          </cell>
          <cell r="K350">
            <v>10067</v>
          </cell>
          <cell r="L350">
            <v>0</v>
          </cell>
          <cell r="M350">
            <v>0</v>
          </cell>
        </row>
        <row r="351">
          <cell r="G351">
            <v>0</v>
          </cell>
          <cell r="H351">
            <v>8035</v>
          </cell>
          <cell r="I351">
            <v>0</v>
          </cell>
          <cell r="J351">
            <v>118800</v>
          </cell>
          <cell r="K351">
            <v>0</v>
          </cell>
          <cell r="L351">
            <v>0</v>
          </cell>
          <cell r="M351">
            <v>0</v>
          </cell>
        </row>
        <row r="352">
          <cell r="G352">
            <v>0</v>
          </cell>
          <cell r="H352">
            <v>711</v>
          </cell>
          <cell r="I352">
            <v>0</v>
          </cell>
          <cell r="J352">
            <v>5463</v>
          </cell>
          <cell r="K352">
            <v>0</v>
          </cell>
          <cell r="L352">
            <v>51</v>
          </cell>
          <cell r="M352">
            <v>0</v>
          </cell>
        </row>
        <row r="353">
          <cell r="G353">
            <v>0</v>
          </cell>
          <cell r="H353">
            <v>747</v>
          </cell>
          <cell r="I353">
            <v>0</v>
          </cell>
          <cell r="J353">
            <v>6205</v>
          </cell>
          <cell r="K353">
            <v>0</v>
          </cell>
          <cell r="L353">
            <v>51</v>
          </cell>
          <cell r="M353">
            <v>0</v>
          </cell>
        </row>
        <row r="354">
          <cell r="G354">
            <v>0</v>
          </cell>
          <cell r="H354">
            <v>26272</v>
          </cell>
          <cell r="I354">
            <v>0</v>
          </cell>
          <cell r="J354">
            <v>4496</v>
          </cell>
          <cell r="K354">
            <v>0</v>
          </cell>
          <cell r="L354">
            <v>5290</v>
          </cell>
          <cell r="M354">
            <v>0</v>
          </cell>
        </row>
        <row r="355">
          <cell r="G355">
            <v>0</v>
          </cell>
          <cell r="H355">
            <v>39171</v>
          </cell>
          <cell r="I355">
            <v>0</v>
          </cell>
          <cell r="J355">
            <v>4430</v>
          </cell>
          <cell r="K355">
            <v>0</v>
          </cell>
          <cell r="L355">
            <v>4232</v>
          </cell>
          <cell r="M355">
            <v>0</v>
          </cell>
        </row>
        <row r="356">
          <cell r="G356">
            <v>0</v>
          </cell>
          <cell r="H356">
            <v>6754</v>
          </cell>
          <cell r="I356">
            <v>0</v>
          </cell>
          <cell r="J356">
            <v>101</v>
          </cell>
          <cell r="K356">
            <v>0</v>
          </cell>
          <cell r="L356">
            <v>114</v>
          </cell>
          <cell r="M356">
            <v>0</v>
          </cell>
        </row>
        <row r="357">
          <cell r="G357">
            <v>0</v>
          </cell>
          <cell r="H357">
            <v>6202</v>
          </cell>
          <cell r="I357">
            <v>0</v>
          </cell>
          <cell r="J357">
            <v>100</v>
          </cell>
          <cell r="K357">
            <v>0</v>
          </cell>
          <cell r="L357">
            <v>109</v>
          </cell>
          <cell r="M357">
            <v>0</v>
          </cell>
        </row>
        <row r="358">
          <cell r="G358">
            <v>0</v>
          </cell>
          <cell r="H358">
            <v>2994</v>
          </cell>
          <cell r="I358">
            <v>0</v>
          </cell>
          <cell r="J358">
            <v>371</v>
          </cell>
          <cell r="K358">
            <v>0</v>
          </cell>
          <cell r="L358">
            <v>413</v>
          </cell>
          <cell r="M358">
            <v>0</v>
          </cell>
        </row>
        <row r="359">
          <cell r="G359">
            <v>0</v>
          </cell>
          <cell r="H359">
            <v>15121</v>
          </cell>
          <cell r="I359">
            <v>0</v>
          </cell>
          <cell r="J359">
            <v>1397</v>
          </cell>
          <cell r="K359">
            <v>0</v>
          </cell>
          <cell r="L359">
            <v>167</v>
          </cell>
          <cell r="M359">
            <v>0</v>
          </cell>
        </row>
        <row r="360">
          <cell r="G360">
            <v>0</v>
          </cell>
          <cell r="H360">
            <v>13694</v>
          </cell>
          <cell r="I360">
            <v>0</v>
          </cell>
          <cell r="J360">
            <v>481</v>
          </cell>
          <cell r="K360">
            <v>0</v>
          </cell>
          <cell r="L360">
            <v>733</v>
          </cell>
          <cell r="M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G363">
            <v>0</v>
          </cell>
          <cell r="H363">
            <v>28309</v>
          </cell>
          <cell r="I363">
            <v>0</v>
          </cell>
          <cell r="J363">
            <v>3125</v>
          </cell>
          <cell r="K363">
            <v>0</v>
          </cell>
          <cell r="L363">
            <v>0</v>
          </cell>
          <cell r="M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21970</v>
          </cell>
          <cell r="M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20438</v>
          </cell>
          <cell r="M365">
            <v>0</v>
          </cell>
        </row>
        <row r="366">
          <cell r="G366">
            <v>0</v>
          </cell>
          <cell r="H366">
            <v>27126</v>
          </cell>
          <cell r="I366">
            <v>0</v>
          </cell>
          <cell r="J366">
            <v>3180</v>
          </cell>
          <cell r="K366">
            <v>0</v>
          </cell>
          <cell r="L366">
            <v>0</v>
          </cell>
          <cell r="M366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63000</v>
          </cell>
          <cell r="K376">
            <v>0</v>
          </cell>
          <cell r="L376">
            <v>0</v>
          </cell>
          <cell r="M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17500</v>
          </cell>
          <cell r="K383">
            <v>0</v>
          </cell>
          <cell r="L383">
            <v>0</v>
          </cell>
          <cell r="M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33000</v>
          </cell>
          <cell r="K384">
            <v>0</v>
          </cell>
          <cell r="L384">
            <v>0</v>
          </cell>
          <cell r="M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16500</v>
          </cell>
          <cell r="K389">
            <v>0</v>
          </cell>
          <cell r="L389">
            <v>0</v>
          </cell>
          <cell r="M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31500</v>
          </cell>
          <cell r="K390">
            <v>0</v>
          </cell>
          <cell r="L390">
            <v>0</v>
          </cell>
          <cell r="M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60000</v>
          </cell>
          <cell r="K391">
            <v>0</v>
          </cell>
          <cell r="L391">
            <v>0</v>
          </cell>
          <cell r="M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5000</v>
          </cell>
          <cell r="K392">
            <v>0</v>
          </cell>
          <cell r="L392">
            <v>0</v>
          </cell>
          <cell r="M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1620</v>
          </cell>
          <cell r="K393">
            <v>0</v>
          </cell>
          <cell r="L393">
            <v>0</v>
          </cell>
          <cell r="M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2200</v>
          </cell>
          <cell r="K394">
            <v>0</v>
          </cell>
          <cell r="L394">
            <v>0</v>
          </cell>
          <cell r="M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70</v>
          </cell>
          <cell r="K395">
            <v>0</v>
          </cell>
          <cell r="L395">
            <v>0</v>
          </cell>
          <cell r="M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25000</v>
          </cell>
          <cell r="K396">
            <v>0</v>
          </cell>
          <cell r="L396">
            <v>0</v>
          </cell>
          <cell r="M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5000</v>
          </cell>
          <cell r="K397">
            <v>0</v>
          </cell>
          <cell r="L397">
            <v>0</v>
          </cell>
          <cell r="M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786</v>
          </cell>
          <cell r="M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1321</v>
          </cell>
          <cell r="M399">
            <v>0</v>
          </cell>
        </row>
        <row r="400">
          <cell r="G400">
            <v>51724</v>
          </cell>
          <cell r="H400">
            <v>0</v>
          </cell>
          <cell r="I400">
            <v>0</v>
          </cell>
          <cell r="J400">
            <v>50710</v>
          </cell>
          <cell r="K400">
            <v>51724</v>
          </cell>
          <cell r="L400">
            <v>0</v>
          </cell>
          <cell r="M400">
            <v>0</v>
          </cell>
        </row>
        <row r="401">
          <cell r="G401">
            <v>45798</v>
          </cell>
          <cell r="H401">
            <v>0</v>
          </cell>
          <cell r="I401">
            <v>0</v>
          </cell>
          <cell r="J401">
            <v>44900</v>
          </cell>
          <cell r="K401">
            <v>45798</v>
          </cell>
          <cell r="L401">
            <v>0</v>
          </cell>
          <cell r="M40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현설(토.철)"/>
      <sheetName val="토공견적서"/>
      <sheetName val="철콘견적서"/>
      <sheetName val="ITE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☞개인진도및전화부및견적조건"/>
      <sheetName val="      ★개인별현황표(김종우기사)"/>
      <sheetName val="      주소록"/>
      <sheetName val="☞골조,철골,조적분석표"/>
      <sheetName val="      ★골조분석표(서태용대리)"/>
      <sheetName val="      골조부재별비율"/>
      <sheetName val="☞마감분석표"/>
      <sheetName val="    (주)경원건축공사비분석표"/>
      <sheetName val="    (주)경원건축공사비분석표(공)"/>
      <sheetName val="ITEM"/>
      <sheetName val="A-4"/>
      <sheetName val="WORK"/>
      <sheetName val="99-04-19-서울대관련(수정중)"/>
      <sheetName val="ilch"/>
      <sheetName val="연수동"/>
      <sheetName val="오산갈곳"/>
      <sheetName val="TEL"/>
      <sheetName val="Y-WORK"/>
      <sheetName val="토공사"/>
      <sheetName val="ABUT수량-A1"/>
      <sheetName val="산업개발안내서"/>
      <sheetName val="c_balju"/>
      <sheetName val="단가"/>
      <sheetName val="시설물일위"/>
      <sheetName val="경비2내역"/>
      <sheetName val="BQ"/>
      <sheetName val="Sheet5"/>
      <sheetName val="Sheet4"/>
      <sheetName val="을"/>
      <sheetName val="BSD (2)"/>
      <sheetName val="P.M 별"/>
      <sheetName val="1월"/>
      <sheetName val="VXXXXXXX"/>
      <sheetName val="장비당단가 (1)"/>
      <sheetName val="부대내역"/>
      <sheetName val="Sheet1"/>
      <sheetName val="투찰"/>
      <sheetName val="전기공사"/>
      <sheetName val="공통가설공사"/>
      <sheetName val="공통부대비"/>
      <sheetName val="20관리비율"/>
      <sheetName val="건축내역"/>
      <sheetName val="도급"/>
      <sheetName val="토목내역"/>
      <sheetName val="전기일위대가"/>
      <sheetName val="3련 BOX"/>
      <sheetName val="단면(RW1)"/>
      <sheetName val="TYPE-A"/>
      <sheetName val="내역1"/>
      <sheetName val="영업2"/>
      <sheetName val="내역서(총)"/>
      <sheetName val="집계표"/>
      <sheetName val="보합"/>
      <sheetName val="차액보증"/>
      <sheetName val="토&amp;흙"/>
      <sheetName val="2F 회의실견적(5_14 일대)"/>
      <sheetName val="DATA(BAC)"/>
      <sheetName val="세부내역"/>
      <sheetName val="TOTAL"/>
      <sheetName val="기별(종합)"/>
      <sheetName val="맨홀수량집계"/>
      <sheetName val="D-3503"/>
      <sheetName val="Site Expenses"/>
      <sheetName val="갑지(추정)"/>
      <sheetName val="EUPDAT2"/>
      <sheetName val="INST_DCI"/>
      <sheetName val="HVAC_DCI"/>
      <sheetName val="PIPE_DCI"/>
      <sheetName val="PRO_DCI"/>
      <sheetName val="Dae_Jiju"/>
      <sheetName val="Sikje_ingun"/>
      <sheetName val="TREE_D"/>
      <sheetName val="설계조건"/>
      <sheetName val="안정계산"/>
      <sheetName val="단면검토"/>
      <sheetName val="DATA1"/>
      <sheetName val="일위대가목록"/>
      <sheetName val="CONCRETE"/>
      <sheetName val="일반공사"/>
      <sheetName val="원형맨홀수량"/>
      <sheetName val="일위대가표(DEEP)"/>
      <sheetName val="가시설수량"/>
      <sheetName val="단위수량"/>
      <sheetName val="설산1.나"/>
      <sheetName val="본사S"/>
      <sheetName val="물량산출근거"/>
      <sheetName val="교각1"/>
      <sheetName val="을지"/>
      <sheetName val="실행내역"/>
      <sheetName val="3BL공동구 수량"/>
      <sheetName val="건축원가계산서"/>
      <sheetName val="일위대가목차"/>
      <sheetName val="TABLE"/>
      <sheetName val="BSD _2_"/>
      <sheetName val="내역서"/>
      <sheetName val="장비집계"/>
      <sheetName val="SLAB"/>
      <sheetName val="입찰안"/>
      <sheetName val="聒CD-STRAND PILE 압입및굴착"/>
      <sheetName val="공사원가계산서"/>
      <sheetName val="계산근거"/>
      <sheetName val="일위대가목록(1)"/>
      <sheetName val="단가대비표(1)"/>
      <sheetName val="Testing"/>
      <sheetName val="list price"/>
      <sheetName val="PUMP"/>
      <sheetName val="gyun"/>
      <sheetName val="Customer Databas"/>
      <sheetName val="공사비 내역 (가)"/>
      <sheetName val="MOTOR"/>
      <sheetName val="J直材4"/>
      <sheetName val="인건비"/>
      <sheetName val=" "/>
      <sheetName val="산거각호표"/>
      <sheetName val="대비"/>
      <sheetName val="감가상각"/>
      <sheetName val="INSTR"/>
      <sheetName val="BQ-Offsite"/>
      <sheetName val="Cover"/>
      <sheetName val="L형옹벽(key)"/>
      <sheetName val="물량표"/>
      <sheetName val="방배동내역(리라)"/>
      <sheetName val="청산공사"/>
      <sheetName val="INPUT"/>
      <sheetName val="기계내역"/>
      <sheetName val="ELECTRIC"/>
      <sheetName val="CTEMCOST"/>
      <sheetName val="SCHEDULE"/>
      <sheetName val="96수출"/>
      <sheetName val="FAB별"/>
      <sheetName val="수량산출서"/>
      <sheetName val="Base_Data"/>
      <sheetName val="IMP(MAIN)"/>
      <sheetName val="IMP (REACTOR)"/>
      <sheetName val="단면가정"/>
      <sheetName val="공사비산출내역"/>
      <sheetName val="가시설단위수량"/>
      <sheetName val=" 견적서"/>
      <sheetName val="투자효율분석"/>
      <sheetName val="설계명세서"/>
      <sheetName val="원가"/>
      <sheetName val="배수관공"/>
      <sheetName val="단가대비표"/>
      <sheetName val="일위대가"/>
      <sheetName val="조경"/>
      <sheetName val="Indirect Cost"/>
      <sheetName val="현황산출서"/>
      <sheetName val="단중표"/>
      <sheetName val="내역서 "/>
      <sheetName val="별표 "/>
      <sheetName val="1"/>
      <sheetName val="unit"/>
      <sheetName val="수량산출"/>
      <sheetName val="SE-611"/>
      <sheetName val="DATA_BAC_"/>
      <sheetName val="단위중량"/>
      <sheetName val="단가표 "/>
      <sheetName val="연습"/>
      <sheetName val="전신환매도율"/>
      <sheetName val="양식"/>
      <sheetName val="차량구입"/>
      <sheetName val="wblff(before omi pc&amp;stump)"/>
      <sheetName val="Macro1"/>
      <sheetName val="금액집계"/>
      <sheetName val="노원열병합  건축공사기성내역서"/>
      <sheetName val="식재품셈"/>
      <sheetName val="RCD-STRAND_PILE_압입및굴착"/>
      <sheetName val="______★개인별현황표(김종우기사)"/>
      <sheetName val="______주소록"/>
      <sheetName val="______★골조분석표(서태용대리)"/>
      <sheetName val="______골조부재별비율"/>
      <sheetName val="____(주)경원건축공사비분석표"/>
      <sheetName val="____(주)경원건축공사비분석표(공)"/>
      <sheetName val="장비당단가_(1)"/>
      <sheetName val="BSD_(2)"/>
      <sheetName val="실행예산"/>
      <sheetName val="밸브설치"/>
      <sheetName val="dg"/>
      <sheetName val="Proposal"/>
      <sheetName val="우각부보강"/>
      <sheetName val="환률"/>
      <sheetName val="HRSG SMALL07220"/>
      <sheetName val="가시설(TYPE-A)"/>
      <sheetName val="1-1평균터파기고(1)"/>
      <sheetName val="부재력정리"/>
      <sheetName val="터파기및재료"/>
      <sheetName val="토공계산서(부체도로)"/>
      <sheetName val="중기사용료"/>
      <sheetName val="내역"/>
      <sheetName val="말뚝지지력산정"/>
      <sheetName val="DATE"/>
      <sheetName val="단가표"/>
      <sheetName val="남양시작동자105노65기1.3화1.2"/>
      <sheetName val="금액"/>
      <sheetName val="P_M_별"/>
      <sheetName val="3련_BOX"/>
      <sheetName val="CALCULATION"/>
      <sheetName val="DESIGN_CRETERIA"/>
      <sheetName val="영동(D)"/>
      <sheetName val="날개벽"/>
      <sheetName val="FRT_O"/>
      <sheetName val="FAB_I"/>
      <sheetName val="원가계산서"/>
      <sheetName val="실행"/>
      <sheetName val="현장"/>
      <sheetName val="BQLIST"/>
      <sheetName val="TABLE2-1 ISBL-(SlTE PREP)"/>
      <sheetName val="TABLE2.1 ISBL (Soil Invest)"/>
      <sheetName val="TABLE2-2 OSBL(GENERAL-CIVIL)"/>
      <sheetName val="7.5.2 BOQ Summary "/>
      <sheetName val="Harga material "/>
      <sheetName val="IPL_SCHEDULE"/>
      <sheetName val="DATA"/>
      <sheetName val="말뚝물량"/>
      <sheetName val="분류기준"/>
      <sheetName val="7내역"/>
      <sheetName val="sum1 (2)"/>
      <sheetName val="(C)원내역"/>
      <sheetName val="총괄표"/>
      <sheetName val="공통가설"/>
      <sheetName val="I.설계조건"/>
      <sheetName val="1.설계기준"/>
      <sheetName val="GRDBS"/>
      <sheetName val="옹벽"/>
      <sheetName val="설계서"/>
      <sheetName val="토목"/>
      <sheetName val="플랜트 설치"/>
      <sheetName val="DOGI"/>
      <sheetName val="비교표"/>
      <sheetName val="kimre scrubber"/>
      <sheetName val="관람석제출"/>
      <sheetName val="wall"/>
      <sheetName val="단가대비"/>
      <sheetName val="소비자가"/>
      <sheetName val="Y_WORK"/>
      <sheetName val="1을"/>
      <sheetName val="Projekt4"/>
      <sheetName val="RING WALL"/>
      <sheetName val="cable"/>
      <sheetName val="AH-1 "/>
      <sheetName val="방송노임"/>
      <sheetName val="자재단가비교표"/>
      <sheetName val="단가비교표"/>
      <sheetName val="DRAIN DRUM PIT D-301"/>
      <sheetName val="날개벽(좌,우=45도,75도)"/>
      <sheetName val="품셈TABLE"/>
      <sheetName val="Sheet13"/>
      <sheetName val="발전기"/>
      <sheetName val="#REF"/>
      <sheetName val="Sheet14"/>
      <sheetName val="공사개요"/>
      <sheetName val="N賃率-職"/>
      <sheetName val="통신집계표1"/>
      <sheetName val="산출근거"/>
      <sheetName val="06-BATCH "/>
      <sheetName val="부하(성남)"/>
      <sheetName val="b_balju_cho"/>
      <sheetName val="대치판정"/>
      <sheetName val="EACT10"/>
      <sheetName val="전사계"/>
      <sheetName val="COPING"/>
      <sheetName val="8월현금흐름표"/>
      <sheetName val="RAHMEN"/>
      <sheetName val="개요"/>
      <sheetName val="가공비"/>
      <sheetName val="예산서"/>
      <sheetName val="설계명세서(선로)"/>
      <sheetName val="full (2)"/>
      <sheetName val="I一般比"/>
      <sheetName val="MAT"/>
      <sheetName val="2075-Q011"/>
      <sheetName val="3F"/>
      <sheetName val="본장"/>
      <sheetName val="직접인건비"/>
      <sheetName val="공문"/>
      <sheetName val="BID9697"/>
      <sheetName val="교통시설 표지판"/>
      <sheetName val="KP1590_E"/>
      <sheetName val="예산"/>
      <sheetName val="공사비PK5월"/>
      <sheetName val="BD集計用"/>
      <sheetName val="General Data"/>
      <sheetName val="인강기성"/>
      <sheetName val="SG"/>
      <sheetName val="자료(통합)"/>
      <sheetName val="대상공사(조달청)"/>
      <sheetName val="BID"/>
      <sheetName val="공사입력"/>
      <sheetName val="SRC-B3U2"/>
      <sheetName val="환율"/>
      <sheetName val="변화치수"/>
      <sheetName val="전체"/>
      <sheetName val="06_BATCH "/>
      <sheetName val="Studio"/>
      <sheetName val="단면치수"/>
      <sheetName val="BOM-Form A.1.III"/>
      <sheetName val="자재집계표"/>
      <sheetName val="단가조사표"/>
      <sheetName val="1호맨홀가감수량"/>
      <sheetName val="1호맨홀수량산출"/>
      <sheetName val="SORCE1"/>
      <sheetName val="국별인원"/>
      <sheetName val="직노"/>
      <sheetName val="일반맨홀수량집계"/>
      <sheetName val="업무처리전"/>
      <sheetName val="TT35"/>
      <sheetName val="TTTram"/>
      <sheetName val="SL dau tien"/>
      <sheetName val="총내역서"/>
      <sheetName val="입찰견적보고서"/>
      <sheetName val="주경기-오배수"/>
      <sheetName val="교각계산"/>
      <sheetName val="표지판현황"/>
      <sheetName val="수선비분석"/>
      <sheetName val="2F_회의실견적(5_14_일대)"/>
      <sheetName val="설계서을"/>
      <sheetName val="6월실적"/>
      <sheetName val="도급양식"/>
      <sheetName val="손익분석"/>
      <sheetName val="견적집계표"/>
      <sheetName val="지급자재"/>
      <sheetName val="ISBL"/>
      <sheetName val="OSBL"/>
      <sheetName val="신규단가내역"/>
      <sheetName val="FACTOR"/>
      <sheetName val="간선계산"/>
      <sheetName val="SALES&amp;COGS"/>
      <sheetName val="보차도경계석"/>
      <sheetName val="보도경계블럭"/>
      <sheetName val="개산공사비"/>
      <sheetName val="토사(PE)"/>
      <sheetName val="노임단가"/>
      <sheetName val=""/>
      <sheetName val="전체실적"/>
      <sheetName val="Requirement(Work Crew)"/>
      <sheetName val="1.설계조건"/>
      <sheetName val="예방접종계획"/>
      <sheetName val="근태계획서"/>
      <sheetName val="plan&amp;section of foundation"/>
      <sheetName val="CAPVC"/>
      <sheetName val="Bdown_ISBL"/>
      <sheetName val="ISBL (검증)"/>
      <sheetName val="TABLE2-2 OSBL-(SITE PREP)"/>
      <sheetName val="CONTENTS"/>
      <sheetName val="BM"/>
      <sheetName val="사업계획"/>
      <sheetName val="lookup"/>
      <sheetName val="BOQ0822"/>
      <sheetName val="INDIRECT MOBILIZATION PLAN"/>
      <sheetName val="MANPOWER MOBILIZATION"/>
      <sheetName val="LABOR MOBILIZATION PLAN"/>
      <sheetName val="STAFF MOBILIZATION PLAN"/>
      <sheetName val="LIST OF OFFICE EQUIPMENT"/>
      <sheetName val="BREAKDOWN"/>
      <sheetName val="PERSONNEL SETUP"/>
      <sheetName val="KOREAN STAFF SALARY - SITE"/>
      <sheetName val="TEMPORARY FACILITIES"/>
      <sheetName val="WATER SUPPLY"/>
      <sheetName val="TABLE2-1 ISBL(GENEAL-CIVIL)"/>
      <sheetName val="준검 내역서"/>
      <sheetName val="UOP 508 PG 5-12"/>
      <sheetName val="Site_Expenses"/>
      <sheetName val="Customer_Databas"/>
      <sheetName val="공사비_내역_(가)"/>
      <sheetName val="3BL공동구_수량"/>
      <sheetName val="聒CD-STRAND_PILE_압입및굴착"/>
      <sheetName val="BSD__2_"/>
      <sheetName val="설산1_나"/>
      <sheetName val="IMP_(REACTOR)"/>
      <sheetName val="효성CB 1P기초"/>
      <sheetName val="갑지_추정_"/>
      <sheetName val="UR2-Calculation"/>
      <sheetName val="가도공"/>
      <sheetName val="소방"/>
      <sheetName val="1F"/>
      <sheetName val="XL4Poppy"/>
      <sheetName val="단가디비"/>
      <sheetName val="물량표S"/>
      <sheetName val="계수시트"/>
      <sheetName val="C &amp; G RHS"/>
      <sheetName val="PumpSpec"/>
      <sheetName val="정렬"/>
      <sheetName val="단가사정"/>
      <sheetName val="Inputs"/>
      <sheetName val="Timing&amp;Esc"/>
      <sheetName val="I-O(번호별)"/>
      <sheetName val="NSMA-status"/>
      <sheetName val="일위대가표"/>
      <sheetName val="인부신상자료"/>
      <sheetName val="기초공"/>
      <sheetName val="기둥(원형)"/>
      <sheetName val="첨부파일"/>
      <sheetName val="Sheet1 (2)"/>
      <sheetName val="FRP내역서"/>
      <sheetName val="DS"/>
      <sheetName val="CAL"/>
      <sheetName val="화산경계"/>
      <sheetName val="경비"/>
      <sheetName val="설변물량"/>
      <sheetName val="APT내역"/>
      <sheetName val="덕전리"/>
      <sheetName val="BLOCK(1)"/>
      <sheetName val="HWSET"/>
      <sheetName val="비대칭계수"/>
      <sheetName val="전동기 SPEC"/>
      <sheetName val="공사비예산서(토목분)"/>
      <sheetName val="RCD-STRAND_PILE_압입및굴착4"/>
      <sheetName val="______★개인별현황표(김종우기사)4"/>
      <sheetName val="______주소록4"/>
      <sheetName val="______★골조분석표(서태용대리)4"/>
      <sheetName val="______골조부재별비율4"/>
      <sheetName val="____(주)경원건축공사비분석표4"/>
      <sheetName val="____(주)경원건축공사비분석표(공)4"/>
      <sheetName val="RCD-STRAND_PILE_압입및굴착1"/>
      <sheetName val="______★개인별현황표(김종우기사)1"/>
      <sheetName val="______주소록1"/>
      <sheetName val="______★골조분석표(서태용대리)1"/>
      <sheetName val="______골조부재별비율1"/>
      <sheetName val="____(주)경원건축공사비분석표1"/>
      <sheetName val="____(주)경원건축공사비분석표(공)1"/>
      <sheetName val="RCD-STRAND_PILE_압입및굴착2"/>
      <sheetName val="______★개인별현황표(김종우기사)2"/>
      <sheetName val="______주소록2"/>
      <sheetName val="______★골조분석표(서태용대리)2"/>
      <sheetName val="______골조부재별비율2"/>
      <sheetName val="____(주)경원건축공사비분석표2"/>
      <sheetName val="____(주)경원건축공사비분석표(공)2"/>
      <sheetName val="RCD-STRAND_PILE_압입및굴착3"/>
      <sheetName val="______★개인별현황표(김종우기사)3"/>
      <sheetName val="______주소록3"/>
      <sheetName val="______★골조분석표(서태용대리)3"/>
      <sheetName val="______골조부재별비율3"/>
      <sheetName val="____(주)경원건축공사비분석표3"/>
      <sheetName val="____(주)경원건축공사비분석표(공)3"/>
      <sheetName val="산출내역서집계표"/>
      <sheetName val="전압강하계산"/>
      <sheetName val="Mp-team 1"/>
      <sheetName val="부대대비"/>
      <sheetName val="냉연집계"/>
      <sheetName val="신우"/>
      <sheetName val="CODE"/>
      <sheetName val="2000년1차"/>
      <sheetName val="시멘트"/>
      <sheetName val="01"/>
      <sheetName val="오억미만"/>
      <sheetName val="단가산출서"/>
      <sheetName val="단가산출서 (2)"/>
      <sheetName val="설계산출기초"/>
      <sheetName val="을부담운반비"/>
      <sheetName val="운반비산출"/>
      <sheetName val="설계산출표지"/>
      <sheetName val="도급예산내역서총괄표"/>
      <sheetName val="조명시설"/>
      <sheetName val="woo(mac)"/>
      <sheetName val="을 2"/>
      <sheetName val="적용기준"/>
      <sheetName val="hvac(제어동)"/>
      <sheetName val="일위대가-1"/>
      <sheetName val="목록"/>
      <sheetName val="중기"/>
      <sheetName val="Change rate"/>
      <sheetName val="재무가정"/>
      <sheetName val="물가자료"/>
      <sheetName val="부대"/>
      <sheetName val="산출금액내역"/>
      <sheetName val="난방열교"/>
      <sheetName val="급탕열교"/>
      <sheetName val="실행품의서"/>
      <sheetName val="건축내역서"/>
      <sheetName val="90.03실행 "/>
      <sheetName val="데이타"/>
      <sheetName val="발신정보"/>
      <sheetName val="인건-측정"/>
      <sheetName val="송라터널총괄"/>
      <sheetName val="TTL"/>
      <sheetName val="1-1"/>
      <sheetName val="통합"/>
      <sheetName val="자재"/>
      <sheetName val="적용환율"/>
      <sheetName val="FANDBS"/>
      <sheetName val="GRDATA"/>
      <sheetName val="SHAFTDBSE"/>
      <sheetName val="연결임시"/>
      <sheetName val="여과지동"/>
      <sheetName val="기초자료"/>
      <sheetName val="검색"/>
      <sheetName val="Constant"/>
      <sheetName val="11.자재단가"/>
      <sheetName val="코드"/>
      <sheetName val="시설물기초"/>
      <sheetName val="원가계산"/>
      <sheetName val="1.우편집중내역서"/>
      <sheetName val="재료집계"/>
      <sheetName val="자판실행"/>
      <sheetName val="퇴비산출근거"/>
      <sheetName val="6호기"/>
      <sheetName val="교통표지"/>
      <sheetName val="유림콘도"/>
      <sheetName val="일위_파일"/>
      <sheetName val="조도계산서 (도서)"/>
      <sheetName val="계약서"/>
      <sheetName val="2.내역서"/>
      <sheetName val="2002상반기노임기준"/>
      <sheetName val="TEST1"/>
      <sheetName val="danga"/>
      <sheetName val="월선수금"/>
      <sheetName val="시중노임DATA"/>
      <sheetName val="b_gunmul"/>
      <sheetName val="공사비내역서"/>
      <sheetName val="MATRLDATA"/>
      <sheetName val="4 LINE"/>
      <sheetName val="7 th"/>
      <sheetName val="CP-E2 (품셈표)"/>
      <sheetName val="프랜트면허"/>
      <sheetName val="식재인부"/>
      <sheetName val="기자재비"/>
      <sheetName val="재집"/>
      <sheetName val="직재"/>
      <sheetName val="견적내용입력"/>
      <sheetName val="견적서세부내용"/>
      <sheetName val="건축(충일분)"/>
      <sheetName val="인건비 "/>
      <sheetName val="일반수량집계"/>
      <sheetName val="Earthwork"/>
      <sheetName val="CAB_OD"/>
      <sheetName val="효율계획(당월)"/>
      <sheetName val="사용자정의"/>
      <sheetName val="제품표준규격"/>
      <sheetName val="일반맨홀수량집계(A-7 LINE)"/>
      <sheetName val="Recording,Phone,Headset,PC"/>
      <sheetName val="archi(본사)"/>
      <sheetName val="FCU (2)"/>
      <sheetName val="수량산출서 갑지"/>
      <sheetName val="direct"/>
      <sheetName val="wage"/>
      <sheetName val="Front"/>
      <sheetName val="현장관리비"/>
      <sheetName val="강관 및 부속"/>
      <sheetName val="토공"/>
      <sheetName val="예산내역서"/>
      <sheetName val="설계예산서"/>
      <sheetName val="총계"/>
      <sheetName val="시행예산"/>
      <sheetName val="음료실행"/>
      <sheetName val="배명(단가)"/>
      <sheetName val="분석"/>
      <sheetName val="ACCESS FLOOR"/>
      <sheetName val="토목주소"/>
      <sheetName val="갑지1"/>
      <sheetName val="견적을지"/>
      <sheetName val="EJ"/>
      <sheetName val="예산명세서"/>
      <sheetName val="원하대비"/>
      <sheetName val="원도급"/>
      <sheetName val="자료입력"/>
      <sheetName val="하도급"/>
      <sheetName val="기계"/>
      <sheetName val="단면 (2)"/>
      <sheetName val="세부내역서(전기)"/>
      <sheetName val="업무"/>
      <sheetName val="ETC"/>
      <sheetName val="전기"/>
      <sheetName val="Assumptions"/>
      <sheetName val="토공(완충)"/>
      <sheetName val="과천MAIN"/>
      <sheetName val="단"/>
      <sheetName val="예산M12A"/>
      <sheetName val="케이블및전선관규격표"/>
      <sheetName val="표지"/>
      <sheetName val="001"/>
      <sheetName val="목동세대 산출근거"/>
      <sheetName val="자재단가"/>
      <sheetName val="수입"/>
      <sheetName val="채권(하반기)"/>
      <sheetName val="SUMMARY(S)"/>
      <sheetName val="CAUDIT"/>
      <sheetName val="Data Vol"/>
      <sheetName val="type-F"/>
      <sheetName val="설직재-1"/>
      <sheetName val="토공(우물통,기타) "/>
      <sheetName val="cost"/>
      <sheetName val="2-3.V.D일위"/>
      <sheetName val="실행철강하도"/>
      <sheetName val="Baby일위대가"/>
      <sheetName val="견적대비표"/>
      <sheetName val="도급내역서"/>
      <sheetName val="PROCURE"/>
      <sheetName val="특수선일위대가"/>
      <sheetName val="OCT.FDN"/>
      <sheetName val="현금"/>
      <sheetName val="동해title"/>
      <sheetName val="공주-교대(A1)"/>
      <sheetName val="March"/>
      <sheetName val="수량산출기초(케블등)"/>
      <sheetName val="CJE"/>
      <sheetName val="가설공사비"/>
      <sheetName val="도로구조공사비"/>
      <sheetName val="도로토공공사비"/>
      <sheetName val="여수토공사비"/>
      <sheetName val="Sheet3"/>
      <sheetName val="NAI"/>
      <sheetName val="경산"/>
      <sheetName val="종합"/>
      <sheetName val="재1"/>
      <sheetName val="견적의뢰"/>
      <sheetName val="견적대비 견적서"/>
      <sheetName val="품목"/>
      <sheetName val="현장코드"/>
      <sheetName val="해외코드"/>
      <sheetName val="D040416"/>
      <sheetName val="금액내역서"/>
      <sheetName val="견"/>
      <sheetName val="하중계산"/>
      <sheetName val="WAGE RATE BACK-UP DATA"/>
      <sheetName val="COVERSHEET PAGE"/>
      <sheetName val="eq_data"/>
      <sheetName val="PipWT"/>
      <sheetName val="품셈표"/>
      <sheetName val="TABLE2-1 ISBL(HDEC단가)"/>
      <sheetName val="TABLE2-2 OSBL(HDEC단가)"/>
      <sheetName val="유화"/>
      <sheetName val="DESIGN CRITERIA"/>
      <sheetName val="h-013211-2"/>
      <sheetName val="CAT_5"/>
      <sheetName val="4안전율"/>
      <sheetName val="기안"/>
      <sheetName val="1995년 섹터별 매출"/>
      <sheetName val="간접"/>
      <sheetName val="주방"/>
      <sheetName val="단가조사"/>
      <sheetName val="1.물가시세표"/>
      <sheetName val="12.부대공"/>
      <sheetName val="5.노임단가"/>
      <sheetName val="4.중기단가산출"/>
      <sheetName val="6.단가목록"/>
      <sheetName val="8.배수공"/>
      <sheetName val="S0"/>
      <sheetName val="8"/>
      <sheetName val="10"/>
      <sheetName val="12"/>
      <sheetName val="9"/>
      <sheetName val="11"/>
      <sheetName val="갑지"/>
      <sheetName val="6동"/>
      <sheetName val="설 계"/>
      <sheetName val="인사자료총집계"/>
      <sheetName val="금융비용"/>
      <sheetName val="건축집계표"/>
      <sheetName val="NPV"/>
      <sheetName val="inter"/>
      <sheetName val="1. Design Change"/>
      <sheetName val="일반설비내역서"/>
      <sheetName val="기준자료"/>
      <sheetName val="기성집계"/>
      <sheetName val="수량집계"/>
      <sheetName val="IMPEADENCE MAP 취수장"/>
      <sheetName val="견적서"/>
      <sheetName val="순환펌프"/>
      <sheetName val="저수조"/>
      <sheetName val="급,배기팬"/>
      <sheetName val="급탕순환펌프"/>
      <sheetName val="깨기"/>
      <sheetName val="협조전"/>
      <sheetName val="경비산출"/>
      <sheetName val="2.대외공문"/>
      <sheetName val="공사비집계"/>
      <sheetName val="잡비"/>
      <sheetName val="잡비계산서(총체2)"/>
      <sheetName val="내부부하"/>
      <sheetName val="CRUDE RE-bar"/>
      <sheetName val="전선 및 전선관"/>
      <sheetName val="주공 갑지"/>
      <sheetName val="EXPENSE"/>
      <sheetName val="원본"/>
      <sheetName val="한일양산"/>
      <sheetName val="JUCK"/>
      <sheetName val="A"/>
      <sheetName val="BOQ건축"/>
      <sheetName val="최초침전지집계표"/>
      <sheetName val="단가산출집계"/>
      <sheetName val="단가비교"/>
      <sheetName val="FAND唨6"/>
      <sheetName val="FAND_x0010__x0000_"/>
      <sheetName val="NOMUBI"/>
      <sheetName val="sw1"/>
      <sheetName val="현황"/>
      <sheetName val="Basic"/>
      <sheetName val="본지점중"/>
      <sheetName val="RFP002"/>
      <sheetName val="건내용"/>
      <sheetName val="Sheet2"/>
      <sheetName val="산근"/>
      <sheetName val="회사99"/>
      <sheetName val="system &amp; LOOK_UP_FUNC"/>
      <sheetName val="Sheet3 (2)"/>
      <sheetName val="DR(SUM)"/>
      <sheetName val="TL(SUM)"/>
      <sheetName val="2.설계제원"/>
      <sheetName val="산출근거목록"/>
      <sheetName val="일대목록"/>
      <sheetName val="TABLE2-2 OSBL(total)"/>
      <sheetName val="fitting"/>
      <sheetName val="MAIN"/>
      <sheetName val="PRO_A"/>
      <sheetName val="PRO"/>
      <sheetName val="Annex 3_Price Table_Piping Shop"/>
      <sheetName val="간접총괄"/>
      <sheetName val="Cash2"/>
      <sheetName val="Z"/>
      <sheetName val="PRICE-COMP"/>
      <sheetName val="장비당단가_(1)1"/>
      <sheetName val="BSD_(2)1"/>
      <sheetName val="TABLE2-1_ISBL-(SlTE_PREP)"/>
      <sheetName val="TABLE2_1_ISBL_(Soil_Invest)"/>
      <sheetName val="TABLE2-2_OSBL(GENERAL-CIVIL)"/>
      <sheetName val="7_5_2_BOQ_Summary_"/>
      <sheetName val="GREEN"/>
      <sheetName val="Hawiyah"/>
      <sheetName val="Hawiyah_하청"/>
      <sheetName val="HDEC_1027"/>
      <sheetName val="Juaymah"/>
      <sheetName val="SIPC"/>
      <sheetName val="장비당단가_(1)2"/>
      <sheetName val="BSD_(2)2"/>
      <sheetName val="P_M_별1"/>
      <sheetName val="설산1_나1"/>
      <sheetName val="TABLE2-1_ISBL-(SlTE_PREP)1"/>
      <sheetName val="TABLE2_1_ISBL_(Soil_Invest)1"/>
      <sheetName val="TABLE2-2_OSBL(GENERAL-CIVIL)1"/>
      <sheetName val="공사비_내역_(가)1"/>
      <sheetName val="3련_BOX1"/>
      <sheetName val="Site_Expenses1"/>
      <sheetName val="7_5_2_BOQ_Summary_1"/>
      <sheetName val="2F_회의실견적(5_14_일대)1"/>
      <sheetName val="BSD__2_1"/>
      <sheetName val="3BL공동구_수량1"/>
      <sheetName val="PRICE COMP"/>
      <sheetName val="참조"/>
      <sheetName val="영업소실적"/>
      <sheetName val="3희질산"/>
      <sheetName val="Administrative Prices"/>
      <sheetName val="HDECGTY"/>
      <sheetName val="DS-최종"/>
      <sheetName val="기계설비"/>
      <sheetName val="입력DATA"/>
      <sheetName val="바닥판"/>
      <sheetName val="수문보고"/>
      <sheetName val="골재산출"/>
      <sheetName val="half slab-1"/>
      <sheetName val="Sheet6"/>
      <sheetName val="Grid &amp; A.M"/>
      <sheetName val="가정단면"/>
      <sheetName val="예산M2"/>
      <sheetName val="Lookup tables"/>
      <sheetName val="지표"/>
      <sheetName val="소요자재"/>
      <sheetName val="정산내역서"/>
      <sheetName val="건축외주"/>
      <sheetName val="자  재"/>
      <sheetName val="진주방향"/>
      <sheetName val="건축2"/>
      <sheetName val="시험연구비상각"/>
      <sheetName val="2000.05"/>
      <sheetName val="공사비명세서"/>
      <sheetName val="방식총괄"/>
      <sheetName val="가설공사내역"/>
      <sheetName val="401"/>
      <sheetName val="동원인원산출"/>
    </sheetNames>
    <sheetDataSet>
      <sheetData sheetId="0">
        <row r="5">
          <cell r="D5" t="str">
            <v>(발표일:99.1.1)</v>
          </cell>
        </row>
      </sheetData>
      <sheetData sheetId="1">
        <row r="5">
          <cell r="D5" t="str">
            <v>(발표일:99.1.1)</v>
          </cell>
        </row>
      </sheetData>
      <sheetData sheetId="2">
        <row r="5">
          <cell r="D5" t="str">
            <v>(발표일:99.1.1)</v>
          </cell>
        </row>
      </sheetData>
      <sheetData sheetId="3">
        <row r="5">
          <cell r="D5" t="str">
            <v>(발표일:99.1.1)</v>
          </cell>
        </row>
      </sheetData>
      <sheetData sheetId="4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정부노임단가"/>
      <sheetName val="단가조사서"/>
      <sheetName val="공사원가"/>
      <sheetName val="내역서집계표"/>
      <sheetName val="내역서"/>
      <sheetName val="호표일위대가집계표"/>
      <sheetName val="호표일위대가"/>
      <sheetName val="중기산출근거"/>
      <sheetName val="중기집계표"/>
      <sheetName val="중기계산"/>
      <sheetName val="2.자재집계표"/>
      <sheetName val="토공-토사"/>
      <sheetName val="맹암거터파기"/>
      <sheetName val="되메우기및다짐1"/>
      <sheetName val="토사운반및사토장정리"/>
      <sheetName val="경암운반및사토장정리"/>
      <sheetName val="화강석 보조기층"/>
      <sheetName val="혼합기층 포설 및다짐 (2)"/>
      <sheetName val="보조기층 포설 및다짐"/>
      <sheetName val="아스콘기층"/>
      <sheetName val="아스콘표층"/>
      <sheetName val="프라임코팅"/>
      <sheetName val="텍코팅코팅"/>
      <sheetName val="보조기층운반"/>
      <sheetName val="철근운반"/>
      <sheetName val="흄관운반300"/>
      <sheetName val="도로경계석운반"/>
      <sheetName val="보차도경계석운반 (2)"/>
      <sheetName val="1.총괄토공"/>
      <sheetName val="2.하수터파기토공"/>
      <sheetName val="3.하수수량집계표"/>
      <sheetName val="배수관집계표-연결관"/>
      <sheetName val="연결관-300"/>
      <sheetName val="배수관집계표-오수관"/>
      <sheetName val="오수관-300"/>
      <sheetName val="맨홀집계및깊이계산서-오수"/>
      <sheetName val="오수맨홀900"/>
      <sheetName val="집수정600-600-3"/>
      <sheetName val="집수정300-400-1"/>
      <sheetName val="U형측구300×400"/>
      <sheetName val="4.맹암거집계표"/>
      <sheetName val="맹암거 토공"/>
      <sheetName val="맹암거100"/>
      <sheetName val="맹암거200"/>
      <sheetName val="맹암거300"/>
      <sheetName val="5.포장공사수량집계표"/>
      <sheetName val="화강석"/>
      <sheetName val="보차도경계석"/>
      <sheetName val="도로경계석 (2)"/>
      <sheetName val="L형측구"/>
      <sheetName val="아스팔트포장"/>
      <sheetName val="XXXXXX"/>
      <sheetName val="장비집계"/>
      <sheetName val="위생기구집계"/>
      <sheetName val="급수급탕집계"/>
      <sheetName val="급수급탕 (동관)"/>
      <sheetName val="오배수 (집계)"/>
      <sheetName val="NO-HUB"/>
      <sheetName val="오배수"/>
      <sheetName val="닥트집계"/>
      <sheetName val="덕트"/>
      <sheetName val="A-4"/>
      <sheetName val="장비당단가 (1)"/>
      <sheetName val="단위중량"/>
      <sheetName val="수목표준대가"/>
      <sheetName val="실행철강하도"/>
      <sheetName val="ITEM"/>
      <sheetName val="Cover"/>
      <sheetName val="Sheet5"/>
      <sheetName val="하수급견적대비"/>
      <sheetName val="일반부표"/>
      <sheetName val="공비대비"/>
      <sheetName val="견적서"/>
      <sheetName val="시행예산"/>
      <sheetName val=" 견적서"/>
      <sheetName val="환률"/>
      <sheetName val="WORK"/>
      <sheetName val="Dae_Jiju"/>
      <sheetName val="Sikje_ingun"/>
      <sheetName val="TREE_D"/>
      <sheetName val="Y-WORK"/>
      <sheetName val="을"/>
      <sheetName val="한일양산"/>
      <sheetName val="DATA"/>
      <sheetName val="데이타"/>
      <sheetName val="Sheet4"/>
      <sheetName val="c_balju"/>
      <sheetName val="1.맹암거관련"/>
      <sheetName val="건축내역"/>
      <sheetName val="입찰안"/>
      <sheetName val="L형옹벽(key)"/>
      <sheetName val="3BL공동구 수량"/>
      <sheetName val="BSD (2)"/>
      <sheetName val="BQ"/>
      <sheetName val="BID"/>
      <sheetName val="공사비 내역 (가)"/>
      <sheetName val="gyun"/>
      <sheetName val="차액보증"/>
      <sheetName val="GAEYO"/>
      <sheetName val="식재인부"/>
      <sheetName val="일위대가"/>
      <sheetName val="Site Expenses"/>
      <sheetName val="적용률"/>
      <sheetName val="20관리비율"/>
      <sheetName val="영동(D)"/>
      <sheetName val="부대내역"/>
      <sheetName val="내역"/>
      <sheetName val="동원인원"/>
      <sheetName val="토목내역"/>
      <sheetName val="가시설수량"/>
      <sheetName val="단위수량"/>
      <sheetName val="ilch"/>
      <sheetName val="설계"/>
      <sheetName val="Sheet1"/>
      <sheetName val="변압기 및 발전기 용량"/>
      <sheetName val="도급"/>
      <sheetName val="일위대가목록"/>
      <sheetName val="일위"/>
      <sheetName val="투찰"/>
      <sheetName val="Proposal"/>
      <sheetName val="산업개발안내서"/>
      <sheetName val="원가계산"/>
      <sheetName val="공문"/>
      <sheetName val="공통부대비"/>
      <sheetName val="MOTOR"/>
      <sheetName val="FAB별"/>
      <sheetName val="01"/>
      <sheetName val="IPL_SCHEDULE"/>
      <sheetName val="기계내역"/>
      <sheetName val="물량집계(전기)"/>
      <sheetName val="물량집계(계장)"/>
      <sheetName val="2_자재집계표"/>
      <sheetName val="화강석_보조기층"/>
      <sheetName val="혼합기층_포설_및다짐_(2)"/>
      <sheetName val="보조기층_포설_및다짐"/>
      <sheetName val="보차도경계석운반_(2)"/>
      <sheetName val="1_총괄토공"/>
      <sheetName val="2_하수터파기토공"/>
      <sheetName val="3_하수수량집계표"/>
      <sheetName val="4_맹암거집계표"/>
      <sheetName val="맹암거_토공"/>
      <sheetName val="5_포장공사수량집계표"/>
      <sheetName val="도로경계석_(2)"/>
      <sheetName val="급수급탕_(동관)"/>
      <sheetName val="오배수_(집계)"/>
      <sheetName val="장비당단가_(1)"/>
      <sheetName val="보합"/>
      <sheetName val="ABUT수량-A1"/>
      <sheetName val="산출근거"/>
      <sheetName val="CONCRETE"/>
      <sheetName val="TABLE"/>
      <sheetName val="일위대가목차"/>
      <sheetName val="직노"/>
      <sheetName val="9811"/>
      <sheetName val="감가상각"/>
      <sheetName val="Testing"/>
      <sheetName val="노임단가"/>
      <sheetName val="토공사"/>
      <sheetName val="맨홀수량집계"/>
      <sheetName val="OCT.FDN"/>
      <sheetName val="갑지"/>
      <sheetName val="집계표"/>
      <sheetName val="8월현금흐름표"/>
      <sheetName val="단가결정"/>
      <sheetName val="2F 회의실견적(5_14 일대)"/>
      <sheetName val="INST_DCI"/>
      <sheetName val="물량산출근거"/>
      <sheetName val="GRDBS"/>
      <sheetName val="수량산출"/>
      <sheetName val="말뚝물량"/>
      <sheetName val="DATE"/>
      <sheetName val="I.설계조건"/>
      <sheetName val="공통가설"/>
      <sheetName val="당초"/>
      <sheetName val="품셈TABLE"/>
      <sheetName val="부하LOAD"/>
      <sheetName val="자재단가비교표"/>
      <sheetName val="말뚝지지력산정"/>
      <sheetName val="GTG TR PIT"/>
      <sheetName val="결선list"/>
      <sheetName val="빙장비사양"/>
      <sheetName val="실행(ALT1)"/>
      <sheetName val="kimre scrubber"/>
      <sheetName val="단가표"/>
      <sheetName val="Customer Databas"/>
      <sheetName val="FANDBS"/>
      <sheetName val="GRDATA"/>
      <sheetName val="SHAFTDBSE"/>
      <sheetName val="소비자가"/>
      <sheetName val="MATRLDATA"/>
      <sheetName val="공사개요"/>
      <sheetName val="명세서"/>
      <sheetName val="원가"/>
      <sheetName val="밸브설치"/>
      <sheetName val="오산갈곳"/>
      <sheetName val="내역서(총)"/>
      <sheetName val="KP1590_E"/>
      <sheetName val="96수출"/>
      <sheetName val="Sheet15"/>
      <sheetName val="1.설계기준"/>
      <sheetName val="현장"/>
      <sheetName val="일반맨홀수량집계"/>
      <sheetName val="PRO_DCI"/>
      <sheetName val="HVAC_DCI"/>
      <sheetName val="PIPE_DCI"/>
      <sheetName val="단가"/>
      <sheetName val="시설물일위"/>
      <sheetName val="XL4Poppy"/>
      <sheetName val="PhaDoMong"/>
      <sheetName val="과천MAIN"/>
      <sheetName val="DATA(BAC)"/>
      <sheetName val="소업1교"/>
      <sheetName val="BLOCK(1)"/>
      <sheetName val="단가대비표"/>
      <sheetName val="단면치수"/>
      <sheetName val="7내역"/>
      <sheetName val="내역서(기계)"/>
      <sheetName val="Studio"/>
      <sheetName val="수목데이타 "/>
      <sheetName val="ATS단가"/>
      <sheetName val="DATA1"/>
      <sheetName val="형틀공사"/>
      <sheetName val="터파기및재료"/>
      <sheetName val="몰탈재료산출"/>
      <sheetName val="2공구산출내역"/>
      <sheetName val="J直材4"/>
      <sheetName val="국별인원"/>
      <sheetName val="연수동"/>
      <sheetName val="물량표"/>
      <sheetName val="b_balju_cho"/>
      <sheetName val="입찰견적보고서"/>
      <sheetName val="INPUT"/>
      <sheetName val="woo(mac)"/>
      <sheetName val="식재품셈"/>
      <sheetName val="토목"/>
      <sheetName val="PUMP"/>
      <sheetName val="견"/>
      <sheetName val="기별(종합)"/>
      <sheetName val="도급양식"/>
      <sheetName val="2.단면가정"/>
      <sheetName val="4.말뚝설계"/>
      <sheetName val="1.설계조건"/>
      <sheetName val="BJJIN"/>
      <sheetName val="COPING"/>
      <sheetName val="교각1"/>
      <sheetName val="표지판현황"/>
      <sheetName val="골재집계"/>
      <sheetName val="변화치수"/>
      <sheetName val="날개벽(좌,우=45도,75도)"/>
      <sheetName val="CAL"/>
      <sheetName val="SE-611"/>
      <sheetName val="1을"/>
      <sheetName val="견적집계표"/>
      <sheetName val="ISBL"/>
      <sheetName val="OSBL"/>
      <sheetName val="INSTR"/>
      <sheetName val="영업소실적"/>
      <sheetName val="건내용"/>
      <sheetName val="Sheet2"/>
      <sheetName val="TABLE2-1 ISBL(GENEAL-CIVIL)"/>
      <sheetName val="TABLE2-1 ISBL-(SlTE PREP)"/>
      <sheetName val="TABLE2.1 ISBL (Soil Invest)"/>
      <sheetName val="TABLE2-2 OSBL(GENERAL-CIVIL)"/>
      <sheetName val="TABLE2-2 OSBL-(SITE PREP)"/>
      <sheetName val="General Data"/>
      <sheetName val="PRO_A"/>
      <sheetName val="DWG"/>
      <sheetName val="ELEC_MCI"/>
      <sheetName val="MAIN"/>
      <sheetName val="INST_MCI"/>
      <sheetName val="MECH_MCI"/>
      <sheetName val="PRO"/>
      <sheetName val="입사시직위"/>
      <sheetName val="7.5.2 BOQ Summary "/>
      <sheetName val="공사비_내역_(가)"/>
      <sheetName val="_견적서"/>
      <sheetName val="2F_회의실견적(5_14_일대)"/>
      <sheetName val="BSD_(2)"/>
      <sheetName val="1_맹암거관련"/>
      <sheetName val="3BL공동구_수량"/>
      <sheetName val="Site_Expenses"/>
      <sheetName val="원형맨홀수량"/>
      <sheetName val="입력1"/>
      <sheetName val="관접합및부설"/>
      <sheetName val="FLA"/>
      <sheetName val="TEL"/>
      <sheetName val="경비2내역"/>
      <sheetName val="수목데이타"/>
      <sheetName val="가시설(TYPE-A)"/>
      <sheetName val="1호맨홀가감수량"/>
      <sheetName val="SORCE1"/>
      <sheetName val="1-1평균터파기고(1)"/>
      <sheetName val="1호맨홀수량산출"/>
      <sheetName val="전기일위대가"/>
      <sheetName val="수량산출서"/>
      <sheetName val="가공비"/>
      <sheetName val="조도계산서 (도서)"/>
      <sheetName val=" 해군동해관사 미장공사A그룹 공내역서.xlsx"/>
      <sheetName val="총괄표"/>
      <sheetName val="지주목시비량산출서"/>
      <sheetName val="danga"/>
      <sheetName val="직공비"/>
      <sheetName val="단가조사"/>
      <sheetName val="식재총괄"/>
      <sheetName val="횡배수관토공수량"/>
      <sheetName val="내역표지"/>
      <sheetName val="Inputs"/>
      <sheetName val="Timing&amp;Esc"/>
      <sheetName val="금액집계"/>
      <sheetName val="hvac(제어동)"/>
      <sheetName val="Total"/>
      <sheetName val="TYPE-B 평균H"/>
      <sheetName val="D-3503"/>
      <sheetName val="남양시작동자105노65기1.3화1.2"/>
      <sheetName val="부표총괄"/>
      <sheetName val="wall"/>
      <sheetName val="차량구입"/>
      <sheetName val="내역1"/>
      <sheetName val="설변물량"/>
      <sheetName val="부대대비"/>
      <sheetName val="냉연집계"/>
      <sheetName val="신우"/>
      <sheetName val="CODE"/>
      <sheetName val="2000년1차"/>
      <sheetName val="시멘트"/>
      <sheetName val="#REF"/>
      <sheetName val="별표 "/>
      <sheetName val="TC IN"/>
      <sheetName val="갑지(추정)"/>
      <sheetName val="Construction"/>
      <sheetName val="SL dau tien"/>
      <sheetName val="Item정리"/>
      <sheetName val="RAHMEN"/>
      <sheetName val="전신환매도율"/>
      <sheetName val="단위별 일위대가표"/>
      <sheetName val="정산노무"/>
      <sheetName val="정산재료"/>
      <sheetName val="TYPE-A"/>
      <sheetName val="가동비율"/>
      <sheetName val="Wind Load(3.1) (2)"/>
      <sheetName val="Wind Load(3.2)"/>
      <sheetName val="Wind Load(3.4)"/>
      <sheetName val="단면(RW1)"/>
      <sheetName val="Macro1"/>
      <sheetName val="Macro2"/>
      <sheetName val="덕전리"/>
      <sheetName val="기초일위"/>
      <sheetName val="시설일위"/>
      <sheetName val="조명일위"/>
      <sheetName val="전선 및 전선관"/>
      <sheetName val="I一般比"/>
      <sheetName val="N賃率-職"/>
      <sheetName val="설산1.나"/>
      <sheetName val="본사S"/>
      <sheetName val="Equipment"/>
      <sheetName val="Piping"/>
      <sheetName val="6월실적"/>
      <sheetName val="손익분석"/>
      <sheetName val="1-1"/>
      <sheetName val="단면가정"/>
      <sheetName val="IMP(MAIN)"/>
      <sheetName val="IMP (REACTOR)"/>
      <sheetName val="봉양~조차장간고하개명(신설)"/>
      <sheetName val="적격점수&lt;300억미만&gt;"/>
      <sheetName val="검사현황"/>
      <sheetName val="full (2)"/>
      <sheetName val="소일위대가코드표"/>
      <sheetName val="산출내역서집계표"/>
      <sheetName val="Baby일위대가"/>
      <sheetName val="7단가"/>
      <sheetName val="월선수금"/>
      <sheetName val="2_자재집계표4"/>
      <sheetName val="화강석_보조기층4"/>
      <sheetName val="혼합기층_포설_및다짐_(2)4"/>
      <sheetName val="보조기층_포설_및다짐4"/>
      <sheetName val="보차도경계석운반_(2)4"/>
      <sheetName val="1_총괄토공4"/>
      <sheetName val="2_하수터파기토공4"/>
      <sheetName val="3_하수수량집계표4"/>
      <sheetName val="4_맹암거집계표4"/>
      <sheetName val="맹암거_토공4"/>
      <sheetName val="5_포장공사수량집계표4"/>
      <sheetName val="도로경계석_(2)4"/>
      <sheetName val="급수급탕_(동관)4"/>
      <sheetName val="오배수_(집계)4"/>
      <sheetName val="2_자재집계표1"/>
      <sheetName val="화강석_보조기층1"/>
      <sheetName val="혼합기층_포설_및다짐_(2)1"/>
      <sheetName val="보조기층_포설_및다짐1"/>
      <sheetName val="보차도경계석운반_(2)1"/>
      <sheetName val="1_총괄토공1"/>
      <sheetName val="2_하수터파기토공1"/>
      <sheetName val="3_하수수량집계표1"/>
      <sheetName val="4_맹암거집계표1"/>
      <sheetName val="맹암거_토공1"/>
      <sheetName val="5_포장공사수량집계표1"/>
      <sheetName val="도로경계석_(2)1"/>
      <sheetName val="급수급탕_(동관)1"/>
      <sheetName val="오배수_(집계)1"/>
      <sheetName val="2_자재집계표2"/>
      <sheetName val="화강석_보조기층2"/>
      <sheetName val="혼합기층_포설_및다짐_(2)2"/>
      <sheetName val="보조기층_포설_및다짐2"/>
      <sheetName val="보차도경계석운반_(2)2"/>
      <sheetName val="1_총괄토공2"/>
      <sheetName val="2_하수터파기토공2"/>
      <sheetName val="3_하수수량집계표2"/>
      <sheetName val="4_맹암거집계표2"/>
      <sheetName val="맹암거_토공2"/>
      <sheetName val="5_포장공사수량집계표2"/>
      <sheetName val="도로경계석_(2)2"/>
      <sheetName val="급수급탕_(동관)2"/>
      <sheetName val="오배수_(집계)2"/>
      <sheetName val="2_자재집계표3"/>
      <sheetName val="화강석_보조기층3"/>
      <sheetName val="혼합기층_포설_및다짐_(2)3"/>
      <sheetName val="보조기층_포설_및다짐3"/>
      <sheetName val="보차도경계석운반_(2)3"/>
      <sheetName val="1_총괄토공3"/>
      <sheetName val="2_하수터파기토공3"/>
      <sheetName val="3_하수수량집계표3"/>
      <sheetName val="4_맹암거집계표3"/>
      <sheetName val="맹암거_토공3"/>
      <sheetName val="5_포장공사수량집계표3"/>
      <sheetName val="도로경계석_(2)3"/>
      <sheetName val="급수급탕_(동관)3"/>
      <sheetName val="오배수_(집계)3"/>
      <sheetName val="적용기준"/>
      <sheetName val="첨부파일"/>
      <sheetName val="EUPDAT2"/>
      <sheetName val="Hargamat"/>
      <sheetName val="검색"/>
      <sheetName val="개요"/>
      <sheetName val="Front"/>
      <sheetName val="SCH"/>
      <sheetName val="CTEMCOST"/>
      <sheetName val="design data"/>
      <sheetName val="member design"/>
      <sheetName val="연습"/>
      <sheetName val="Schedule C - Page 2 of 6"/>
      <sheetName val="Schedule C - Page 4 of 6"/>
      <sheetName val="Schedule C - Page 5 of 6"/>
      <sheetName val="Schedule C - Page 6 of 6"/>
      <sheetName val="Schedule A - Page 1 of 3"/>
      <sheetName val="Schedule A - Page 2 of 3"/>
      <sheetName val="Schedule A - Page 3 of 3"/>
      <sheetName val="Schedule B - Page 1 of 4"/>
      <sheetName val="Schedule B - Page 2 of 4"/>
      <sheetName val="Schedule B - Page 3 of 4"/>
      <sheetName val="Schedule B - Page 4 of 4"/>
      <sheetName val="Schedule C - Page 1 of 6"/>
      <sheetName val="Schedule C - Page 3 of 6"/>
      <sheetName val="Schedule E - Page 1 of 11"/>
      <sheetName val="Schedule E - Page 10 of 11"/>
      <sheetName val="Schedule E - Page 11 of 11"/>
      <sheetName val="Schedule E - Page 2 of 11"/>
      <sheetName val="Schedule E - Page 3 of 11"/>
      <sheetName val="Schedule E - Page 4 of 11"/>
      <sheetName val="Schedule E - Page 5 of 11"/>
      <sheetName val="Schedule E - Page 6 of 11"/>
      <sheetName val="Schedule E - Page 7 of 11"/>
      <sheetName val="Schedule E - Page 8 of 11"/>
      <sheetName val="Schedule E - Page 9 of 11"/>
      <sheetName val="A.1.3 - Page 1 of 1"/>
      <sheetName val="A.1.4 - Page 1 of 1"/>
      <sheetName val="A.4 - Page 1 of 1"/>
      <sheetName val="건축내역서"/>
      <sheetName val="차선도색현황"/>
      <sheetName val="횡배위치"/>
      <sheetName val="공종별 집계"/>
      <sheetName val="인제내역"/>
      <sheetName val="노원열병합  건축공사기성내역서"/>
      <sheetName val="금액"/>
      <sheetName val="Languages"/>
      <sheetName val="공사비내역서"/>
      <sheetName val="CAPVC"/>
      <sheetName val="연결임시"/>
      <sheetName val="FACTOR"/>
      <sheetName val="견적을지"/>
      <sheetName val="EJ"/>
      <sheetName val="전기공사"/>
      <sheetName val="토목주소"/>
      <sheetName val="프랜트면허"/>
      <sheetName val="4 LINE"/>
      <sheetName val="7 th"/>
      <sheetName val="DS-최종"/>
      <sheetName val="대비"/>
      <sheetName val="CP-E2 (품셈표)"/>
      <sheetName val="음료실행"/>
      <sheetName val="실행(표지,갑,을)"/>
      <sheetName val="네고율"/>
      <sheetName val="단가디비"/>
      <sheetName val="AS포장복구 "/>
      <sheetName val="비교표"/>
      <sheetName val="CCC"/>
      <sheetName val="A"/>
      <sheetName val="DOGI"/>
      <sheetName val="기성집계"/>
      <sheetName val="설계조건"/>
      <sheetName val="안정계산"/>
      <sheetName val="단면검토"/>
      <sheetName val="공사비예산서(토목분)"/>
      <sheetName val="1.취수장"/>
      <sheetName val="도급내역서"/>
      <sheetName val="내역5"/>
      <sheetName val="RING WALL"/>
      <sheetName val="Y_WORK"/>
      <sheetName val="뚝토공"/>
      <sheetName val="기계"/>
      <sheetName val="일위집계표"/>
      <sheetName val="골조시행"/>
      <sheetName val="자재단가"/>
      <sheetName val="요율"/>
      <sheetName val="노임"/>
      <sheetName val="자재대"/>
      <sheetName val="자료(통합)"/>
      <sheetName val="대상공사(조달청)"/>
      <sheetName val="SUMMARY(S)"/>
      <sheetName val="확산동"/>
      <sheetName val=""/>
      <sheetName val="C"/>
      <sheetName val="건축공사"/>
      <sheetName val="기초공"/>
      <sheetName val="기둥(원형)"/>
      <sheetName val="매원개착터널총괄"/>
      <sheetName val="제원.설계조건"/>
      <sheetName val="경비"/>
      <sheetName val="CALCULATION"/>
      <sheetName val="Data Vol"/>
      <sheetName val="공통가설공사"/>
      <sheetName val="Sheet1 (2)"/>
      <sheetName val="품셈표"/>
      <sheetName val="EXTERNAL(BOQ)"/>
      <sheetName val="123"/>
      <sheetName val="유화"/>
      <sheetName val="조명율표"/>
      <sheetName val="DESIGN CRITERIA"/>
      <sheetName val="PumpSpec"/>
      <sheetName val="eq_data"/>
      <sheetName val="h-013211-2"/>
      <sheetName val="견적의뢰"/>
      <sheetName val="CAT_5"/>
      <sheetName val="LABTOTAL"/>
      <sheetName val="sum1 (2)"/>
      <sheetName val="토&amp;흙"/>
      <sheetName val="배수통관(좌)"/>
      <sheetName val="일위대가목록(1)"/>
      <sheetName val="단가대비표(1)"/>
      <sheetName val="식재"/>
      <sheetName val="시설물"/>
      <sheetName val="식재출력용"/>
      <sheetName val="유지관리"/>
      <sheetName val="C &amp; G RHS"/>
      <sheetName val="I-O(번호별)"/>
      <sheetName val="NSMA-status"/>
      <sheetName val="단가산출서"/>
      <sheetName val="단가산출서 (2)"/>
      <sheetName val="내역단가"/>
      <sheetName val="일위단가"/>
      <sheetName val="현황"/>
      <sheetName val="웅진교-S2"/>
      <sheetName val="토공계산서(부체도로)"/>
      <sheetName val="HORI. VESSEL"/>
      <sheetName val="BQ-Offsite"/>
      <sheetName val="대창(함평)"/>
      <sheetName val="대창(장성)"/>
      <sheetName val="대창(함평)-창열"/>
      <sheetName val="차수"/>
      <sheetName val="배수공"/>
      <sheetName val="암거"/>
      <sheetName val="포장공"/>
      <sheetName val="업무"/>
      <sheetName val="Galaxy 소비자가격표"/>
      <sheetName val="남대문빌딩"/>
      <sheetName val="진천"/>
      <sheetName val="간접비(1)"/>
      <sheetName val="T1"/>
      <sheetName val="BSD _2_"/>
      <sheetName val="예가표"/>
      <sheetName val="토공산출(주차장)"/>
      <sheetName val="New Valuation"/>
      <sheetName val="인건비 "/>
      <sheetName val="공주-교대(A1)"/>
      <sheetName val="type-F"/>
      <sheetName val="물량"/>
      <sheetName val="일위목록"/>
      <sheetName val="참조자료"/>
      <sheetName val="현장관리비내역서"/>
      <sheetName val="Schedule E - P磇⊅밀⊅︀ꃕԯ_x0000_缀_x0000__x0000_"/>
      <sheetName val="산출금액내역"/>
      <sheetName val="조명투자및환수계획"/>
      <sheetName val="제조중간결과"/>
      <sheetName val="화성태안9공구내역(실행)"/>
      <sheetName val="SOHAR(2nd)"/>
      <sheetName val="WORK-VOL"/>
      <sheetName val="as boq list up"/>
      <sheetName val="system &amp; LOOK_UP_FUNC"/>
      <sheetName val="BM"/>
      <sheetName val="본지점중"/>
      <sheetName val="Indices"/>
      <sheetName val="1.맹암거관련.xls"/>
      <sheetName val="1.%EB%A7%B9%EC%95%94%EA%B1%B0%E"/>
      <sheetName val="estimate"/>
      <sheetName val="Base_Data"/>
      <sheetName val="PRICE-COMP"/>
      <sheetName val="pri-com"/>
      <sheetName val="내역서_x0000__x0000__x0000__x0000__x0000__x0000__x0000__x0000__x0000_ _x0000_띤ͤ_x0000__x0004__x0000__x0000__x0000__x0000__x0000__x0000_눼ͤ_x0000__x0000__x0000__x0000__x0000_"/>
      <sheetName val="guard(mac)"/>
      <sheetName val="기계설비"/>
      <sheetName val="이토변실(A3-LINE)"/>
      <sheetName val="H-PILE수량집계"/>
      <sheetName val="건축원가계산서"/>
      <sheetName val="6호기"/>
      <sheetName val="부하(성남)"/>
      <sheetName val="계수시트"/>
      <sheetName val="원가계산서"/>
      <sheetName val="목록"/>
      <sheetName val="Lookup tables"/>
      <sheetName val="견적"/>
      <sheetName val="실행견적"/>
      <sheetName val="FRT_O"/>
      <sheetName val="FAB_I"/>
      <sheetName val="FACTOR94"/>
      <sheetName val="NOMUBI"/>
      <sheetName val="sw1"/>
      <sheetName val="가시설단위수량"/>
      <sheetName val="1.우편집중내역서"/>
    </sheetNames>
    <sheetDataSet>
      <sheetData sheetId="0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a"/>
      <sheetName val="#REF"/>
      <sheetName val="일위대가"/>
      <sheetName val="집계"/>
      <sheetName val="예산서"/>
      <sheetName val="Sheet4"/>
      <sheetName val="Sheet5"/>
      <sheetName val="실행내역"/>
      <sheetName val="NEWDRAW"/>
      <sheetName val="산정기준"/>
      <sheetName val="현황CODE"/>
      <sheetName val="손익현황"/>
      <sheetName val="손익분석"/>
      <sheetName val="1유리"/>
      <sheetName val="RE9604"/>
      <sheetName val="45,46"/>
      <sheetName val="자바라1"/>
      <sheetName val="카메라"/>
      <sheetName val="ITEM-LIST"/>
      <sheetName val="산업"/>
      <sheetName val="GT2L원"/>
      <sheetName val="수금"/>
      <sheetName val="05월 공정외주"/>
      <sheetName val="JANGI-1"/>
      <sheetName val="중제관실적체크"/>
      <sheetName val="엔진(자금부)"/>
      <sheetName val="엔진매출(최종적용안)(재무+향투조정-환수원가차감) "/>
      <sheetName val="1."/>
      <sheetName val="진입고"/>
      <sheetName val="근거 및 가정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총괄원가)"/>
      <sheetName val="초원가"/>
      <sheetName val="중원가"/>
      <sheetName val="초갑지"/>
      <sheetName val="중갑지"/>
      <sheetName val="고갑지"/>
      <sheetName val="초등을지"/>
      <sheetName val="중등을지"/>
      <sheetName val="초중고통신일위대가"/>
      <sheetName val="표지 (2)"/>
      <sheetName val="MACRO(MCC)"/>
      <sheetName val="통신내역서(초.중.고.99.11)본청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전등부하(6)"/>
      <sheetName val="UPS용량(6)"/>
      <sheetName val="축전지(6)"/>
      <sheetName val="TR부하(6)"/>
      <sheetName val="전압강하(6)"/>
      <sheetName val="동력부하(도산)"/>
      <sheetName val="동력부하(평동)"/>
      <sheetName val="조도 계산서(6)"/>
      <sheetName val="등가거리(6)"/>
      <sheetName val="표지"/>
      <sheetName val="CABLE"/>
      <sheetName val="전동기"/>
      <sheetName val="조명율데이타"/>
      <sheetName val="조도계산(가로등NEW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UNIT-QT"/>
      <sheetName val="MOTOR"/>
      <sheetName val="ITEM"/>
      <sheetName val="JUCK"/>
      <sheetName val="부하계산서"/>
      <sheetName val="일위대가"/>
      <sheetName val="내역서"/>
      <sheetName val="2공구수량"/>
      <sheetName val="1.설계조건"/>
      <sheetName val="DATA"/>
      <sheetName val="부하(성남)"/>
      <sheetName val="합의경상"/>
      <sheetName val="MEXICO-C"/>
      <sheetName val="FOOTING단면력"/>
      <sheetName val="BID"/>
      <sheetName val="명세서"/>
      <sheetName val="송장"/>
      <sheetName val="노임단가"/>
      <sheetName val="정부노임단가"/>
      <sheetName val="장비내역서"/>
      <sheetName val="부대내역"/>
      <sheetName val="COPING"/>
      <sheetName val="전차선로 물량표"/>
      <sheetName val="#REF"/>
      <sheetName val="INPUT"/>
      <sheetName val="일반공사"/>
      <sheetName val="청구내역(9807)"/>
      <sheetName val="Macro2"/>
      <sheetName val="봉양~조차장간고하개명(신설)"/>
      <sheetName val="부대공"/>
      <sheetName val="외천교"/>
      <sheetName val="개요"/>
      <sheetName val="가설건물"/>
      <sheetName val="Total"/>
      <sheetName val="CONCRETE"/>
      <sheetName val="공통(20-91)"/>
      <sheetName val="경비2내역"/>
      <sheetName val="CA지입"/>
      <sheetName val="수량산출"/>
      <sheetName val="동력부하(도산)"/>
      <sheetName val="부하LOAD"/>
      <sheetName val="001"/>
      <sheetName val="간접비"/>
      <sheetName val="TRE TABLE"/>
      <sheetName val="Macro(차단기)"/>
      <sheetName val="조명율데이타"/>
      <sheetName val="바닥판"/>
      <sheetName val="참조"/>
      <sheetName val="노원열병합  건축공사기성내역서"/>
      <sheetName val="업체별기성내역"/>
      <sheetName val="조명율표"/>
      <sheetName val="플랜트 설치"/>
      <sheetName val="목차"/>
      <sheetName val="다이꾸"/>
      <sheetName val="L_RPTA05_목록"/>
      <sheetName val="ⴭⴭⴭⴭ"/>
      <sheetName val="Sheet2"/>
      <sheetName val="WORK"/>
      <sheetName val="부하(반월)"/>
      <sheetName val="LOPCALC"/>
      <sheetName val="전력구구조물산근"/>
      <sheetName val="U-TYPE(1)"/>
      <sheetName val="터널조도"/>
      <sheetName val="유동표(변경)"/>
      <sheetName val="Sheet3"/>
      <sheetName val="배수공 주요자재 집계표"/>
      <sheetName val="인건-측정"/>
      <sheetName val="전기"/>
      <sheetName val="데이타"/>
      <sheetName val="96작생능"/>
      <sheetName val="자재단가"/>
      <sheetName val="노무비"/>
      <sheetName val="뚝토공"/>
      <sheetName val="중기일위대가"/>
      <sheetName val="MACRO(MCC)"/>
      <sheetName val="토공A"/>
      <sheetName val="내역"/>
      <sheetName val="Macro(AT)"/>
      <sheetName val="접속도로1"/>
      <sheetName val="설계조건"/>
      <sheetName val="날개벽(TYPE3)"/>
      <sheetName val="LOAD-AY"/>
      <sheetName val="입고장부 (4)"/>
      <sheetName val="포장공"/>
      <sheetName val="변경실행(2차) "/>
      <sheetName val="대구실행"/>
      <sheetName val="현장지지물물량"/>
      <sheetName val="FEXS"/>
      <sheetName val="소운반"/>
      <sheetName val="BSD (2)"/>
      <sheetName val="3BL공동구 수량"/>
      <sheetName val="L-type"/>
      <sheetName val="기계경비일람"/>
      <sheetName val="공용시설내역"/>
      <sheetName val="EJ"/>
      <sheetName val="W-현원가"/>
      <sheetName val="자재수량"/>
      <sheetName val="토목내역"/>
      <sheetName val="XL4Poppy"/>
      <sheetName val="토목주소"/>
      <sheetName val="프랜트면허"/>
      <sheetName val="비교표"/>
      <sheetName val="품의서"/>
      <sheetName val="견적서"/>
      <sheetName val="7.1유효폭"/>
      <sheetName val="Sheet17"/>
      <sheetName val="날개벽(시점좌측)"/>
      <sheetName val="현장관리비내역서"/>
      <sheetName val="Languages"/>
      <sheetName val="날개벽수량표"/>
      <sheetName val="wall"/>
      <sheetName val="DATE"/>
      <sheetName val="cost"/>
      <sheetName val="Y-WORK"/>
      <sheetName val="Sheet4"/>
      <sheetName val="4)유동표"/>
      <sheetName val="I.설계조건"/>
      <sheetName val="쌍송교"/>
      <sheetName val="유동표"/>
      <sheetName val="인건비"/>
      <sheetName val="5. 차단기 용량계산"/>
      <sheetName val="BLOCK(1)"/>
      <sheetName val="관리사무소"/>
      <sheetName val="노임"/>
      <sheetName val="Macro1"/>
      <sheetName val="수량산출서"/>
      <sheetName val="포장복구집계"/>
      <sheetName val="일위대가목록"/>
      <sheetName val="처리단락"/>
      <sheetName val="LD"/>
      <sheetName val="약전닥트"/>
      <sheetName val="건축부하"/>
      <sheetName val="일지-H"/>
      <sheetName val="FA설치명세"/>
      <sheetName val="김포IO"/>
      <sheetName val="ilch"/>
      <sheetName val="조도계산서 (도서)"/>
      <sheetName val="을"/>
      <sheetName val="표지 (2)"/>
      <sheetName val="수질정화시설"/>
      <sheetName val="매크로"/>
      <sheetName val="외주가공"/>
      <sheetName val="기계실"/>
      <sheetName val="1-1"/>
      <sheetName val="ABUT수량-A1"/>
      <sheetName val="bearing"/>
      <sheetName val="1공구(을)"/>
      <sheetName val="MBR9"/>
      <sheetName val="차액보증"/>
      <sheetName val="일위대가목차"/>
      <sheetName val="부하(도서)"/>
      <sheetName val="E.P.T수량산출서"/>
      <sheetName val="Site Expenses"/>
      <sheetName val="수량"/>
      <sheetName val="단가대비표"/>
      <sheetName val="A-4"/>
      <sheetName val="집계표(육상)"/>
      <sheetName val="주형"/>
      <sheetName val="2000년1차"/>
      <sheetName val="전력구구조물산근2구간"/>
      <sheetName val="????"/>
      <sheetName val="당초"/>
      <sheetName val="Cost bd-&quot;A&quot;"/>
      <sheetName val="Process"/>
      <sheetName val="기본일위"/>
      <sheetName val="3련 BOX"/>
      <sheetName val="BQ(실행)"/>
      <sheetName val="기초공"/>
      <sheetName val="기둥(원형)"/>
      <sheetName val="c_balju"/>
      <sheetName val="COVER"/>
      <sheetName val="Sheet5"/>
      <sheetName val="견적정보"/>
      <sheetName val="명단원자료(이전)"/>
      <sheetName val="토공(완충)"/>
      <sheetName val="200"/>
      <sheetName val="일위대가(계측기설치)"/>
      <sheetName val="지진시"/>
      <sheetName val="IMP(MAIN)"/>
      <sheetName val="IMP (REACTOR)"/>
      <sheetName val="J"/>
      <sheetName val="협조전"/>
      <sheetName val="입력DATA"/>
      <sheetName val="안정검토"/>
      <sheetName val="보차도경계석"/>
      <sheetName val="도담구내 개소별 명세"/>
      <sheetName val="TABLE"/>
      <sheetName val="주식"/>
      <sheetName val="Sheet1 (2)"/>
      <sheetName val="DG-LAP6"/>
      <sheetName val="가로등제어반 설치공사(수량)"/>
      <sheetName val="발신정보"/>
      <sheetName val="일위대가표"/>
      <sheetName val="전기일위대가"/>
      <sheetName val="전압강하계산"/>
      <sheetName val="2F 회의실견적(5_14 일대)"/>
      <sheetName val="조명률표"/>
      <sheetName val="설계자료"/>
      <sheetName val="단가산출집계"/>
      <sheetName val="역T형"/>
      <sheetName val="PILE"/>
      <sheetName val="조도계산(가로등NEW)"/>
      <sheetName val="변화치수"/>
      <sheetName val="비대칭계수"/>
      <sheetName val="전동기 SPEC"/>
      <sheetName val="CHITIET VL-NC-TT -1p"/>
      <sheetName val="TDTKP1"/>
      <sheetName val="K"/>
      <sheetName val="맨홀수량집계"/>
      <sheetName val="단위중량"/>
      <sheetName val="단"/>
      <sheetName val="LEVEL0~4"/>
      <sheetName val="토공및부대2차"/>
      <sheetName val="원형맨홀수량"/>
      <sheetName val="타공종이기"/>
      <sheetName val="장비집계"/>
      <sheetName val="갑지(추정)"/>
      <sheetName val="집행(2-1)"/>
      <sheetName val="Dae_Jiju"/>
      <sheetName val="Sikje_ingun"/>
      <sheetName val="TREE_D"/>
      <sheetName val="공사비예산서(토목분)"/>
      <sheetName val="견"/>
      <sheetName val="RAHMEN"/>
      <sheetName val="월선수금"/>
      <sheetName val="골재집계"/>
      <sheetName val="배수관공"/>
      <sheetName val="우각부보강"/>
      <sheetName val="교각계산"/>
      <sheetName val="투찰"/>
      <sheetName val="토공"/>
      <sheetName val="설직재-1"/>
      <sheetName val="단가표 "/>
      <sheetName val="설산1.나"/>
      <sheetName val="본사S"/>
      <sheetName val="품목납기"/>
      <sheetName val="C1ㅇ"/>
      <sheetName val="工완성공사율"/>
      <sheetName val="조명시설"/>
      <sheetName val="실행철강하도"/>
      <sheetName val="BQ"/>
      <sheetName val="환률"/>
      <sheetName val="단면치수"/>
      <sheetName val="안정계산"/>
      <sheetName val="단면검토"/>
      <sheetName val="공사기본자료"/>
      <sheetName val="목록"/>
      <sheetName val="직원동원SCH"/>
      <sheetName val="경상비"/>
      <sheetName val="CATV"/>
      <sheetName val="을부담운반비"/>
      <sheetName val="총괄표"/>
      <sheetName val="예산서"/>
      <sheetName val="단가비교표"/>
      <sheetName val="특별교실"/>
      <sheetName val="양식"/>
      <sheetName val="실행예산"/>
      <sheetName val="단위내역서"/>
      <sheetName val="소비자가"/>
      <sheetName val="일위산출"/>
      <sheetName val="한강운반비"/>
      <sheetName val="자재"/>
      <sheetName val="TYPE1"/>
      <sheetName val="철근량"/>
      <sheetName val="말뚝물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표 지"/>
      <sheetName val="변압기1"/>
      <sheetName val="발전기"/>
      <sheetName val="변압기2"/>
      <sheetName val="간선"/>
      <sheetName val="일반부하"/>
      <sheetName val="동력,MCC"/>
      <sheetName val="조도"/>
      <sheetName val="조도 (2)"/>
      <sheetName val="전관방송"/>
      <sheetName val="Macro(차단기)"/>
      <sheetName val="Macro(전선)"/>
      <sheetName val="Macro(전동기)"/>
      <sheetName val="0000000"/>
      <sheetName val="전기계산서-1"/>
      <sheetName val="Sheet1"/>
    </sheetNames>
    <definedNames>
      <definedName name="Macro1"/>
      <definedName name="Macro11"/>
      <definedName name="Macro3"/>
      <definedName name="Macro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DATE"/>
      <sheetName val="Macro(차단기)"/>
      <sheetName val="N賃率-職"/>
      <sheetName val="수안보-MBR1"/>
      <sheetName val="기술자료 (광화문)"/>
      <sheetName val="원남울진낙찰내역(99.4.13 부산청)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40총괄"/>
      <sheetName val="40집계"/>
    </sheetNames>
    <sheetDataSet>
      <sheetData sheetId="0">
        <row r="732">
          <cell r="A732" t="str">
            <v>K02</v>
          </cell>
          <cell r="B732">
            <v>47</v>
          </cell>
          <cell r="D732" t="str">
            <v>제 47 호표</v>
          </cell>
          <cell r="E732" t="str">
            <v>프라임코팅</v>
          </cell>
          <cell r="H732" t="str">
            <v>MC-1</v>
          </cell>
          <cell r="L732" t="str">
            <v>근거 : 건설12-11</v>
          </cell>
          <cell r="Q732" t="str">
            <v>단위 : 100m2</v>
          </cell>
        </row>
        <row r="733">
          <cell r="A733" t="str">
            <v/>
          </cell>
          <cell r="D733" t="str">
            <v>명    칭</v>
          </cell>
          <cell r="E733" t="str">
            <v>규   격</v>
          </cell>
          <cell r="F733" t="str">
            <v>단  위</v>
          </cell>
          <cell r="G733" t="str">
            <v>수  량</v>
          </cell>
          <cell r="H733" t="str">
            <v>직접</v>
          </cell>
          <cell r="I733" t="str">
            <v>재료비</v>
          </cell>
          <cell r="J733" t="str">
            <v>간접</v>
          </cell>
          <cell r="K733" t="str">
            <v>재료비</v>
          </cell>
          <cell r="L733" t="str">
            <v>직접</v>
          </cell>
          <cell r="M733" t="str">
            <v>노무비</v>
          </cell>
          <cell r="N733" t="str">
            <v>경</v>
          </cell>
          <cell r="O733" t="str">
            <v>비</v>
          </cell>
          <cell r="P733" t="str">
            <v>계</v>
          </cell>
          <cell r="Q733" t="str">
            <v>비    고</v>
          </cell>
        </row>
        <row r="734">
          <cell r="A734" t="str">
            <v/>
          </cell>
          <cell r="H734" t="str">
            <v>단가</v>
          </cell>
          <cell r="I734" t="str">
            <v>금액</v>
          </cell>
          <cell r="J734" t="str">
            <v>단가</v>
          </cell>
          <cell r="K734" t="str">
            <v>금액</v>
          </cell>
          <cell r="L734" t="str">
            <v>단가</v>
          </cell>
          <cell r="M734" t="str">
            <v>금액</v>
          </cell>
          <cell r="N734" t="str">
            <v>단가</v>
          </cell>
          <cell r="O734" t="str">
            <v>금액</v>
          </cell>
        </row>
        <row r="735">
          <cell r="A735" t="str">
            <v>I005</v>
          </cell>
          <cell r="B735">
            <v>0.38</v>
          </cell>
          <cell r="D735" t="str">
            <v>아스팔트</v>
          </cell>
          <cell r="E735" t="str">
            <v>MC-1</v>
          </cell>
          <cell r="F735" t="str">
            <v>d/m</v>
          </cell>
          <cell r="G735">
            <v>0.38</v>
          </cell>
          <cell r="H735">
            <v>38000</v>
          </cell>
          <cell r="I735">
            <v>14440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14440</v>
          </cell>
        </row>
        <row r="736">
          <cell r="A736" t="str">
            <v>r036</v>
          </cell>
          <cell r="B736">
            <v>0.04</v>
          </cell>
          <cell r="D736" t="str">
            <v>포장공</v>
          </cell>
          <cell r="E736">
            <v>0</v>
          </cell>
          <cell r="F736" t="str">
            <v>인</v>
          </cell>
          <cell r="G736">
            <v>0.04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68200</v>
          </cell>
          <cell r="M736">
            <v>2728</v>
          </cell>
          <cell r="N736">
            <v>0</v>
          </cell>
          <cell r="O736">
            <v>0</v>
          </cell>
          <cell r="P736">
            <v>2728</v>
          </cell>
        </row>
        <row r="737">
          <cell r="A737" t="str">
            <v>r010</v>
          </cell>
          <cell r="B737">
            <v>0.12</v>
          </cell>
          <cell r="D737" t="str">
            <v>보통인부</v>
          </cell>
          <cell r="E737">
            <v>0</v>
          </cell>
          <cell r="F737" t="str">
            <v>인</v>
          </cell>
          <cell r="G737">
            <v>0.12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34900</v>
          </cell>
          <cell r="M737">
            <v>4188</v>
          </cell>
          <cell r="N737">
            <v>0</v>
          </cell>
          <cell r="O737">
            <v>0</v>
          </cell>
          <cell r="P737">
            <v>4188</v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  <cell r="C745" t="str">
            <v>K02</v>
          </cell>
          <cell r="D745" t="str">
            <v>계</v>
          </cell>
          <cell r="E745" t="str">
            <v>제 47 호표</v>
          </cell>
          <cell r="I745">
            <v>14440</v>
          </cell>
          <cell r="K745">
            <v>0</v>
          </cell>
          <cell r="M745">
            <v>6916</v>
          </cell>
          <cell r="O745">
            <v>0</v>
          </cell>
          <cell r="P745">
            <v>21356</v>
          </cell>
        </row>
        <row r="1400">
          <cell r="A1400" t="str">
            <v>B22</v>
          </cell>
          <cell r="B1400">
            <v>93</v>
          </cell>
          <cell r="D1400" t="str">
            <v>제 93 호표</v>
          </cell>
          <cell r="E1400" t="str">
            <v>관용접(Φ400mm)</v>
          </cell>
          <cell r="H1400">
            <v>0</v>
          </cell>
          <cell r="L1400" t="str">
            <v>근거 : 건설17-8</v>
          </cell>
          <cell r="Q1400" t="str">
            <v>단위 : 개소/6m</v>
          </cell>
        </row>
        <row r="1401">
          <cell r="A1401" t="str">
            <v/>
          </cell>
          <cell r="D1401" t="str">
            <v>명    칭</v>
          </cell>
          <cell r="E1401" t="str">
            <v>규   격</v>
          </cell>
          <cell r="F1401" t="str">
            <v>단  위</v>
          </cell>
          <cell r="G1401" t="str">
            <v>수  량</v>
          </cell>
          <cell r="H1401" t="str">
            <v>직접</v>
          </cell>
          <cell r="I1401" t="str">
            <v>재료비</v>
          </cell>
          <cell r="J1401" t="str">
            <v>간접</v>
          </cell>
          <cell r="K1401" t="str">
            <v>재료비</v>
          </cell>
          <cell r="L1401" t="str">
            <v>직접</v>
          </cell>
          <cell r="M1401" t="str">
            <v>노무비</v>
          </cell>
          <cell r="N1401" t="str">
            <v>경</v>
          </cell>
          <cell r="O1401" t="str">
            <v>비</v>
          </cell>
          <cell r="P1401" t="str">
            <v>계</v>
          </cell>
          <cell r="Q1401" t="str">
            <v>비    고</v>
          </cell>
        </row>
        <row r="1402">
          <cell r="A1402" t="str">
            <v/>
          </cell>
          <cell r="H1402" t="str">
            <v>단가</v>
          </cell>
          <cell r="I1402" t="str">
            <v>금액</v>
          </cell>
          <cell r="J1402" t="str">
            <v>단가</v>
          </cell>
          <cell r="K1402" t="str">
            <v>금액</v>
          </cell>
          <cell r="L1402" t="str">
            <v>단가</v>
          </cell>
          <cell r="M1402" t="str">
            <v>금액</v>
          </cell>
          <cell r="N1402" t="str">
            <v>단가</v>
          </cell>
          <cell r="O1402" t="str">
            <v>금액</v>
          </cell>
        </row>
        <row r="1403">
          <cell r="A1403" t="str">
            <v>I020</v>
          </cell>
          <cell r="B1403">
            <v>1.6</v>
          </cell>
          <cell r="D1403" t="str">
            <v>용접봉</v>
          </cell>
          <cell r="E1403" t="str">
            <v>115×3mm</v>
          </cell>
          <cell r="F1403" t="str">
            <v>kg</v>
          </cell>
          <cell r="G1403">
            <v>1.6</v>
          </cell>
          <cell r="H1403">
            <v>0</v>
          </cell>
          <cell r="I1403">
            <v>0</v>
          </cell>
          <cell r="J1403">
            <v>920</v>
          </cell>
          <cell r="K1403">
            <v>1472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1472</v>
          </cell>
        </row>
        <row r="1404">
          <cell r="A1404" t="str">
            <v>r013</v>
          </cell>
          <cell r="B1404">
            <v>0.54</v>
          </cell>
          <cell r="D1404" t="str">
            <v>용접공</v>
          </cell>
          <cell r="E1404">
            <v>0</v>
          </cell>
          <cell r="F1404" t="str">
            <v>인</v>
          </cell>
          <cell r="G1404">
            <v>0.54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65500</v>
          </cell>
          <cell r="M1404">
            <v>35370</v>
          </cell>
          <cell r="N1404">
            <v>0</v>
          </cell>
          <cell r="O1404">
            <v>0</v>
          </cell>
          <cell r="P1404">
            <v>35370</v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  <cell r="C1413" t="str">
            <v>B22</v>
          </cell>
          <cell r="D1413" t="str">
            <v>계</v>
          </cell>
          <cell r="E1413" t="str">
            <v>제 93 호표</v>
          </cell>
          <cell r="I1413">
            <v>0</v>
          </cell>
          <cell r="K1413">
            <v>1472</v>
          </cell>
          <cell r="M1413">
            <v>35370</v>
          </cell>
          <cell r="O1413">
            <v>0</v>
          </cell>
          <cell r="P1413">
            <v>36842</v>
          </cell>
        </row>
        <row r="1516">
          <cell r="A1516" t="str">
            <v>O03</v>
          </cell>
          <cell r="B1516">
            <v>101</v>
          </cell>
          <cell r="D1516" t="str">
            <v>제 101 호표</v>
          </cell>
          <cell r="E1516" t="str">
            <v>인력 터파기(풍화암 및 연암)</v>
          </cell>
          <cell r="H1516" t="str">
            <v>인력(2-3)</v>
          </cell>
          <cell r="L1516" t="str">
            <v>근거 : 토공3-1</v>
          </cell>
          <cell r="Q1516" t="str">
            <v>단위 :㎥</v>
          </cell>
        </row>
        <row r="1517">
          <cell r="A1517" t="str">
            <v/>
          </cell>
          <cell r="D1517" t="str">
            <v>명    칭</v>
          </cell>
          <cell r="E1517" t="str">
            <v>규   격</v>
          </cell>
          <cell r="F1517" t="str">
            <v>단  위</v>
          </cell>
          <cell r="G1517" t="str">
            <v>수  량</v>
          </cell>
          <cell r="H1517" t="str">
            <v>직접</v>
          </cell>
          <cell r="I1517" t="str">
            <v>재료비</v>
          </cell>
          <cell r="J1517" t="str">
            <v>간접</v>
          </cell>
          <cell r="K1517" t="str">
            <v>재료비</v>
          </cell>
          <cell r="L1517" t="str">
            <v>직접</v>
          </cell>
          <cell r="M1517" t="str">
            <v>노무비</v>
          </cell>
          <cell r="N1517" t="str">
            <v>경</v>
          </cell>
          <cell r="O1517" t="str">
            <v>비</v>
          </cell>
          <cell r="P1517" t="str">
            <v>계</v>
          </cell>
          <cell r="Q1517" t="str">
            <v>비    고</v>
          </cell>
        </row>
        <row r="1518">
          <cell r="A1518" t="str">
            <v/>
          </cell>
          <cell r="H1518" t="str">
            <v>단가</v>
          </cell>
          <cell r="I1518" t="str">
            <v>금액</v>
          </cell>
          <cell r="J1518" t="str">
            <v>단가</v>
          </cell>
          <cell r="K1518" t="str">
            <v>금액</v>
          </cell>
          <cell r="L1518" t="str">
            <v>단가</v>
          </cell>
          <cell r="M1518" t="str">
            <v>금액</v>
          </cell>
          <cell r="N1518" t="str">
            <v>단가</v>
          </cell>
          <cell r="O1518" t="str">
            <v>금액</v>
          </cell>
        </row>
        <row r="1519">
          <cell r="A1519" t="str">
            <v>r010</v>
          </cell>
          <cell r="B1519">
            <v>1</v>
          </cell>
          <cell r="D1519" t="str">
            <v>보통인부</v>
          </cell>
          <cell r="E1519">
            <v>0</v>
          </cell>
          <cell r="F1519" t="str">
            <v>인</v>
          </cell>
          <cell r="G1519">
            <v>1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34900</v>
          </cell>
          <cell r="M1519">
            <v>34900</v>
          </cell>
          <cell r="N1519">
            <v>0</v>
          </cell>
          <cell r="O1519">
            <v>0</v>
          </cell>
          <cell r="P1519">
            <v>34900</v>
          </cell>
          <cell r="Q1519" t="str">
            <v>주위에 장애물이 있을경우</v>
          </cell>
        </row>
        <row r="1520">
          <cell r="A1520" t="str">
            <v>R037</v>
          </cell>
          <cell r="B1520">
            <v>2</v>
          </cell>
          <cell r="D1520" t="str">
            <v>할석공</v>
          </cell>
          <cell r="E1520">
            <v>0</v>
          </cell>
          <cell r="F1520" t="str">
            <v>인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65700</v>
          </cell>
          <cell r="M1520">
            <v>131400</v>
          </cell>
          <cell r="N1520">
            <v>0</v>
          </cell>
          <cell r="O1520">
            <v>0</v>
          </cell>
          <cell r="P1520">
            <v>131400</v>
          </cell>
          <cell r="Q1520" t="str">
            <v>50%까지 할증가능</v>
          </cell>
        </row>
        <row r="1528">
          <cell r="A1528" t="str">
            <v/>
          </cell>
        </row>
        <row r="1529">
          <cell r="A1529" t="str">
            <v/>
          </cell>
          <cell r="C1529" t="str">
            <v>O03</v>
          </cell>
          <cell r="D1529" t="str">
            <v>계</v>
          </cell>
          <cell r="E1529" t="str">
            <v>제 101 호표</v>
          </cell>
          <cell r="I1529">
            <v>0</v>
          </cell>
          <cell r="K1529">
            <v>0</v>
          </cell>
          <cell r="M1529">
            <v>166300</v>
          </cell>
          <cell r="O1529">
            <v>0</v>
          </cell>
          <cell r="P1529">
            <v>166300</v>
          </cell>
        </row>
      </sheetData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진주방향"/>
      <sheetName val="조명시설"/>
      <sheetName val="데이타"/>
      <sheetName val="NAV000"/>
      <sheetName val="우수공"/>
      <sheetName val="간지"/>
      <sheetName val="우수총괄표 (2)"/>
      <sheetName val="간지(2)"/>
      <sheetName val="우수수량집계"/>
      <sheetName val="간지(3)"/>
      <sheetName val="관기초집계"/>
      <sheetName val="관기초"/>
      <sheetName val="토공집계표"/>
      <sheetName val="관로터파기"/>
      <sheetName val="우수연결관"/>
      <sheetName val="관로토공"/>
      <sheetName val="관로연장"/>
      <sheetName val="간지(4)"/>
      <sheetName val="맨홀수량집계표"/>
      <sheetName val="1호차도"/>
      <sheetName val="2호차도"/>
      <sheetName val="맨홀수량"/>
      <sheetName val="간지(5)"/>
      <sheetName val="날개벽집계"/>
      <sheetName val="날개벽D600"/>
      <sheetName val="날개벽D800"/>
      <sheetName val="날개벽도면"/>
      <sheetName val="간지(6)"/>
      <sheetName val="우수받이집수정집계"/>
      <sheetName val="우수받이재료"/>
      <sheetName val="우수받이토공"/>
      <sheetName val="집수정재료"/>
      <sheetName val="간지(7)"/>
      <sheetName val="간지(9)"/>
      <sheetName val="단가산출서"/>
      <sheetName val="말뚝지지력산정"/>
      <sheetName val="danga"/>
      <sheetName val="ilch"/>
      <sheetName val="정부노임단가"/>
      <sheetName val="고양관재"/>
      <sheetName val="원가계산(2)"/>
      <sheetName val="Mc1"/>
      <sheetName val="대포2교접속"/>
      <sheetName val="수안보-MBR1"/>
      <sheetName val="변수값"/>
      <sheetName val="중기상차"/>
      <sheetName val="AS복구"/>
      <sheetName val="중기터파기"/>
      <sheetName val="Sheet1"/>
      <sheetName val="용역비내역-진짜"/>
      <sheetName val="우각부보강"/>
      <sheetName val="Y-WORK"/>
      <sheetName val="빙축열"/>
      <sheetName val="기본단가표"/>
    </sheetNames>
    <sheetDataSet>
      <sheetData sheetId="0" refreshError="1">
        <row r="24">
          <cell r="B24" t="str">
            <v>수평곡관</v>
          </cell>
          <cell r="C24" t="str">
            <v>D=100×11¼˚</v>
          </cell>
          <cell r="D24" t="str">
            <v xml:space="preserve"> ⊃</v>
          </cell>
          <cell r="E24">
            <v>10</v>
          </cell>
        </row>
        <row r="25">
          <cell r="B25" t="str">
            <v>수평곡관</v>
          </cell>
          <cell r="C25" t="str">
            <v>D=150×11¼˚</v>
          </cell>
          <cell r="D25" t="str">
            <v xml:space="preserve"> ⊃</v>
          </cell>
          <cell r="E25">
            <v>12</v>
          </cell>
        </row>
        <row r="26">
          <cell r="B26" t="str">
            <v>수평곡관</v>
          </cell>
          <cell r="C26" t="str">
            <v>D=100×11¼˚</v>
          </cell>
          <cell r="D26" t="str">
            <v xml:space="preserve"> ⊃</v>
          </cell>
          <cell r="E26">
            <v>17</v>
          </cell>
        </row>
        <row r="27">
          <cell r="B27" t="str">
            <v>수평곡관</v>
          </cell>
          <cell r="C27" t="str">
            <v>D=100×22½˚</v>
          </cell>
          <cell r="D27" t="str">
            <v xml:space="preserve"> ⊃</v>
          </cell>
          <cell r="E27">
            <v>20</v>
          </cell>
        </row>
        <row r="28">
          <cell r="B28" t="str">
            <v>수평곡관</v>
          </cell>
          <cell r="C28" t="str">
            <v>D=150×22½˚</v>
          </cell>
          <cell r="D28" t="str">
            <v xml:space="preserve"> ⊃</v>
          </cell>
          <cell r="E28">
            <v>4</v>
          </cell>
        </row>
        <row r="29">
          <cell r="B29" t="str">
            <v>수평곡관</v>
          </cell>
          <cell r="C29" t="str">
            <v>D=100×22½˚</v>
          </cell>
          <cell r="D29" t="str">
            <v xml:space="preserve"> ⊃</v>
          </cell>
          <cell r="E29">
            <v>5</v>
          </cell>
        </row>
        <row r="30">
          <cell r="B30" t="str">
            <v>수평곡관</v>
          </cell>
          <cell r="C30" t="str">
            <v>D=100×45˚</v>
          </cell>
          <cell r="D30" t="str">
            <v xml:space="preserve"> ⊃</v>
          </cell>
          <cell r="E30">
            <v>5</v>
          </cell>
        </row>
        <row r="31">
          <cell r="B31" t="str">
            <v>수평곡관</v>
          </cell>
          <cell r="C31" t="str">
            <v>D=150×45˚</v>
          </cell>
          <cell r="D31" t="str">
            <v xml:space="preserve"> ⊃</v>
          </cell>
          <cell r="E31">
            <v>5</v>
          </cell>
        </row>
        <row r="32">
          <cell r="B32" t="str">
            <v>수평곡관</v>
          </cell>
          <cell r="C32" t="str">
            <v>D=100×45˚</v>
          </cell>
          <cell r="D32" t="str">
            <v xml:space="preserve"> ⊃</v>
          </cell>
          <cell r="E32">
            <v>4</v>
          </cell>
        </row>
        <row r="33">
          <cell r="B33" t="str">
            <v>수평곡관</v>
          </cell>
          <cell r="C33" t="str">
            <v>D=100×90˚</v>
          </cell>
          <cell r="D33" t="str">
            <v xml:space="preserve"> ⊃</v>
          </cell>
          <cell r="E33">
            <v>6</v>
          </cell>
        </row>
        <row r="34">
          <cell r="B34" t="str">
            <v>수평곡관</v>
          </cell>
          <cell r="C34" t="str">
            <v>D=100×90˚</v>
          </cell>
          <cell r="D34" t="str">
            <v xml:space="preserve"> ⊃</v>
          </cell>
          <cell r="E34">
            <v>5</v>
          </cell>
        </row>
        <row r="35">
          <cell r="B35" t="str">
            <v>수평곡관</v>
          </cell>
          <cell r="C35" t="str">
            <v>D=100×90˚</v>
          </cell>
          <cell r="D35" t="str">
            <v xml:space="preserve"> ⊃</v>
          </cell>
          <cell r="E35">
            <v>55</v>
          </cell>
        </row>
        <row r="36">
          <cell r="B36" t="str">
            <v>소켓플랜지T형관</v>
          </cell>
          <cell r="C36" t="str">
            <v>D=100×100</v>
          </cell>
          <cell r="E36">
            <v>5</v>
          </cell>
        </row>
        <row r="37">
          <cell r="B37" t="str">
            <v>소켓플랜지T형관</v>
          </cell>
          <cell r="C37" t="str">
            <v>D=100×100</v>
          </cell>
          <cell r="E37">
            <v>5</v>
          </cell>
        </row>
        <row r="38">
          <cell r="B38" t="str">
            <v>소켓플랜지T형관</v>
          </cell>
          <cell r="C38" t="str">
            <v>D=100×100</v>
          </cell>
          <cell r="E38">
            <v>6</v>
          </cell>
        </row>
        <row r="39">
          <cell r="B39" t="str">
            <v>소켓T형관</v>
          </cell>
          <cell r="C39" t="str">
            <v>D=100×100</v>
          </cell>
          <cell r="E39">
            <v>4</v>
          </cell>
        </row>
        <row r="40">
          <cell r="B40" t="str">
            <v>소켓T형관</v>
          </cell>
          <cell r="C40" t="str">
            <v>D=100×100</v>
          </cell>
          <cell r="E40">
            <v>5</v>
          </cell>
        </row>
        <row r="41">
          <cell r="B41" t="str">
            <v>소켓T형관</v>
          </cell>
          <cell r="C41" t="str">
            <v>D=100×100</v>
          </cell>
          <cell r="E41">
            <v>8</v>
          </cell>
        </row>
        <row r="42">
          <cell r="B42" t="str">
            <v>이 음 관</v>
          </cell>
          <cell r="C42" t="str">
            <v>D=80</v>
          </cell>
          <cell r="E42">
            <v>9</v>
          </cell>
        </row>
        <row r="43">
          <cell r="B43" t="str">
            <v>이 음 관</v>
          </cell>
          <cell r="C43" t="str">
            <v>D=100</v>
          </cell>
          <cell r="E43">
            <v>10</v>
          </cell>
        </row>
        <row r="44">
          <cell r="B44" t="str">
            <v>이 음 관</v>
          </cell>
          <cell r="C44" t="str">
            <v>D=150</v>
          </cell>
          <cell r="E44">
            <v>12</v>
          </cell>
        </row>
        <row r="45">
          <cell r="B45" t="str">
            <v>이 음 관</v>
          </cell>
          <cell r="C45" t="str">
            <v>D=200</v>
          </cell>
          <cell r="E45">
            <v>18</v>
          </cell>
        </row>
        <row r="46">
          <cell r="B46" t="str">
            <v>이 음 관</v>
          </cell>
          <cell r="C46" t="str">
            <v>D=250</v>
          </cell>
          <cell r="E46">
            <v>25</v>
          </cell>
        </row>
        <row r="47">
          <cell r="B47" t="str">
            <v>이 음 관</v>
          </cell>
          <cell r="C47" t="str">
            <v>D=300</v>
          </cell>
          <cell r="E47">
            <v>34</v>
          </cell>
        </row>
        <row r="48">
          <cell r="B48" t="str">
            <v>플랜지관</v>
          </cell>
          <cell r="C48" t="str">
            <v>D=80</v>
          </cell>
          <cell r="E48">
            <v>7.9</v>
          </cell>
        </row>
        <row r="49">
          <cell r="B49" t="str">
            <v>플랜지관</v>
          </cell>
          <cell r="C49" t="str">
            <v>D=100</v>
          </cell>
          <cell r="E49">
            <v>9.6</v>
          </cell>
        </row>
        <row r="50">
          <cell r="B50" t="str">
            <v>플랜지관</v>
          </cell>
          <cell r="C50" t="str">
            <v>D=150</v>
          </cell>
          <cell r="E50">
            <v>15.6</v>
          </cell>
        </row>
        <row r="51">
          <cell r="B51" t="str">
            <v>플랜지관</v>
          </cell>
          <cell r="C51" t="str">
            <v>D=200</v>
          </cell>
          <cell r="E51">
            <v>22.5</v>
          </cell>
        </row>
        <row r="52">
          <cell r="B52" t="str">
            <v>플랜지관</v>
          </cell>
          <cell r="C52" t="str">
            <v>D=250</v>
          </cell>
          <cell r="E52">
            <v>31.5</v>
          </cell>
        </row>
        <row r="53">
          <cell r="B53" t="str">
            <v>플랜지관</v>
          </cell>
          <cell r="C53" t="str">
            <v>D=300</v>
          </cell>
          <cell r="E53">
            <v>41.5</v>
          </cell>
        </row>
        <row r="54">
          <cell r="B54" t="str">
            <v>제 수 변</v>
          </cell>
          <cell r="C54" t="str">
            <v>D=80</v>
          </cell>
          <cell r="E54">
            <v>42</v>
          </cell>
        </row>
        <row r="55">
          <cell r="B55" t="str">
            <v>제 수 변</v>
          </cell>
          <cell r="C55" t="str">
            <v>D=100</v>
          </cell>
          <cell r="E55">
            <v>50</v>
          </cell>
        </row>
        <row r="56">
          <cell r="B56" t="str">
            <v>제 수 변</v>
          </cell>
          <cell r="C56" t="str">
            <v>D=150</v>
          </cell>
          <cell r="E56">
            <v>90</v>
          </cell>
        </row>
        <row r="57">
          <cell r="B57" t="str">
            <v>제 수 변</v>
          </cell>
          <cell r="C57" t="str">
            <v>D=200</v>
          </cell>
          <cell r="E57">
            <v>140</v>
          </cell>
        </row>
        <row r="58">
          <cell r="B58" t="str">
            <v>제 수 변</v>
          </cell>
          <cell r="C58" t="str">
            <v>D=300</v>
          </cell>
          <cell r="E58">
            <v>280</v>
          </cell>
        </row>
        <row r="59">
          <cell r="B59" t="str">
            <v>공 기 변</v>
          </cell>
          <cell r="C59" t="str">
            <v>D=80</v>
          </cell>
          <cell r="E59">
            <v>94</v>
          </cell>
        </row>
        <row r="60">
          <cell r="B60" t="str">
            <v>공 기 변</v>
          </cell>
          <cell r="C60" t="str">
            <v>D=100</v>
          </cell>
          <cell r="E60">
            <v>110</v>
          </cell>
        </row>
        <row r="61">
          <cell r="B61" t="str">
            <v>단    관</v>
          </cell>
          <cell r="C61" t="str">
            <v>D=80</v>
          </cell>
          <cell r="E61">
            <v>13.5</v>
          </cell>
          <cell r="H61">
            <v>0.8</v>
          </cell>
          <cell r="I61" t="str">
            <v>×</v>
          </cell>
          <cell r="J61" t="str">
            <v>＋</v>
          </cell>
        </row>
        <row r="62">
          <cell r="B62" t="str">
            <v>플랜지단관</v>
          </cell>
          <cell r="C62" t="str">
            <v>D=100</v>
          </cell>
          <cell r="E62">
            <v>16.399999999999999</v>
          </cell>
          <cell r="H62">
            <v>0.8</v>
          </cell>
          <cell r="I62" t="str">
            <v>×</v>
          </cell>
          <cell r="J62" t="str">
            <v>＋</v>
          </cell>
        </row>
        <row r="63">
          <cell r="B63" t="str">
            <v>플랜지단관</v>
          </cell>
          <cell r="C63" t="str">
            <v>D=100</v>
          </cell>
          <cell r="E63">
            <v>16.399999999999999</v>
          </cell>
          <cell r="H63">
            <v>0.92</v>
          </cell>
          <cell r="I63" t="str">
            <v>×</v>
          </cell>
          <cell r="J63" t="str">
            <v>＋</v>
          </cell>
        </row>
        <row r="64">
          <cell r="B64" t="str">
            <v>플랜지단관</v>
          </cell>
          <cell r="C64" t="str">
            <v>D=100</v>
          </cell>
          <cell r="E64">
            <v>16.399999999999999</v>
          </cell>
          <cell r="H64">
            <v>-2</v>
          </cell>
          <cell r="I64" t="str">
            <v>×</v>
          </cell>
          <cell r="J64" t="str">
            <v>＋</v>
          </cell>
        </row>
        <row r="65">
          <cell r="B65" t="str">
            <v>플랜지단관</v>
          </cell>
          <cell r="C65" t="str">
            <v>D=100</v>
          </cell>
          <cell r="E65">
            <v>16.399999999999999</v>
          </cell>
          <cell r="H65">
            <v>-1</v>
          </cell>
          <cell r="I65" t="str">
            <v>×</v>
          </cell>
          <cell r="J65" t="str">
            <v>＋</v>
          </cell>
        </row>
        <row r="66">
          <cell r="B66" t="str">
            <v>플랜지단관</v>
          </cell>
          <cell r="C66" t="str">
            <v>D=100</v>
          </cell>
          <cell r="E66">
            <v>16.399999999999999</v>
          </cell>
          <cell r="H66">
            <v>0</v>
          </cell>
          <cell r="I66" t="str">
            <v>×</v>
          </cell>
          <cell r="J66" t="str">
            <v>＋</v>
          </cell>
        </row>
        <row r="67">
          <cell r="B67" t="str">
            <v>플랜지단관</v>
          </cell>
          <cell r="C67" t="str">
            <v>D=100</v>
          </cell>
          <cell r="E67">
            <v>16.399999999999999</v>
          </cell>
          <cell r="H67">
            <v>1</v>
          </cell>
          <cell r="I67" t="str">
            <v>×</v>
          </cell>
          <cell r="J67" t="str">
            <v>＋</v>
          </cell>
        </row>
        <row r="68">
          <cell r="B68" t="str">
            <v>플랜지단관</v>
          </cell>
          <cell r="C68" t="str">
            <v>D=100</v>
          </cell>
          <cell r="E68">
            <v>16.399999999999999</v>
          </cell>
          <cell r="H68">
            <v>2</v>
          </cell>
          <cell r="I68" t="str">
            <v>×</v>
          </cell>
          <cell r="J68" t="str">
            <v>＋</v>
          </cell>
        </row>
        <row r="69">
          <cell r="B69" t="str">
            <v>단    관</v>
          </cell>
          <cell r="C69" t="str">
            <v>D=125</v>
          </cell>
          <cell r="E69">
            <v>21</v>
          </cell>
          <cell r="H69">
            <v>3</v>
          </cell>
          <cell r="I69" t="str">
            <v>×</v>
          </cell>
          <cell r="J69" t="str">
            <v>＋</v>
          </cell>
        </row>
        <row r="70">
          <cell r="B70" t="str">
            <v>단    관</v>
          </cell>
          <cell r="C70" t="str">
            <v>D=150</v>
          </cell>
          <cell r="E70">
            <v>25.3</v>
          </cell>
          <cell r="H70">
            <v>4</v>
          </cell>
          <cell r="I70" t="str">
            <v>×</v>
          </cell>
          <cell r="J70" t="str">
            <v>＋</v>
          </cell>
        </row>
        <row r="71">
          <cell r="B71" t="str">
            <v>단    관</v>
          </cell>
          <cell r="C71" t="str">
            <v>D=200</v>
          </cell>
          <cell r="E71">
            <v>33.799999999999997</v>
          </cell>
          <cell r="H71">
            <v>5</v>
          </cell>
          <cell r="I71" t="str">
            <v>×</v>
          </cell>
          <cell r="J71" t="str">
            <v>＋</v>
          </cell>
        </row>
        <row r="72">
          <cell r="B72" t="str">
            <v>단    관</v>
          </cell>
          <cell r="C72" t="str">
            <v>D=250</v>
          </cell>
          <cell r="E72">
            <v>44.3</v>
          </cell>
          <cell r="H72">
            <v>6</v>
          </cell>
          <cell r="I72" t="str">
            <v>×</v>
          </cell>
          <cell r="J72" t="str">
            <v>＋</v>
          </cell>
        </row>
        <row r="73">
          <cell r="B73" t="str">
            <v>단    관</v>
          </cell>
          <cell r="C73" t="str">
            <v>D=300</v>
          </cell>
          <cell r="E73">
            <v>56.3</v>
          </cell>
          <cell r="H73">
            <v>7</v>
          </cell>
          <cell r="I73" t="str">
            <v>×</v>
          </cell>
          <cell r="J73" t="str">
            <v>＋</v>
          </cell>
        </row>
        <row r="74">
          <cell r="B74" t="str">
            <v>단    관</v>
          </cell>
          <cell r="C74" t="str">
            <v>D=350</v>
          </cell>
          <cell r="E74">
            <v>69.599999999999994</v>
          </cell>
          <cell r="H74">
            <v>8</v>
          </cell>
          <cell r="I74" t="str">
            <v>×</v>
          </cell>
          <cell r="J74" t="str">
            <v>＋</v>
          </cell>
        </row>
        <row r="75">
          <cell r="B75" t="str">
            <v>단    관</v>
          </cell>
          <cell r="C75" t="str">
            <v>D=400</v>
          </cell>
          <cell r="E75">
            <v>83.7</v>
          </cell>
          <cell r="H75">
            <v>9</v>
          </cell>
          <cell r="I75" t="str">
            <v>×</v>
          </cell>
          <cell r="J75" t="str">
            <v>＋</v>
          </cell>
        </row>
        <row r="76">
          <cell r="B76" t="str">
            <v>단    관</v>
          </cell>
          <cell r="C76" t="str">
            <v>D=450</v>
          </cell>
          <cell r="E76">
            <v>98.5</v>
          </cell>
          <cell r="H76">
            <v>10</v>
          </cell>
          <cell r="I76" t="str">
            <v>×</v>
          </cell>
          <cell r="J76" t="str">
            <v>＋</v>
          </cell>
        </row>
        <row r="77">
          <cell r="B77" t="str">
            <v>단    관</v>
          </cell>
          <cell r="C77" t="str">
            <v>D=500</v>
          </cell>
          <cell r="E77">
            <v>115.6</v>
          </cell>
          <cell r="H77">
            <v>11</v>
          </cell>
          <cell r="I77" t="str">
            <v>×</v>
          </cell>
          <cell r="J77" t="str">
            <v>＋</v>
          </cell>
        </row>
        <row r="78">
          <cell r="B78" t="str">
            <v>단    관</v>
          </cell>
          <cell r="C78" t="str">
            <v>D=600</v>
          </cell>
          <cell r="E78">
            <v>152</v>
          </cell>
          <cell r="H78">
            <v>12</v>
          </cell>
          <cell r="I78" t="str">
            <v>×</v>
          </cell>
          <cell r="J78" t="str">
            <v>＋</v>
          </cell>
        </row>
        <row r="79">
          <cell r="B79" t="str">
            <v>단    관</v>
          </cell>
          <cell r="C79" t="str">
            <v>D=700</v>
          </cell>
          <cell r="E79">
            <v>193</v>
          </cell>
          <cell r="H79">
            <v>13</v>
          </cell>
          <cell r="I79" t="str">
            <v>×</v>
          </cell>
          <cell r="J79" t="str">
            <v>＋</v>
          </cell>
        </row>
        <row r="80">
          <cell r="B80" t="str">
            <v>단    관</v>
          </cell>
          <cell r="C80" t="str">
            <v>D=800</v>
          </cell>
          <cell r="E80">
            <v>238.7</v>
          </cell>
          <cell r="H80">
            <v>14</v>
          </cell>
          <cell r="I80" t="str">
            <v>×</v>
          </cell>
          <cell r="J80" t="str">
            <v>＋</v>
          </cell>
        </row>
        <row r="81">
          <cell r="B81" t="str">
            <v>단    관</v>
          </cell>
          <cell r="C81" t="str">
            <v>D=900</v>
          </cell>
          <cell r="E81">
            <v>288.7</v>
          </cell>
          <cell r="H81">
            <v>15</v>
          </cell>
          <cell r="I81" t="str">
            <v>×</v>
          </cell>
          <cell r="J81" t="str">
            <v>＋</v>
          </cell>
        </row>
        <row r="82">
          <cell r="B82" t="str">
            <v>단    관</v>
          </cell>
          <cell r="C82" t="str">
            <v>D=1000</v>
          </cell>
          <cell r="E82">
            <v>343.2</v>
          </cell>
          <cell r="H82">
            <v>16</v>
          </cell>
          <cell r="I82" t="str">
            <v>×</v>
          </cell>
          <cell r="J82" t="str">
            <v>＋</v>
          </cell>
        </row>
        <row r="83">
          <cell r="B83" t="str">
            <v>단    관</v>
          </cell>
          <cell r="C83" t="str">
            <v>D=1100</v>
          </cell>
          <cell r="E83">
            <v>399.5</v>
          </cell>
          <cell r="H83">
            <v>17</v>
          </cell>
          <cell r="I83" t="str">
            <v>×</v>
          </cell>
          <cell r="J83" t="str">
            <v>＋</v>
          </cell>
        </row>
        <row r="84">
          <cell r="B84" t="str">
            <v>단    관</v>
          </cell>
          <cell r="C84" t="str">
            <v>D=1200</v>
          </cell>
          <cell r="E84">
            <v>465.9</v>
          </cell>
          <cell r="H84">
            <v>18</v>
          </cell>
          <cell r="I84" t="str">
            <v>×</v>
          </cell>
          <cell r="J84" t="str">
            <v>＋</v>
          </cell>
        </row>
        <row r="85">
          <cell r="B85" t="str">
            <v>없음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Module1"/>
      <sheetName val="보고서"/>
      <sheetName val="비교표"/>
      <sheetName val="정산내역서"/>
      <sheetName val="소요자재명세서"/>
      <sheetName val="노무비명세서"/>
      <sheetName val="종합기별"/>
      <sheetName val="서울1"/>
      <sheetName val="인천2"/>
      <sheetName val="인천3"/>
      <sheetName val="대전4"/>
      <sheetName val="광주5"/>
      <sheetName val="바인드물량"/>
      <sheetName val="코아접속"/>
      <sheetName val=",피스표"/>
      <sheetName val="과천MAIN"/>
      <sheetName val="터널조도"/>
      <sheetName val="동력부하(도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  <sheetName val="일위대가 (2)"/>
      <sheetName val="laroux"/>
      <sheetName val="1.관로"/>
      <sheetName val="2.케이블"/>
      <sheetName val="3.맨홀"/>
      <sheetName val="4.활주로등"/>
      <sheetName val="5.활주로종,말단등"/>
      <sheetName val="6.진입등신설"/>
      <sheetName val="7.섬광등신설"/>
      <sheetName val="8.말단식별등신설"/>
      <sheetName val="9.유도로등 및 유도안내등신설"/>
      <sheetName val="10.거리등"/>
      <sheetName val="11.PAPI이설"/>
      <sheetName val="12.풍향등 신설"/>
      <sheetName val="13.신호등"/>
      <sheetName val="14.PAD TR신설"/>
      <sheetName val="15.배수펌프장 및 수문전력"/>
      <sheetName val="16.기존 항공등화 철거공사"/>
      <sheetName val="17.MA-1A"/>
      <sheetName val="일위대가(최종)"/>
      <sheetName val="산출근거(최종)"/>
      <sheetName val="안내등"/>
      <sheetName val="5.활주로 종,말단등"/>
      <sheetName val="6.진입등 신설"/>
      <sheetName val="9.유도등 및 안내등"/>
      <sheetName val="10. 거리등 및 표시등 신설"/>
      <sheetName val="14.PAD TR 신설"/>
      <sheetName val="총괄"/>
      <sheetName val="구간별"/>
      <sheetName val="교량공"/>
      <sheetName val="내역표지"/>
      <sheetName val="도급표지 "/>
      <sheetName val="부대표지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예정(3)"/>
      <sheetName val="동원(3)"/>
      <sheetName val="과천MAIN"/>
      <sheetName val="Module1"/>
      <sheetName val="Sheet1"/>
      <sheetName val="MOTOR"/>
      <sheetName val="중계소방"/>
      <sheetName val="노임"/>
      <sheetName val="부속동"/>
      <sheetName val="BID"/>
      <sheetName val="노무비"/>
      <sheetName val="ABUT수량-A1"/>
      <sheetName val="1SPAN"/>
      <sheetName val="JUCK"/>
      <sheetName val="70%"/>
      <sheetName val="수안보-MBR1"/>
      <sheetName val="실행철강하도"/>
      <sheetName val="L_RPTA05_목록"/>
      <sheetName val="터널조도"/>
      <sheetName val="COPING"/>
      <sheetName val="DATE"/>
      <sheetName val="내역서"/>
      <sheetName val="단가비교표"/>
      <sheetName val="지급자재"/>
      <sheetName val="Y-WORK"/>
      <sheetName val=" 견적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MACRO(전선관)"/>
      <sheetName val="TITLE"/>
      <sheetName val="조도"/>
      <sheetName val="간선"/>
      <sheetName val="부하리스트"/>
      <sheetName val="TR"/>
      <sheetName val="MCC"/>
      <sheetName val="부하"/>
      <sheetName val="GEN-1"/>
      <sheetName val="GEN-2"/>
      <sheetName val="전화"/>
      <sheetName val="TV"/>
      <sheetName val="BATT"/>
      <sheetName val="BAT2"/>
      <sheetName val="접지"/>
      <sheetName val="Macro(전기)"/>
      <sheetName val="__MAIN"/>
      <sheetName val="종합기별"/>
      <sheetName val="노무비명세서"/>
      <sheetName val="소요자재명세서"/>
      <sheetName val="터널조도"/>
      <sheetName val="DATA"/>
      <sheetName val="MACRO(MCC)"/>
      <sheetName val="MACRO(AT)"/>
      <sheetName val="유기공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STORAGE"/>
      <sheetName val="조명율표"/>
      <sheetName val="YES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터널조도"/>
      <sheetName val="WORK"/>
      <sheetName val="Sheet1"/>
      <sheetName val="MOTOR"/>
      <sheetName val="동원(3)"/>
      <sheetName val="예정(3)"/>
      <sheetName val="노임"/>
      <sheetName val="수안보-MBR1"/>
      <sheetName val="工완성공사율"/>
      <sheetName val="1.설계기준"/>
      <sheetName val="3차설계"/>
      <sheetName val="단가비교표"/>
      <sheetName val="현황CODE"/>
      <sheetName val="손익현황"/>
      <sheetName val="기둥(원형)"/>
      <sheetName val="Sheet2"/>
      <sheetName val="옹벽"/>
      <sheetName val="DATA"/>
      <sheetName val="주형"/>
      <sheetName val="Sheet1 (2)"/>
      <sheetName val="ABUT수량-A1"/>
      <sheetName val="밸브설치"/>
      <sheetName val="3.바닥판설계"/>
      <sheetName val="JUCK"/>
      <sheetName val="결합부검토"/>
      <sheetName val="노무비 근거"/>
      <sheetName val="과천MAIN"/>
      <sheetName val="H-PILE수량집계"/>
      <sheetName val="2000.11월설계내역"/>
      <sheetName val="설비"/>
      <sheetName val="여흥"/>
      <sheetName val="데이타"/>
      <sheetName val="Macro(차단기)"/>
      <sheetName val="기술자료 (연수)"/>
      <sheetName val="IMPEADENCE MAP 취수장"/>
      <sheetName val="동력부하(도산)"/>
      <sheetName val="MACRO(전선관)"/>
      <sheetName val="내역"/>
      <sheetName val="__MAIN"/>
      <sheetName val="수량산출"/>
      <sheetName val="조건"/>
      <sheetName val="설계조건"/>
      <sheetName val="품셈"/>
      <sheetName val="STBOX"/>
      <sheetName val="6PILE  (돌출)"/>
      <sheetName val="t형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BID"/>
      <sheetName val="점수계산1-2"/>
      <sheetName val="총계"/>
      <sheetName val="입력DATA"/>
      <sheetName val="8. 안정검토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정부노임단가"/>
      <sheetName val="인건-측정"/>
      <sheetName val="통합"/>
      <sheetName val="BOX"/>
      <sheetName val="시공계획"/>
      <sheetName val="Ampecity Data"/>
      <sheetName val="설계예산서"/>
      <sheetName val="수량집계"/>
      <sheetName val="총괄"/>
      <sheetName val="토목"/>
      <sheetName val="가로등내역서"/>
      <sheetName val="수량산출서"/>
      <sheetName val="#REF"/>
      <sheetName val="터파기및재료"/>
      <sheetName val="설계내역서"/>
      <sheetName val="현장관리비집계표"/>
      <sheetName val="Macro1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견적서"/>
      <sheetName val="호계"/>
      <sheetName val="제암"/>
      <sheetName val="월마트"/>
      <sheetName val="월드컵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예산변경사항"/>
      <sheetName val="Module11"/>
      <sheetName val="집계표"/>
      <sheetName val="단가"/>
      <sheetName val="총괄표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입찰안"/>
      <sheetName val="봉양~조차장간고하개명(신설)"/>
      <sheetName val="대비"/>
      <sheetName val="직공비"/>
      <sheetName val="부대공사비"/>
      <sheetName val="6호기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2F 회의실견적(5_14 일대)"/>
      <sheetName val="부하계산서"/>
      <sheetName val="견적조건"/>
      <sheetName val="견적조건(을지)"/>
      <sheetName val="식생블럭단위수량"/>
      <sheetName val="을지"/>
      <sheetName val="간선계산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표지 (2)"/>
      <sheetName val="가로등부표"/>
      <sheetName val="001"/>
      <sheetName val="산출내역서집계표"/>
      <sheetName val="노무비"/>
      <sheetName val="본선차로수량집계표"/>
      <sheetName val="준검 내역서"/>
      <sheetName val="기계경비"/>
      <sheetName val="단가 및 재료비"/>
      <sheetName val="주상도"/>
      <sheetName val="INPUT"/>
      <sheetName val="하조서"/>
      <sheetName val="보증수수료산출"/>
      <sheetName val="1.수인터널"/>
      <sheetName val="가로등"/>
      <sheetName val="공사비예산서(토목분)"/>
      <sheetName val="수목데이타 "/>
      <sheetName val="변압기 및 발전기 용량"/>
      <sheetName val="단가조사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2000년1차"/>
      <sheetName val="부대내역"/>
      <sheetName val="입찰보고"/>
      <sheetName val="노무비단가"/>
      <sheetName val="매립"/>
      <sheetName val="내력서"/>
      <sheetName val="1.설계조건"/>
      <sheetName val="일위대가목차"/>
      <sheetName val="3-1.CB"/>
      <sheetName val="MAIN_TABLE"/>
      <sheetName val="재료"/>
      <sheetName val="제경비율"/>
      <sheetName val="조도계산서 (도서)"/>
      <sheetName val="LOPCALC"/>
      <sheetName val="아산추가1220"/>
      <sheetName val="당초"/>
      <sheetName val="인건비"/>
      <sheetName val="98지급계획"/>
      <sheetName val="XL4Poppy"/>
      <sheetName val="본공사"/>
      <sheetName val="DANGA"/>
      <sheetName val="BQ"/>
      <sheetName val="일위대가(가설)"/>
      <sheetName val="BID-도로"/>
      <sheetName val="실행내역서"/>
      <sheetName val="설 계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JUCKEYK"/>
      <sheetName val="연습"/>
      <sheetName val="수주현황2월"/>
      <sheetName val="토공유동표"/>
      <sheetName val="교각계산"/>
      <sheetName val="단면 (2)"/>
      <sheetName val="ASP포장"/>
      <sheetName val="단가산출서(기계)"/>
      <sheetName val="내역서(전기)"/>
      <sheetName val="3BL공동구 수량"/>
      <sheetName val="일위대가표"/>
      <sheetName val="에너지동"/>
      <sheetName val="Total"/>
      <sheetName val="스톱로그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주관사업"/>
      <sheetName val="JJ"/>
      <sheetName val="조건표"/>
      <sheetName val="설계"/>
      <sheetName val="수문일1"/>
      <sheetName val="건축공사"/>
      <sheetName val="1차설계변경내역"/>
      <sheetName val="발주설계서(당초)"/>
      <sheetName val="가설건물"/>
      <sheetName val="토공"/>
      <sheetName val="교각1"/>
      <sheetName val="ETC"/>
      <sheetName val="돌망태단위수량"/>
      <sheetName val="요율"/>
      <sheetName val="자재대"/>
      <sheetName val="소요자재"/>
      <sheetName val="노무산출서"/>
      <sheetName val="코드표"/>
      <sheetName val="연습장소"/>
      <sheetName val="소방사항"/>
      <sheetName val="대치판정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TRE TABLE"/>
      <sheetName val="EACT10"/>
      <sheetName val="설계가"/>
      <sheetName val="현금"/>
      <sheetName val="현장"/>
      <sheetName val="MCC제원"/>
      <sheetName val="BASIC (2)"/>
      <sheetName val="IBASE"/>
      <sheetName val="RAHMEN"/>
      <sheetName val="Piping Design Data"/>
      <sheetName val="종배수관"/>
      <sheetName val="현장지지물물량"/>
      <sheetName val="wall"/>
      <sheetName val="H PILE수량"/>
      <sheetName val="TC표지"/>
      <sheetName val="2003상반기노임기준"/>
      <sheetName val="중기조종사 단위단가"/>
      <sheetName val="갑지1"/>
      <sheetName val="연부97-1"/>
      <sheetName val="철거산출근거"/>
      <sheetName val="제-노임"/>
      <sheetName val="제직재"/>
      <sheetName val="AIR SHOWER(3인용)"/>
      <sheetName val="부대공Ⅱ"/>
      <sheetName val="재집"/>
      <sheetName val="직재"/>
      <sheetName val="전차선로 물량표"/>
      <sheetName val="48전력선로일위"/>
      <sheetName val="접지수량"/>
      <sheetName val="TOT"/>
      <sheetName val="손익분석"/>
      <sheetName val="보차도경계석"/>
      <sheetName val="unit 4"/>
      <sheetName val="ITB COST"/>
      <sheetName val="수량"/>
      <sheetName val="CTEMCOST"/>
      <sheetName val="보합"/>
      <sheetName val="자료입력"/>
      <sheetName val="예산명세서"/>
      <sheetName val="우배수"/>
      <sheetName val="맨홀"/>
      <sheetName val="금호"/>
      <sheetName val="I一般比"/>
      <sheetName val="49-119"/>
      <sheetName val="Macro(전선)"/>
      <sheetName val="발신정보"/>
      <sheetName val="부하(성남)"/>
      <sheetName val="J直材4"/>
      <sheetName val="구역화물"/>
      <sheetName val="단가일람"/>
      <sheetName val="신우"/>
      <sheetName val="일위대가표(유단가)"/>
      <sheetName val="적용(기계)"/>
      <sheetName val="20관리비율"/>
      <sheetName val="총괄집계표"/>
      <sheetName val="DATA1"/>
      <sheetName val="점검총괄"/>
      <sheetName val="자재목록"/>
      <sheetName val="2006기계경비산출표"/>
      <sheetName val="옹벽수량집계"/>
      <sheetName val="자재단가표"/>
      <sheetName val="고창터널(고창방향)"/>
      <sheetName val="부속동"/>
      <sheetName val="입찰결과(DATA)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CABLE SIZE-3"/>
      <sheetName val="EQUIP-H"/>
      <sheetName val="경비_원본"/>
      <sheetName val="공구원가계산"/>
      <sheetName val="기계경비시간당손료목록"/>
      <sheetName val="1차증가원가계산"/>
      <sheetName val="가감수량"/>
      <sheetName val="맨홀수량산출"/>
      <sheetName val="단가조사서"/>
      <sheetName val="관로"/>
      <sheetName val="A-4"/>
      <sheetName val="AS포장복구 "/>
      <sheetName val="간접1"/>
      <sheetName val="통장출금액"/>
      <sheetName val="기계경비(시간당)"/>
      <sheetName val="램머"/>
      <sheetName val="전기일위대가"/>
      <sheetName val="단면(RW1)"/>
      <sheetName val="시설물일위"/>
      <sheetName val="비교표"/>
      <sheetName val="소비자가"/>
      <sheetName val="ilch"/>
      <sheetName val="IMP(MAIN)"/>
      <sheetName val="IMP (REACTOR)"/>
      <sheetName val="차액보증"/>
      <sheetName val="오산갈곳"/>
      <sheetName val="맨홀수량집계"/>
      <sheetName val="날개벽(TYPE3)"/>
      <sheetName val="안정계산"/>
      <sheetName val="단면검토"/>
      <sheetName val="원가"/>
      <sheetName val="VA_code"/>
      <sheetName val="2000전체분"/>
      <sheetName val="일반수량"/>
      <sheetName val="말뚝물량"/>
      <sheetName val="공종별원가계산"/>
      <sheetName val="말고개터널조명전압강하"/>
      <sheetName val="물가자료"/>
      <sheetName val="품의서"/>
      <sheetName val="물가시세"/>
      <sheetName val="SG"/>
      <sheetName val="전신환매도율"/>
      <sheetName val="원가계산서 (총괄)"/>
      <sheetName val="원가계산서 (건축)"/>
      <sheetName val="(총괄집계)"/>
      <sheetName val="방음벽기초(H=4m)"/>
      <sheetName val="우수맨홀공제단위수량"/>
      <sheetName val="예산갑지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 상부공통집계(총괄)"/>
      <sheetName val="참조-(1)"/>
      <sheetName val="인건비 "/>
      <sheetName val="AILC004"/>
      <sheetName val="Mc1"/>
      <sheetName val="2000,9월 일위"/>
      <sheetName val="간접비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하수급견적대비"/>
      <sheetName val="물량표"/>
      <sheetName val="현장관리비 "/>
      <sheetName val="금액결정"/>
      <sheetName val="견적대비"/>
      <sheetName val="BOX전기내역"/>
      <sheetName val="9-1차이내역"/>
      <sheetName val="할증 "/>
      <sheetName val="조경일람"/>
      <sheetName val="일위대가목록"/>
      <sheetName val="아파트기별"/>
      <sheetName val="공리일"/>
      <sheetName val="총집계표"/>
      <sheetName val="plan&amp;section of foundation"/>
      <sheetName val="9811"/>
      <sheetName val="투찰내역"/>
      <sheetName val="COVER-P"/>
      <sheetName val="기본단가"/>
      <sheetName val="단면가정"/>
      <sheetName val="영업소실적"/>
      <sheetName val="공사비"/>
      <sheetName val="약품설비"/>
      <sheetName val="90.03실행 "/>
      <sheetName val="조명시설"/>
      <sheetName val="단위단가"/>
      <sheetName val="적용공정"/>
      <sheetName val="L_RPTB02_01"/>
      <sheetName val="원가계산서"/>
      <sheetName val="금리계산"/>
      <sheetName val="Sheet17"/>
      <sheetName val="중기일위대가"/>
      <sheetName val="검사원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22단가(철거)"/>
      <sheetName val="49단가"/>
      <sheetName val="49단가(철거)"/>
      <sheetName val="22단가"/>
      <sheetName val="효성CB 1P기초"/>
      <sheetName val="EQ-R1"/>
      <sheetName val="품목"/>
      <sheetName val="일용노임단가"/>
      <sheetName val="전선"/>
      <sheetName val="CABLE"/>
      <sheetName val="토량산출서"/>
      <sheetName val="토목내역"/>
      <sheetName val="설계명세서"/>
      <sheetName val="OPGW기별"/>
      <sheetName val="CA지입"/>
      <sheetName val="U-TYPE(1)"/>
      <sheetName val="공종별내역서"/>
      <sheetName val="지급자재"/>
      <sheetName val="99총공사내역서"/>
      <sheetName val="98NS-N"/>
      <sheetName val="L_RPTA05_목록"/>
      <sheetName val="96보완계획7.12"/>
      <sheetName val="지진시"/>
      <sheetName val="3.공통공사대비"/>
      <sheetName val="설비내역서"/>
      <sheetName val="건축내역서"/>
      <sheetName val="전기내역서"/>
      <sheetName val="설직재-1"/>
      <sheetName val="노원열병합  건축공사기성내역서"/>
      <sheetName val="본부소개"/>
      <sheetName val="주사무실종합"/>
      <sheetName val="기초자료"/>
      <sheetName val="여과지동"/>
      <sheetName val="내역표지"/>
      <sheetName val="Macro2"/>
      <sheetName val="계수시트"/>
      <sheetName val="율촌법률사무소2내역"/>
      <sheetName val="지주목시비량산출서"/>
      <sheetName val="BOQ"/>
      <sheetName val="총괄내역서"/>
      <sheetName val="역T형교대(말뚝기초)"/>
      <sheetName val="한강운반비"/>
      <sheetName val="자재"/>
      <sheetName val="공통(20-91)"/>
      <sheetName val="C3"/>
      <sheetName val="연결임시"/>
      <sheetName val="계산식"/>
      <sheetName val="가도공"/>
      <sheetName val="DATE"/>
      <sheetName val="철거집계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경상직원"/>
      <sheetName val="가시설흙막이"/>
      <sheetName val="자동 철거"/>
      <sheetName val="자동 설치"/>
      <sheetName val="토목 철주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/>
      <sheetData sheetId="657"/>
      <sheetData sheetId="658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공량산출서"/>
      <sheetName val="수량산출서"/>
      <sheetName val="공량산출서약전"/>
      <sheetName val="수량산출서약전"/>
      <sheetName val="Sheet2"/>
      <sheetName val="우수"/>
      <sheetName val="준검 내역서"/>
      <sheetName val="H PILE수량"/>
      <sheetName val="ABUT수량-A1"/>
      <sheetName val="POOM_MOTO"/>
      <sheetName val="POOM_MOTO2"/>
      <sheetName val="수량산출서-2"/>
      <sheetName val="과천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전화회선 (2)"/>
      <sheetName val="표 지"/>
      <sheetName val="발전기(갑)"/>
      <sheetName val="발전기(을)"/>
      <sheetName val="변압기"/>
      <sheetName val="간 선"/>
      <sheetName val="일반부하"/>
      <sheetName val="동력부하"/>
      <sheetName val="조도 "/>
      <sheetName val="전화회선"/>
      <sheetName val="전관방송"/>
      <sheetName val="Macro(차단기)"/>
      <sheetName val="laroux1"/>
      <sheetName val="터널조도"/>
      <sheetName val="연수구보건소"/>
      <sheetName val="화재 탐지 설비"/>
      <sheetName val="품셈"/>
      <sheetName val="Sheet1"/>
      <sheetName val="설계조건"/>
      <sheetName val="T형( 파일기초) 공현1교"/>
      <sheetName val="__MAIN"/>
      <sheetName val="일위대가"/>
    </sheetNames>
    <definedNames>
      <definedName name="Macro10"/>
      <definedName name="Macro13"/>
      <definedName name="Macro14"/>
      <definedName name="Macro7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Macro(차단기)"/>
      <sheetName val="원남울진낙찰내역(99.4.13 부산청)"/>
      <sheetName val="자재단가비교표"/>
      <sheetName val="대가표(품셈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조사"/>
      <sheetName val="대가 "/>
      <sheetName val="대비"/>
      <sheetName val="단-원산"/>
      <sheetName val="단-신우"/>
      <sheetName val="단-조은"/>
      <sheetName val="갑지"/>
      <sheetName val="타-신우"/>
      <sheetName val="타-조은"/>
      <sheetName val="산기계"/>
      <sheetName val="산-전기"/>
      <sheetName val="겉지"/>
      <sheetName val="램머"/>
      <sheetName val="기계경비(시간당)"/>
      <sheetName val="신우"/>
      <sheetName val="단가조사"/>
      <sheetName val="차액보증"/>
      <sheetName val="352"/>
      <sheetName val="FD"/>
      <sheetName val="LD"/>
      <sheetName val="설계조건"/>
      <sheetName val="부하LOAD"/>
      <sheetName val="Sheet1"/>
      <sheetName val="Macro1"/>
      <sheetName val="일위대가목록"/>
      <sheetName val="산출목록표"/>
      <sheetName val="Macro(차단기)"/>
      <sheetName val="공사원가계산서"/>
      <sheetName val="I一般比"/>
      <sheetName val="수량산출"/>
      <sheetName val="소비자가"/>
      <sheetName val="부하(성남)"/>
      <sheetName val="민속촌메뉴"/>
      <sheetName val="Galaxy 소비자가격표"/>
      <sheetName val="LOPCALC"/>
      <sheetName val="내역"/>
      <sheetName val="관음목장(제출용)자105인97.5"/>
      <sheetName val="정산"/>
      <sheetName val="설직재-1"/>
      <sheetName val="N賃率-職"/>
      <sheetName val="제-노임"/>
      <sheetName val="제직재"/>
      <sheetName val="재집"/>
      <sheetName val="직재"/>
      <sheetName val="금액집계"/>
      <sheetName val="기초대가"/>
      <sheetName val="일위대가"/>
      <sheetName val="일위대가(4층원격)"/>
      <sheetName val="AS복구"/>
      <sheetName val="중기터파기"/>
      <sheetName val="변수값"/>
      <sheetName val="중기상차"/>
      <sheetName val="9GNG운반"/>
      <sheetName val="인건-측정"/>
      <sheetName val="간선계산"/>
      <sheetName val="수량산출서"/>
      <sheetName val="DATA"/>
      <sheetName val="Sheet2"/>
      <sheetName val="전기일위대가"/>
      <sheetName val="노임단가"/>
      <sheetName val="경비_원본"/>
      <sheetName val="하조서"/>
      <sheetName val="적용기준표(98년상반기)"/>
      <sheetName val="계수시트"/>
      <sheetName val="원가계산서"/>
      <sheetName val="우수공"/>
      <sheetName val="수량산출1"/>
      <sheetName val="자재단가표"/>
      <sheetName val="4원가계산"/>
      <sheetName val="단가"/>
      <sheetName val="Sheet6"/>
      <sheetName val="매크로"/>
      <sheetName val="건축내역"/>
      <sheetName val="CT "/>
      <sheetName val="물가대비표"/>
      <sheetName val="집수정(600-700)"/>
      <sheetName val="조도"/>
      <sheetName val="단가산출"/>
      <sheetName val="아파트기별"/>
      <sheetName val="공리일"/>
      <sheetName val="부하계산서"/>
      <sheetName val="Total"/>
      <sheetName val="공통(20-91)"/>
      <sheetName val="20관리비율"/>
      <sheetName val="전차선로 물량표"/>
      <sheetName val="J直材4"/>
      <sheetName val="DB단가"/>
      <sheetName val="직노"/>
      <sheetName val="danga"/>
      <sheetName val="ilch"/>
      <sheetName val="을"/>
      <sheetName val="정부노임단가"/>
      <sheetName val="일위(설)"/>
      <sheetName val="공사비예산서(토목분)"/>
      <sheetName val="구조물공1"/>
      <sheetName val="배수및구조물공1"/>
      <sheetName val="1안"/>
      <sheetName val="외주가공"/>
      <sheetName val="표지 (2)"/>
      <sheetName val="Baby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대가 98"/>
      <sheetName val="조사 - 9806"/>
      <sheetName val="조사 - 9809"/>
      <sheetName val="조사 - 9810"/>
      <sheetName val="원가계산서"/>
      <sheetName val="공사원가계산서"/>
      <sheetName val="대비"/>
      <sheetName val="대가99"/>
      <sheetName val="조사 - 9902"/>
      <sheetName val="조사9909"/>
      <sheetName val="조사 - 10"/>
      <sheetName val="조사 - 09"/>
      <sheetName val="조사 - 06"/>
      <sheetName val="전기일위대가"/>
      <sheetName val="내역서"/>
      <sheetName val="DATA"/>
      <sheetName val="Y-WORK"/>
      <sheetName val="1.우편집중내역서"/>
      <sheetName val="제-노임"/>
      <sheetName val="설직재-1"/>
      <sheetName val="제직재"/>
      <sheetName val="NEYOK"/>
      <sheetName val="내역서1"/>
      <sheetName val="일위대가"/>
      <sheetName val="N賃率-職"/>
      <sheetName val="I一般比"/>
      <sheetName val="일위"/>
      <sheetName val="상수도토공집계표"/>
      <sheetName val="FRP내역서"/>
      <sheetName val="신우"/>
      <sheetName val="2.대외공문"/>
      <sheetName val="수량산출"/>
      <sheetName val="2F 회의실견적(5_14 일대)"/>
      <sheetName val=" HIT-&gt;HMC 견적(3900)"/>
      <sheetName val="일위목록"/>
      <sheetName val="요율"/>
      <sheetName val="적용기준"/>
      <sheetName val="견적대비 견적서"/>
      <sheetName val="약품공급2"/>
      <sheetName val="견적"/>
      <sheetName val="단"/>
      <sheetName val="직노"/>
      <sheetName val="금액내역서"/>
      <sheetName val="공사현황"/>
      <sheetName val="토적표"/>
      <sheetName val="직재"/>
      <sheetName val="예산내역서"/>
      <sheetName val="일위_파일"/>
      <sheetName val="소비자가"/>
      <sheetName val="갑지(추정)"/>
      <sheetName val="unit 4"/>
      <sheetName val="철근집계"/>
      <sheetName val="제경비"/>
      <sheetName val="PRO98"/>
      <sheetName val="구조물철거타공정이월"/>
      <sheetName val="일위집계(기존)"/>
      <sheetName val="수량산출(임시방송)"/>
      <sheetName val="수량산출(임시장애자)"/>
      <sheetName val="수량산출(임시전화)"/>
      <sheetName val="수량산출(임시41)"/>
      <sheetName val="수량산출(임시TDI)"/>
      <sheetName val="수량산출(임시AFC)"/>
      <sheetName val="수량산출(임시CCTV)"/>
      <sheetName val="수량산출(임시TV)"/>
      <sheetName val="수량산출(장애자)"/>
      <sheetName val="수량산출(본전화)"/>
      <sheetName val="수량산출(본통신)"/>
      <sheetName val="수량산출(TDI)"/>
      <sheetName val="수량집계(본역사)"/>
      <sheetName val="수량집계(임시역사)"/>
      <sheetName val="수량산출(AFC)"/>
      <sheetName val="수량산출(CCTV)"/>
      <sheetName val="수량_작성"/>
      <sheetName val="조명시설"/>
      <sheetName val="지시서"/>
      <sheetName val="설계명세서"/>
      <sheetName val="#2_일위대가목록"/>
      <sheetName val="#REF"/>
      <sheetName val="BID"/>
      <sheetName val="48일위"/>
      <sheetName val="퍼스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요율"/>
      <sheetName val="노임단가"/>
      <sheetName val="단가산출"/>
      <sheetName val="전기대가"/>
      <sheetName val="전기일위목록"/>
      <sheetName val="산출(전기)"/>
      <sheetName val="전기내역서"/>
      <sheetName val="전기내역서집계"/>
      <sheetName val="전기원가계산서"/>
      <sheetName val="제목"/>
      <sheetName val="대가"/>
      <sheetName val="일위목록"/>
      <sheetName val="산출(소방)"/>
      <sheetName val="내역서"/>
      <sheetName val="내역서집계"/>
      <sheetName val="소방원가계산서"/>
      <sheetName val="제목 "/>
      <sheetName val="화재수신반회로"/>
      <sheetName val="평당공사비"/>
      <sheetName val="제조단가산출"/>
      <sheetName val="배전반일위대가"/>
      <sheetName val="소방대가"/>
      <sheetName val="소방일위목록 "/>
      <sheetName val="소방내역서"/>
      <sheetName val="소방내역서집계"/>
      <sheetName val="소방원가"/>
      <sheetName val="통신대가"/>
      <sheetName val="통신일위목록"/>
      <sheetName val="산출 (통신)"/>
      <sheetName val="통신내역서 "/>
      <sheetName val="통신내역서집계"/>
      <sheetName val="통신원가"/>
      <sheetName val="전기원가"/>
      <sheetName val="총갑지"/>
      <sheetName val="XXXXXX"/>
      <sheetName val="제목 (2)"/>
      <sheetName val="선로정수계산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현설(토.철)"/>
      <sheetName val="토공견적서"/>
      <sheetName val="철콘견적서"/>
      <sheetName val="노임단가"/>
      <sheetName val="공사원가계산서"/>
      <sheetName val="수량산출"/>
      <sheetName val="갑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공종"/>
      <sheetName val="수량계산서 집계표(신설-을지로3가 2호선)"/>
      <sheetName val="수량계산서 집계표(철거-을지로3가 2호선)"/>
      <sheetName val="수량계산서 집계표(가설 신설 및 철거-을지로3가 2호선)"/>
      <sheetName val="산출"/>
      <sheetName val="산출 (2)"/>
    </sheetNames>
    <sheetDataSet>
      <sheetData sheetId="0" refreshError="1">
        <row r="1">
          <cell r="A1" t="str">
            <v>CODE</v>
          </cell>
          <cell r="B1" t="str">
            <v>공 사 종 류</v>
          </cell>
          <cell r="C1" t="str">
            <v>규     격</v>
          </cell>
          <cell r="D1" t="str">
            <v>단위</v>
          </cell>
          <cell r="E1" t="str">
            <v>호표</v>
          </cell>
        </row>
        <row r="2">
          <cell r="A2" t="str">
            <v>A-1</v>
          </cell>
          <cell r="B2" t="str">
            <v>전선관 신설</v>
          </cell>
          <cell r="C2" t="str">
            <v>후강 16mm</v>
          </cell>
          <cell r="D2" t="str">
            <v>m</v>
          </cell>
          <cell r="E2">
            <v>1</v>
          </cell>
        </row>
        <row r="3">
          <cell r="A3" t="str">
            <v>A-2</v>
          </cell>
          <cell r="B3" t="str">
            <v>전선관 신설</v>
          </cell>
          <cell r="C3" t="str">
            <v>후강 22mm</v>
          </cell>
          <cell r="D3" t="str">
            <v>m</v>
          </cell>
          <cell r="E3">
            <v>2</v>
          </cell>
        </row>
        <row r="4">
          <cell r="A4" t="str">
            <v>A-3</v>
          </cell>
          <cell r="B4" t="str">
            <v>전선관 신설</v>
          </cell>
          <cell r="C4" t="str">
            <v>후강 28mm</v>
          </cell>
          <cell r="D4" t="str">
            <v>m</v>
          </cell>
          <cell r="E4">
            <v>3</v>
          </cell>
        </row>
        <row r="5">
          <cell r="A5" t="str">
            <v>A-4</v>
          </cell>
          <cell r="B5" t="str">
            <v>전선관 신설</v>
          </cell>
          <cell r="C5" t="str">
            <v>후강 36mm</v>
          </cell>
          <cell r="D5" t="str">
            <v>m</v>
          </cell>
          <cell r="E5">
            <v>4</v>
          </cell>
        </row>
        <row r="6">
          <cell r="A6" t="str">
            <v>A-5</v>
          </cell>
          <cell r="B6" t="str">
            <v>전선관 신설</v>
          </cell>
          <cell r="C6" t="str">
            <v>후강 42mm</v>
          </cell>
          <cell r="D6" t="str">
            <v>m</v>
          </cell>
          <cell r="E6">
            <v>5</v>
          </cell>
        </row>
        <row r="7">
          <cell r="A7" t="str">
            <v>A-6</v>
          </cell>
          <cell r="B7" t="str">
            <v>전선관 신설</v>
          </cell>
          <cell r="C7" t="str">
            <v>후강 54mm</v>
          </cell>
          <cell r="D7" t="str">
            <v>m</v>
          </cell>
          <cell r="E7">
            <v>6</v>
          </cell>
        </row>
        <row r="8">
          <cell r="A8" t="str">
            <v>A-7</v>
          </cell>
          <cell r="B8" t="str">
            <v>HI PVC 전선관 신설</v>
          </cell>
          <cell r="C8" t="str">
            <v>HI 28mm</v>
          </cell>
          <cell r="D8" t="str">
            <v>m</v>
          </cell>
          <cell r="E8">
            <v>7</v>
          </cell>
        </row>
        <row r="9">
          <cell r="A9" t="str">
            <v>A-8</v>
          </cell>
          <cell r="B9" t="str">
            <v>HI PVC 전선관 신설</v>
          </cell>
          <cell r="C9" t="str">
            <v>HI 42mm</v>
          </cell>
          <cell r="D9" t="str">
            <v>m</v>
          </cell>
          <cell r="E9">
            <v>8</v>
          </cell>
        </row>
        <row r="10">
          <cell r="A10" t="str">
            <v>A-9</v>
          </cell>
          <cell r="B10" t="str">
            <v>앙카 설치</v>
          </cell>
          <cell r="C10" t="str">
            <v>3/8"(M10)</v>
          </cell>
          <cell r="D10" t="str">
            <v>개</v>
          </cell>
          <cell r="E10">
            <v>9</v>
          </cell>
        </row>
        <row r="11">
          <cell r="A11" t="str">
            <v>A-10</v>
          </cell>
          <cell r="B11" t="str">
            <v>아웃트박스 신설</v>
          </cell>
          <cell r="C11" t="str">
            <v>중형4각 54mm</v>
          </cell>
          <cell r="D11" t="str">
            <v>개</v>
          </cell>
          <cell r="E11">
            <v>10</v>
          </cell>
        </row>
        <row r="12">
          <cell r="A12" t="str">
            <v>A-11</v>
          </cell>
          <cell r="B12" t="str">
            <v>풀박스 신설</v>
          </cell>
          <cell r="C12" t="str">
            <v>철재 1.2t100×100×50mm</v>
          </cell>
          <cell r="D12" t="str">
            <v>개</v>
          </cell>
          <cell r="E12">
            <v>11</v>
          </cell>
        </row>
        <row r="13">
          <cell r="A13" t="str">
            <v>A-12</v>
          </cell>
          <cell r="B13" t="str">
            <v>풀박스 신설</v>
          </cell>
          <cell r="C13" t="str">
            <v>철재 1.2t200×200×100mm</v>
          </cell>
          <cell r="D13" t="str">
            <v>개</v>
          </cell>
          <cell r="E13">
            <v>12</v>
          </cell>
        </row>
        <row r="14">
          <cell r="A14" t="str">
            <v>A-13</v>
          </cell>
          <cell r="B14" t="str">
            <v>풀박스 신설</v>
          </cell>
          <cell r="C14" t="str">
            <v>철재 1.2t300×300×100mm</v>
          </cell>
          <cell r="D14" t="str">
            <v>개</v>
          </cell>
          <cell r="E14">
            <v>13</v>
          </cell>
        </row>
        <row r="15">
          <cell r="A15" t="str">
            <v>A-14</v>
          </cell>
          <cell r="B15" t="str">
            <v>풀박스 신설</v>
          </cell>
          <cell r="C15" t="str">
            <v>철재 1.2t400×400×150mm</v>
          </cell>
          <cell r="D15" t="str">
            <v>개</v>
          </cell>
          <cell r="E15">
            <v>14</v>
          </cell>
        </row>
        <row r="16">
          <cell r="A16" t="str">
            <v>A-15</v>
          </cell>
          <cell r="B16" t="str">
            <v>풀박스 신설</v>
          </cell>
          <cell r="C16" t="str">
            <v>철재 1.2t400×400×300mm</v>
          </cell>
          <cell r="D16" t="str">
            <v>개</v>
          </cell>
          <cell r="E16">
            <v>15</v>
          </cell>
        </row>
        <row r="17">
          <cell r="A17" t="str">
            <v>A-16</v>
          </cell>
          <cell r="B17" t="str">
            <v>풀박스 신설</v>
          </cell>
          <cell r="C17" t="str">
            <v>철재 1.2t500×500×300mm</v>
          </cell>
          <cell r="D17" t="str">
            <v>개</v>
          </cell>
          <cell r="E17">
            <v>16</v>
          </cell>
        </row>
        <row r="18">
          <cell r="A18" t="str">
            <v>A-17</v>
          </cell>
          <cell r="B18" t="str">
            <v>풀박스 신설</v>
          </cell>
          <cell r="C18" t="str">
            <v>철재 1.2t600×600×300mm</v>
          </cell>
          <cell r="D18" t="str">
            <v>개</v>
          </cell>
          <cell r="E18">
            <v>17</v>
          </cell>
        </row>
        <row r="19">
          <cell r="A19" t="str">
            <v>A-18</v>
          </cell>
          <cell r="B19" t="str">
            <v>본딩 크램프 설치</v>
          </cell>
          <cell r="C19" t="str">
            <v xml:space="preserve">16C                    </v>
          </cell>
          <cell r="D19" t="str">
            <v>개소</v>
          </cell>
          <cell r="E19">
            <v>18</v>
          </cell>
        </row>
        <row r="20">
          <cell r="A20" t="str">
            <v>A-19</v>
          </cell>
          <cell r="B20" t="str">
            <v>본딩 크램프 설치</v>
          </cell>
          <cell r="C20" t="str">
            <v xml:space="preserve">22C                    </v>
          </cell>
          <cell r="D20" t="str">
            <v>개소</v>
          </cell>
          <cell r="E20">
            <v>19</v>
          </cell>
        </row>
        <row r="21">
          <cell r="A21" t="str">
            <v>A-20</v>
          </cell>
          <cell r="B21" t="str">
            <v>본딩 크램프 설치</v>
          </cell>
          <cell r="C21" t="str">
            <v xml:space="preserve">28C                    </v>
          </cell>
          <cell r="D21" t="str">
            <v>개소</v>
          </cell>
          <cell r="E21">
            <v>20</v>
          </cell>
        </row>
        <row r="22">
          <cell r="A22" t="str">
            <v>A-21</v>
          </cell>
          <cell r="B22" t="str">
            <v>본딩 크램프 설치</v>
          </cell>
          <cell r="C22" t="str">
            <v xml:space="preserve">36C                    </v>
          </cell>
          <cell r="D22" t="str">
            <v>개소</v>
          </cell>
          <cell r="E22">
            <v>21</v>
          </cell>
        </row>
        <row r="23">
          <cell r="A23" t="str">
            <v>A-22</v>
          </cell>
          <cell r="B23" t="str">
            <v>본딩 크램프 설치</v>
          </cell>
          <cell r="C23" t="str">
            <v xml:space="preserve">42C                    </v>
          </cell>
          <cell r="D23" t="str">
            <v>개소</v>
          </cell>
          <cell r="E23">
            <v>22</v>
          </cell>
        </row>
        <row r="24">
          <cell r="A24" t="str">
            <v>A-23</v>
          </cell>
          <cell r="B24" t="str">
            <v>본딩 크램프 설치</v>
          </cell>
          <cell r="C24" t="str">
            <v xml:space="preserve">54C                    </v>
          </cell>
          <cell r="D24" t="str">
            <v>개소</v>
          </cell>
          <cell r="E24">
            <v>23</v>
          </cell>
        </row>
        <row r="25">
          <cell r="A25" t="str">
            <v>A-24</v>
          </cell>
          <cell r="B25" t="str">
            <v>DUCT 신설</v>
          </cell>
          <cell r="C25" t="str">
            <v>100W×50H</v>
          </cell>
          <cell r="D25" t="str">
            <v>m</v>
          </cell>
          <cell r="E25">
            <v>24</v>
          </cell>
        </row>
        <row r="26">
          <cell r="A26" t="str">
            <v>A-25</v>
          </cell>
          <cell r="B26" t="str">
            <v>DUCT 신설</v>
          </cell>
          <cell r="C26" t="str">
            <v>200W×100H</v>
          </cell>
          <cell r="D26" t="str">
            <v>m</v>
          </cell>
          <cell r="E26">
            <v>25</v>
          </cell>
        </row>
        <row r="27">
          <cell r="A27" t="str">
            <v>A-26</v>
          </cell>
          <cell r="B27" t="str">
            <v>DUCT 신설</v>
          </cell>
          <cell r="C27" t="str">
            <v>300W×200H</v>
          </cell>
          <cell r="D27" t="str">
            <v>m</v>
          </cell>
          <cell r="E27">
            <v>26</v>
          </cell>
        </row>
        <row r="28">
          <cell r="A28" t="str">
            <v>A-27</v>
          </cell>
          <cell r="B28" t="str">
            <v>CABLE TRAY 신설</v>
          </cell>
          <cell r="C28" t="str">
            <v>200W×100H</v>
          </cell>
          <cell r="D28" t="str">
            <v>m</v>
          </cell>
          <cell r="E28">
            <v>27</v>
          </cell>
        </row>
        <row r="29">
          <cell r="A29" t="str">
            <v>A-28</v>
          </cell>
          <cell r="B29" t="str">
            <v>CABLE TRAY 신설</v>
          </cell>
          <cell r="C29" t="str">
            <v>300W×100H</v>
          </cell>
          <cell r="D29" t="str">
            <v>m</v>
          </cell>
          <cell r="E29">
            <v>28</v>
          </cell>
        </row>
        <row r="30">
          <cell r="A30" t="str">
            <v>A-29</v>
          </cell>
          <cell r="B30" t="str">
            <v>케이블 신설</v>
          </cell>
          <cell r="C30" t="str">
            <v>CV 3.5˚/2C</v>
          </cell>
          <cell r="D30" t="str">
            <v>m</v>
          </cell>
          <cell r="E30">
            <v>29</v>
          </cell>
        </row>
        <row r="31">
          <cell r="A31" t="str">
            <v>A-30</v>
          </cell>
          <cell r="B31" t="str">
            <v>케이블 신설</v>
          </cell>
          <cell r="C31" t="str">
            <v>CV 5.5˚/2C</v>
          </cell>
          <cell r="D31" t="str">
            <v>m</v>
          </cell>
          <cell r="E31">
            <v>30</v>
          </cell>
        </row>
        <row r="32">
          <cell r="A32" t="str">
            <v>A-31</v>
          </cell>
          <cell r="B32" t="str">
            <v>케이블 신설</v>
          </cell>
          <cell r="C32" t="str">
            <v>CV 14˚/2C</v>
          </cell>
          <cell r="D32" t="str">
            <v>m</v>
          </cell>
          <cell r="E32">
            <v>31</v>
          </cell>
        </row>
        <row r="33">
          <cell r="A33" t="str">
            <v>A-32</v>
          </cell>
          <cell r="B33" t="str">
            <v>케이블 신설</v>
          </cell>
          <cell r="C33" t="str">
            <v>CV 3.5˚/3C</v>
          </cell>
          <cell r="D33" t="str">
            <v>m</v>
          </cell>
          <cell r="E33">
            <v>32</v>
          </cell>
        </row>
        <row r="34">
          <cell r="A34" t="str">
            <v>A-33</v>
          </cell>
          <cell r="B34" t="str">
            <v>케이블 신설</v>
          </cell>
          <cell r="C34" t="str">
            <v>CV 5.5˚/3C</v>
          </cell>
          <cell r="D34" t="str">
            <v>m</v>
          </cell>
          <cell r="E34">
            <v>33</v>
          </cell>
        </row>
        <row r="35">
          <cell r="A35" t="str">
            <v>A-34</v>
          </cell>
          <cell r="B35" t="str">
            <v>케이블 신설</v>
          </cell>
          <cell r="C35" t="str">
            <v>CV 8˚/3C</v>
          </cell>
          <cell r="D35" t="str">
            <v>m</v>
          </cell>
          <cell r="E35">
            <v>34</v>
          </cell>
        </row>
        <row r="36">
          <cell r="A36" t="str">
            <v>A-35</v>
          </cell>
          <cell r="B36" t="str">
            <v>케이블 신설</v>
          </cell>
          <cell r="C36" t="str">
            <v>CV 14˚/3C</v>
          </cell>
          <cell r="D36" t="str">
            <v>m</v>
          </cell>
          <cell r="E36">
            <v>35</v>
          </cell>
        </row>
        <row r="37">
          <cell r="A37" t="str">
            <v>A-36</v>
          </cell>
          <cell r="B37" t="str">
            <v>케이블 신설</v>
          </cell>
          <cell r="C37" t="str">
            <v>CV 22˚/3C</v>
          </cell>
          <cell r="D37" t="str">
            <v>m</v>
          </cell>
          <cell r="E37">
            <v>36</v>
          </cell>
        </row>
        <row r="38">
          <cell r="A38" t="str">
            <v>A-37</v>
          </cell>
          <cell r="B38" t="str">
            <v>케이블 신설</v>
          </cell>
          <cell r="C38" t="str">
            <v>IV 3.5˚</v>
          </cell>
          <cell r="D38" t="str">
            <v>m</v>
          </cell>
          <cell r="E38">
            <v>37</v>
          </cell>
        </row>
        <row r="39">
          <cell r="A39" t="str">
            <v>A-38</v>
          </cell>
          <cell r="B39" t="str">
            <v>케이블 신설</v>
          </cell>
          <cell r="C39" t="str">
            <v>IV 8˚</v>
          </cell>
          <cell r="D39" t="str">
            <v>m</v>
          </cell>
          <cell r="E39">
            <v>38</v>
          </cell>
        </row>
        <row r="40">
          <cell r="A40" t="str">
            <v>A-39</v>
          </cell>
          <cell r="B40" t="str">
            <v>케이블 신설</v>
          </cell>
          <cell r="C40" t="str">
            <v>IV 14˚</v>
          </cell>
          <cell r="D40" t="str">
            <v>m</v>
          </cell>
          <cell r="E40">
            <v>39</v>
          </cell>
        </row>
        <row r="41">
          <cell r="A41" t="str">
            <v>A-40</v>
          </cell>
          <cell r="B41" t="str">
            <v>케이블 신설</v>
          </cell>
          <cell r="C41" t="str">
            <v>CVV-SB 1.25˚/4C</v>
          </cell>
          <cell r="D41" t="str">
            <v>m</v>
          </cell>
          <cell r="E41">
            <v>40</v>
          </cell>
        </row>
        <row r="42">
          <cell r="A42" t="str">
            <v>A-41</v>
          </cell>
          <cell r="B42" t="str">
            <v>케이블 신설</v>
          </cell>
          <cell r="C42" t="str">
            <v>CVV-SB 1.25˚/5C</v>
          </cell>
          <cell r="D42" t="str">
            <v>m</v>
          </cell>
          <cell r="E42">
            <v>41</v>
          </cell>
        </row>
        <row r="43">
          <cell r="A43" t="str">
            <v>A-42</v>
          </cell>
          <cell r="B43" t="str">
            <v>케이블 신설</v>
          </cell>
          <cell r="C43" t="str">
            <v>CVV-SB 1.25˚/7C</v>
          </cell>
          <cell r="D43" t="str">
            <v>m</v>
          </cell>
          <cell r="E43">
            <v>42</v>
          </cell>
        </row>
        <row r="44">
          <cell r="A44" t="str">
            <v>A-43</v>
          </cell>
          <cell r="B44" t="str">
            <v>케이블 신설</v>
          </cell>
          <cell r="C44" t="str">
            <v>CVV 2.0˚/4C</v>
          </cell>
          <cell r="D44" t="str">
            <v>m</v>
          </cell>
          <cell r="E44">
            <v>43</v>
          </cell>
        </row>
        <row r="45">
          <cell r="A45" t="str">
            <v>A-44</v>
          </cell>
          <cell r="B45" t="str">
            <v>케이블 신설</v>
          </cell>
          <cell r="C45" t="str">
            <v>SH 5P/.65</v>
          </cell>
          <cell r="D45" t="str">
            <v>m</v>
          </cell>
          <cell r="E45">
            <v>44</v>
          </cell>
        </row>
        <row r="46">
          <cell r="A46" t="str">
            <v>A-45</v>
          </cell>
          <cell r="B46" t="str">
            <v>케이블 신설</v>
          </cell>
          <cell r="C46" t="str">
            <v>ECX 7C-2V</v>
          </cell>
          <cell r="D46" t="str">
            <v>m</v>
          </cell>
          <cell r="E46">
            <v>45</v>
          </cell>
        </row>
        <row r="47">
          <cell r="A47" t="str">
            <v>A-46</v>
          </cell>
          <cell r="B47" t="str">
            <v>케이블 신설</v>
          </cell>
          <cell r="C47" t="str">
            <v>GV 22˚</v>
          </cell>
          <cell r="D47" t="str">
            <v>m</v>
          </cell>
          <cell r="E47">
            <v>46</v>
          </cell>
        </row>
        <row r="48">
          <cell r="A48" t="str">
            <v>A-47</v>
          </cell>
          <cell r="B48" t="str">
            <v>바닥 깨기</v>
          </cell>
          <cell r="C48" t="str">
            <v>(신설+철거)</v>
          </cell>
          <cell r="D48" t="str">
            <v>㎥</v>
          </cell>
          <cell r="E48">
            <v>47</v>
          </cell>
        </row>
        <row r="49">
          <cell r="A49" t="str">
            <v>A-48</v>
          </cell>
          <cell r="B49" t="str">
            <v>노즐박스 신설</v>
          </cell>
          <cell r="C49" t="str">
            <v>400×200×100</v>
          </cell>
          <cell r="D49" t="str">
            <v>개</v>
          </cell>
          <cell r="E49">
            <v>48</v>
          </cell>
        </row>
        <row r="50">
          <cell r="A50" t="str">
            <v>A-49</v>
          </cell>
          <cell r="B50" t="str">
            <v>화강석 깔기</v>
          </cell>
          <cell r="C50" t="str">
            <v>연마 24t</v>
          </cell>
          <cell r="D50" t="str">
            <v>㎡</v>
          </cell>
          <cell r="E50">
            <v>49</v>
          </cell>
        </row>
        <row r="51">
          <cell r="A51" t="str">
            <v>A-50</v>
          </cell>
          <cell r="B51" t="str">
            <v>자동 발매기</v>
          </cell>
          <cell r="C51" t="str">
            <v>장비이설</v>
          </cell>
          <cell r="D51" t="str">
            <v>대</v>
          </cell>
          <cell r="E51">
            <v>50</v>
          </cell>
        </row>
        <row r="52">
          <cell r="A52" t="str">
            <v>A-51</v>
          </cell>
          <cell r="B52" t="str">
            <v>자동 발권기</v>
          </cell>
          <cell r="C52" t="str">
            <v>장비이설</v>
          </cell>
          <cell r="D52" t="str">
            <v>대</v>
          </cell>
          <cell r="E52">
            <v>51</v>
          </cell>
        </row>
        <row r="53">
          <cell r="A53" t="str">
            <v>A-52</v>
          </cell>
          <cell r="B53" t="str">
            <v>보통권 발매기</v>
          </cell>
          <cell r="C53" t="str">
            <v>장비이설</v>
          </cell>
          <cell r="D53" t="str">
            <v>대</v>
          </cell>
          <cell r="E53">
            <v>52</v>
          </cell>
        </row>
        <row r="54">
          <cell r="A54" t="str">
            <v>A-53</v>
          </cell>
          <cell r="B54" t="str">
            <v>역단위 전산기 (SACU)</v>
          </cell>
          <cell r="C54" t="str">
            <v>장비이설</v>
          </cell>
          <cell r="D54" t="str">
            <v>대</v>
          </cell>
          <cell r="E54">
            <v>53</v>
          </cell>
        </row>
        <row r="55">
          <cell r="A55" t="str">
            <v>A-54</v>
          </cell>
          <cell r="B55" t="str">
            <v>자동개집표기</v>
          </cell>
          <cell r="C55" t="str">
            <v>장비이설</v>
          </cell>
          <cell r="D55" t="str">
            <v>대</v>
          </cell>
          <cell r="E55">
            <v>54</v>
          </cell>
        </row>
        <row r="56">
          <cell r="A56" t="str">
            <v>A-55</v>
          </cell>
          <cell r="B56" t="str">
            <v>비상GATE 신설</v>
          </cell>
          <cell r="C56">
            <v>0</v>
          </cell>
          <cell r="D56" t="str">
            <v>대</v>
          </cell>
          <cell r="E56">
            <v>55</v>
          </cell>
        </row>
        <row r="57">
          <cell r="A57" t="str">
            <v>A-56</v>
          </cell>
          <cell r="B57" t="str">
            <v>분전반 신설(AFC UPS실)</v>
          </cell>
          <cell r="C57" t="str">
            <v>을지로3가(3) 700×800×200</v>
          </cell>
          <cell r="D57" t="str">
            <v>면</v>
          </cell>
          <cell r="E57">
            <v>56</v>
          </cell>
        </row>
        <row r="58">
          <cell r="A58" t="str">
            <v>A-57</v>
          </cell>
          <cell r="B58" t="str">
            <v>분전반 신설(AFC UPS실)</v>
          </cell>
          <cell r="C58" t="str">
            <v>을지로3가(3) 700×500×200</v>
          </cell>
          <cell r="D58" t="str">
            <v>면</v>
          </cell>
          <cell r="E58">
            <v>57</v>
          </cell>
        </row>
        <row r="59">
          <cell r="A59" t="str">
            <v>A-58</v>
          </cell>
          <cell r="B59" t="str">
            <v>분전반 신설("가"매표소)</v>
          </cell>
          <cell r="C59" t="str">
            <v>을지로3가(3) 600×800×150</v>
          </cell>
          <cell r="D59" t="str">
            <v>면</v>
          </cell>
          <cell r="E59">
            <v>58</v>
          </cell>
        </row>
        <row r="60">
          <cell r="A60" t="str">
            <v>A-59</v>
          </cell>
          <cell r="B60" t="str">
            <v>분전반 신설("가"매표소)</v>
          </cell>
          <cell r="C60" t="str">
            <v>을지로3가(3) 500×500×150</v>
          </cell>
          <cell r="D60" t="str">
            <v>면</v>
          </cell>
          <cell r="E60">
            <v>59</v>
          </cell>
        </row>
        <row r="61">
          <cell r="A61" t="str">
            <v>A-60</v>
          </cell>
          <cell r="B61" t="str">
            <v>분전반 신설("나"매표소)</v>
          </cell>
          <cell r="C61" t="str">
            <v>을지로3가(3) 600×800×150</v>
          </cell>
          <cell r="D61" t="str">
            <v>면</v>
          </cell>
          <cell r="E61">
            <v>60</v>
          </cell>
        </row>
        <row r="62">
          <cell r="A62" t="str">
            <v>A-61</v>
          </cell>
          <cell r="B62" t="str">
            <v>분전반 신설("나"매표소)</v>
          </cell>
          <cell r="C62" t="str">
            <v>을지로3가(3) 500×500×150</v>
          </cell>
          <cell r="D62" t="str">
            <v>면</v>
          </cell>
          <cell r="E62">
            <v>61</v>
          </cell>
        </row>
        <row r="63">
          <cell r="A63" t="str">
            <v>A-62</v>
          </cell>
          <cell r="B63" t="str">
            <v>분전반 신설(AFC UPS실)</v>
          </cell>
          <cell r="C63" t="str">
            <v>을지로3가(2) 700×800×200</v>
          </cell>
          <cell r="D63" t="str">
            <v>면</v>
          </cell>
          <cell r="E63">
            <v>62</v>
          </cell>
        </row>
        <row r="64">
          <cell r="A64" t="str">
            <v>A-63</v>
          </cell>
          <cell r="B64" t="str">
            <v>분전반 신설(AFC UPS실)</v>
          </cell>
          <cell r="C64" t="str">
            <v>을지로3가(2) 700×500×200</v>
          </cell>
          <cell r="D64" t="str">
            <v>면</v>
          </cell>
          <cell r="E64">
            <v>63</v>
          </cell>
        </row>
        <row r="65">
          <cell r="A65" t="str">
            <v>A-64</v>
          </cell>
          <cell r="B65" t="str">
            <v>분전반 신설("가"매표소)</v>
          </cell>
          <cell r="C65" t="str">
            <v>을지로3가(2) 600×800×150</v>
          </cell>
          <cell r="D65" t="str">
            <v>면</v>
          </cell>
          <cell r="E65">
            <v>64</v>
          </cell>
        </row>
        <row r="66">
          <cell r="A66" t="str">
            <v>A-65</v>
          </cell>
          <cell r="B66" t="str">
            <v>분전반 신설("가"매표소)</v>
          </cell>
          <cell r="C66" t="str">
            <v>을지로3가(2) 500×500×150</v>
          </cell>
          <cell r="D66" t="str">
            <v>면</v>
          </cell>
          <cell r="E66">
            <v>65</v>
          </cell>
        </row>
        <row r="67">
          <cell r="A67" t="str">
            <v>A-66</v>
          </cell>
          <cell r="B67" t="str">
            <v>분전반 신설("나"매표소)</v>
          </cell>
          <cell r="C67" t="str">
            <v>을지로3가(2) 600×800×150</v>
          </cell>
          <cell r="D67" t="str">
            <v>면</v>
          </cell>
          <cell r="E67">
            <v>66</v>
          </cell>
        </row>
        <row r="68">
          <cell r="A68" t="str">
            <v>A-67</v>
          </cell>
          <cell r="B68" t="str">
            <v>분전반 신설("나"매표소)</v>
          </cell>
          <cell r="C68" t="str">
            <v>을지로3가(2) 500×500×150</v>
          </cell>
          <cell r="D68" t="str">
            <v>면</v>
          </cell>
          <cell r="E68">
            <v>67</v>
          </cell>
        </row>
        <row r="69">
          <cell r="A69" t="str">
            <v>A-68</v>
          </cell>
          <cell r="B69" t="str">
            <v>분전반 신설(AFC UPS실)</v>
          </cell>
          <cell r="C69" t="str">
            <v>동대문(4) 700×800×200</v>
          </cell>
          <cell r="D69" t="str">
            <v>면</v>
          </cell>
          <cell r="E69">
            <v>68</v>
          </cell>
        </row>
        <row r="70">
          <cell r="A70" t="str">
            <v>A-69</v>
          </cell>
          <cell r="B70" t="str">
            <v>분전반 신설(AFC UPS실)</v>
          </cell>
          <cell r="C70" t="str">
            <v>동대문(4) 700×500×200</v>
          </cell>
          <cell r="D70" t="str">
            <v>면</v>
          </cell>
          <cell r="E70">
            <v>69</v>
          </cell>
        </row>
        <row r="71">
          <cell r="A71" t="str">
            <v>A-70</v>
          </cell>
          <cell r="B71" t="str">
            <v>분전반 신설(통합 매표소)</v>
          </cell>
          <cell r="C71" t="str">
            <v>동대문(4) 600×800×150</v>
          </cell>
          <cell r="D71" t="str">
            <v>면</v>
          </cell>
          <cell r="E71">
            <v>70</v>
          </cell>
        </row>
        <row r="72">
          <cell r="A72" t="str">
            <v>A-71</v>
          </cell>
          <cell r="B72" t="str">
            <v>분전반 신설(통합 매표소)</v>
          </cell>
          <cell r="C72" t="str">
            <v>동대문(4) 500×500×150</v>
          </cell>
          <cell r="D72" t="str">
            <v>면</v>
          </cell>
          <cell r="E72">
            <v>71</v>
          </cell>
        </row>
        <row r="73">
          <cell r="A73" t="str">
            <v>A-72</v>
          </cell>
          <cell r="B73" t="str">
            <v>바닥구멍 뚫기</v>
          </cell>
          <cell r="C73" t="str">
            <v>천공</v>
          </cell>
          <cell r="D73" t="str">
            <v>개소</v>
          </cell>
          <cell r="E73">
            <v>72</v>
          </cell>
        </row>
        <row r="74">
          <cell r="A74" t="str">
            <v>A-73</v>
          </cell>
          <cell r="B74" t="str">
            <v>접지 공사</v>
          </cell>
          <cell r="C74" t="str">
            <v>5Ω 이하</v>
          </cell>
          <cell r="D74" t="str">
            <v>개소</v>
          </cell>
          <cell r="E74">
            <v>73</v>
          </cell>
        </row>
        <row r="75">
          <cell r="A75" t="str">
            <v>A-74</v>
          </cell>
          <cell r="B75" t="str">
            <v>전선관 철거</v>
          </cell>
          <cell r="C75" t="str">
            <v>아연도 16C</v>
          </cell>
          <cell r="D75" t="str">
            <v>m</v>
          </cell>
          <cell r="E75">
            <v>74</v>
          </cell>
        </row>
        <row r="76">
          <cell r="A76" t="str">
            <v>A-75</v>
          </cell>
          <cell r="B76" t="str">
            <v>전선관 철거</v>
          </cell>
          <cell r="C76" t="str">
            <v>아연도 22C</v>
          </cell>
          <cell r="D76" t="str">
            <v>m</v>
          </cell>
          <cell r="E76">
            <v>75</v>
          </cell>
        </row>
        <row r="77">
          <cell r="A77" t="str">
            <v>A-76</v>
          </cell>
          <cell r="B77" t="str">
            <v>전선관 철거</v>
          </cell>
          <cell r="C77" t="str">
            <v>아연도 28C</v>
          </cell>
          <cell r="D77" t="str">
            <v>m</v>
          </cell>
          <cell r="E77">
            <v>76</v>
          </cell>
        </row>
        <row r="78">
          <cell r="A78" t="str">
            <v>A-77</v>
          </cell>
          <cell r="B78" t="str">
            <v>전선관 철거</v>
          </cell>
          <cell r="C78" t="str">
            <v>아연도 36C</v>
          </cell>
          <cell r="D78" t="str">
            <v>m</v>
          </cell>
          <cell r="E78">
            <v>77</v>
          </cell>
        </row>
        <row r="79">
          <cell r="A79" t="str">
            <v>A-78</v>
          </cell>
          <cell r="B79" t="str">
            <v>전선관 철거</v>
          </cell>
          <cell r="C79" t="str">
            <v>아연도 42C</v>
          </cell>
          <cell r="D79" t="str">
            <v>m</v>
          </cell>
          <cell r="E79">
            <v>78</v>
          </cell>
        </row>
        <row r="80">
          <cell r="A80" t="str">
            <v>A-79</v>
          </cell>
          <cell r="B80" t="str">
            <v>전선관 철거</v>
          </cell>
          <cell r="C80" t="str">
            <v>아연도 54C</v>
          </cell>
          <cell r="D80" t="str">
            <v>m</v>
          </cell>
          <cell r="E80">
            <v>79</v>
          </cell>
        </row>
        <row r="81">
          <cell r="A81" t="str">
            <v>A-80</v>
          </cell>
          <cell r="B81" t="str">
            <v>HI PVC 전선관 철거</v>
          </cell>
          <cell r="C81" t="str">
            <v>HI 22mm</v>
          </cell>
          <cell r="D81" t="str">
            <v>m</v>
          </cell>
          <cell r="E81">
            <v>80</v>
          </cell>
        </row>
        <row r="82">
          <cell r="A82" t="str">
            <v>A-81</v>
          </cell>
          <cell r="B82" t="str">
            <v>HI PVC 전선관 철거</v>
          </cell>
          <cell r="C82" t="str">
            <v>HI 28mm</v>
          </cell>
          <cell r="D82" t="str">
            <v>m</v>
          </cell>
          <cell r="E82">
            <v>81</v>
          </cell>
        </row>
        <row r="83">
          <cell r="A83" t="str">
            <v>A-82</v>
          </cell>
          <cell r="B83" t="str">
            <v>DUCT 철거</v>
          </cell>
          <cell r="C83" t="str">
            <v>100W×100H</v>
          </cell>
          <cell r="D83" t="str">
            <v>m</v>
          </cell>
          <cell r="E83">
            <v>82</v>
          </cell>
        </row>
        <row r="84">
          <cell r="A84" t="str">
            <v>A-83</v>
          </cell>
          <cell r="B84" t="str">
            <v>DUCT 철거</v>
          </cell>
          <cell r="C84" t="str">
            <v>200W×100H</v>
          </cell>
          <cell r="D84" t="str">
            <v>m</v>
          </cell>
          <cell r="E84">
            <v>83</v>
          </cell>
        </row>
        <row r="85">
          <cell r="A85" t="str">
            <v>A-84</v>
          </cell>
          <cell r="B85" t="str">
            <v>DUCT 철거</v>
          </cell>
          <cell r="C85" t="str">
            <v>250W×200H</v>
          </cell>
          <cell r="D85" t="str">
            <v>m</v>
          </cell>
          <cell r="E85">
            <v>84</v>
          </cell>
        </row>
        <row r="86">
          <cell r="A86" t="str">
            <v>A-85</v>
          </cell>
          <cell r="B86" t="str">
            <v>DUCT 철거</v>
          </cell>
          <cell r="C86" t="str">
            <v>300W×150H</v>
          </cell>
          <cell r="D86" t="str">
            <v>m</v>
          </cell>
          <cell r="E86">
            <v>85</v>
          </cell>
        </row>
        <row r="87">
          <cell r="A87" t="str">
            <v>A-86</v>
          </cell>
          <cell r="B87" t="str">
            <v>케이블 철거</v>
          </cell>
          <cell r="C87" t="str">
            <v>CV 3.5˚/2C</v>
          </cell>
          <cell r="D87" t="str">
            <v>m</v>
          </cell>
          <cell r="E87">
            <v>86</v>
          </cell>
        </row>
        <row r="88">
          <cell r="A88" t="str">
            <v>A-87</v>
          </cell>
          <cell r="B88" t="str">
            <v>케이블 철거</v>
          </cell>
          <cell r="C88" t="str">
            <v>CV 5.5˚/2C</v>
          </cell>
          <cell r="D88" t="str">
            <v>m</v>
          </cell>
          <cell r="E88">
            <v>87</v>
          </cell>
        </row>
        <row r="89">
          <cell r="A89" t="str">
            <v>A-88</v>
          </cell>
          <cell r="B89" t="str">
            <v>케이블 철거</v>
          </cell>
          <cell r="C89" t="str">
            <v>CV 14˚/2C</v>
          </cell>
          <cell r="D89" t="str">
            <v>m</v>
          </cell>
          <cell r="E89">
            <v>88</v>
          </cell>
        </row>
        <row r="90">
          <cell r="A90" t="str">
            <v>A-89</v>
          </cell>
          <cell r="B90" t="str">
            <v>케이블 철거</v>
          </cell>
          <cell r="C90" t="str">
            <v>CV 22˚/2C</v>
          </cell>
          <cell r="D90" t="str">
            <v>m</v>
          </cell>
          <cell r="E90">
            <v>89</v>
          </cell>
        </row>
        <row r="91">
          <cell r="A91" t="str">
            <v>A-90</v>
          </cell>
          <cell r="B91" t="str">
            <v>케이블 철거</v>
          </cell>
          <cell r="C91" t="str">
            <v>IV 3.5˚</v>
          </cell>
          <cell r="D91" t="str">
            <v>m</v>
          </cell>
          <cell r="E91">
            <v>90</v>
          </cell>
        </row>
        <row r="92">
          <cell r="A92" t="str">
            <v>A-91</v>
          </cell>
          <cell r="B92" t="str">
            <v>케이블 철거</v>
          </cell>
          <cell r="C92" t="str">
            <v>IV 8˚</v>
          </cell>
          <cell r="D92" t="str">
            <v>m</v>
          </cell>
          <cell r="E92">
            <v>91</v>
          </cell>
        </row>
        <row r="93">
          <cell r="A93" t="str">
            <v>A-92</v>
          </cell>
          <cell r="B93" t="str">
            <v>케이블 철거</v>
          </cell>
          <cell r="C93" t="str">
            <v>IV 14˚</v>
          </cell>
          <cell r="D93" t="str">
            <v>m</v>
          </cell>
          <cell r="E93">
            <v>92</v>
          </cell>
        </row>
        <row r="94">
          <cell r="A94" t="str">
            <v>A-93</v>
          </cell>
          <cell r="B94" t="str">
            <v>케이블 철거</v>
          </cell>
          <cell r="C94" t="str">
            <v>IV 22˚</v>
          </cell>
          <cell r="D94" t="str">
            <v>m</v>
          </cell>
          <cell r="E94">
            <v>93</v>
          </cell>
        </row>
        <row r="95">
          <cell r="A95" t="str">
            <v>A-94</v>
          </cell>
          <cell r="B95" t="str">
            <v>케이블 철거</v>
          </cell>
          <cell r="C95" t="str">
            <v>CVV-SB 1.25˚/4C</v>
          </cell>
          <cell r="D95" t="str">
            <v>m</v>
          </cell>
          <cell r="E95">
            <v>94</v>
          </cell>
        </row>
        <row r="96">
          <cell r="A96" t="str">
            <v>A-95</v>
          </cell>
          <cell r="B96" t="str">
            <v>케이블 철거</v>
          </cell>
          <cell r="C96" t="str">
            <v>CVV-SB 1.25˚/5C</v>
          </cell>
          <cell r="D96" t="str">
            <v>m</v>
          </cell>
          <cell r="E96">
            <v>95</v>
          </cell>
        </row>
        <row r="97">
          <cell r="A97" t="str">
            <v>A-96</v>
          </cell>
          <cell r="B97" t="str">
            <v>케이블 철거</v>
          </cell>
          <cell r="C97" t="str">
            <v>CVV-SB 1.25˚/7C</v>
          </cell>
          <cell r="D97" t="str">
            <v>m</v>
          </cell>
          <cell r="E97">
            <v>96</v>
          </cell>
        </row>
        <row r="98">
          <cell r="A98" t="str">
            <v>A-97</v>
          </cell>
          <cell r="B98" t="str">
            <v>케이블 철거</v>
          </cell>
          <cell r="C98" t="str">
            <v>CVV 2.0˚/4C</v>
          </cell>
          <cell r="D98" t="str">
            <v>m</v>
          </cell>
          <cell r="E98">
            <v>97</v>
          </cell>
        </row>
        <row r="99">
          <cell r="A99" t="str">
            <v>A-98</v>
          </cell>
          <cell r="B99" t="str">
            <v>케이블 철거</v>
          </cell>
          <cell r="C99" t="str">
            <v>SH 5P/.65</v>
          </cell>
          <cell r="D99" t="str">
            <v>m</v>
          </cell>
          <cell r="E99">
            <v>98</v>
          </cell>
        </row>
        <row r="100">
          <cell r="A100" t="str">
            <v>A-99</v>
          </cell>
          <cell r="B100" t="str">
            <v>케이블 철거</v>
          </cell>
          <cell r="C100" t="str">
            <v>ECX 7C-2V</v>
          </cell>
          <cell r="D100" t="str">
            <v>m</v>
          </cell>
          <cell r="E100">
            <v>99</v>
          </cell>
        </row>
        <row r="101">
          <cell r="A101" t="str">
            <v>A-100</v>
          </cell>
          <cell r="B101" t="str">
            <v>케이블 철거</v>
          </cell>
          <cell r="C101" t="str">
            <v>GV 38˚</v>
          </cell>
          <cell r="D101" t="str">
            <v>m</v>
          </cell>
          <cell r="E101">
            <v>100</v>
          </cell>
        </row>
        <row r="102">
          <cell r="A102" t="str">
            <v>A-101</v>
          </cell>
          <cell r="B102" t="str">
            <v>비상GATE 철거</v>
          </cell>
          <cell r="C102">
            <v>0</v>
          </cell>
          <cell r="D102" t="str">
            <v>대</v>
          </cell>
          <cell r="E102">
            <v>101</v>
          </cell>
        </row>
        <row r="103">
          <cell r="A103" t="str">
            <v>A-102</v>
          </cell>
          <cell r="B103" t="str">
            <v>분전반 철거(역무실)</v>
          </cell>
          <cell r="C103" t="str">
            <v>을지로3가(3) 500×750×150</v>
          </cell>
          <cell r="D103" t="str">
            <v>면</v>
          </cell>
          <cell r="E103">
            <v>102</v>
          </cell>
        </row>
        <row r="104">
          <cell r="A104" t="str">
            <v>A-103</v>
          </cell>
          <cell r="B104" t="str">
            <v>분전반 철거("가"매표소)</v>
          </cell>
          <cell r="C104" t="str">
            <v>을지로3가(3) 500×700×150</v>
          </cell>
          <cell r="D104" t="str">
            <v>면</v>
          </cell>
          <cell r="E104">
            <v>103</v>
          </cell>
        </row>
        <row r="105">
          <cell r="A105" t="str">
            <v>A-104</v>
          </cell>
          <cell r="B105" t="str">
            <v>분전반 철거("나"매표소)</v>
          </cell>
          <cell r="C105" t="str">
            <v>을지로3가(3) 500×750×150</v>
          </cell>
          <cell r="D105" t="str">
            <v>면</v>
          </cell>
          <cell r="E105">
            <v>104</v>
          </cell>
        </row>
        <row r="106">
          <cell r="A106" t="str">
            <v>A-105</v>
          </cell>
          <cell r="B106" t="str">
            <v>분전반 철거(역무실)</v>
          </cell>
          <cell r="C106" t="str">
            <v>을지로3가(2) 500×900×150</v>
          </cell>
          <cell r="D106" t="str">
            <v>면</v>
          </cell>
          <cell r="E106">
            <v>105</v>
          </cell>
        </row>
        <row r="107">
          <cell r="A107" t="str">
            <v>A-106</v>
          </cell>
          <cell r="B107" t="str">
            <v>분전반 철거("가"매표소)</v>
          </cell>
          <cell r="C107" t="str">
            <v>을지로3가(2) 500×800×150</v>
          </cell>
          <cell r="D107" t="str">
            <v>면</v>
          </cell>
          <cell r="E107">
            <v>106</v>
          </cell>
        </row>
        <row r="108">
          <cell r="A108" t="str">
            <v>A-107</v>
          </cell>
          <cell r="B108" t="str">
            <v>분전반 철거("나"매표소)</v>
          </cell>
          <cell r="C108" t="str">
            <v>을지로3가(2) 500×750×150</v>
          </cell>
          <cell r="D108" t="str">
            <v>면</v>
          </cell>
          <cell r="E108">
            <v>107</v>
          </cell>
        </row>
        <row r="109">
          <cell r="A109" t="str">
            <v>A-108</v>
          </cell>
          <cell r="B109" t="str">
            <v>분전반 철거(역무실)</v>
          </cell>
          <cell r="C109" t="str">
            <v>동대문(4) 600×700×150</v>
          </cell>
          <cell r="D109" t="str">
            <v>면</v>
          </cell>
          <cell r="E109">
            <v>108</v>
          </cell>
        </row>
        <row r="110">
          <cell r="A110" t="str">
            <v>A-109</v>
          </cell>
          <cell r="B110" t="str">
            <v>분전반 철거("가"매표소)</v>
          </cell>
          <cell r="C110" t="str">
            <v>동대문(4) 500×900×150</v>
          </cell>
          <cell r="D110" t="str">
            <v>면</v>
          </cell>
          <cell r="E110">
            <v>109</v>
          </cell>
        </row>
        <row r="111">
          <cell r="A111" t="str">
            <v>A-110</v>
          </cell>
          <cell r="B111" t="str">
            <v>분전반 철거("나"매표소)</v>
          </cell>
          <cell r="C111" t="str">
            <v>동대문(4) 500×850×150</v>
          </cell>
          <cell r="D111" t="str">
            <v>면</v>
          </cell>
          <cell r="E111">
            <v>110</v>
          </cell>
        </row>
        <row r="112">
          <cell r="A112" t="str">
            <v>A-111</v>
          </cell>
          <cell r="B112" t="str">
            <v>CAMERA 철거</v>
          </cell>
          <cell r="C112">
            <v>0</v>
          </cell>
          <cell r="D112" t="str">
            <v>EA</v>
          </cell>
          <cell r="E112">
            <v>111</v>
          </cell>
        </row>
        <row r="113">
          <cell r="A113" t="str">
            <v>A-112</v>
          </cell>
          <cell r="B113" t="str">
            <v>CCTV RACK 철거</v>
          </cell>
          <cell r="C113">
            <v>0</v>
          </cell>
          <cell r="D113" t="str">
            <v>EA</v>
          </cell>
          <cell r="E113">
            <v>112</v>
          </cell>
        </row>
        <row r="114">
          <cell r="A114" t="str">
            <v>A-113</v>
          </cell>
          <cell r="B114" t="str">
            <v>케이블 신설</v>
          </cell>
          <cell r="C114" t="str">
            <v>CV 3.5˚/2C</v>
          </cell>
          <cell r="D114" t="str">
            <v>m</v>
          </cell>
          <cell r="E114">
            <v>113</v>
          </cell>
        </row>
        <row r="115">
          <cell r="A115" t="str">
            <v>A-114</v>
          </cell>
          <cell r="B115" t="str">
            <v>케이블 신설</v>
          </cell>
          <cell r="C115" t="str">
            <v>CV 8˚/2C</v>
          </cell>
          <cell r="D115" t="str">
            <v>m</v>
          </cell>
          <cell r="E115">
            <v>114</v>
          </cell>
        </row>
        <row r="116">
          <cell r="A116" t="str">
            <v>A-115</v>
          </cell>
          <cell r="B116" t="str">
            <v>케이블 신설</v>
          </cell>
          <cell r="C116" t="str">
            <v>CV 14˚/2C</v>
          </cell>
          <cell r="D116" t="str">
            <v>m</v>
          </cell>
          <cell r="E116">
            <v>115</v>
          </cell>
        </row>
        <row r="117">
          <cell r="A117" t="str">
            <v>A-116</v>
          </cell>
          <cell r="B117" t="str">
            <v>케이블 신설</v>
          </cell>
          <cell r="C117" t="str">
            <v>CV 22˚/2C</v>
          </cell>
          <cell r="D117" t="str">
            <v>m</v>
          </cell>
          <cell r="E117">
            <v>116</v>
          </cell>
        </row>
        <row r="118">
          <cell r="A118" t="str">
            <v>A-117</v>
          </cell>
          <cell r="B118" t="str">
            <v>케이블 신설</v>
          </cell>
          <cell r="C118" t="str">
            <v>IV 3.5˚</v>
          </cell>
          <cell r="D118" t="str">
            <v>m</v>
          </cell>
          <cell r="E118">
            <v>117</v>
          </cell>
        </row>
        <row r="119">
          <cell r="A119" t="str">
            <v>A-118</v>
          </cell>
          <cell r="B119" t="str">
            <v>케이블 신설</v>
          </cell>
          <cell r="C119" t="str">
            <v>IV 8˚</v>
          </cell>
          <cell r="D119" t="str">
            <v>m</v>
          </cell>
          <cell r="E119">
            <v>118</v>
          </cell>
        </row>
        <row r="120">
          <cell r="A120" t="str">
            <v>A-119</v>
          </cell>
          <cell r="B120" t="str">
            <v>케이블 신설</v>
          </cell>
          <cell r="C120" t="str">
            <v>IV 14˚</v>
          </cell>
          <cell r="D120" t="str">
            <v>m</v>
          </cell>
          <cell r="E120">
            <v>119</v>
          </cell>
        </row>
        <row r="121">
          <cell r="A121" t="str">
            <v>A-120</v>
          </cell>
          <cell r="B121" t="str">
            <v>케이블 신설</v>
          </cell>
          <cell r="C121" t="str">
            <v>CVV-SB 1.25˚/4C</v>
          </cell>
          <cell r="D121" t="str">
            <v>m</v>
          </cell>
          <cell r="E121">
            <v>120</v>
          </cell>
        </row>
        <row r="122">
          <cell r="A122" t="str">
            <v>A-121</v>
          </cell>
          <cell r="B122" t="str">
            <v>케이블 신설</v>
          </cell>
          <cell r="C122" t="str">
            <v>CVV-SB 1.25˚/5C</v>
          </cell>
          <cell r="D122" t="str">
            <v>m</v>
          </cell>
          <cell r="E122">
            <v>121</v>
          </cell>
        </row>
        <row r="123">
          <cell r="A123" t="str">
            <v>A-122</v>
          </cell>
          <cell r="B123" t="str">
            <v>케이블 신설</v>
          </cell>
          <cell r="C123" t="str">
            <v>CVV-SB 1.25˚/7C</v>
          </cell>
          <cell r="D123" t="str">
            <v>m</v>
          </cell>
          <cell r="E123">
            <v>122</v>
          </cell>
        </row>
        <row r="124">
          <cell r="A124" t="str">
            <v>A-123</v>
          </cell>
          <cell r="B124" t="str">
            <v>케이블 신설</v>
          </cell>
          <cell r="C124" t="str">
            <v>CVV 2.0˚/4C</v>
          </cell>
          <cell r="D124" t="str">
            <v>m</v>
          </cell>
          <cell r="E124">
            <v>123</v>
          </cell>
        </row>
        <row r="125">
          <cell r="A125" t="str">
            <v>A-124</v>
          </cell>
          <cell r="B125" t="str">
            <v>케이블 신설</v>
          </cell>
          <cell r="C125" t="str">
            <v>SH 5P/.65</v>
          </cell>
          <cell r="D125" t="str">
            <v>m</v>
          </cell>
          <cell r="E125">
            <v>124</v>
          </cell>
        </row>
        <row r="126">
          <cell r="A126" t="str">
            <v>A-125</v>
          </cell>
          <cell r="B126" t="str">
            <v>찬넬 가대</v>
          </cell>
          <cell r="C126" t="str">
            <v>W:600mm</v>
          </cell>
          <cell r="D126" t="str">
            <v>개소</v>
          </cell>
          <cell r="E126">
            <v>125</v>
          </cell>
        </row>
        <row r="127">
          <cell r="A127" t="str">
            <v>A-126</v>
          </cell>
          <cell r="B127" t="str">
            <v>찬넬 가대</v>
          </cell>
          <cell r="C127" t="str">
            <v>W:500mm</v>
          </cell>
          <cell r="D127" t="str">
            <v>개소</v>
          </cell>
          <cell r="E127">
            <v>126</v>
          </cell>
        </row>
        <row r="128">
          <cell r="A128" t="str">
            <v>A-127</v>
          </cell>
          <cell r="B128" t="str">
            <v>찬넬 가대</v>
          </cell>
          <cell r="C128" t="str">
            <v>W:400mm</v>
          </cell>
          <cell r="D128" t="str">
            <v>개소</v>
          </cell>
          <cell r="E128">
            <v>127</v>
          </cell>
        </row>
        <row r="129">
          <cell r="A129" t="str">
            <v>A-128</v>
          </cell>
          <cell r="B129" t="str">
            <v>찬넬 가대</v>
          </cell>
          <cell r="C129" t="str">
            <v>W:300mm</v>
          </cell>
          <cell r="D129" t="str">
            <v>개소</v>
          </cell>
          <cell r="E129">
            <v>128</v>
          </cell>
        </row>
        <row r="130">
          <cell r="A130" t="str">
            <v>A-129</v>
          </cell>
          <cell r="B130" t="str">
            <v>찬넬 가대</v>
          </cell>
          <cell r="C130" t="str">
            <v>W:200mm</v>
          </cell>
          <cell r="D130" t="str">
            <v>개소</v>
          </cell>
          <cell r="E130">
            <v>129</v>
          </cell>
        </row>
        <row r="131">
          <cell r="A131" t="str">
            <v>A-130</v>
          </cell>
          <cell r="B131" t="str">
            <v>합판 설치</v>
          </cell>
          <cell r="C131">
            <v>0</v>
          </cell>
          <cell r="D131" t="str">
            <v>개소</v>
          </cell>
          <cell r="E131">
            <v>130</v>
          </cell>
        </row>
      </sheetData>
      <sheetData sheetId="1" refreshError="1">
        <row r="1">
          <cell r="E1" t="str">
            <v>1-</v>
          </cell>
          <cell r="F1" t="str">
            <v>2-</v>
          </cell>
          <cell r="G1" t="str">
            <v>3-</v>
          </cell>
          <cell r="H1" t="str">
            <v>4-</v>
          </cell>
          <cell r="I1" t="str">
            <v>5-</v>
          </cell>
          <cell r="J1" t="str">
            <v>6-</v>
          </cell>
          <cell r="K1" t="str">
            <v>7-</v>
          </cell>
          <cell r="L1" t="str">
            <v>8-</v>
          </cell>
          <cell r="M1" t="str">
            <v>9-</v>
          </cell>
          <cell r="N1" t="str">
            <v>10-</v>
          </cell>
          <cell r="O1" t="str">
            <v>11-</v>
          </cell>
          <cell r="P1" t="str">
            <v>12-</v>
          </cell>
          <cell r="Q1" t="str">
            <v>13-</v>
          </cell>
          <cell r="R1" t="str">
            <v>14-</v>
          </cell>
          <cell r="S1" t="str">
            <v>15-</v>
          </cell>
          <cell r="T1" t="str">
            <v>16-</v>
          </cell>
          <cell r="U1" t="str">
            <v>17-</v>
          </cell>
          <cell r="V1" t="str">
            <v>18-</v>
          </cell>
          <cell r="W1" t="str">
            <v>19-</v>
          </cell>
          <cell r="X1" t="str">
            <v>20-</v>
          </cell>
          <cell r="Y1" t="str">
            <v>21-</v>
          </cell>
          <cell r="Z1" t="str">
            <v>22-</v>
          </cell>
          <cell r="AA1" t="str">
            <v>23-</v>
          </cell>
          <cell r="AB1" t="str">
            <v>24-</v>
          </cell>
          <cell r="AC1" t="str">
            <v>25-</v>
          </cell>
          <cell r="AD1" t="str">
            <v>26-</v>
          </cell>
          <cell r="AE1" t="str">
            <v>27-</v>
          </cell>
          <cell r="AF1" t="str">
            <v>28-</v>
          </cell>
          <cell r="AG1" t="str">
            <v>29-</v>
          </cell>
          <cell r="AH1" t="str">
            <v>30-</v>
          </cell>
          <cell r="AI1" t="str">
            <v>31-</v>
          </cell>
          <cell r="AJ1" t="str">
            <v>32-</v>
          </cell>
          <cell r="AK1" t="str">
            <v>33-</v>
          </cell>
          <cell r="AL1" t="str">
            <v>34-</v>
          </cell>
          <cell r="AM1" t="str">
            <v>35-</v>
          </cell>
          <cell r="AN1" t="str">
            <v>36-</v>
          </cell>
          <cell r="AO1" t="str">
            <v>37-</v>
          </cell>
          <cell r="AP1" t="str">
            <v>38-</v>
          </cell>
          <cell r="AQ1" t="str">
            <v>39-</v>
          </cell>
          <cell r="AR1" t="str">
            <v>40-</v>
          </cell>
          <cell r="AS1" t="str">
            <v>41-</v>
          </cell>
          <cell r="AT1" t="str">
            <v>42-</v>
          </cell>
          <cell r="AU1" t="str">
            <v>43-</v>
          </cell>
          <cell r="AW1" t="str">
            <v>호표</v>
          </cell>
        </row>
        <row r="2">
          <cell r="A2" t="str">
            <v>CODE</v>
          </cell>
          <cell r="B2" t="str">
            <v>공사종류</v>
          </cell>
          <cell r="C2" t="str">
            <v>규     격</v>
          </cell>
          <cell r="D2" t="str">
            <v>단위</v>
          </cell>
          <cell r="E2" t="str">
            <v>SHEET NUMBER</v>
          </cell>
          <cell r="Y2" t="str">
            <v>SHEET NUMBER</v>
          </cell>
          <cell r="AU2" t="str">
            <v>수량합계</v>
          </cell>
          <cell r="AV2" t="str">
            <v>비고</v>
          </cell>
          <cell r="AW2">
            <v>0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</row>
        <row r="4">
          <cell r="A4" t="str">
            <v>A-1</v>
          </cell>
          <cell r="B4" t="str">
            <v>전선관 신설</v>
          </cell>
          <cell r="C4" t="str">
            <v>후강 16mm</v>
          </cell>
          <cell r="D4" t="str">
            <v>m</v>
          </cell>
          <cell r="E4">
            <v>5</v>
          </cell>
          <cell r="F4">
            <v>17</v>
          </cell>
          <cell r="AU4">
            <v>22</v>
          </cell>
          <cell r="AW4">
            <v>1</v>
          </cell>
        </row>
        <row r="5">
          <cell r="A5" t="str">
            <v>A-2</v>
          </cell>
          <cell r="B5" t="str">
            <v>전선관 신설</v>
          </cell>
          <cell r="C5" t="str">
            <v>후강 22mm</v>
          </cell>
          <cell r="D5" t="str">
            <v>m</v>
          </cell>
          <cell r="J5">
            <v>11</v>
          </cell>
          <cell r="L5">
            <v>13.8</v>
          </cell>
          <cell r="M5">
            <v>6.4</v>
          </cell>
          <cell r="N5">
            <v>15.9</v>
          </cell>
          <cell r="P5">
            <v>10.7</v>
          </cell>
          <cell r="Q5">
            <v>6.6</v>
          </cell>
          <cell r="S5">
            <v>45.6</v>
          </cell>
          <cell r="T5">
            <v>60.3</v>
          </cell>
          <cell r="V5">
            <v>49</v>
          </cell>
          <cell r="X5">
            <v>24.8</v>
          </cell>
          <cell r="Y5">
            <v>9.4</v>
          </cell>
          <cell r="AA5">
            <v>8</v>
          </cell>
          <cell r="AB5">
            <v>9.8000000000000007</v>
          </cell>
          <cell r="AC5">
            <v>8</v>
          </cell>
          <cell r="AD5">
            <v>10.8</v>
          </cell>
          <cell r="AE5">
            <v>90.27</v>
          </cell>
          <cell r="AF5">
            <v>90.27</v>
          </cell>
          <cell r="AU5">
            <v>470.64</v>
          </cell>
          <cell r="AW5">
            <v>2</v>
          </cell>
        </row>
        <row r="6">
          <cell r="A6" t="str">
            <v>A-3</v>
          </cell>
          <cell r="B6" t="str">
            <v>전선관 신설</v>
          </cell>
          <cell r="C6" t="str">
            <v>후강 28mm</v>
          </cell>
          <cell r="D6" t="str">
            <v>m</v>
          </cell>
          <cell r="H6">
            <v>8.3000000000000007</v>
          </cell>
          <cell r="I6">
            <v>5</v>
          </cell>
          <cell r="K6">
            <v>20.399999999999999</v>
          </cell>
          <cell r="M6">
            <v>6.4</v>
          </cell>
          <cell r="P6">
            <v>10.7</v>
          </cell>
          <cell r="Q6">
            <v>6.6</v>
          </cell>
          <cell r="R6">
            <v>8.8000000000000007</v>
          </cell>
          <cell r="S6">
            <v>22.8</v>
          </cell>
          <cell r="V6">
            <v>24.5</v>
          </cell>
          <cell r="W6">
            <v>7.2</v>
          </cell>
          <cell r="X6">
            <v>12.4</v>
          </cell>
          <cell r="Z6">
            <v>3</v>
          </cell>
          <cell r="AC6">
            <v>8</v>
          </cell>
          <cell r="AE6">
            <v>4.47</v>
          </cell>
          <cell r="AF6">
            <v>4.47</v>
          </cell>
          <cell r="AU6">
            <v>153.04</v>
          </cell>
          <cell r="AW6">
            <v>3</v>
          </cell>
        </row>
        <row r="7">
          <cell r="A7" t="str">
            <v>A-4</v>
          </cell>
          <cell r="B7" t="str">
            <v>전선관 신설</v>
          </cell>
          <cell r="C7" t="str">
            <v>후강 36mm</v>
          </cell>
          <cell r="D7" t="str">
            <v>m</v>
          </cell>
          <cell r="H7">
            <v>8.3000000000000007</v>
          </cell>
          <cell r="I7">
            <v>5</v>
          </cell>
          <cell r="N7">
            <v>5.3</v>
          </cell>
          <cell r="R7">
            <v>17.600000000000001</v>
          </cell>
          <cell r="Y7">
            <v>9.4</v>
          </cell>
          <cell r="Z7">
            <v>6</v>
          </cell>
          <cell r="AU7">
            <v>51.6</v>
          </cell>
          <cell r="AW7">
            <v>4</v>
          </cell>
        </row>
        <row r="8">
          <cell r="A8" t="str">
            <v>A-5</v>
          </cell>
          <cell r="B8" t="str">
            <v>전선관 신설</v>
          </cell>
          <cell r="C8" t="str">
            <v>후강 42mm</v>
          </cell>
          <cell r="D8" t="str">
            <v>m</v>
          </cell>
          <cell r="K8">
            <v>10.199999999999999</v>
          </cell>
          <cell r="M8">
            <v>6.4</v>
          </cell>
          <cell r="R8">
            <v>8.8000000000000007</v>
          </cell>
          <cell r="S8">
            <v>45.6</v>
          </cell>
          <cell r="T8">
            <v>40.200000000000003</v>
          </cell>
          <cell r="Z8">
            <v>3</v>
          </cell>
          <cell r="AA8">
            <v>8</v>
          </cell>
          <cell r="AU8">
            <v>122.2</v>
          </cell>
          <cell r="AW8">
            <v>5</v>
          </cell>
        </row>
        <row r="9">
          <cell r="A9" t="str">
            <v>A-6</v>
          </cell>
          <cell r="B9" t="str">
            <v>전선관 신설</v>
          </cell>
          <cell r="C9" t="str">
            <v>후강 54mm</v>
          </cell>
          <cell r="D9" t="str">
            <v>m</v>
          </cell>
          <cell r="M9">
            <v>6.4</v>
          </cell>
          <cell r="N9">
            <v>10.6</v>
          </cell>
          <cell r="O9">
            <v>15.4</v>
          </cell>
          <cell r="R9">
            <v>26.4</v>
          </cell>
          <cell r="S9">
            <v>68.400000000000006</v>
          </cell>
          <cell r="T9">
            <v>60.3</v>
          </cell>
          <cell r="U9">
            <v>23.4</v>
          </cell>
          <cell r="V9">
            <v>73.5</v>
          </cell>
          <cell r="X9">
            <v>37.200000000000003</v>
          </cell>
          <cell r="Y9">
            <v>18.8</v>
          </cell>
          <cell r="Z9">
            <v>9</v>
          </cell>
          <cell r="AU9">
            <v>349.4</v>
          </cell>
          <cell r="AW9">
            <v>6</v>
          </cell>
        </row>
        <row r="10">
          <cell r="A10" t="str">
            <v>A-7</v>
          </cell>
          <cell r="B10" t="str">
            <v>HI PVC 전선관 신설</v>
          </cell>
          <cell r="C10" t="str">
            <v>HI 28mm</v>
          </cell>
          <cell r="D10" t="str">
            <v>m</v>
          </cell>
          <cell r="E10">
            <v>5</v>
          </cell>
          <cell r="F10">
            <v>13</v>
          </cell>
          <cell r="G10">
            <v>30</v>
          </cell>
          <cell r="I10">
            <v>5</v>
          </cell>
          <cell r="K10">
            <v>10.199999999999999</v>
          </cell>
          <cell r="O10">
            <v>7.7</v>
          </cell>
          <cell r="S10">
            <v>22.8</v>
          </cell>
          <cell r="U10">
            <v>7.8</v>
          </cell>
          <cell r="AG10">
            <v>4</v>
          </cell>
          <cell r="AH10">
            <v>3</v>
          </cell>
          <cell r="AI10">
            <v>21</v>
          </cell>
          <cell r="AJ10">
            <v>3</v>
          </cell>
          <cell r="AU10">
            <v>132.5</v>
          </cell>
          <cell r="AW10">
            <v>7</v>
          </cell>
        </row>
        <row r="11">
          <cell r="A11" t="str">
            <v>A-8</v>
          </cell>
          <cell r="B11" t="str">
            <v>HI PVC 전선관 신설</v>
          </cell>
          <cell r="C11" t="str">
            <v>HI 42mm</v>
          </cell>
          <cell r="D11" t="str">
            <v>m</v>
          </cell>
          <cell r="AG11">
            <v>65.599999999999994</v>
          </cell>
          <cell r="AH11">
            <v>26.8</v>
          </cell>
          <cell r="AI11">
            <v>78.400000000000006</v>
          </cell>
          <cell r="AJ11">
            <v>28.4</v>
          </cell>
          <cell r="AU11">
            <v>199.20000000000002</v>
          </cell>
          <cell r="AW11">
            <v>8</v>
          </cell>
        </row>
        <row r="12">
          <cell r="A12" t="str">
            <v>A-9</v>
          </cell>
          <cell r="B12" t="str">
            <v>앙카 설치</v>
          </cell>
          <cell r="C12" t="str">
            <v>3/8"(M10)</v>
          </cell>
          <cell r="D12" t="str">
            <v>개</v>
          </cell>
          <cell r="E12">
            <v>3</v>
          </cell>
          <cell r="F12">
            <v>7</v>
          </cell>
          <cell r="H12">
            <v>5</v>
          </cell>
          <cell r="I12">
            <v>3</v>
          </cell>
          <cell r="J12">
            <v>2</v>
          </cell>
          <cell r="K12">
            <v>6</v>
          </cell>
          <cell r="L12">
            <v>4</v>
          </cell>
          <cell r="M12">
            <v>4</v>
          </cell>
          <cell r="N12">
            <v>3</v>
          </cell>
          <cell r="O12">
            <v>4</v>
          </cell>
          <cell r="P12">
            <v>6</v>
          </cell>
          <cell r="Q12">
            <v>4</v>
          </cell>
          <cell r="R12">
            <v>5</v>
          </cell>
          <cell r="S12">
            <v>12</v>
          </cell>
          <cell r="T12">
            <v>11</v>
          </cell>
          <cell r="U12">
            <v>4</v>
          </cell>
          <cell r="V12">
            <v>13</v>
          </cell>
          <cell r="W12">
            <v>2</v>
          </cell>
          <cell r="X12">
            <v>7</v>
          </cell>
          <cell r="Y12">
            <v>5</v>
          </cell>
          <cell r="Z12">
            <v>2</v>
          </cell>
          <cell r="AA12">
            <v>4</v>
          </cell>
          <cell r="AB12">
            <v>3</v>
          </cell>
          <cell r="AC12">
            <v>4</v>
          </cell>
          <cell r="AD12">
            <v>3</v>
          </cell>
          <cell r="AE12">
            <v>26</v>
          </cell>
          <cell r="AF12">
            <v>26</v>
          </cell>
          <cell r="AU12">
            <v>178</v>
          </cell>
          <cell r="AW12">
            <v>9</v>
          </cell>
        </row>
        <row r="13">
          <cell r="A13" t="str">
            <v>A-10</v>
          </cell>
          <cell r="B13" t="str">
            <v>아웃트박스 신설</v>
          </cell>
          <cell r="C13" t="str">
            <v>중형4각 54mm</v>
          </cell>
          <cell r="D13" t="str">
            <v>개</v>
          </cell>
          <cell r="E13">
            <v>12</v>
          </cell>
          <cell r="AU13">
            <v>12</v>
          </cell>
          <cell r="AW13">
            <v>10</v>
          </cell>
        </row>
        <row r="14">
          <cell r="A14" t="str">
            <v>A-11</v>
          </cell>
          <cell r="B14" t="str">
            <v>풀박스 신설</v>
          </cell>
          <cell r="C14" t="str">
            <v>철재 1.2t100×100×50mm</v>
          </cell>
          <cell r="D14" t="str">
            <v>개</v>
          </cell>
          <cell r="AU14">
            <v>0</v>
          </cell>
          <cell r="AW14">
            <v>11</v>
          </cell>
        </row>
        <row r="15">
          <cell r="A15" t="str">
            <v>A-12</v>
          </cell>
          <cell r="B15" t="str">
            <v>풀박스 신설</v>
          </cell>
          <cell r="C15" t="str">
            <v>철재 1.2t200×200×100mm</v>
          </cell>
          <cell r="D15" t="str">
            <v>개</v>
          </cell>
          <cell r="S15">
            <v>1</v>
          </cell>
          <cell r="U15">
            <v>1</v>
          </cell>
          <cell r="AU15">
            <v>2</v>
          </cell>
          <cell r="AW15">
            <v>12</v>
          </cell>
        </row>
        <row r="16">
          <cell r="A16" t="str">
            <v>A-13</v>
          </cell>
          <cell r="B16" t="str">
            <v>풀박스 신설</v>
          </cell>
          <cell r="C16" t="str">
            <v>철재 1.2t300×300×100mm</v>
          </cell>
          <cell r="D16" t="str">
            <v>개</v>
          </cell>
          <cell r="E16">
            <v>1</v>
          </cell>
          <cell r="F16">
            <v>1</v>
          </cell>
          <cell r="J16">
            <v>1</v>
          </cell>
          <cell r="M16">
            <v>1</v>
          </cell>
          <cell r="P16">
            <v>1</v>
          </cell>
          <cell r="Q16">
            <v>1</v>
          </cell>
          <cell r="R16">
            <v>1</v>
          </cell>
          <cell r="T16">
            <v>1</v>
          </cell>
          <cell r="AU16">
            <v>8</v>
          </cell>
          <cell r="AW16">
            <v>13</v>
          </cell>
        </row>
        <row r="17">
          <cell r="A17" t="str">
            <v>A-14</v>
          </cell>
          <cell r="B17" t="str">
            <v>풀박스 신설</v>
          </cell>
          <cell r="C17" t="str">
            <v>철재 1.2t400×400×150mm</v>
          </cell>
          <cell r="D17" t="str">
            <v>개</v>
          </cell>
          <cell r="AU17">
            <v>0</v>
          </cell>
          <cell r="AW17">
            <v>14</v>
          </cell>
        </row>
        <row r="18">
          <cell r="A18" t="str">
            <v>A-15</v>
          </cell>
          <cell r="B18" t="str">
            <v>풀박스 신설</v>
          </cell>
          <cell r="C18" t="str">
            <v>철재 1.2t400×400×300mm</v>
          </cell>
          <cell r="D18" t="str">
            <v>개</v>
          </cell>
          <cell r="G18">
            <v>1</v>
          </cell>
          <cell r="AU18">
            <v>1</v>
          </cell>
          <cell r="AW18">
            <v>15</v>
          </cell>
        </row>
        <row r="19">
          <cell r="A19" t="str">
            <v>A-16</v>
          </cell>
          <cell r="B19" t="str">
            <v>풀박스 신설</v>
          </cell>
          <cell r="C19" t="str">
            <v>철재 1.2t500×500×300mm</v>
          </cell>
          <cell r="D19" t="str">
            <v>개</v>
          </cell>
          <cell r="H19">
            <v>1</v>
          </cell>
          <cell r="I19">
            <v>1</v>
          </cell>
          <cell r="N19">
            <v>1</v>
          </cell>
          <cell r="AU19">
            <v>3</v>
          </cell>
          <cell r="AW19">
            <v>16</v>
          </cell>
        </row>
        <row r="20">
          <cell r="A20" t="str">
            <v>A-17</v>
          </cell>
          <cell r="B20" t="str">
            <v>풀박스 신설</v>
          </cell>
          <cell r="C20" t="str">
            <v>철재 1.2t600×600×300mm</v>
          </cell>
          <cell r="D20" t="str">
            <v>개</v>
          </cell>
          <cell r="K20">
            <v>1</v>
          </cell>
          <cell r="L20">
            <v>1</v>
          </cell>
          <cell r="O20">
            <v>1</v>
          </cell>
          <cell r="AU20">
            <v>3</v>
          </cell>
          <cell r="AW20">
            <v>17</v>
          </cell>
        </row>
        <row r="21">
          <cell r="A21" t="str">
            <v>A-18</v>
          </cell>
          <cell r="B21" t="str">
            <v>본딩 크램프 설치</v>
          </cell>
          <cell r="C21" t="str">
            <v xml:space="preserve">16C                    </v>
          </cell>
          <cell r="D21" t="str">
            <v>개소</v>
          </cell>
          <cell r="E21">
            <v>2</v>
          </cell>
          <cell r="F21">
            <v>1</v>
          </cell>
          <cell r="AU21">
            <v>3</v>
          </cell>
          <cell r="AW21">
            <v>18</v>
          </cell>
        </row>
        <row r="22">
          <cell r="A22" t="str">
            <v>A-19</v>
          </cell>
          <cell r="B22" t="str">
            <v>본딩 크램프 설치</v>
          </cell>
          <cell r="C22" t="str">
            <v xml:space="preserve">22C                    </v>
          </cell>
          <cell r="D22" t="str">
            <v>개소</v>
          </cell>
          <cell r="F22">
            <v>1</v>
          </cell>
          <cell r="G22">
            <v>4</v>
          </cell>
          <cell r="H22">
            <v>2</v>
          </cell>
          <cell r="I22">
            <v>3</v>
          </cell>
          <cell r="J22">
            <v>2</v>
          </cell>
          <cell r="K22">
            <v>4</v>
          </cell>
          <cell r="L22">
            <v>4</v>
          </cell>
          <cell r="N22">
            <v>4</v>
          </cell>
          <cell r="O22">
            <v>4</v>
          </cell>
          <cell r="P22">
            <v>6</v>
          </cell>
          <cell r="Q22">
            <v>5</v>
          </cell>
          <cell r="R22">
            <v>5</v>
          </cell>
          <cell r="S22">
            <v>4</v>
          </cell>
          <cell r="T22">
            <v>5</v>
          </cell>
          <cell r="U22">
            <v>4</v>
          </cell>
          <cell r="AU22">
            <v>57</v>
          </cell>
          <cell r="AW22">
            <v>19</v>
          </cell>
        </row>
        <row r="23">
          <cell r="A23" t="str">
            <v>A-20</v>
          </cell>
          <cell r="B23" t="str">
            <v>본딩 크램프 설치</v>
          </cell>
          <cell r="C23" t="str">
            <v xml:space="preserve">28C                    </v>
          </cell>
          <cell r="D23" t="str">
            <v>개소</v>
          </cell>
          <cell r="E23">
            <v>2</v>
          </cell>
          <cell r="F23">
            <v>3</v>
          </cell>
          <cell r="G23">
            <v>5</v>
          </cell>
          <cell r="H23">
            <v>4</v>
          </cell>
          <cell r="I23">
            <v>5</v>
          </cell>
          <cell r="J23">
            <v>2</v>
          </cell>
          <cell r="K23">
            <v>4</v>
          </cell>
          <cell r="L23">
            <v>3</v>
          </cell>
          <cell r="M23">
            <v>2</v>
          </cell>
          <cell r="N23">
            <v>2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T23">
            <v>1</v>
          </cell>
          <cell r="AU23">
            <v>37</v>
          </cell>
          <cell r="AW23">
            <v>20</v>
          </cell>
        </row>
        <row r="24">
          <cell r="A24" t="str">
            <v>A-21</v>
          </cell>
          <cell r="B24" t="str">
            <v>본딩 크램프 설치</v>
          </cell>
          <cell r="C24" t="str">
            <v xml:space="preserve">36C                    </v>
          </cell>
          <cell r="D24" t="str">
            <v>개소</v>
          </cell>
          <cell r="F24">
            <v>2</v>
          </cell>
          <cell r="G24">
            <v>1</v>
          </cell>
          <cell r="H24">
            <v>1</v>
          </cell>
          <cell r="I24">
            <v>2</v>
          </cell>
          <cell r="O24">
            <v>4</v>
          </cell>
          <cell r="AU24">
            <v>10</v>
          </cell>
          <cell r="AW24">
            <v>21</v>
          </cell>
        </row>
        <row r="25">
          <cell r="A25" t="str">
            <v>A-22</v>
          </cell>
          <cell r="B25" t="str">
            <v>본딩 크램프 설치</v>
          </cell>
          <cell r="C25" t="str">
            <v xml:space="preserve">42C                    </v>
          </cell>
          <cell r="D25" t="str">
            <v>개소</v>
          </cell>
          <cell r="G25">
            <v>1</v>
          </cell>
          <cell r="H25">
            <v>1</v>
          </cell>
          <cell r="I25">
            <v>2</v>
          </cell>
          <cell r="K25">
            <v>3</v>
          </cell>
          <cell r="L25">
            <v>1</v>
          </cell>
          <cell r="O25">
            <v>2</v>
          </cell>
          <cell r="P25">
            <v>1</v>
          </cell>
          <cell r="AU25">
            <v>11</v>
          </cell>
          <cell r="AW25">
            <v>22</v>
          </cell>
        </row>
        <row r="26">
          <cell r="A26" t="str">
            <v>A-23</v>
          </cell>
          <cell r="B26" t="str">
            <v>본딩 크램프 설치</v>
          </cell>
          <cell r="C26" t="str">
            <v xml:space="preserve">54C                    </v>
          </cell>
          <cell r="D26" t="str">
            <v>개소</v>
          </cell>
          <cell r="H26">
            <v>4</v>
          </cell>
          <cell r="I26">
            <v>8</v>
          </cell>
          <cell r="K26">
            <v>8</v>
          </cell>
          <cell r="L26">
            <v>5</v>
          </cell>
          <cell r="N26">
            <v>6</v>
          </cell>
          <cell r="O26">
            <v>8</v>
          </cell>
          <cell r="AU26">
            <v>39</v>
          </cell>
          <cell r="AW26">
            <v>23</v>
          </cell>
        </row>
        <row r="27">
          <cell r="A27" t="str">
            <v>A-24</v>
          </cell>
          <cell r="B27" t="str">
            <v>DUCT 신설</v>
          </cell>
          <cell r="C27" t="str">
            <v>100W×50H</v>
          </cell>
          <cell r="D27" t="str">
            <v>m</v>
          </cell>
          <cell r="G27">
            <v>3</v>
          </cell>
          <cell r="H27">
            <v>3</v>
          </cell>
          <cell r="AU27">
            <v>6</v>
          </cell>
          <cell r="AW27">
            <v>24</v>
          </cell>
        </row>
        <row r="28">
          <cell r="A28" t="str">
            <v>A-25</v>
          </cell>
          <cell r="B28" t="str">
            <v>DUCT 신설</v>
          </cell>
          <cell r="C28" t="str">
            <v>200W×100H</v>
          </cell>
          <cell r="D28" t="str">
            <v>m</v>
          </cell>
          <cell r="E28">
            <v>3</v>
          </cell>
          <cell r="F28">
            <v>3</v>
          </cell>
          <cell r="J28">
            <v>3</v>
          </cell>
          <cell r="K28">
            <v>3</v>
          </cell>
          <cell r="AU28">
            <v>12</v>
          </cell>
          <cell r="AW28">
            <v>25</v>
          </cell>
        </row>
        <row r="29">
          <cell r="A29" t="str">
            <v>A-26</v>
          </cell>
          <cell r="B29" t="str">
            <v>DUCT 신설</v>
          </cell>
          <cell r="C29" t="str">
            <v>300W×200H</v>
          </cell>
          <cell r="D29" t="str">
            <v>m</v>
          </cell>
          <cell r="I29">
            <v>3</v>
          </cell>
          <cell r="AU29">
            <v>3</v>
          </cell>
          <cell r="AW29">
            <v>26</v>
          </cell>
        </row>
        <row r="30">
          <cell r="A30" t="str">
            <v>A-27</v>
          </cell>
          <cell r="B30" t="str">
            <v>CABLE TRAY 신설</v>
          </cell>
          <cell r="C30" t="str">
            <v>200W×100H</v>
          </cell>
          <cell r="D30" t="str">
            <v>m</v>
          </cell>
          <cell r="E30">
            <v>10</v>
          </cell>
          <cell r="G30">
            <v>10</v>
          </cell>
          <cell r="AU30">
            <v>20</v>
          </cell>
          <cell r="AW30">
            <v>27</v>
          </cell>
        </row>
        <row r="31">
          <cell r="A31" t="str">
            <v>A-28</v>
          </cell>
          <cell r="B31" t="str">
            <v>CABLE TRAY 신설</v>
          </cell>
          <cell r="C31" t="str">
            <v>300W×100H</v>
          </cell>
          <cell r="D31" t="str">
            <v>m</v>
          </cell>
          <cell r="F31">
            <v>12</v>
          </cell>
          <cell r="AU31">
            <v>12</v>
          </cell>
          <cell r="AW31">
            <v>28</v>
          </cell>
        </row>
        <row r="32">
          <cell r="A32" t="str">
            <v>A-29</v>
          </cell>
          <cell r="B32" t="str">
            <v>케이블 신설</v>
          </cell>
          <cell r="C32" t="str">
            <v>CV 3.5˚/2C</v>
          </cell>
          <cell r="D32" t="str">
            <v>m</v>
          </cell>
          <cell r="H32">
            <v>22.6</v>
          </cell>
          <cell r="I32">
            <v>10</v>
          </cell>
          <cell r="J32">
            <v>7.9</v>
          </cell>
          <cell r="K32">
            <v>30.6</v>
          </cell>
          <cell r="L32">
            <v>8.9</v>
          </cell>
          <cell r="M32">
            <v>32</v>
          </cell>
          <cell r="N32">
            <v>42.4</v>
          </cell>
          <cell r="P32">
            <v>10.7</v>
          </cell>
          <cell r="Q32">
            <v>6.58</v>
          </cell>
          <cell r="R32">
            <v>52.8</v>
          </cell>
          <cell r="S32">
            <v>114</v>
          </cell>
          <cell r="T32">
            <v>20.100000000000001</v>
          </cell>
          <cell r="U32">
            <v>31.2</v>
          </cell>
          <cell r="V32">
            <v>24.5</v>
          </cell>
          <cell r="X32">
            <v>12.4</v>
          </cell>
          <cell r="Y32">
            <v>65.8</v>
          </cell>
          <cell r="Z32">
            <v>21</v>
          </cell>
          <cell r="AA32">
            <v>8</v>
          </cell>
          <cell r="AB32">
            <v>5.9</v>
          </cell>
          <cell r="AC32">
            <v>8</v>
          </cell>
          <cell r="AD32">
            <v>11.4</v>
          </cell>
          <cell r="AE32">
            <v>36.47</v>
          </cell>
          <cell r="AF32">
            <v>36.47</v>
          </cell>
          <cell r="AG32">
            <v>15</v>
          </cell>
          <cell r="AH32">
            <v>15</v>
          </cell>
          <cell r="AI32">
            <v>18</v>
          </cell>
          <cell r="AJ32">
            <v>3</v>
          </cell>
          <cell r="AK32">
            <v>12</v>
          </cell>
          <cell r="AL32">
            <v>21</v>
          </cell>
          <cell r="AM32">
            <v>21</v>
          </cell>
          <cell r="AN32">
            <v>70</v>
          </cell>
          <cell r="AO32">
            <v>70</v>
          </cell>
          <cell r="AP32">
            <v>105</v>
          </cell>
          <cell r="AQ32">
            <v>105</v>
          </cell>
          <cell r="AR32">
            <v>43</v>
          </cell>
          <cell r="AS32">
            <v>171</v>
          </cell>
          <cell r="AT32">
            <v>46</v>
          </cell>
          <cell r="AU32">
            <v>1334.72</v>
          </cell>
          <cell r="AW32">
            <v>29</v>
          </cell>
        </row>
        <row r="33">
          <cell r="A33" t="str">
            <v>A-30</v>
          </cell>
          <cell r="B33" t="str">
            <v>케이블 신설</v>
          </cell>
          <cell r="C33" t="str">
            <v>CV 5.5˚/2C</v>
          </cell>
          <cell r="D33" t="str">
            <v>m</v>
          </cell>
          <cell r="AU33">
            <v>0</v>
          </cell>
          <cell r="AW33">
            <v>30</v>
          </cell>
        </row>
        <row r="34">
          <cell r="A34" t="str">
            <v>A-31</v>
          </cell>
          <cell r="B34" t="str">
            <v>케이블 신설</v>
          </cell>
          <cell r="C34" t="str">
            <v>CV 14˚/2C</v>
          </cell>
          <cell r="D34" t="str">
            <v>m</v>
          </cell>
          <cell r="AO34">
            <v>28</v>
          </cell>
          <cell r="AU34">
            <v>28</v>
          </cell>
          <cell r="AW34">
            <v>31</v>
          </cell>
        </row>
        <row r="35">
          <cell r="A35" t="str">
            <v>A-32</v>
          </cell>
          <cell r="B35" t="str">
            <v>케이블 신설</v>
          </cell>
          <cell r="C35" t="str">
            <v>CV 3.5˚/3C</v>
          </cell>
          <cell r="D35" t="str">
            <v>m</v>
          </cell>
          <cell r="AU35">
            <v>0</v>
          </cell>
          <cell r="AW35">
            <v>32</v>
          </cell>
        </row>
        <row r="36">
          <cell r="A36" t="str">
            <v>A-33</v>
          </cell>
          <cell r="B36" t="str">
            <v>케이블 신설</v>
          </cell>
          <cell r="C36" t="str">
            <v>CV 5.5˚/3C</v>
          </cell>
          <cell r="D36" t="str">
            <v>m</v>
          </cell>
          <cell r="AU36">
            <v>0</v>
          </cell>
          <cell r="AW36">
            <v>33</v>
          </cell>
        </row>
        <row r="37">
          <cell r="A37" t="str">
            <v>A-34</v>
          </cell>
          <cell r="B37" t="str">
            <v>케이블 신설</v>
          </cell>
          <cell r="C37" t="str">
            <v>CV 8˚/3C</v>
          </cell>
          <cell r="D37" t="str">
            <v>m</v>
          </cell>
          <cell r="N37">
            <v>5.3</v>
          </cell>
          <cell r="O37">
            <v>7.7</v>
          </cell>
          <cell r="S37">
            <v>22.8</v>
          </cell>
          <cell r="U37">
            <v>7.8</v>
          </cell>
          <cell r="AK37">
            <v>3</v>
          </cell>
          <cell r="AU37">
            <v>46.599999999999994</v>
          </cell>
          <cell r="AW37">
            <v>34</v>
          </cell>
        </row>
        <row r="38">
          <cell r="A38" t="str">
            <v>A-35</v>
          </cell>
          <cell r="B38" t="str">
            <v>케이블 신설</v>
          </cell>
          <cell r="C38" t="str">
            <v>CV 14˚/3C</v>
          </cell>
          <cell r="D38" t="str">
            <v>m</v>
          </cell>
          <cell r="N38">
            <v>5.3</v>
          </cell>
          <cell r="O38">
            <v>7.7</v>
          </cell>
          <cell r="S38">
            <v>22.8</v>
          </cell>
          <cell r="T38">
            <v>20.100000000000001</v>
          </cell>
          <cell r="U38">
            <v>15.6</v>
          </cell>
          <cell r="V38">
            <v>24.5</v>
          </cell>
          <cell r="X38">
            <v>12.4</v>
          </cell>
          <cell r="AK38">
            <v>6</v>
          </cell>
          <cell r="AM38">
            <v>3</v>
          </cell>
          <cell r="AU38">
            <v>117.4</v>
          </cell>
          <cell r="AW38">
            <v>35</v>
          </cell>
        </row>
        <row r="39">
          <cell r="A39" t="str">
            <v>A-36</v>
          </cell>
          <cell r="B39" t="str">
            <v>케이블 신설</v>
          </cell>
          <cell r="C39" t="str">
            <v>CV 22˚/3C</v>
          </cell>
          <cell r="D39" t="str">
            <v>m</v>
          </cell>
          <cell r="T39">
            <v>20.100000000000001</v>
          </cell>
          <cell r="U39">
            <v>7.8</v>
          </cell>
          <cell r="V39">
            <v>24.5</v>
          </cell>
          <cell r="X39">
            <v>12.4</v>
          </cell>
          <cell r="Z39">
            <v>3</v>
          </cell>
          <cell r="AK39">
            <v>3</v>
          </cell>
          <cell r="AM39">
            <v>3</v>
          </cell>
          <cell r="AU39">
            <v>73.800000000000011</v>
          </cell>
          <cell r="AW39">
            <v>36</v>
          </cell>
        </row>
        <row r="40">
          <cell r="A40" t="str">
            <v>A-37</v>
          </cell>
          <cell r="B40" t="str">
            <v>케이블 신설</v>
          </cell>
          <cell r="C40" t="str">
            <v>IV 3.5˚</v>
          </cell>
          <cell r="D40" t="str">
            <v>m</v>
          </cell>
          <cell r="H40">
            <v>22.6</v>
          </cell>
          <cell r="I40">
            <v>5</v>
          </cell>
          <cell r="K40">
            <v>30.6</v>
          </cell>
          <cell r="M40">
            <v>12.8</v>
          </cell>
          <cell r="N40">
            <v>15.9</v>
          </cell>
          <cell r="R40">
            <v>35.200000000000003</v>
          </cell>
          <cell r="S40">
            <v>91.2</v>
          </cell>
          <cell r="U40">
            <v>31.2</v>
          </cell>
          <cell r="Y40">
            <v>28.2</v>
          </cell>
          <cell r="Z40">
            <v>9</v>
          </cell>
          <cell r="AG40">
            <v>6</v>
          </cell>
          <cell r="AH40">
            <v>3</v>
          </cell>
          <cell r="AI40">
            <v>12</v>
          </cell>
          <cell r="AK40">
            <v>12</v>
          </cell>
          <cell r="AL40">
            <v>9</v>
          </cell>
          <cell r="AM40">
            <v>9</v>
          </cell>
          <cell r="AN40">
            <v>28</v>
          </cell>
          <cell r="AO40">
            <v>28</v>
          </cell>
          <cell r="AP40">
            <v>42</v>
          </cell>
          <cell r="AQ40">
            <v>42</v>
          </cell>
          <cell r="AR40">
            <v>26.5</v>
          </cell>
          <cell r="AS40">
            <v>152</v>
          </cell>
          <cell r="AT40">
            <v>28.5</v>
          </cell>
          <cell r="AU40">
            <v>679.7</v>
          </cell>
          <cell r="AW40">
            <v>37</v>
          </cell>
        </row>
        <row r="41">
          <cell r="A41" t="str">
            <v>A-38</v>
          </cell>
          <cell r="B41" t="str">
            <v>케이블 신설</v>
          </cell>
          <cell r="C41" t="str">
            <v>IV 8˚</v>
          </cell>
          <cell r="D41" t="str">
            <v>m</v>
          </cell>
          <cell r="N41">
            <v>5.3</v>
          </cell>
          <cell r="O41">
            <v>7.7</v>
          </cell>
          <cell r="S41">
            <v>22.8</v>
          </cell>
          <cell r="U41">
            <v>7.8</v>
          </cell>
          <cell r="AK41">
            <v>3</v>
          </cell>
          <cell r="AU41">
            <v>46.599999999999994</v>
          </cell>
          <cell r="AW41">
            <v>38</v>
          </cell>
        </row>
        <row r="42">
          <cell r="A42" t="str">
            <v>A-39</v>
          </cell>
          <cell r="B42" t="str">
            <v>케이블 신설</v>
          </cell>
          <cell r="C42" t="str">
            <v>IV 14˚</v>
          </cell>
          <cell r="D42" t="str">
            <v>m</v>
          </cell>
          <cell r="T42">
            <v>20.100000000000001</v>
          </cell>
          <cell r="U42">
            <v>7.8</v>
          </cell>
          <cell r="V42">
            <v>24.5</v>
          </cell>
          <cell r="X42">
            <v>12.4</v>
          </cell>
          <cell r="Z42">
            <v>3</v>
          </cell>
          <cell r="AK42">
            <v>3</v>
          </cell>
          <cell r="AM42">
            <v>3</v>
          </cell>
          <cell r="AU42">
            <v>73.800000000000011</v>
          </cell>
          <cell r="AW42">
            <v>39</v>
          </cell>
        </row>
        <row r="43">
          <cell r="A43" t="str">
            <v>A-40</v>
          </cell>
          <cell r="B43" t="str">
            <v>케이블 신설</v>
          </cell>
          <cell r="C43" t="str">
            <v>CVV-SB 1.25˚/4C</v>
          </cell>
          <cell r="D43" t="str">
            <v>m</v>
          </cell>
          <cell r="R43">
            <v>52.8</v>
          </cell>
          <cell r="S43">
            <v>136.80000000000001</v>
          </cell>
          <cell r="T43">
            <v>120.6</v>
          </cell>
          <cell r="V43">
            <v>98</v>
          </cell>
          <cell r="W43">
            <v>14.4</v>
          </cell>
          <cell r="X43">
            <v>49.6</v>
          </cell>
          <cell r="Z43">
            <v>9</v>
          </cell>
          <cell r="AI43">
            <v>18</v>
          </cell>
          <cell r="AM43">
            <v>12</v>
          </cell>
          <cell r="AR43">
            <v>34</v>
          </cell>
          <cell r="AS43">
            <v>152</v>
          </cell>
          <cell r="AT43">
            <v>56</v>
          </cell>
          <cell r="AU43">
            <v>753.2</v>
          </cell>
          <cell r="AW43">
            <v>40</v>
          </cell>
        </row>
        <row r="44">
          <cell r="A44" t="str">
            <v>A-41</v>
          </cell>
          <cell r="B44" t="str">
            <v>케이블 신설</v>
          </cell>
          <cell r="C44" t="str">
            <v>CVV-SB 1.25˚/5C</v>
          </cell>
          <cell r="D44" t="str">
            <v>m</v>
          </cell>
          <cell r="M44">
            <v>12.8</v>
          </cell>
          <cell r="O44">
            <v>15.4</v>
          </cell>
          <cell r="R44">
            <v>61.6</v>
          </cell>
          <cell r="S44">
            <v>114</v>
          </cell>
          <cell r="T44">
            <v>100.5</v>
          </cell>
          <cell r="V44">
            <v>122.5</v>
          </cell>
          <cell r="X44">
            <v>62</v>
          </cell>
          <cell r="Y44">
            <v>18.8</v>
          </cell>
          <cell r="Z44">
            <v>12</v>
          </cell>
          <cell r="AG44">
            <v>6</v>
          </cell>
          <cell r="AI44">
            <v>21</v>
          </cell>
          <cell r="AL44">
            <v>6</v>
          </cell>
          <cell r="AM44">
            <v>9</v>
          </cell>
          <cell r="AN44">
            <v>34</v>
          </cell>
          <cell r="AO44">
            <v>34</v>
          </cell>
          <cell r="AP44">
            <v>50</v>
          </cell>
          <cell r="AQ44">
            <v>50</v>
          </cell>
          <cell r="AR44">
            <v>19</v>
          </cell>
          <cell r="AS44">
            <v>190</v>
          </cell>
          <cell r="AU44">
            <v>938.6</v>
          </cell>
          <cell r="AW44">
            <v>41</v>
          </cell>
        </row>
        <row r="45">
          <cell r="A45" t="str">
            <v>A-42</v>
          </cell>
          <cell r="B45" t="str">
            <v>케이블 신설</v>
          </cell>
          <cell r="C45" t="str">
            <v>CVV-SB 1.25˚/7C</v>
          </cell>
          <cell r="D45" t="str">
            <v>m</v>
          </cell>
          <cell r="H45">
            <v>28.3</v>
          </cell>
          <cell r="I45">
            <v>5</v>
          </cell>
          <cell r="K45">
            <v>10.199999999999999</v>
          </cell>
          <cell r="O45">
            <v>7.7</v>
          </cell>
          <cell r="R45">
            <v>17.600000000000001</v>
          </cell>
          <cell r="S45">
            <v>22.8</v>
          </cell>
          <cell r="T45">
            <v>20.100000000000001</v>
          </cell>
          <cell r="V45">
            <v>24.5</v>
          </cell>
          <cell r="X45">
            <v>12.4</v>
          </cell>
          <cell r="Y45">
            <v>9.4</v>
          </cell>
          <cell r="AI45">
            <v>6</v>
          </cell>
          <cell r="AL45">
            <v>3</v>
          </cell>
          <cell r="AS45">
            <v>38</v>
          </cell>
          <cell r="AU45">
            <v>205.00000000000003</v>
          </cell>
          <cell r="AW45">
            <v>42</v>
          </cell>
        </row>
        <row r="46">
          <cell r="A46" t="str">
            <v>A-43</v>
          </cell>
          <cell r="B46" t="str">
            <v>케이블 신설</v>
          </cell>
          <cell r="C46" t="str">
            <v>CVV 2.0˚/4C</v>
          </cell>
          <cell r="D46" t="str">
            <v>m</v>
          </cell>
          <cell r="M46">
            <v>6.4</v>
          </cell>
          <cell r="N46">
            <v>5.3</v>
          </cell>
          <cell r="R46">
            <v>17.600000000000001</v>
          </cell>
          <cell r="S46">
            <v>45.6</v>
          </cell>
          <cell r="T46">
            <v>40.200000000000003</v>
          </cell>
          <cell r="V46">
            <v>49</v>
          </cell>
          <cell r="X46">
            <v>24.8</v>
          </cell>
          <cell r="Y46">
            <v>9.4</v>
          </cell>
          <cell r="Z46">
            <v>6</v>
          </cell>
          <cell r="AG46">
            <v>3</v>
          </cell>
          <cell r="AI46">
            <v>6</v>
          </cell>
          <cell r="AL46">
            <v>3</v>
          </cell>
          <cell r="AM46">
            <v>6</v>
          </cell>
          <cell r="AN46">
            <v>2</v>
          </cell>
          <cell r="AO46">
            <v>2</v>
          </cell>
          <cell r="AP46">
            <v>19</v>
          </cell>
          <cell r="AQ46">
            <v>2</v>
          </cell>
          <cell r="AR46">
            <v>24</v>
          </cell>
          <cell r="AS46">
            <v>76</v>
          </cell>
          <cell r="AT46">
            <v>38</v>
          </cell>
          <cell r="AU46">
            <v>385.30000000000007</v>
          </cell>
          <cell r="AW46">
            <v>43</v>
          </cell>
        </row>
        <row r="47">
          <cell r="A47" t="str">
            <v>A-44</v>
          </cell>
          <cell r="B47" t="str">
            <v>케이블 신설</v>
          </cell>
          <cell r="C47" t="str">
            <v>SH 5P/.65</v>
          </cell>
          <cell r="D47" t="str">
            <v>m</v>
          </cell>
          <cell r="E47">
            <v>5</v>
          </cell>
          <cell r="F47">
            <v>13</v>
          </cell>
          <cell r="H47">
            <v>19.3</v>
          </cell>
          <cell r="I47">
            <v>10</v>
          </cell>
          <cell r="K47">
            <v>20.399999999999999</v>
          </cell>
          <cell r="M47">
            <v>6.4</v>
          </cell>
          <cell r="N47">
            <v>10.6</v>
          </cell>
          <cell r="O47">
            <v>7.7</v>
          </cell>
          <cell r="R47">
            <v>8.8000000000000007</v>
          </cell>
          <cell r="Y47">
            <v>18.8</v>
          </cell>
          <cell r="Z47">
            <v>6</v>
          </cell>
          <cell r="AG47">
            <v>3</v>
          </cell>
          <cell r="AI47">
            <v>3</v>
          </cell>
          <cell r="AL47">
            <v>6</v>
          </cell>
          <cell r="AM47">
            <v>6</v>
          </cell>
          <cell r="AN47">
            <v>2</v>
          </cell>
          <cell r="AO47">
            <v>2</v>
          </cell>
          <cell r="AP47">
            <v>19</v>
          </cell>
          <cell r="AQ47">
            <v>2</v>
          </cell>
          <cell r="AR47">
            <v>64.5</v>
          </cell>
          <cell r="AT47">
            <v>93.5</v>
          </cell>
          <cell r="AU47">
            <v>327</v>
          </cell>
          <cell r="AW47">
            <v>44</v>
          </cell>
        </row>
        <row r="48">
          <cell r="A48" t="str">
            <v>A-45</v>
          </cell>
          <cell r="B48" t="str">
            <v>케이블 신설</v>
          </cell>
          <cell r="C48" t="str">
            <v>ECX 7C-2V</v>
          </cell>
          <cell r="D48" t="str">
            <v>m</v>
          </cell>
          <cell r="J48">
            <v>7.9</v>
          </cell>
          <cell r="K48">
            <v>20.399999999999999</v>
          </cell>
          <cell r="L48">
            <v>8.9</v>
          </cell>
          <cell r="N48">
            <v>21.2</v>
          </cell>
          <cell r="P48">
            <v>21.4</v>
          </cell>
          <cell r="Q48">
            <v>13.1</v>
          </cell>
          <cell r="R48">
            <v>26.4</v>
          </cell>
          <cell r="S48">
            <v>22.8</v>
          </cell>
          <cell r="T48">
            <v>20.100000000000001</v>
          </cell>
          <cell r="V48">
            <v>24.5</v>
          </cell>
          <cell r="X48">
            <v>12.4</v>
          </cell>
          <cell r="Z48">
            <v>15</v>
          </cell>
          <cell r="AA48">
            <v>32</v>
          </cell>
          <cell r="AB48">
            <v>11.8</v>
          </cell>
          <cell r="AC48">
            <v>16</v>
          </cell>
          <cell r="AD48">
            <v>11.4</v>
          </cell>
          <cell r="AE48">
            <v>40.94</v>
          </cell>
          <cell r="AF48">
            <v>40.94</v>
          </cell>
          <cell r="AI48">
            <v>9</v>
          </cell>
          <cell r="AJ48">
            <v>6</v>
          </cell>
          <cell r="AM48">
            <v>15</v>
          </cell>
          <cell r="AR48">
            <v>48</v>
          </cell>
          <cell r="AS48">
            <v>114</v>
          </cell>
          <cell r="AT48">
            <v>76</v>
          </cell>
          <cell r="AU48">
            <v>635.17999999999995</v>
          </cell>
          <cell r="AW48">
            <v>45</v>
          </cell>
        </row>
        <row r="49">
          <cell r="A49" t="str">
            <v>A-46</v>
          </cell>
          <cell r="B49" t="str">
            <v>케이블 신설</v>
          </cell>
          <cell r="C49" t="str">
            <v>GV 22˚</v>
          </cell>
          <cell r="D49" t="str">
            <v>m</v>
          </cell>
          <cell r="E49">
            <v>5</v>
          </cell>
          <cell r="F49">
            <v>18</v>
          </cell>
          <cell r="G49">
            <v>40</v>
          </cell>
          <cell r="I49">
            <v>5</v>
          </cell>
          <cell r="K49">
            <v>10.199999999999999</v>
          </cell>
          <cell r="O49">
            <v>7.7</v>
          </cell>
          <cell r="S49">
            <v>22.8</v>
          </cell>
          <cell r="U49">
            <v>7.8</v>
          </cell>
          <cell r="AK49">
            <v>3</v>
          </cell>
          <cell r="AU49">
            <v>119.5</v>
          </cell>
          <cell r="AW49">
            <v>46</v>
          </cell>
        </row>
        <row r="50">
          <cell r="A50" t="str">
            <v>A-47</v>
          </cell>
          <cell r="B50" t="str">
            <v>바닥 깨기</v>
          </cell>
          <cell r="C50" t="str">
            <v>(신설+철거)</v>
          </cell>
          <cell r="D50" t="str">
            <v>㎥</v>
          </cell>
          <cell r="E50">
            <v>0.8</v>
          </cell>
          <cell r="F50">
            <v>0.74</v>
          </cell>
          <cell r="G50">
            <v>1.84</v>
          </cell>
          <cell r="H50">
            <v>0.74</v>
          </cell>
          <cell r="AU50">
            <v>4.12</v>
          </cell>
          <cell r="AW50">
            <v>47</v>
          </cell>
        </row>
        <row r="51">
          <cell r="A51" t="str">
            <v>A-48</v>
          </cell>
          <cell r="B51" t="str">
            <v>노즐박스 신설</v>
          </cell>
          <cell r="C51" t="str">
            <v>400×200×100</v>
          </cell>
          <cell r="D51" t="str">
            <v>개</v>
          </cell>
          <cell r="E51">
            <v>9</v>
          </cell>
          <cell r="F51">
            <v>9</v>
          </cell>
          <cell r="G51">
            <v>8</v>
          </cell>
          <cell r="H51">
            <v>8</v>
          </cell>
          <cell r="AU51">
            <v>34</v>
          </cell>
          <cell r="AW51">
            <v>48</v>
          </cell>
        </row>
        <row r="52">
          <cell r="A52" t="str">
            <v>A-49</v>
          </cell>
          <cell r="B52" t="str">
            <v>화강석 깔기</v>
          </cell>
          <cell r="C52" t="str">
            <v>연마 24t</v>
          </cell>
          <cell r="D52" t="str">
            <v>㎡</v>
          </cell>
          <cell r="E52">
            <v>2.88</v>
          </cell>
          <cell r="F52">
            <v>2.68</v>
          </cell>
          <cell r="G52">
            <v>7.76</v>
          </cell>
          <cell r="H52">
            <v>2.76</v>
          </cell>
          <cell r="AU52">
            <v>16.079999999999998</v>
          </cell>
          <cell r="AW52">
            <v>49</v>
          </cell>
        </row>
        <row r="53">
          <cell r="A53" t="str">
            <v>A-50</v>
          </cell>
          <cell r="B53" t="str">
            <v>자동 발매기</v>
          </cell>
          <cell r="C53" t="str">
            <v>장비이설</v>
          </cell>
          <cell r="D53" t="str">
            <v>대</v>
          </cell>
          <cell r="E53">
            <v>4</v>
          </cell>
          <cell r="AU53">
            <v>4</v>
          </cell>
          <cell r="AW53">
            <v>50</v>
          </cell>
        </row>
        <row r="54">
          <cell r="A54" t="str">
            <v>A-51</v>
          </cell>
          <cell r="B54" t="str">
            <v>자동 발권기</v>
          </cell>
          <cell r="C54" t="str">
            <v>장비이설</v>
          </cell>
          <cell r="D54" t="str">
            <v>대</v>
          </cell>
          <cell r="E54">
            <v>5</v>
          </cell>
          <cell r="AU54">
            <v>5</v>
          </cell>
          <cell r="AW54">
            <v>51</v>
          </cell>
        </row>
        <row r="55">
          <cell r="A55" t="str">
            <v>A-52</v>
          </cell>
          <cell r="B55" t="str">
            <v>보통권 발매기</v>
          </cell>
          <cell r="C55" t="str">
            <v>장비이설</v>
          </cell>
          <cell r="D55" t="str">
            <v>대</v>
          </cell>
          <cell r="E55">
            <v>5</v>
          </cell>
          <cell r="AU55">
            <v>5</v>
          </cell>
          <cell r="AW55">
            <v>52</v>
          </cell>
        </row>
        <row r="56">
          <cell r="A56" t="str">
            <v>A-53</v>
          </cell>
          <cell r="B56" t="str">
            <v>역단위 전산기 (SACU)</v>
          </cell>
          <cell r="C56" t="str">
            <v>장비이설</v>
          </cell>
          <cell r="D56" t="str">
            <v>대</v>
          </cell>
          <cell r="E56">
            <v>1</v>
          </cell>
          <cell r="AU56">
            <v>1</v>
          </cell>
          <cell r="AW56">
            <v>53</v>
          </cell>
        </row>
        <row r="57">
          <cell r="A57" t="str">
            <v>A-54</v>
          </cell>
          <cell r="B57" t="str">
            <v>자동개집표기</v>
          </cell>
          <cell r="C57" t="str">
            <v>장비이설</v>
          </cell>
          <cell r="D57" t="str">
            <v>대</v>
          </cell>
          <cell r="E57">
            <v>30</v>
          </cell>
          <cell r="AU57">
            <v>30</v>
          </cell>
          <cell r="AW57">
            <v>54</v>
          </cell>
        </row>
        <row r="58">
          <cell r="A58" t="str">
            <v>A-55</v>
          </cell>
          <cell r="B58" t="str">
            <v>비상GATE 신설</v>
          </cell>
          <cell r="C58">
            <v>0</v>
          </cell>
          <cell r="D58" t="str">
            <v>대</v>
          </cell>
          <cell r="E58">
            <v>4</v>
          </cell>
          <cell r="AU58">
            <v>4</v>
          </cell>
          <cell r="AW58">
            <v>55</v>
          </cell>
        </row>
        <row r="59">
          <cell r="A59" t="str">
            <v>A-62</v>
          </cell>
          <cell r="B59" t="str">
            <v>분전반 신설(AFC UPS실)</v>
          </cell>
          <cell r="C59" t="str">
            <v>을지로3가(2) 700×800×200</v>
          </cell>
          <cell r="D59" t="str">
            <v>면</v>
          </cell>
          <cell r="E59">
            <v>1</v>
          </cell>
          <cell r="AU59">
            <v>1</v>
          </cell>
          <cell r="AW59">
            <v>62</v>
          </cell>
        </row>
        <row r="60">
          <cell r="A60" t="str">
            <v>A-63</v>
          </cell>
          <cell r="B60" t="str">
            <v>분전반 신설(AFC UPS실)</v>
          </cell>
          <cell r="C60" t="str">
            <v>을지로3가(2) 700×500×200</v>
          </cell>
          <cell r="D60" t="str">
            <v>면</v>
          </cell>
          <cell r="E60">
            <v>1</v>
          </cell>
          <cell r="AU60">
            <v>1</v>
          </cell>
          <cell r="AW60">
            <v>63</v>
          </cell>
        </row>
        <row r="61">
          <cell r="A61" t="str">
            <v>A-64</v>
          </cell>
          <cell r="B61" t="str">
            <v>분전반 신설("가"매표소)</v>
          </cell>
          <cell r="C61" t="str">
            <v>을지로3가(2) 600×800×150</v>
          </cell>
          <cell r="D61" t="str">
            <v>면</v>
          </cell>
          <cell r="E61">
            <v>1</v>
          </cell>
          <cell r="AU61">
            <v>1</v>
          </cell>
          <cell r="AW61">
            <v>64</v>
          </cell>
        </row>
        <row r="62">
          <cell r="A62" t="str">
            <v>A-65</v>
          </cell>
          <cell r="B62" t="str">
            <v>분전반 신설("가"매표소)</v>
          </cell>
          <cell r="C62" t="str">
            <v>을지로3가(2) 500×500×150</v>
          </cell>
          <cell r="D62" t="str">
            <v>면</v>
          </cell>
          <cell r="E62">
            <v>1</v>
          </cell>
          <cell r="AU62">
            <v>1</v>
          </cell>
          <cell r="AW62">
            <v>65</v>
          </cell>
        </row>
        <row r="63">
          <cell r="A63" t="str">
            <v>A-66</v>
          </cell>
          <cell r="B63" t="str">
            <v>분전반 신설("나"매표소)</v>
          </cell>
          <cell r="C63" t="str">
            <v>을지로3가(2) 600×800×150</v>
          </cell>
          <cell r="D63" t="str">
            <v>면</v>
          </cell>
          <cell r="E63">
            <v>1</v>
          </cell>
          <cell r="AU63">
            <v>1</v>
          </cell>
          <cell r="AW63">
            <v>66</v>
          </cell>
        </row>
        <row r="64">
          <cell r="A64" t="str">
            <v>A-67</v>
          </cell>
          <cell r="B64" t="str">
            <v>분전반 신설("나"매표소)</v>
          </cell>
          <cell r="C64" t="str">
            <v>을지로3가(2) 500×500×150</v>
          </cell>
          <cell r="D64" t="str">
            <v>면</v>
          </cell>
          <cell r="E64">
            <v>1</v>
          </cell>
          <cell r="AU64">
            <v>1</v>
          </cell>
          <cell r="AW64">
            <v>67</v>
          </cell>
        </row>
        <row r="65">
          <cell r="A65" t="str">
            <v>A-72</v>
          </cell>
          <cell r="B65" t="str">
            <v>바닥구멍 뚫기</v>
          </cell>
          <cell r="C65" t="str">
            <v>천공</v>
          </cell>
          <cell r="D65" t="str">
            <v>개소</v>
          </cell>
          <cell r="E65">
            <v>2</v>
          </cell>
          <cell r="AU65">
            <v>2</v>
          </cell>
          <cell r="AW65">
            <v>72</v>
          </cell>
        </row>
        <row r="66">
          <cell r="A66" t="str">
            <v>A-73</v>
          </cell>
          <cell r="B66" t="str">
            <v>접지 공사</v>
          </cell>
          <cell r="C66" t="str">
            <v>5Ω 이하</v>
          </cell>
          <cell r="D66" t="str">
            <v>개소</v>
          </cell>
          <cell r="E66">
            <v>1</v>
          </cell>
          <cell r="AU66">
            <v>1</v>
          </cell>
          <cell r="AW66">
            <v>73</v>
          </cell>
        </row>
        <row r="67">
          <cell r="AU67">
            <v>0</v>
          </cell>
          <cell r="AW67">
            <v>0</v>
          </cell>
        </row>
        <row r="74">
          <cell r="AU74">
            <v>0</v>
          </cell>
          <cell r="AW74">
            <v>0</v>
          </cell>
        </row>
        <row r="75">
          <cell r="AU75">
            <v>0</v>
          </cell>
          <cell r="AW75">
            <v>0</v>
          </cell>
        </row>
        <row r="77">
          <cell r="AU77">
            <v>7794.1800000000012</v>
          </cell>
        </row>
        <row r="78">
          <cell r="AU78">
            <v>15759.18</v>
          </cell>
        </row>
      </sheetData>
      <sheetData sheetId="2" refreshError="1">
        <row r="1">
          <cell r="E1" t="str">
            <v>1-</v>
          </cell>
          <cell r="F1" t="str">
            <v>2-</v>
          </cell>
          <cell r="G1" t="str">
            <v>3-</v>
          </cell>
          <cell r="H1" t="str">
            <v>4-</v>
          </cell>
          <cell r="I1" t="str">
            <v>5-</v>
          </cell>
          <cell r="J1" t="str">
            <v>6-</v>
          </cell>
          <cell r="K1" t="str">
            <v>7-</v>
          </cell>
          <cell r="L1" t="str">
            <v>8-</v>
          </cell>
          <cell r="M1" t="str">
            <v>9-</v>
          </cell>
          <cell r="N1" t="str">
            <v>10-</v>
          </cell>
          <cell r="O1" t="str">
            <v>11-</v>
          </cell>
          <cell r="P1" t="str">
            <v>12-</v>
          </cell>
          <cell r="Q1" t="str">
            <v>13-</v>
          </cell>
          <cell r="R1" t="str">
            <v>14-</v>
          </cell>
          <cell r="S1" t="str">
            <v>15-</v>
          </cell>
          <cell r="T1" t="str">
            <v>16-</v>
          </cell>
          <cell r="U1" t="str">
            <v>17-</v>
          </cell>
          <cell r="V1" t="str">
            <v>18-</v>
          </cell>
          <cell r="W1" t="str">
            <v>19-</v>
          </cell>
          <cell r="X1" t="str">
            <v>20-</v>
          </cell>
          <cell r="Y1" t="str">
            <v>21-</v>
          </cell>
          <cell r="Z1" t="str">
            <v>22-</v>
          </cell>
          <cell r="AA1" t="str">
            <v>23-</v>
          </cell>
          <cell r="AB1" t="str">
            <v>24-</v>
          </cell>
          <cell r="AC1" t="str">
            <v>25-</v>
          </cell>
          <cell r="AD1" t="str">
            <v>26-</v>
          </cell>
          <cell r="AE1" t="str">
            <v>27-</v>
          </cell>
          <cell r="AF1" t="str">
            <v>28-</v>
          </cell>
          <cell r="AG1" t="str">
            <v>29-</v>
          </cell>
          <cell r="AH1" t="str">
            <v>30-</v>
          </cell>
          <cell r="AI1" t="str">
            <v>31-</v>
          </cell>
          <cell r="AJ1" t="str">
            <v>32-</v>
          </cell>
          <cell r="AK1" t="str">
            <v>33-</v>
          </cell>
          <cell r="AL1" t="str">
            <v>34-</v>
          </cell>
          <cell r="AM1" t="str">
            <v>35-</v>
          </cell>
          <cell r="AN1" t="str">
            <v>36-</v>
          </cell>
          <cell r="AO1" t="str">
            <v>37-</v>
          </cell>
          <cell r="AP1" t="str">
            <v>38-</v>
          </cell>
          <cell r="AQ1" t="str">
            <v>39-</v>
          </cell>
          <cell r="AR1" t="str">
            <v>40-</v>
          </cell>
          <cell r="AS1" t="str">
            <v>41-</v>
          </cell>
          <cell r="AT1" t="str">
            <v>42-</v>
          </cell>
          <cell r="AU1" t="str">
            <v>43-</v>
          </cell>
          <cell r="AW1" t="str">
            <v>호표</v>
          </cell>
        </row>
        <row r="2">
          <cell r="A2" t="str">
            <v>CODE</v>
          </cell>
          <cell r="B2" t="str">
            <v>공사종류</v>
          </cell>
          <cell r="C2" t="str">
            <v>규     격</v>
          </cell>
          <cell r="D2" t="str">
            <v>단위</v>
          </cell>
          <cell r="E2" t="str">
            <v>SHEET NUMBER</v>
          </cell>
          <cell r="Y2" t="str">
            <v>SHEET NUMBER</v>
          </cell>
          <cell r="AU2" t="str">
            <v>수량합계</v>
          </cell>
          <cell r="AV2" t="str">
            <v>비고</v>
          </cell>
          <cell r="AW2">
            <v>0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</row>
        <row r="4">
          <cell r="A4" t="str">
            <v>A-74</v>
          </cell>
          <cell r="B4" t="str">
            <v>전선관 철거</v>
          </cell>
          <cell r="C4" t="str">
            <v>아연도 16C</v>
          </cell>
          <cell r="D4" t="str">
            <v>m</v>
          </cell>
          <cell r="E4">
            <v>13.3</v>
          </cell>
          <cell r="F4">
            <v>19.399999999999999</v>
          </cell>
          <cell r="I4">
            <v>1.9</v>
          </cell>
          <cell r="J4">
            <v>2.5</v>
          </cell>
          <cell r="AE4">
            <v>3.9</v>
          </cell>
          <cell r="AF4">
            <v>2</v>
          </cell>
          <cell r="AI4">
            <v>2.1</v>
          </cell>
          <cell r="AJ4">
            <v>10</v>
          </cell>
          <cell r="AK4">
            <v>2.1</v>
          </cell>
          <cell r="AO4">
            <v>2.1</v>
          </cell>
          <cell r="AP4">
            <v>10</v>
          </cell>
          <cell r="AQ4">
            <v>2.1</v>
          </cell>
          <cell r="AU4">
            <v>71.400000000000006</v>
          </cell>
          <cell r="AW4">
            <v>74</v>
          </cell>
        </row>
        <row r="5">
          <cell r="A5" t="str">
            <v>A-75</v>
          </cell>
          <cell r="B5" t="str">
            <v>전선관 철거</v>
          </cell>
          <cell r="C5" t="str">
            <v>아연도 22C</v>
          </cell>
          <cell r="D5" t="str">
            <v>m</v>
          </cell>
          <cell r="I5">
            <v>1.9</v>
          </cell>
          <cell r="J5">
            <v>2.5</v>
          </cell>
          <cell r="L5">
            <v>18</v>
          </cell>
          <cell r="N5">
            <v>9.1999999999999993</v>
          </cell>
          <cell r="O5">
            <v>18.5</v>
          </cell>
          <cell r="V5">
            <v>18.600000000000001</v>
          </cell>
          <cell r="X5">
            <v>34.799999999999997</v>
          </cell>
          <cell r="Y5">
            <v>6</v>
          </cell>
          <cell r="AB5">
            <v>7.9</v>
          </cell>
          <cell r="AD5">
            <v>20</v>
          </cell>
          <cell r="AE5">
            <v>3.9</v>
          </cell>
          <cell r="AF5">
            <v>2</v>
          </cell>
          <cell r="AG5">
            <v>8</v>
          </cell>
          <cell r="AH5">
            <v>8</v>
          </cell>
          <cell r="AI5">
            <v>2.1</v>
          </cell>
          <cell r="AJ5">
            <v>10</v>
          </cell>
          <cell r="AK5">
            <v>2.1</v>
          </cell>
          <cell r="AL5">
            <v>34</v>
          </cell>
          <cell r="AM5">
            <v>47</v>
          </cell>
          <cell r="AN5">
            <v>3.6</v>
          </cell>
          <cell r="AO5">
            <v>2.1</v>
          </cell>
          <cell r="AP5">
            <v>10</v>
          </cell>
          <cell r="AQ5">
            <v>2.1</v>
          </cell>
          <cell r="AR5">
            <v>34</v>
          </cell>
          <cell r="AS5">
            <v>47</v>
          </cell>
          <cell r="AT5">
            <v>3.6</v>
          </cell>
          <cell r="AU5">
            <v>356.90000000000003</v>
          </cell>
          <cell r="AW5">
            <v>75</v>
          </cell>
        </row>
        <row r="6">
          <cell r="A6" t="str">
            <v>A-76</v>
          </cell>
          <cell r="B6" t="str">
            <v>전선관 철거</v>
          </cell>
          <cell r="C6" t="str">
            <v>아연도 28C</v>
          </cell>
          <cell r="D6" t="str">
            <v>m</v>
          </cell>
          <cell r="L6">
            <v>18</v>
          </cell>
          <cell r="M6">
            <v>14.2</v>
          </cell>
          <cell r="R6">
            <v>30.4</v>
          </cell>
          <cell r="S6">
            <v>7.5</v>
          </cell>
          <cell r="W6">
            <v>11</v>
          </cell>
          <cell r="AA6">
            <v>11</v>
          </cell>
          <cell r="AB6">
            <v>7.9</v>
          </cell>
          <cell r="AU6">
            <v>100</v>
          </cell>
          <cell r="AW6">
            <v>76</v>
          </cell>
        </row>
        <row r="7">
          <cell r="A7" t="str">
            <v>A-77</v>
          </cell>
          <cell r="B7" t="str">
            <v>전선관 철거</v>
          </cell>
          <cell r="C7" t="str">
            <v>아연도 36C</v>
          </cell>
          <cell r="D7" t="str">
            <v>m</v>
          </cell>
          <cell r="H7">
            <v>12.8</v>
          </cell>
          <cell r="N7">
            <v>9.1999999999999993</v>
          </cell>
          <cell r="O7">
            <v>18.5</v>
          </cell>
          <cell r="Q7">
            <v>24</v>
          </cell>
          <cell r="R7">
            <v>60.8</v>
          </cell>
          <cell r="T7">
            <v>46.8</v>
          </cell>
          <cell r="W7">
            <v>11</v>
          </cell>
          <cell r="AC7">
            <v>5.4</v>
          </cell>
          <cell r="AU7">
            <v>188.5</v>
          </cell>
          <cell r="AW7">
            <v>77</v>
          </cell>
        </row>
        <row r="8">
          <cell r="A8" t="str">
            <v>A-78</v>
          </cell>
          <cell r="B8" t="str">
            <v>전선관 철거</v>
          </cell>
          <cell r="C8" t="str">
            <v>아연도 42C</v>
          </cell>
          <cell r="D8" t="str">
            <v>m</v>
          </cell>
          <cell r="G8">
            <v>17.8</v>
          </cell>
          <cell r="K8">
            <v>11</v>
          </cell>
          <cell r="O8">
            <v>18.5</v>
          </cell>
          <cell r="P8">
            <v>6.7</v>
          </cell>
          <cell r="Q8">
            <v>24</v>
          </cell>
          <cell r="R8">
            <v>60.8</v>
          </cell>
          <cell r="T8">
            <v>46.8</v>
          </cell>
          <cell r="U8">
            <v>22</v>
          </cell>
          <cell r="W8">
            <v>22</v>
          </cell>
          <cell r="Y8">
            <v>6</v>
          </cell>
          <cell r="Z8">
            <v>15.2</v>
          </cell>
          <cell r="AU8">
            <v>250.8</v>
          </cell>
          <cell r="AW8">
            <v>78</v>
          </cell>
        </row>
        <row r="9">
          <cell r="A9" t="str">
            <v>A-79</v>
          </cell>
          <cell r="B9" t="str">
            <v>전선관 철거</v>
          </cell>
          <cell r="C9" t="str">
            <v>아연도 54C</v>
          </cell>
          <cell r="D9" t="str">
            <v>m</v>
          </cell>
          <cell r="G9">
            <v>17.8</v>
          </cell>
          <cell r="O9">
            <v>18.5</v>
          </cell>
          <cell r="P9">
            <v>33.5</v>
          </cell>
          <cell r="Q9">
            <v>12</v>
          </cell>
          <cell r="R9">
            <v>30.4</v>
          </cell>
          <cell r="T9">
            <v>23.4</v>
          </cell>
          <cell r="W9">
            <v>11</v>
          </cell>
          <cell r="AU9">
            <v>146.6</v>
          </cell>
          <cell r="AW9">
            <v>79</v>
          </cell>
        </row>
        <row r="10">
          <cell r="A10" t="str">
            <v>A-80</v>
          </cell>
          <cell r="B10" t="str">
            <v>HI PVC 전선관 철거</v>
          </cell>
          <cell r="C10" t="str">
            <v>HI 22mm</v>
          </cell>
          <cell r="D10" t="str">
            <v>m</v>
          </cell>
          <cell r="E10">
            <v>13.3</v>
          </cell>
          <cell r="F10">
            <v>19.399999999999999</v>
          </cell>
          <cell r="AU10">
            <v>32.700000000000003</v>
          </cell>
          <cell r="AW10">
            <v>80</v>
          </cell>
        </row>
        <row r="11">
          <cell r="A11" t="str">
            <v>A-81</v>
          </cell>
          <cell r="B11" t="str">
            <v>HI PVC 전선관 철거</v>
          </cell>
          <cell r="C11" t="str">
            <v>HI 28mm</v>
          </cell>
          <cell r="D11" t="str">
            <v>m</v>
          </cell>
          <cell r="O11">
            <v>18.5</v>
          </cell>
          <cell r="P11">
            <v>6.7</v>
          </cell>
          <cell r="AU11">
            <v>25.2</v>
          </cell>
          <cell r="AW11">
            <v>81</v>
          </cell>
        </row>
        <row r="12">
          <cell r="A12" t="str">
            <v>A-82</v>
          </cell>
          <cell r="B12" t="str">
            <v>DUCT 철거</v>
          </cell>
          <cell r="C12" t="str">
            <v>100W×100H</v>
          </cell>
          <cell r="D12" t="str">
            <v>m</v>
          </cell>
          <cell r="E12">
            <v>3</v>
          </cell>
          <cell r="AU12">
            <v>3</v>
          </cell>
          <cell r="AW12">
            <v>82</v>
          </cell>
        </row>
        <row r="13">
          <cell r="A13" t="str">
            <v>A-83</v>
          </cell>
          <cell r="B13" t="str">
            <v>DUCT 철거</v>
          </cell>
          <cell r="C13" t="str">
            <v>200W×100H</v>
          </cell>
          <cell r="D13" t="str">
            <v>m</v>
          </cell>
          <cell r="F13">
            <v>9</v>
          </cell>
          <cell r="AU13">
            <v>9</v>
          </cell>
          <cell r="AW13">
            <v>83</v>
          </cell>
        </row>
        <row r="14">
          <cell r="A14" t="str">
            <v>A-84</v>
          </cell>
          <cell r="B14" t="str">
            <v>DUCT 철거</v>
          </cell>
          <cell r="C14" t="str">
            <v>250W×200H</v>
          </cell>
          <cell r="D14" t="str">
            <v>m</v>
          </cell>
          <cell r="G14">
            <v>9</v>
          </cell>
          <cell r="AU14">
            <v>9</v>
          </cell>
          <cell r="AW14">
            <v>84</v>
          </cell>
        </row>
        <row r="15">
          <cell r="A15" t="str">
            <v>A-85</v>
          </cell>
          <cell r="B15" t="str">
            <v>DUCT 철거</v>
          </cell>
          <cell r="C15" t="str">
            <v>300W×150H</v>
          </cell>
          <cell r="D15" t="str">
            <v>m</v>
          </cell>
          <cell r="H15">
            <v>3</v>
          </cell>
          <cell r="AU15">
            <v>3</v>
          </cell>
          <cell r="AW15">
            <v>85</v>
          </cell>
        </row>
        <row r="16">
          <cell r="A16" t="str">
            <v>A-86</v>
          </cell>
          <cell r="B16" t="str">
            <v>케이블 철거</v>
          </cell>
          <cell r="C16" t="str">
            <v>CV 3.5˚/2C</v>
          </cell>
          <cell r="D16" t="str">
            <v>m</v>
          </cell>
          <cell r="F16">
            <v>153</v>
          </cell>
          <cell r="J16">
            <v>33</v>
          </cell>
          <cell r="K16">
            <v>36</v>
          </cell>
          <cell r="L16">
            <v>14.2</v>
          </cell>
          <cell r="M16">
            <v>27.6</v>
          </cell>
          <cell r="T16">
            <v>66</v>
          </cell>
          <cell r="V16">
            <v>66</v>
          </cell>
          <cell r="Y16">
            <v>30.6</v>
          </cell>
          <cell r="Z16">
            <v>11</v>
          </cell>
          <cell r="AA16">
            <v>15.8</v>
          </cell>
          <cell r="AB16">
            <v>10.8</v>
          </cell>
          <cell r="AU16">
            <v>464.00000000000006</v>
          </cell>
          <cell r="AW16">
            <v>86</v>
          </cell>
        </row>
        <row r="17">
          <cell r="A17" t="str">
            <v>A-87</v>
          </cell>
          <cell r="B17" t="str">
            <v>케이블 철거</v>
          </cell>
          <cell r="C17" t="str">
            <v>CV 5.5˚/2C</v>
          </cell>
          <cell r="D17" t="str">
            <v>m</v>
          </cell>
          <cell r="H17">
            <v>1.9</v>
          </cell>
          <cell r="I17">
            <v>2.5</v>
          </cell>
          <cell r="N17">
            <v>18.5</v>
          </cell>
          <cell r="O17">
            <v>16.8</v>
          </cell>
          <cell r="P17">
            <v>36</v>
          </cell>
          <cell r="Q17">
            <v>60.8</v>
          </cell>
          <cell r="S17">
            <v>70.2</v>
          </cell>
          <cell r="U17">
            <v>9.3000000000000007</v>
          </cell>
          <cell r="V17">
            <v>22</v>
          </cell>
          <cell r="W17">
            <v>17.399999999999999</v>
          </cell>
          <cell r="AC17">
            <v>10</v>
          </cell>
          <cell r="AD17">
            <v>3.9</v>
          </cell>
          <cell r="AE17">
            <v>2</v>
          </cell>
          <cell r="AF17">
            <v>52.3</v>
          </cell>
          <cell r="AU17">
            <v>323.59999999999997</v>
          </cell>
          <cell r="AW17">
            <v>87</v>
          </cell>
        </row>
        <row r="18">
          <cell r="A18" t="str">
            <v>A-88</v>
          </cell>
          <cell r="B18" t="str">
            <v>케이블 철거</v>
          </cell>
          <cell r="C18" t="str">
            <v>CV 14˚/2C</v>
          </cell>
          <cell r="D18" t="str">
            <v>m</v>
          </cell>
          <cell r="AU18">
            <v>0</v>
          </cell>
          <cell r="AW18">
            <v>88</v>
          </cell>
        </row>
        <row r="19">
          <cell r="A19" t="str">
            <v>A-89</v>
          </cell>
          <cell r="B19" t="str">
            <v>케이블 철거</v>
          </cell>
          <cell r="C19" t="str">
            <v>CV 22˚/2C</v>
          </cell>
          <cell r="D19" t="str">
            <v>m</v>
          </cell>
          <cell r="F19">
            <v>15.3</v>
          </cell>
          <cell r="N19">
            <v>18.5</v>
          </cell>
          <cell r="O19">
            <v>12.6</v>
          </cell>
          <cell r="P19">
            <v>12</v>
          </cell>
          <cell r="Q19">
            <v>30.4</v>
          </cell>
          <cell r="S19">
            <v>23.4</v>
          </cell>
          <cell r="V19">
            <v>11</v>
          </cell>
          <cell r="Y19">
            <v>5.0999999999999996</v>
          </cell>
          <cell r="AU19">
            <v>128.29999999999998</v>
          </cell>
          <cell r="AW19">
            <v>89</v>
          </cell>
        </row>
        <row r="20">
          <cell r="A20" t="str">
            <v>A-90</v>
          </cell>
          <cell r="B20" t="str">
            <v>케이블 철거</v>
          </cell>
          <cell r="C20" t="str">
            <v>IV 3.5˚</v>
          </cell>
          <cell r="D20" t="str">
            <v>m</v>
          </cell>
          <cell r="F20">
            <v>76.5</v>
          </cell>
          <cell r="J20">
            <v>11</v>
          </cell>
          <cell r="K20">
            <v>18</v>
          </cell>
          <cell r="L20">
            <v>14.2</v>
          </cell>
          <cell r="M20">
            <v>9.1999999999999993</v>
          </cell>
          <cell r="T20">
            <v>33</v>
          </cell>
          <cell r="V20">
            <v>33</v>
          </cell>
          <cell r="Y20">
            <v>15.3</v>
          </cell>
          <cell r="Z20">
            <v>11</v>
          </cell>
          <cell r="AA20">
            <v>7.9</v>
          </cell>
          <cell r="AB20">
            <v>5.4</v>
          </cell>
          <cell r="AU20">
            <v>234.50000000000003</v>
          </cell>
          <cell r="AW20">
            <v>90</v>
          </cell>
        </row>
        <row r="21">
          <cell r="A21" t="str">
            <v>A-91</v>
          </cell>
          <cell r="B21" t="str">
            <v>케이블 철거</v>
          </cell>
          <cell r="C21" t="str">
            <v>IV 8˚</v>
          </cell>
          <cell r="D21" t="str">
            <v>m</v>
          </cell>
          <cell r="AU21">
            <v>0</v>
          </cell>
          <cell r="AW21">
            <v>91</v>
          </cell>
        </row>
        <row r="22">
          <cell r="A22" t="str">
            <v>A-92</v>
          </cell>
          <cell r="B22" t="str">
            <v>케이블 철거</v>
          </cell>
          <cell r="C22" t="str">
            <v>IV 14˚</v>
          </cell>
          <cell r="D22" t="str">
            <v>m</v>
          </cell>
          <cell r="F22">
            <v>15.3</v>
          </cell>
          <cell r="N22">
            <v>18.5</v>
          </cell>
          <cell r="O22">
            <v>4.2</v>
          </cell>
          <cell r="P22">
            <v>12</v>
          </cell>
          <cell r="Q22">
            <v>30.4</v>
          </cell>
          <cell r="V22">
            <v>11</v>
          </cell>
          <cell r="Y22">
            <v>5.0999999999999996</v>
          </cell>
          <cell r="AU22">
            <v>96.5</v>
          </cell>
          <cell r="AW22">
            <v>92</v>
          </cell>
        </row>
        <row r="23">
          <cell r="A23" t="str">
            <v>A-93</v>
          </cell>
          <cell r="B23" t="str">
            <v>케이블 철거</v>
          </cell>
          <cell r="C23" t="str">
            <v>IV 22˚</v>
          </cell>
          <cell r="D23" t="str">
            <v>m</v>
          </cell>
          <cell r="AU23">
            <v>0</v>
          </cell>
          <cell r="AW23">
            <v>93</v>
          </cell>
        </row>
        <row r="24">
          <cell r="A24" t="str">
            <v>A-94</v>
          </cell>
          <cell r="B24" t="str">
            <v>케이블 철거</v>
          </cell>
          <cell r="C24" t="str">
            <v>CVV-SB 1.25˚/4C</v>
          </cell>
          <cell r="D24" t="str">
            <v>m</v>
          </cell>
          <cell r="G24">
            <v>25.6</v>
          </cell>
          <cell r="J24">
            <v>16.5</v>
          </cell>
          <cell r="K24">
            <v>18</v>
          </cell>
          <cell r="M24">
            <v>9.1999999999999993</v>
          </cell>
          <cell r="N24">
            <v>111</v>
          </cell>
          <cell r="O24">
            <v>67.2</v>
          </cell>
          <cell r="P24">
            <v>96</v>
          </cell>
          <cell r="Q24">
            <v>182.4</v>
          </cell>
          <cell r="R24">
            <v>15</v>
          </cell>
          <cell r="S24">
            <v>140.4</v>
          </cell>
          <cell r="T24">
            <v>33</v>
          </cell>
          <cell r="V24">
            <v>33</v>
          </cell>
          <cell r="X24">
            <v>18</v>
          </cell>
          <cell r="AA24">
            <v>7.9</v>
          </cell>
          <cell r="AB24">
            <v>5.4</v>
          </cell>
          <cell r="AU24">
            <v>778.59999999999991</v>
          </cell>
          <cell r="AW24">
            <v>94</v>
          </cell>
        </row>
        <row r="25">
          <cell r="A25" t="str">
            <v>A-95</v>
          </cell>
          <cell r="B25" t="str">
            <v>케이블 철거</v>
          </cell>
          <cell r="C25" t="str">
            <v>CVV-SB 1.25˚/5C</v>
          </cell>
          <cell r="D25" t="str">
            <v>m</v>
          </cell>
          <cell r="L25">
            <v>14.2</v>
          </cell>
          <cell r="N25">
            <v>37</v>
          </cell>
          <cell r="P25">
            <v>24</v>
          </cell>
          <cell r="Q25">
            <v>60.8</v>
          </cell>
          <cell r="S25">
            <v>46.8</v>
          </cell>
          <cell r="V25">
            <v>22</v>
          </cell>
          <cell r="X25">
            <v>12</v>
          </cell>
          <cell r="Z25">
            <v>11</v>
          </cell>
          <cell r="AU25">
            <v>227.8</v>
          </cell>
          <cell r="AW25">
            <v>95</v>
          </cell>
        </row>
        <row r="26">
          <cell r="A26" t="str">
            <v>A-96</v>
          </cell>
          <cell r="B26" t="str">
            <v>케이블 철거</v>
          </cell>
          <cell r="C26" t="str">
            <v>CVV-SB 1.25˚/7C</v>
          </cell>
          <cell r="D26" t="str">
            <v>m</v>
          </cell>
          <cell r="AU26">
            <v>0</v>
          </cell>
          <cell r="AW26">
            <v>96</v>
          </cell>
        </row>
        <row r="27">
          <cell r="A27" t="str">
            <v>A-97</v>
          </cell>
          <cell r="B27" t="str">
            <v>케이블 철거</v>
          </cell>
          <cell r="C27" t="str">
            <v>CVV 2.0˚/4C</v>
          </cell>
          <cell r="D27" t="str">
            <v>m</v>
          </cell>
          <cell r="G27">
            <v>12.8</v>
          </cell>
          <cell r="J27">
            <v>5.5</v>
          </cell>
          <cell r="N27">
            <v>37</v>
          </cell>
          <cell r="O27">
            <v>16.8</v>
          </cell>
          <cell r="P27">
            <v>12</v>
          </cell>
          <cell r="Q27">
            <v>30.4</v>
          </cell>
          <cell r="S27">
            <v>23.4</v>
          </cell>
          <cell r="T27">
            <v>11</v>
          </cell>
          <cell r="V27">
            <v>11</v>
          </cell>
          <cell r="X27">
            <v>6</v>
          </cell>
          <cell r="AB27">
            <v>2.7</v>
          </cell>
          <cell r="AU27">
            <v>168.6</v>
          </cell>
          <cell r="AW27">
            <v>97</v>
          </cell>
        </row>
        <row r="28">
          <cell r="A28" t="str">
            <v>A-98</v>
          </cell>
          <cell r="B28" t="str">
            <v>케이블 철거</v>
          </cell>
          <cell r="C28" t="str">
            <v>SH 5P/.65</v>
          </cell>
          <cell r="D28" t="str">
            <v>m</v>
          </cell>
          <cell r="E28">
            <v>29.2</v>
          </cell>
          <cell r="G28">
            <v>12.8</v>
          </cell>
          <cell r="J28">
            <v>5.5</v>
          </cell>
          <cell r="K28">
            <v>18</v>
          </cell>
          <cell r="M28">
            <v>9.1999999999999993</v>
          </cell>
          <cell r="N28">
            <v>92.5</v>
          </cell>
          <cell r="O28">
            <v>21</v>
          </cell>
          <cell r="P28">
            <v>48</v>
          </cell>
          <cell r="Q28">
            <v>121.6</v>
          </cell>
          <cell r="S28">
            <v>93.6</v>
          </cell>
          <cell r="T28">
            <v>33</v>
          </cell>
          <cell r="V28">
            <v>11</v>
          </cell>
          <cell r="X28">
            <v>12</v>
          </cell>
          <cell r="AA28">
            <v>7.9</v>
          </cell>
          <cell r="AB28">
            <v>2.7</v>
          </cell>
          <cell r="AU28">
            <v>518</v>
          </cell>
          <cell r="AW28">
            <v>98</v>
          </cell>
        </row>
        <row r="29">
          <cell r="A29" t="str">
            <v>A-99</v>
          </cell>
          <cell r="B29" t="str">
            <v>케이블 철거</v>
          </cell>
          <cell r="C29" t="str">
            <v>ECX 7C-2V</v>
          </cell>
          <cell r="D29" t="str">
            <v>m</v>
          </cell>
          <cell r="H29">
            <v>1.9</v>
          </cell>
          <cell r="I29">
            <v>2.5</v>
          </cell>
          <cell r="N29">
            <v>37</v>
          </cell>
          <cell r="O29">
            <v>33.6</v>
          </cell>
          <cell r="P29">
            <v>72</v>
          </cell>
          <cell r="Q29">
            <v>182.4</v>
          </cell>
          <cell r="S29">
            <v>140.4</v>
          </cell>
          <cell r="U29">
            <v>18.600000000000001</v>
          </cell>
          <cell r="V29">
            <v>44</v>
          </cell>
          <cell r="W29">
            <v>34.799999999999997</v>
          </cell>
          <cell r="AC29">
            <v>20</v>
          </cell>
          <cell r="AD29">
            <v>3.9</v>
          </cell>
          <cell r="AE29">
            <v>2</v>
          </cell>
          <cell r="AF29">
            <v>189.2</v>
          </cell>
          <cell r="AU29">
            <v>782.3</v>
          </cell>
          <cell r="AW29">
            <v>99</v>
          </cell>
        </row>
        <row r="30">
          <cell r="A30" t="str">
            <v>A-100</v>
          </cell>
          <cell r="B30" t="str">
            <v>케이블 철거</v>
          </cell>
          <cell r="C30" t="str">
            <v>GV 38˚</v>
          </cell>
          <cell r="D30" t="str">
            <v>m</v>
          </cell>
          <cell r="E30">
            <v>29.2</v>
          </cell>
          <cell r="N30">
            <v>18.5</v>
          </cell>
          <cell r="O30">
            <v>4.2</v>
          </cell>
          <cell r="AU30">
            <v>51.900000000000006</v>
          </cell>
          <cell r="AW30">
            <v>100</v>
          </cell>
        </row>
        <row r="31">
          <cell r="A31" t="str">
            <v>A-101</v>
          </cell>
          <cell r="B31" t="str">
            <v>비상GATE 철거</v>
          </cell>
          <cell r="C31">
            <v>0</v>
          </cell>
          <cell r="D31" t="str">
            <v>대</v>
          </cell>
          <cell r="E31">
            <v>4</v>
          </cell>
          <cell r="AU31">
            <v>4</v>
          </cell>
          <cell r="AW31">
            <v>101</v>
          </cell>
        </row>
        <row r="32">
          <cell r="A32" t="str">
            <v>A-105</v>
          </cell>
          <cell r="B32" t="str">
            <v>분전반 철거(역무실)</v>
          </cell>
          <cell r="C32" t="str">
            <v>을지로3가(2) 500×900×150</v>
          </cell>
          <cell r="D32" t="str">
            <v>면</v>
          </cell>
          <cell r="E32">
            <v>1</v>
          </cell>
          <cell r="AU32">
            <v>1</v>
          </cell>
          <cell r="AW32">
            <v>105</v>
          </cell>
        </row>
        <row r="33">
          <cell r="A33" t="str">
            <v>A-106</v>
          </cell>
          <cell r="B33" t="str">
            <v>분전반 철거("가"매표소)</v>
          </cell>
          <cell r="C33" t="str">
            <v>을지로3가(2) 500×800×150</v>
          </cell>
          <cell r="D33" t="str">
            <v>면</v>
          </cell>
          <cell r="E33">
            <v>1</v>
          </cell>
          <cell r="AU33">
            <v>1</v>
          </cell>
          <cell r="AW33">
            <v>106</v>
          </cell>
        </row>
        <row r="34">
          <cell r="A34" t="str">
            <v>A-107</v>
          </cell>
          <cell r="B34" t="str">
            <v>분전반 철거("나"매표소)</v>
          </cell>
          <cell r="C34" t="str">
            <v>을지로3가(2) 500×750×150</v>
          </cell>
          <cell r="D34" t="str">
            <v>면</v>
          </cell>
          <cell r="E34">
            <v>1</v>
          </cell>
          <cell r="AU34">
            <v>1</v>
          </cell>
          <cell r="AW34">
            <v>107</v>
          </cell>
        </row>
        <row r="35">
          <cell r="A35" t="str">
            <v>A-111</v>
          </cell>
          <cell r="B35" t="str">
            <v>CAMERA 철거</v>
          </cell>
          <cell r="C35">
            <v>0</v>
          </cell>
          <cell r="D35" t="str">
            <v>EA</v>
          </cell>
          <cell r="E35">
            <v>8</v>
          </cell>
          <cell r="AU35">
            <v>8</v>
          </cell>
          <cell r="AW35">
            <v>111</v>
          </cell>
        </row>
        <row r="36">
          <cell r="A36" t="str">
            <v>A-112</v>
          </cell>
          <cell r="B36" t="str">
            <v>CCTV RACK 철거</v>
          </cell>
          <cell r="C36">
            <v>0</v>
          </cell>
          <cell r="D36" t="str">
            <v>EA</v>
          </cell>
          <cell r="E36">
            <v>1</v>
          </cell>
          <cell r="AU36">
            <v>1</v>
          </cell>
          <cell r="AW36">
            <v>112</v>
          </cell>
        </row>
        <row r="37">
          <cell r="AU37">
            <v>0</v>
          </cell>
          <cell r="AW37">
            <v>0</v>
          </cell>
        </row>
        <row r="38">
          <cell r="AU38">
            <v>0</v>
          </cell>
          <cell r="AW38">
            <v>0</v>
          </cell>
        </row>
        <row r="40">
          <cell r="AU40">
            <v>4986.2</v>
          </cell>
        </row>
      </sheetData>
      <sheetData sheetId="3" refreshError="1">
        <row r="1">
          <cell r="E1" t="str">
            <v>1-</v>
          </cell>
          <cell r="F1" t="str">
            <v>2-</v>
          </cell>
          <cell r="G1" t="str">
            <v>3-</v>
          </cell>
          <cell r="H1" t="str">
            <v>4-</v>
          </cell>
          <cell r="I1" t="str">
            <v>5-</v>
          </cell>
          <cell r="J1" t="str">
            <v>6-</v>
          </cell>
          <cell r="K1" t="str">
            <v>7-</v>
          </cell>
          <cell r="L1" t="str">
            <v>8-</v>
          </cell>
          <cell r="M1" t="str">
            <v>9-</v>
          </cell>
          <cell r="N1" t="str">
            <v>10-</v>
          </cell>
          <cell r="O1" t="str">
            <v>11-</v>
          </cell>
          <cell r="P1" t="str">
            <v>12-</v>
          </cell>
          <cell r="Q1" t="str">
            <v>13-</v>
          </cell>
          <cell r="R1" t="str">
            <v>14-</v>
          </cell>
          <cell r="S1" t="str">
            <v>15-</v>
          </cell>
          <cell r="T1" t="str">
            <v>16-</v>
          </cell>
          <cell r="U1" t="str">
            <v>17-</v>
          </cell>
          <cell r="V1" t="str">
            <v>18-</v>
          </cell>
          <cell r="W1" t="str">
            <v>19-</v>
          </cell>
          <cell r="X1" t="str">
            <v>20-</v>
          </cell>
          <cell r="Y1" t="str">
            <v>21-</v>
          </cell>
          <cell r="Z1" t="str">
            <v>22-</v>
          </cell>
          <cell r="AA1" t="str">
            <v>23-</v>
          </cell>
          <cell r="AB1" t="str">
            <v>24-</v>
          </cell>
          <cell r="AC1" t="str">
            <v>25-</v>
          </cell>
          <cell r="AD1" t="str">
            <v>26-</v>
          </cell>
          <cell r="AE1" t="str">
            <v>27-</v>
          </cell>
          <cell r="AF1" t="str">
            <v>28-</v>
          </cell>
          <cell r="AG1" t="str">
            <v>29-</v>
          </cell>
          <cell r="AH1" t="str">
            <v>30-</v>
          </cell>
          <cell r="AI1" t="str">
            <v>31-</v>
          </cell>
          <cell r="AJ1" t="str">
            <v>32-</v>
          </cell>
          <cell r="AK1" t="str">
            <v>33-</v>
          </cell>
          <cell r="AL1" t="str">
            <v>34-</v>
          </cell>
          <cell r="AM1" t="str">
            <v>35-</v>
          </cell>
          <cell r="AN1" t="str">
            <v>36-</v>
          </cell>
          <cell r="AQ1" t="str">
            <v>호표</v>
          </cell>
        </row>
        <row r="2">
          <cell r="A2" t="str">
            <v>CODE</v>
          </cell>
          <cell r="B2" t="str">
            <v>공사종류</v>
          </cell>
          <cell r="C2" t="str">
            <v>규     격</v>
          </cell>
          <cell r="D2" t="str">
            <v>단위</v>
          </cell>
          <cell r="E2" t="str">
            <v>SHEET NUMBER</v>
          </cell>
          <cell r="Y2" t="str">
            <v>SHEET NUMBER</v>
          </cell>
          <cell r="AO2" t="str">
            <v>수량합계</v>
          </cell>
          <cell r="AP2" t="str">
            <v>비고</v>
          </cell>
          <cell r="AQ2">
            <v>0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</row>
        <row r="4">
          <cell r="A4" t="str">
            <v>A-113</v>
          </cell>
          <cell r="B4" t="str">
            <v>케이블 신설</v>
          </cell>
          <cell r="C4" t="str">
            <v>CV 3.5˚/2C</v>
          </cell>
          <cell r="D4" t="str">
            <v>m</v>
          </cell>
          <cell r="F4">
            <v>29.2</v>
          </cell>
          <cell r="G4">
            <v>56.4</v>
          </cell>
          <cell r="H4">
            <v>45.6</v>
          </cell>
          <cell r="I4">
            <v>38.4</v>
          </cell>
          <cell r="M4">
            <v>67.2</v>
          </cell>
          <cell r="N4">
            <v>105</v>
          </cell>
          <cell r="AO4">
            <v>341.8</v>
          </cell>
          <cell r="AQ4">
            <v>113</v>
          </cell>
        </row>
        <row r="5">
          <cell r="A5" t="str">
            <v>A-114</v>
          </cell>
          <cell r="B5" t="str">
            <v>케이블 신설</v>
          </cell>
          <cell r="C5" t="str">
            <v>CV 8˚/2C</v>
          </cell>
          <cell r="D5" t="str">
            <v>m</v>
          </cell>
          <cell r="AO5">
            <v>0</v>
          </cell>
          <cell r="AQ5">
            <v>114</v>
          </cell>
        </row>
        <row r="6">
          <cell r="A6" t="str">
            <v>A-115</v>
          </cell>
          <cell r="B6" t="str">
            <v>케이블 신설</v>
          </cell>
          <cell r="C6" t="str">
            <v>CV 14˚/2C</v>
          </cell>
          <cell r="D6" t="str">
            <v>m</v>
          </cell>
          <cell r="G6">
            <v>9.4</v>
          </cell>
          <cell r="H6">
            <v>11.4</v>
          </cell>
          <cell r="J6">
            <v>17.399999999999999</v>
          </cell>
          <cell r="K6">
            <v>12.8</v>
          </cell>
          <cell r="AO6">
            <v>51</v>
          </cell>
          <cell r="AQ6">
            <v>115</v>
          </cell>
        </row>
        <row r="7">
          <cell r="A7" t="str">
            <v>A-116</v>
          </cell>
          <cell r="B7" t="str">
            <v>케이블 신설</v>
          </cell>
          <cell r="C7" t="str">
            <v>CV 22˚/2C</v>
          </cell>
          <cell r="D7" t="str">
            <v>m</v>
          </cell>
          <cell r="K7">
            <v>12.8</v>
          </cell>
          <cell r="L7">
            <v>69</v>
          </cell>
          <cell r="N7">
            <v>17.5</v>
          </cell>
          <cell r="AO7">
            <v>99.3</v>
          </cell>
          <cell r="AQ7">
            <v>116</v>
          </cell>
        </row>
        <row r="8">
          <cell r="A8" t="str">
            <v>A-117</v>
          </cell>
          <cell r="B8" t="str">
            <v>케이블 신설</v>
          </cell>
          <cell r="C8" t="str">
            <v>IV 3.5˚</v>
          </cell>
          <cell r="D8" t="str">
            <v>m</v>
          </cell>
          <cell r="F8">
            <v>14.6</v>
          </cell>
          <cell r="G8">
            <v>28.2</v>
          </cell>
          <cell r="H8">
            <v>22.8</v>
          </cell>
          <cell r="I8">
            <v>19.2</v>
          </cell>
          <cell r="M8">
            <v>33.6</v>
          </cell>
          <cell r="N8">
            <v>52.5</v>
          </cell>
          <cell r="AO8">
            <v>170.9</v>
          </cell>
          <cell r="AQ8">
            <v>117</v>
          </cell>
        </row>
        <row r="9">
          <cell r="A9" t="str">
            <v>A-118</v>
          </cell>
          <cell r="B9" t="str">
            <v>케이블 신설</v>
          </cell>
          <cell r="C9" t="str">
            <v>IV 8˚</v>
          </cell>
          <cell r="D9" t="str">
            <v>m</v>
          </cell>
          <cell r="G9">
            <v>9.4</v>
          </cell>
          <cell r="H9">
            <v>11.4</v>
          </cell>
          <cell r="J9">
            <v>17.399999999999999</v>
          </cell>
          <cell r="K9">
            <v>12.8</v>
          </cell>
          <cell r="AO9">
            <v>51</v>
          </cell>
          <cell r="AQ9">
            <v>118</v>
          </cell>
        </row>
        <row r="10">
          <cell r="A10" t="str">
            <v>A-119</v>
          </cell>
          <cell r="B10" t="str">
            <v>케이블 신설</v>
          </cell>
          <cell r="C10" t="str">
            <v>IV 14˚</v>
          </cell>
          <cell r="D10" t="str">
            <v>m</v>
          </cell>
          <cell r="K10">
            <v>12.8</v>
          </cell>
          <cell r="L10">
            <v>69</v>
          </cell>
          <cell r="N10">
            <v>17.5</v>
          </cell>
          <cell r="AO10">
            <v>99.3</v>
          </cell>
          <cell r="AQ10">
            <v>119</v>
          </cell>
        </row>
        <row r="11">
          <cell r="A11" t="str">
            <v>A-120</v>
          </cell>
          <cell r="B11" t="str">
            <v>케이블 신설</v>
          </cell>
          <cell r="C11" t="str">
            <v>CVV-SB 1.25˚/4C</v>
          </cell>
          <cell r="D11" t="str">
            <v>m</v>
          </cell>
          <cell r="G11">
            <v>18.8</v>
          </cell>
          <cell r="H11">
            <v>22.8</v>
          </cell>
          <cell r="J11">
            <v>34.799999999999997</v>
          </cell>
          <cell r="K11">
            <v>51.2</v>
          </cell>
          <cell r="L11">
            <v>138</v>
          </cell>
          <cell r="N11">
            <v>35</v>
          </cell>
          <cell r="AO11">
            <v>300.60000000000002</v>
          </cell>
          <cell r="AQ11">
            <v>120</v>
          </cell>
        </row>
        <row r="12">
          <cell r="A12" t="str">
            <v>A-121</v>
          </cell>
          <cell r="B12" t="str">
            <v>케이블 신설</v>
          </cell>
          <cell r="C12" t="str">
            <v>CVV-SB 1.25˚/5C</v>
          </cell>
          <cell r="D12" t="str">
            <v>m</v>
          </cell>
          <cell r="G12">
            <v>28.2</v>
          </cell>
          <cell r="H12">
            <v>34.200000000000003</v>
          </cell>
          <cell r="I12">
            <v>19.2</v>
          </cell>
          <cell r="J12">
            <v>87</v>
          </cell>
          <cell r="K12">
            <v>128</v>
          </cell>
          <cell r="L12">
            <v>345</v>
          </cell>
          <cell r="M12">
            <v>22.4</v>
          </cell>
          <cell r="N12">
            <v>87.5</v>
          </cell>
          <cell r="AO12">
            <v>751.5</v>
          </cell>
          <cell r="AQ12">
            <v>121</v>
          </cell>
        </row>
        <row r="13">
          <cell r="A13" t="str">
            <v>A-122</v>
          </cell>
          <cell r="B13" t="str">
            <v>케이블 신설</v>
          </cell>
          <cell r="C13" t="str">
            <v>CVV-SB 1.25˚/7C</v>
          </cell>
          <cell r="D13" t="str">
            <v>m</v>
          </cell>
          <cell r="F13">
            <v>14.6</v>
          </cell>
          <cell r="H13">
            <v>11.4</v>
          </cell>
          <cell r="J13">
            <v>17.399999999999999</v>
          </cell>
          <cell r="K13">
            <v>25.6</v>
          </cell>
          <cell r="L13">
            <v>69</v>
          </cell>
          <cell r="M13">
            <v>11.2</v>
          </cell>
          <cell r="N13">
            <v>17.5</v>
          </cell>
          <cell r="AO13">
            <v>166.7</v>
          </cell>
          <cell r="AQ13">
            <v>122</v>
          </cell>
        </row>
        <row r="14">
          <cell r="A14" t="str">
            <v>A-123</v>
          </cell>
          <cell r="B14" t="str">
            <v>케이블 신설</v>
          </cell>
          <cell r="C14" t="str">
            <v>CVV 2.0˚/4C</v>
          </cell>
          <cell r="D14" t="str">
            <v>m</v>
          </cell>
          <cell r="G14">
            <v>9.4</v>
          </cell>
          <cell r="H14">
            <v>11.4</v>
          </cell>
          <cell r="I14">
            <v>9.6</v>
          </cell>
          <cell r="J14">
            <v>34.799999999999997</v>
          </cell>
          <cell r="K14">
            <v>51.2</v>
          </cell>
          <cell r="L14">
            <v>138</v>
          </cell>
          <cell r="M14">
            <v>22.4</v>
          </cell>
          <cell r="N14">
            <v>17.5</v>
          </cell>
          <cell r="AO14">
            <v>294.29999999999995</v>
          </cell>
          <cell r="AQ14">
            <v>123</v>
          </cell>
        </row>
        <row r="15">
          <cell r="A15" t="str">
            <v>A-124</v>
          </cell>
          <cell r="B15" t="str">
            <v>케이블 신설</v>
          </cell>
          <cell r="C15" t="str">
            <v>SH 5P/.65</v>
          </cell>
          <cell r="D15" t="str">
            <v>m</v>
          </cell>
          <cell r="E15">
            <v>20.8</v>
          </cell>
          <cell r="F15">
            <v>14.6</v>
          </cell>
          <cell r="G15">
            <v>9.4</v>
          </cell>
          <cell r="H15">
            <v>34.200000000000003</v>
          </cell>
          <cell r="J15">
            <v>52.2</v>
          </cell>
          <cell r="K15">
            <v>64</v>
          </cell>
          <cell r="L15">
            <v>207</v>
          </cell>
          <cell r="M15">
            <v>11.2</v>
          </cell>
          <cell r="N15">
            <v>35</v>
          </cell>
          <cell r="AO15">
            <v>448.4</v>
          </cell>
          <cell r="AQ15">
            <v>124</v>
          </cell>
        </row>
        <row r="16">
          <cell r="A16" t="str">
            <v>A-125</v>
          </cell>
          <cell r="B16" t="str">
            <v>찬넬 가대</v>
          </cell>
          <cell r="C16" t="str">
            <v>W:600mm</v>
          </cell>
          <cell r="D16" t="str">
            <v>개소</v>
          </cell>
          <cell r="H16">
            <v>12</v>
          </cell>
          <cell r="K16">
            <v>9</v>
          </cell>
          <cell r="AO16">
            <v>21</v>
          </cell>
          <cell r="AQ16">
            <v>125</v>
          </cell>
        </row>
        <row r="17">
          <cell r="A17" t="str">
            <v>A-126</v>
          </cell>
          <cell r="B17" t="str">
            <v>찬넬 가대</v>
          </cell>
          <cell r="C17" t="str">
            <v>W:500mm</v>
          </cell>
          <cell r="D17" t="str">
            <v>개소</v>
          </cell>
          <cell r="G17">
            <v>6</v>
          </cell>
          <cell r="N17">
            <v>14</v>
          </cell>
          <cell r="AO17">
            <v>20</v>
          </cell>
          <cell r="AQ17">
            <v>126</v>
          </cell>
        </row>
        <row r="18">
          <cell r="A18" t="str">
            <v>A-127</v>
          </cell>
          <cell r="B18" t="str">
            <v>찬넬 가대</v>
          </cell>
          <cell r="C18" t="str">
            <v>W:400mm</v>
          </cell>
          <cell r="D18" t="str">
            <v>개소</v>
          </cell>
          <cell r="J18">
            <v>18</v>
          </cell>
          <cell r="L18">
            <v>69</v>
          </cell>
          <cell r="M18">
            <v>8</v>
          </cell>
          <cell r="AO18">
            <v>95</v>
          </cell>
          <cell r="AQ18">
            <v>127</v>
          </cell>
        </row>
        <row r="19">
          <cell r="A19" t="str">
            <v>A-128</v>
          </cell>
          <cell r="B19" t="str">
            <v>찬넬 가대</v>
          </cell>
          <cell r="C19" t="str">
            <v>W:300mm</v>
          </cell>
          <cell r="D19" t="str">
            <v>개소</v>
          </cell>
          <cell r="AO19">
            <v>0</v>
          </cell>
          <cell r="AQ19">
            <v>128</v>
          </cell>
        </row>
        <row r="20">
          <cell r="A20" t="str">
            <v>A-129</v>
          </cell>
          <cell r="B20" t="str">
            <v>찬넬 가대</v>
          </cell>
          <cell r="C20" t="str">
            <v>W:200mm</v>
          </cell>
          <cell r="D20" t="str">
            <v>개소</v>
          </cell>
          <cell r="E20">
            <v>21</v>
          </cell>
          <cell r="F20">
            <v>11</v>
          </cell>
          <cell r="I20">
            <v>6</v>
          </cell>
          <cell r="AO20">
            <v>38</v>
          </cell>
          <cell r="AQ20">
            <v>129</v>
          </cell>
        </row>
        <row r="21">
          <cell r="A21" t="str">
            <v>A-130</v>
          </cell>
          <cell r="B21" t="str">
            <v>합판 설치</v>
          </cell>
          <cell r="C21">
            <v>0</v>
          </cell>
          <cell r="D21" t="str">
            <v>개소</v>
          </cell>
          <cell r="E21">
            <v>30</v>
          </cell>
          <cell r="AO21">
            <v>30</v>
          </cell>
          <cell r="AQ21">
            <v>130</v>
          </cell>
        </row>
        <row r="23">
          <cell r="AO23">
            <v>2978.8</v>
          </cell>
        </row>
      </sheetData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공종"/>
      <sheetName val="수량계산서 집계표(신설-을지로3가 3호선)"/>
      <sheetName val="수량계산서 집계표(철거-을지로3가 3호선)"/>
      <sheetName val="수량계산서 집계표(가설 신설 및 철거-을지로3가 3호선)"/>
      <sheetName val="산출"/>
      <sheetName val="산출 (2)"/>
    </sheetNames>
    <sheetDataSet>
      <sheetData sheetId="0"/>
      <sheetData sheetId="1">
        <row r="1">
          <cell r="E1" t="str">
            <v>1-</v>
          </cell>
          <cell r="F1" t="str">
            <v>2-</v>
          </cell>
          <cell r="G1" t="str">
            <v>3-</v>
          </cell>
          <cell r="H1" t="str">
            <v>4-</v>
          </cell>
          <cell r="I1" t="str">
            <v>5-</v>
          </cell>
          <cell r="J1" t="str">
            <v>6-</v>
          </cell>
          <cell r="K1" t="str">
            <v>7-</v>
          </cell>
          <cell r="L1" t="str">
            <v>8-</v>
          </cell>
          <cell r="M1" t="str">
            <v>9-</v>
          </cell>
          <cell r="N1" t="str">
            <v>10-</v>
          </cell>
          <cell r="O1" t="str">
            <v>11-</v>
          </cell>
          <cell r="P1" t="str">
            <v>12-</v>
          </cell>
          <cell r="Q1" t="str">
            <v>13-</v>
          </cell>
          <cell r="R1" t="str">
            <v>14-</v>
          </cell>
          <cell r="S1" t="str">
            <v>15-</v>
          </cell>
          <cell r="T1" t="str">
            <v>16-</v>
          </cell>
          <cell r="U1" t="str">
            <v>17-</v>
          </cell>
          <cell r="V1" t="str">
            <v>18-</v>
          </cell>
          <cell r="W1" t="str">
            <v>19-</v>
          </cell>
          <cell r="X1" t="str">
            <v>20-</v>
          </cell>
          <cell r="Y1" t="str">
            <v>21-</v>
          </cell>
          <cell r="Z1" t="str">
            <v>22-</v>
          </cell>
          <cell r="AA1" t="str">
            <v>23-</v>
          </cell>
          <cell r="AB1" t="str">
            <v>24-</v>
          </cell>
          <cell r="AC1" t="str">
            <v>25-</v>
          </cell>
          <cell r="AD1" t="str">
            <v>26-</v>
          </cell>
          <cell r="AE1" t="str">
            <v>27-</v>
          </cell>
          <cell r="AF1" t="str">
            <v>28-</v>
          </cell>
          <cell r="AG1" t="str">
            <v>29-</v>
          </cell>
          <cell r="AH1" t="str">
            <v>30-</v>
          </cell>
          <cell r="AI1" t="str">
            <v>31-</v>
          </cell>
          <cell r="AJ1" t="str">
            <v>32-</v>
          </cell>
          <cell r="AK1" t="str">
            <v>33-</v>
          </cell>
          <cell r="AL1" t="str">
            <v>34-</v>
          </cell>
          <cell r="AM1" t="str">
            <v>35-</v>
          </cell>
          <cell r="AN1" t="str">
            <v>36-</v>
          </cell>
          <cell r="AQ1" t="str">
            <v>호표</v>
          </cell>
        </row>
        <row r="2">
          <cell r="A2" t="str">
            <v>CODE</v>
          </cell>
          <cell r="B2" t="str">
            <v>공사종류</v>
          </cell>
          <cell r="C2" t="str">
            <v>규     격</v>
          </cell>
          <cell r="D2" t="str">
            <v>단위</v>
          </cell>
          <cell r="E2" t="str">
            <v>SHEET NUMBER</v>
          </cell>
          <cell r="Y2" t="str">
            <v>SHEET NUMBER</v>
          </cell>
          <cell r="AO2" t="str">
            <v>수량합계</v>
          </cell>
          <cell r="AP2" t="str">
            <v>비고</v>
          </cell>
          <cell r="AQ2">
            <v>0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</row>
        <row r="4">
          <cell r="A4" t="str">
            <v>A-1</v>
          </cell>
          <cell r="B4" t="str">
            <v>전선관 신설</v>
          </cell>
          <cell r="C4" t="str">
            <v>후강 16mm</v>
          </cell>
          <cell r="D4" t="str">
            <v>m</v>
          </cell>
          <cell r="AA4">
            <v>40.6</v>
          </cell>
          <cell r="AO4">
            <v>40.6</v>
          </cell>
          <cell r="AQ4">
            <v>1</v>
          </cell>
        </row>
        <row r="5">
          <cell r="A5" t="str">
            <v>A-2</v>
          </cell>
          <cell r="B5" t="str">
            <v>전선관 신설</v>
          </cell>
          <cell r="C5" t="str">
            <v>후강 22mm</v>
          </cell>
          <cell r="D5" t="str">
            <v>m</v>
          </cell>
          <cell r="H5">
            <v>24</v>
          </cell>
          <cell r="I5">
            <v>6.7</v>
          </cell>
          <cell r="J5">
            <v>18.600000000000001</v>
          </cell>
          <cell r="K5">
            <v>5.0999999999999996</v>
          </cell>
          <cell r="L5">
            <v>11</v>
          </cell>
          <cell r="M5">
            <v>3.2</v>
          </cell>
          <cell r="Q5">
            <v>45.2</v>
          </cell>
          <cell r="S5">
            <v>45.2</v>
          </cell>
          <cell r="U5">
            <v>11.9</v>
          </cell>
          <cell r="V5">
            <v>46.4</v>
          </cell>
          <cell r="W5">
            <v>3.2</v>
          </cell>
          <cell r="X5">
            <v>17.2</v>
          </cell>
          <cell r="AB5">
            <v>5.8</v>
          </cell>
          <cell r="AC5">
            <v>120</v>
          </cell>
          <cell r="AO5">
            <v>363.5</v>
          </cell>
          <cell r="AQ5">
            <v>2</v>
          </cell>
        </row>
        <row r="6">
          <cell r="A6" t="str">
            <v>A-3</v>
          </cell>
          <cell r="B6" t="str">
            <v>전선관 신설</v>
          </cell>
          <cell r="C6" t="str">
            <v>후강 28mm</v>
          </cell>
          <cell r="D6" t="str">
            <v>m</v>
          </cell>
          <cell r="L6">
            <v>11</v>
          </cell>
          <cell r="M6">
            <v>1.6</v>
          </cell>
          <cell r="O6">
            <v>2.6</v>
          </cell>
          <cell r="P6">
            <v>7.3</v>
          </cell>
          <cell r="Q6">
            <v>22.6</v>
          </cell>
          <cell r="S6">
            <v>22.6</v>
          </cell>
          <cell r="T6">
            <v>15.8</v>
          </cell>
          <cell r="V6">
            <v>23.2</v>
          </cell>
          <cell r="X6">
            <v>8.6</v>
          </cell>
          <cell r="Y6">
            <v>17.600000000000001</v>
          </cell>
          <cell r="Z6">
            <v>18</v>
          </cell>
          <cell r="AB6">
            <v>5.8</v>
          </cell>
          <cell r="AO6">
            <v>156.70000000000002</v>
          </cell>
          <cell r="AQ6">
            <v>3</v>
          </cell>
        </row>
        <row r="7">
          <cell r="A7" t="str">
            <v>A-4</v>
          </cell>
          <cell r="B7" t="str">
            <v>전선관 신설</v>
          </cell>
          <cell r="C7" t="str">
            <v>후강 36mm</v>
          </cell>
          <cell r="D7" t="str">
            <v>m</v>
          </cell>
          <cell r="E7">
            <v>7.4</v>
          </cell>
          <cell r="F7">
            <v>33.799999999999997</v>
          </cell>
          <cell r="I7">
            <v>6.7</v>
          </cell>
          <cell r="N7">
            <v>9.3000000000000007</v>
          </cell>
          <cell r="O7">
            <v>5.2</v>
          </cell>
          <cell r="P7">
            <v>7.3</v>
          </cell>
          <cell r="T7">
            <v>7.9</v>
          </cell>
          <cell r="AO7">
            <v>77.600000000000009</v>
          </cell>
          <cell r="AQ7">
            <v>4</v>
          </cell>
        </row>
        <row r="8">
          <cell r="A8" t="str">
            <v>A-5</v>
          </cell>
          <cell r="B8" t="str">
            <v>전선관 신설</v>
          </cell>
          <cell r="C8" t="str">
            <v>후강 42mm</v>
          </cell>
          <cell r="D8" t="str">
            <v>m</v>
          </cell>
          <cell r="G8">
            <v>3</v>
          </cell>
          <cell r="I8">
            <v>6.7</v>
          </cell>
          <cell r="K8">
            <v>5.0999999999999996</v>
          </cell>
          <cell r="L8">
            <v>11</v>
          </cell>
          <cell r="M8">
            <v>1.6</v>
          </cell>
          <cell r="W8">
            <v>3.2</v>
          </cell>
          <cell r="AO8">
            <v>30.599999999999998</v>
          </cell>
          <cell r="AQ8">
            <v>5</v>
          </cell>
        </row>
        <row r="9">
          <cell r="A9" t="str">
            <v>A-6</v>
          </cell>
          <cell r="B9" t="str">
            <v>전선관 신설</v>
          </cell>
          <cell r="C9" t="str">
            <v>후강 54mm</v>
          </cell>
          <cell r="D9" t="str">
            <v>m</v>
          </cell>
          <cell r="G9">
            <v>9</v>
          </cell>
          <cell r="I9">
            <v>20.100000000000001</v>
          </cell>
          <cell r="K9">
            <v>5.0999999999999996</v>
          </cell>
          <cell r="L9">
            <v>55</v>
          </cell>
          <cell r="M9">
            <v>3.2</v>
          </cell>
          <cell r="N9">
            <v>18.600000000000001</v>
          </cell>
          <cell r="O9">
            <v>5.2</v>
          </cell>
          <cell r="Q9">
            <v>67.8</v>
          </cell>
          <cell r="S9">
            <v>67.8</v>
          </cell>
          <cell r="T9">
            <v>31.6</v>
          </cell>
          <cell r="U9">
            <v>23.8</v>
          </cell>
          <cell r="V9">
            <v>46.4</v>
          </cell>
          <cell r="W9">
            <v>3.2</v>
          </cell>
          <cell r="AO9">
            <v>356.8</v>
          </cell>
          <cell r="AQ9">
            <v>6</v>
          </cell>
        </row>
        <row r="10">
          <cell r="A10" t="str">
            <v>A-7</v>
          </cell>
          <cell r="B10" t="str">
            <v>HI PVC 전선관 신설</v>
          </cell>
          <cell r="C10" t="str">
            <v>HI 28mm</v>
          </cell>
          <cell r="D10" t="str">
            <v>m</v>
          </cell>
          <cell r="G10">
            <v>3</v>
          </cell>
          <cell r="I10">
            <v>6.7</v>
          </cell>
          <cell r="L10">
            <v>11</v>
          </cell>
          <cell r="N10">
            <v>9.3000000000000007</v>
          </cell>
          <cell r="O10">
            <v>2.6</v>
          </cell>
          <cell r="Q10">
            <v>22.6</v>
          </cell>
          <cell r="R10">
            <v>270</v>
          </cell>
          <cell r="AD10">
            <v>5</v>
          </cell>
          <cell r="AE10">
            <v>11</v>
          </cell>
          <cell r="AF10">
            <v>10</v>
          </cell>
          <cell r="AO10">
            <v>351.2</v>
          </cell>
          <cell r="AQ10">
            <v>7</v>
          </cell>
        </row>
        <row r="11">
          <cell r="A11" t="str">
            <v>A-8</v>
          </cell>
          <cell r="B11" t="str">
            <v>HI PVC 전선관 신설</v>
          </cell>
          <cell r="C11" t="str">
            <v>HI 42mm</v>
          </cell>
          <cell r="D11" t="str">
            <v>m</v>
          </cell>
          <cell r="AD11">
            <v>44.8</v>
          </cell>
          <cell r="AE11">
            <v>41.6</v>
          </cell>
          <cell r="AF11">
            <v>33.6</v>
          </cell>
          <cell r="AO11">
            <v>120</v>
          </cell>
          <cell r="AQ11">
            <v>8</v>
          </cell>
        </row>
        <row r="12">
          <cell r="A12" t="str">
            <v>A-9</v>
          </cell>
          <cell r="B12" t="str">
            <v>앙카 설치</v>
          </cell>
          <cell r="C12" t="str">
            <v>3/8"(M10)</v>
          </cell>
          <cell r="D12" t="str">
            <v>개</v>
          </cell>
          <cell r="E12">
            <v>2</v>
          </cell>
          <cell r="F12">
            <v>9</v>
          </cell>
          <cell r="G12">
            <v>2</v>
          </cell>
          <cell r="H12">
            <v>6</v>
          </cell>
          <cell r="I12">
            <v>4</v>
          </cell>
          <cell r="J12">
            <v>5</v>
          </cell>
          <cell r="K12">
            <v>3</v>
          </cell>
          <cell r="L12">
            <v>6</v>
          </cell>
          <cell r="M12">
            <v>1</v>
          </cell>
          <cell r="N12">
            <v>5</v>
          </cell>
          <cell r="O12">
            <v>2</v>
          </cell>
          <cell r="P12">
            <v>4</v>
          </cell>
          <cell r="Q12">
            <v>12</v>
          </cell>
          <cell r="R12">
            <v>135</v>
          </cell>
          <cell r="S12">
            <v>12</v>
          </cell>
          <cell r="T12">
            <v>4</v>
          </cell>
          <cell r="U12">
            <v>6</v>
          </cell>
          <cell r="V12">
            <v>12</v>
          </cell>
          <cell r="W12">
            <v>2</v>
          </cell>
          <cell r="X12">
            <v>5</v>
          </cell>
          <cell r="Y12">
            <v>9</v>
          </cell>
          <cell r="Z12">
            <v>8</v>
          </cell>
          <cell r="AA12">
            <v>19</v>
          </cell>
          <cell r="AB12">
            <v>4</v>
          </cell>
          <cell r="AC12">
            <v>32</v>
          </cell>
          <cell r="AO12">
            <v>309</v>
          </cell>
          <cell r="AQ12">
            <v>9</v>
          </cell>
        </row>
        <row r="13">
          <cell r="A13" t="str">
            <v>A-10</v>
          </cell>
          <cell r="B13" t="str">
            <v>아웃트박스 신설</v>
          </cell>
          <cell r="C13" t="str">
            <v>중형4각 54mm</v>
          </cell>
          <cell r="D13" t="str">
            <v>개</v>
          </cell>
          <cell r="E13">
            <v>9</v>
          </cell>
          <cell r="AO13">
            <v>9</v>
          </cell>
          <cell r="AQ13">
            <v>10</v>
          </cell>
        </row>
        <row r="14">
          <cell r="A14" t="str">
            <v>A-11</v>
          </cell>
          <cell r="B14" t="str">
            <v>풀박스 신설</v>
          </cell>
          <cell r="C14" t="str">
            <v>철재 1.2t100×100×50mm</v>
          </cell>
          <cell r="D14" t="str">
            <v>개</v>
          </cell>
          <cell r="U14">
            <v>1</v>
          </cell>
          <cell r="W14">
            <v>1</v>
          </cell>
          <cell r="X14">
            <v>1</v>
          </cell>
          <cell r="Z14">
            <v>1</v>
          </cell>
          <cell r="AO14">
            <v>4</v>
          </cell>
          <cell r="AQ14">
            <v>11</v>
          </cell>
        </row>
        <row r="15">
          <cell r="A15" t="str">
            <v>A-12</v>
          </cell>
          <cell r="B15" t="str">
            <v>풀박스 신설</v>
          </cell>
          <cell r="C15" t="str">
            <v>철재 1.2t200×200×100mm</v>
          </cell>
          <cell r="D15" t="str">
            <v>개</v>
          </cell>
          <cell r="E15">
            <v>1</v>
          </cell>
          <cell r="K15">
            <v>1</v>
          </cell>
          <cell r="V15">
            <v>1</v>
          </cell>
          <cell r="Y15">
            <v>1</v>
          </cell>
          <cell r="AO15">
            <v>4</v>
          </cell>
          <cell r="AQ15">
            <v>12</v>
          </cell>
        </row>
        <row r="16">
          <cell r="A16" t="str">
            <v>A-13</v>
          </cell>
          <cell r="B16" t="str">
            <v>풀박스 신설</v>
          </cell>
          <cell r="C16" t="str">
            <v>철재 1.2t300×300×100mm</v>
          </cell>
          <cell r="D16" t="str">
            <v>개</v>
          </cell>
          <cell r="T16">
            <v>1</v>
          </cell>
          <cell r="AO16">
            <v>1</v>
          </cell>
          <cell r="AQ16">
            <v>13</v>
          </cell>
        </row>
        <row r="17">
          <cell r="A17" t="str">
            <v>A-14</v>
          </cell>
          <cell r="B17" t="str">
            <v>풀박스 신설</v>
          </cell>
          <cell r="C17" t="str">
            <v>철재 1.2t400×400×150mm</v>
          </cell>
          <cell r="D17" t="str">
            <v>개</v>
          </cell>
          <cell r="AO17">
            <v>0</v>
          </cell>
          <cell r="AQ17">
            <v>14</v>
          </cell>
        </row>
        <row r="18">
          <cell r="A18" t="str">
            <v>A-15</v>
          </cell>
          <cell r="B18" t="str">
            <v>풀박스 신설</v>
          </cell>
          <cell r="C18" t="str">
            <v>철재 1.2t400×400×300mm</v>
          </cell>
          <cell r="D18" t="str">
            <v>개</v>
          </cell>
          <cell r="S18">
            <v>1</v>
          </cell>
          <cell r="AO18">
            <v>1</v>
          </cell>
          <cell r="AQ18">
            <v>15</v>
          </cell>
        </row>
        <row r="19">
          <cell r="A19" t="str">
            <v>A-16</v>
          </cell>
          <cell r="B19" t="str">
            <v>풀박스 신설</v>
          </cell>
          <cell r="C19" t="str">
            <v>철재 1.2t500×500×300mm</v>
          </cell>
          <cell r="D19" t="str">
            <v>개</v>
          </cell>
          <cell r="Q19">
            <v>1</v>
          </cell>
          <cell r="AO19">
            <v>1</v>
          </cell>
          <cell r="AQ19">
            <v>16</v>
          </cell>
        </row>
        <row r="20">
          <cell r="A20" t="str">
            <v>A-17</v>
          </cell>
          <cell r="B20" t="str">
            <v>풀박스 신설</v>
          </cell>
          <cell r="C20" t="str">
            <v>철재 1.2t600×600×300mm</v>
          </cell>
          <cell r="D20" t="str">
            <v>개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R20">
            <v>1</v>
          </cell>
          <cell r="AO20">
            <v>11</v>
          </cell>
          <cell r="AQ20">
            <v>17</v>
          </cell>
        </row>
        <row r="21">
          <cell r="A21" t="str">
            <v>A-18</v>
          </cell>
          <cell r="B21" t="str">
            <v>본딩 크램프 설치</v>
          </cell>
          <cell r="C21" t="str">
            <v xml:space="preserve">16C                    </v>
          </cell>
          <cell r="D21" t="str">
            <v>개소</v>
          </cell>
          <cell r="T21">
            <v>1</v>
          </cell>
          <cell r="U21">
            <v>2</v>
          </cell>
          <cell r="AO21">
            <v>3</v>
          </cell>
          <cell r="AQ21">
            <v>18</v>
          </cell>
        </row>
        <row r="22">
          <cell r="A22" t="str">
            <v>A-19</v>
          </cell>
          <cell r="B22" t="str">
            <v>본딩 크램프 설치</v>
          </cell>
          <cell r="C22" t="str">
            <v xml:space="preserve">22C                    </v>
          </cell>
          <cell r="D22" t="str">
            <v>개소</v>
          </cell>
          <cell r="F22">
            <v>3</v>
          </cell>
          <cell r="G22">
            <v>5</v>
          </cell>
          <cell r="H22">
            <v>3</v>
          </cell>
          <cell r="J22">
            <v>2</v>
          </cell>
          <cell r="L22">
            <v>4</v>
          </cell>
          <cell r="M22">
            <v>4</v>
          </cell>
          <cell r="N22">
            <v>4</v>
          </cell>
          <cell r="O22">
            <v>5</v>
          </cell>
          <cell r="P22">
            <v>2</v>
          </cell>
          <cell r="Q22">
            <v>4</v>
          </cell>
          <cell r="R22">
            <v>7</v>
          </cell>
          <cell r="S22">
            <v>4</v>
          </cell>
          <cell r="V22">
            <v>2</v>
          </cell>
          <cell r="AO22">
            <v>49</v>
          </cell>
          <cell r="AQ22">
            <v>19</v>
          </cell>
        </row>
        <row r="23">
          <cell r="A23" t="str">
            <v>A-20</v>
          </cell>
          <cell r="B23" t="str">
            <v>본딩 크램프 설치</v>
          </cell>
          <cell r="C23" t="str">
            <v xml:space="preserve">28C                    </v>
          </cell>
          <cell r="D23" t="str">
            <v>개소</v>
          </cell>
          <cell r="F23">
            <v>2</v>
          </cell>
          <cell r="G23">
            <v>3</v>
          </cell>
          <cell r="H23">
            <v>4</v>
          </cell>
          <cell r="I23">
            <v>4</v>
          </cell>
          <cell r="J23">
            <v>4</v>
          </cell>
          <cell r="K23">
            <v>2</v>
          </cell>
          <cell r="L23">
            <v>4</v>
          </cell>
          <cell r="M23">
            <v>4</v>
          </cell>
          <cell r="N23">
            <v>4</v>
          </cell>
          <cell r="O23">
            <v>3</v>
          </cell>
          <cell r="P23">
            <v>3</v>
          </cell>
          <cell r="Q23">
            <v>2</v>
          </cell>
          <cell r="R23">
            <v>2</v>
          </cell>
          <cell r="S23">
            <v>2</v>
          </cell>
          <cell r="T23">
            <v>2</v>
          </cell>
          <cell r="V23">
            <v>2</v>
          </cell>
          <cell r="W23">
            <v>8</v>
          </cell>
          <cell r="AO23">
            <v>55</v>
          </cell>
          <cell r="AQ23">
            <v>20</v>
          </cell>
        </row>
        <row r="24">
          <cell r="A24" t="str">
            <v>A-21</v>
          </cell>
          <cell r="B24" t="str">
            <v>본딩 크램프 설치</v>
          </cell>
          <cell r="C24" t="str">
            <v xml:space="preserve">36C                    </v>
          </cell>
          <cell r="D24" t="str">
            <v>개소</v>
          </cell>
          <cell r="E24">
            <v>4</v>
          </cell>
          <cell r="F24">
            <v>3</v>
          </cell>
          <cell r="G24">
            <v>1</v>
          </cell>
          <cell r="H24">
            <v>1</v>
          </cell>
          <cell r="I24">
            <v>4</v>
          </cell>
          <cell r="J24">
            <v>2</v>
          </cell>
          <cell r="K24">
            <v>2</v>
          </cell>
          <cell r="O24">
            <v>1</v>
          </cell>
          <cell r="P24">
            <v>1</v>
          </cell>
          <cell r="AO24">
            <v>19</v>
          </cell>
          <cell r="AQ24">
            <v>21</v>
          </cell>
        </row>
        <row r="25">
          <cell r="A25" t="str">
            <v>A-22</v>
          </cell>
          <cell r="B25" t="str">
            <v>본딩 크램프 설치</v>
          </cell>
          <cell r="C25" t="str">
            <v xml:space="preserve">42C                    </v>
          </cell>
          <cell r="D25" t="str">
            <v>개소</v>
          </cell>
          <cell r="F25">
            <v>3</v>
          </cell>
          <cell r="G25">
            <v>5</v>
          </cell>
          <cell r="H25">
            <v>4</v>
          </cell>
          <cell r="I25">
            <v>2</v>
          </cell>
          <cell r="J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  <cell r="P25">
            <v>2</v>
          </cell>
          <cell r="Q25">
            <v>2</v>
          </cell>
          <cell r="R25">
            <v>3</v>
          </cell>
          <cell r="S25">
            <v>2</v>
          </cell>
          <cell r="T25">
            <v>2</v>
          </cell>
          <cell r="AO25">
            <v>35</v>
          </cell>
          <cell r="AQ25">
            <v>22</v>
          </cell>
        </row>
        <row r="26">
          <cell r="A26" t="str">
            <v>A-23</v>
          </cell>
          <cell r="B26" t="str">
            <v>본딩 크램프 설치</v>
          </cell>
          <cell r="C26" t="str">
            <v xml:space="preserve">54C                    </v>
          </cell>
          <cell r="D26" t="str">
            <v>개소</v>
          </cell>
          <cell r="F26">
            <v>6</v>
          </cell>
          <cell r="G26">
            <v>9</v>
          </cell>
          <cell r="H26">
            <v>9</v>
          </cell>
          <cell r="I26">
            <v>4</v>
          </cell>
          <cell r="J26">
            <v>5</v>
          </cell>
          <cell r="L26">
            <v>6</v>
          </cell>
          <cell r="M26">
            <v>6</v>
          </cell>
          <cell r="N26">
            <v>6</v>
          </cell>
          <cell r="O26">
            <v>9</v>
          </cell>
          <cell r="P26">
            <v>6</v>
          </cell>
          <cell r="Q26">
            <v>4</v>
          </cell>
          <cell r="R26">
            <v>3</v>
          </cell>
          <cell r="AO26">
            <v>73</v>
          </cell>
          <cell r="AQ26">
            <v>23</v>
          </cell>
        </row>
        <row r="27">
          <cell r="A27" t="str">
            <v>A-24</v>
          </cell>
          <cell r="B27" t="str">
            <v>DUCT 신설</v>
          </cell>
          <cell r="C27" t="str">
            <v>100W×50H</v>
          </cell>
          <cell r="D27" t="str">
            <v>m</v>
          </cell>
          <cell r="K27">
            <v>3</v>
          </cell>
          <cell r="AO27">
            <v>3</v>
          </cell>
          <cell r="AQ27">
            <v>24</v>
          </cell>
        </row>
        <row r="28">
          <cell r="A28" t="str">
            <v>A-25</v>
          </cell>
          <cell r="B28" t="str">
            <v>DUCT 신설</v>
          </cell>
          <cell r="C28" t="str">
            <v>200W×100H</v>
          </cell>
          <cell r="D28" t="str">
            <v>m</v>
          </cell>
          <cell r="F28">
            <v>3</v>
          </cell>
          <cell r="G28">
            <v>3</v>
          </cell>
          <cell r="H28">
            <v>9</v>
          </cell>
          <cell r="J28">
            <v>6</v>
          </cell>
          <cell r="AO28">
            <v>21</v>
          </cell>
          <cell r="AQ28">
            <v>25</v>
          </cell>
        </row>
        <row r="29">
          <cell r="A29" t="str">
            <v>A-26</v>
          </cell>
          <cell r="B29" t="str">
            <v>DUCT 신설</v>
          </cell>
          <cell r="C29" t="str">
            <v>300W×200H</v>
          </cell>
          <cell r="D29" t="str">
            <v>m</v>
          </cell>
          <cell r="E29">
            <v>3</v>
          </cell>
          <cell r="I29">
            <v>3</v>
          </cell>
          <cell r="AO29">
            <v>6</v>
          </cell>
          <cell r="AQ29">
            <v>26</v>
          </cell>
        </row>
        <row r="30">
          <cell r="A30" t="str">
            <v>A-27</v>
          </cell>
          <cell r="B30" t="str">
            <v>CABLE TRAY 신설</v>
          </cell>
          <cell r="C30" t="str">
            <v>200W×100H</v>
          </cell>
          <cell r="D30" t="str">
            <v>m</v>
          </cell>
          <cell r="F30">
            <v>8</v>
          </cell>
          <cell r="G30">
            <v>8</v>
          </cell>
          <cell r="AO30">
            <v>16</v>
          </cell>
          <cell r="AQ30">
            <v>27</v>
          </cell>
        </row>
        <row r="31">
          <cell r="A31" t="str">
            <v>A-28</v>
          </cell>
          <cell r="B31" t="str">
            <v>CABLE TRAY 신설</v>
          </cell>
          <cell r="C31" t="str">
            <v>300W×100H</v>
          </cell>
          <cell r="D31" t="str">
            <v>m</v>
          </cell>
          <cell r="E31">
            <v>19</v>
          </cell>
          <cell r="AO31">
            <v>19</v>
          </cell>
          <cell r="AQ31">
            <v>28</v>
          </cell>
        </row>
        <row r="32">
          <cell r="A32" t="str">
            <v>A-29</v>
          </cell>
          <cell r="B32" t="str">
            <v>케이블 신설</v>
          </cell>
          <cell r="C32" t="str">
            <v>CV 3.5˚/2C</v>
          </cell>
          <cell r="D32" t="str">
            <v>m</v>
          </cell>
          <cell r="E32">
            <v>19.399999999999999</v>
          </cell>
          <cell r="F32">
            <v>33.799999999999997</v>
          </cell>
          <cell r="G32">
            <v>24</v>
          </cell>
          <cell r="H32">
            <v>13</v>
          </cell>
          <cell r="I32">
            <v>26.8</v>
          </cell>
          <cell r="J32">
            <v>91.6</v>
          </cell>
          <cell r="K32">
            <v>10.3</v>
          </cell>
          <cell r="L32">
            <v>121</v>
          </cell>
          <cell r="M32">
            <v>32.200000000000003</v>
          </cell>
          <cell r="N32">
            <v>37.200000000000003</v>
          </cell>
          <cell r="O32">
            <v>15.6</v>
          </cell>
          <cell r="P32">
            <v>21</v>
          </cell>
          <cell r="Q32">
            <v>20.6</v>
          </cell>
          <cell r="R32">
            <v>22.6</v>
          </cell>
          <cell r="T32">
            <v>22.4</v>
          </cell>
          <cell r="U32">
            <v>74.5</v>
          </cell>
          <cell r="V32">
            <v>87.2</v>
          </cell>
          <cell r="W32">
            <v>116</v>
          </cell>
          <cell r="X32">
            <v>4</v>
          </cell>
          <cell r="Y32">
            <v>38.5</v>
          </cell>
          <cell r="Z32">
            <v>8.6</v>
          </cell>
          <cell r="AE32">
            <v>144</v>
          </cell>
          <cell r="AF32">
            <v>29</v>
          </cell>
          <cell r="AG32">
            <v>29</v>
          </cell>
          <cell r="AH32">
            <v>6</v>
          </cell>
          <cell r="AI32">
            <v>2.9</v>
          </cell>
          <cell r="AJ32">
            <v>32</v>
          </cell>
          <cell r="AK32">
            <v>2.9</v>
          </cell>
          <cell r="AL32">
            <v>32</v>
          </cell>
          <cell r="AO32">
            <v>1118.1000000000004</v>
          </cell>
          <cell r="AQ32">
            <v>29</v>
          </cell>
        </row>
        <row r="33">
          <cell r="A33" t="str">
            <v>A-30</v>
          </cell>
          <cell r="B33" t="str">
            <v>케이블 신설</v>
          </cell>
          <cell r="C33" t="str">
            <v>CV 5.5˚/2C</v>
          </cell>
          <cell r="D33" t="str">
            <v>m</v>
          </cell>
          <cell r="J33">
            <v>28.9</v>
          </cell>
          <cell r="L33">
            <v>11</v>
          </cell>
          <cell r="M33">
            <v>4.5999999999999996</v>
          </cell>
          <cell r="W33">
            <v>23.2</v>
          </cell>
          <cell r="AO33">
            <v>67.7</v>
          </cell>
          <cell r="AQ33">
            <v>30</v>
          </cell>
        </row>
        <row r="34">
          <cell r="A34" t="str">
            <v>A-31</v>
          </cell>
          <cell r="B34" t="str">
            <v>케이블 신설</v>
          </cell>
          <cell r="C34" t="str">
            <v>CV 14˚/2C</v>
          </cell>
          <cell r="D34" t="str">
            <v>m</v>
          </cell>
          <cell r="AO34">
            <v>0</v>
          </cell>
          <cell r="AQ34">
            <v>31</v>
          </cell>
        </row>
        <row r="35">
          <cell r="A35" t="str">
            <v>A-32</v>
          </cell>
          <cell r="B35" t="str">
            <v>케이블 신설</v>
          </cell>
          <cell r="C35" t="str">
            <v>CV 3.5˚/3C</v>
          </cell>
          <cell r="D35" t="str">
            <v>m</v>
          </cell>
          <cell r="G35">
            <v>6</v>
          </cell>
          <cell r="I35">
            <v>6.7</v>
          </cell>
          <cell r="L35">
            <v>11</v>
          </cell>
          <cell r="M35">
            <v>4.5999999999999996</v>
          </cell>
          <cell r="AO35">
            <v>28.299999999999997</v>
          </cell>
          <cell r="AQ35">
            <v>32</v>
          </cell>
        </row>
        <row r="36">
          <cell r="A36" t="str">
            <v>A-33</v>
          </cell>
          <cell r="B36" t="str">
            <v>케이블 신설</v>
          </cell>
          <cell r="C36" t="str">
            <v>CV 5.5˚/3C</v>
          </cell>
          <cell r="D36" t="str">
            <v>m</v>
          </cell>
          <cell r="G36">
            <v>6</v>
          </cell>
          <cell r="I36">
            <v>6.7</v>
          </cell>
          <cell r="L36">
            <v>11</v>
          </cell>
          <cell r="M36">
            <v>4.5999999999999996</v>
          </cell>
          <cell r="AO36">
            <v>28.299999999999997</v>
          </cell>
          <cell r="AQ36">
            <v>33</v>
          </cell>
        </row>
        <row r="37">
          <cell r="A37" t="str">
            <v>A-34</v>
          </cell>
          <cell r="B37" t="str">
            <v>케이블 신설</v>
          </cell>
          <cell r="C37" t="str">
            <v>CV 8˚/3C</v>
          </cell>
          <cell r="D37" t="str">
            <v>m</v>
          </cell>
          <cell r="AO37">
            <v>0</v>
          </cell>
          <cell r="AQ37">
            <v>34</v>
          </cell>
        </row>
        <row r="38">
          <cell r="A38" t="str">
            <v>A-35</v>
          </cell>
          <cell r="B38" t="str">
            <v>케이블 신설</v>
          </cell>
          <cell r="C38" t="str">
            <v>CV 14˚/3C</v>
          </cell>
          <cell r="D38" t="str">
            <v>m</v>
          </cell>
          <cell r="G38">
            <v>6</v>
          </cell>
          <cell r="I38">
            <v>6.7</v>
          </cell>
          <cell r="L38">
            <v>11</v>
          </cell>
          <cell r="N38">
            <v>9.3000000000000007</v>
          </cell>
          <cell r="O38">
            <v>2.6</v>
          </cell>
          <cell r="R38">
            <v>22.6</v>
          </cell>
          <cell r="T38">
            <v>22.4</v>
          </cell>
          <cell r="V38">
            <v>10.9</v>
          </cell>
          <cell r="AO38">
            <v>91.5</v>
          </cell>
          <cell r="AQ38">
            <v>35</v>
          </cell>
        </row>
        <row r="39">
          <cell r="A39" t="str">
            <v>A-36</v>
          </cell>
          <cell r="B39" t="str">
            <v>케이블 신설</v>
          </cell>
          <cell r="C39" t="str">
            <v>CV 22˚/3C</v>
          </cell>
          <cell r="D39" t="str">
            <v>m</v>
          </cell>
          <cell r="G39">
            <v>6</v>
          </cell>
          <cell r="I39">
            <v>6.7</v>
          </cell>
          <cell r="L39">
            <v>11</v>
          </cell>
          <cell r="N39">
            <v>9.3000000000000007</v>
          </cell>
          <cell r="O39">
            <v>2.6</v>
          </cell>
          <cell r="R39">
            <v>22.6</v>
          </cell>
          <cell r="T39">
            <v>22.4</v>
          </cell>
          <cell r="V39">
            <v>10.9</v>
          </cell>
          <cell r="AO39">
            <v>91.5</v>
          </cell>
          <cell r="AQ39">
            <v>36</v>
          </cell>
        </row>
        <row r="40">
          <cell r="A40" t="str">
            <v>A-37</v>
          </cell>
          <cell r="B40" t="str">
            <v>케이블 신설</v>
          </cell>
          <cell r="C40" t="str">
            <v>IV 3.5˚</v>
          </cell>
          <cell r="D40" t="str">
            <v>m</v>
          </cell>
          <cell r="E40">
            <v>12.7</v>
          </cell>
          <cell r="F40">
            <v>16.899999999999999</v>
          </cell>
          <cell r="G40">
            <v>30</v>
          </cell>
          <cell r="I40">
            <v>33.5</v>
          </cell>
          <cell r="J40">
            <v>49.8</v>
          </cell>
          <cell r="L40">
            <v>88</v>
          </cell>
          <cell r="M40">
            <v>18.399999999999999</v>
          </cell>
          <cell r="N40">
            <v>37.200000000000003</v>
          </cell>
          <cell r="O40">
            <v>10.4</v>
          </cell>
          <cell r="P40">
            <v>12</v>
          </cell>
          <cell r="U40">
            <v>29.8</v>
          </cell>
          <cell r="V40">
            <v>21.8</v>
          </cell>
          <cell r="W40">
            <v>46.4</v>
          </cell>
          <cell r="Y40">
            <v>26.5</v>
          </cell>
          <cell r="AE40">
            <v>128</v>
          </cell>
          <cell r="AF40">
            <v>26.5</v>
          </cell>
          <cell r="AG40">
            <v>26.5</v>
          </cell>
          <cell r="AO40">
            <v>614.4</v>
          </cell>
          <cell r="AQ40">
            <v>37</v>
          </cell>
        </row>
        <row r="41">
          <cell r="A41" t="str">
            <v>A-38</v>
          </cell>
          <cell r="B41" t="str">
            <v>케이블 신설</v>
          </cell>
          <cell r="C41" t="str">
            <v>IV 8˚</v>
          </cell>
          <cell r="D41" t="str">
            <v>m</v>
          </cell>
          <cell r="R41">
            <v>22.6</v>
          </cell>
          <cell r="T41">
            <v>22.4</v>
          </cell>
          <cell r="AO41">
            <v>45</v>
          </cell>
          <cell r="AQ41">
            <v>38</v>
          </cell>
        </row>
        <row r="42">
          <cell r="A42" t="str">
            <v>A-39</v>
          </cell>
          <cell r="B42" t="str">
            <v>케이블 신설</v>
          </cell>
          <cell r="C42" t="str">
            <v>IV 14˚</v>
          </cell>
          <cell r="D42" t="str">
            <v>m</v>
          </cell>
          <cell r="G42">
            <v>6</v>
          </cell>
          <cell r="I42">
            <v>6.7</v>
          </cell>
          <cell r="L42">
            <v>11</v>
          </cell>
          <cell r="N42">
            <v>9.3000000000000007</v>
          </cell>
          <cell r="O42">
            <v>2.6</v>
          </cell>
          <cell r="V42">
            <v>10.9</v>
          </cell>
          <cell r="AO42">
            <v>46.5</v>
          </cell>
          <cell r="AQ42">
            <v>39</v>
          </cell>
        </row>
        <row r="43">
          <cell r="A43" t="str">
            <v>A-40</v>
          </cell>
          <cell r="B43" t="str">
            <v>케이블 신설</v>
          </cell>
          <cell r="C43" t="str">
            <v>CVV-SB 1.25˚/4C</v>
          </cell>
          <cell r="D43" t="str">
            <v>m</v>
          </cell>
          <cell r="P43">
            <v>24</v>
          </cell>
          <cell r="R43">
            <v>135.6</v>
          </cell>
          <cell r="T43">
            <v>134.4</v>
          </cell>
          <cell r="V43">
            <v>59.4</v>
          </cell>
          <cell r="W43">
            <v>46.4</v>
          </cell>
          <cell r="Z43">
            <v>17.2</v>
          </cell>
          <cell r="AA43">
            <v>35.200000000000003</v>
          </cell>
          <cell r="AB43">
            <v>36</v>
          </cell>
          <cell r="AD43">
            <v>80</v>
          </cell>
          <cell r="AE43">
            <v>128</v>
          </cell>
          <cell r="AF43">
            <v>34</v>
          </cell>
          <cell r="AG43">
            <v>34</v>
          </cell>
          <cell r="AO43">
            <v>764.19999999999993</v>
          </cell>
          <cell r="AQ43">
            <v>40</v>
          </cell>
        </row>
        <row r="44">
          <cell r="A44" t="str">
            <v>A-41</v>
          </cell>
          <cell r="B44" t="str">
            <v>케이블 신설</v>
          </cell>
          <cell r="C44" t="str">
            <v>CVV-SB 1.25˚/5C</v>
          </cell>
          <cell r="D44" t="str">
            <v>m</v>
          </cell>
          <cell r="J44">
            <v>49.8</v>
          </cell>
          <cell r="L44">
            <v>22</v>
          </cell>
          <cell r="N44">
            <v>18.600000000000001</v>
          </cell>
          <cell r="O44">
            <v>5.2</v>
          </cell>
          <cell r="P44">
            <v>21</v>
          </cell>
          <cell r="R44">
            <v>113</v>
          </cell>
          <cell r="T44">
            <v>112</v>
          </cell>
          <cell r="U44">
            <v>29.8</v>
          </cell>
          <cell r="V44">
            <v>26.7</v>
          </cell>
          <cell r="W44">
            <v>46.4</v>
          </cell>
          <cell r="Y44">
            <v>47.4</v>
          </cell>
          <cell r="AD44">
            <v>20</v>
          </cell>
          <cell r="AE44">
            <v>160</v>
          </cell>
          <cell r="AF44">
            <v>19</v>
          </cell>
          <cell r="AG44">
            <v>19</v>
          </cell>
          <cell r="AO44">
            <v>709.9</v>
          </cell>
          <cell r="AQ44">
            <v>41</v>
          </cell>
        </row>
        <row r="45">
          <cell r="A45" t="str">
            <v>A-42</v>
          </cell>
          <cell r="B45" t="str">
            <v>케이블 신설</v>
          </cell>
          <cell r="C45" t="str">
            <v>CVV-SB 1.25˚/7C</v>
          </cell>
          <cell r="D45" t="str">
            <v>m</v>
          </cell>
          <cell r="E45">
            <v>21.7</v>
          </cell>
          <cell r="F45">
            <v>16.899999999999999</v>
          </cell>
          <cell r="I45">
            <v>6.7</v>
          </cell>
          <cell r="L45">
            <v>11</v>
          </cell>
          <cell r="N45">
            <v>9.3000000000000007</v>
          </cell>
          <cell r="O45">
            <v>2.6</v>
          </cell>
          <cell r="P45">
            <v>6</v>
          </cell>
          <cell r="R45">
            <v>22.6</v>
          </cell>
          <cell r="T45">
            <v>22.4</v>
          </cell>
          <cell r="U45">
            <v>14.9</v>
          </cell>
          <cell r="AE45">
            <v>32</v>
          </cell>
          <cell r="AO45">
            <v>166.1</v>
          </cell>
          <cell r="AQ45">
            <v>42</v>
          </cell>
        </row>
        <row r="46">
          <cell r="A46" t="str">
            <v>A-43</v>
          </cell>
          <cell r="B46" t="str">
            <v>케이블 신설</v>
          </cell>
          <cell r="C46" t="str">
            <v>CVV 2.0˚/4C</v>
          </cell>
          <cell r="D46" t="str">
            <v>m</v>
          </cell>
          <cell r="I46">
            <v>13.4</v>
          </cell>
          <cell r="J46">
            <v>14.1</v>
          </cell>
          <cell r="L46">
            <v>11</v>
          </cell>
          <cell r="M46">
            <v>4.5999999999999996</v>
          </cell>
          <cell r="P46">
            <v>6</v>
          </cell>
          <cell r="R46">
            <v>45.2</v>
          </cell>
          <cell r="T46">
            <v>44.8</v>
          </cell>
          <cell r="U46">
            <v>14.9</v>
          </cell>
          <cell r="V46">
            <v>32.700000000000003</v>
          </cell>
          <cell r="W46">
            <v>23.2</v>
          </cell>
          <cell r="Y46">
            <v>16.5</v>
          </cell>
          <cell r="AD46">
            <v>40</v>
          </cell>
          <cell r="AE46">
            <v>64</v>
          </cell>
          <cell r="AF46">
            <v>13</v>
          </cell>
          <cell r="AG46">
            <v>26</v>
          </cell>
          <cell r="AO46">
            <v>369.40000000000003</v>
          </cell>
          <cell r="AQ46">
            <v>43</v>
          </cell>
        </row>
        <row r="47">
          <cell r="A47" t="str">
            <v>A-44</v>
          </cell>
          <cell r="B47" t="str">
            <v>케이블 신설</v>
          </cell>
          <cell r="C47" t="str">
            <v>SH 5P/.65</v>
          </cell>
          <cell r="D47" t="str">
            <v>m</v>
          </cell>
          <cell r="E47">
            <v>12.7</v>
          </cell>
          <cell r="F47">
            <v>16.899999999999999</v>
          </cell>
          <cell r="I47">
            <v>6.7</v>
          </cell>
          <cell r="J47">
            <v>14.1</v>
          </cell>
          <cell r="L47">
            <v>22</v>
          </cell>
          <cell r="M47">
            <v>9.1999999999999993</v>
          </cell>
          <cell r="P47">
            <v>3</v>
          </cell>
          <cell r="R47">
            <v>22.6</v>
          </cell>
          <cell r="T47">
            <v>22.4</v>
          </cell>
          <cell r="U47">
            <v>14.9</v>
          </cell>
          <cell r="V47">
            <v>29.7</v>
          </cell>
          <cell r="W47">
            <v>46.4</v>
          </cell>
          <cell r="Y47">
            <v>16.5</v>
          </cell>
          <cell r="Z47">
            <v>8.6</v>
          </cell>
          <cell r="AA47">
            <v>17.600000000000001</v>
          </cell>
          <cell r="AC47">
            <v>40.6</v>
          </cell>
          <cell r="AF47">
            <v>55.5</v>
          </cell>
          <cell r="AG47">
            <v>68.5</v>
          </cell>
          <cell r="AO47">
            <v>427.90000000000003</v>
          </cell>
          <cell r="AQ47">
            <v>44</v>
          </cell>
        </row>
        <row r="48">
          <cell r="A48" t="str">
            <v>A-45</v>
          </cell>
          <cell r="B48" t="str">
            <v>케이블 신설</v>
          </cell>
          <cell r="C48" t="str">
            <v>ECX 7C-2V</v>
          </cell>
          <cell r="D48" t="str">
            <v>m</v>
          </cell>
          <cell r="H48">
            <v>13</v>
          </cell>
          <cell r="I48">
            <v>6.7</v>
          </cell>
          <cell r="K48">
            <v>10.3</v>
          </cell>
          <cell r="L48">
            <v>22</v>
          </cell>
          <cell r="M48">
            <v>9.1999999999999993</v>
          </cell>
          <cell r="O48">
            <v>10.4</v>
          </cell>
          <cell r="P48">
            <v>15</v>
          </cell>
          <cell r="Q48">
            <v>41.2</v>
          </cell>
          <cell r="V48">
            <v>21.8</v>
          </cell>
          <cell r="W48">
            <v>46.4</v>
          </cell>
          <cell r="X48">
            <v>4</v>
          </cell>
          <cell r="Z48">
            <v>8.6</v>
          </cell>
          <cell r="AD48">
            <v>20</v>
          </cell>
          <cell r="AE48">
            <v>96</v>
          </cell>
          <cell r="AF48">
            <v>26</v>
          </cell>
          <cell r="AG48">
            <v>39</v>
          </cell>
          <cell r="AH48">
            <v>15</v>
          </cell>
          <cell r="AI48">
            <v>5.8</v>
          </cell>
          <cell r="AJ48">
            <v>32</v>
          </cell>
          <cell r="AK48">
            <v>5.8</v>
          </cell>
          <cell r="AL48">
            <v>32</v>
          </cell>
          <cell r="AO48">
            <v>480.20000000000005</v>
          </cell>
          <cell r="AQ48">
            <v>45</v>
          </cell>
        </row>
        <row r="49">
          <cell r="A49" t="str">
            <v>A-46</v>
          </cell>
          <cell r="B49" t="str">
            <v>케이블 신설</v>
          </cell>
          <cell r="C49" t="str">
            <v>GV 22˚</v>
          </cell>
          <cell r="D49" t="str">
            <v>m</v>
          </cell>
          <cell r="G49">
            <v>6</v>
          </cell>
          <cell r="I49">
            <v>6.7</v>
          </cell>
          <cell r="L49">
            <v>11</v>
          </cell>
          <cell r="N49">
            <v>9.3000000000000007</v>
          </cell>
          <cell r="O49">
            <v>2.6</v>
          </cell>
          <cell r="R49">
            <v>22.6</v>
          </cell>
          <cell r="S49">
            <v>270</v>
          </cell>
          <cell r="AO49">
            <v>328.2</v>
          </cell>
          <cell r="AQ49">
            <v>46</v>
          </cell>
        </row>
        <row r="50">
          <cell r="A50" t="str">
            <v>A-47</v>
          </cell>
          <cell r="B50" t="str">
            <v>바닥 깨기</v>
          </cell>
          <cell r="C50" t="str">
            <v>(신설+철거)</v>
          </cell>
          <cell r="D50" t="str">
            <v>㎥</v>
          </cell>
          <cell r="E50">
            <v>1.1200000000000001</v>
          </cell>
          <cell r="F50">
            <v>0.96</v>
          </cell>
          <cell r="G50">
            <v>0.88</v>
          </cell>
          <cell r="AO50">
            <v>2.96</v>
          </cell>
          <cell r="AQ50">
            <v>47</v>
          </cell>
        </row>
        <row r="51">
          <cell r="A51" t="str">
            <v>A-48</v>
          </cell>
          <cell r="B51" t="str">
            <v>노즐박스 신설</v>
          </cell>
          <cell r="C51" t="str">
            <v>400×200×100</v>
          </cell>
          <cell r="D51" t="str">
            <v>개</v>
          </cell>
          <cell r="E51">
            <v>22</v>
          </cell>
          <cell r="AO51">
            <v>22</v>
          </cell>
          <cell r="AQ51">
            <v>48</v>
          </cell>
        </row>
        <row r="52">
          <cell r="A52" t="str">
            <v>A-49</v>
          </cell>
          <cell r="B52" t="str">
            <v>화강석 깔기</v>
          </cell>
          <cell r="C52" t="str">
            <v>연마 24t</v>
          </cell>
          <cell r="D52" t="str">
            <v>㎡</v>
          </cell>
          <cell r="E52">
            <v>4.4800000000000004</v>
          </cell>
          <cell r="F52">
            <v>4.16</v>
          </cell>
          <cell r="G52">
            <v>3.36</v>
          </cell>
          <cell r="AO52">
            <v>12</v>
          </cell>
          <cell r="AQ52">
            <v>49</v>
          </cell>
        </row>
        <row r="53">
          <cell r="A53" t="str">
            <v>A-50</v>
          </cell>
          <cell r="B53" t="str">
            <v>자동 발매기</v>
          </cell>
          <cell r="C53" t="str">
            <v>장비이설</v>
          </cell>
          <cell r="D53" t="str">
            <v>대</v>
          </cell>
          <cell r="E53">
            <v>4</v>
          </cell>
          <cell r="AO53">
            <v>4</v>
          </cell>
          <cell r="AQ53">
            <v>50</v>
          </cell>
        </row>
        <row r="54">
          <cell r="A54" t="str">
            <v>A-51</v>
          </cell>
          <cell r="B54" t="str">
            <v>자동 발권기</v>
          </cell>
          <cell r="C54" t="str">
            <v>장비이설</v>
          </cell>
          <cell r="D54" t="str">
            <v>대</v>
          </cell>
          <cell r="E54">
            <v>5</v>
          </cell>
          <cell r="AO54">
            <v>5</v>
          </cell>
          <cell r="AQ54">
            <v>51</v>
          </cell>
        </row>
        <row r="55">
          <cell r="A55" t="str">
            <v>A-52</v>
          </cell>
          <cell r="B55" t="str">
            <v>보통권 발매기</v>
          </cell>
          <cell r="C55" t="str">
            <v>장비이설</v>
          </cell>
          <cell r="D55" t="str">
            <v>대</v>
          </cell>
          <cell r="E55">
            <v>4</v>
          </cell>
          <cell r="AO55">
            <v>4</v>
          </cell>
          <cell r="AQ55">
            <v>52</v>
          </cell>
        </row>
        <row r="56">
          <cell r="A56" t="str">
            <v>A-53</v>
          </cell>
          <cell r="B56" t="str">
            <v>역단위 전산기 (SACU)</v>
          </cell>
          <cell r="C56" t="str">
            <v>장비이설</v>
          </cell>
          <cell r="D56" t="str">
            <v>대</v>
          </cell>
          <cell r="E56">
            <v>1</v>
          </cell>
          <cell r="AO56">
            <v>1</v>
          </cell>
          <cell r="AQ56">
            <v>53</v>
          </cell>
        </row>
        <row r="57">
          <cell r="A57" t="str">
            <v>A-54</v>
          </cell>
          <cell r="B57" t="str">
            <v>자동개집표기</v>
          </cell>
          <cell r="C57" t="str">
            <v>장비이설</v>
          </cell>
          <cell r="D57" t="str">
            <v>대</v>
          </cell>
          <cell r="E57">
            <v>19</v>
          </cell>
          <cell r="AO57">
            <v>19</v>
          </cell>
          <cell r="AQ57">
            <v>54</v>
          </cell>
        </row>
        <row r="58">
          <cell r="A58" t="str">
            <v>A-55</v>
          </cell>
          <cell r="B58" t="str">
            <v>비상GATE 신설</v>
          </cell>
          <cell r="C58">
            <v>0</v>
          </cell>
          <cell r="D58" t="str">
            <v>대</v>
          </cell>
          <cell r="E58">
            <v>3</v>
          </cell>
          <cell r="AO58">
            <v>3</v>
          </cell>
          <cell r="AQ58">
            <v>55</v>
          </cell>
        </row>
        <row r="59">
          <cell r="A59" t="str">
            <v>A-56</v>
          </cell>
          <cell r="B59" t="str">
            <v>분전반 신설(AFC UPS실)</v>
          </cell>
          <cell r="C59" t="str">
            <v>을지로3가(3) 700×800×200</v>
          </cell>
          <cell r="D59" t="str">
            <v>면</v>
          </cell>
          <cell r="E59">
            <v>1</v>
          </cell>
          <cell r="AO59">
            <v>1</v>
          </cell>
          <cell r="AQ59">
            <v>56</v>
          </cell>
        </row>
        <row r="60">
          <cell r="A60" t="str">
            <v>A-57</v>
          </cell>
          <cell r="B60" t="str">
            <v>분전반 신설(AFC UPS실)</v>
          </cell>
          <cell r="C60" t="str">
            <v>을지로3가(3) 700×500×200</v>
          </cell>
          <cell r="D60" t="str">
            <v>면</v>
          </cell>
          <cell r="E60">
            <v>1</v>
          </cell>
          <cell r="AO60">
            <v>1</v>
          </cell>
          <cell r="AQ60">
            <v>57</v>
          </cell>
        </row>
        <row r="61">
          <cell r="A61" t="str">
            <v>A-58</v>
          </cell>
          <cell r="B61" t="str">
            <v>분전반 신설("가"매표소)</v>
          </cell>
          <cell r="C61" t="str">
            <v>을지로3가(3) 600×800×150</v>
          </cell>
          <cell r="D61" t="str">
            <v>면</v>
          </cell>
          <cell r="E61">
            <v>1</v>
          </cell>
          <cell r="AO61">
            <v>1</v>
          </cell>
          <cell r="AQ61">
            <v>58</v>
          </cell>
        </row>
        <row r="62">
          <cell r="A62" t="str">
            <v>A-59</v>
          </cell>
          <cell r="B62" t="str">
            <v>분전반 신설("가"매표소)</v>
          </cell>
          <cell r="C62" t="str">
            <v>을지로3가(3) 500×500×150</v>
          </cell>
          <cell r="D62" t="str">
            <v>면</v>
          </cell>
          <cell r="E62">
            <v>1</v>
          </cell>
          <cell r="AO62">
            <v>1</v>
          </cell>
          <cell r="AQ62">
            <v>59</v>
          </cell>
        </row>
        <row r="63">
          <cell r="A63" t="str">
            <v>A-60</v>
          </cell>
          <cell r="B63" t="str">
            <v>분전반 신설("나"매표소)</v>
          </cell>
          <cell r="C63" t="str">
            <v>을지로3가(3) 600×800×150</v>
          </cell>
          <cell r="D63" t="str">
            <v>면</v>
          </cell>
          <cell r="E63">
            <v>1</v>
          </cell>
          <cell r="AO63">
            <v>1</v>
          </cell>
          <cell r="AQ63">
            <v>60</v>
          </cell>
        </row>
        <row r="64">
          <cell r="A64" t="str">
            <v>A-61</v>
          </cell>
          <cell r="B64" t="str">
            <v>분전반 신설("나"매표소)</v>
          </cell>
          <cell r="C64" t="str">
            <v>을지로3가(3) 500×500×150</v>
          </cell>
          <cell r="D64" t="str">
            <v>면</v>
          </cell>
          <cell r="E64">
            <v>1</v>
          </cell>
          <cell r="AO64">
            <v>1</v>
          </cell>
          <cell r="AQ64">
            <v>61</v>
          </cell>
        </row>
        <row r="65">
          <cell r="A65" t="str">
            <v>A-72</v>
          </cell>
          <cell r="B65" t="str">
            <v>바닥구멍 뚫기</v>
          </cell>
          <cell r="C65" t="str">
            <v>천공</v>
          </cell>
          <cell r="D65" t="str">
            <v>개소</v>
          </cell>
          <cell r="E65">
            <v>3</v>
          </cell>
          <cell r="AO65">
            <v>3</v>
          </cell>
          <cell r="AQ65">
            <v>72</v>
          </cell>
        </row>
        <row r="66">
          <cell r="A66" t="str">
            <v>A-73</v>
          </cell>
          <cell r="B66" t="str">
            <v>접지 공사</v>
          </cell>
          <cell r="C66" t="str">
            <v>5Ω 이하</v>
          </cell>
          <cell r="D66" t="str">
            <v>개소</v>
          </cell>
          <cell r="E66">
            <v>1</v>
          </cell>
          <cell r="AO66">
            <v>1</v>
          </cell>
          <cell r="AQ66">
            <v>73</v>
          </cell>
        </row>
        <row r="75">
          <cell r="AO75">
            <v>0</v>
          </cell>
          <cell r="AQ75">
            <v>0</v>
          </cell>
        </row>
        <row r="78">
          <cell r="AO78">
            <v>7596.1599999999989</v>
          </cell>
        </row>
        <row r="79">
          <cell r="AO79">
            <v>14606.159999999998</v>
          </cell>
        </row>
      </sheetData>
      <sheetData sheetId="2">
        <row r="1">
          <cell r="E1" t="str">
            <v>1-</v>
          </cell>
          <cell r="F1" t="str">
            <v>2-</v>
          </cell>
          <cell r="G1" t="str">
            <v>3-</v>
          </cell>
          <cell r="H1" t="str">
            <v>4-</v>
          </cell>
          <cell r="I1" t="str">
            <v>5-</v>
          </cell>
          <cell r="J1" t="str">
            <v>6-</v>
          </cell>
          <cell r="K1" t="str">
            <v>7-</v>
          </cell>
          <cell r="L1" t="str">
            <v>8-</v>
          </cell>
          <cell r="M1" t="str">
            <v>9-</v>
          </cell>
          <cell r="N1" t="str">
            <v>10-</v>
          </cell>
          <cell r="O1" t="str">
            <v>11-</v>
          </cell>
          <cell r="P1" t="str">
            <v>12-</v>
          </cell>
          <cell r="Q1" t="str">
            <v>13-</v>
          </cell>
          <cell r="R1" t="str">
            <v>14-</v>
          </cell>
          <cell r="S1" t="str">
            <v>15-</v>
          </cell>
          <cell r="T1" t="str">
            <v>16-</v>
          </cell>
          <cell r="U1" t="str">
            <v>17-</v>
          </cell>
          <cell r="V1" t="str">
            <v>18-</v>
          </cell>
          <cell r="W1" t="str">
            <v>19-</v>
          </cell>
          <cell r="X1" t="str">
            <v>20-</v>
          </cell>
          <cell r="Y1" t="str">
            <v>21-</v>
          </cell>
          <cell r="Z1" t="str">
            <v>22-</v>
          </cell>
          <cell r="AA1" t="str">
            <v>23-</v>
          </cell>
          <cell r="AB1" t="str">
            <v>24-</v>
          </cell>
          <cell r="AC1" t="str">
            <v>25-</v>
          </cell>
          <cell r="AD1" t="str">
            <v>26-</v>
          </cell>
          <cell r="AE1" t="str">
            <v>27-</v>
          </cell>
          <cell r="AF1" t="str">
            <v>28-</v>
          </cell>
          <cell r="AG1" t="str">
            <v>29-</v>
          </cell>
          <cell r="AH1" t="str">
            <v>30-</v>
          </cell>
          <cell r="AI1" t="str">
            <v>31-</v>
          </cell>
          <cell r="AJ1" t="str">
            <v>32-</v>
          </cell>
          <cell r="AK1" t="str">
            <v>33-</v>
          </cell>
          <cell r="AL1" t="str">
            <v>34-</v>
          </cell>
          <cell r="AM1" t="str">
            <v>35-</v>
          </cell>
          <cell r="AN1" t="str">
            <v>36-</v>
          </cell>
          <cell r="AQ1" t="str">
            <v>호표</v>
          </cell>
        </row>
        <row r="2">
          <cell r="A2" t="str">
            <v>CODE</v>
          </cell>
          <cell r="B2" t="str">
            <v>공사종류</v>
          </cell>
          <cell r="C2" t="str">
            <v>규     격</v>
          </cell>
          <cell r="D2" t="str">
            <v>단위</v>
          </cell>
          <cell r="E2" t="str">
            <v>SHEET NUMBER</v>
          </cell>
          <cell r="Y2" t="str">
            <v>SHEET NUMBER</v>
          </cell>
          <cell r="AO2" t="str">
            <v>수량합계</v>
          </cell>
          <cell r="AP2" t="str">
            <v>비고</v>
          </cell>
          <cell r="AQ2">
            <v>0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</row>
        <row r="4">
          <cell r="A4" t="str">
            <v>A-74</v>
          </cell>
          <cell r="B4" t="str">
            <v>전선관 철거</v>
          </cell>
          <cell r="C4" t="str">
            <v>아연도 16C</v>
          </cell>
          <cell r="D4" t="str">
            <v>m</v>
          </cell>
          <cell r="E4">
            <v>6.3</v>
          </cell>
          <cell r="F4">
            <v>149</v>
          </cell>
          <cell r="H4">
            <v>10.4</v>
          </cell>
          <cell r="I4">
            <v>25</v>
          </cell>
          <cell r="N4">
            <v>4</v>
          </cell>
          <cell r="Q4">
            <v>19.8</v>
          </cell>
          <cell r="R4">
            <v>9</v>
          </cell>
          <cell r="S4">
            <v>1.6</v>
          </cell>
          <cell r="T4">
            <v>5.5</v>
          </cell>
          <cell r="U4">
            <v>1.6</v>
          </cell>
          <cell r="Y4">
            <v>1.6</v>
          </cell>
          <cell r="Z4">
            <v>5.5</v>
          </cell>
          <cell r="AA4">
            <v>1.6</v>
          </cell>
          <cell r="AO4">
            <v>240.9</v>
          </cell>
          <cell r="AQ4">
            <v>74</v>
          </cell>
        </row>
        <row r="5">
          <cell r="A5" t="str">
            <v>A-75</v>
          </cell>
          <cell r="B5" t="str">
            <v>전선관 철거</v>
          </cell>
          <cell r="C5" t="str">
            <v>아연도 22C</v>
          </cell>
          <cell r="D5" t="str">
            <v>m</v>
          </cell>
          <cell r="H5">
            <v>10.4</v>
          </cell>
          <cell r="L5">
            <v>4.5999999999999996</v>
          </cell>
          <cell r="M5">
            <v>5.6</v>
          </cell>
          <cell r="N5">
            <v>4</v>
          </cell>
          <cell r="O5">
            <v>2.8</v>
          </cell>
          <cell r="Q5">
            <v>19.8</v>
          </cell>
          <cell r="R5">
            <v>9</v>
          </cell>
          <cell r="S5">
            <v>1.6</v>
          </cell>
          <cell r="T5">
            <v>5.5</v>
          </cell>
          <cell r="U5">
            <v>1.6</v>
          </cell>
          <cell r="V5">
            <v>37.799999999999997</v>
          </cell>
          <cell r="X5">
            <v>120</v>
          </cell>
          <cell r="Y5">
            <v>1.6</v>
          </cell>
          <cell r="Z5">
            <v>5.5</v>
          </cell>
          <cell r="AA5">
            <v>1.6</v>
          </cell>
          <cell r="AO5">
            <v>231.39999999999998</v>
          </cell>
          <cell r="AQ5">
            <v>75</v>
          </cell>
        </row>
        <row r="6">
          <cell r="A6" t="str">
            <v>A-76</v>
          </cell>
          <cell r="B6" t="str">
            <v>전선관 철거</v>
          </cell>
          <cell r="C6" t="str">
            <v>아연도 28C</v>
          </cell>
          <cell r="D6" t="str">
            <v>m</v>
          </cell>
          <cell r="G6">
            <v>4</v>
          </cell>
          <cell r="L6">
            <v>4.5999999999999996</v>
          </cell>
          <cell r="M6">
            <v>25.4</v>
          </cell>
          <cell r="O6">
            <v>2.8</v>
          </cell>
          <cell r="P6">
            <v>12.4</v>
          </cell>
          <cell r="W6">
            <v>221.1</v>
          </cell>
          <cell r="X6">
            <v>60</v>
          </cell>
          <cell r="AB6">
            <v>26.4</v>
          </cell>
          <cell r="AO6">
            <v>356.7</v>
          </cell>
          <cell r="AQ6">
            <v>76</v>
          </cell>
        </row>
        <row r="7">
          <cell r="A7" t="str">
            <v>A-77</v>
          </cell>
          <cell r="B7" t="str">
            <v>전선관 철거</v>
          </cell>
          <cell r="C7" t="str">
            <v>아연도 36C</v>
          </cell>
          <cell r="D7" t="str">
            <v>m</v>
          </cell>
          <cell r="G7">
            <v>12</v>
          </cell>
          <cell r="I7">
            <v>50</v>
          </cell>
          <cell r="J7">
            <v>15.8</v>
          </cell>
          <cell r="K7">
            <v>25</v>
          </cell>
          <cell r="N7">
            <v>4</v>
          </cell>
          <cell r="Q7">
            <v>19.8</v>
          </cell>
          <cell r="W7">
            <v>73.7</v>
          </cell>
          <cell r="AO7">
            <v>200.3</v>
          </cell>
          <cell r="AQ7">
            <v>77</v>
          </cell>
        </row>
        <row r="8">
          <cell r="A8" t="str">
            <v>A-78</v>
          </cell>
          <cell r="B8" t="str">
            <v>전선관 철거</v>
          </cell>
          <cell r="C8" t="str">
            <v>아연도 42C</v>
          </cell>
          <cell r="D8" t="str">
            <v>m</v>
          </cell>
          <cell r="Q8">
            <v>19.8</v>
          </cell>
          <cell r="AO8">
            <v>19.8</v>
          </cell>
          <cell r="AQ8">
            <v>78</v>
          </cell>
        </row>
        <row r="9">
          <cell r="A9" t="str">
            <v>A-79</v>
          </cell>
          <cell r="B9" t="str">
            <v>전선관 철거</v>
          </cell>
          <cell r="C9" t="str">
            <v>아연도 54C</v>
          </cell>
          <cell r="D9" t="str">
            <v>m</v>
          </cell>
          <cell r="G9">
            <v>4</v>
          </cell>
          <cell r="I9">
            <v>25</v>
          </cell>
          <cell r="W9">
            <v>73.7</v>
          </cell>
          <cell r="AO9">
            <v>102.7</v>
          </cell>
          <cell r="AQ9">
            <v>79</v>
          </cell>
        </row>
        <row r="10">
          <cell r="A10" t="str">
            <v>A-80</v>
          </cell>
          <cell r="B10" t="str">
            <v>HI PVC 전선관 철거</v>
          </cell>
          <cell r="C10" t="str">
            <v>HI 22mm</v>
          </cell>
          <cell r="D10" t="str">
            <v>m</v>
          </cell>
          <cell r="AO10">
            <v>0</v>
          </cell>
          <cell r="AQ10">
            <v>80</v>
          </cell>
        </row>
        <row r="11">
          <cell r="A11" t="str">
            <v>A-81</v>
          </cell>
          <cell r="B11" t="str">
            <v>HI PVC 전선관 철거</v>
          </cell>
          <cell r="C11" t="str">
            <v>HI 28mm</v>
          </cell>
          <cell r="D11" t="str">
            <v>m</v>
          </cell>
          <cell r="AO11">
            <v>0</v>
          </cell>
          <cell r="AQ11">
            <v>81</v>
          </cell>
        </row>
        <row r="12">
          <cell r="A12" t="str">
            <v>A-82</v>
          </cell>
          <cell r="B12" t="str">
            <v>DUCT 철거</v>
          </cell>
          <cell r="C12" t="str">
            <v>100W×100H</v>
          </cell>
          <cell r="D12" t="str">
            <v>m</v>
          </cell>
          <cell r="AO12">
            <v>0</v>
          </cell>
          <cell r="AQ12">
            <v>82</v>
          </cell>
        </row>
        <row r="13">
          <cell r="A13" t="str">
            <v>A-83</v>
          </cell>
          <cell r="B13" t="str">
            <v>DUCT 철거</v>
          </cell>
          <cell r="C13" t="str">
            <v>200W×100H</v>
          </cell>
          <cell r="D13" t="str">
            <v>m</v>
          </cell>
          <cell r="F13">
            <v>12</v>
          </cell>
          <cell r="AO13">
            <v>12</v>
          </cell>
          <cell r="AQ13">
            <v>83</v>
          </cell>
        </row>
        <row r="14">
          <cell r="A14" t="str">
            <v>A-84</v>
          </cell>
          <cell r="B14" t="str">
            <v>DUCT 철거</v>
          </cell>
          <cell r="C14" t="str">
            <v>250W×200H</v>
          </cell>
          <cell r="D14" t="str">
            <v>m</v>
          </cell>
          <cell r="AO14">
            <v>0</v>
          </cell>
          <cell r="AQ14">
            <v>84</v>
          </cell>
        </row>
        <row r="15">
          <cell r="A15" t="str">
            <v>A-85</v>
          </cell>
          <cell r="B15" t="str">
            <v>DUCT 철거</v>
          </cell>
          <cell r="C15" t="str">
            <v>300W×150H</v>
          </cell>
          <cell r="D15" t="str">
            <v>m</v>
          </cell>
          <cell r="E15">
            <v>3</v>
          </cell>
          <cell r="AO15">
            <v>3</v>
          </cell>
          <cell r="AQ15">
            <v>85</v>
          </cell>
        </row>
        <row r="16">
          <cell r="A16" t="str">
            <v>A-86</v>
          </cell>
          <cell r="B16" t="str">
            <v>케이블 철거</v>
          </cell>
          <cell r="C16" t="str">
            <v>CV 3.5˚/2C</v>
          </cell>
          <cell r="D16" t="str">
            <v>m</v>
          </cell>
          <cell r="J16">
            <v>9.1999999999999993</v>
          </cell>
          <cell r="K16">
            <v>137</v>
          </cell>
          <cell r="L16">
            <v>11.2</v>
          </cell>
          <cell r="M16">
            <v>19.8</v>
          </cell>
          <cell r="N16">
            <v>5.6</v>
          </cell>
          <cell r="O16">
            <v>12.4</v>
          </cell>
          <cell r="P16">
            <v>99</v>
          </cell>
          <cell r="AO16">
            <v>294.2</v>
          </cell>
          <cell r="AQ16">
            <v>86</v>
          </cell>
        </row>
        <row r="17">
          <cell r="A17" t="str">
            <v>A-87</v>
          </cell>
          <cell r="B17" t="str">
            <v>케이블 철거</v>
          </cell>
          <cell r="C17" t="str">
            <v>CV 5.5˚/2C</v>
          </cell>
          <cell r="D17" t="str">
            <v>m</v>
          </cell>
          <cell r="F17">
            <v>10.4</v>
          </cell>
          <cell r="P17">
            <v>19.8</v>
          </cell>
          <cell r="Q17">
            <v>9</v>
          </cell>
          <cell r="R17">
            <v>8.6999999999999993</v>
          </cell>
          <cell r="S17">
            <v>18.899999999999999</v>
          </cell>
          <cell r="T17">
            <v>147.4</v>
          </cell>
          <cell r="U17">
            <v>60</v>
          </cell>
          <cell r="V17">
            <v>8.6999999999999993</v>
          </cell>
          <cell r="AO17">
            <v>282.90000000000003</v>
          </cell>
          <cell r="AQ17">
            <v>87</v>
          </cell>
        </row>
        <row r="18">
          <cell r="A18" t="str">
            <v>A-88</v>
          </cell>
          <cell r="B18" t="str">
            <v>케이블 철거</v>
          </cell>
          <cell r="C18" t="str">
            <v>CV 14˚/2C</v>
          </cell>
          <cell r="D18" t="str">
            <v>m</v>
          </cell>
          <cell r="AO18">
            <v>0</v>
          </cell>
          <cell r="AQ18">
            <v>88</v>
          </cell>
        </row>
        <row r="19">
          <cell r="A19" t="str">
            <v>A-89</v>
          </cell>
          <cell r="B19" t="str">
            <v>케이블 철거</v>
          </cell>
          <cell r="C19" t="str">
            <v>CV 22˚/2C</v>
          </cell>
          <cell r="D19" t="str">
            <v>m</v>
          </cell>
          <cell r="G19">
            <v>50</v>
          </cell>
          <cell r="I19">
            <v>12.5</v>
          </cell>
          <cell r="T19">
            <v>73.7</v>
          </cell>
          <cell r="AO19">
            <v>136.19999999999999</v>
          </cell>
          <cell r="AQ19">
            <v>89</v>
          </cell>
        </row>
        <row r="20">
          <cell r="A20" t="str">
            <v>A-90</v>
          </cell>
          <cell r="B20" t="str">
            <v>케이블 철거</v>
          </cell>
          <cell r="C20" t="str">
            <v>IV 3.5˚</v>
          </cell>
          <cell r="D20" t="str">
            <v>m</v>
          </cell>
          <cell r="J20">
            <v>4.5999999999999996</v>
          </cell>
          <cell r="K20">
            <v>82.2</v>
          </cell>
          <cell r="L20">
            <v>5.6</v>
          </cell>
          <cell r="M20">
            <v>9.9</v>
          </cell>
          <cell r="N20">
            <v>2.8</v>
          </cell>
          <cell r="O20">
            <v>6.2</v>
          </cell>
          <cell r="P20">
            <v>59.4</v>
          </cell>
          <cell r="AO20">
            <v>170.7</v>
          </cell>
          <cell r="AQ20">
            <v>90</v>
          </cell>
        </row>
        <row r="21">
          <cell r="A21" t="str">
            <v>A-91</v>
          </cell>
          <cell r="B21" t="str">
            <v>케이블 철거</v>
          </cell>
          <cell r="C21" t="str">
            <v>IV 8˚</v>
          </cell>
          <cell r="D21" t="str">
            <v>m</v>
          </cell>
          <cell r="AO21">
            <v>0</v>
          </cell>
          <cell r="AQ21">
            <v>91</v>
          </cell>
        </row>
        <row r="22">
          <cell r="A22" t="str">
            <v>A-92</v>
          </cell>
          <cell r="B22" t="str">
            <v>케이블 철거</v>
          </cell>
          <cell r="C22" t="str">
            <v>IV 14˚</v>
          </cell>
          <cell r="D22" t="str">
            <v>m</v>
          </cell>
          <cell r="G22">
            <v>50</v>
          </cell>
          <cell r="I22">
            <v>12.5</v>
          </cell>
          <cell r="T22">
            <v>73.7</v>
          </cell>
          <cell r="AO22">
            <v>136.19999999999999</v>
          </cell>
          <cell r="AQ22">
            <v>92</v>
          </cell>
        </row>
        <row r="23">
          <cell r="A23" t="str">
            <v>A-93</v>
          </cell>
          <cell r="B23" t="str">
            <v>케이블 철거</v>
          </cell>
          <cell r="C23" t="str">
            <v>IV 22˚</v>
          </cell>
          <cell r="D23" t="str">
            <v>m</v>
          </cell>
          <cell r="AO23">
            <v>0</v>
          </cell>
          <cell r="AQ23">
            <v>93</v>
          </cell>
        </row>
        <row r="24">
          <cell r="A24" t="str">
            <v>A-94</v>
          </cell>
          <cell r="B24" t="str">
            <v>케이블 철거</v>
          </cell>
          <cell r="C24" t="str">
            <v>CVV-SB 1.25˚/4C</v>
          </cell>
          <cell r="D24" t="str">
            <v>m</v>
          </cell>
          <cell r="G24">
            <v>50</v>
          </cell>
          <cell r="H24">
            <v>15.8</v>
          </cell>
          <cell r="I24">
            <v>12.5</v>
          </cell>
          <cell r="J24">
            <v>4.5999999999999996</v>
          </cell>
          <cell r="P24">
            <v>19.8</v>
          </cell>
          <cell r="T24">
            <v>221.1</v>
          </cell>
          <cell r="U24">
            <v>120</v>
          </cell>
          <cell r="W24">
            <v>52.8</v>
          </cell>
          <cell r="AO24">
            <v>496.59999999999997</v>
          </cell>
          <cell r="AQ24">
            <v>94</v>
          </cell>
        </row>
        <row r="25">
          <cell r="A25" t="str">
            <v>A-95</v>
          </cell>
          <cell r="B25" t="str">
            <v>케이블 철거</v>
          </cell>
          <cell r="C25" t="str">
            <v>CVV-SB 1.25˚/5C</v>
          </cell>
          <cell r="D25" t="str">
            <v>m</v>
          </cell>
          <cell r="G25">
            <v>25</v>
          </cell>
          <cell r="M25">
            <v>9.9</v>
          </cell>
          <cell r="O25">
            <v>6.2</v>
          </cell>
          <cell r="T25">
            <v>73.7</v>
          </cell>
          <cell r="AO25">
            <v>114.80000000000001</v>
          </cell>
          <cell r="AQ25">
            <v>95</v>
          </cell>
        </row>
        <row r="26">
          <cell r="A26" t="str">
            <v>A-96</v>
          </cell>
          <cell r="B26" t="str">
            <v>케이블 철거</v>
          </cell>
          <cell r="C26" t="str">
            <v>CVV-SB 1.25˚/7C</v>
          </cell>
          <cell r="D26" t="str">
            <v>m</v>
          </cell>
          <cell r="G26">
            <v>75</v>
          </cell>
          <cell r="H26">
            <v>15.8</v>
          </cell>
          <cell r="I26">
            <v>12.5</v>
          </cell>
          <cell r="L26">
            <v>5.6</v>
          </cell>
          <cell r="M26">
            <v>9.9</v>
          </cell>
          <cell r="N26">
            <v>2.8</v>
          </cell>
          <cell r="O26">
            <v>6.2</v>
          </cell>
          <cell r="P26">
            <v>19.8</v>
          </cell>
          <cell r="T26">
            <v>221.1</v>
          </cell>
          <cell r="AO26">
            <v>368.7</v>
          </cell>
          <cell r="AQ26">
            <v>96</v>
          </cell>
        </row>
        <row r="27">
          <cell r="A27" t="str">
            <v>A-97</v>
          </cell>
          <cell r="B27" t="str">
            <v>케이블 철거</v>
          </cell>
          <cell r="C27" t="str">
            <v>CVV 2.0˚/4C</v>
          </cell>
          <cell r="D27" t="str">
            <v>m</v>
          </cell>
          <cell r="G27">
            <v>25</v>
          </cell>
          <cell r="H27">
            <v>15.8</v>
          </cell>
          <cell r="P27">
            <v>19.8</v>
          </cell>
          <cell r="T27">
            <v>73.7</v>
          </cell>
          <cell r="AO27">
            <v>134.30000000000001</v>
          </cell>
          <cell r="AQ27">
            <v>97</v>
          </cell>
        </row>
        <row r="28">
          <cell r="A28" t="str">
            <v>A-98</v>
          </cell>
          <cell r="B28" t="str">
            <v>케이블 철거</v>
          </cell>
          <cell r="C28" t="str">
            <v>SH 5P/.65</v>
          </cell>
          <cell r="D28" t="str">
            <v>m</v>
          </cell>
          <cell r="E28">
            <v>147.80000000000001</v>
          </cell>
          <cell r="G28">
            <v>100</v>
          </cell>
          <cell r="H28">
            <v>15.8</v>
          </cell>
          <cell r="I28">
            <v>25</v>
          </cell>
          <cell r="J28">
            <v>4.5999999999999996</v>
          </cell>
          <cell r="L28">
            <v>5.6</v>
          </cell>
          <cell r="N28">
            <v>2.8</v>
          </cell>
          <cell r="P28">
            <v>19.8</v>
          </cell>
          <cell r="T28">
            <v>221.1</v>
          </cell>
          <cell r="AO28">
            <v>542.50000000000011</v>
          </cell>
          <cell r="AQ28">
            <v>98</v>
          </cell>
        </row>
        <row r="29">
          <cell r="A29" t="str">
            <v>A-99</v>
          </cell>
          <cell r="B29" t="str">
            <v>케이블 철거</v>
          </cell>
          <cell r="C29" t="str">
            <v>ECX 7C-2V</v>
          </cell>
          <cell r="D29" t="str">
            <v>m</v>
          </cell>
          <cell r="F29">
            <v>10.4</v>
          </cell>
          <cell r="P29">
            <v>19.8</v>
          </cell>
          <cell r="Q29">
            <v>9</v>
          </cell>
          <cell r="R29">
            <v>8.6999999999999993</v>
          </cell>
          <cell r="S29">
            <v>37.799999999999997</v>
          </cell>
          <cell r="T29">
            <v>221.1</v>
          </cell>
          <cell r="U29">
            <v>120</v>
          </cell>
          <cell r="V29">
            <v>8.6999999999999993</v>
          </cell>
          <cell r="AO29">
            <v>435.5</v>
          </cell>
          <cell r="AQ29">
            <v>99</v>
          </cell>
        </row>
        <row r="30">
          <cell r="A30" t="str">
            <v>A-100</v>
          </cell>
          <cell r="B30" t="str">
            <v>케이블 철거</v>
          </cell>
          <cell r="C30" t="str">
            <v>GV 38˚</v>
          </cell>
          <cell r="D30" t="str">
            <v>m</v>
          </cell>
          <cell r="AO30">
            <v>0</v>
          </cell>
          <cell r="AQ30">
            <v>100</v>
          </cell>
        </row>
        <row r="31">
          <cell r="A31" t="str">
            <v>A-101</v>
          </cell>
          <cell r="B31" t="str">
            <v>비상GATE 철거</v>
          </cell>
          <cell r="C31">
            <v>0</v>
          </cell>
          <cell r="D31" t="str">
            <v>대</v>
          </cell>
          <cell r="E31">
            <v>2</v>
          </cell>
          <cell r="AO31">
            <v>2</v>
          </cell>
          <cell r="AQ31">
            <v>101</v>
          </cell>
        </row>
        <row r="32">
          <cell r="A32" t="str">
            <v>A-102</v>
          </cell>
          <cell r="B32" t="str">
            <v>분전반 철거(역무실)</v>
          </cell>
          <cell r="C32" t="str">
            <v>을지로3가(3) 500×750×150</v>
          </cell>
          <cell r="D32" t="str">
            <v>면</v>
          </cell>
          <cell r="E32">
            <v>1</v>
          </cell>
          <cell r="AO32">
            <v>1</v>
          </cell>
          <cell r="AQ32">
            <v>102</v>
          </cell>
        </row>
        <row r="33">
          <cell r="A33" t="str">
            <v>A-103</v>
          </cell>
          <cell r="B33" t="str">
            <v>분전반 철거("가"매표소)</v>
          </cell>
          <cell r="C33" t="str">
            <v>을지로3가(3) 500×700×150</v>
          </cell>
          <cell r="D33" t="str">
            <v>면</v>
          </cell>
          <cell r="E33">
            <v>1</v>
          </cell>
          <cell r="AO33">
            <v>1</v>
          </cell>
          <cell r="AQ33">
            <v>103</v>
          </cell>
        </row>
        <row r="34">
          <cell r="A34" t="str">
            <v>A-104</v>
          </cell>
          <cell r="B34" t="str">
            <v>분전반 철거("나"매표소)</v>
          </cell>
          <cell r="C34" t="str">
            <v>을지로3가(3) 500×750×150</v>
          </cell>
          <cell r="D34" t="str">
            <v>면</v>
          </cell>
          <cell r="E34">
            <v>1</v>
          </cell>
          <cell r="AO34">
            <v>1</v>
          </cell>
          <cell r="AQ34">
            <v>104</v>
          </cell>
        </row>
        <row r="35">
          <cell r="A35" t="str">
            <v>A-111</v>
          </cell>
          <cell r="B35" t="str">
            <v>CAMERA 철거</v>
          </cell>
          <cell r="C35">
            <v>0</v>
          </cell>
          <cell r="D35" t="str">
            <v>EA</v>
          </cell>
          <cell r="E35">
            <v>6</v>
          </cell>
          <cell r="AO35">
            <v>6</v>
          </cell>
          <cell r="AQ35">
            <v>111</v>
          </cell>
        </row>
        <row r="36">
          <cell r="A36" t="str">
            <v>A-112</v>
          </cell>
          <cell r="B36" t="str">
            <v>CCTV RACK 철거</v>
          </cell>
          <cell r="C36">
            <v>0</v>
          </cell>
          <cell r="D36" t="str">
            <v>EA</v>
          </cell>
          <cell r="E36">
            <v>1</v>
          </cell>
          <cell r="AO36">
            <v>1</v>
          </cell>
          <cell r="AQ36">
            <v>112</v>
          </cell>
        </row>
        <row r="37">
          <cell r="AO37">
            <v>0</v>
          </cell>
          <cell r="AQ37">
            <v>0</v>
          </cell>
        </row>
        <row r="38">
          <cell r="AQ38">
            <v>0</v>
          </cell>
        </row>
        <row r="39">
          <cell r="AO39">
            <v>0</v>
          </cell>
        </row>
        <row r="40">
          <cell r="AO40">
            <v>4291.3999999999996</v>
          </cell>
        </row>
      </sheetData>
      <sheetData sheetId="3">
        <row r="1">
          <cell r="E1" t="str">
            <v>1-</v>
          </cell>
          <cell r="F1" t="str">
            <v>2-</v>
          </cell>
          <cell r="G1" t="str">
            <v>3-</v>
          </cell>
          <cell r="H1" t="str">
            <v>4-</v>
          </cell>
          <cell r="I1" t="str">
            <v>5-</v>
          </cell>
          <cell r="J1" t="str">
            <v>6-</v>
          </cell>
          <cell r="K1" t="str">
            <v>7-</v>
          </cell>
          <cell r="L1" t="str">
            <v>8-</v>
          </cell>
          <cell r="M1" t="str">
            <v>9-</v>
          </cell>
          <cell r="N1" t="str">
            <v>10-</v>
          </cell>
          <cell r="O1" t="str">
            <v>11-</v>
          </cell>
          <cell r="P1" t="str">
            <v>12-</v>
          </cell>
          <cell r="Q1" t="str">
            <v>13-</v>
          </cell>
          <cell r="R1" t="str">
            <v>14-</v>
          </cell>
          <cell r="S1" t="str">
            <v>15-</v>
          </cell>
          <cell r="T1" t="str">
            <v>16-</v>
          </cell>
          <cell r="U1" t="str">
            <v>17-</v>
          </cell>
          <cell r="V1" t="str">
            <v>18-</v>
          </cell>
          <cell r="W1" t="str">
            <v>19-</v>
          </cell>
          <cell r="X1" t="str">
            <v>20-</v>
          </cell>
          <cell r="Y1" t="str">
            <v>21-</v>
          </cell>
          <cell r="Z1" t="str">
            <v>22-</v>
          </cell>
          <cell r="AA1" t="str">
            <v>23-</v>
          </cell>
          <cell r="AB1" t="str">
            <v>24-</v>
          </cell>
          <cell r="AC1" t="str">
            <v>25-</v>
          </cell>
          <cell r="AD1" t="str">
            <v>26-</v>
          </cell>
          <cell r="AE1" t="str">
            <v>27-</v>
          </cell>
          <cell r="AF1" t="str">
            <v>28-</v>
          </cell>
          <cell r="AG1" t="str">
            <v>29-</v>
          </cell>
          <cell r="AH1" t="str">
            <v>30-</v>
          </cell>
          <cell r="AI1" t="str">
            <v>31-</v>
          </cell>
          <cell r="AJ1" t="str">
            <v>32-</v>
          </cell>
          <cell r="AK1" t="str">
            <v>33-</v>
          </cell>
          <cell r="AL1" t="str">
            <v>34-</v>
          </cell>
          <cell r="AM1" t="str">
            <v>35-</v>
          </cell>
          <cell r="AN1" t="str">
            <v>36-</v>
          </cell>
          <cell r="AQ1" t="str">
            <v>호표</v>
          </cell>
        </row>
        <row r="2">
          <cell r="A2" t="str">
            <v>CODE</v>
          </cell>
          <cell r="B2" t="str">
            <v>공사종류</v>
          </cell>
          <cell r="C2" t="str">
            <v>규     격</v>
          </cell>
          <cell r="D2" t="str">
            <v>단위</v>
          </cell>
          <cell r="E2" t="str">
            <v>SHEET NUMBER</v>
          </cell>
          <cell r="Y2" t="str">
            <v>SHEET NUMBER</v>
          </cell>
          <cell r="AO2" t="str">
            <v>수량합계</v>
          </cell>
          <cell r="AP2" t="str">
            <v>비고</v>
          </cell>
          <cell r="AQ2">
            <v>0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</row>
        <row r="4">
          <cell r="A4" t="str">
            <v>A-113</v>
          </cell>
          <cell r="B4" t="str">
            <v>케이블 신설</v>
          </cell>
          <cell r="C4" t="str">
            <v>CV 3.5˚/2C</v>
          </cell>
          <cell r="D4" t="str">
            <v>m</v>
          </cell>
          <cell r="L4">
            <v>171</v>
          </cell>
          <cell r="M4">
            <v>105</v>
          </cell>
          <cell r="AO4">
            <v>276</v>
          </cell>
          <cell r="AQ4">
            <v>113</v>
          </cell>
        </row>
        <row r="5">
          <cell r="A5" t="str">
            <v>A-114</v>
          </cell>
          <cell r="B5" t="str">
            <v>케이블 신설</v>
          </cell>
          <cell r="C5" t="str">
            <v>CV 8˚/2C</v>
          </cell>
          <cell r="D5" t="str">
            <v>m</v>
          </cell>
          <cell r="I5">
            <v>19</v>
          </cell>
          <cell r="J5">
            <v>5</v>
          </cell>
          <cell r="L5">
            <v>34.200000000000003</v>
          </cell>
          <cell r="AO5">
            <v>58.2</v>
          </cell>
          <cell r="AQ5">
            <v>114</v>
          </cell>
        </row>
        <row r="6">
          <cell r="A6" t="str">
            <v>A-115</v>
          </cell>
          <cell r="B6" t="str">
            <v>케이블 신설</v>
          </cell>
          <cell r="C6" t="str">
            <v>CV 14˚/2C</v>
          </cell>
          <cell r="D6" t="str">
            <v>m</v>
          </cell>
          <cell r="H6">
            <v>82.6</v>
          </cell>
          <cell r="AO6">
            <v>82.6</v>
          </cell>
          <cell r="AQ6">
            <v>115</v>
          </cell>
        </row>
        <row r="7">
          <cell r="A7" t="str">
            <v>A-116</v>
          </cell>
          <cell r="B7" t="str">
            <v>케이블 신설</v>
          </cell>
          <cell r="C7" t="str">
            <v>CV 22˚/2C</v>
          </cell>
          <cell r="D7" t="str">
            <v>m</v>
          </cell>
          <cell r="E7">
            <v>109</v>
          </cell>
          <cell r="F7">
            <v>7.8</v>
          </cell>
          <cell r="I7">
            <v>19</v>
          </cell>
          <cell r="K7">
            <v>9.6</v>
          </cell>
          <cell r="AO7">
            <v>145.4</v>
          </cell>
          <cell r="AQ7">
            <v>116</v>
          </cell>
        </row>
        <row r="8">
          <cell r="A8" t="str">
            <v>A-117</v>
          </cell>
          <cell r="B8" t="str">
            <v>케이블 신설</v>
          </cell>
          <cell r="C8" t="str">
            <v>IV 3.5˚</v>
          </cell>
          <cell r="D8" t="str">
            <v>m</v>
          </cell>
          <cell r="L8">
            <v>102.6</v>
          </cell>
          <cell r="M8">
            <v>63</v>
          </cell>
          <cell r="AO8">
            <v>165.6</v>
          </cell>
          <cell r="AQ8">
            <v>117</v>
          </cell>
        </row>
        <row r="9">
          <cell r="A9" t="str">
            <v>A-118</v>
          </cell>
          <cell r="B9" t="str">
            <v>케이블 신설</v>
          </cell>
          <cell r="C9" t="str">
            <v>IV 8˚</v>
          </cell>
          <cell r="D9" t="str">
            <v>m</v>
          </cell>
          <cell r="H9">
            <v>82.6</v>
          </cell>
          <cell r="I9">
            <v>19</v>
          </cell>
          <cell r="J9">
            <v>5</v>
          </cell>
          <cell r="L9">
            <v>34.200000000000003</v>
          </cell>
          <cell r="AO9">
            <v>140.80000000000001</v>
          </cell>
          <cell r="AQ9">
            <v>118</v>
          </cell>
        </row>
        <row r="10">
          <cell r="A10" t="str">
            <v>A-119</v>
          </cell>
          <cell r="B10" t="str">
            <v>케이블 신설</v>
          </cell>
          <cell r="C10" t="str">
            <v>IV 14˚</v>
          </cell>
          <cell r="D10" t="str">
            <v>m</v>
          </cell>
          <cell r="E10">
            <v>109</v>
          </cell>
          <cell r="F10">
            <v>7.8</v>
          </cell>
          <cell r="I10">
            <v>19</v>
          </cell>
          <cell r="K10">
            <v>9.6</v>
          </cell>
          <cell r="AO10">
            <v>145.4</v>
          </cell>
          <cell r="AQ10">
            <v>119</v>
          </cell>
        </row>
        <row r="11">
          <cell r="A11" t="str">
            <v>A-120</v>
          </cell>
          <cell r="B11" t="str">
            <v>케이블 신설</v>
          </cell>
          <cell r="C11" t="str">
            <v>CVV-SB 1.25˚/4C</v>
          </cell>
          <cell r="D11" t="str">
            <v>m</v>
          </cell>
          <cell r="H11">
            <v>165.2</v>
          </cell>
          <cell r="I11">
            <v>38</v>
          </cell>
          <cell r="J11">
            <v>10</v>
          </cell>
          <cell r="L11">
            <v>68.400000000000006</v>
          </cell>
          <cell r="AO11">
            <v>281.60000000000002</v>
          </cell>
          <cell r="AQ11">
            <v>120</v>
          </cell>
        </row>
        <row r="12">
          <cell r="A12" t="str">
            <v>A-121</v>
          </cell>
          <cell r="B12" t="str">
            <v>케이블 신설</v>
          </cell>
          <cell r="C12" t="str">
            <v>CVV-SB 1.25˚/5C</v>
          </cell>
          <cell r="D12" t="str">
            <v>m</v>
          </cell>
          <cell r="H12">
            <v>247.8</v>
          </cell>
          <cell r="I12">
            <v>57</v>
          </cell>
          <cell r="J12">
            <v>15</v>
          </cell>
          <cell r="L12">
            <v>34.200000000000003</v>
          </cell>
          <cell r="M12">
            <v>42</v>
          </cell>
          <cell r="AO12">
            <v>396</v>
          </cell>
          <cell r="AQ12">
            <v>121</v>
          </cell>
        </row>
        <row r="13">
          <cell r="A13" t="str">
            <v>A-122</v>
          </cell>
          <cell r="B13" t="str">
            <v>케이블 신설</v>
          </cell>
          <cell r="C13" t="str">
            <v>CVV-SB 1.25˚/7C</v>
          </cell>
          <cell r="D13" t="str">
            <v>m</v>
          </cell>
          <cell r="H13">
            <v>82.6</v>
          </cell>
          <cell r="I13">
            <v>19</v>
          </cell>
          <cell r="J13">
            <v>5</v>
          </cell>
          <cell r="L13">
            <v>34.200000000000003</v>
          </cell>
          <cell r="AO13">
            <v>140.80000000000001</v>
          </cell>
          <cell r="AQ13">
            <v>122</v>
          </cell>
        </row>
        <row r="14">
          <cell r="A14" t="str">
            <v>A-123</v>
          </cell>
          <cell r="B14" t="str">
            <v>케이블 신설</v>
          </cell>
          <cell r="C14" t="str">
            <v>CVV 2.0˚/4C</v>
          </cell>
          <cell r="D14" t="str">
            <v>m</v>
          </cell>
          <cell r="H14">
            <v>82.6</v>
          </cell>
          <cell r="I14">
            <v>19</v>
          </cell>
          <cell r="J14">
            <v>5</v>
          </cell>
          <cell r="M14">
            <v>21</v>
          </cell>
          <cell r="AO14">
            <v>127.6</v>
          </cell>
          <cell r="AQ14">
            <v>123</v>
          </cell>
        </row>
        <row r="15">
          <cell r="A15" t="str">
            <v>A-124</v>
          </cell>
          <cell r="B15" t="str">
            <v>케이블 신설</v>
          </cell>
          <cell r="C15" t="str">
            <v>SH 5P/.65</v>
          </cell>
          <cell r="D15" t="str">
            <v>m</v>
          </cell>
          <cell r="E15">
            <v>109</v>
          </cell>
          <cell r="G15">
            <v>34.4</v>
          </cell>
          <cell r="H15">
            <v>165.2</v>
          </cell>
          <cell r="I15">
            <v>57</v>
          </cell>
          <cell r="J15">
            <v>10</v>
          </cell>
          <cell r="K15">
            <v>9.6</v>
          </cell>
          <cell r="L15">
            <v>68.400000000000006</v>
          </cell>
          <cell r="AO15">
            <v>453.6</v>
          </cell>
          <cell r="AQ15">
            <v>124</v>
          </cell>
        </row>
        <row r="16">
          <cell r="A16" t="str">
            <v>A-125</v>
          </cell>
          <cell r="B16" t="str">
            <v>찬넬 가대</v>
          </cell>
          <cell r="C16" t="str">
            <v>W:600mm</v>
          </cell>
          <cell r="D16" t="str">
            <v>개소</v>
          </cell>
          <cell r="I16">
            <v>15</v>
          </cell>
          <cell r="AO16">
            <v>15</v>
          </cell>
          <cell r="AQ16">
            <v>125</v>
          </cell>
        </row>
        <row r="17">
          <cell r="A17" t="str">
            <v>A-126</v>
          </cell>
          <cell r="B17" t="str">
            <v>찬넬 가대</v>
          </cell>
          <cell r="C17" t="str">
            <v>W:500mm</v>
          </cell>
          <cell r="D17" t="str">
            <v>개소</v>
          </cell>
          <cell r="L17">
            <v>27</v>
          </cell>
          <cell r="AO17">
            <v>27</v>
          </cell>
          <cell r="AQ17">
            <v>126</v>
          </cell>
        </row>
        <row r="18">
          <cell r="A18" t="str">
            <v>A-127</v>
          </cell>
          <cell r="B18" t="str">
            <v>찬넬 가대</v>
          </cell>
          <cell r="C18" t="str">
            <v>W:400mm</v>
          </cell>
          <cell r="D18" t="str">
            <v>개소</v>
          </cell>
          <cell r="H18">
            <v>75</v>
          </cell>
          <cell r="J18">
            <v>5</v>
          </cell>
          <cell r="AO18">
            <v>80</v>
          </cell>
          <cell r="AQ18">
            <v>127</v>
          </cell>
        </row>
        <row r="19">
          <cell r="A19" t="str">
            <v>A-128</v>
          </cell>
          <cell r="B19" t="str">
            <v>찬넬 가대</v>
          </cell>
          <cell r="C19" t="str">
            <v>W:300mm</v>
          </cell>
          <cell r="D19" t="str">
            <v>개소</v>
          </cell>
          <cell r="K19">
            <v>10</v>
          </cell>
          <cell r="M19">
            <v>21</v>
          </cell>
          <cell r="AO19">
            <v>31</v>
          </cell>
          <cell r="AQ19">
            <v>128</v>
          </cell>
        </row>
        <row r="20">
          <cell r="A20" t="str">
            <v>A-129</v>
          </cell>
          <cell r="B20" t="str">
            <v>찬넬 가대</v>
          </cell>
          <cell r="C20" t="str">
            <v>W:200mm</v>
          </cell>
          <cell r="D20" t="str">
            <v>개소</v>
          </cell>
          <cell r="E20">
            <v>109</v>
          </cell>
          <cell r="F20">
            <v>8</v>
          </cell>
          <cell r="G20">
            <v>35</v>
          </cell>
          <cell r="AO20">
            <v>152</v>
          </cell>
          <cell r="AQ20">
            <v>129</v>
          </cell>
        </row>
        <row r="21">
          <cell r="A21" t="str">
            <v>A-130</v>
          </cell>
          <cell r="AO21">
            <v>0</v>
          </cell>
          <cell r="AQ21">
            <v>130</v>
          </cell>
        </row>
        <row r="23">
          <cell r="AO23">
            <v>2718.6</v>
          </cell>
        </row>
      </sheetData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갑지"/>
      <sheetName val="목차"/>
      <sheetName val="1표지-공사시방서"/>
      <sheetName val="2표지-설계내역서"/>
      <sheetName val="원가계산서"/>
      <sheetName val="관급내역서"/>
      <sheetName val="내역서"/>
      <sheetName val="일위대가표"/>
      <sheetName val="aiming(일위대가표)"/>
      <sheetName val="산출서"/>
      <sheetName val="F단가비교표"/>
      <sheetName val="3표지-설계도면"/>
      <sheetName val="노임"/>
      <sheetName val="炷舅?XLS]데이타'!$E$124"/>
      <sheetName val="ls]노임"/>
      <sheetName val="____"/>
      <sheetName val="___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  <sheetName val="炷舅?XLS"/>
      <sheetName val="ls"/>
      <sheetName val="토공사"/>
      <sheetName val="소일위대가코드표"/>
      <sheetName val="품셈집계표"/>
      <sheetName val="자재조사표(참고용)"/>
      <sheetName val="일반부표집계표"/>
      <sheetName val="수목일위"/>
      <sheetName val=""/>
      <sheetName val="설명"/>
      <sheetName val="노임단가"/>
      <sheetName val="단가조사"/>
      <sheetName val="Sheet1"/>
      <sheetName val="수목데이타"/>
      <sheetName val="수목표준대가"/>
      <sheetName val="간접"/>
      <sheetName val="기타 정보통신공사"/>
      <sheetName val="건축2"/>
      <sheetName val="원가계산"/>
      <sheetName val="단가대비표"/>
      <sheetName val="시설물일위"/>
      <sheetName val="가설공사"/>
      <sheetName val="단가결정"/>
      <sheetName val="내역아"/>
      <sheetName val="울타리"/>
      <sheetName val="문학간접"/>
      <sheetName val="원내역"/>
      <sheetName val="6호기"/>
      <sheetName val="Customer Databas"/>
      <sheetName val="AS포장복구 "/>
      <sheetName val="2000.11월설계내역"/>
      <sheetName val="품셈TABLE"/>
      <sheetName val="공종단가"/>
      <sheetName val="1"/>
      <sheetName val="2"/>
      <sheetName val="3"/>
      <sheetName val="4"/>
      <sheetName val="5"/>
      <sheetName val="전익자재"/>
      <sheetName val="참고"/>
      <sheetName val="공사개요"/>
      <sheetName val="표지 (2)"/>
      <sheetName val="장비별표(오거보링)(Ø400)(12M)"/>
      <sheetName val="䈘목(중국단풍-)"/>
      <sheetName val="갑  지"/>
      <sheetName val="접속도로1"/>
      <sheetName val="평가데이터"/>
      <sheetName val="unit 4"/>
      <sheetName val="화재 탐지 설비"/>
      <sheetName val="Total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이름표지정"/>
      <sheetName val="가설공사비"/>
      <sheetName val="도로구조공사비"/>
      <sheetName val="도로토공공사비"/>
      <sheetName val="여수토공사비"/>
      <sheetName val="49"/>
      <sheetName val="자재단가조사표-수목"/>
      <sheetName val="수량산출서"/>
      <sheetName val="간선계산"/>
      <sheetName val="기초일위"/>
      <sheetName val="시설일위"/>
      <sheetName val="조명일위"/>
      <sheetName val="1차증가원가계산"/>
      <sheetName val="직재"/>
      <sheetName val="재집"/>
      <sheetName val="금액"/>
      <sheetName val="골조시행"/>
      <sheetName val="금액내역서"/>
      <sheetName val="총괄내역"/>
      <sheetName val="일위대가(가설)"/>
      <sheetName val="Sheet1 (2)"/>
      <sheetName val="조명시설"/>
      <sheetName val="1.설계조건"/>
      <sheetName val="자재단가"/>
      <sheetName val="별표집계"/>
      <sheetName val="내역"/>
      <sheetName val="건축-물가변동"/>
      <sheetName val="현장관리비"/>
      <sheetName val="데리네이타현황"/>
      <sheetName val="교사기준면적(초등)"/>
      <sheetName val="DANGA"/>
      <sheetName val="금융비용"/>
      <sheetName val="단가 및 재료비"/>
      <sheetName val="단가산출2"/>
      <sheetName val="준검 내역서"/>
      <sheetName val="123"/>
      <sheetName val="9811"/>
      <sheetName val="2000년1차"/>
      <sheetName val="2000전체분"/>
      <sheetName val="남양내역"/>
      <sheetName val="Sheet4"/>
      <sheetName val="일위대가"/>
      <sheetName val="노무,재료"/>
      <sheetName val="Sheet2"/>
      <sheetName val="철근총괄집계표"/>
      <sheetName val="#REF"/>
      <sheetName val="집수정(600-700)"/>
      <sheetName val="토사(PE)"/>
      <sheetName val="DATE"/>
      <sheetName val="Sheet3"/>
      <sheetName val="터파기및재료"/>
      <sheetName val="빗물받이(910-510-410)"/>
      <sheetName val="우수"/>
      <sheetName val="개인"/>
      <sheetName val="기본단가표"/>
      <sheetName val="수안보-MBR1"/>
      <sheetName val="동해title"/>
      <sheetName val="철콘"/>
      <sheetName val="A"/>
      <sheetName val="견적시담(송포2공구)"/>
      <sheetName val="단가"/>
      <sheetName val="공종목록표"/>
      <sheetName val="data"/>
      <sheetName val="직접경비"/>
      <sheetName val="직접인건비"/>
      <sheetName val="전체"/>
      <sheetName val="공종별원가계산"/>
      <sheetName val="가감수량"/>
      <sheetName val="맨홀수량산출"/>
      <sheetName val="단가산출"/>
      <sheetName val="노임이"/>
      <sheetName val="9509"/>
      <sheetName val="총괄내역서"/>
      <sheetName val="단가산출1"/>
      <sheetName val="토공산출(주차장)"/>
      <sheetName val="현장관리"/>
      <sheetName val="공통가설"/>
      <sheetName val="매입"/>
      <sheetName val="토공산출 (아파트)"/>
      <sheetName val="입찰"/>
      <sheetName val="현경"/>
      <sheetName val="EACT10"/>
      <sheetName val="10공구일위"/>
      <sheetName val="시멘트"/>
      <sheetName val="횡배수관토공수량"/>
      <sheetName val="일위"/>
      <sheetName val="년도별시공"/>
      <sheetName val="2공구산출내역"/>
      <sheetName val="전기"/>
      <sheetName val="연습"/>
      <sheetName val="전주2本1"/>
      <sheetName val="파일의이용"/>
      <sheetName val="수목단가"/>
      <sheetName val="식재수량표"/>
      <sheetName val="식재일위"/>
      <sheetName val="Mc1"/>
      <sheetName val="전기혼잡제경비(45)"/>
      <sheetName val="현장"/>
      <sheetName val="간접비"/>
      <sheetName val="Ⅶ-2.현장경비산출"/>
      <sheetName val="품셈"/>
      <sheetName val="기초자료입력"/>
      <sheetName val="내역(APT)"/>
      <sheetName val="평가내역"/>
      <sheetName val="일위목록"/>
      <sheetName val="골조대비내역"/>
      <sheetName val="DT"/>
      <sheetName val="롤러"/>
      <sheetName val="BH"/>
      <sheetName val="펌프차타설"/>
      <sheetName val="비목군분류일위"/>
      <sheetName val="기계경비적용기준"/>
      <sheetName val="GAS"/>
      <sheetName val="간지"/>
      <sheetName val="배수공"/>
      <sheetName val="일위대가-1"/>
      <sheetName val="일위대가목차"/>
      <sheetName val="GAS저장소"/>
      <sheetName val="라인마킹"/>
      <sheetName val="위험물저장소"/>
      <sheetName val="일반창고동"/>
      <sheetName val="토목주소"/>
      <sheetName val="공사비예산서(토목분)"/>
      <sheetName val="合成単価作成表-BLDG"/>
      <sheetName val="준공정산"/>
      <sheetName val="정렬"/>
      <sheetName val="INPUT"/>
      <sheetName val="공내역"/>
      <sheetName val="귀래 설계 공내역서"/>
      <sheetName val="자재 집계표"/>
      <sheetName val="말고개터널조명전압강하"/>
      <sheetName val="5 일위목록"/>
      <sheetName val="7 단가조사"/>
      <sheetName val="6 일위대가"/>
      <sheetName val="물가자료"/>
      <sheetName val="BID"/>
      <sheetName val="산출내역서집계표"/>
      <sheetName val="DC-O-4-S(설명서)"/>
      <sheetName val="E.P.T수량산출서"/>
      <sheetName val="참조"/>
      <sheetName val="배수내역"/>
      <sheetName val="ABUT수량-A1"/>
      <sheetName val="노임(1차)"/>
      <sheetName val="기계설비-물가변동"/>
      <sheetName val="총괄표"/>
      <sheetName val="부하계산서"/>
      <sheetName val="대가표(품셈)"/>
      <sheetName val="입력자료"/>
      <sheetName val="카렌스센터계량기설치공사"/>
      <sheetName val="시설수량표"/>
      <sheetName val="예산명세서"/>
      <sheetName val="설계명세서"/>
      <sheetName val="자료입력"/>
      <sheetName val="중기사용료산출근거"/>
      <sheetName val="실행간접비용"/>
      <sheetName val="DB@Acess"/>
      <sheetName val="Civil"/>
      <sheetName val="세부내역"/>
      <sheetName val="견적"/>
      <sheetName val="설계내역일위"/>
      <sheetName val="공구원가계산"/>
      <sheetName val="개소별수량산출"/>
      <sheetName val="총괄표1"/>
      <sheetName val="퇴직금(울산천상)"/>
      <sheetName val="수량산출"/>
      <sheetName val="참조M"/>
      <sheetName val="시설물기초"/>
      <sheetName val="조건"/>
      <sheetName val="전선 및 전선관"/>
      <sheetName val="금융"/>
      <sheetName val="삭제금지단가"/>
      <sheetName val="설계서"/>
      <sheetName val="공사기본내용입력"/>
      <sheetName val="공통"/>
      <sheetName val="2000_11월설계내역"/>
      <sheetName val="Customer_Databas"/>
      <sheetName val="AS포장복구_"/>
      <sheetName val="표지_(2)"/>
      <sheetName val="기타_정보통신공사"/>
      <sheetName val="갑__지"/>
      <sheetName val="unit_4"/>
      <sheetName val="화재_탐지_설비"/>
      <sheetName val="단가_및_재료비"/>
      <sheetName val="준검_내역서"/>
      <sheetName val="Sheet1_(2)"/>
      <sheetName val="토공산출_(아파트)"/>
      <sheetName val="1_설계조건"/>
      <sheetName val="Ⅶ-2_현장경비산출"/>
      <sheetName val="귀래_설계_공내역서"/>
      <sheetName val="자재_집계표"/>
      <sheetName val="5_일위목록"/>
      <sheetName val="7_단가조사"/>
      <sheetName val="6_일위대가"/>
      <sheetName val="E_P_T수량산출서"/>
      <sheetName val="전선_및_전선관"/>
      <sheetName val="토공수량"/>
      <sheetName val="공사요율산출표"/>
      <sheetName val="에너지동"/>
      <sheetName val="공사별 가중치 산출근거(토목)"/>
      <sheetName val="가중치근거(조경)"/>
      <sheetName val="1차 내역서"/>
      <sheetName val="자료"/>
      <sheetName val="간선"/>
      <sheetName val="전압"/>
      <sheetName val="조도"/>
      <sheetName val="동력"/>
      <sheetName val="부하계산"/>
      <sheetName val="견적율"/>
      <sheetName val="계수시트"/>
      <sheetName val="2.대외공문"/>
      <sheetName val="기초자료"/>
      <sheetName val="식재"/>
      <sheetName val="시설물"/>
      <sheetName val="식재출력용"/>
      <sheetName val="유지관리"/>
      <sheetName val="가도공"/>
      <sheetName val="상 부"/>
      <sheetName val="부대공Ⅱ"/>
      <sheetName val="교육종류"/>
      <sheetName val="경산"/>
      <sheetName val="예가표"/>
      <sheetName val="현관"/>
      <sheetName val="인원"/>
      <sheetName val="날개벽(좌,우=60도-4개)"/>
      <sheetName val="밸브설치"/>
      <sheetName val="일반부표"/>
      <sheetName val="관공일위대가"/>
      <sheetName val="운동장 (2)"/>
      <sheetName val="JUCKEYK"/>
      <sheetName val="단위단가"/>
      <sheetName val="충주"/>
      <sheetName val="단가표 (2)"/>
      <sheetName val="입찰안"/>
      <sheetName val="기성청구"/>
      <sheetName val="정화조방수미장"/>
      <sheetName val="중기일위대가"/>
      <sheetName val="MOTOR"/>
      <sheetName val="조명율표"/>
      <sheetName val="설계예산서"/>
      <sheetName val="코드"/>
      <sheetName val="D&amp;P특기사항"/>
      <sheetName val="내역서01"/>
      <sheetName val="지주목시비량산출서"/>
      <sheetName val="설계내"/>
      <sheetName val="SG"/>
      <sheetName val="예산갑지"/>
      <sheetName val="지수"/>
      <sheetName val="대치판정"/>
      <sheetName val="정부노임단가"/>
      <sheetName val="제잡비"/>
      <sheetName val="토집"/>
      <sheetName val="기성내역"/>
      <sheetName val="산출근거"/>
      <sheetName val="공작물조직표(용배수)"/>
      <sheetName val="노무비단가"/>
      <sheetName val="제수"/>
      <sheetName val="공기"/>
      <sheetName val="천방교접속"/>
      <sheetName val="sub"/>
      <sheetName val="참조(2)"/>
      <sheetName val="퍼스트"/>
      <sheetName val="설계내역"/>
      <sheetName val="N賃率-職"/>
      <sheetName val="가설"/>
      <sheetName val="구조포설"/>
      <sheetName val="복구"/>
      <sheetName val="부대"/>
      <sheetName val="부호표"/>
      <sheetName val="토공"/>
      <sheetName val="약품설비"/>
      <sheetName val="기기리스트"/>
      <sheetName val="주요항목별"/>
      <sheetName val="기성내역서표지"/>
      <sheetName val="사급자재"/>
      <sheetName val="담장산출"/>
      <sheetName val="설계내역서"/>
      <sheetName val="공종집계"/>
      <sheetName val="노무비"/>
      <sheetName val="투찰금액"/>
      <sheetName val="EQT-ESTN"/>
      <sheetName val="토공집계"/>
      <sheetName val="기타_정보통신공사1"/>
      <sheetName val="Customer_Databas1"/>
      <sheetName val="AS포장복구_1"/>
      <sheetName val="2000_11월설계내역1"/>
      <sheetName val="표지_(2)1"/>
      <sheetName val="갑__지1"/>
      <sheetName val="unit_41"/>
      <sheetName val="화재_탐지_설비1"/>
      <sheetName val="준검_내역서1"/>
      <sheetName val="Sheet1_(2)1"/>
      <sheetName val="단가_및_재료비1"/>
      <sheetName val="1_설계조건1"/>
      <sheetName val="Ⅶ-2_현장경비산출1"/>
      <sheetName val="토공산출_(아파트)1"/>
      <sheetName val="5_일위목록1"/>
      <sheetName val="7_단가조사1"/>
      <sheetName val="6_일위대가1"/>
      <sheetName val="E_P_T수량산출서1"/>
      <sheetName val="3.바닥판  "/>
      <sheetName val="평교-내역"/>
      <sheetName val="근거(기밀댐퍼)"/>
      <sheetName val="1호인버트수량"/>
      <sheetName val="석축설면"/>
      <sheetName val="법면단"/>
      <sheetName val="설계조건"/>
      <sheetName val="안정계산"/>
      <sheetName val="단면검토"/>
      <sheetName val="WORK"/>
      <sheetName val="자단"/>
      <sheetName val="인공산출"/>
      <sheetName val="SCHE"/>
      <sheetName val="단가비교"/>
      <sheetName val="JUCK"/>
      <sheetName val="소야공정계획표"/>
      <sheetName val="1안"/>
      <sheetName val="공통비총괄표"/>
      <sheetName val="내역서2안"/>
      <sheetName val="인건비"/>
      <sheetName val="03하반기내역서"/>
      <sheetName val="04상반기"/>
      <sheetName val="약품공급2"/>
      <sheetName val="11월"/>
      <sheetName val="잡비"/>
      <sheetName val="일위집계표"/>
      <sheetName val="부대공1(65-77,93-95)"/>
      <sheetName val="부대공2(78-"/>
      <sheetName val="배수및구조물공1"/>
      <sheetName val="구조물토공"/>
      <sheetName val="토공2(11~19)"/>
      <sheetName val="배수및구조물공2"/>
      <sheetName val="토공1(1~10,92)"/>
      <sheetName val="토공3(20~31)"/>
      <sheetName val="날개벽수량표"/>
      <sheetName val="bearing"/>
      <sheetName val="4-10"/>
      <sheetName val="단가표_(2)"/>
      <sheetName val="실행철강하도"/>
      <sheetName val="EJ"/>
      <sheetName val="9GNG운반"/>
      <sheetName val="당초내역서"/>
      <sheetName val="Y-WORK"/>
      <sheetName val="지급자재"/>
      <sheetName val="구조물공1(51~56)"/>
      <sheetName val="자판실행"/>
      <sheetName val="원가"/>
      <sheetName val="절감계산"/>
      <sheetName val="건축내역서"/>
      <sheetName val="설비내역서"/>
      <sheetName val="전기내역서"/>
      <sheetName val="가격비"/>
      <sheetName val="炷舅_XLS_데이타'!$E$124"/>
      <sheetName val="ls_노임"/>
      <sheetName val="炷舅_XLS"/>
      <sheetName val="전기일위대가"/>
      <sheetName val="토공집계표"/>
      <sheetName val="Sheet6"/>
      <sheetName val="설계예시"/>
      <sheetName val=" 견적서"/>
      <sheetName val="설계"/>
      <sheetName val="수량계산서 집계표(가설 신설 및 철거-을지로3가 3호선)"/>
      <sheetName val="수량계산서 집계표(신설-을지로3가 3호선)"/>
      <sheetName val="수량계산서 집계표(철거-을지로3가 3호선)"/>
      <sheetName val="시공"/>
      <sheetName val="총괄"/>
      <sheetName val="단목"/>
      <sheetName val="토목수량"/>
      <sheetName val="와동25-3(변경)"/>
      <sheetName val="전기공사"/>
      <sheetName val="1차_내역서"/>
      <sheetName val="가로등"/>
      <sheetName val="전계가"/>
      <sheetName val="배수판"/>
      <sheetName val="시추주상도"/>
      <sheetName val="주관사업"/>
      <sheetName val="평형별수량표"/>
      <sheetName val="가설개략"/>
      <sheetName val="을지"/>
      <sheetName val="평당"/>
      <sheetName val="매입세"/>
      <sheetName val="창호"/>
      <sheetName val="PW3"/>
      <sheetName val="PW4"/>
      <sheetName val="SC1"/>
      <sheetName val="PE"/>
      <sheetName val="PM"/>
      <sheetName val="TR"/>
      <sheetName val="교대시점"/>
      <sheetName val="부안일위"/>
      <sheetName val="위치조서"/>
      <sheetName val="과세내역(세부)"/>
      <sheetName val="기초1"/>
      <sheetName val="을"/>
      <sheetName val="TEL"/>
      <sheetName val="참고자료"/>
      <sheetName val="설계가"/>
      <sheetName val="자재"/>
      <sheetName val="1.가설"/>
      <sheetName val="4.목공사"/>
      <sheetName val="덕소내역"/>
      <sheetName val="각종단가"/>
      <sheetName val="가스내역"/>
      <sheetName val="품셈표"/>
      <sheetName val="계산내역(설비)"/>
      <sheetName val="PAINT"/>
      <sheetName val="실행"/>
      <sheetName val="신표지1"/>
      <sheetName val="수목데이타 "/>
      <sheetName val="FB25JN"/>
      <sheetName val="邅☳"/>
      <sheetName val="사전공사"/>
      <sheetName val="우수공"/>
      <sheetName val="적용기준"/>
      <sheetName val="공사발의서"/>
      <sheetName val="S0"/>
      <sheetName val="공정코드"/>
      <sheetName val="재료단가"/>
      <sheetName val="cable-data"/>
      <sheetName val="7단가"/>
      <sheetName val="원형1호맨홀토공수량"/>
      <sheetName val="공사비산출내역"/>
      <sheetName val="가격조사서"/>
      <sheetName val="부대내역"/>
      <sheetName val="제잡비집계"/>
      <sheetName val="가설건물"/>
      <sheetName val="70%"/>
      <sheetName val="ITEM"/>
      <sheetName val="터널조도"/>
      <sheetName val="EQUIP-H"/>
      <sheetName val="영업.일1"/>
      <sheetName val="가스(내역)"/>
      <sheetName val="22인공"/>
      <sheetName val="JOIN(2span)"/>
      <sheetName val="바닥판"/>
      <sheetName val="주빔의 설계"/>
      <sheetName val="철근량산정및사용성검토"/>
      <sheetName val="입력DATA"/>
      <sheetName val="계약내역서(을지)"/>
      <sheetName val="수량집계표"/>
      <sheetName val="공종별수량집계"/>
      <sheetName val="List"/>
      <sheetName val="10"/>
      <sheetName val="11"/>
      <sheetName val="6"/>
      <sheetName val="7"/>
      <sheetName val="8"/>
      <sheetName val="9"/>
      <sheetName val="개요"/>
      <sheetName val="수량"/>
      <sheetName val="발생토"/>
      <sheetName val="인사자료총집계"/>
      <sheetName val="동력부하계산"/>
      <sheetName val="이름정의"/>
      <sheetName val="초기화면"/>
      <sheetName val="기계실 D200"/>
      <sheetName val="2호맨홀공제수량"/>
      <sheetName val="인부신상자료"/>
      <sheetName val="직접공사비집계표_7"/>
      <sheetName val="공통가설_8"/>
      <sheetName val="기타시설"/>
      <sheetName val="아파트_9"/>
      <sheetName val="주민복지관"/>
      <sheetName val="지하주차장"/>
      <sheetName val="수로단위수량"/>
      <sheetName val="토목"/>
      <sheetName val="변경일위"/>
      <sheetName val="Book1"/>
      <sheetName val="용산1(해보)"/>
      <sheetName val="기초공"/>
      <sheetName val="기둥(원형)"/>
      <sheetName val="6PILE  (돌출)"/>
      <sheetName val="소요자재"/>
      <sheetName val="노무산출서"/>
      <sheetName val="횡배수관수량집계"/>
      <sheetName val="횡배수관기초"/>
      <sheetName val="98지급계획"/>
      <sheetName val="진주방향"/>
      <sheetName val="실행(표지,갑,을)"/>
      <sheetName val="-배수구조물⳵토공"/>
      <sheetName val="경상비"/>
      <sheetName val="연돌일위집계"/>
      <sheetName val="토공실행"/>
      <sheetName val="01"/>
      <sheetName val="경비"/>
      <sheetName val="일위대가목록"/>
      <sheetName val="말뚝지지력산정"/>
      <sheetName val="건축(을)"/>
      <sheetName val="3차준공"/>
      <sheetName val="MAIN"/>
      <sheetName val="TB-내역서"/>
      <sheetName val="성곽내역서"/>
      <sheetName val="대공종"/>
      <sheetName val="수량집계"/>
      <sheetName val="A-4"/>
      <sheetName val="설계기준"/>
      <sheetName val="2.2.10.샤시등"/>
      <sheetName val="내역1"/>
      <sheetName val="I一般比"/>
      <sheetName val="현장조사"/>
      <sheetName val="요약&amp;결과"/>
      <sheetName val="Sheet13"/>
      <sheetName val="발전기"/>
      <sheetName val="Sheet14"/>
      <sheetName val="XL4Poppy"/>
      <sheetName val="단면가정"/>
      <sheetName val="자"/>
      <sheetName val="노"/>
      <sheetName val="견적서"/>
      <sheetName val="현장관리비 "/>
      <sheetName val="3.공통공사대비"/>
      <sheetName val="공사비집계표"/>
      <sheetName val="통합내역"/>
      <sheetName val="재정비직인"/>
      <sheetName val="하수급견적대비"/>
      <sheetName val="G.R300경비"/>
      <sheetName val="COVER"/>
      <sheetName val="신청서"/>
      <sheetName val="전차선로 물량표"/>
      <sheetName val="한강운반비"/>
      <sheetName val="공통(20-91)"/>
      <sheetName val="내역서(전기)"/>
      <sheetName val="D16"/>
      <sheetName val="D25"/>
      <sheetName val="D22"/>
      <sheetName val="관리,공감"/>
      <sheetName val="간선토공재집"/>
      <sheetName val="지선토공재집"/>
      <sheetName val="전등설비"/>
      <sheetName val="단면 (2)"/>
      <sheetName val="b_balju"/>
      <sheetName val="인제내역"/>
      <sheetName val="투자효율분석"/>
      <sheetName val="tggwan(mac)"/>
      <sheetName val="TRE TABLE"/>
      <sheetName val="월별입차량"/>
      <sheetName val="GAEYO"/>
      <sheetName val="X17-TOTAL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우배수"/>
      <sheetName val="원형맨홀수량"/>
      <sheetName val="현장관리비 산출내역"/>
      <sheetName val="철거산출근거"/>
      <sheetName val="오억미만"/>
      <sheetName val="고창방향"/>
      <sheetName val="설비2차"/>
      <sheetName val="ENTRY"/>
      <sheetName val="설명서"/>
      <sheetName val="예정공정표"/>
      <sheetName val="표지1"/>
      <sheetName val="부하(성남)"/>
      <sheetName val="영창26"/>
      <sheetName val="Front"/>
      <sheetName val="wall"/>
      <sheetName val="3.하중산정4.지지력"/>
      <sheetName val="수입"/>
      <sheetName val="기성2"/>
      <sheetName val="예정(3)"/>
      <sheetName val="건축공사수량"/>
      <sheetName val="2.가로등(영구)"/>
      <sheetName val="Factor"/>
      <sheetName val="General Data"/>
      <sheetName val="기구조직"/>
      <sheetName val="DATA1"/>
      <sheetName val="타견적(을)"/>
      <sheetName val="부시수량"/>
      <sheetName val="공사원가"/>
      <sheetName val="관내역"/>
      <sheetName val="내역(토목)"/>
      <sheetName val="시화점실행"/>
      <sheetName val="3BL공동구 수량"/>
      <sheetName val="증감내역서"/>
      <sheetName val="Code"/>
      <sheetName val="계정"/>
      <sheetName val="남양시작동자105노65기1.3화1.2"/>
      <sheetName val="남양시작동010313100%"/>
      <sheetName val="조명율"/>
      <sheetName val="항목등록"/>
      <sheetName val="남양구조시험동"/>
      <sheetName val="단위수량산출"/>
      <sheetName val="식재일위대가"/>
      <sheetName val="CC16-내역서"/>
      <sheetName val="단위수량"/>
      <sheetName val="단가입력창"/>
      <sheetName val="공종단가표 "/>
      <sheetName val="산출2-기기동력"/>
      <sheetName val="환율 및 노임"/>
      <sheetName val="속 일위대가"/>
      <sheetName val="자재단가대비표"/>
      <sheetName val="전선관"/>
      <sheetName val="자재단가집계"/>
      <sheetName val="가격"/>
      <sheetName val="내역서(기성청구)"/>
      <sheetName val="날개벽"/>
      <sheetName val="암거단위"/>
      <sheetName val="횡 연장"/>
      <sheetName val="2000,9월 일위"/>
      <sheetName val="품의서(0217)"/>
      <sheetName val="월별"/>
      <sheetName val="가감수량(2호)"/>
      <sheetName val="맨홀수량산출(2호)"/>
      <sheetName val="기타공사"/>
      <sheetName val="단청(제외)"/>
      <sheetName val="목공집계"/>
      <sheetName val="미장(2)"/>
      <sheetName val="운반"/>
      <sheetName val="지붕(기와)"/>
      <sheetName val="200"/>
      <sheetName val="코드표"/>
      <sheetName val="1.설계기준"/>
      <sheetName val="신우"/>
      <sheetName val="차수"/>
      <sheetName val="※참고자료※"/>
      <sheetName val="재정비내역"/>
      <sheetName val="지적고시내역"/>
      <sheetName val="인건비 "/>
      <sheetName val="table"/>
      <sheetName val="왕십리방향"/>
      <sheetName val="중기사용료"/>
      <sheetName val="1공구내역서(1)"/>
      <sheetName val="신규품셈목차"/>
      <sheetName val="시중노임단가"/>
      <sheetName val="결재판(삭제하지말아주세요)"/>
      <sheetName val="O＆P"/>
      <sheetName val="일위_파일"/>
      <sheetName val="구조물철거타공정이월"/>
      <sheetName val="자재표"/>
      <sheetName val="목차 "/>
      <sheetName val="계획서"/>
      <sheetName val="연장"/>
      <sheetName val="위치도(점용허가용)"/>
      <sheetName val="기계경비일람"/>
      <sheetName val="포장자재집계표"/>
      <sheetName val="INPUTDATA"/>
      <sheetName val="일위대가(건축)"/>
      <sheetName val="내2"/>
      <sheetName val="b_balju_cho"/>
      <sheetName val="집계"/>
      <sheetName val="기준액"/>
      <sheetName val="단가 산출서(산근#1~#102)"/>
      <sheetName val="고개가설"/>
      <sheetName val="재료집계표"/>
      <sheetName val="총괄집계표"/>
      <sheetName val="설계변경조서"/>
      <sheetName val="선급금신청서"/>
      <sheetName val="우각부보강"/>
      <sheetName val="내역서1"/>
      <sheetName val="XXXXXX"/>
      <sheetName val="샘플표지"/>
      <sheetName val="개산공사비"/>
      <sheetName val="FAB별"/>
      <sheetName val="소방"/>
      <sheetName val="도시가스현황"/>
      <sheetName val="결재갑지"/>
      <sheetName val="장비가동"/>
      <sheetName val="Cost bd-&quot;A&quot;"/>
      <sheetName val="아파트"/>
      <sheetName val="부대시설"/>
      <sheetName val="안정검토(온1)"/>
      <sheetName val="공사대장"/>
      <sheetName val="토적계산"/>
      <sheetName val="표  지"/>
      <sheetName val="내역서-전체낙찰율"/>
      <sheetName val="P-산#1-1(WOWA1)"/>
      <sheetName val="현장지지물물량"/>
      <sheetName val="환율표"/>
      <sheetName val="한일양산"/>
      <sheetName val="심사물량"/>
      <sheetName val="심사계산"/>
      <sheetName val="3연box"/>
      <sheetName val="단 box"/>
      <sheetName val="설계서(본관)"/>
      <sheetName val="투입비"/>
      <sheetName val="철근량"/>
      <sheetName val="물가대비표"/>
      <sheetName val="XREF"/>
      <sheetName val="감가상각누계액"/>
      <sheetName val="환경기계공정표 (3)"/>
      <sheetName val="암거단위-1련"/>
      <sheetName val="프랜트면허"/>
      <sheetName val="5.전사투자계획종함안"/>
      <sheetName val="도급원가"/>
      <sheetName val="관람석제출"/>
      <sheetName val="HVAC"/>
      <sheetName val="woo(mac)"/>
      <sheetName val="직원투입계획"/>
      <sheetName val="부속동"/>
      <sheetName val="36+45-113-18+19+20I"/>
      <sheetName val="내역표지"/>
      <sheetName val="부표총괄표"/>
      <sheetName val="산출내역(K2)"/>
      <sheetName val="구조물공"/>
      <sheetName val="제출내역 (2)"/>
      <sheetName val="6공구(당초)"/>
      <sheetName val="부대공"/>
      <sheetName val="공사비집계"/>
      <sheetName val="투찰"/>
      <sheetName val="자재_집계표1"/>
      <sheetName val="귀래_설계_공내역서1"/>
      <sheetName val="전선_및_전선관1"/>
      <sheetName val="2_대외공문"/>
      <sheetName val="공사별_가중치_산출근거(토목)"/>
      <sheetName val="상_부"/>
      <sheetName val="운동장_(2)"/>
      <sheetName val="1차_내역서1"/>
      <sheetName val="_견적서"/>
      <sheetName val="수량계산서_집계표(가설_신설_및_철거-을지로3가_3호선)"/>
      <sheetName val="수량계산서_집계표(신설-을지로3가_3호선)"/>
      <sheetName val="수량계산서_집계표(철거-을지로3가_3호선)"/>
      <sheetName val="3_바닥판__"/>
      <sheetName val="날개벽(좌,우=45도,75도)"/>
      <sheetName val="견"/>
      <sheetName val="증감대비"/>
      <sheetName val="SUMMARY(S)"/>
      <sheetName val="경율산정.XLS"/>
      <sheetName val="Ȁ_x0004_夁瓅"/>
      <sheetName val="관기성공.내"/>
      <sheetName val="중갑지"/>
      <sheetName val="청천내"/>
      <sheetName val="잡철물"/>
      <sheetName val="영동(D)"/>
      <sheetName val="3.바닥판설계"/>
      <sheetName val="노 무 비"/>
      <sheetName val="분류"/>
      <sheetName val="RAW DATA"/>
      <sheetName val="도급"/>
      <sheetName val="cal"/>
      <sheetName val="#3_일위대가목록"/>
      <sheetName val="6.가격조사서 "/>
      <sheetName val="DATA_Garak"/>
      <sheetName val="DATA_Total"/>
      <sheetName val="DATA_Kwangju"/>
      <sheetName val="DATA_Daejeon"/>
      <sheetName val="DATA_Sadang"/>
      <sheetName val="DATA_Yangjae"/>
      <sheetName val="DATA_Yoido"/>
      <sheetName val="DATA_Ulsan"/>
      <sheetName val="DATA_Incheon"/>
      <sheetName val="DATA_Jeonju"/>
      <sheetName val="토공정보"/>
      <sheetName val="신.분"/>
      <sheetName val="견적대비표"/>
      <sheetName val="테이블"/>
      <sheetName val="공사비총괄표"/>
      <sheetName val="물량표"/>
      <sheetName val="직노"/>
      <sheetName val="연결임시"/>
      <sheetName val="안내"/>
      <sheetName val="입력"/>
      <sheetName val="대비표"/>
      <sheetName val="대비표(토공1안)"/>
      <sheetName val="방호시설검토"/>
      <sheetName val="LF자재단가"/>
      <sheetName val="예산M12A"/>
      <sheetName val="SCHEDULE"/>
      <sheetName val="ELECTRIC"/>
      <sheetName val="세부내역서"/>
      <sheetName val="보차도경계석"/>
      <sheetName val="일위집계(기존)"/>
      <sheetName val="1,2공구원가계산서"/>
      <sheetName val="Macro2"/>
      <sheetName val="1공구산출내역서"/>
      <sheetName val="Macro1"/>
      <sheetName val="설계내역서 "/>
      <sheetName val="1단계"/>
      <sheetName val="소비자가"/>
      <sheetName val="설직재-1"/>
      <sheetName val="제직재"/>
      <sheetName val="투찰내역"/>
      <sheetName val="대비"/>
      <sheetName val="H-pile(298x299)"/>
      <sheetName val="H-pile(250x250)"/>
      <sheetName val="노임 단가"/>
      <sheetName val="기타경비"/>
      <sheetName val="잔토처리"/>
      <sheetName val="터파기,되메우기,램머,코아"/>
      <sheetName val="절단,포장깨기"/>
      <sheetName val="ETC"/>
      <sheetName val="관계주식"/>
      <sheetName val="토목내역서"/>
      <sheetName val="냉천부속동"/>
      <sheetName val="ilch"/>
      <sheetName val="1안내역"/>
      <sheetName val="무시"/>
      <sheetName val="건축(APT,부대동)"/>
      <sheetName val="VXXXXX"/>
      <sheetName val="POOM_MOTO"/>
      <sheetName val="POOM_MOTO2"/>
      <sheetName val="000000"/>
      <sheetName val="교대"/>
      <sheetName val="교대철근집계"/>
      <sheetName val="카메라"/>
      <sheetName val="토목-물가"/>
      <sheetName val="F4-F7"/>
      <sheetName val="전익정산집계"/>
      <sheetName val="Sheet7(ㅅ)"/>
      <sheetName val="별표 "/>
      <sheetName val="교각1"/>
      <sheetName val="건축공사"/>
      <sheetName val="덕전리"/>
      <sheetName val="일반전기"/>
      <sheetName val="AS복구"/>
      <sheetName val="중기터파기"/>
      <sheetName val="변수값"/>
      <sheetName val="중기상차"/>
      <sheetName val="EQUIP LIST"/>
      <sheetName val="배수관토공"/>
      <sheetName val="99.12"/>
      <sheetName val="날개벽(시점좌측)"/>
      <sheetName val="예가비교표"/>
      <sheetName val="일위(PN)"/>
      <sheetName val="전문품의"/>
      <sheetName val="유기공정"/>
      <sheetName val="견적대비"/>
      <sheetName val="공량산출서"/>
      <sheetName val="당초"/>
      <sheetName val="106C0300"/>
      <sheetName val="단"/>
      <sheetName val="J直材4"/>
      <sheetName val="도급FORM"/>
      <sheetName val="일반문틀 설치"/>
      <sheetName val="샌딩 에폭시 도장"/>
      <sheetName val="스텐문틀설치"/>
      <sheetName val="항목(1)"/>
      <sheetName val="BOOK4"/>
      <sheetName val="역T형교대(말뚝기초)"/>
      <sheetName val="일목"/>
      <sheetName val="도급내역서(3)"/>
      <sheetName val="CON'C"/>
      <sheetName val="일위대가(내역)"/>
      <sheetName val="foxz"/>
      <sheetName val="실행집계"/>
      <sheetName val="원실행"/>
      <sheetName val="공통가설계"/>
      <sheetName val="공통가설비"/>
      <sheetName val="현관계"/>
      <sheetName val="원가LIST"/>
      <sheetName val="월별투입계획"/>
      <sheetName val="el\설계서\수목일위.XLS]데이타"/>
      <sheetName val="현황"/>
      <sheetName val="현황(1공구)"/>
      <sheetName val="현황(2공구)"/>
      <sheetName val="현황(3공구)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터널구조물산근"/>
      <sheetName val="도로구조물산근"/>
      <sheetName val="터널굴착단산"/>
      <sheetName val="장약패턴90M2"/>
      <sheetName val="토공산근"/>
      <sheetName val="단가산출근거"/>
      <sheetName val="구조물공수량명세서"/>
      <sheetName val="실행내역서"/>
      <sheetName val="1.토공"/>
      <sheetName val="2.배수공"/>
      <sheetName val="3.구조물공"/>
      <sheetName val="4.포장공"/>
      <sheetName val="5부대공"/>
      <sheetName val="6사급자재대"/>
      <sheetName val="공통가설공"/>
      <sheetName val="BASIC1"/>
      <sheetName val="재료비"/>
      <sheetName val="중기비"/>
      <sheetName val="공사비"/>
      <sheetName val="가드레일산근"/>
      <sheetName val="적용2002"/>
      <sheetName val="중기"/>
      <sheetName val="PACKING LIST"/>
      <sheetName val="조경공사(총괄)"/>
      <sheetName val="지주목 및 비료산출기준"/>
      <sheetName val="지주목및비료산출"/>
      <sheetName val="시설물수량산출서"/>
      <sheetName val="수량집계A"/>
      <sheetName val="철근집계A"/>
      <sheetName val="el\설계서\수목일위.XLS"/>
      <sheetName val="물가시세"/>
      <sheetName val="1. 설계예산서"/>
      <sheetName val="2. 목차"/>
      <sheetName val="3.설계설명서"/>
      <sheetName val="4.시방서갑지"/>
      <sheetName val="5.시방서(일반시방서)"/>
      <sheetName val="6.시방서갑지(특기)"/>
      <sheetName val="7.예정공정표"/>
      <sheetName val="8. 설계예산서"/>
      <sheetName val="16.설계서용지(갑)"/>
      <sheetName val="17. 내역서갑지"/>
      <sheetName val="공종별집계표"/>
      <sheetName val="내 역 서"/>
      <sheetName val="일 위 대 가 표"/>
      <sheetName val="일위대가표(자동제어반제작)"/>
      <sheetName val="수 량 산 출 서"/>
      <sheetName val="계통도갑지"/>
      <sheetName val="일위대가 "/>
      <sheetName val="예산내역서"/>
      <sheetName val="총계"/>
      <sheetName val="원가서"/>
      <sheetName val="기계경비산출기준"/>
      <sheetName val="노무"/>
      <sheetName val="실행(ALT1)"/>
      <sheetName val="변경내역"/>
      <sheetName val="BOJUNGGM"/>
      <sheetName val="가시설"/>
      <sheetName val="기초단가"/>
      <sheetName val="결재판"/>
      <sheetName val="중기조종사 단위단가"/>
      <sheetName val="관접합및부설"/>
      <sheetName val="장비집계"/>
      <sheetName val="nys"/>
      <sheetName val="관급자재"/>
      <sheetName val="폐기물"/>
      <sheetName val="다공관8"/>
      <sheetName val="다공관12"/>
      <sheetName val="다공관20"/>
      <sheetName val="다공관22"/>
      <sheetName val="영구ANCHOR(1사면)"/>
      <sheetName val="영구ANCHOR(8-2사면)"/>
      <sheetName val="격자블럭공"/>
      <sheetName val="격자블럭호표"/>
      <sheetName val="장비손료"/>
      <sheetName val="공사설명서"/>
      <sheetName val="토공총괄표"/>
      <sheetName val="계산서(곡선부)"/>
      <sheetName val="16-1"/>
      <sheetName val="요율"/>
      <sheetName val="전기일위목록"/>
      <sheetName val="전기대가"/>
      <sheetName val="산출조서표지"/>
      <sheetName val="공량산출"/>
      <sheetName val="단가산출_목록"/>
      <sheetName val="L_RPTA05_목록"/>
      <sheetName val="(A)내역서"/>
      <sheetName val="건축공사집계"/>
      <sheetName val="단위세대물량"/>
      <sheetName val="익월작업계힉"/>
      <sheetName val="설계서(7)"/>
      <sheetName val="예산서(6)"/>
      <sheetName val="단가산출서 (2)"/>
      <sheetName val="단가산출서"/>
      <sheetName val="빙장비사양"/>
      <sheetName val="장비사양"/>
      <sheetName val="변경총괄지(1)"/>
      <sheetName val="노단"/>
      <sheetName val="guard(mac)"/>
      <sheetName val="변화치수"/>
      <sheetName val="Sheet17"/>
      <sheetName val="교각계산"/>
      <sheetName val="관로토공"/>
      <sheetName val="중기손료"/>
      <sheetName val="퇴직공제부금산출근거"/>
      <sheetName val="유림골조"/>
      <sheetName val="피벗테이블데이터분석"/>
      <sheetName val="평균높이산출근거"/>
      <sheetName val="횡배수관위치조서"/>
      <sheetName val="CTEMCOST"/>
      <sheetName val="Sheet5"/>
      <sheetName val="PC"/>
      <sheetName val="배수관공"/>
      <sheetName val="48일위"/>
      <sheetName val="48수량"/>
      <sheetName val="22수량"/>
      <sheetName val="49일위"/>
      <sheetName val="22일위"/>
      <sheetName val="49수량"/>
      <sheetName val="설계기준 및 하중계산"/>
      <sheetName val="Apt내역"/>
      <sheetName val="96보완계획7.12"/>
      <sheetName val="현장경비"/>
      <sheetName val="type-F"/>
      <sheetName val="동일대내"/>
      <sheetName val="예산서"/>
      <sheetName val="입출재고현황 (2)"/>
      <sheetName val="공종별자재"/>
      <sheetName val="MAT"/>
      <sheetName val="자금청구"/>
      <sheetName val="기성고조서 "/>
      <sheetName val="봉급(직영)"/>
      <sheetName val="99년신청"/>
      <sheetName val="우수받이"/>
      <sheetName val="대로근거"/>
      <sheetName val="도배공사언고"/>
      <sheetName val="용수량(생활용수)"/>
      <sheetName val="전체제잡비"/>
      <sheetName val="세골재  T2 변경 현황"/>
      <sheetName val="단가비교표"/>
      <sheetName val="3차설계"/>
      <sheetName val="연결관산출조서"/>
      <sheetName val="목표세부명세"/>
      <sheetName val="MAT_N048"/>
      <sheetName val="공주-교대(A1)"/>
      <sheetName val="BQ"/>
      <sheetName val="골재집계"/>
      <sheetName val="절감계산(보일러)"/>
      <sheetName val="copy"/>
      <sheetName val="서식"/>
      <sheetName val="갑지(추정)"/>
      <sheetName val="제2~4호표"/>
      <sheetName val="2-나.물가조사서"/>
      <sheetName val="기슭막이(야면석찰쌓기)"/>
      <sheetName val="단가표"/>
      <sheetName val="c_balju"/>
      <sheetName val="기준표"/>
      <sheetName val="사급자재비"/>
      <sheetName val="대,유,램"/>
      <sheetName val="구의33고"/>
      <sheetName val="계측제어설비"/>
      <sheetName val="-레미콘집계"/>
      <sheetName val="자갈,시멘트,모래산출"/>
      <sheetName val="-철근집계"/>
      <sheetName val="포장재료(1)"/>
      <sheetName val="-흄관집계"/>
      <sheetName val="계획금액"/>
      <sheetName val="2003상반기노임기준"/>
      <sheetName val="산출기초"/>
      <sheetName val="값"/>
      <sheetName val="버스운행안내"/>
      <sheetName val="근태계획서"/>
      <sheetName val="예방접종계획"/>
      <sheetName val="45,46"/>
      <sheetName val="PL단가산정"/>
      <sheetName val="그림"/>
      <sheetName val="그림2"/>
      <sheetName val="앉음벽 (2)"/>
      <sheetName val="기별(종합)"/>
      <sheetName val="수로교총재료집계"/>
      <sheetName val="설계예산2"/>
      <sheetName val="보건노"/>
      <sheetName val="단가입력"/>
      <sheetName val="Macro(차단기)"/>
      <sheetName val="실행대비"/>
      <sheetName val="사통"/>
      <sheetName val="산출기준(파견전산실)"/>
      <sheetName val="10월"/>
      <sheetName val="접속도로"/>
      <sheetName val="빌딩 안내"/>
      <sheetName val="지입재료비"/>
      <sheetName val="인부노임"/>
      <sheetName val="중로근거"/>
      <sheetName val="매원개착터널총괄"/>
      <sheetName val="IBM UX"/>
      <sheetName val="일위1"/>
      <sheetName val="참조-(1)"/>
      <sheetName val="자동제어"/>
      <sheetName val="N賃԰_x0000__x0000_"/>
      <sheetName val="경비산출"/>
      <sheetName val="공용시설내역"/>
      <sheetName val="PriceSummary"/>
      <sheetName val="포항보고서"/>
      <sheetName val="포장집계"/>
      <sheetName val="포장연장"/>
      <sheetName val="성곽내역헾"/>
      <sheetName val="자재단가_사급"/>
      <sheetName val="중기기준"/>
      <sheetName val="중기적산목록"/>
      <sheetName val="mcc일위대가"/>
      <sheetName val="수량3"/>
      <sheetName val="주소록"/>
      <sheetName val="관급"/>
      <sheetName val="마북 손익분석(CATIA)"/>
      <sheetName val="단중표-ST"/>
      <sheetName val="C3"/>
      <sheetName val="0.갑지"/>
      <sheetName val="8.현장관리비"/>
      <sheetName val="7.안전관리비"/>
      <sheetName val="2.토목공사"/>
      <sheetName val="1회기성을"/>
      <sheetName val="단가비교표_공통1"/>
      <sheetName val="기성내역서"/>
      <sheetName val="현금"/>
      <sheetName val="케이블류 OLD"/>
      <sheetName val="unitpric"/>
      <sheetName val="공조기"/>
      <sheetName val="공조기휀"/>
      <sheetName val="AHU집계"/>
      <sheetName val="표층포설및다짐"/>
      <sheetName val="도"/>
      <sheetName val="업무분장"/>
      <sheetName val="산출동탄"/>
      <sheetName val="과단위"/>
      <sheetName val="3련 BOX"/>
      <sheetName val="기성(1차) "/>
      <sheetName val="도장재료산출"/>
      <sheetName val="설비"/>
      <sheetName val="Macro7"/>
      <sheetName val="평형별㓈_x0019_؟"/>
      <sheetName val="09공임"/>
      <sheetName val="기중"/>
      <sheetName val="일위2"/>
      <sheetName val="J01"/>
      <sheetName val="제경비"/>
      <sheetName val="기준비용"/>
      <sheetName val="UPDATA"/>
      <sheetName val="마감LIST-1"/>
      <sheetName val="제수문"/>
      <sheetName val="1호토공"/>
      <sheetName val="좌홍배수장"/>
      <sheetName val="좌홍배수장토공"/>
      <sheetName val="SPC노임(5월)"/>
      <sheetName val="총괄집퀀ᦔ"/>
      <sheetName val="연돌일退←_xdc00_"/>
      <sheetName val="연돌일위退←"/>
      <sheetName val="연돌일_x0000__x0000_Ԁ"/>
      <sheetName val="선급비용"/>
      <sheetName val="99년하반기"/>
      <sheetName val="목동세대 산출근거"/>
      <sheetName val="대구실행"/>
      <sheetName val="배관내역서"/>
      <sheetName val="배관품셈총괄표"/>
      <sheetName val="해평견적"/>
      <sheetName val="본선 토공 분배표"/>
      <sheetName val="자재조사표"/>
      <sheetName val="분양가상한산출"/>
      <sheetName val="기계경비(시간당)"/>
      <sheetName val="램머"/>
      <sheetName val="내역서(ebs)"/>
      <sheetName val="3.부제O호표"/>
      <sheetName val="4.장비손료"/>
      <sheetName val="5.소모재료비"/>
      <sheetName val="9.공삭공지층별작업시간"/>
      <sheetName val="7.주입분사시간제원표"/>
      <sheetName val="6.작업시간표"/>
      <sheetName val="8.시멘트제원표"/>
      <sheetName val="2.품제O호표"/>
      <sheetName val="1.총괄표1500mm"/>
      <sheetName val="가시설수량"/>
      <sheetName val="1SGATE97"/>
      <sheetName val="운반공"/>
      <sheetName val="공사현황"/>
      <sheetName val="제잡비계산"/>
      <sheetName val="96노임기준"/>
      <sheetName val="분석가정"/>
      <sheetName val="단청(1)제외"/>
      <sheetName val="미장및수장"/>
      <sheetName val="수리보고"/>
    </sheetNames>
    <sheetDataSet>
      <sheetData sheetId="0" refreshError="1"/>
      <sheetData sheetId="1" refreshError="1"/>
      <sheetData sheetId="2" refreshError="1"/>
      <sheetData sheetId="3" refreshError="1">
        <row r="2">
          <cell r="E2">
            <v>23200</v>
          </cell>
        </row>
        <row r="5">
          <cell r="B5">
            <v>0.09</v>
          </cell>
        </row>
        <row r="18">
          <cell r="B18">
            <v>0.14000000000000001</v>
          </cell>
          <cell r="C18">
            <v>0.09</v>
          </cell>
        </row>
        <row r="19">
          <cell r="B19">
            <v>0.23</v>
          </cell>
          <cell r="C19">
            <v>0.14000000000000001</v>
          </cell>
        </row>
        <row r="20">
          <cell r="B20">
            <v>0.32</v>
          </cell>
          <cell r="C20">
            <v>0.19</v>
          </cell>
        </row>
        <row r="22">
          <cell r="B22">
            <v>0.5</v>
          </cell>
          <cell r="C22">
            <v>0.28999999999999998</v>
          </cell>
        </row>
        <row r="24">
          <cell r="B24">
            <v>0.68</v>
          </cell>
          <cell r="C24">
            <v>0.39</v>
          </cell>
        </row>
        <row r="48">
          <cell r="B48">
            <v>0.11</v>
          </cell>
          <cell r="C48">
            <v>7.0000000000000007E-2</v>
          </cell>
        </row>
        <row r="49">
          <cell r="B49">
            <v>0.17</v>
          </cell>
          <cell r="C49">
            <v>0.1</v>
          </cell>
        </row>
        <row r="50">
          <cell r="B50">
            <v>0.23</v>
          </cell>
          <cell r="C50">
            <v>0.14000000000000001</v>
          </cell>
        </row>
        <row r="51">
          <cell r="B51">
            <v>0.3</v>
          </cell>
          <cell r="C51">
            <v>0.18</v>
          </cell>
        </row>
        <row r="52">
          <cell r="B52">
            <v>0.37</v>
          </cell>
          <cell r="C52">
            <v>0.22</v>
          </cell>
        </row>
        <row r="54">
          <cell r="B54">
            <v>0.51</v>
          </cell>
          <cell r="C54">
            <v>0.3</v>
          </cell>
        </row>
        <row r="56">
          <cell r="B56">
            <v>0.65</v>
          </cell>
          <cell r="C56">
            <v>0.39</v>
          </cell>
        </row>
        <row r="59">
          <cell r="B59">
            <v>0.87</v>
          </cell>
          <cell r="C59">
            <v>0.52</v>
          </cell>
        </row>
      </sheetData>
      <sheetData sheetId="4" refreshError="1"/>
      <sheetData sheetId="5" refreshError="1">
        <row r="2">
          <cell r="E2">
            <v>23200</v>
          </cell>
        </row>
        <row r="3">
          <cell r="E3">
            <v>44600</v>
          </cell>
        </row>
        <row r="4">
          <cell r="E4">
            <v>66500</v>
          </cell>
        </row>
        <row r="5">
          <cell r="E5">
            <v>123000</v>
          </cell>
        </row>
        <row r="6">
          <cell r="E6">
            <v>3600</v>
          </cell>
        </row>
        <row r="7">
          <cell r="E7">
            <v>6400</v>
          </cell>
        </row>
        <row r="8">
          <cell r="E8">
            <v>13000</v>
          </cell>
        </row>
        <row r="9">
          <cell r="E9">
            <v>22300</v>
          </cell>
        </row>
        <row r="10">
          <cell r="E10">
            <v>47700</v>
          </cell>
        </row>
        <row r="11">
          <cell r="E11">
            <v>203800</v>
          </cell>
        </row>
        <row r="12">
          <cell r="E12">
            <v>407710</v>
          </cell>
        </row>
        <row r="13">
          <cell r="E13">
            <v>815430</v>
          </cell>
        </row>
        <row r="14">
          <cell r="E14">
            <v>1630860</v>
          </cell>
        </row>
        <row r="15">
          <cell r="E15">
            <v>6100</v>
          </cell>
        </row>
        <row r="16">
          <cell r="E16">
            <v>9700</v>
          </cell>
        </row>
        <row r="17">
          <cell r="E17">
            <v>13500</v>
          </cell>
        </row>
        <row r="18">
          <cell r="E18">
            <v>20800</v>
          </cell>
        </row>
        <row r="19">
          <cell r="E19">
            <v>37500</v>
          </cell>
        </row>
        <row r="20">
          <cell r="E20">
            <v>18600</v>
          </cell>
        </row>
        <row r="21">
          <cell r="E21">
            <v>42000</v>
          </cell>
        </row>
        <row r="22">
          <cell r="E22">
            <v>41500</v>
          </cell>
        </row>
        <row r="23">
          <cell r="E23">
            <v>68250</v>
          </cell>
        </row>
        <row r="24">
          <cell r="E24">
            <v>76100</v>
          </cell>
        </row>
        <row r="25">
          <cell r="E25">
            <v>157500</v>
          </cell>
        </row>
        <row r="26">
          <cell r="E26">
            <v>127000</v>
          </cell>
        </row>
        <row r="27">
          <cell r="E27">
            <v>380</v>
          </cell>
        </row>
        <row r="28">
          <cell r="E28">
            <v>910</v>
          </cell>
        </row>
        <row r="29">
          <cell r="E29">
            <v>1400</v>
          </cell>
        </row>
        <row r="30">
          <cell r="E30">
            <v>3460</v>
          </cell>
        </row>
        <row r="31">
          <cell r="E31">
            <v>3100</v>
          </cell>
        </row>
        <row r="32">
          <cell r="E32">
            <v>5300</v>
          </cell>
        </row>
        <row r="33">
          <cell r="E33">
            <v>8500</v>
          </cell>
        </row>
        <row r="34">
          <cell r="E34">
            <v>23700</v>
          </cell>
        </row>
        <row r="35">
          <cell r="E35">
            <v>71170</v>
          </cell>
        </row>
        <row r="36">
          <cell r="E36">
            <v>4070</v>
          </cell>
        </row>
        <row r="37">
          <cell r="E37">
            <v>5100</v>
          </cell>
        </row>
        <row r="38">
          <cell r="E38">
            <v>10000</v>
          </cell>
        </row>
        <row r="39">
          <cell r="E39">
            <v>23500</v>
          </cell>
        </row>
        <row r="40">
          <cell r="E40">
            <v>45600</v>
          </cell>
        </row>
        <row r="42">
          <cell r="E42">
            <v>27000</v>
          </cell>
        </row>
        <row r="44">
          <cell r="E44">
            <v>2200</v>
          </cell>
        </row>
        <row r="45">
          <cell r="E45">
            <v>3200</v>
          </cell>
        </row>
        <row r="47">
          <cell r="E47">
            <v>22400</v>
          </cell>
        </row>
        <row r="48">
          <cell r="E48">
            <v>271810</v>
          </cell>
        </row>
        <row r="49">
          <cell r="E49">
            <v>327470</v>
          </cell>
        </row>
        <row r="50">
          <cell r="E50">
            <v>427240</v>
          </cell>
        </row>
        <row r="51">
          <cell r="E51">
            <v>1500</v>
          </cell>
        </row>
        <row r="52">
          <cell r="E52">
            <v>2200</v>
          </cell>
        </row>
        <row r="53">
          <cell r="E53">
            <v>5800</v>
          </cell>
        </row>
        <row r="54">
          <cell r="E54">
            <v>14000</v>
          </cell>
        </row>
        <row r="55">
          <cell r="E55">
            <v>20000</v>
          </cell>
        </row>
        <row r="56">
          <cell r="E56">
            <v>30100</v>
          </cell>
        </row>
        <row r="57">
          <cell r="E57">
            <v>45200</v>
          </cell>
        </row>
        <row r="58">
          <cell r="E58">
            <v>13500</v>
          </cell>
        </row>
        <row r="59">
          <cell r="E59">
            <v>25600</v>
          </cell>
        </row>
        <row r="60">
          <cell r="E60">
            <v>55600</v>
          </cell>
        </row>
        <row r="61">
          <cell r="E61">
            <v>13600</v>
          </cell>
        </row>
        <row r="62">
          <cell r="E62">
            <v>42500</v>
          </cell>
        </row>
        <row r="63">
          <cell r="E63">
            <v>50400</v>
          </cell>
        </row>
        <row r="64">
          <cell r="E64">
            <v>82000</v>
          </cell>
        </row>
        <row r="65">
          <cell r="E65">
            <v>18900</v>
          </cell>
        </row>
        <row r="66">
          <cell r="E66">
            <v>52600</v>
          </cell>
        </row>
        <row r="67">
          <cell r="E67">
            <v>98600</v>
          </cell>
        </row>
        <row r="68">
          <cell r="E68">
            <v>148200</v>
          </cell>
        </row>
        <row r="69">
          <cell r="E69">
            <v>48200</v>
          </cell>
        </row>
        <row r="70">
          <cell r="E70">
            <v>164700</v>
          </cell>
        </row>
        <row r="71">
          <cell r="E71">
            <v>294200</v>
          </cell>
        </row>
        <row r="72">
          <cell r="E72">
            <v>411900</v>
          </cell>
        </row>
        <row r="73">
          <cell r="E73">
            <v>258900</v>
          </cell>
        </row>
        <row r="74">
          <cell r="E74">
            <v>482500</v>
          </cell>
        </row>
        <row r="75">
          <cell r="E75">
            <v>765000</v>
          </cell>
        </row>
        <row r="76">
          <cell r="E76">
            <v>5800</v>
          </cell>
        </row>
        <row r="77">
          <cell r="E77">
            <v>12900</v>
          </cell>
        </row>
        <row r="78">
          <cell r="E78">
            <v>29400</v>
          </cell>
        </row>
        <row r="79">
          <cell r="E79">
            <v>52000</v>
          </cell>
        </row>
        <row r="80">
          <cell r="E80">
            <v>91700</v>
          </cell>
        </row>
        <row r="81">
          <cell r="E81">
            <v>12000</v>
          </cell>
        </row>
        <row r="82">
          <cell r="E82">
            <v>18600</v>
          </cell>
        </row>
        <row r="83">
          <cell r="E83">
            <v>33600</v>
          </cell>
        </row>
        <row r="84">
          <cell r="E84">
            <v>61800</v>
          </cell>
        </row>
        <row r="85">
          <cell r="E85">
            <v>244540</v>
          </cell>
        </row>
        <row r="86">
          <cell r="E86">
            <v>24800</v>
          </cell>
        </row>
        <row r="87">
          <cell r="E87">
            <v>36600</v>
          </cell>
        </row>
        <row r="88">
          <cell r="E88">
            <v>54300</v>
          </cell>
        </row>
        <row r="89">
          <cell r="E89">
            <v>85200</v>
          </cell>
        </row>
        <row r="90">
          <cell r="E90">
            <v>220600</v>
          </cell>
        </row>
        <row r="91">
          <cell r="E91">
            <v>367400</v>
          </cell>
        </row>
        <row r="92">
          <cell r="E92">
            <v>4600</v>
          </cell>
        </row>
        <row r="93">
          <cell r="E93">
            <v>7200</v>
          </cell>
        </row>
        <row r="94">
          <cell r="E94">
            <v>13200</v>
          </cell>
        </row>
        <row r="95">
          <cell r="E95">
            <v>30300</v>
          </cell>
        </row>
        <row r="96">
          <cell r="E96">
            <v>164700</v>
          </cell>
        </row>
        <row r="97">
          <cell r="E97">
            <v>12000</v>
          </cell>
        </row>
        <row r="98">
          <cell r="E98">
            <v>19600</v>
          </cell>
        </row>
        <row r="100">
          <cell r="E100">
            <v>64400</v>
          </cell>
        </row>
        <row r="101">
          <cell r="E101">
            <v>20100</v>
          </cell>
        </row>
        <row r="102">
          <cell r="E102">
            <v>30500</v>
          </cell>
        </row>
        <row r="103">
          <cell r="E103">
            <v>63000</v>
          </cell>
        </row>
        <row r="105">
          <cell r="E105">
            <v>173000</v>
          </cell>
        </row>
        <row r="106">
          <cell r="E106">
            <v>361000</v>
          </cell>
        </row>
        <row r="107">
          <cell r="E107">
            <v>476170</v>
          </cell>
        </row>
        <row r="108">
          <cell r="E108">
            <v>663000</v>
          </cell>
        </row>
        <row r="109">
          <cell r="E109">
            <v>998000</v>
          </cell>
        </row>
        <row r="110">
          <cell r="E110">
            <v>2224530</v>
          </cell>
        </row>
        <row r="111">
          <cell r="E111">
            <v>23600</v>
          </cell>
        </row>
        <row r="112">
          <cell r="E112">
            <v>72600</v>
          </cell>
        </row>
        <row r="113">
          <cell r="E113">
            <v>175300</v>
          </cell>
        </row>
        <row r="114">
          <cell r="E114">
            <v>600</v>
          </cell>
        </row>
        <row r="115">
          <cell r="E115">
            <v>29300</v>
          </cell>
        </row>
        <row r="116">
          <cell r="E116">
            <v>82300</v>
          </cell>
        </row>
        <row r="117">
          <cell r="E117">
            <v>120000</v>
          </cell>
        </row>
        <row r="118">
          <cell r="E118">
            <v>180000</v>
          </cell>
        </row>
        <row r="119">
          <cell r="E119">
            <v>8300</v>
          </cell>
        </row>
        <row r="120">
          <cell r="E120">
            <v>25200</v>
          </cell>
        </row>
        <row r="121">
          <cell r="E121">
            <v>25500</v>
          </cell>
        </row>
        <row r="122">
          <cell r="E122">
            <v>49100</v>
          </cell>
        </row>
        <row r="123">
          <cell r="E123">
            <v>81700</v>
          </cell>
        </row>
        <row r="124">
          <cell r="E124">
            <v>25100</v>
          </cell>
        </row>
        <row r="125">
          <cell r="E125">
            <v>40000</v>
          </cell>
        </row>
        <row r="126">
          <cell r="E126">
            <v>77200</v>
          </cell>
        </row>
        <row r="127">
          <cell r="E127">
            <v>136000</v>
          </cell>
        </row>
        <row r="128">
          <cell r="E128">
            <v>2600</v>
          </cell>
        </row>
        <row r="129">
          <cell r="E129">
            <v>8030</v>
          </cell>
        </row>
        <row r="130">
          <cell r="E130">
            <v>12650</v>
          </cell>
        </row>
        <row r="131">
          <cell r="E131">
            <v>10000</v>
          </cell>
        </row>
        <row r="132">
          <cell r="E132">
            <v>18000</v>
          </cell>
        </row>
        <row r="133">
          <cell r="E133">
            <v>36000</v>
          </cell>
        </row>
        <row r="134">
          <cell r="E134">
            <v>54700</v>
          </cell>
        </row>
        <row r="135">
          <cell r="E135">
            <v>97500</v>
          </cell>
        </row>
        <row r="136">
          <cell r="E136">
            <v>289060</v>
          </cell>
        </row>
        <row r="137">
          <cell r="E137">
            <v>12500</v>
          </cell>
        </row>
        <row r="138">
          <cell r="E138">
            <v>23600</v>
          </cell>
        </row>
        <row r="139">
          <cell r="E139">
            <v>43800</v>
          </cell>
        </row>
        <row r="140">
          <cell r="E140">
            <v>81100</v>
          </cell>
        </row>
        <row r="141">
          <cell r="E141">
            <v>2300</v>
          </cell>
        </row>
        <row r="142">
          <cell r="E142">
            <v>10500</v>
          </cell>
        </row>
        <row r="143">
          <cell r="E143">
            <v>16100</v>
          </cell>
        </row>
        <row r="144">
          <cell r="E144">
            <v>33500</v>
          </cell>
        </row>
        <row r="145">
          <cell r="E145">
            <v>4800</v>
          </cell>
        </row>
        <row r="146">
          <cell r="E146">
            <v>11200</v>
          </cell>
        </row>
        <row r="147">
          <cell r="E147">
            <v>21000</v>
          </cell>
        </row>
        <row r="148">
          <cell r="E148">
            <v>180000</v>
          </cell>
        </row>
        <row r="149">
          <cell r="E149">
            <v>308700</v>
          </cell>
        </row>
        <row r="150">
          <cell r="E150">
            <v>372960</v>
          </cell>
        </row>
        <row r="151">
          <cell r="E151">
            <v>406000</v>
          </cell>
        </row>
        <row r="152">
          <cell r="E152">
            <v>1662040</v>
          </cell>
        </row>
        <row r="153">
          <cell r="E153">
            <v>11000</v>
          </cell>
        </row>
        <row r="154">
          <cell r="E154">
            <v>23500</v>
          </cell>
        </row>
        <row r="155">
          <cell r="E155">
            <v>36700</v>
          </cell>
        </row>
        <row r="156">
          <cell r="E156">
            <v>7300</v>
          </cell>
        </row>
        <row r="157">
          <cell r="E157">
            <v>21900</v>
          </cell>
        </row>
        <row r="158">
          <cell r="E158">
            <v>61000</v>
          </cell>
        </row>
        <row r="159">
          <cell r="E159">
            <v>99900</v>
          </cell>
        </row>
        <row r="160">
          <cell r="E160">
            <v>14800</v>
          </cell>
        </row>
        <row r="161">
          <cell r="E161">
            <v>33100</v>
          </cell>
        </row>
        <row r="162">
          <cell r="E162">
            <v>131040</v>
          </cell>
        </row>
        <row r="163">
          <cell r="E163">
            <v>1300</v>
          </cell>
        </row>
        <row r="164">
          <cell r="E164">
            <v>2000</v>
          </cell>
        </row>
        <row r="165">
          <cell r="E165">
            <v>3900</v>
          </cell>
        </row>
        <row r="166">
          <cell r="E166">
            <v>2400</v>
          </cell>
        </row>
        <row r="168">
          <cell r="E168">
            <v>3670</v>
          </cell>
        </row>
        <row r="169">
          <cell r="E169">
            <v>8820</v>
          </cell>
        </row>
        <row r="170">
          <cell r="E170">
            <v>11760</v>
          </cell>
        </row>
        <row r="171">
          <cell r="E171">
            <v>10100</v>
          </cell>
        </row>
        <row r="172">
          <cell r="E172">
            <v>17100</v>
          </cell>
        </row>
        <row r="173">
          <cell r="E173">
            <v>31100</v>
          </cell>
        </row>
        <row r="174">
          <cell r="E174">
            <v>162500</v>
          </cell>
        </row>
        <row r="176">
          <cell r="E176">
            <v>21000</v>
          </cell>
        </row>
        <row r="177">
          <cell r="E177">
            <v>30100</v>
          </cell>
        </row>
        <row r="178">
          <cell r="E178">
            <v>98800</v>
          </cell>
        </row>
        <row r="179">
          <cell r="E179">
            <v>158000</v>
          </cell>
        </row>
        <row r="180">
          <cell r="E180">
            <v>202000</v>
          </cell>
        </row>
        <row r="183">
          <cell r="E183">
            <v>1300</v>
          </cell>
        </row>
        <row r="184">
          <cell r="E184">
            <v>2800</v>
          </cell>
        </row>
        <row r="185">
          <cell r="E185">
            <v>4000</v>
          </cell>
        </row>
        <row r="186">
          <cell r="E186">
            <v>10500</v>
          </cell>
        </row>
        <row r="187">
          <cell r="E187">
            <v>24700</v>
          </cell>
        </row>
        <row r="188">
          <cell r="E188">
            <v>50600</v>
          </cell>
        </row>
        <row r="189">
          <cell r="E189">
            <v>88000</v>
          </cell>
        </row>
        <row r="190">
          <cell r="E190">
            <v>176500</v>
          </cell>
        </row>
        <row r="191">
          <cell r="E191">
            <v>8100</v>
          </cell>
        </row>
        <row r="192">
          <cell r="E192">
            <v>10900</v>
          </cell>
        </row>
        <row r="193">
          <cell r="E193">
            <v>18600</v>
          </cell>
        </row>
        <row r="194">
          <cell r="E194">
            <v>76120</v>
          </cell>
        </row>
        <row r="195">
          <cell r="E195">
            <v>101000</v>
          </cell>
        </row>
        <row r="196">
          <cell r="E196">
            <v>149000</v>
          </cell>
        </row>
        <row r="197">
          <cell r="E197">
            <v>290000</v>
          </cell>
        </row>
        <row r="198">
          <cell r="E198">
            <v>466000</v>
          </cell>
        </row>
        <row r="199">
          <cell r="E199">
            <v>1544760</v>
          </cell>
        </row>
        <row r="200">
          <cell r="E200">
            <v>5600</v>
          </cell>
        </row>
        <row r="201">
          <cell r="E201">
            <v>17200</v>
          </cell>
        </row>
        <row r="202">
          <cell r="E202">
            <v>9200</v>
          </cell>
        </row>
        <row r="203">
          <cell r="E203">
            <v>18200</v>
          </cell>
        </row>
        <row r="204">
          <cell r="E204">
            <v>34700</v>
          </cell>
        </row>
        <row r="205">
          <cell r="E205">
            <v>65100</v>
          </cell>
        </row>
        <row r="206">
          <cell r="E206">
            <v>108000</v>
          </cell>
        </row>
        <row r="207">
          <cell r="E207">
            <v>150000</v>
          </cell>
        </row>
        <row r="210">
          <cell r="E210">
            <v>9500</v>
          </cell>
        </row>
        <row r="211">
          <cell r="E211">
            <v>16000</v>
          </cell>
        </row>
        <row r="212">
          <cell r="E212">
            <v>26400</v>
          </cell>
        </row>
        <row r="213">
          <cell r="E213">
            <v>47700</v>
          </cell>
        </row>
        <row r="214">
          <cell r="E214">
            <v>70600</v>
          </cell>
        </row>
        <row r="215">
          <cell r="E215">
            <v>154700</v>
          </cell>
        </row>
        <row r="216">
          <cell r="E216">
            <v>430</v>
          </cell>
        </row>
        <row r="217">
          <cell r="E217">
            <v>1100</v>
          </cell>
        </row>
        <row r="218">
          <cell r="E218">
            <v>1000</v>
          </cell>
        </row>
        <row r="219">
          <cell r="E219">
            <v>1500</v>
          </cell>
        </row>
        <row r="220">
          <cell r="E220">
            <v>4700</v>
          </cell>
        </row>
        <row r="221">
          <cell r="E221">
            <v>22300</v>
          </cell>
        </row>
        <row r="222">
          <cell r="E222">
            <v>36400</v>
          </cell>
        </row>
        <row r="223">
          <cell r="E223">
            <v>52900</v>
          </cell>
        </row>
        <row r="224">
          <cell r="E224">
            <v>4000</v>
          </cell>
        </row>
        <row r="225">
          <cell r="E225">
            <v>8200</v>
          </cell>
        </row>
        <row r="552">
          <cell r="E552">
            <v>48300</v>
          </cell>
        </row>
      </sheetData>
      <sheetData sheetId="6"/>
      <sheetData sheetId="7"/>
      <sheetData sheetId="8">
        <row r="11">
          <cell r="E11">
            <v>203800</v>
          </cell>
        </row>
      </sheetData>
      <sheetData sheetId="9"/>
      <sheetData sheetId="10">
        <row r="11">
          <cell r="E11">
            <v>203800</v>
          </cell>
        </row>
      </sheetData>
      <sheetData sheetId="11"/>
      <sheetData sheetId="12">
        <row r="11">
          <cell r="E11">
            <v>203800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내역서"/>
      <sheetName val="수량산출"/>
      <sheetName val="중량산출"/>
      <sheetName val="PANEL 중량산출"/>
      <sheetName val="견적대비표"/>
      <sheetName val="배관배선"/>
      <sheetName val="단가대비표"/>
      <sheetName val="성스테이지"/>
      <sheetName val="타견적서 영시스템"/>
      <sheetName val="진명견적"/>
      <sheetName val="직재"/>
      <sheetName val="재집"/>
      <sheetName val="데이타"/>
      <sheetName val="식재인부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공사비예산서"/>
      <sheetName val="설계명세서"/>
      <sheetName val="품셈총괄표"/>
      <sheetName val="품셈(점검)"/>
      <sheetName val="품셈(기타)"/>
      <sheetName val="조사대상목록표"/>
      <sheetName val="노무비"/>
      <sheetName val="노임"/>
      <sheetName val="지중"/>
      <sheetName val="조사대상목록표(전채)"/>
      <sheetName val="ks_1117773779"/>
      <sheetName val="소요자재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총괄"/>
      <sheetName val="본댐"/>
      <sheetName val="도수"/>
      <sheetName val="ssb"/>
      <sheetName val="증감"/>
      <sheetName val="토목"/>
      <sheetName val="국고"/>
      <sheetName val="발전"/>
      <sheetName val="건축"/>
      <sheetName val="건축내역"/>
      <sheetName val="기계"/>
      <sheetName val="전기"/>
      <sheetName val="통신"/>
      <sheetName val="집계"/>
      <sheetName val="챠트"/>
      <sheetName val="물가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기초단가"/>
      <sheetName val="중기손료"/>
      <sheetName val="일위총괄표"/>
      <sheetName val="수량산출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타견적1"/>
      <sheetName val="타견적2"/>
      <sheetName val="타견적3"/>
      <sheetName val="견적대비표"/>
      <sheetName val="내역서"/>
      <sheetName val="단가대비표"/>
      <sheetName val="PANEL 중량산출"/>
      <sheetName val="중량산출"/>
      <sheetName val="수량산출"/>
      <sheetName val="일위총괄표"/>
      <sheetName val="가설"/>
      <sheetName val="data"/>
      <sheetName val="일위_파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>
            <v>3</v>
          </cell>
          <cell r="B3" t="str">
            <v>송라 초,중학교 다목적 강당 무대기계장치</v>
          </cell>
        </row>
        <row r="4">
          <cell r="A4">
            <v>4</v>
          </cell>
          <cell r="B4" t="str">
            <v>다목적강당 무대기계장치</v>
          </cell>
          <cell r="C4" t="str">
            <v/>
          </cell>
          <cell r="D4" t="str">
            <v>L/S</v>
          </cell>
          <cell r="E4">
            <v>1</v>
          </cell>
          <cell r="F4" t="str">
            <v/>
          </cell>
          <cell r="H4" t="str">
            <v>NO.1-00-00</v>
          </cell>
        </row>
        <row r="5">
          <cell r="A5">
            <v>5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H5" t="str">
            <v/>
          </cell>
        </row>
        <row r="6">
          <cell r="A6">
            <v>6</v>
          </cell>
          <cell r="F6" t="str">
            <v/>
          </cell>
        </row>
        <row r="7">
          <cell r="A7">
            <v>7</v>
          </cell>
          <cell r="F7" t="str">
            <v/>
          </cell>
        </row>
        <row r="8">
          <cell r="A8">
            <v>8</v>
          </cell>
          <cell r="F8" t="str">
            <v/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  <cell r="B25" t="str">
            <v>다목적강당 무대기계장치</v>
          </cell>
          <cell r="G25" t="str">
            <v/>
          </cell>
          <cell r="H25" t="str">
            <v>NO.1-00-00</v>
          </cell>
        </row>
        <row r="26">
          <cell r="B26" t="str">
            <v>PLACARD BATTEN</v>
          </cell>
          <cell r="C26" t="str">
            <v>7,400L</v>
          </cell>
          <cell r="D26" t="str">
            <v>SET</v>
          </cell>
          <cell r="E26">
            <v>1</v>
          </cell>
          <cell r="H26" t="str">
            <v>NO.1-01-00</v>
          </cell>
        </row>
        <row r="27">
          <cell r="A27">
            <v>26</v>
          </cell>
          <cell r="B27" t="str">
            <v xml:space="preserve">DRAW CURTAIN </v>
          </cell>
          <cell r="C27" t="str">
            <v>8,660 x 3,300H</v>
          </cell>
          <cell r="D27" t="str">
            <v>SET</v>
          </cell>
          <cell r="E27">
            <v>1</v>
          </cell>
          <cell r="F27" t="str">
            <v/>
          </cell>
          <cell r="H27" t="str">
            <v>NO.1-02-00</v>
          </cell>
        </row>
        <row r="28">
          <cell r="A28">
            <v>27</v>
          </cell>
          <cell r="B28" t="str">
            <v xml:space="preserve">ROLL SCREEN </v>
          </cell>
          <cell r="C28" t="str">
            <v>1,800L x 1,200H</v>
          </cell>
          <cell r="D28" t="str">
            <v>SET</v>
          </cell>
          <cell r="E28">
            <v>1</v>
          </cell>
          <cell r="F28" t="str">
            <v/>
          </cell>
          <cell r="H28" t="str">
            <v>NO.1-03-00</v>
          </cell>
        </row>
        <row r="29">
          <cell r="A29">
            <v>28</v>
          </cell>
          <cell r="B29" t="str">
            <v>ROLL FLAG</v>
          </cell>
          <cell r="C29" t="str">
            <v>3,500L x 2,500H</v>
          </cell>
          <cell r="D29" t="str">
            <v>SET</v>
          </cell>
          <cell r="E29">
            <v>1</v>
          </cell>
          <cell r="H29" t="str">
            <v>NO.1-04-00</v>
          </cell>
        </row>
        <row r="30">
          <cell r="A30">
            <v>29</v>
          </cell>
          <cell r="B30" t="str">
            <v>COVER CURTAIN</v>
          </cell>
          <cell r="C30" t="str">
            <v>8,800 x 3,500H</v>
          </cell>
          <cell r="D30" t="str">
            <v>SET</v>
          </cell>
          <cell r="E30">
            <v>1</v>
          </cell>
          <cell r="H30" t="str">
            <v>NO.1-05-00</v>
          </cell>
        </row>
        <row r="31">
          <cell r="A31">
            <v>30</v>
          </cell>
          <cell r="B31" t="str">
            <v>WINDOW DARKEN CURTAIN</v>
          </cell>
          <cell r="C31" t="str">
            <v>4,050L x 3,500H</v>
          </cell>
          <cell r="D31" t="str">
            <v>SET</v>
          </cell>
          <cell r="E31">
            <v>6</v>
          </cell>
          <cell r="H31" t="str">
            <v>NO.1-06-00</v>
          </cell>
        </row>
        <row r="32">
          <cell r="A32">
            <v>31</v>
          </cell>
          <cell r="B32" t="str">
            <v>DOOR DARKEN CURTAIN</v>
          </cell>
          <cell r="C32" t="str">
            <v>4,050L x 3,500H</v>
          </cell>
          <cell r="D32" t="str">
            <v>SET</v>
          </cell>
          <cell r="E32">
            <v>2</v>
          </cell>
          <cell r="H32" t="str">
            <v>NO.1-06-00</v>
          </cell>
        </row>
        <row r="33">
          <cell r="A33">
            <v>32</v>
          </cell>
          <cell r="B33" t="str">
            <v>GRID IRON</v>
          </cell>
          <cell r="C33" t="str">
            <v>8600L x 900D</v>
          </cell>
          <cell r="D33" t="str">
            <v>L/S</v>
          </cell>
          <cell r="E33">
            <v>1</v>
          </cell>
          <cell r="H33" t="str">
            <v>NO.1-07-00</v>
          </cell>
        </row>
        <row r="34">
          <cell r="A34">
            <v>33</v>
          </cell>
          <cell r="B34" t="str">
            <v>CONTROL PANEL</v>
          </cell>
          <cell r="C34" t="str">
            <v>600L x 1,000H x 250W</v>
          </cell>
          <cell r="D34" t="str">
            <v>SET</v>
          </cell>
          <cell r="E34">
            <v>1</v>
          </cell>
          <cell r="H34" t="str">
            <v>NO.1-08-00</v>
          </cell>
        </row>
        <row r="35">
          <cell r="A35">
            <v>34</v>
          </cell>
          <cell r="B35" t="str">
            <v>CONTROL BOARD</v>
          </cell>
          <cell r="C35" t="str">
            <v/>
          </cell>
          <cell r="D35" t="str">
            <v>SET</v>
          </cell>
          <cell r="E35">
            <v>1</v>
          </cell>
          <cell r="H35" t="str">
            <v>NO.1-09-00</v>
          </cell>
        </row>
        <row r="36">
          <cell r="A36">
            <v>35</v>
          </cell>
          <cell r="B36" t="str">
            <v>배관 및 배선</v>
          </cell>
          <cell r="C36" t="str">
            <v/>
          </cell>
          <cell r="D36" t="str">
            <v>식</v>
          </cell>
          <cell r="E36">
            <v>1</v>
          </cell>
          <cell r="H36" t="str">
            <v>NO.1-10-00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H39" t="str">
            <v/>
          </cell>
        </row>
        <row r="40">
          <cell r="A40">
            <v>39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H40" t="str">
            <v/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 t="e">
            <v>#REF!</v>
          </cell>
        </row>
        <row r="45">
          <cell r="A45" t="e">
            <v>#REF!</v>
          </cell>
        </row>
        <row r="46">
          <cell r="A46" t="e">
            <v>#REF!</v>
          </cell>
        </row>
        <row r="47">
          <cell r="A47" t="e">
            <v>#REF!</v>
          </cell>
          <cell r="B47" t="str">
            <v>공사명: PLACARD BATTEN (7,400L)</v>
          </cell>
          <cell r="H47" t="str">
            <v>NO.1-1-00</v>
          </cell>
        </row>
        <row r="48">
          <cell r="A48" t="e">
            <v>#REF!</v>
          </cell>
          <cell r="B48" t="str">
            <v>MACHINE PART</v>
          </cell>
          <cell r="C48" t="str">
            <v>1.5KW x 4P用</v>
          </cell>
          <cell r="D48" t="str">
            <v>SET</v>
          </cell>
          <cell r="E48">
            <v>1</v>
          </cell>
          <cell r="F48" t="str">
            <v/>
          </cell>
          <cell r="H48" t="str">
            <v>일위대가-1</v>
          </cell>
        </row>
        <row r="49">
          <cell r="A49" t="e">
            <v>#REF!</v>
          </cell>
          <cell r="B49" t="str">
            <v>AL - DRUM</v>
          </cell>
          <cell r="C49" t="str">
            <v>Ø300 x 4줄</v>
          </cell>
          <cell r="D49" t="str">
            <v>EA</v>
          </cell>
          <cell r="E49">
            <v>1</v>
          </cell>
          <cell r="F49" t="str">
            <v>WIRE POINT 4줄</v>
          </cell>
        </row>
        <row r="50">
          <cell r="A50" t="e">
            <v>#REF!</v>
          </cell>
          <cell r="B50" t="str">
            <v>MACHINE FRAME</v>
          </cell>
          <cell r="C50" t="str">
            <v>1.5KW x 4P用</v>
          </cell>
          <cell r="D50" t="str">
            <v>EA</v>
          </cell>
          <cell r="E50">
            <v>1</v>
          </cell>
          <cell r="F50" t="str">
            <v>MACHINE PART 고정용</v>
          </cell>
        </row>
        <row r="51">
          <cell r="A51" t="e">
            <v>#REF!</v>
          </cell>
          <cell r="B51" t="str">
            <v>BOLT, NUT, W/S, S/W</v>
          </cell>
          <cell r="C51" t="str">
            <v>M16 x 50L</v>
          </cell>
          <cell r="D51" t="str">
            <v>SET</v>
          </cell>
          <cell r="E51">
            <v>6</v>
          </cell>
          <cell r="F51" t="str">
            <v xml:space="preserve">M/C FRME 1SET당 6SET이므로 </v>
          </cell>
        </row>
        <row r="52">
          <cell r="A52" t="e">
            <v>#REF!</v>
          </cell>
          <cell r="B52" t="str">
            <v>VERTICAL ROLLER</v>
          </cell>
          <cell r="C52" t="str">
            <v>Ø200 x 22L</v>
          </cell>
          <cell r="D52" t="str">
            <v>EA</v>
          </cell>
          <cell r="E52">
            <v>3</v>
          </cell>
          <cell r="F52" t="str">
            <v xml:space="preserve">WIRE ROPE 1줄당 1SET이므로 </v>
          </cell>
        </row>
        <row r="53">
          <cell r="A53" t="e">
            <v>#REF!</v>
          </cell>
          <cell r="B53" t="str">
            <v>VERTICAL ROLLER</v>
          </cell>
          <cell r="C53" t="str">
            <v>Ø220 x 35L</v>
          </cell>
          <cell r="D53" t="str">
            <v>EA</v>
          </cell>
          <cell r="E53">
            <v>1</v>
          </cell>
          <cell r="F53" t="str">
            <v xml:space="preserve">WIRE ROPE 1줄당 1SET이므로 </v>
          </cell>
        </row>
        <row r="54">
          <cell r="A54" t="e">
            <v>#REF!</v>
          </cell>
          <cell r="B54" t="str">
            <v>BOLT, NUT, W/S, S/W</v>
          </cell>
          <cell r="C54" t="str">
            <v>M16 x 40L</v>
          </cell>
          <cell r="D54" t="str">
            <v>SET</v>
          </cell>
          <cell r="E54">
            <v>16</v>
          </cell>
          <cell r="F54" t="str">
            <v>VERTICAL ROLLER 1SET당 4SET이므로 4줄x4SET = 16SET</v>
          </cell>
        </row>
        <row r="55">
          <cell r="A55" t="e">
            <v>#REF!</v>
          </cell>
          <cell r="B55" t="str">
            <v>WIRE ROPE</v>
          </cell>
          <cell r="C55" t="str">
            <v>Ø6 x 7 x 19</v>
          </cell>
          <cell r="D55" t="str">
            <v>M</v>
          </cell>
          <cell r="E55">
            <v>62</v>
          </cell>
          <cell r="F55" t="str">
            <v>WIRE 1줄당 (7M+7M)=14M, 14x4줄= 56x1.1(할증10%)=61.6M 약 61.6M</v>
          </cell>
          <cell r="G55" t="str">
            <v>10%</v>
          </cell>
        </row>
        <row r="56">
          <cell r="A56" t="e">
            <v>#REF!</v>
          </cell>
          <cell r="B56" t="str">
            <v>WIRE CLIP</v>
          </cell>
          <cell r="C56" t="str">
            <v>Ø6용</v>
          </cell>
          <cell r="D56" t="str">
            <v>EA</v>
          </cell>
          <cell r="E56">
            <v>16</v>
          </cell>
          <cell r="F56" t="str">
            <v>WIRE 1줄당 4EA이므로, 4EAx4줄= 16EA</v>
          </cell>
          <cell r="G56" t="str">
            <v/>
          </cell>
        </row>
        <row r="57">
          <cell r="A57" t="e">
            <v>#REF!</v>
          </cell>
          <cell r="B57" t="str">
            <v>THIMBLE</v>
          </cell>
          <cell r="C57" t="str">
            <v>Ø6용</v>
          </cell>
          <cell r="D57" t="str">
            <v>EA</v>
          </cell>
          <cell r="E57">
            <v>4</v>
          </cell>
          <cell r="F57" t="str">
            <v>WIRE 1줄당 1EA이므로, 1EAx4줄= 4EA</v>
          </cell>
        </row>
        <row r="58">
          <cell r="A58" t="e">
            <v>#REF!</v>
          </cell>
          <cell r="B58" t="str">
            <v>SHACKLE</v>
          </cell>
          <cell r="C58" t="str">
            <v>#10</v>
          </cell>
          <cell r="D58" t="str">
            <v>EA</v>
          </cell>
          <cell r="E58">
            <v>4</v>
          </cell>
          <cell r="F58" t="str">
            <v>WIRE 1줄당 1EA이므로, 1EAx4줄= 4EA</v>
          </cell>
        </row>
        <row r="59">
          <cell r="A59" t="e">
            <v>#REF!</v>
          </cell>
          <cell r="B59" t="str">
            <v>PIPE BAND</v>
          </cell>
          <cell r="C59" t="str">
            <v>Ø48.6 용</v>
          </cell>
          <cell r="D59" t="str">
            <v>EA</v>
          </cell>
          <cell r="E59">
            <v>4</v>
          </cell>
          <cell r="F59" t="str">
            <v>WIRE 1줄당 1EA이므로, 1EAx4줄= 4EA</v>
          </cell>
        </row>
        <row r="60">
          <cell r="A60" t="e">
            <v>#REF!</v>
          </cell>
          <cell r="B60" t="str">
            <v>BOLT,NUT,W/S,S/W</v>
          </cell>
          <cell r="C60" t="str">
            <v>M10 x 30L</v>
          </cell>
          <cell r="D60" t="str">
            <v>SET</v>
          </cell>
          <cell r="E60">
            <v>8</v>
          </cell>
          <cell r="F60" t="str">
            <v>WIRE 1줄당 2EA이므로, 2EAx4줄= 8EA</v>
          </cell>
        </row>
        <row r="61">
          <cell r="A61" t="e">
            <v>#REF!</v>
          </cell>
          <cell r="B61" t="str">
            <v>PIPE</v>
          </cell>
          <cell r="C61" t="str">
            <v>Ø48.6</v>
          </cell>
          <cell r="D61" t="str">
            <v>본</v>
          </cell>
          <cell r="E61">
            <v>2</v>
          </cell>
          <cell r="F61" t="str">
            <v>PIPE 本당 6M이므로 7.4/6= 1.23本  약 2本</v>
          </cell>
        </row>
        <row r="62">
          <cell r="A62" t="e">
            <v>#REF!</v>
          </cell>
          <cell r="B62" t="str">
            <v>PIPE CAP</v>
          </cell>
          <cell r="C62" t="str">
            <v>Ø48.6용</v>
          </cell>
          <cell r="D62" t="str">
            <v>EA</v>
          </cell>
          <cell r="E62">
            <v>2</v>
          </cell>
          <cell r="F62" t="str">
            <v>양끝단 처리</v>
          </cell>
        </row>
        <row r="63">
          <cell r="A63" t="e">
            <v>#REF!</v>
          </cell>
          <cell r="B63" t="str">
            <v>PIPE JOINT</v>
          </cell>
          <cell r="C63" t="str">
            <v>Ø48.6용</v>
          </cell>
          <cell r="D63" t="str">
            <v>EA</v>
          </cell>
          <cell r="E63">
            <v>1</v>
          </cell>
          <cell r="F63" t="str">
            <v>PIPE 2本이므로 연결부분 1SET</v>
          </cell>
          <cell r="G63" t="str">
            <v/>
          </cell>
          <cell r="H63" t="str">
            <v/>
          </cell>
        </row>
        <row r="64">
          <cell r="A64" t="e">
            <v>#REF!</v>
          </cell>
          <cell r="B64" t="str">
            <v>도 장 비</v>
          </cell>
          <cell r="C64" t="str">
            <v>각 2회</v>
          </cell>
          <cell r="D64" t="str">
            <v>M2</v>
          </cell>
          <cell r="E64">
            <v>8</v>
          </cell>
          <cell r="F64" t="str">
            <v>FRAME(1.4)+ROLLER.22L(1.2x3SET)+ROLLER.35L(1.4)</v>
          </cell>
        </row>
        <row r="65">
          <cell r="F65" t="str">
            <v>+P.BAND(0.2x4SET)+PIPE(1.13) = 8.33M2 약 8M2</v>
          </cell>
        </row>
        <row r="68">
          <cell r="A68" t="e">
            <v>#REF!</v>
          </cell>
        </row>
        <row r="69">
          <cell r="A69" t="e">
            <v>#REF!</v>
          </cell>
          <cell r="B69" t="str">
            <v>공사명: DRAW CURTAIN (8,660L x 3,300H)</v>
          </cell>
          <cell r="H69" t="str">
            <v>NO.1-02-00</v>
          </cell>
        </row>
        <row r="70">
          <cell r="A70" t="e">
            <v>#REF!</v>
          </cell>
          <cell r="B70" t="str">
            <v>소형MOTOR</v>
          </cell>
          <cell r="C70" t="str">
            <v>40W</v>
          </cell>
          <cell r="D70" t="str">
            <v>SET</v>
          </cell>
          <cell r="E70">
            <v>1</v>
          </cell>
          <cell r="F70" t="str">
            <v/>
          </cell>
        </row>
        <row r="71">
          <cell r="B71" t="str">
            <v>MOTOR BRACKET</v>
          </cell>
          <cell r="D71" t="str">
            <v>SET</v>
          </cell>
          <cell r="E71">
            <v>1</v>
          </cell>
        </row>
        <row r="72">
          <cell r="B72" t="str">
            <v>REDUCER</v>
          </cell>
          <cell r="C72" t="str">
            <v>15:1</v>
          </cell>
          <cell r="D72" t="str">
            <v>SET</v>
          </cell>
          <cell r="E72">
            <v>1</v>
          </cell>
        </row>
        <row r="73">
          <cell r="B73" t="str">
            <v>S.Q PIPE</v>
          </cell>
          <cell r="C73" t="str">
            <v>ㅁ-50 x 50 x 2.3t</v>
          </cell>
          <cell r="D73" t="str">
            <v>本</v>
          </cell>
          <cell r="E73">
            <v>2</v>
          </cell>
          <cell r="F73" t="str">
            <v>8.66/6M=1.44 약 2本</v>
          </cell>
        </row>
        <row r="74">
          <cell r="B74" t="str">
            <v>AL RAIL</v>
          </cell>
          <cell r="C74" t="str">
            <v>주문 제작</v>
          </cell>
          <cell r="D74" t="str">
            <v>M</v>
          </cell>
          <cell r="E74">
            <v>9</v>
          </cell>
          <cell r="F74" t="str">
            <v>8.66M 약 9M</v>
          </cell>
        </row>
        <row r="75">
          <cell r="B75" t="str">
            <v>DRIVE PULLEY</v>
          </cell>
          <cell r="C75" t="str">
            <v>Ø60</v>
          </cell>
          <cell r="D75" t="str">
            <v>EA</v>
          </cell>
          <cell r="E75">
            <v>1</v>
          </cell>
        </row>
        <row r="76">
          <cell r="B76" t="str">
            <v>ADJUST BRACKET</v>
          </cell>
          <cell r="D76" t="str">
            <v>EA</v>
          </cell>
          <cell r="E76">
            <v>1</v>
          </cell>
        </row>
        <row r="77">
          <cell r="B77" t="str">
            <v>MASTER CARRIER</v>
          </cell>
          <cell r="C77" t="str">
            <v>주문 제작</v>
          </cell>
          <cell r="D77" t="str">
            <v>EA</v>
          </cell>
          <cell r="E77">
            <v>2</v>
          </cell>
          <cell r="F77" t="str">
            <v>좌,우 최선단에</v>
          </cell>
        </row>
        <row r="78">
          <cell r="B78" t="str">
            <v>SINGLE CARRIER</v>
          </cell>
          <cell r="C78" t="str">
            <v>주문 제작</v>
          </cell>
          <cell r="D78" t="str">
            <v>EA</v>
          </cell>
          <cell r="E78">
            <v>44</v>
          </cell>
          <cell r="F78" t="str">
            <v>(8.66/0.2)x2=43.43EA 약 44EA</v>
          </cell>
        </row>
        <row r="79">
          <cell r="B79" t="str">
            <v>ROPE</v>
          </cell>
          <cell r="C79" t="str">
            <v>SUSØ1.6</v>
          </cell>
          <cell r="D79" t="str">
            <v>M</v>
          </cell>
          <cell r="E79">
            <v>17</v>
          </cell>
          <cell r="F79" t="str">
            <v>8.6x2=17.2M</v>
          </cell>
        </row>
        <row r="80">
          <cell r="B80" t="str">
            <v>LIMIT SWITCH</v>
          </cell>
          <cell r="D80" t="str">
            <v>EA</v>
          </cell>
          <cell r="E80">
            <v>1</v>
          </cell>
        </row>
        <row r="81">
          <cell r="B81" t="str">
            <v>CURTAIN</v>
          </cell>
          <cell r="C81" t="str">
            <v>(VELVET선방염지)</v>
          </cell>
          <cell r="D81" t="str">
            <v>M2</v>
          </cell>
          <cell r="E81">
            <v>109</v>
          </cell>
          <cell r="F81" t="str">
            <v>(8.66x할증350%)=30.31, 3.3+가공여유(0.3)=3.6, 30.31x3.6=109.11M2 약 109M2</v>
          </cell>
          <cell r="G81">
            <v>3.5</v>
          </cell>
        </row>
        <row r="82">
          <cell r="B82" t="str">
            <v>PIPE</v>
          </cell>
          <cell r="C82" t="str">
            <v>Ø27.2</v>
          </cell>
          <cell r="D82" t="str">
            <v>本</v>
          </cell>
          <cell r="E82">
            <v>2</v>
          </cell>
          <cell r="F82" t="str">
            <v>8.66/6M=1.44 약 2本</v>
          </cell>
        </row>
        <row r="83">
          <cell r="B83" t="str">
            <v>PIPE CAP</v>
          </cell>
          <cell r="C83" t="str">
            <v>Ø27.2</v>
          </cell>
          <cell r="D83" t="str">
            <v>EA</v>
          </cell>
          <cell r="E83">
            <v>2</v>
          </cell>
          <cell r="F83" t="str">
            <v>양끝단 처리</v>
          </cell>
        </row>
        <row r="84">
          <cell r="B84" t="str">
            <v>PIPE JOINT</v>
          </cell>
          <cell r="C84" t="str">
            <v>Ø27.2</v>
          </cell>
          <cell r="D84" t="str">
            <v>EA</v>
          </cell>
          <cell r="E84">
            <v>1</v>
          </cell>
          <cell r="F84" t="str">
            <v>PIPE 2本이므로 연결부분 1SET</v>
          </cell>
          <cell r="G84" t="str">
            <v/>
          </cell>
          <cell r="H84" t="str">
            <v/>
          </cell>
        </row>
        <row r="85">
          <cell r="B85" t="str">
            <v>HEAD CURTAIN</v>
          </cell>
          <cell r="C85" t="str">
            <v>(VELVET선방염지)</v>
          </cell>
          <cell r="D85" t="str">
            <v>M2</v>
          </cell>
          <cell r="E85">
            <v>17</v>
          </cell>
          <cell r="F85" t="str">
            <v>(8.66x할증250%)=21.65, 0.5+가공여유(0.3)=0.8, 21.65x0.8=17.32 약 17M2</v>
          </cell>
          <cell r="G85">
            <v>2.5</v>
          </cell>
        </row>
        <row r="86">
          <cell r="B86" t="str">
            <v>도장비</v>
          </cell>
          <cell r="D86" t="str">
            <v>M2</v>
          </cell>
          <cell r="E86">
            <v>2.5</v>
          </cell>
          <cell r="F86" t="str">
            <v>ㅁ50x50 (1.73)+ Ø27.2 (0.73)=약 2.46M2</v>
          </cell>
        </row>
        <row r="88">
          <cell r="E88" t="str">
            <v/>
          </cell>
        </row>
        <row r="90">
          <cell r="A90" t="e">
            <v>#REF!</v>
          </cell>
        </row>
        <row r="91">
          <cell r="A91" t="e">
            <v>#REF!</v>
          </cell>
          <cell r="B91" t="str">
            <v xml:space="preserve">공사명 : ROLL SCREEN (4,000L x 3,000H)        </v>
          </cell>
          <cell r="D91" t="str">
            <v/>
          </cell>
          <cell r="E91" t="str">
            <v/>
          </cell>
          <cell r="F91" t="str">
            <v/>
          </cell>
          <cell r="H91" t="str">
            <v>NO.1-03-00</v>
          </cell>
        </row>
        <row r="92">
          <cell r="A92" t="e">
            <v>#REF!</v>
          </cell>
          <cell r="B92" t="str">
            <v>원추형 MOTOR</v>
          </cell>
          <cell r="C92" t="str">
            <v>190W</v>
          </cell>
          <cell r="D92" t="str">
            <v>SET</v>
          </cell>
          <cell r="E92">
            <v>1</v>
          </cell>
          <cell r="F92" t="str">
            <v/>
          </cell>
        </row>
        <row r="93">
          <cell r="A93" t="e">
            <v>#REF!</v>
          </cell>
          <cell r="B93" t="str">
            <v>LIMIT SWITCH BOX</v>
          </cell>
          <cell r="C93" t="str">
            <v/>
          </cell>
          <cell r="D93" t="str">
            <v>SET</v>
          </cell>
          <cell r="E93">
            <v>1</v>
          </cell>
          <cell r="F93" t="str">
            <v/>
          </cell>
        </row>
        <row r="94">
          <cell r="A94" t="e">
            <v>#REF!</v>
          </cell>
          <cell r="B94" t="str">
            <v>BUSHING</v>
          </cell>
          <cell r="C94" t="str">
            <v/>
          </cell>
          <cell r="D94" t="str">
            <v>EA</v>
          </cell>
          <cell r="E94">
            <v>2</v>
          </cell>
          <cell r="F94" t="str">
            <v xml:space="preserve">ROLL SCREEN 2곳 </v>
          </cell>
        </row>
        <row r="95">
          <cell r="A95" t="e">
            <v>#REF!</v>
          </cell>
          <cell r="B95" t="str">
            <v>BEARING DIE</v>
          </cell>
          <cell r="C95" t="str">
            <v/>
          </cell>
          <cell r="D95" t="str">
            <v>EA</v>
          </cell>
          <cell r="E95">
            <v>2</v>
          </cell>
          <cell r="F95" t="str">
            <v/>
          </cell>
        </row>
        <row r="96">
          <cell r="A96" t="e">
            <v>#REF!</v>
          </cell>
          <cell r="B96" t="str">
            <v>주물 PIPE</v>
          </cell>
          <cell r="C96" t="str">
            <v>Ø53</v>
          </cell>
          <cell r="D96" t="str">
            <v>M</v>
          </cell>
          <cell r="E96">
            <v>4</v>
          </cell>
          <cell r="F96" t="str">
            <v/>
          </cell>
        </row>
        <row r="97">
          <cell r="A97" t="e">
            <v>#REF!</v>
          </cell>
          <cell r="B97" t="str">
            <v>BALANCE PIPE</v>
          </cell>
          <cell r="C97" t="str">
            <v>Ø27.2</v>
          </cell>
          <cell r="D97" t="str">
            <v>本</v>
          </cell>
          <cell r="E97">
            <v>1</v>
          </cell>
          <cell r="F97" t="str">
            <v xml:space="preserve">1本 = 6M </v>
          </cell>
        </row>
        <row r="98">
          <cell r="A98" t="e">
            <v>#REF!</v>
          </cell>
          <cell r="B98" t="str">
            <v>SCREEN</v>
          </cell>
          <cell r="C98" t="str">
            <v>ULTRA MATE</v>
          </cell>
          <cell r="D98" t="str">
            <v>M2</v>
          </cell>
          <cell r="E98">
            <v>15</v>
          </cell>
          <cell r="F98" t="str">
            <v>4M x (3M+0.8(가공여유)) = 15.2M2 약 15M2</v>
          </cell>
        </row>
        <row r="99">
          <cell r="A99" t="e">
            <v>#REF!</v>
          </cell>
          <cell r="B99" t="str">
            <v>SCREEN BOX A'SSY</v>
          </cell>
          <cell r="C99" t="str">
            <v/>
          </cell>
          <cell r="D99" t="str">
            <v>SET</v>
          </cell>
          <cell r="E99">
            <v>1</v>
          </cell>
          <cell r="F99" t="str">
            <v/>
          </cell>
        </row>
        <row r="100">
          <cell r="A100" t="e">
            <v>#REF!</v>
          </cell>
          <cell r="B100" t="str">
            <v>도 장 비</v>
          </cell>
          <cell r="C100" t="str">
            <v>각 2회</v>
          </cell>
          <cell r="D100" t="str">
            <v>M2</v>
          </cell>
          <cell r="E100">
            <v>5</v>
          </cell>
          <cell r="F100" t="str">
            <v>BOX(2)+BUSHING.DIE(0.8x2)+PIPE(0.66)+Ø27.2(0.34)= 4.6M2 약 5M2</v>
          </cell>
        </row>
        <row r="101">
          <cell r="A101" t="e">
            <v>#REF!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</row>
        <row r="102">
          <cell r="A102" t="e">
            <v>#REF!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</row>
        <row r="103">
          <cell r="A103" t="e">
            <v>#REF!</v>
          </cell>
        </row>
        <row r="104">
          <cell r="A104" t="e">
            <v>#REF!</v>
          </cell>
        </row>
        <row r="105">
          <cell r="A105" t="e">
            <v>#REF!</v>
          </cell>
        </row>
        <row r="106">
          <cell r="A106" t="e">
            <v>#REF!</v>
          </cell>
        </row>
        <row r="107">
          <cell r="A107" t="e">
            <v>#REF!</v>
          </cell>
        </row>
        <row r="108">
          <cell r="A108" t="e">
            <v>#REF!</v>
          </cell>
        </row>
        <row r="109">
          <cell r="A109" t="e">
            <v>#REF!</v>
          </cell>
        </row>
        <row r="110">
          <cell r="A110" t="e">
            <v>#REF!</v>
          </cell>
        </row>
        <row r="111">
          <cell r="A111" t="e">
            <v>#REF!</v>
          </cell>
        </row>
        <row r="112">
          <cell r="A112" t="e">
            <v>#REF!</v>
          </cell>
        </row>
        <row r="113">
          <cell r="A113" t="e">
            <v>#REF!</v>
          </cell>
          <cell r="B113" t="str">
            <v xml:space="preserve">공사명 : ROLL FLAG  (2,100L x 3,000H)   </v>
          </cell>
          <cell r="G113" t="str">
            <v/>
          </cell>
          <cell r="H113" t="str">
            <v>NO.1-04-00</v>
          </cell>
        </row>
        <row r="114">
          <cell r="A114" t="e">
            <v>#REF!</v>
          </cell>
          <cell r="B114" t="str">
            <v>원추형 MOTOR</v>
          </cell>
          <cell r="C114" t="str">
            <v>100W</v>
          </cell>
          <cell r="D114" t="str">
            <v>SET</v>
          </cell>
          <cell r="E114">
            <v>1</v>
          </cell>
          <cell r="F114" t="str">
            <v/>
          </cell>
        </row>
        <row r="115">
          <cell r="A115" t="e">
            <v>#REF!</v>
          </cell>
          <cell r="B115" t="str">
            <v>LIMIT SWITCH BOX</v>
          </cell>
          <cell r="C115" t="str">
            <v/>
          </cell>
          <cell r="D115" t="str">
            <v>SET</v>
          </cell>
          <cell r="E115">
            <v>1</v>
          </cell>
          <cell r="F115" t="str">
            <v/>
          </cell>
        </row>
        <row r="116">
          <cell r="A116" t="e">
            <v>#REF!</v>
          </cell>
          <cell r="B116" t="str">
            <v>BUSHING</v>
          </cell>
          <cell r="C116" t="str">
            <v/>
          </cell>
          <cell r="D116" t="str">
            <v>EA</v>
          </cell>
          <cell r="E116">
            <v>2</v>
          </cell>
          <cell r="F116" t="str">
            <v xml:space="preserve">ROLL SCREEN 2곳 </v>
          </cell>
        </row>
        <row r="117">
          <cell r="A117" t="e">
            <v>#REF!</v>
          </cell>
          <cell r="B117" t="str">
            <v>BEARING DIE</v>
          </cell>
          <cell r="C117" t="str">
            <v/>
          </cell>
          <cell r="D117" t="str">
            <v>EA</v>
          </cell>
          <cell r="E117">
            <v>2</v>
          </cell>
          <cell r="F117" t="str">
            <v/>
          </cell>
        </row>
        <row r="118">
          <cell r="A118" t="e">
            <v>#REF!</v>
          </cell>
          <cell r="B118" t="str">
            <v>주물PIPE</v>
          </cell>
          <cell r="C118" t="str">
            <v>Ø53</v>
          </cell>
          <cell r="D118" t="str">
            <v>M</v>
          </cell>
          <cell r="E118">
            <v>2.1</v>
          </cell>
          <cell r="F118" t="str">
            <v/>
          </cell>
        </row>
        <row r="119">
          <cell r="A119" t="e">
            <v>#REF!</v>
          </cell>
          <cell r="B119" t="str">
            <v>BALANCE PIPE</v>
          </cell>
          <cell r="C119" t="str">
            <v>Ø27.2</v>
          </cell>
          <cell r="D119" t="str">
            <v>M</v>
          </cell>
          <cell r="E119">
            <v>2.1</v>
          </cell>
          <cell r="F119" t="str">
            <v/>
          </cell>
        </row>
        <row r="120">
          <cell r="A120" t="e">
            <v>#REF!</v>
          </cell>
          <cell r="B120" t="str">
            <v>FLAG</v>
          </cell>
          <cell r="C120" t="str">
            <v>ULTRA-MATE</v>
          </cell>
          <cell r="D120" t="str">
            <v>M2</v>
          </cell>
          <cell r="E120">
            <v>6</v>
          </cell>
          <cell r="F120" t="str">
            <v>2.1M x (3M+0.8(가공여유)) = 5.9M2 약 6M2</v>
          </cell>
        </row>
        <row r="121">
          <cell r="A121" t="e">
            <v>#REF!</v>
          </cell>
          <cell r="B121" t="str">
            <v>씰크 인쇄</v>
          </cell>
          <cell r="C121" t="str">
            <v/>
          </cell>
          <cell r="D121" t="str">
            <v>SET</v>
          </cell>
          <cell r="E121">
            <v>1</v>
          </cell>
          <cell r="F121" t="str">
            <v/>
          </cell>
        </row>
        <row r="122">
          <cell r="A122" t="e">
            <v>#REF!</v>
          </cell>
          <cell r="B122" t="str">
            <v>FLAG BOX A'SSY</v>
          </cell>
          <cell r="C122" t="str">
            <v/>
          </cell>
          <cell r="D122" t="str">
            <v>SET</v>
          </cell>
          <cell r="E122">
            <v>1</v>
          </cell>
          <cell r="F122" t="str">
            <v/>
          </cell>
        </row>
        <row r="123">
          <cell r="A123" t="e">
            <v>#REF!</v>
          </cell>
          <cell r="B123" t="str">
            <v>도 장 비</v>
          </cell>
          <cell r="C123" t="str">
            <v>각 2회</v>
          </cell>
          <cell r="D123" t="str">
            <v>M2</v>
          </cell>
          <cell r="E123">
            <v>4</v>
          </cell>
          <cell r="F123" t="str">
            <v>BOX(2)+BUSHING.DIE(0.8x2)+PIPE(0.34)+Ø27.2(0.17)= 4.11M2 약 4M2</v>
          </cell>
        </row>
        <row r="124">
          <cell r="A124" t="e">
            <v>#REF!</v>
          </cell>
          <cell r="F124" t="str">
            <v/>
          </cell>
          <cell r="G124" t="str">
            <v/>
          </cell>
        </row>
        <row r="125">
          <cell r="A125" t="e">
            <v>#REF!</v>
          </cell>
        </row>
        <row r="126">
          <cell r="A126" t="e">
            <v>#REF!</v>
          </cell>
        </row>
        <row r="127">
          <cell r="A127" t="e">
            <v>#REF!</v>
          </cell>
        </row>
        <row r="128">
          <cell r="A128" t="e">
            <v>#REF!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</row>
        <row r="129">
          <cell r="A129" t="e">
            <v>#REF!</v>
          </cell>
        </row>
        <row r="130">
          <cell r="A130" t="e">
            <v>#REF!</v>
          </cell>
        </row>
        <row r="131">
          <cell r="A131" t="e">
            <v>#REF!</v>
          </cell>
        </row>
        <row r="132">
          <cell r="A132" t="e">
            <v>#REF!</v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</row>
        <row r="133">
          <cell r="A133" t="e">
            <v>#REF!</v>
          </cell>
        </row>
        <row r="135">
          <cell r="B135" t="str">
            <v>공사명: COVER CURTAIN (8,800L x 3,500H)</v>
          </cell>
          <cell r="H135" t="str">
            <v>NO.1-05-00</v>
          </cell>
        </row>
        <row r="136">
          <cell r="B136" t="str">
            <v>소형MOTOR</v>
          </cell>
          <cell r="C136" t="str">
            <v>40W</v>
          </cell>
          <cell r="D136" t="str">
            <v>SET</v>
          </cell>
          <cell r="E136">
            <v>1</v>
          </cell>
          <cell r="F136" t="str">
            <v/>
          </cell>
        </row>
        <row r="137">
          <cell r="A137" t="e">
            <v>#REF!</v>
          </cell>
          <cell r="B137" t="str">
            <v>MOTOR BRACKET</v>
          </cell>
          <cell r="D137" t="str">
            <v>SET</v>
          </cell>
          <cell r="E137">
            <v>1</v>
          </cell>
        </row>
        <row r="138">
          <cell r="A138" t="e">
            <v>#REF!</v>
          </cell>
          <cell r="B138" t="str">
            <v>REDUCER</v>
          </cell>
          <cell r="C138" t="str">
            <v>15:1</v>
          </cell>
          <cell r="D138" t="str">
            <v>SET</v>
          </cell>
          <cell r="E138">
            <v>1</v>
          </cell>
        </row>
        <row r="139">
          <cell r="A139" t="e">
            <v>#REF!</v>
          </cell>
          <cell r="B139" t="str">
            <v>S.Q PIPE</v>
          </cell>
          <cell r="C139" t="str">
            <v>ㅁ-50 x 50 x 2.3t</v>
          </cell>
          <cell r="D139" t="str">
            <v>本</v>
          </cell>
          <cell r="E139">
            <v>2</v>
          </cell>
          <cell r="F139" t="str">
            <v>8.8/6M=1.46 약 2本</v>
          </cell>
        </row>
        <row r="140">
          <cell r="A140" t="e">
            <v>#REF!</v>
          </cell>
          <cell r="B140" t="str">
            <v>AL RAIL</v>
          </cell>
          <cell r="C140" t="str">
            <v>주문 제작</v>
          </cell>
          <cell r="D140" t="str">
            <v>M</v>
          </cell>
          <cell r="E140">
            <v>9</v>
          </cell>
          <cell r="F140" t="str">
            <v>8.8M 약 9M</v>
          </cell>
        </row>
        <row r="141">
          <cell r="A141" t="e">
            <v>#REF!</v>
          </cell>
          <cell r="B141" t="str">
            <v>DRIVE PULLEY</v>
          </cell>
          <cell r="C141" t="str">
            <v>Ø60</v>
          </cell>
          <cell r="D141" t="str">
            <v>EA</v>
          </cell>
          <cell r="E141">
            <v>1</v>
          </cell>
        </row>
        <row r="142">
          <cell r="A142" t="e">
            <v>#REF!</v>
          </cell>
          <cell r="B142" t="str">
            <v>ADJUST BRACKET</v>
          </cell>
          <cell r="D142" t="str">
            <v>EA</v>
          </cell>
          <cell r="E142">
            <v>1</v>
          </cell>
        </row>
        <row r="143">
          <cell r="A143" t="e">
            <v>#REF!</v>
          </cell>
          <cell r="B143" t="str">
            <v>MASTER CARRIER</v>
          </cell>
          <cell r="C143" t="str">
            <v>주문 제작</v>
          </cell>
          <cell r="D143" t="str">
            <v>EA</v>
          </cell>
          <cell r="E143">
            <v>2</v>
          </cell>
          <cell r="F143" t="str">
            <v>좌,우 최선단에</v>
          </cell>
        </row>
        <row r="144">
          <cell r="A144" t="e">
            <v>#REF!</v>
          </cell>
          <cell r="B144" t="str">
            <v>SINGLE CARRIER</v>
          </cell>
          <cell r="C144" t="str">
            <v>주문 제작</v>
          </cell>
          <cell r="D144" t="str">
            <v>EA</v>
          </cell>
          <cell r="E144">
            <v>44</v>
          </cell>
          <cell r="F144" t="str">
            <v>(8.8/0.2)x2=44EA 약 44EA</v>
          </cell>
        </row>
        <row r="145">
          <cell r="A145" t="e">
            <v>#REF!</v>
          </cell>
          <cell r="B145" t="str">
            <v>ROPE</v>
          </cell>
          <cell r="C145" t="str">
            <v>SUSØ1.6</v>
          </cell>
          <cell r="D145" t="str">
            <v>M</v>
          </cell>
          <cell r="E145">
            <v>18</v>
          </cell>
          <cell r="F145" t="str">
            <v>8.8x2=17.6M 약 18M</v>
          </cell>
        </row>
        <row r="146">
          <cell r="A146" t="e">
            <v>#REF!</v>
          </cell>
          <cell r="B146" t="str">
            <v>LIMIT SWITCH</v>
          </cell>
          <cell r="D146" t="str">
            <v>EA</v>
          </cell>
          <cell r="E146">
            <v>1</v>
          </cell>
        </row>
        <row r="147">
          <cell r="A147" t="e">
            <v>#REF!</v>
          </cell>
          <cell r="B147" t="str">
            <v>LIMIT SWITCH</v>
          </cell>
          <cell r="D147" t="str">
            <v>EA</v>
          </cell>
          <cell r="E147">
            <v>1</v>
          </cell>
        </row>
        <row r="148">
          <cell r="A148" t="e">
            <v>#REF!</v>
          </cell>
          <cell r="B148" t="str">
            <v>CURTAIN</v>
          </cell>
          <cell r="C148" t="str">
            <v>(암막지 선방염)</v>
          </cell>
          <cell r="D148" t="str">
            <v>M2</v>
          </cell>
          <cell r="E148">
            <v>117</v>
          </cell>
          <cell r="F148" t="str">
            <v>(8.8x할증350%)=30.8, 3.5+가공여유(0.3)=3.8, 30.8x3.8=117.04M2 약 117M2</v>
          </cell>
          <cell r="G148">
            <v>3.5</v>
          </cell>
        </row>
        <row r="149">
          <cell r="A149" t="e">
            <v>#REF!</v>
          </cell>
          <cell r="B149" t="str">
            <v>도장비</v>
          </cell>
          <cell r="D149" t="str">
            <v>M2</v>
          </cell>
          <cell r="E149">
            <v>2</v>
          </cell>
          <cell r="F149" t="str">
            <v>PIPE(1.76)=약 2M2</v>
          </cell>
        </row>
        <row r="150">
          <cell r="A150" t="e">
            <v>#REF!</v>
          </cell>
        </row>
        <row r="151">
          <cell r="A151" t="e">
            <v>#REF!</v>
          </cell>
          <cell r="E151" t="str">
            <v/>
          </cell>
        </row>
        <row r="152">
          <cell r="A152" t="e">
            <v>#REF!</v>
          </cell>
        </row>
        <row r="153">
          <cell r="F153" t="str">
            <v/>
          </cell>
        </row>
        <row r="154">
          <cell r="A154" t="e">
            <v>#REF!</v>
          </cell>
        </row>
        <row r="155">
          <cell r="A155" t="e">
            <v>#REF!</v>
          </cell>
        </row>
        <row r="156">
          <cell r="A156" t="e">
            <v>#REF!</v>
          </cell>
        </row>
        <row r="157">
          <cell r="B157" t="str">
            <v>공사명:WINDOW DARKEN CURTAIN(4,050L x 3,500H)</v>
          </cell>
          <cell r="H157" t="str">
            <v>NO.1-06-00</v>
          </cell>
        </row>
        <row r="158">
          <cell r="B158" t="str">
            <v>소형 MOTOR</v>
          </cell>
          <cell r="C158" t="str">
            <v>25W</v>
          </cell>
          <cell r="D158" t="str">
            <v>SET</v>
          </cell>
          <cell r="E158">
            <v>1</v>
          </cell>
          <cell r="F158" t="str">
            <v/>
          </cell>
        </row>
        <row r="159">
          <cell r="A159" t="e">
            <v>#REF!</v>
          </cell>
          <cell r="B159" t="str">
            <v>MOTOR BRACKET</v>
          </cell>
          <cell r="D159" t="str">
            <v>SET</v>
          </cell>
          <cell r="E159">
            <v>1</v>
          </cell>
        </row>
        <row r="160">
          <cell r="A160" t="e">
            <v>#REF!</v>
          </cell>
          <cell r="B160" t="str">
            <v>REDUCER</v>
          </cell>
          <cell r="C160" t="str">
            <v>15:1</v>
          </cell>
          <cell r="D160" t="str">
            <v>SET</v>
          </cell>
          <cell r="E160">
            <v>1</v>
          </cell>
        </row>
        <row r="161">
          <cell r="A161" t="e">
            <v>#REF!</v>
          </cell>
          <cell r="B161" t="str">
            <v>S.Q PIPE</v>
          </cell>
          <cell r="C161" t="str">
            <v>ㅁ-50 x 50 x 2.3t</v>
          </cell>
          <cell r="D161" t="str">
            <v>本</v>
          </cell>
          <cell r="E161">
            <v>2</v>
          </cell>
          <cell r="F161" t="str">
            <v>4.05/6M=0.675M 약 1本</v>
          </cell>
        </row>
        <row r="162">
          <cell r="A162" t="e">
            <v>#REF!</v>
          </cell>
          <cell r="B162" t="str">
            <v>AL RAIL</v>
          </cell>
          <cell r="C162" t="str">
            <v>주문 제작</v>
          </cell>
          <cell r="D162" t="str">
            <v>M</v>
          </cell>
          <cell r="E162">
            <v>4</v>
          </cell>
          <cell r="F162" t="str">
            <v>4.05M 약 4M</v>
          </cell>
        </row>
        <row r="163">
          <cell r="A163" t="e">
            <v>#REF!</v>
          </cell>
          <cell r="B163" t="str">
            <v>DRIVE PULLEY</v>
          </cell>
          <cell r="C163" t="str">
            <v>Ø60</v>
          </cell>
          <cell r="D163" t="str">
            <v>EA</v>
          </cell>
          <cell r="E163">
            <v>1</v>
          </cell>
        </row>
        <row r="164">
          <cell r="A164" t="e">
            <v>#REF!</v>
          </cell>
          <cell r="B164" t="str">
            <v>ADJUST BRACKET</v>
          </cell>
          <cell r="D164" t="str">
            <v>EA</v>
          </cell>
          <cell r="E164">
            <v>1</v>
          </cell>
        </row>
        <row r="165">
          <cell r="A165" t="e">
            <v>#REF!</v>
          </cell>
          <cell r="B165" t="str">
            <v>MASTER CARRIER</v>
          </cell>
          <cell r="C165" t="str">
            <v>주문 제작</v>
          </cell>
          <cell r="D165" t="str">
            <v>EA</v>
          </cell>
          <cell r="E165">
            <v>2</v>
          </cell>
          <cell r="F165" t="str">
            <v>좌,우 최선단에</v>
          </cell>
        </row>
        <row r="166">
          <cell r="A166" t="e">
            <v>#REF!</v>
          </cell>
          <cell r="B166" t="str">
            <v>SINGLE CARRIER</v>
          </cell>
          <cell r="C166" t="str">
            <v>주문 제작</v>
          </cell>
          <cell r="D166" t="str">
            <v>EA</v>
          </cell>
          <cell r="E166">
            <v>20</v>
          </cell>
          <cell r="F166" t="str">
            <v>(4.05/0.2)x2=20.25EA 약 20EA</v>
          </cell>
        </row>
        <row r="167">
          <cell r="A167" t="e">
            <v>#REF!</v>
          </cell>
          <cell r="B167" t="str">
            <v>ROPE</v>
          </cell>
          <cell r="C167" t="str">
            <v>SUSØ1.6</v>
          </cell>
          <cell r="D167" t="str">
            <v>M</v>
          </cell>
          <cell r="E167">
            <v>8</v>
          </cell>
          <cell r="F167" t="str">
            <v>4.05x2=8.1M 약 8M</v>
          </cell>
        </row>
        <row r="168">
          <cell r="A168" t="e">
            <v>#REF!</v>
          </cell>
          <cell r="B168" t="str">
            <v>LIMIT SWITCH</v>
          </cell>
          <cell r="D168" t="str">
            <v>EA</v>
          </cell>
          <cell r="E168">
            <v>1</v>
          </cell>
        </row>
        <row r="169">
          <cell r="A169" t="e">
            <v>#REF!</v>
          </cell>
          <cell r="B169" t="str">
            <v>CURTAIN</v>
          </cell>
          <cell r="C169" t="str">
            <v>(암막지 선방염)</v>
          </cell>
          <cell r="D169" t="str">
            <v>M2</v>
          </cell>
          <cell r="E169">
            <v>54</v>
          </cell>
          <cell r="F169" t="str">
            <v>(4.05x할증350%)=14.175, 3.5+가공여유(0.3)=3.8, 14.175x3.8=53.865 약 54M2</v>
          </cell>
          <cell r="G169">
            <v>3.5</v>
          </cell>
        </row>
        <row r="170">
          <cell r="A170" t="e">
            <v>#REF!</v>
          </cell>
          <cell r="B170" t="str">
            <v>도장비</v>
          </cell>
          <cell r="D170" t="str">
            <v>M2</v>
          </cell>
          <cell r="E170">
            <v>1</v>
          </cell>
          <cell r="F170" t="str">
            <v>PIPE(0.8)=약 1M2</v>
          </cell>
        </row>
        <row r="171">
          <cell r="A171" t="e">
            <v>#REF!</v>
          </cell>
        </row>
        <row r="172">
          <cell r="A172" t="e">
            <v>#REF!</v>
          </cell>
          <cell r="E172" t="str">
            <v/>
          </cell>
        </row>
        <row r="173">
          <cell r="A173" t="e">
            <v>#REF!</v>
          </cell>
        </row>
        <row r="174">
          <cell r="A174" t="e">
            <v>#REF!</v>
          </cell>
        </row>
        <row r="175">
          <cell r="A175" t="e">
            <v>#REF!</v>
          </cell>
        </row>
        <row r="176">
          <cell r="A176" t="e">
            <v>#REF!</v>
          </cell>
          <cell r="F176" t="str">
            <v/>
          </cell>
        </row>
        <row r="177">
          <cell r="A177" t="e">
            <v>#REF!</v>
          </cell>
        </row>
        <row r="178">
          <cell r="A178" t="e">
            <v>#REF!</v>
          </cell>
        </row>
        <row r="179">
          <cell r="A179" t="e">
            <v>#REF!</v>
          </cell>
          <cell r="B179" t="str">
            <v>공사명:DOOR DARKEN CURTAIN(4,050L x 3,500H)</v>
          </cell>
          <cell r="H179" t="str">
            <v>NO.1-07-00</v>
          </cell>
        </row>
        <row r="180">
          <cell r="A180" t="e">
            <v>#REF!</v>
          </cell>
          <cell r="B180" t="str">
            <v>S.Q PIPE</v>
          </cell>
          <cell r="C180" t="str">
            <v>ㅁ-50 x 50 x 2.3t</v>
          </cell>
          <cell r="D180" t="str">
            <v>本</v>
          </cell>
          <cell r="E180">
            <v>1</v>
          </cell>
          <cell r="F180" t="str">
            <v>4.05/6M=0.675M 약 1本</v>
          </cell>
        </row>
        <row r="181">
          <cell r="A181" t="e">
            <v>#REF!</v>
          </cell>
          <cell r="B181" t="str">
            <v>AL RAIL</v>
          </cell>
          <cell r="C181" t="str">
            <v>주문 제작</v>
          </cell>
          <cell r="D181" t="str">
            <v>M</v>
          </cell>
          <cell r="E181">
            <v>4</v>
          </cell>
          <cell r="F181" t="str">
            <v>4.05M 약 4M</v>
          </cell>
        </row>
        <row r="182">
          <cell r="A182" t="e">
            <v>#REF!</v>
          </cell>
          <cell r="B182" t="str">
            <v>MASTER CARRIER</v>
          </cell>
          <cell r="C182" t="str">
            <v>주문 제작</v>
          </cell>
          <cell r="D182" t="str">
            <v>EA</v>
          </cell>
          <cell r="E182">
            <v>2</v>
          </cell>
          <cell r="F182" t="str">
            <v>좌,우 최선단에</v>
          </cell>
        </row>
        <row r="183">
          <cell r="A183" t="e">
            <v>#REF!</v>
          </cell>
          <cell r="B183" t="str">
            <v>SINGLE CARRIER</v>
          </cell>
          <cell r="C183" t="str">
            <v>주문 제작</v>
          </cell>
          <cell r="D183" t="str">
            <v>EA</v>
          </cell>
          <cell r="E183">
            <v>20</v>
          </cell>
          <cell r="F183" t="str">
            <v>(4.05/0.2)x2=20.25EA 약 20EA</v>
          </cell>
        </row>
        <row r="184">
          <cell r="A184" t="e">
            <v>#REF!</v>
          </cell>
          <cell r="B184" t="str">
            <v>CURTAIN</v>
          </cell>
          <cell r="C184" t="str">
            <v>(암막지 선방염)</v>
          </cell>
          <cell r="D184" t="str">
            <v>M2</v>
          </cell>
          <cell r="E184">
            <v>54</v>
          </cell>
          <cell r="F184" t="str">
            <v>(4.05x할증350%)=14.175, 3.5+가공여유(0.3)=3.8, 14.175x3.8=53.865 약 54M2</v>
          </cell>
          <cell r="G184">
            <v>3.5</v>
          </cell>
        </row>
        <row r="185">
          <cell r="A185" t="e">
            <v>#REF!</v>
          </cell>
          <cell r="B185" t="str">
            <v>도장비</v>
          </cell>
          <cell r="D185" t="str">
            <v>M2</v>
          </cell>
          <cell r="E185">
            <v>1</v>
          </cell>
          <cell r="F185" t="str">
            <v>PIPE(0.8)=약 1M2</v>
          </cell>
        </row>
        <row r="186">
          <cell r="A186" t="e">
            <v>#REF!</v>
          </cell>
        </row>
        <row r="187">
          <cell r="A187" t="e">
            <v>#REF!</v>
          </cell>
          <cell r="E187" t="str">
            <v/>
          </cell>
        </row>
        <row r="191">
          <cell r="F191" t="str">
            <v/>
          </cell>
        </row>
        <row r="193">
          <cell r="A193" t="e">
            <v>#REF!</v>
          </cell>
        </row>
        <row r="194">
          <cell r="A194" t="e">
            <v>#REF!</v>
          </cell>
        </row>
        <row r="195">
          <cell r="A195" t="e">
            <v>#REF!</v>
          </cell>
        </row>
        <row r="196">
          <cell r="A196" t="e">
            <v>#REF!</v>
          </cell>
        </row>
        <row r="198">
          <cell r="A198" t="e">
            <v>#REF!</v>
          </cell>
        </row>
        <row r="199">
          <cell r="A199" t="e">
            <v>#REF!</v>
          </cell>
        </row>
        <row r="200">
          <cell r="A200" t="e">
            <v>#REF!</v>
          </cell>
          <cell r="F200" t="str">
            <v>293KG=0.293TON</v>
          </cell>
        </row>
        <row r="201">
          <cell r="A201" t="e">
            <v>#REF!</v>
          </cell>
          <cell r="B201" t="str">
            <v>공사명:GRID IRON(8,600L x 900D)</v>
          </cell>
          <cell r="H201" t="str">
            <v>NO.1-08-00</v>
          </cell>
        </row>
        <row r="202">
          <cell r="A202" t="e">
            <v>#REF!</v>
          </cell>
          <cell r="B202" t="str">
            <v>CHANNEL</v>
          </cell>
          <cell r="C202" t="str">
            <v xml:space="preserve">[-100 x 50 x 5t </v>
          </cell>
          <cell r="D202" t="str">
            <v>KG</v>
          </cell>
          <cell r="E202">
            <v>275</v>
          </cell>
          <cell r="F202" t="str">
            <v>(8.6x2)+(0.9x12)=28M+(할증5%)=29.4M</v>
          </cell>
          <cell r="G202">
            <v>0.05</v>
          </cell>
        </row>
        <row r="203">
          <cell r="A203" t="e">
            <v>#REF!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>=29.4x9.36KG/M= 275.18KG 약 275KG</v>
          </cell>
        </row>
        <row r="204">
          <cell r="A204" t="e">
            <v>#REF!</v>
          </cell>
          <cell r="B204" t="str">
            <v>ROUND BAR</v>
          </cell>
          <cell r="C204" t="str">
            <v>Ø19</v>
          </cell>
          <cell r="D204" t="str">
            <v>KG</v>
          </cell>
          <cell r="E204">
            <v>18</v>
          </cell>
          <cell r="F204" t="str">
            <v xml:space="preserve">HANGER POINT 8곳,8x1M=8x2.23KG = 17.84KG </v>
          </cell>
        </row>
        <row r="205">
          <cell r="A205" t="e">
            <v>#REF!</v>
          </cell>
          <cell r="B205" t="str">
            <v>TURNBUCKLE</v>
          </cell>
          <cell r="C205" t="str">
            <v>W5/8" x 300</v>
          </cell>
          <cell r="D205" t="str">
            <v>EA</v>
          </cell>
          <cell r="E205">
            <v>8</v>
          </cell>
          <cell r="F205" t="str">
            <v>HANGER POINT</v>
          </cell>
        </row>
        <row r="206">
          <cell r="A206" t="e">
            <v>#REF!</v>
          </cell>
          <cell r="B206" t="str">
            <v>SHACKLE</v>
          </cell>
          <cell r="C206" t="str">
            <v xml:space="preserve">W5/8" </v>
          </cell>
          <cell r="D206" t="str">
            <v>EA</v>
          </cell>
          <cell r="E206">
            <v>16</v>
          </cell>
          <cell r="F206" t="str">
            <v>1PONT당 2EA씩이므로 8x2 = 16EA</v>
          </cell>
        </row>
        <row r="207">
          <cell r="A207" t="e">
            <v>#REF!</v>
          </cell>
          <cell r="B207" t="str">
            <v>HANGER BRACKET</v>
          </cell>
          <cell r="D207" t="str">
            <v>EA</v>
          </cell>
          <cell r="E207">
            <v>8</v>
          </cell>
          <cell r="F207" t="str">
            <v>천정부분 HANGER POINT</v>
          </cell>
        </row>
        <row r="208">
          <cell r="A208" t="e">
            <v>#REF!</v>
          </cell>
          <cell r="B208" t="str">
            <v>HANGER PLATE</v>
          </cell>
          <cell r="C208" t="str">
            <v>PL 9tx200x75</v>
          </cell>
          <cell r="D208" t="str">
            <v>EA</v>
          </cell>
          <cell r="E208">
            <v>8</v>
          </cell>
          <cell r="F208" t="str">
            <v>GRID 부분 HANGER POINT</v>
          </cell>
        </row>
        <row r="209">
          <cell r="A209" t="e">
            <v>#REF!</v>
          </cell>
          <cell r="B209" t="str">
            <v>도 장 비</v>
          </cell>
          <cell r="C209" t="str">
            <v>각 2회</v>
          </cell>
          <cell r="D209" t="str">
            <v>M2</v>
          </cell>
          <cell r="E209">
            <v>21</v>
          </cell>
          <cell r="F209" t="str">
            <v>CH-100(29x0.6)+ROUND BAR(8x0.1)++T'ASSY(8x0.3)=20.6 약 21M2</v>
          </cell>
        </row>
        <row r="210">
          <cell r="A210" t="e">
            <v>#REF!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</row>
        <row r="218">
          <cell r="A218" t="e">
            <v>#REF!</v>
          </cell>
        </row>
        <row r="219">
          <cell r="A219" t="e">
            <v>#REF!</v>
          </cell>
        </row>
        <row r="220">
          <cell r="A220" t="e">
            <v>#REF!</v>
          </cell>
        </row>
        <row r="221">
          <cell r="A221" t="e">
            <v>#REF!</v>
          </cell>
        </row>
        <row r="222">
          <cell r="A222" t="e">
            <v>#REF!</v>
          </cell>
        </row>
        <row r="223">
          <cell r="B223" t="str">
            <v>공사명 : CONTROL PANEL</v>
          </cell>
          <cell r="D223" t="str">
            <v/>
          </cell>
          <cell r="E223" t="str">
            <v/>
          </cell>
          <cell r="F223" t="str">
            <v/>
          </cell>
          <cell r="H223" t="str">
            <v>NO.1-09-00</v>
          </cell>
        </row>
        <row r="224">
          <cell r="A224" t="e">
            <v>#REF!</v>
          </cell>
          <cell r="B224" t="str">
            <v>PANEL</v>
          </cell>
          <cell r="C224" t="str">
            <v>800Lx1200Hx250D</v>
          </cell>
          <cell r="D224" t="str">
            <v>SET</v>
          </cell>
          <cell r="E224">
            <v>1</v>
          </cell>
          <cell r="F224" t="str">
            <v/>
          </cell>
        </row>
        <row r="225">
          <cell r="B225" t="str">
            <v>MAIN N.F.B</v>
          </cell>
          <cell r="C225" t="str">
            <v>3P 20A</v>
          </cell>
          <cell r="D225" t="str">
            <v>EA</v>
          </cell>
          <cell r="E225">
            <v>1</v>
          </cell>
          <cell r="F225" t="str">
            <v/>
          </cell>
        </row>
        <row r="226">
          <cell r="A226" t="e">
            <v>#REF!</v>
          </cell>
          <cell r="B226" t="str">
            <v>N.F.B</v>
          </cell>
          <cell r="C226" t="str">
            <v>3P 30AF/10AT</v>
          </cell>
          <cell r="D226" t="str">
            <v>EA</v>
          </cell>
          <cell r="E226">
            <v>1</v>
          </cell>
          <cell r="F226" t="str">
            <v>1.5KW 1회로 이므로</v>
          </cell>
        </row>
        <row r="227">
          <cell r="A227" t="e">
            <v>#REF!</v>
          </cell>
          <cell r="B227" t="str">
            <v>N.F.B</v>
          </cell>
          <cell r="C227" t="str">
            <v>2P 5A</v>
          </cell>
          <cell r="D227" t="str">
            <v>EA</v>
          </cell>
          <cell r="E227">
            <v>10</v>
          </cell>
          <cell r="F227" t="str">
            <v>25W x 6회로, 40W x 2회로, 100W x 1회로, 190W x 1회로= 10회로이므로</v>
          </cell>
        </row>
        <row r="228">
          <cell r="A228" t="e">
            <v>#REF!</v>
          </cell>
          <cell r="B228" t="str">
            <v xml:space="preserve">N.F.B(MACHINE OP') </v>
          </cell>
          <cell r="C228" t="str">
            <v>2P 5A</v>
          </cell>
          <cell r="D228" t="str">
            <v>EA</v>
          </cell>
          <cell r="E228">
            <v>1</v>
          </cell>
          <cell r="F228" t="str">
            <v/>
          </cell>
        </row>
        <row r="229">
          <cell r="B229" t="str">
            <v>MAGNETIC S/W</v>
          </cell>
          <cell r="C229" t="str">
            <v>SMO - 15</v>
          </cell>
          <cell r="D229" t="str">
            <v>EA</v>
          </cell>
          <cell r="E229">
            <v>2</v>
          </cell>
          <cell r="F229" t="str">
            <v>1회로 (1.5KW이하) x 2EA씩 (정.역회전)</v>
          </cell>
        </row>
        <row r="230">
          <cell r="A230" t="e">
            <v>#REF!</v>
          </cell>
          <cell r="B230" t="str">
            <v>전  선</v>
          </cell>
          <cell r="C230" t="str">
            <v>UL #24</v>
          </cell>
          <cell r="D230" t="str">
            <v>M</v>
          </cell>
          <cell r="E230">
            <v>10</v>
          </cell>
          <cell r="F230" t="str">
            <v/>
          </cell>
        </row>
        <row r="231">
          <cell r="A231" t="e">
            <v>#REF!</v>
          </cell>
          <cell r="B231" t="str">
            <v>PILOT LAMP</v>
          </cell>
          <cell r="C231" t="str">
            <v/>
          </cell>
          <cell r="D231" t="str">
            <v>EA</v>
          </cell>
          <cell r="E231">
            <v>2</v>
          </cell>
          <cell r="F231" t="str">
            <v>POWER용 1EA, OPERATION용 1EA</v>
          </cell>
        </row>
        <row r="232">
          <cell r="B232" t="str">
            <v>T.H</v>
          </cell>
          <cell r="D232" t="str">
            <v>EA</v>
          </cell>
          <cell r="E232">
            <v>1</v>
          </cell>
          <cell r="F232" t="str">
            <v>회로당 1EA씩 x 1회로</v>
          </cell>
        </row>
        <row r="233">
          <cell r="A233" t="e">
            <v>#REF!</v>
          </cell>
          <cell r="B233" t="str">
            <v>POWER RELAY</v>
          </cell>
          <cell r="C233" t="str">
            <v>4a4b</v>
          </cell>
          <cell r="D233" t="str">
            <v>EA</v>
          </cell>
          <cell r="E233">
            <v>20</v>
          </cell>
          <cell r="F233" t="str">
            <v>회로당 2EA씩 x 10회로</v>
          </cell>
        </row>
        <row r="234">
          <cell r="A234" t="e">
            <v>#REF!</v>
          </cell>
          <cell r="B234" t="str">
            <v>RELAY</v>
          </cell>
          <cell r="C234" t="str">
            <v>DC 24V 14PIN</v>
          </cell>
          <cell r="D234" t="str">
            <v>EA</v>
          </cell>
          <cell r="E234">
            <v>2</v>
          </cell>
          <cell r="F234" t="str">
            <v>회로당 2EA씩 x 1회로</v>
          </cell>
        </row>
        <row r="235">
          <cell r="A235" t="e">
            <v>#REF!</v>
          </cell>
          <cell r="B235" t="str">
            <v>RELAY SOCKET</v>
          </cell>
          <cell r="C235" t="str">
            <v>DC 24V 14PIN</v>
          </cell>
          <cell r="D235" t="str">
            <v>EA</v>
          </cell>
          <cell r="E235">
            <v>2</v>
          </cell>
          <cell r="F235" t="str">
            <v>회로당 2EA씩 x 1회로</v>
          </cell>
          <cell r="G235" t="str">
            <v/>
          </cell>
        </row>
        <row r="236">
          <cell r="A236" t="e">
            <v>#REF!</v>
          </cell>
          <cell r="B236" t="str">
            <v>FUSE/SOCKET</v>
          </cell>
          <cell r="C236" t="str">
            <v/>
          </cell>
          <cell r="D236" t="str">
            <v>EA</v>
          </cell>
          <cell r="E236">
            <v>3</v>
          </cell>
          <cell r="F236" t="str">
            <v>3상 이므로</v>
          </cell>
        </row>
        <row r="237">
          <cell r="A237" t="e">
            <v>#REF!</v>
          </cell>
          <cell r="B237" t="str">
            <v>TRANS</v>
          </cell>
          <cell r="C237" t="str">
            <v>250W 380/220,110,24V</v>
          </cell>
          <cell r="D237" t="str">
            <v>SET</v>
          </cell>
          <cell r="E237">
            <v>1</v>
          </cell>
        </row>
        <row r="238">
          <cell r="A238" t="e">
            <v>#REF!</v>
          </cell>
          <cell r="B238" t="str">
            <v>TERMINAL &amp; BLOCK</v>
          </cell>
          <cell r="C238" t="str">
            <v>20A</v>
          </cell>
          <cell r="D238" t="str">
            <v>EA</v>
          </cell>
          <cell r="E238">
            <v>44</v>
          </cell>
          <cell r="F238" t="str">
            <v>11CIR'x4EA=44EA (POWER)</v>
          </cell>
        </row>
        <row r="239">
          <cell r="A239" t="e">
            <v>#REF!</v>
          </cell>
          <cell r="B239" t="str">
            <v>TERMINAL &amp; BLOCK</v>
          </cell>
          <cell r="C239" t="str">
            <v>10A</v>
          </cell>
          <cell r="D239" t="str">
            <v>EA</v>
          </cell>
          <cell r="E239">
            <v>66</v>
          </cell>
          <cell r="F239" t="str">
            <v>11CIR'x6EA=66EA (OPERATION)</v>
          </cell>
        </row>
        <row r="240">
          <cell r="B240" t="str">
            <v>TERMINAL &amp; TUBE</v>
          </cell>
          <cell r="C240" t="str">
            <v>3.5sq</v>
          </cell>
          <cell r="D240" t="str">
            <v>SET</v>
          </cell>
          <cell r="E240">
            <v>88</v>
          </cell>
          <cell r="F240" t="str">
            <v/>
          </cell>
        </row>
        <row r="241">
          <cell r="A241" t="e">
            <v>#REF!</v>
          </cell>
          <cell r="B241" t="str">
            <v>TERMINAL &amp; TUBE</v>
          </cell>
          <cell r="C241" t="str">
            <v>1.25sq</v>
          </cell>
          <cell r="D241" t="str">
            <v>SET</v>
          </cell>
          <cell r="E241">
            <v>132</v>
          </cell>
          <cell r="F241" t="str">
            <v/>
          </cell>
        </row>
        <row r="242">
          <cell r="A242" t="e">
            <v>#REF!</v>
          </cell>
          <cell r="B242" t="str">
            <v>전   선</v>
          </cell>
          <cell r="C242" t="str">
            <v>IV 3.5sq</v>
          </cell>
          <cell r="D242" t="str">
            <v>M</v>
          </cell>
          <cell r="E242">
            <v>88</v>
          </cell>
          <cell r="F242" t="str">
            <v>회로당2M x (4가닥 x11회로)=88M</v>
          </cell>
        </row>
        <row r="243">
          <cell r="A243" t="e">
            <v>#REF!</v>
          </cell>
          <cell r="B243" t="str">
            <v>전   선</v>
          </cell>
          <cell r="C243" t="str">
            <v>IV 1.25sq</v>
          </cell>
          <cell r="D243" t="str">
            <v>M</v>
          </cell>
          <cell r="E243">
            <v>88</v>
          </cell>
          <cell r="F243" t="str">
            <v>회로당2M x (4가닥 x11회로)=88M</v>
          </cell>
          <cell r="H243" t="str">
            <v/>
          </cell>
        </row>
        <row r="245">
          <cell r="A245" t="e">
            <v>#REF!</v>
          </cell>
          <cell r="B245" t="str">
            <v>공사명: CONTROL BOARD</v>
          </cell>
          <cell r="H245" t="str">
            <v>NO.1-10-00</v>
          </cell>
        </row>
        <row r="246">
          <cell r="A246" t="e">
            <v>#REF!</v>
          </cell>
          <cell r="B246" t="str">
            <v>CONTROL BOARD</v>
          </cell>
          <cell r="C246" t="str">
            <v>325x350x80</v>
          </cell>
          <cell r="D246" t="str">
            <v>SET</v>
          </cell>
          <cell r="E246">
            <v>1</v>
          </cell>
          <cell r="F246" t="str">
            <v>도면 참조</v>
          </cell>
        </row>
        <row r="247">
          <cell r="A247" t="e">
            <v>#REF!</v>
          </cell>
          <cell r="B247" t="str">
            <v>PILOT LAMP</v>
          </cell>
          <cell r="C247" t="str">
            <v>Ø16</v>
          </cell>
          <cell r="D247" t="str">
            <v>EA</v>
          </cell>
          <cell r="E247">
            <v>1</v>
          </cell>
          <cell r="F247" t="str">
            <v>도면 참조</v>
          </cell>
        </row>
        <row r="248">
          <cell r="A248" t="e">
            <v>#REF!</v>
          </cell>
          <cell r="B248" t="str">
            <v>KEY S/W</v>
          </cell>
          <cell r="C248" t="str">
            <v/>
          </cell>
          <cell r="D248" t="str">
            <v>EA</v>
          </cell>
          <cell r="E248">
            <v>1</v>
          </cell>
          <cell r="F248" t="str">
            <v>도면 참조</v>
          </cell>
          <cell r="G248" t="str">
            <v/>
          </cell>
        </row>
        <row r="249">
          <cell r="A249" t="e">
            <v>#REF!</v>
          </cell>
          <cell r="B249" t="str">
            <v>EMERGENCY S/W</v>
          </cell>
          <cell r="C249" t="str">
            <v>Ø25</v>
          </cell>
          <cell r="D249" t="str">
            <v>EA</v>
          </cell>
          <cell r="E249">
            <v>1</v>
          </cell>
          <cell r="F249" t="str">
            <v>도면 참조</v>
          </cell>
        </row>
        <row r="250">
          <cell r="A250" t="e">
            <v>#REF!</v>
          </cell>
          <cell r="B250" t="str">
            <v>선 택 S/W</v>
          </cell>
          <cell r="C250" t="str">
            <v xml:space="preserve">Ø16 </v>
          </cell>
          <cell r="D250" t="str">
            <v>EA</v>
          </cell>
          <cell r="E250">
            <v>11</v>
          </cell>
          <cell r="F250" t="str">
            <v>도면 참조</v>
          </cell>
        </row>
        <row r="251">
          <cell r="A251" t="e">
            <v>#REF!</v>
          </cell>
          <cell r="B251" t="str">
            <v>PUSH BUTTON S/W</v>
          </cell>
          <cell r="C251" t="str">
            <v xml:space="preserve">Ø16 </v>
          </cell>
          <cell r="D251" t="str">
            <v>EA</v>
          </cell>
          <cell r="E251">
            <v>33</v>
          </cell>
          <cell r="F251" t="str">
            <v>11회로 x 3EA = 33EA</v>
          </cell>
        </row>
        <row r="252">
          <cell r="A252" t="e">
            <v>#REF!</v>
          </cell>
          <cell r="B252" t="str">
            <v>TERMINAL BLOCK</v>
          </cell>
          <cell r="C252" t="str">
            <v>20A</v>
          </cell>
          <cell r="D252" t="str">
            <v>EA</v>
          </cell>
          <cell r="E252">
            <v>33</v>
          </cell>
          <cell r="F252" t="str">
            <v>11회로 x3EA = 33EA</v>
          </cell>
        </row>
        <row r="253">
          <cell r="A253" t="e">
            <v>#REF!</v>
          </cell>
          <cell r="B253" t="str">
            <v/>
          </cell>
          <cell r="D253" t="str">
            <v/>
          </cell>
          <cell r="E253" t="str">
            <v/>
          </cell>
          <cell r="F253" t="str">
            <v/>
          </cell>
        </row>
        <row r="254">
          <cell r="A254" t="e">
            <v>#REF!</v>
          </cell>
          <cell r="B254" t="str">
            <v/>
          </cell>
          <cell r="D254" t="str">
            <v/>
          </cell>
          <cell r="E254" t="str">
            <v/>
          </cell>
          <cell r="F254" t="str">
            <v/>
          </cell>
        </row>
        <row r="255">
          <cell r="A255" t="e">
            <v>#REF!</v>
          </cell>
        </row>
        <row r="256">
          <cell r="A256" t="e">
            <v>#REF!</v>
          </cell>
        </row>
        <row r="258">
          <cell r="A258" t="e">
            <v>#REF!</v>
          </cell>
        </row>
        <row r="259">
          <cell r="A259" t="e">
            <v>#REF!</v>
          </cell>
        </row>
        <row r="260">
          <cell r="A260" t="e">
            <v>#REF!</v>
          </cell>
        </row>
        <row r="262">
          <cell r="A262" t="e">
            <v>#REF!</v>
          </cell>
          <cell r="G262" t="str">
            <v/>
          </cell>
          <cell r="H262" t="str">
            <v/>
          </cell>
        </row>
        <row r="263">
          <cell r="A263" t="e">
            <v>#REF!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</row>
        <row r="264">
          <cell r="A264" t="e">
            <v>#REF!</v>
          </cell>
        </row>
        <row r="265">
          <cell r="A265" t="e">
            <v>#REF!</v>
          </cell>
        </row>
        <row r="266">
          <cell r="A266" t="e">
            <v>#REF!</v>
          </cell>
        </row>
        <row r="267">
          <cell r="A267" t="e">
            <v>#REF!</v>
          </cell>
          <cell r="B267" t="str">
            <v>공사명 : MACHINE PART (1.5KW x 4P用: WINCH TYPE)</v>
          </cell>
          <cell r="H267" t="str">
            <v>일위대가-1</v>
          </cell>
        </row>
        <row r="268">
          <cell r="A268" t="e">
            <v>#REF!</v>
          </cell>
          <cell r="B268" t="str">
            <v>MOTOR</v>
          </cell>
          <cell r="C268" t="str">
            <v>1.5KW x 4P</v>
          </cell>
          <cell r="D268" t="str">
            <v>대</v>
          </cell>
          <cell r="E268">
            <v>1</v>
          </cell>
          <cell r="F268" t="str">
            <v/>
          </cell>
        </row>
        <row r="269">
          <cell r="A269" t="e">
            <v>#REF!</v>
          </cell>
          <cell r="B269" t="str">
            <v>DISK BRAKE</v>
          </cell>
          <cell r="C269" t="str">
            <v>1.5KW x 4P用</v>
          </cell>
          <cell r="D269" t="str">
            <v>대</v>
          </cell>
          <cell r="E269">
            <v>1</v>
          </cell>
          <cell r="F269" t="str">
            <v/>
          </cell>
        </row>
        <row r="270">
          <cell r="A270" t="e">
            <v>#REF!</v>
          </cell>
          <cell r="B270" t="str">
            <v>BOLT,NUT,W/S,S/W</v>
          </cell>
          <cell r="C270" t="str">
            <v>M12 x 40L</v>
          </cell>
          <cell r="D270" t="str">
            <v>SET</v>
          </cell>
          <cell r="E270">
            <v>4</v>
          </cell>
          <cell r="F270" t="str">
            <v>MOTOR 고정용</v>
          </cell>
        </row>
        <row r="271">
          <cell r="A271" t="e">
            <v>#REF!</v>
          </cell>
          <cell r="B271" t="str">
            <v>MOTOR DIE</v>
          </cell>
          <cell r="C271" t="str">
            <v>1.5KW x 4P用</v>
          </cell>
          <cell r="D271" t="str">
            <v>SET</v>
          </cell>
          <cell r="E271">
            <v>1</v>
          </cell>
          <cell r="F271" t="str">
            <v>MOTOR 고정용</v>
          </cell>
        </row>
        <row r="272">
          <cell r="A272" t="e">
            <v>#REF!</v>
          </cell>
          <cell r="B272" t="str">
            <v>STUD BOLT</v>
          </cell>
          <cell r="C272" t="str">
            <v>M16 x 200L</v>
          </cell>
          <cell r="D272" t="str">
            <v>SET</v>
          </cell>
          <cell r="E272">
            <v>4</v>
          </cell>
          <cell r="F272" t="str">
            <v>MOTOR 출력축과 WORM REDUCER 입력축과의 거리조절용</v>
          </cell>
        </row>
        <row r="273">
          <cell r="A273" t="e">
            <v>#REF!</v>
          </cell>
          <cell r="B273" t="str">
            <v>NUT</v>
          </cell>
          <cell r="C273" t="str">
            <v>M16</v>
          </cell>
          <cell r="D273" t="str">
            <v>EA</v>
          </cell>
          <cell r="E273">
            <v>16</v>
          </cell>
          <cell r="F273" t="str">
            <v>STUD BOLT 1EA당 4EA씩으므로 4EAx4EA= 16EA</v>
          </cell>
        </row>
        <row r="274">
          <cell r="A274" t="e">
            <v>#REF!</v>
          </cell>
          <cell r="B274" t="str">
            <v xml:space="preserve">V-PULLEY </v>
          </cell>
          <cell r="C274" t="str">
            <v>B형 x 2열 x 3"</v>
          </cell>
          <cell r="D274" t="str">
            <v>EA</v>
          </cell>
          <cell r="E274">
            <v>1</v>
          </cell>
          <cell r="F274" t="str">
            <v>MOTOR 출력용</v>
          </cell>
        </row>
        <row r="275">
          <cell r="A275" t="e">
            <v>#REF!</v>
          </cell>
          <cell r="B275" t="str">
            <v xml:space="preserve">V-PULLEY </v>
          </cell>
          <cell r="C275" t="str">
            <v>B형 x 2열 x 8"</v>
          </cell>
          <cell r="D275" t="str">
            <v>EA</v>
          </cell>
          <cell r="E275">
            <v>1</v>
          </cell>
          <cell r="F275" t="str">
            <v>WORM REDUCER 입력축용</v>
          </cell>
        </row>
        <row r="276">
          <cell r="A276" t="e">
            <v>#REF!</v>
          </cell>
          <cell r="B276" t="str">
            <v>V-BELT</v>
          </cell>
          <cell r="C276" t="str">
            <v>B형 x 42"</v>
          </cell>
          <cell r="D276" t="str">
            <v>EA</v>
          </cell>
          <cell r="E276">
            <v>2</v>
          </cell>
          <cell r="F276" t="str">
            <v>V-PULLEY가 2열</v>
          </cell>
        </row>
        <row r="277">
          <cell r="A277" t="e">
            <v>#REF!</v>
          </cell>
          <cell r="B277" t="str">
            <v>WORM REDUCER</v>
          </cell>
          <cell r="C277" t="str">
            <v>1.5KW x 4P用</v>
          </cell>
          <cell r="D277" t="str">
            <v>대</v>
          </cell>
          <cell r="E277">
            <v>1</v>
          </cell>
          <cell r="F277" t="str">
            <v/>
          </cell>
        </row>
        <row r="278">
          <cell r="A278" t="e">
            <v>#REF!</v>
          </cell>
          <cell r="B278" t="str">
            <v>BOLT,NUT,W/S,S/W</v>
          </cell>
          <cell r="C278" t="str">
            <v>M16 x 60L</v>
          </cell>
          <cell r="D278" t="str">
            <v>SET</v>
          </cell>
          <cell r="E278">
            <v>2</v>
          </cell>
          <cell r="F278" t="str">
            <v>WORM REDUCER 고정용</v>
          </cell>
        </row>
        <row r="279">
          <cell r="A279" t="e">
            <v>#REF!</v>
          </cell>
          <cell r="B279" t="str">
            <v>BEARING</v>
          </cell>
          <cell r="C279" t="str">
            <v>UCP #207</v>
          </cell>
          <cell r="D279" t="str">
            <v>EA</v>
          </cell>
          <cell r="E279">
            <v>1</v>
          </cell>
          <cell r="F279" t="str">
            <v/>
          </cell>
        </row>
        <row r="280">
          <cell r="A280" t="e">
            <v>#REF!</v>
          </cell>
          <cell r="B280" t="str">
            <v>BEARING DIE</v>
          </cell>
          <cell r="C280" t="str">
            <v>UCP #207用</v>
          </cell>
          <cell r="D280" t="str">
            <v>EA</v>
          </cell>
          <cell r="E280">
            <v>1</v>
          </cell>
          <cell r="F280" t="str">
            <v/>
          </cell>
        </row>
        <row r="281">
          <cell r="A281" t="e">
            <v>#REF!</v>
          </cell>
          <cell r="B281" t="str">
            <v>BOLT,NUT,W/S,S/W</v>
          </cell>
          <cell r="C281" t="str">
            <v>M16 x 60L</v>
          </cell>
          <cell r="D281" t="str">
            <v>SET</v>
          </cell>
          <cell r="E281">
            <v>2</v>
          </cell>
          <cell r="F281" t="str">
            <v>BEARING DIE 고정용</v>
          </cell>
        </row>
        <row r="282">
          <cell r="A282" t="e">
            <v>#REF!</v>
          </cell>
          <cell r="B282" t="str">
            <v>CHAIN SPROCKET</v>
          </cell>
          <cell r="C282" t="str">
            <v>DS #35 x 12t</v>
          </cell>
          <cell r="D282" t="str">
            <v>SET</v>
          </cell>
          <cell r="E282">
            <v>1</v>
          </cell>
          <cell r="F282" t="str">
            <v>LIMIT 제어동력 전달용 (CAM LINIT S/W 입력축)</v>
          </cell>
        </row>
        <row r="283">
          <cell r="A283" t="e">
            <v>#REF!</v>
          </cell>
          <cell r="B283" t="str">
            <v>CHAIN SPROCKET</v>
          </cell>
          <cell r="C283" t="str">
            <v>DS #35 x 27t</v>
          </cell>
          <cell r="D283" t="str">
            <v>SET</v>
          </cell>
          <cell r="E283">
            <v>1</v>
          </cell>
          <cell r="F283" t="str">
            <v>LIMIT 제어동력 전달용 (WORM REDUCER 출력축 끝단)</v>
          </cell>
        </row>
        <row r="284">
          <cell r="A284" t="e">
            <v>#REF!</v>
          </cell>
          <cell r="B284" t="str">
            <v xml:space="preserve">CHAIN </v>
          </cell>
          <cell r="C284" t="str">
            <v xml:space="preserve">DS #35 </v>
          </cell>
          <cell r="D284" t="str">
            <v>SET</v>
          </cell>
          <cell r="E284">
            <v>1</v>
          </cell>
          <cell r="F284" t="str">
            <v>LIMIT 제어동력</v>
          </cell>
        </row>
        <row r="285">
          <cell r="A285" t="e">
            <v>#REF!</v>
          </cell>
          <cell r="B285" t="str">
            <v>CHAIN OFFSET LINK</v>
          </cell>
          <cell r="C285" t="str">
            <v xml:space="preserve">DS #35用 </v>
          </cell>
          <cell r="D285" t="str">
            <v>EA</v>
          </cell>
          <cell r="E285">
            <v>1</v>
          </cell>
          <cell r="F285" t="str">
            <v>CHAIN 연결용</v>
          </cell>
        </row>
        <row r="286">
          <cell r="A286" t="e">
            <v>#REF!</v>
          </cell>
          <cell r="B286" t="str">
            <v>CAM LIMIT S/W</v>
          </cell>
          <cell r="C286" t="str">
            <v>SCREW TYPE</v>
          </cell>
          <cell r="D286" t="str">
            <v>SET</v>
          </cell>
          <cell r="E286">
            <v>1</v>
          </cell>
          <cell r="F286" t="str">
            <v>LIMIT 제어동력</v>
          </cell>
        </row>
        <row r="287">
          <cell r="A287" t="e">
            <v>#REF!</v>
          </cell>
          <cell r="B287" t="str">
            <v>LIMIT S/W DIE</v>
          </cell>
          <cell r="C287" t="str">
            <v/>
          </cell>
          <cell r="D287" t="str">
            <v>SET</v>
          </cell>
          <cell r="E287">
            <v>1</v>
          </cell>
          <cell r="F287" t="str">
            <v/>
          </cell>
        </row>
        <row r="288">
          <cell r="A288" t="e">
            <v>#REF!</v>
          </cell>
          <cell r="B288" t="str">
            <v>BOLT,NUT,W/S,S/W</v>
          </cell>
          <cell r="C288" t="str">
            <v>M6 x 30L</v>
          </cell>
          <cell r="D288" t="str">
            <v>SET</v>
          </cell>
          <cell r="E288">
            <v>2</v>
          </cell>
          <cell r="F288" t="str">
            <v>CAM LIMITS S/W 고정용</v>
          </cell>
        </row>
        <row r="289">
          <cell r="A289" t="e">
            <v>#REF!</v>
          </cell>
        </row>
        <row r="290">
          <cell r="A290" t="e">
            <v>#REF!</v>
          </cell>
        </row>
        <row r="291">
          <cell r="A291" t="e">
            <v>#REF!</v>
          </cell>
        </row>
        <row r="292">
          <cell r="A292" t="e">
            <v>#REF!</v>
          </cell>
        </row>
        <row r="293">
          <cell r="A293" t="e">
            <v>#REF!</v>
          </cell>
        </row>
        <row r="294">
          <cell r="A294" t="e">
            <v>#REF!</v>
          </cell>
        </row>
        <row r="295">
          <cell r="A295" t="e">
            <v>#REF!</v>
          </cell>
        </row>
        <row r="296">
          <cell r="A296" t="e">
            <v>#REF!</v>
          </cell>
        </row>
        <row r="297">
          <cell r="A297" t="e">
            <v>#REF!</v>
          </cell>
        </row>
        <row r="298">
          <cell r="A298" t="e">
            <v>#REF!</v>
          </cell>
        </row>
        <row r="299">
          <cell r="A299" t="e">
            <v>#REF!</v>
          </cell>
        </row>
        <row r="300">
          <cell r="A300" t="e">
            <v>#REF!</v>
          </cell>
        </row>
        <row r="301">
          <cell r="A301" t="e">
            <v>#REF!</v>
          </cell>
        </row>
        <row r="302">
          <cell r="A302" t="e">
            <v>#REF!</v>
          </cell>
        </row>
        <row r="303">
          <cell r="A303" t="e">
            <v>#REF!</v>
          </cell>
        </row>
        <row r="304">
          <cell r="A304" t="e">
            <v>#REF!</v>
          </cell>
        </row>
        <row r="305">
          <cell r="A305" t="e">
            <v>#REF!</v>
          </cell>
        </row>
        <row r="306">
          <cell r="A306" t="e">
            <v>#REF!</v>
          </cell>
        </row>
        <row r="307">
          <cell r="A307" t="e">
            <v>#REF!</v>
          </cell>
        </row>
        <row r="308">
          <cell r="A308" t="e">
            <v>#REF!</v>
          </cell>
        </row>
        <row r="309">
          <cell r="A309" t="e">
            <v>#REF!</v>
          </cell>
        </row>
        <row r="310">
          <cell r="A310" t="e">
            <v>#REF!</v>
          </cell>
        </row>
        <row r="311">
          <cell r="A311" t="e">
            <v>#REF!</v>
          </cell>
        </row>
        <row r="312">
          <cell r="A312" t="e">
            <v>#REF!</v>
          </cell>
        </row>
        <row r="313">
          <cell r="A313" t="e">
            <v>#REF!</v>
          </cell>
        </row>
        <row r="314">
          <cell r="A314" t="e">
            <v>#REF!</v>
          </cell>
        </row>
        <row r="315">
          <cell r="A315" t="e">
            <v>#REF!</v>
          </cell>
        </row>
        <row r="316">
          <cell r="A316" t="e">
            <v>#REF!</v>
          </cell>
        </row>
        <row r="317">
          <cell r="A317" t="e">
            <v>#REF!</v>
          </cell>
        </row>
        <row r="318">
          <cell r="A318" t="e">
            <v>#REF!</v>
          </cell>
        </row>
        <row r="319">
          <cell r="A319" t="e">
            <v>#REF!</v>
          </cell>
        </row>
        <row r="320">
          <cell r="A320" t="e">
            <v>#REF!</v>
          </cell>
        </row>
        <row r="321">
          <cell r="A321" t="e">
            <v>#REF!</v>
          </cell>
        </row>
        <row r="322">
          <cell r="A322" t="e">
            <v>#REF!</v>
          </cell>
        </row>
        <row r="323">
          <cell r="A323" t="e">
            <v>#REF!</v>
          </cell>
        </row>
        <row r="324">
          <cell r="A324" t="e">
            <v>#REF!</v>
          </cell>
        </row>
        <row r="325">
          <cell r="A325" t="e">
            <v>#REF!</v>
          </cell>
        </row>
        <row r="326">
          <cell r="A326" t="e">
            <v>#REF!</v>
          </cell>
        </row>
        <row r="327">
          <cell r="A327" t="e">
            <v>#REF!</v>
          </cell>
        </row>
        <row r="328">
          <cell r="A328" t="e">
            <v>#REF!</v>
          </cell>
        </row>
        <row r="329">
          <cell r="A329" t="e">
            <v>#REF!</v>
          </cell>
        </row>
        <row r="330">
          <cell r="A330" t="e">
            <v>#REF!</v>
          </cell>
        </row>
        <row r="331">
          <cell r="A331" t="e">
            <v>#REF!</v>
          </cell>
        </row>
        <row r="332">
          <cell r="A332" t="e">
            <v>#REF!</v>
          </cell>
        </row>
        <row r="333">
          <cell r="A333" t="e">
            <v>#REF!</v>
          </cell>
        </row>
        <row r="334">
          <cell r="A334" t="e">
            <v>#REF!</v>
          </cell>
        </row>
        <row r="335">
          <cell r="A335" t="e">
            <v>#REF!</v>
          </cell>
        </row>
        <row r="336">
          <cell r="A336" t="e">
            <v>#REF!</v>
          </cell>
        </row>
        <row r="337">
          <cell r="A337" t="e">
            <v>#REF!</v>
          </cell>
        </row>
        <row r="338">
          <cell r="A338" t="e">
            <v>#REF!</v>
          </cell>
        </row>
        <row r="339">
          <cell r="A339" t="e">
            <v>#REF!</v>
          </cell>
        </row>
        <row r="340">
          <cell r="A340" t="e">
            <v>#REF!</v>
          </cell>
        </row>
        <row r="341">
          <cell r="A341" t="e">
            <v>#REF!</v>
          </cell>
        </row>
        <row r="342">
          <cell r="A342" t="e">
            <v>#REF!</v>
          </cell>
        </row>
        <row r="343">
          <cell r="A343" t="e">
            <v>#REF!</v>
          </cell>
        </row>
        <row r="344">
          <cell r="A344" t="e">
            <v>#REF!</v>
          </cell>
        </row>
        <row r="345">
          <cell r="A345" t="e">
            <v>#REF!</v>
          </cell>
        </row>
        <row r="346">
          <cell r="A346" t="e">
            <v>#REF!</v>
          </cell>
        </row>
        <row r="347">
          <cell r="A347" t="e">
            <v>#REF!</v>
          </cell>
        </row>
        <row r="348">
          <cell r="A348" t="e">
            <v>#REF!</v>
          </cell>
        </row>
        <row r="349">
          <cell r="A349" t="e">
            <v>#REF!</v>
          </cell>
        </row>
        <row r="350">
          <cell r="A350" t="e">
            <v>#REF!</v>
          </cell>
        </row>
        <row r="351">
          <cell r="A351" t="e">
            <v>#REF!</v>
          </cell>
        </row>
        <row r="352">
          <cell r="A352" t="e">
            <v>#REF!</v>
          </cell>
        </row>
        <row r="353">
          <cell r="A353" t="e">
            <v>#REF!</v>
          </cell>
        </row>
        <row r="354">
          <cell r="A354" t="e">
            <v>#REF!</v>
          </cell>
        </row>
        <row r="355">
          <cell r="A355" t="e">
            <v>#REF!</v>
          </cell>
        </row>
        <row r="356">
          <cell r="A356" t="e">
            <v>#REF!</v>
          </cell>
        </row>
        <row r="357">
          <cell r="A357" t="e">
            <v>#REF!</v>
          </cell>
        </row>
        <row r="358">
          <cell r="A358" t="e">
            <v>#REF!</v>
          </cell>
        </row>
        <row r="359">
          <cell r="A359" t="e">
            <v>#REF!</v>
          </cell>
        </row>
        <row r="360">
          <cell r="A360" t="e">
            <v>#REF!</v>
          </cell>
        </row>
        <row r="361">
          <cell r="A361" t="e">
            <v>#REF!</v>
          </cell>
        </row>
        <row r="362">
          <cell r="A362" t="e">
            <v>#REF!</v>
          </cell>
        </row>
        <row r="363">
          <cell r="A363" t="e">
            <v>#REF!</v>
          </cell>
        </row>
        <row r="364">
          <cell r="A364" t="e">
            <v>#REF!</v>
          </cell>
        </row>
        <row r="365">
          <cell r="A365" t="e">
            <v>#REF!</v>
          </cell>
        </row>
        <row r="366">
          <cell r="A366" t="e">
            <v>#REF!</v>
          </cell>
        </row>
        <row r="367">
          <cell r="A367" t="e">
            <v>#REF!</v>
          </cell>
        </row>
        <row r="368">
          <cell r="A368" t="e">
            <v>#REF!</v>
          </cell>
        </row>
        <row r="369">
          <cell r="A369" t="e">
            <v>#REF!</v>
          </cell>
        </row>
        <row r="370">
          <cell r="A370" t="e">
            <v>#REF!</v>
          </cell>
        </row>
        <row r="371">
          <cell r="A371" t="e">
            <v>#REF!</v>
          </cell>
        </row>
        <row r="372">
          <cell r="A372" t="e">
            <v>#REF!</v>
          </cell>
        </row>
        <row r="373">
          <cell r="A373" t="e">
            <v>#REF!</v>
          </cell>
        </row>
        <row r="374">
          <cell r="A374" t="e">
            <v>#REF!</v>
          </cell>
        </row>
        <row r="375">
          <cell r="A375" t="e">
            <v>#REF!</v>
          </cell>
        </row>
        <row r="376">
          <cell r="A376" t="e">
            <v>#REF!</v>
          </cell>
        </row>
        <row r="377">
          <cell r="A377" t="e">
            <v>#REF!</v>
          </cell>
        </row>
        <row r="378">
          <cell r="A378" t="e">
            <v>#REF!</v>
          </cell>
        </row>
        <row r="379">
          <cell r="A379" t="e">
            <v>#REF!</v>
          </cell>
        </row>
        <row r="380">
          <cell r="A380" t="e">
            <v>#REF!</v>
          </cell>
        </row>
        <row r="381">
          <cell r="A381" t="e">
            <v>#REF!</v>
          </cell>
        </row>
        <row r="382">
          <cell r="A382" t="e">
            <v>#REF!</v>
          </cell>
        </row>
        <row r="383">
          <cell r="A383" t="e">
            <v>#REF!</v>
          </cell>
        </row>
        <row r="384">
          <cell r="A384" t="e">
            <v>#REF!</v>
          </cell>
        </row>
        <row r="385">
          <cell r="A385" t="e">
            <v>#REF!</v>
          </cell>
        </row>
        <row r="386">
          <cell r="A386" t="e">
            <v>#REF!</v>
          </cell>
        </row>
        <row r="387">
          <cell r="A387" t="e">
            <v>#REF!</v>
          </cell>
        </row>
        <row r="388">
          <cell r="A388" t="e">
            <v>#REF!</v>
          </cell>
        </row>
        <row r="389">
          <cell r="A389" t="e">
            <v>#REF!</v>
          </cell>
        </row>
        <row r="390">
          <cell r="A390" t="e">
            <v>#REF!</v>
          </cell>
        </row>
        <row r="391">
          <cell r="A391" t="e">
            <v>#REF!</v>
          </cell>
        </row>
        <row r="392">
          <cell r="A392" t="e">
            <v>#REF!</v>
          </cell>
        </row>
        <row r="393">
          <cell r="A393" t="e">
            <v>#REF!</v>
          </cell>
        </row>
        <row r="394">
          <cell r="A394" t="e">
            <v>#REF!</v>
          </cell>
        </row>
        <row r="395">
          <cell r="A395" t="e">
            <v>#REF!</v>
          </cell>
        </row>
        <row r="396">
          <cell r="A396" t="e">
            <v>#REF!</v>
          </cell>
        </row>
        <row r="397">
          <cell r="A397" t="e">
            <v>#REF!</v>
          </cell>
        </row>
        <row r="398">
          <cell r="A398" t="e">
            <v>#REF!</v>
          </cell>
        </row>
        <row r="399">
          <cell r="A399" t="e">
            <v>#REF!</v>
          </cell>
        </row>
        <row r="400">
          <cell r="A400" t="e">
            <v>#REF!</v>
          </cell>
        </row>
        <row r="401">
          <cell r="A401" t="e">
            <v>#REF!</v>
          </cell>
        </row>
        <row r="402">
          <cell r="A402" t="e">
            <v>#REF!</v>
          </cell>
        </row>
        <row r="403">
          <cell r="A403" t="e">
            <v>#REF!</v>
          </cell>
        </row>
        <row r="404">
          <cell r="A404" t="e">
            <v>#REF!</v>
          </cell>
        </row>
        <row r="405">
          <cell r="A405" t="e">
            <v>#REF!</v>
          </cell>
        </row>
        <row r="406">
          <cell r="A406" t="e">
            <v>#REF!</v>
          </cell>
        </row>
        <row r="407">
          <cell r="A407" t="e">
            <v>#REF!</v>
          </cell>
        </row>
        <row r="408">
          <cell r="A408" t="e">
            <v>#REF!</v>
          </cell>
        </row>
        <row r="409">
          <cell r="A409" t="e">
            <v>#REF!</v>
          </cell>
        </row>
        <row r="410">
          <cell r="A410" t="e">
            <v>#REF!</v>
          </cell>
        </row>
        <row r="411">
          <cell r="A411" t="e">
            <v>#REF!</v>
          </cell>
        </row>
        <row r="412">
          <cell r="A412" t="e">
            <v>#REF!</v>
          </cell>
        </row>
        <row r="413">
          <cell r="A413" t="e">
            <v>#REF!</v>
          </cell>
        </row>
        <row r="414">
          <cell r="A414" t="e">
            <v>#REF!</v>
          </cell>
        </row>
        <row r="415">
          <cell r="A415" t="e">
            <v>#REF!</v>
          </cell>
        </row>
        <row r="416">
          <cell r="A416" t="e">
            <v>#REF!</v>
          </cell>
        </row>
        <row r="417">
          <cell r="A417" t="e">
            <v>#REF!</v>
          </cell>
        </row>
        <row r="418">
          <cell r="A418" t="e">
            <v>#REF!</v>
          </cell>
        </row>
        <row r="419">
          <cell r="A419" t="e">
            <v>#REF!</v>
          </cell>
        </row>
        <row r="420">
          <cell r="A420" t="e">
            <v>#REF!</v>
          </cell>
        </row>
        <row r="421">
          <cell r="A421" t="e">
            <v>#REF!</v>
          </cell>
        </row>
        <row r="422">
          <cell r="A422" t="e">
            <v>#REF!</v>
          </cell>
        </row>
        <row r="423">
          <cell r="A423" t="e">
            <v>#REF!</v>
          </cell>
        </row>
        <row r="424">
          <cell r="A424" t="e">
            <v>#REF!</v>
          </cell>
        </row>
        <row r="425">
          <cell r="A425" t="e">
            <v>#REF!</v>
          </cell>
        </row>
        <row r="426">
          <cell r="A426" t="e">
            <v>#REF!</v>
          </cell>
        </row>
        <row r="427">
          <cell r="A427" t="e">
            <v>#REF!</v>
          </cell>
        </row>
        <row r="428">
          <cell r="A428" t="e">
            <v>#REF!</v>
          </cell>
        </row>
        <row r="429">
          <cell r="A429" t="e">
            <v>#REF!</v>
          </cell>
        </row>
        <row r="430">
          <cell r="A430" t="e">
            <v>#REF!</v>
          </cell>
        </row>
        <row r="431">
          <cell r="A431" t="e">
            <v>#REF!</v>
          </cell>
        </row>
        <row r="432">
          <cell r="A432" t="e">
            <v>#REF!</v>
          </cell>
        </row>
        <row r="433">
          <cell r="A433" t="e">
            <v>#REF!</v>
          </cell>
        </row>
        <row r="434">
          <cell r="A434" t="e">
            <v>#REF!</v>
          </cell>
        </row>
        <row r="435">
          <cell r="A435" t="e">
            <v>#REF!</v>
          </cell>
        </row>
        <row r="436">
          <cell r="A436" t="e">
            <v>#REF!</v>
          </cell>
        </row>
        <row r="437">
          <cell r="A437" t="e">
            <v>#REF!</v>
          </cell>
        </row>
        <row r="438">
          <cell r="A438" t="e">
            <v>#REF!</v>
          </cell>
        </row>
        <row r="439">
          <cell r="A439" t="e">
            <v>#REF!</v>
          </cell>
        </row>
        <row r="440">
          <cell r="A440" t="e">
            <v>#REF!</v>
          </cell>
        </row>
        <row r="441">
          <cell r="A441" t="e">
            <v>#REF!</v>
          </cell>
        </row>
        <row r="442">
          <cell r="A442" t="e">
            <v>#REF!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잔디면적"/>
      <sheetName val="수목수량집계표"/>
      <sheetName val="시설물수량집계표"/>
      <sheetName val="품질관리,직영비"/>
      <sheetName val="일위대가표(시설상위)"/>
      <sheetName val="일위대가표(시설하위)"/>
      <sheetName val="기본단가표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수량산출(음암)"/>
      <sheetName val="설계명세서"/>
      <sheetName val="토적표"/>
      <sheetName val="말뚝지지력산정"/>
      <sheetName val="기안"/>
      <sheetName val="마케팅"/>
      <sheetName val="목차"/>
      <sheetName val="추정손익"/>
      <sheetName val="할당"/>
      <sheetName val="실적"/>
      <sheetName val="제목"/>
      <sheetName val="원가,목표"/>
      <sheetName val="판매"/>
      <sheetName val="판촉"/>
      <sheetName val="협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55970</v>
          </cell>
        </row>
        <row r="9">
          <cell r="K9">
            <v>68884</v>
          </cell>
        </row>
        <row r="11">
          <cell r="K11">
            <v>71251</v>
          </cell>
        </row>
        <row r="12">
          <cell r="K12">
            <v>56603</v>
          </cell>
        </row>
        <row r="13">
          <cell r="K13">
            <v>68228</v>
          </cell>
        </row>
        <row r="14">
          <cell r="K14">
            <v>43994</v>
          </cell>
        </row>
        <row r="15">
          <cell r="L15">
            <v>55214</v>
          </cell>
        </row>
        <row r="16">
          <cell r="L16">
            <v>47653</v>
          </cell>
        </row>
        <row r="17">
          <cell r="L17">
            <v>67725</v>
          </cell>
        </row>
        <row r="18">
          <cell r="K18">
            <v>73192</v>
          </cell>
        </row>
        <row r="19">
          <cell r="L19">
            <v>66461</v>
          </cell>
        </row>
        <row r="20">
          <cell r="L20">
            <v>78296</v>
          </cell>
        </row>
        <row r="21">
          <cell r="L21">
            <v>59780</v>
          </cell>
        </row>
        <row r="22">
          <cell r="L22">
            <v>63963</v>
          </cell>
        </row>
        <row r="23">
          <cell r="L23">
            <v>63468</v>
          </cell>
        </row>
        <row r="24">
          <cell r="L24">
            <v>56597</v>
          </cell>
        </row>
        <row r="25">
          <cell r="L25">
            <v>67451</v>
          </cell>
        </row>
        <row r="26">
          <cell r="L26">
            <v>67477</v>
          </cell>
        </row>
        <row r="27">
          <cell r="L27">
            <v>60197</v>
          </cell>
        </row>
        <row r="46">
          <cell r="L46">
            <v>558</v>
          </cell>
        </row>
        <row r="47">
          <cell r="L47">
            <v>1132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K8">
            <v>60590</v>
          </cell>
        </row>
        <row r="10">
          <cell r="L10">
            <v>69086</v>
          </cell>
        </row>
        <row r="32">
          <cell r="L32">
            <v>71973</v>
          </cell>
        </row>
        <row r="33">
          <cell r="L33">
            <v>100560</v>
          </cell>
        </row>
        <row r="34">
          <cell r="L34">
            <v>51818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현장운반(대운반)"/>
      <sheetName val="거리운임표(대운반)"/>
      <sheetName val="운반비산출(소운반)"/>
      <sheetName val="운반비산출 (대운반)"/>
      <sheetName val="9GNG운반"/>
      <sheetName val="공정코드"/>
      <sheetName val="자재코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1999.8최종"/>
      <sheetName val="수량"/>
      <sheetName val="중량"/>
      <sheetName val="인건비"/>
      <sheetName val="단가대비표"/>
      <sheetName val="공내역서"/>
      <sheetName val="견적대비표"/>
      <sheetName val="타동명"/>
      <sheetName val="타진명-갑지"/>
      <sheetName val="타진명-2"/>
      <sheetName val="타영시스템"/>
      <sheetName val="수량산출"/>
      <sheetName val="건축일위"/>
      <sheetName val="그라우팅일위"/>
      <sheetName val="노임단가"/>
      <sheetName val="수목단가"/>
      <sheetName val="시설수량표"/>
      <sheetName val="식재수량표"/>
      <sheetName val="일위목록"/>
      <sheetName val="공사개요"/>
      <sheetName val="현장관리비"/>
      <sheetName val="N賃率-職"/>
      <sheetName val="단가 및 재료비"/>
      <sheetName val="단가산출2"/>
      <sheetName val="일위대가"/>
      <sheetName val="전기"/>
      <sheetName val="00노임기준"/>
      <sheetName val="기본일위"/>
      <sheetName val="I一般比"/>
      <sheetName val="94"/>
      <sheetName val="Sheet1"/>
      <sheetName val="#REF"/>
      <sheetName val="신우"/>
      <sheetName val="데이타"/>
      <sheetName val="자재단가"/>
      <sheetName val="건축"/>
      <sheetName val="갑지"/>
      <sheetName val="소비자가"/>
      <sheetName val="제잡비"/>
      <sheetName val="기계경비산출기준"/>
      <sheetName val="토사(PE)"/>
      <sheetName val="총 원가계산"/>
      <sheetName val="원가계산서"/>
      <sheetName val="단가표"/>
      <sheetName val="수량산출(음암)"/>
      <sheetName val="집계표"/>
      <sheetName val="철거산출근거"/>
      <sheetName val="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"/>
      <sheetName val="원가계산기준"/>
      <sheetName val="사용전검사"/>
      <sheetName val="집계표"/>
      <sheetName val="단가산출서"/>
      <sheetName val="수량산출-재료"/>
      <sheetName val="수량산출-노무"/>
      <sheetName val="산출1-수.변전"/>
      <sheetName val="산출1-분전반 (1)"/>
      <sheetName val="산출2-전력"/>
      <sheetName val="산출2-분전반(2)"/>
      <sheetName val="산출-2-P.B"/>
      <sheetName val="산출3-동력"/>
      <sheetName val="산출4-전등"/>
      <sheetName val="산출4-조명기구"/>
      <sheetName val="산출5-전열"/>
      <sheetName val="산출6-피뢰침"/>
      <sheetName val="공통단가"/>
      <sheetName val="견적단가"/>
      <sheetName val="노임단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단가"/>
      <sheetName val="실행대비"/>
      <sheetName val="돌담교 상부수량"/>
      <sheetName val="SLAB&quot;1&quot;"/>
      <sheetName val="H-PILE수량집계"/>
      <sheetName val="수량-가로등"/>
      <sheetName val="총괄"/>
      <sheetName val="기초단가"/>
      <sheetName val="중기손료"/>
      <sheetName val="말뚝지지력산정"/>
      <sheetName val="산출근거"/>
      <sheetName val="개산공사비"/>
      <sheetName val="해평견적"/>
      <sheetName val="자재단가"/>
      <sheetName val="노임단가"/>
      <sheetName val="토적표"/>
      <sheetName val="전기"/>
      <sheetName val="6PILE  (돌출)"/>
      <sheetName val="소비자가"/>
      <sheetName val="건축내역"/>
      <sheetName val="기안"/>
      <sheetName val="우수받이"/>
      <sheetName val="1단계"/>
      <sheetName val="노임이"/>
      <sheetName val="실행철강하도"/>
      <sheetName val="수량산출"/>
      <sheetName val="단위수량"/>
      <sheetName val="가시설수량"/>
      <sheetName val="원가계산"/>
      <sheetName val="테이블"/>
      <sheetName val="역T형교대(말뚝기초)"/>
      <sheetName val="건축"/>
      <sheetName val="토목주소"/>
      <sheetName val="3BL공동구 수량"/>
      <sheetName val="견적단가"/>
      <sheetName val="기계경비(시간당)"/>
      <sheetName val="램머"/>
      <sheetName val="내역서1999.8최종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사당"/>
      <sheetName val="일위대가목록"/>
      <sheetName val="한강운반비"/>
      <sheetName val="1차 내역서"/>
      <sheetName val="공통(20-91)"/>
      <sheetName val="토목공사일반"/>
      <sheetName val="차액보증"/>
      <sheetName val="계양가시설"/>
      <sheetName val="부대공"/>
      <sheetName val="포장공"/>
      <sheetName val="토공"/>
      <sheetName val="입찰안"/>
      <sheetName val="백암비스타내역"/>
      <sheetName val="을"/>
      <sheetName val="현장"/>
      <sheetName val="2공구산출내역"/>
      <sheetName val="내역서2안"/>
      <sheetName val="품셈TABLE"/>
      <sheetName val="JUCK"/>
      <sheetName val="노무"/>
      <sheetName val="물가"/>
      <sheetName val="원가 (2)"/>
      <sheetName val="직재"/>
      <sheetName val="#REF"/>
      <sheetName val="6PILE  (돌출)"/>
      <sheetName val="일위대가(4층원격)"/>
      <sheetName val="철거산출근거"/>
      <sheetName val="견적서"/>
      <sheetName val="J直材4"/>
      <sheetName val="단가조사"/>
      <sheetName val="기초내역서"/>
      <sheetName val="수량산출"/>
      <sheetName val="대가목록표"/>
      <sheetName val="설계서(표지)"/>
      <sheetName val="원가계산서"/>
      <sheetName val="98지급계획"/>
      <sheetName val="공통가설"/>
      <sheetName val="공사현황"/>
      <sheetName val="추가대화"/>
      <sheetName val="금액내역서"/>
      <sheetName val="소방사항"/>
      <sheetName val="교통대책내역"/>
      <sheetName val="중기조종사 단위단가"/>
      <sheetName val="DATE"/>
      <sheetName val="산출근거"/>
      <sheetName val="평가데이터"/>
      <sheetName val="인건-측정"/>
      <sheetName val="부재리스트"/>
      <sheetName val="파일의이용"/>
      <sheetName val="BID"/>
      <sheetName val="내역서(설비+소방)"/>
      <sheetName val="실행내역"/>
      <sheetName val="전체"/>
      <sheetName val="골조시행"/>
      <sheetName val="첨부1"/>
      <sheetName val="감가상각"/>
      <sheetName val="Sheet4"/>
      <sheetName val="설계내역서"/>
      <sheetName val="Sheet5"/>
      <sheetName val="공사개요"/>
      <sheetName val="요율"/>
      <sheetName val="2000.11월설계내역"/>
      <sheetName val="현장경비"/>
      <sheetName val="자  재"/>
      <sheetName val="건축외주"/>
      <sheetName val="데이타"/>
      <sheetName val="설계명세서"/>
      <sheetName val="자료입력"/>
      <sheetName val="자재단가리스트"/>
      <sheetName val="패널"/>
      <sheetName val="아파트 내역"/>
      <sheetName val="N賃率-職"/>
      <sheetName val="도급FORM"/>
      <sheetName val="초기화면"/>
      <sheetName val="관급자재"/>
      <sheetName val="내역서적용수량"/>
      <sheetName val="청천내"/>
      <sheetName val="사급자재(1단계)"/>
      <sheetName val="공사예산하조서(O.K)"/>
      <sheetName val="노무비"/>
      <sheetName val="기계경비(시간당)"/>
      <sheetName val="램머"/>
      <sheetName val="설계명세서 (장비)"/>
      <sheetName val="TANK견적대지"/>
      <sheetName val="시설장비부하계산서"/>
      <sheetName val="저"/>
      <sheetName val="CT "/>
      <sheetName val="대상공사(조달청)"/>
      <sheetName val="자료(통합)"/>
      <sheetName val="일위"/>
      <sheetName val="기본일위"/>
      <sheetName val="별표"/>
      <sheetName val="KIM"/>
      <sheetName val="건축원가"/>
      <sheetName val="내역서총집계표"/>
      <sheetName val="NEGO"/>
      <sheetName val="BCK3672"/>
      <sheetName val="2공구하도급내역서"/>
      <sheetName val="인테리어내역"/>
      <sheetName val="갑지(추정)"/>
      <sheetName val="토목"/>
      <sheetName val="토사(PE)"/>
      <sheetName val="Total"/>
      <sheetName val="ELECTRIC"/>
      <sheetName val="원가계산서 "/>
      <sheetName val="기둥(원형)"/>
      <sheetName val="기초공"/>
      <sheetName val="1.설계기준"/>
      <sheetName val="99노임기준"/>
      <sheetName val="건축공사 분괴표원본데이터(공통+건축)"/>
      <sheetName val="104동"/>
      <sheetName val="LP-S"/>
      <sheetName val="구천"/>
      <sheetName val="연결관암거"/>
      <sheetName val="70%"/>
      <sheetName val="일위대가표"/>
      <sheetName val="제품별단가"/>
      <sheetName val="제품별절단길이-0628"/>
      <sheetName val="동수"/>
      <sheetName val="날개벽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06년일위대가"/>
      <sheetName val="실행"/>
      <sheetName val="20관리비율"/>
      <sheetName val="단가기준"/>
      <sheetName val="간접"/>
      <sheetName val="개요"/>
      <sheetName val="명세서"/>
      <sheetName val="직접경비"/>
      <sheetName val="직접인건비"/>
      <sheetName val="계수시트"/>
      <sheetName val="A LINE"/>
      <sheetName val="준검 내역서"/>
      <sheetName val="연습"/>
      <sheetName val="주소"/>
      <sheetName val="원가_(2)"/>
      <sheetName val="1차_내역서"/>
      <sheetName val="6PILE__(돌출)"/>
      <sheetName val="평내중"/>
      <sheetName val="총괄내역"/>
      <sheetName val="외삼초"/>
      <sheetName val="서울대규장각(가시설흙막이)"/>
      <sheetName val="일위목록-기"/>
      <sheetName val="전선 및 전선관"/>
      <sheetName val="증감대비"/>
      <sheetName val="내역서1999.8최종"/>
      <sheetName val="단가 (2)"/>
      <sheetName val="2003 일위대가"/>
      <sheetName val="합천내역"/>
      <sheetName val="사업부배부A"/>
      <sheetName val="변수값"/>
      <sheetName val="중기상차"/>
      <sheetName val="AS복구"/>
      <sheetName val="중기터파기"/>
      <sheetName val="총괄내역서"/>
      <sheetName val="16-1"/>
      <sheetName val="설계명세서(a"/>
      <sheetName val="건축내역(진해석동)"/>
      <sheetName val="누계12"/>
      <sheetName val="전체도급"/>
      <sheetName val="6호기"/>
      <sheetName val="정부노임단가"/>
      <sheetName val="도급견적가"/>
      <sheetName val="pier(각형)"/>
      <sheetName val="총괄표"/>
      <sheetName val="자판실행"/>
      <sheetName val="급수 (LPM)"/>
      <sheetName val="공통비(전체)"/>
      <sheetName val="공사내역"/>
      <sheetName val="일용직내역"/>
      <sheetName val="국별인원"/>
      <sheetName val="현금"/>
      <sheetName val="CP-E2 (품셈표)"/>
      <sheetName val="A-4"/>
      <sheetName val="공통가설공사"/>
      <sheetName val="MIJIBI"/>
      <sheetName val="예산명세서"/>
      <sheetName val="99총공사내역서"/>
      <sheetName val="이름정의"/>
      <sheetName val="갑지"/>
      <sheetName val="DATA"/>
      <sheetName val="단가및재료비"/>
      <sheetName val="COST"/>
      <sheetName val="단가 "/>
      <sheetName val="수목표준대가"/>
      <sheetName val="수목데이타 "/>
      <sheetName val="직접수량"/>
      <sheetName val="구조대가"/>
      <sheetName val="포설대가1"/>
      <sheetName val="부대대가"/>
      <sheetName val="공구"/>
      <sheetName val="실행철강하도"/>
      <sheetName val="말뚝물량"/>
      <sheetName val="프랜트면허"/>
      <sheetName val="재공품기초자료"/>
      <sheetName val="제직재"/>
      <sheetName val="중강당 내역"/>
      <sheetName val="전차선로 물량표"/>
      <sheetName val="工관리비율"/>
      <sheetName val="입력"/>
      <sheetName val="재료비"/>
      <sheetName val="공통(Ȳ_x0000__xd800_䧶_x0000__x0000_"/>
      <sheetName val="FB25JN"/>
      <sheetName val="인사자료총집계"/>
      <sheetName val="주식"/>
      <sheetName val="공사기본내용입력"/>
      <sheetName val="실행내역서"/>
      <sheetName val="전기혼잡제경비(45)"/>
      <sheetName val="도급예산내역서봉투"/>
      <sheetName val="공사원가계산서"/>
      <sheetName val="설계산출기초"/>
      <sheetName val="설계산출표지"/>
      <sheetName val="도급예산내역서총괄표"/>
      <sheetName val="을부담운반비"/>
      <sheetName val="운반비산출"/>
      <sheetName val="연부97-1"/>
      <sheetName val="갑지1"/>
      <sheetName val="기존단가 (2)"/>
      <sheetName val="전력"/>
      <sheetName val="수목데이타"/>
      <sheetName val="6.일위목록"/>
      <sheetName val="시설물기초"/>
      <sheetName val="부대내역"/>
      <sheetName val="자재표"/>
      <sheetName val="노임이"/>
      <sheetName val="유림골조"/>
      <sheetName val="비교1"/>
      <sheetName val="TRU"/>
      <sheetName val="단"/>
      <sheetName val="토적표"/>
      <sheetName val="원가계산"/>
      <sheetName val="원가계산 (2)"/>
      <sheetName val="내   역"/>
      <sheetName val="PAC"/>
      <sheetName val="기본자료"/>
      <sheetName val="납부서"/>
      <sheetName val="외주비"/>
      <sheetName val="소각장스케줄"/>
      <sheetName val="구리토평1전기"/>
      <sheetName val="덕전리"/>
      <sheetName val="fursys"/>
      <sheetName val="동원인원"/>
      <sheetName val="유기공정"/>
      <sheetName val="1차설계변경내역"/>
      <sheetName val="단중표"/>
      <sheetName val="Tool"/>
      <sheetName val="신규DEP"/>
      <sheetName val="가로등내역서"/>
      <sheetName val="전기변내역"/>
      <sheetName val="공통(Ȳ"/>
      <sheetName val="SW개발대상목록(기능점수)"/>
      <sheetName val="지하"/>
      <sheetName val="1000 DB구축 부표"/>
      <sheetName val="설계서"/>
      <sheetName val="경영"/>
      <sheetName val="98년"/>
      <sheetName val="실적"/>
      <sheetName val="일위_파일"/>
      <sheetName val="토공사(흙막이)"/>
      <sheetName val="제-노임"/>
      <sheetName val="기초자료입력"/>
      <sheetName val="1안"/>
      <sheetName val="중기조종사_단위단가"/>
      <sheetName val="아파트_내역"/>
      <sheetName val="식재일위대가"/>
      <sheetName val="기초일위대가"/>
      <sheetName val="단가대비표"/>
      <sheetName val="기초단가"/>
      <sheetName val="CODE(2)"/>
      <sheetName val="소방"/>
      <sheetName val="원가+내역"/>
      <sheetName val="소비자가"/>
      <sheetName val="식재인부"/>
      <sheetName val="INPUT"/>
      <sheetName val="2)관접합"/>
      <sheetName val="중기사용료산출근거"/>
      <sheetName val="단가산출2"/>
      <sheetName val="단가 및 재료비"/>
      <sheetName val="일반공사"/>
      <sheetName val="실행대비"/>
      <sheetName val="3.공통공사대비"/>
      <sheetName val="입찰"/>
      <sheetName val="현경"/>
      <sheetName val="설계변경총괄표(계산식)"/>
      <sheetName val="대비표(토공1안)"/>
      <sheetName val="Sheet6"/>
      <sheetName val="설계"/>
      <sheetName val="시중노임단가"/>
      <sheetName val="총물량"/>
      <sheetName val="용수간선"/>
      <sheetName val="표지"/>
      <sheetName val="설명서 "/>
      <sheetName val="해평견적"/>
      <sheetName val="견적"/>
      <sheetName val="건축내역"/>
      <sheetName val="SUMMARY"/>
      <sheetName val="PAINT"/>
      <sheetName val="03전반노무비"/>
      <sheetName val="도봉2지구"/>
      <sheetName val="증감내역서"/>
      <sheetName val="FOB발"/>
      <sheetName val="전기"/>
      <sheetName val="기초입력 DATA"/>
      <sheetName val="부하계산서"/>
      <sheetName val="터파기및재료"/>
      <sheetName val="현장관리비"/>
      <sheetName val="부대공Ⅱ"/>
      <sheetName val="시화점실행"/>
      <sheetName val="출자한도"/>
      <sheetName val="약품공급2"/>
      <sheetName val="외주"/>
      <sheetName val="Y-WORK"/>
      <sheetName val="ABUT수량-A1"/>
      <sheetName val="운반비"/>
      <sheetName val="관접합및부설"/>
      <sheetName val="설계예산서"/>
      <sheetName val="일위(설)"/>
      <sheetName val="Sheet1 (2)"/>
      <sheetName val="5사남"/>
      <sheetName val="RE9604"/>
      <sheetName val="현장관리"/>
      <sheetName val="대비2"/>
      <sheetName val="분양가"/>
      <sheetName val="2.대외공문"/>
      <sheetName val="TEL"/>
      <sheetName val="부대대비"/>
      <sheetName val="냉연집계"/>
      <sheetName val="10월"/>
      <sheetName val="업체별기성내역"/>
      <sheetName val="단가산출"/>
      <sheetName val="목록"/>
      <sheetName val="¿øº¸"/>
      <sheetName val="Á¦¿ø"/>
      <sheetName val="ÀçÁý"/>
      <sheetName val="Àç"/>
      <sheetName val="°£Àç"/>
      <sheetName val="³ëÁý"/>
      <sheetName val="Á÷³ë"/>
      <sheetName val="³ë°ø"/>
      <sheetName val="ÀÓÀ²"/>
      <sheetName val="°£³ëºñ"/>
      <sheetName val="°æ»ê"/>
      <sheetName val="ÁøÂ¥³»¿ª"/>
      <sheetName val="´Ü°¡"/>
      <sheetName val="ÃÑ°ý"/>
      <sheetName val="Áý°è"/>
      <sheetName val="³»¿ª"/>
      <sheetName val="°ø·®Áý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ü½Ã¿ø"/>
      <sheetName val="Àü½Ã³»"/>
      <sheetName val="Ç¥"/>
      <sheetName val="¸ñ"/>
      <sheetName val="¼³"/>
      <sheetName val="ÀÏ"/>
      <sheetName val="ÀÏÁýÇ¥"/>
      <sheetName val="ÀÏÀ§Ç¥"/>
      <sheetName val="¼öÇ¥"/>
      <sheetName val="¿ø°¡"/>
      <sheetName val="Áý°èÇ¥"/>
      <sheetName val="³»¿ª¼­(³»ºÎ)"/>
      <sheetName val="³»¿ª¼­"/>
      <sheetName val="ÀÏÀ§´ë°¡"/>
      <sheetName val="´Ü°¡»êÃâ¼­"/>
      <sheetName val="Áß±â»ç¿ë·á"/>
      <sheetName val="Àç·á´Ü°¡"/>
      <sheetName val="³ëÀÓ´Ü°¡"/>
      <sheetName val="ÃÑ°æ±âÀåº°³»¿ª¼­(10-11)"/>
      <sheetName val="°æ±âÀåº°³»¿ª¼­(12-107)"/>
      <sheetName val="1Â÷ ³»¿ª¼­"/>
      <sheetName val="ÀÏÀ§´ë°¡¸ñ·Ï"/>
      <sheetName val="ÇÑ°­¿î¹Ýºñ"/>
      <sheetName val="°øÅë(20-91)"/>
      <sheetName val="»ç´ç"/>
      <sheetName val="À»"/>
      <sheetName val="ÀÔÂû¾È"/>
      <sheetName val="¹é¾Ïºñ½ºÅ¸³»¿ª"/>
      <sheetName val="98Áö±Þ°èÈ¹"/>
      <sheetName val="¿ø°¡ (2)"/>
      <sheetName val="¹°°¡"/>
      <sheetName val="Á÷Àç"/>
      <sheetName val="6PILE  (µ¹Ãâ)"/>
      <sheetName val="ÀÏÀ§´ë°¡(4Ãþ¿ø°Ý)"/>
      <sheetName val="Â÷¾×º¸Áõ"/>
      <sheetName val="Ã¶°Å»êÃâ±Ù°Å"/>
      <sheetName val="ºÎ´ë°ø"/>
      <sheetName val="Æ÷Àå°ø"/>
      <sheetName val="Åä°ø"/>
      <sheetName val="°ßÀû¼­"/>
      <sheetName val="JòÁî§4"/>
      <sheetName val="±âÃÊ³»¿ª¼­"/>
      <sheetName val="¼ö·®»êÃâ"/>
      <sheetName val="´ë°¡¸ñ·ÏÇ¥"/>
      <sheetName val="ÇöÀå"/>
      <sheetName val="2°ø±¸»êÃâ³»¿ª"/>
      <sheetName val="³»¿ª¼­2¾È"/>
      <sheetName val="Ç°¼ÀTABLE"/>
      <sheetName val="Åä¸ñ°ø»çÀÏ¹Ý"/>
      <sheetName val="Ãß°¡´ëÈ­"/>
      <sheetName val="°øÅë°¡¼³"/>
      <sheetName val="¼³°è¼­(Ç¥Áö)"/>
      <sheetName val="¿ø°¡°è»ê¼­"/>
      <sheetName val="°ø»çÇöÈ²"/>
      <sheetName val="´Ü°¡Á¶»ç"/>
      <sheetName val="±Ý¾×³»¿ª¼­"/>
      <sheetName val="¼Ò¹æ»çÇ×"/>
      <sheetName val="±³Åë´ëÃ¥³»¿ª"/>
      <sheetName val="»êÃâ±Ù°Å"/>
      <sheetName val="ÀÚÀç´Ü°¡¸®½ºÆ®"/>
      <sheetName val="ÆÐ³Î"/>
      <sheetName val="°è¾ç°¡½Ã¼³"/>
      <sheetName val="³ë¹«"/>
      <sheetName val="°ø»ç°³¿ä"/>
      <sheetName val="½ÇÇà³»¿ª"/>
      <sheetName val="NìüëÒ-òÅ"/>
      <sheetName val="Æò°¡µ¥ÀÌÅÍ"/>
      <sheetName val="µµ±ÞFORM"/>
      <sheetName val="¾ÆÆÄÆ® ³»¿ª"/>
      <sheetName val="ÃÊ±âÈ­¸é"/>
      <sheetName val="°ü±ÞÀÚÀç"/>
      <sheetName val="TANK°ßÀû´ëÁö"/>
      <sheetName val="ÀÎ°Ç-ÃøÁ¤"/>
      <sheetName val="´ë»ó°ø»ç(Á¶´ÞÃ»)"/>
      <sheetName val="ÀÚ·á(ÅëÇÕ)"/>
      <sheetName val="ÀÏÀ§"/>
      <sheetName val="°ø»ç¿¹»êÇÏÁ¶¼­(O.K)"/>
      <sheetName val="³ë¹«ºñ"/>
      <sheetName val="±â°è°æºñ(½Ã°£´ç)"/>
      <sheetName val="·¥¸Ó"/>
      <sheetName val="ÆÄÀÏÀÇÀÌ¿ë"/>
      <sheetName val="¼³°è¸í¼¼¼­ (Àåºñ)"/>
      <sheetName val="±âº»ÀÏÀ§"/>
      <sheetName val="³»¿ª¼­(¼³ºñ+¼Ò¹æ)"/>
      <sheetName val="ÀüÃ¼"/>
      <sheetName val="°ñÁ¶½ÃÇà"/>
      <sheetName val="Ã·ºÎ1"/>
      <sheetName val="ºÎÀç¸®½ºÆ®"/>
      <sheetName val="º°Ç¥"/>
      <sheetName val="¼³°è³»¿ª¼­"/>
      <sheetName val="2°ø±¸ÇÏµµ±Þ³»¿ª¼­"/>
      <sheetName val="°ÇÃà¿ø°¡"/>
      <sheetName val="³»¿ª¼­ÃÑÁý°èÇ¥"/>
      <sheetName val="ÀÎÅ×¸®¾î³»¿ª"/>
      <sheetName val="°©Áö(ÃßÁ¤)"/>
      <sheetName val="Åä¸ñ"/>
      <sheetName val="ÇöÀå°æºñ"/>
      <sheetName val="Áß±âÁ¶Á¾»ç ´ÜÀ§´Ü°¡"/>
      <sheetName val="¿äÀ²"/>
      <sheetName val="2000.11¿ù¼³°è³»¿ª"/>
      <sheetName val="ÀÚ  Àç"/>
      <sheetName val="°ÇÃà¿ÜÁÖ"/>
      <sheetName val="½Ã¼³ÀåºñºÎÇÏ°è»ê¼­"/>
      <sheetName val="°¨°¡»ó°¢"/>
      <sheetName val="Åä»ç(PE)"/>
      <sheetName val="³¯°³º®"/>
      <sheetName val="스텐문틀설치"/>
      <sheetName val="샌딩 에폭시 도장"/>
      <sheetName val="물가자료"/>
      <sheetName val="세금자료"/>
      <sheetName val="60명당사(총괄)"/>
      <sheetName val="손익분석"/>
      <sheetName val="자재대"/>
      <sheetName val="구간별현황"/>
      <sheetName val="기성청구서"/>
      <sheetName val="001"/>
      <sheetName val="견적내역"/>
      <sheetName val="AIR SHOWER(3인용)"/>
      <sheetName val="PSCbeam설계"/>
      <sheetName val="공수"/>
      <sheetName val="산근"/>
      <sheetName val="호표"/>
      <sheetName val="도로정위치부표"/>
      <sheetName val="도로조사부표"/>
      <sheetName val="대표자"/>
      <sheetName val="1456"/>
      <sheetName val="단가_(2)"/>
      <sheetName val="자__재"/>
      <sheetName val="2000_11월설계내역"/>
      <sheetName val="CT_"/>
      <sheetName val="공사예산하조서(O_K)"/>
      <sheetName val="설계명세서_(장비)"/>
      <sheetName val="_HIT-&gt;HMC_견적(3900)"/>
      <sheetName val="2F_회의실견적(5_14_일대)"/>
      <sheetName val="원가계산서_"/>
      <sheetName val="단가_"/>
      <sheetName val="수목데이타_"/>
      <sheetName val="1_설계기준"/>
      <sheetName val="급수_(LPM)"/>
      <sheetName val="일위대가표(유단가)"/>
      <sheetName val="명세"/>
      <sheetName val="코드표"/>
      <sheetName val="한일양산"/>
      <sheetName val="정산서 "/>
      <sheetName val="값"/>
      <sheetName val="산출내역서집계표"/>
      <sheetName val="1"/>
      <sheetName val="2"/>
      <sheetName val="3"/>
      <sheetName val="4"/>
      <sheetName val="5"/>
      <sheetName val="6"/>
      <sheetName val="우수받이"/>
      <sheetName val="설계내역"/>
      <sheetName val="운동장 (2)"/>
      <sheetName val="98NS-N"/>
      <sheetName val="단청공사"/>
      <sheetName val="관급자재대"/>
      <sheetName val="산출내역서"/>
      <sheetName val="b_balju"/>
      <sheetName val="분전함신설"/>
      <sheetName val="접지1종"/>
      <sheetName val="실행보고서갑지"/>
      <sheetName val="입력데이타"/>
      <sheetName val="대가단최종"/>
      <sheetName val="시멘트"/>
      <sheetName val="열린교실"/>
      <sheetName val="자재단가"/>
      <sheetName val="공량산출서"/>
      <sheetName val="200"/>
      <sheetName val="간접비계산"/>
      <sheetName val="부안일위"/>
      <sheetName val="노무비단가"/>
      <sheetName val="총차분(토목)"/>
      <sheetName val="공통(Ȳ?_xd800_䧶??"/>
      <sheetName val="data table"/>
      <sheetName val="업무"/>
      <sheetName val="감리원배치기준"/>
      <sheetName val="책임감리공제요율"/>
      <sheetName val="등급별 배치기준"/>
      <sheetName val="건축설계 대가요율"/>
      <sheetName val="경율산정"/>
      <sheetName val="단가산출목록표"/>
      <sheetName val="토목공사"/>
      <sheetName val="지질조사분석"/>
      <sheetName val="참조"/>
      <sheetName val="공사명입력"/>
      <sheetName val="근로자자료입력"/>
      <sheetName val="참고자료"/>
      <sheetName val="1회 기성내역서"/>
      <sheetName val="범례표"/>
      <sheetName val="산식3"/>
      <sheetName val="BOX전기내역"/>
      <sheetName val="6-1. 관개량조서"/>
      <sheetName val="DATA1"/>
      <sheetName val="물가대비표"/>
      <sheetName val="용역비내역-진짜"/>
      <sheetName val="조건표"/>
      <sheetName val="Base"/>
      <sheetName val="wall"/>
      <sheetName val="데리네이타현황"/>
      <sheetName val="빙축열"/>
      <sheetName val="집수정단위수량 "/>
      <sheetName val="기본단가표"/>
      <sheetName val="수금예정"/>
      <sheetName val="database"/>
      <sheetName val="VXXXXX"/>
      <sheetName val="적용대가"/>
      <sheetName val="지수내역"/>
      <sheetName val="노(97.1,97.9,98.1)"/>
      <sheetName val="조경적용"/>
      <sheetName val="조경내역"/>
      <sheetName val="기계적용"/>
      <sheetName val="기계내역"/>
      <sheetName val="계장적용 "/>
      <sheetName val="계장내역"/>
      <sheetName val="일위목록"/>
      <sheetName val="산출기준자료"/>
      <sheetName val="7단가"/>
      <sheetName val="EQ-R1"/>
      <sheetName val="공조기"/>
      <sheetName val="02하반기노임"/>
      <sheetName val="변수"/>
      <sheetName val="조경"/>
      <sheetName val="유지관리비등"/>
      <sheetName val="Sens&amp;Anal"/>
      <sheetName val="IS&lt;양식27&gt;"/>
      <sheetName val="총투자비산정"/>
      <sheetName val="심사물량"/>
      <sheetName val="setup"/>
      <sheetName val="가격"/>
      <sheetName val="1.1서버도입"/>
      <sheetName val="대치판정"/>
      <sheetName val="Mc1"/>
      <sheetName val="A 견적"/>
      <sheetName val="단가산출서 (2)"/>
      <sheetName val="공비대비"/>
      <sheetName val="본체"/>
      <sheetName val="공사내역서"/>
      <sheetName val="말뚝지지력산정"/>
      <sheetName val="을지"/>
      <sheetName val="Total 단위경유량집계"/>
      <sheetName val="교대(A1-A2)"/>
      <sheetName val="구분"/>
      <sheetName val="실행견적"/>
      <sheetName val="설비(제출)"/>
      <sheetName val="직접경비산출근거"/>
      <sheetName val="2003상반기노임기준"/>
      <sheetName val="돈암사업"/>
      <sheetName val="유림콘도"/>
      <sheetName val="Baby일위대가"/>
      <sheetName val="산출금액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단가조사"/>
      <sheetName val="견적가"/>
      <sheetName val="노임단가"/>
      <sheetName val="일위집계"/>
      <sheetName val="일위대가"/>
    </sheetNames>
    <sheetDataSet>
      <sheetData sheetId="0" refreshError="1">
        <row r="1">
          <cell r="B1" t="str">
            <v>품          명</v>
          </cell>
          <cell r="C1" t="str">
            <v>규       격</v>
          </cell>
          <cell r="D1" t="str">
            <v>단위</v>
          </cell>
          <cell r="E1" t="str">
            <v>물가자료(2002년6월)</v>
          </cell>
          <cell r="G1" t="str">
            <v>물가정보(2002년6월)</v>
          </cell>
          <cell r="I1" t="str">
            <v>가격정보(2002년6월)</v>
          </cell>
          <cell r="K1" t="str">
            <v>조달가격</v>
          </cell>
          <cell r="M1" t="str">
            <v>적 용 가 격</v>
          </cell>
          <cell r="N1" t="str">
            <v>비고</v>
          </cell>
        </row>
        <row r="2">
          <cell r="E2" t="str">
            <v>단가</v>
          </cell>
          <cell r="F2" t="str">
            <v>Page</v>
          </cell>
          <cell r="G2" t="str">
            <v>단가</v>
          </cell>
          <cell r="H2" t="str">
            <v>Page</v>
          </cell>
          <cell r="I2" t="str">
            <v>단가</v>
          </cell>
          <cell r="J2" t="str">
            <v>Page</v>
          </cell>
          <cell r="K2" t="str">
            <v>단가</v>
          </cell>
          <cell r="L2" t="str">
            <v>Page</v>
          </cell>
        </row>
        <row r="3">
          <cell r="A3" t="str">
            <v>강제전선관아연도 16C</v>
          </cell>
          <cell r="B3" t="str">
            <v>강제전선관</v>
          </cell>
          <cell r="C3" t="str">
            <v>아연도 16C</v>
          </cell>
          <cell r="D3" t="str">
            <v>m</v>
          </cell>
          <cell r="E3">
            <v>910</v>
          </cell>
          <cell r="F3">
            <v>867</v>
          </cell>
          <cell r="G3">
            <v>905</v>
          </cell>
          <cell r="H3">
            <v>934</v>
          </cell>
          <cell r="I3">
            <v>757</v>
          </cell>
          <cell r="K3">
            <v>757</v>
          </cell>
          <cell r="M3">
            <v>757</v>
          </cell>
        </row>
        <row r="4">
          <cell r="A4" t="str">
            <v>강제전선관아연도 22C</v>
          </cell>
          <cell r="B4" t="str">
            <v>강제전선관</v>
          </cell>
          <cell r="C4" t="str">
            <v>아연도 22C</v>
          </cell>
          <cell r="D4" t="str">
            <v>m</v>
          </cell>
          <cell r="E4">
            <v>1160</v>
          </cell>
          <cell r="F4">
            <v>867</v>
          </cell>
          <cell r="G4">
            <v>1160</v>
          </cell>
          <cell r="H4">
            <v>934</v>
          </cell>
          <cell r="I4">
            <v>970</v>
          </cell>
          <cell r="K4">
            <v>970</v>
          </cell>
          <cell r="M4">
            <v>970</v>
          </cell>
        </row>
        <row r="5">
          <cell r="A5" t="str">
            <v>강제전선관아연도 28C</v>
          </cell>
          <cell r="B5" t="str">
            <v>강제전선관</v>
          </cell>
          <cell r="C5" t="str">
            <v>아연도 28C</v>
          </cell>
          <cell r="D5" t="str">
            <v>m</v>
          </cell>
          <cell r="E5">
            <v>1510</v>
          </cell>
          <cell r="F5">
            <v>867</v>
          </cell>
          <cell r="G5">
            <v>1515</v>
          </cell>
          <cell r="H5">
            <v>934</v>
          </cell>
          <cell r="I5">
            <v>1267</v>
          </cell>
          <cell r="K5">
            <v>1267</v>
          </cell>
          <cell r="M5">
            <v>1267</v>
          </cell>
        </row>
        <row r="6">
          <cell r="A6" t="str">
            <v>강제전선관아연도 36C</v>
          </cell>
          <cell r="B6" t="str">
            <v>강제전선관</v>
          </cell>
          <cell r="C6" t="str">
            <v>아연도 36C</v>
          </cell>
          <cell r="D6" t="str">
            <v>m</v>
          </cell>
          <cell r="E6">
            <v>1850</v>
          </cell>
          <cell r="F6">
            <v>867</v>
          </cell>
          <cell r="G6">
            <v>1855</v>
          </cell>
          <cell r="H6">
            <v>934</v>
          </cell>
          <cell r="I6">
            <v>1555</v>
          </cell>
          <cell r="K6">
            <v>1555</v>
          </cell>
          <cell r="M6">
            <v>1555</v>
          </cell>
        </row>
        <row r="7">
          <cell r="A7" t="str">
            <v>강제전선관아연도 42C</v>
          </cell>
          <cell r="B7" t="str">
            <v>강제전선관</v>
          </cell>
          <cell r="C7" t="str">
            <v>아연도 42C</v>
          </cell>
          <cell r="D7" t="str">
            <v>m</v>
          </cell>
          <cell r="E7">
            <v>2150</v>
          </cell>
          <cell r="F7">
            <v>867</v>
          </cell>
          <cell r="G7">
            <v>2150</v>
          </cell>
          <cell r="H7">
            <v>934</v>
          </cell>
          <cell r="I7">
            <v>1803</v>
          </cell>
          <cell r="K7">
            <v>1803</v>
          </cell>
          <cell r="M7">
            <v>1803</v>
          </cell>
        </row>
        <row r="8">
          <cell r="A8" t="str">
            <v>강제전선관아연도 54C</v>
          </cell>
          <cell r="B8" t="str">
            <v>강제전선관</v>
          </cell>
          <cell r="C8" t="str">
            <v>아연도 54C</v>
          </cell>
          <cell r="D8" t="str">
            <v>m</v>
          </cell>
          <cell r="E8">
            <v>3000</v>
          </cell>
          <cell r="F8">
            <v>867</v>
          </cell>
          <cell r="G8">
            <v>3000</v>
          </cell>
          <cell r="H8">
            <v>934</v>
          </cell>
          <cell r="I8">
            <v>2514</v>
          </cell>
          <cell r="K8">
            <v>2514</v>
          </cell>
          <cell r="M8">
            <v>2514</v>
          </cell>
        </row>
        <row r="9">
          <cell r="A9" t="str">
            <v>강제전선관아연도 70C</v>
          </cell>
          <cell r="B9" t="str">
            <v>강제전선관</v>
          </cell>
          <cell r="C9" t="str">
            <v>아연도 70C</v>
          </cell>
          <cell r="D9" t="str">
            <v>m</v>
          </cell>
          <cell r="E9">
            <v>3280</v>
          </cell>
          <cell r="F9">
            <v>867</v>
          </cell>
          <cell r="G9">
            <v>3815</v>
          </cell>
          <cell r="H9">
            <v>934</v>
          </cell>
          <cell r="I9">
            <v>3200</v>
          </cell>
          <cell r="K9">
            <v>3200</v>
          </cell>
          <cell r="M9">
            <v>3200</v>
          </cell>
        </row>
        <row r="10">
          <cell r="A10" t="str">
            <v>강제전선관아연도 82C</v>
          </cell>
          <cell r="B10" t="str">
            <v>강제전선관</v>
          </cell>
          <cell r="C10" t="str">
            <v>아연도 82C</v>
          </cell>
          <cell r="D10" t="str">
            <v>m</v>
          </cell>
          <cell r="E10">
            <v>4280</v>
          </cell>
          <cell r="F10">
            <v>867</v>
          </cell>
          <cell r="G10">
            <v>4285</v>
          </cell>
          <cell r="H10">
            <v>934</v>
          </cell>
          <cell r="I10">
            <v>3591</v>
          </cell>
          <cell r="K10">
            <v>3591</v>
          </cell>
          <cell r="M10">
            <v>3591</v>
          </cell>
        </row>
        <row r="11">
          <cell r="A11" t="str">
            <v>강제전선관아연도 104C</v>
          </cell>
          <cell r="B11" t="str">
            <v>강제전선관</v>
          </cell>
          <cell r="C11" t="str">
            <v>아연도 104C</v>
          </cell>
          <cell r="D11" t="str">
            <v>m</v>
          </cell>
          <cell r="E11">
            <v>7440</v>
          </cell>
          <cell r="F11">
            <v>867</v>
          </cell>
          <cell r="G11">
            <v>6825</v>
          </cell>
          <cell r="H11">
            <v>934</v>
          </cell>
          <cell r="I11">
            <v>5720</v>
          </cell>
          <cell r="K11">
            <v>5720</v>
          </cell>
          <cell r="M11">
            <v>5720</v>
          </cell>
        </row>
        <row r="12">
          <cell r="A12" t="str">
            <v>경질비닐전선관HI 16C</v>
          </cell>
          <cell r="B12" t="str">
            <v>경질비닐전선관</v>
          </cell>
          <cell r="C12" t="str">
            <v>HI 16C</v>
          </cell>
          <cell r="D12" t="str">
            <v>m</v>
          </cell>
          <cell r="E12">
            <v>265</v>
          </cell>
          <cell r="F12">
            <v>873</v>
          </cell>
          <cell r="G12">
            <v>270</v>
          </cell>
          <cell r="H12">
            <v>930</v>
          </cell>
          <cell r="I12">
            <v>212</v>
          </cell>
          <cell r="K12">
            <v>212</v>
          </cell>
          <cell r="M12">
            <v>212</v>
          </cell>
        </row>
        <row r="13">
          <cell r="A13" t="str">
            <v>경질비닐전선관HI 22C</v>
          </cell>
          <cell r="B13" t="str">
            <v>경질비닐전선관</v>
          </cell>
          <cell r="C13" t="str">
            <v>HI 22C</v>
          </cell>
          <cell r="D13" t="str">
            <v>m</v>
          </cell>
          <cell r="E13">
            <v>315</v>
          </cell>
          <cell r="F13">
            <v>873</v>
          </cell>
          <cell r="G13">
            <v>216</v>
          </cell>
          <cell r="H13">
            <v>930</v>
          </cell>
          <cell r="K13">
            <v>216</v>
          </cell>
          <cell r="M13">
            <v>216</v>
          </cell>
        </row>
        <row r="14">
          <cell r="A14" t="str">
            <v>경질비닐전선관HI 28C</v>
          </cell>
          <cell r="B14" t="str">
            <v>경질비닐전선관</v>
          </cell>
          <cell r="C14" t="str">
            <v>HI 28C</v>
          </cell>
          <cell r="D14" t="str">
            <v>m</v>
          </cell>
          <cell r="E14">
            <v>610</v>
          </cell>
          <cell r="F14">
            <v>873</v>
          </cell>
          <cell r="G14">
            <v>418</v>
          </cell>
          <cell r="H14">
            <v>930</v>
          </cell>
          <cell r="K14">
            <v>418</v>
          </cell>
          <cell r="M14">
            <v>418</v>
          </cell>
        </row>
        <row r="15">
          <cell r="A15" t="str">
            <v>경질비닐전선관HI 36C</v>
          </cell>
          <cell r="B15" t="str">
            <v>경질비닐전선관</v>
          </cell>
          <cell r="C15" t="str">
            <v>HI 36C</v>
          </cell>
          <cell r="D15" t="str">
            <v>m</v>
          </cell>
          <cell r="E15">
            <v>950</v>
          </cell>
          <cell r="F15">
            <v>873</v>
          </cell>
          <cell r="G15">
            <v>908</v>
          </cell>
          <cell r="H15">
            <v>930</v>
          </cell>
          <cell r="I15">
            <v>726</v>
          </cell>
          <cell r="K15">
            <v>726</v>
          </cell>
          <cell r="M15">
            <v>726</v>
          </cell>
        </row>
        <row r="16">
          <cell r="A16" t="str">
            <v>경질비닐전선관HI 42C</v>
          </cell>
          <cell r="B16" t="str">
            <v>경질비닐전선관</v>
          </cell>
          <cell r="C16" t="str">
            <v>HI 42C</v>
          </cell>
          <cell r="D16" t="str">
            <v>m</v>
          </cell>
          <cell r="E16">
            <v>1120</v>
          </cell>
          <cell r="F16">
            <v>873</v>
          </cell>
          <cell r="G16">
            <v>1187</v>
          </cell>
          <cell r="H16">
            <v>930</v>
          </cell>
          <cell r="K16">
            <v>896</v>
          </cell>
          <cell r="M16">
            <v>896</v>
          </cell>
        </row>
        <row r="17">
          <cell r="A17" t="str">
            <v>폴리에틸렌 전선관PE 22C</v>
          </cell>
          <cell r="B17" t="str">
            <v>폴리에틸렌 전선관</v>
          </cell>
          <cell r="C17" t="str">
            <v>PE 22C</v>
          </cell>
          <cell r="D17" t="str">
            <v>m</v>
          </cell>
          <cell r="E17">
            <v>276</v>
          </cell>
          <cell r="F17">
            <v>873</v>
          </cell>
          <cell r="G17">
            <v>271</v>
          </cell>
          <cell r="H17">
            <v>931</v>
          </cell>
          <cell r="I17">
            <v>217</v>
          </cell>
          <cell r="K17">
            <v>217</v>
          </cell>
          <cell r="M17">
            <v>217</v>
          </cell>
        </row>
        <row r="18">
          <cell r="A18" t="str">
            <v>파상형 폴리에틸렌 전선관30C</v>
          </cell>
          <cell r="B18" t="str">
            <v>파상형 폴리에틸렌 전선관</v>
          </cell>
          <cell r="C18" t="str">
            <v>30C</v>
          </cell>
          <cell r="D18" t="str">
            <v>m</v>
          </cell>
          <cell r="E18">
            <v>330</v>
          </cell>
          <cell r="F18">
            <v>872</v>
          </cell>
          <cell r="G18">
            <v>340</v>
          </cell>
          <cell r="H18">
            <v>931</v>
          </cell>
          <cell r="I18">
            <v>228</v>
          </cell>
          <cell r="K18">
            <v>228</v>
          </cell>
          <cell r="M18">
            <v>228</v>
          </cell>
        </row>
        <row r="19">
          <cell r="A19" t="str">
            <v>파상형 폴리에틸렌 전선관40C</v>
          </cell>
          <cell r="B19" t="str">
            <v>파상형 폴리에틸렌 전선관</v>
          </cell>
          <cell r="C19" t="str">
            <v>40C</v>
          </cell>
          <cell r="D19" t="str">
            <v>m</v>
          </cell>
          <cell r="E19">
            <v>510</v>
          </cell>
          <cell r="F19">
            <v>872</v>
          </cell>
          <cell r="G19">
            <v>510</v>
          </cell>
          <cell r="H19">
            <v>931</v>
          </cell>
          <cell r="I19">
            <v>312</v>
          </cell>
          <cell r="K19">
            <v>312</v>
          </cell>
          <cell r="M19">
            <v>312</v>
          </cell>
        </row>
        <row r="20">
          <cell r="A20" t="str">
            <v>파상형 폴리에틸렌 전선관50C</v>
          </cell>
          <cell r="B20" t="str">
            <v>파상형 폴리에틸렌 전선관</v>
          </cell>
          <cell r="C20" t="str">
            <v>50C</v>
          </cell>
          <cell r="D20" t="str">
            <v>m</v>
          </cell>
          <cell r="E20">
            <v>620</v>
          </cell>
          <cell r="F20">
            <v>872</v>
          </cell>
          <cell r="G20">
            <v>640</v>
          </cell>
          <cell r="H20">
            <v>931</v>
          </cell>
          <cell r="I20">
            <v>428</v>
          </cell>
          <cell r="K20">
            <v>428</v>
          </cell>
          <cell r="M20">
            <v>428</v>
          </cell>
        </row>
        <row r="21">
          <cell r="A21" t="str">
            <v>파상형 폴리에틸렌 전선관80C</v>
          </cell>
          <cell r="B21" t="str">
            <v>파상형 폴리에틸렌 전선관</v>
          </cell>
          <cell r="C21" t="str">
            <v>80C</v>
          </cell>
          <cell r="D21" t="str">
            <v>m</v>
          </cell>
          <cell r="E21">
            <v>1190</v>
          </cell>
          <cell r="F21">
            <v>872</v>
          </cell>
          <cell r="G21">
            <v>1190</v>
          </cell>
          <cell r="H21">
            <v>931</v>
          </cell>
          <cell r="I21">
            <v>821</v>
          </cell>
          <cell r="K21">
            <v>821</v>
          </cell>
          <cell r="M21">
            <v>821</v>
          </cell>
        </row>
        <row r="22">
          <cell r="A22" t="str">
            <v>파상형 폴리에틸렌 전선관100C</v>
          </cell>
          <cell r="B22" t="str">
            <v>파상형 폴리에틸렌 전선관</v>
          </cell>
          <cell r="C22" t="str">
            <v>100C</v>
          </cell>
          <cell r="D22" t="str">
            <v>m</v>
          </cell>
          <cell r="E22">
            <v>1790</v>
          </cell>
          <cell r="F22">
            <v>872</v>
          </cell>
          <cell r="G22">
            <v>1790</v>
          </cell>
          <cell r="H22">
            <v>931</v>
          </cell>
          <cell r="I22">
            <v>1235</v>
          </cell>
          <cell r="K22">
            <v>1235</v>
          </cell>
          <cell r="M22">
            <v>1235</v>
          </cell>
        </row>
        <row r="23">
          <cell r="A23" t="str">
            <v>이종연결관D 100</v>
          </cell>
          <cell r="B23" t="str">
            <v>이종연결관</v>
          </cell>
          <cell r="C23" t="str">
            <v>D 100</v>
          </cell>
          <cell r="D23" t="str">
            <v>EA</v>
          </cell>
          <cell r="E23">
            <v>7000</v>
          </cell>
          <cell r="F23">
            <v>958</v>
          </cell>
          <cell r="G23">
            <v>7100</v>
          </cell>
          <cell r="H23">
            <v>1020</v>
          </cell>
          <cell r="I23">
            <v>7000</v>
          </cell>
          <cell r="K23">
            <v>7000</v>
          </cell>
          <cell r="M23">
            <v>7000</v>
          </cell>
        </row>
        <row r="24">
          <cell r="A24" t="str">
            <v>이종연결관D 50</v>
          </cell>
          <cell r="B24" t="str">
            <v>이종연결관</v>
          </cell>
          <cell r="C24" t="str">
            <v>D 50</v>
          </cell>
          <cell r="D24" t="str">
            <v>EA</v>
          </cell>
          <cell r="E24">
            <v>7000</v>
          </cell>
          <cell r="F24">
            <v>958</v>
          </cell>
          <cell r="G24">
            <v>7100</v>
          </cell>
          <cell r="H24">
            <v>1020</v>
          </cell>
          <cell r="I24">
            <v>7000</v>
          </cell>
          <cell r="K24">
            <v>7000</v>
          </cell>
          <cell r="M24">
            <v>7000</v>
          </cell>
        </row>
        <row r="25">
          <cell r="A25" t="str">
            <v>플렉시블 전선관방수 16C</v>
          </cell>
          <cell r="B25" t="str">
            <v>플렉시블 전선관</v>
          </cell>
          <cell r="C25" t="str">
            <v>방수 16C</v>
          </cell>
          <cell r="D25" t="str">
            <v>m</v>
          </cell>
          <cell r="E25">
            <v>1280</v>
          </cell>
          <cell r="F25">
            <v>868</v>
          </cell>
          <cell r="G25">
            <v>1350</v>
          </cell>
          <cell r="H25">
            <v>933</v>
          </cell>
          <cell r="I25">
            <v>496</v>
          </cell>
          <cell r="K25">
            <v>496</v>
          </cell>
          <cell r="M25">
            <v>496</v>
          </cell>
        </row>
        <row r="26">
          <cell r="A26" t="str">
            <v>플렉시블 전선관방수 22C</v>
          </cell>
          <cell r="B26" t="str">
            <v>플렉시블 전선관</v>
          </cell>
          <cell r="C26" t="str">
            <v>방수 22C</v>
          </cell>
          <cell r="D26" t="str">
            <v>m</v>
          </cell>
          <cell r="E26">
            <v>1620</v>
          </cell>
          <cell r="F26">
            <v>868</v>
          </cell>
          <cell r="G26">
            <v>1700</v>
          </cell>
          <cell r="H26">
            <v>933</v>
          </cell>
          <cell r="I26">
            <v>680</v>
          </cell>
          <cell r="K26">
            <v>680</v>
          </cell>
          <cell r="M26">
            <v>680</v>
          </cell>
        </row>
        <row r="27">
          <cell r="A27" t="str">
            <v>플렉시블 전선관방수 28C</v>
          </cell>
          <cell r="B27" t="str">
            <v>플렉시블 전선관</v>
          </cell>
          <cell r="C27" t="str">
            <v>방수 28C</v>
          </cell>
          <cell r="D27" t="str">
            <v>m</v>
          </cell>
          <cell r="E27">
            <v>2280</v>
          </cell>
          <cell r="F27">
            <v>868</v>
          </cell>
          <cell r="G27">
            <v>2400</v>
          </cell>
          <cell r="H27">
            <v>933</v>
          </cell>
          <cell r="I27">
            <v>840</v>
          </cell>
          <cell r="K27">
            <v>840</v>
          </cell>
          <cell r="M27">
            <v>840</v>
          </cell>
        </row>
        <row r="28">
          <cell r="A28" t="str">
            <v>플렉시블 전선관방수 36C</v>
          </cell>
          <cell r="B28" t="str">
            <v>플렉시블 전선관</v>
          </cell>
          <cell r="C28" t="str">
            <v>방수 36C</v>
          </cell>
          <cell r="D28" t="str">
            <v>m</v>
          </cell>
          <cell r="E28">
            <v>3040</v>
          </cell>
          <cell r="F28">
            <v>868</v>
          </cell>
          <cell r="G28">
            <v>3200</v>
          </cell>
          <cell r="H28">
            <v>933</v>
          </cell>
          <cell r="I28">
            <v>1440</v>
          </cell>
          <cell r="K28">
            <v>1440</v>
          </cell>
          <cell r="M28">
            <v>1440</v>
          </cell>
        </row>
        <row r="29">
          <cell r="A29" t="str">
            <v>플렉시블 전선관방수 42C</v>
          </cell>
          <cell r="B29" t="str">
            <v>플렉시블 전선관</v>
          </cell>
          <cell r="C29" t="str">
            <v>방수 42C</v>
          </cell>
          <cell r="D29" t="str">
            <v>m</v>
          </cell>
          <cell r="E29">
            <v>4750</v>
          </cell>
          <cell r="F29">
            <v>868</v>
          </cell>
          <cell r="G29">
            <v>5000</v>
          </cell>
          <cell r="H29">
            <v>933</v>
          </cell>
          <cell r="I29">
            <v>1600</v>
          </cell>
          <cell r="K29">
            <v>1600</v>
          </cell>
          <cell r="M29">
            <v>1600</v>
          </cell>
        </row>
        <row r="30">
          <cell r="A30" t="str">
            <v>플렉시블 전선관방수 54C</v>
          </cell>
          <cell r="B30" t="str">
            <v>플렉시블 전선관</v>
          </cell>
          <cell r="C30" t="str">
            <v>방수 54C</v>
          </cell>
          <cell r="D30" t="str">
            <v>m</v>
          </cell>
          <cell r="E30">
            <v>6180</v>
          </cell>
          <cell r="F30">
            <v>868</v>
          </cell>
          <cell r="G30">
            <v>6500</v>
          </cell>
          <cell r="H30">
            <v>933</v>
          </cell>
          <cell r="I30">
            <v>2560</v>
          </cell>
          <cell r="K30">
            <v>2560</v>
          </cell>
          <cell r="M30">
            <v>2560</v>
          </cell>
        </row>
        <row r="31">
          <cell r="A31" t="str">
            <v>플렉시블 전선관방수 70C</v>
          </cell>
          <cell r="B31" t="str">
            <v>플렉시블 전선관</v>
          </cell>
          <cell r="C31" t="str">
            <v>방수 70C</v>
          </cell>
          <cell r="D31" t="str">
            <v>m</v>
          </cell>
          <cell r="E31">
            <v>12350</v>
          </cell>
          <cell r="F31">
            <v>868</v>
          </cell>
          <cell r="G31">
            <v>13000</v>
          </cell>
          <cell r="H31">
            <v>933</v>
          </cell>
          <cell r="K31">
            <v>5600</v>
          </cell>
          <cell r="M31">
            <v>5600</v>
          </cell>
        </row>
        <row r="32">
          <cell r="A32" t="str">
            <v>플렉시블 전선관방수 82C</v>
          </cell>
          <cell r="B32" t="str">
            <v>플렉시블 전선관</v>
          </cell>
          <cell r="C32" t="str">
            <v>방수 82C</v>
          </cell>
          <cell r="D32" t="str">
            <v>m</v>
          </cell>
          <cell r="E32">
            <v>18050</v>
          </cell>
          <cell r="F32">
            <v>868</v>
          </cell>
          <cell r="G32">
            <v>19000</v>
          </cell>
          <cell r="H32">
            <v>933</v>
          </cell>
          <cell r="I32">
            <v>8400</v>
          </cell>
          <cell r="K32">
            <v>8400</v>
          </cell>
          <cell r="M32">
            <v>8400</v>
          </cell>
        </row>
        <row r="33">
          <cell r="A33" t="str">
            <v>플렉시블 전선관방수 104C</v>
          </cell>
          <cell r="B33" t="str">
            <v>플렉시블 전선관</v>
          </cell>
          <cell r="C33" t="str">
            <v>방수 104C</v>
          </cell>
          <cell r="D33" t="str">
            <v>m</v>
          </cell>
          <cell r="E33">
            <v>25650</v>
          </cell>
          <cell r="F33">
            <v>868</v>
          </cell>
          <cell r="G33">
            <v>2700</v>
          </cell>
          <cell r="H33">
            <v>933</v>
          </cell>
          <cell r="I33">
            <v>12000</v>
          </cell>
          <cell r="K33">
            <v>12000</v>
          </cell>
          <cell r="M33">
            <v>2700</v>
          </cell>
        </row>
        <row r="34">
          <cell r="A34" t="str">
            <v>플렉시블 전선관비방수 16C</v>
          </cell>
          <cell r="B34" t="str">
            <v>플렉시블 전선관</v>
          </cell>
          <cell r="C34" t="str">
            <v>비방수 16C</v>
          </cell>
          <cell r="D34" t="str">
            <v>m</v>
          </cell>
          <cell r="E34">
            <v>620</v>
          </cell>
          <cell r="F34">
            <v>868</v>
          </cell>
          <cell r="G34">
            <v>650</v>
          </cell>
          <cell r="H34">
            <v>933</v>
          </cell>
          <cell r="I34">
            <v>200</v>
          </cell>
          <cell r="K34">
            <v>200</v>
          </cell>
          <cell r="M34">
            <v>200</v>
          </cell>
        </row>
        <row r="35">
          <cell r="A35" t="str">
            <v>플렉시블 전선관비방수 22C</v>
          </cell>
          <cell r="B35" t="str">
            <v>플렉시블 전선관</v>
          </cell>
          <cell r="C35" t="str">
            <v>비방수 22C</v>
          </cell>
          <cell r="D35" t="str">
            <v>m</v>
          </cell>
          <cell r="E35">
            <v>860</v>
          </cell>
          <cell r="F35">
            <v>868</v>
          </cell>
          <cell r="G35">
            <v>900</v>
          </cell>
          <cell r="H35">
            <v>933</v>
          </cell>
          <cell r="I35">
            <v>240</v>
          </cell>
          <cell r="K35">
            <v>240</v>
          </cell>
          <cell r="M35">
            <v>240</v>
          </cell>
        </row>
        <row r="36">
          <cell r="A36" t="str">
            <v>플렉시블 전선관비방수 28C</v>
          </cell>
          <cell r="B36" t="str">
            <v>플렉시블 전선관</v>
          </cell>
          <cell r="C36" t="str">
            <v>비방수 28C</v>
          </cell>
          <cell r="D36" t="str">
            <v>m</v>
          </cell>
          <cell r="E36">
            <v>1090</v>
          </cell>
          <cell r="F36">
            <v>868</v>
          </cell>
          <cell r="G36">
            <v>1150</v>
          </cell>
          <cell r="H36">
            <v>933</v>
          </cell>
          <cell r="I36">
            <v>368</v>
          </cell>
          <cell r="K36">
            <v>368</v>
          </cell>
          <cell r="M36">
            <v>368</v>
          </cell>
        </row>
        <row r="37">
          <cell r="A37" t="str">
            <v>케이블22KV FR-CN/CO 60㎟/1C</v>
          </cell>
          <cell r="B37" t="str">
            <v>케이블</v>
          </cell>
          <cell r="C37" t="str">
            <v>22KV FR-CN/CO 60㎟/1C</v>
          </cell>
          <cell r="D37" t="str">
            <v>m</v>
          </cell>
          <cell r="E37">
            <v>7229</v>
          </cell>
          <cell r="F37">
            <v>845</v>
          </cell>
          <cell r="G37">
            <v>7777</v>
          </cell>
          <cell r="H37">
            <v>919</v>
          </cell>
          <cell r="K37">
            <v>7101</v>
          </cell>
          <cell r="M37">
            <v>7101</v>
          </cell>
        </row>
        <row r="38">
          <cell r="A38" t="str">
            <v>케이블6600V CV  60㎟/1C</v>
          </cell>
          <cell r="B38" t="str">
            <v>케이블</v>
          </cell>
          <cell r="C38" t="str">
            <v>6600V CV  60㎟/1C</v>
          </cell>
          <cell r="D38" t="str">
            <v>m</v>
          </cell>
          <cell r="E38">
            <v>4110</v>
          </cell>
          <cell r="F38">
            <v>846</v>
          </cell>
          <cell r="G38">
            <v>4425</v>
          </cell>
          <cell r="H38">
            <v>918</v>
          </cell>
          <cell r="I38">
            <v>3288</v>
          </cell>
          <cell r="K38">
            <v>3288</v>
          </cell>
          <cell r="M38">
            <v>3288</v>
          </cell>
        </row>
        <row r="39">
          <cell r="A39" t="str">
            <v>케이블6600V CV  38㎟/1C</v>
          </cell>
          <cell r="B39" t="str">
            <v>케이블</v>
          </cell>
          <cell r="C39" t="str">
            <v>6600V CV  38㎟/1C</v>
          </cell>
          <cell r="D39" t="str">
            <v>m</v>
          </cell>
          <cell r="E39">
            <v>3910</v>
          </cell>
          <cell r="F39">
            <v>846</v>
          </cell>
          <cell r="G39">
            <v>3592</v>
          </cell>
          <cell r="H39">
            <v>918</v>
          </cell>
          <cell r="K39">
            <v>2874</v>
          </cell>
          <cell r="M39">
            <v>2874</v>
          </cell>
        </row>
        <row r="40">
          <cell r="A40" t="str">
            <v>케이블600V CV 3.5㎟/1C</v>
          </cell>
          <cell r="B40" t="str">
            <v>케이블</v>
          </cell>
          <cell r="C40" t="str">
            <v>600V CV 3.5㎟/1C</v>
          </cell>
          <cell r="D40" t="str">
            <v>M</v>
          </cell>
          <cell r="E40">
            <v>232</v>
          </cell>
          <cell r="F40">
            <v>845</v>
          </cell>
          <cell r="G40">
            <v>244</v>
          </cell>
          <cell r="H40">
            <v>918</v>
          </cell>
          <cell r="I40">
            <v>183</v>
          </cell>
          <cell r="K40">
            <v>183</v>
          </cell>
          <cell r="M40">
            <v>183</v>
          </cell>
        </row>
        <row r="41">
          <cell r="A41" t="str">
            <v>케이블600V CV 5.5㎟/1C</v>
          </cell>
          <cell r="B41" t="str">
            <v>케이블</v>
          </cell>
          <cell r="C41" t="str">
            <v>600V CV 5.5㎟/1C</v>
          </cell>
          <cell r="D41" t="str">
            <v>m</v>
          </cell>
          <cell r="E41">
            <v>320</v>
          </cell>
          <cell r="F41">
            <v>845</v>
          </cell>
          <cell r="G41">
            <v>337</v>
          </cell>
          <cell r="H41">
            <v>918</v>
          </cell>
          <cell r="I41">
            <v>252</v>
          </cell>
          <cell r="K41">
            <v>252</v>
          </cell>
          <cell r="M41">
            <v>252</v>
          </cell>
        </row>
        <row r="42">
          <cell r="A42" t="str">
            <v>케이블600V CV   8㎟/1C</v>
          </cell>
          <cell r="B42" t="str">
            <v>케이블</v>
          </cell>
          <cell r="C42" t="str">
            <v>600V CV   8㎟/1C</v>
          </cell>
          <cell r="D42" t="str">
            <v>m</v>
          </cell>
          <cell r="E42">
            <v>423</v>
          </cell>
          <cell r="F42">
            <v>845</v>
          </cell>
          <cell r="G42">
            <v>446</v>
          </cell>
          <cell r="H42">
            <v>918</v>
          </cell>
          <cell r="I42">
            <v>334</v>
          </cell>
          <cell r="K42">
            <v>334</v>
          </cell>
          <cell r="M42">
            <v>334</v>
          </cell>
        </row>
        <row r="43">
          <cell r="A43" t="str">
            <v>케이블600V CV   14㎟/1C</v>
          </cell>
          <cell r="B43" t="str">
            <v>케이블</v>
          </cell>
          <cell r="C43" t="str">
            <v>600V CV   14㎟/1C</v>
          </cell>
          <cell r="D43" t="str">
            <v>m</v>
          </cell>
          <cell r="E43">
            <v>650</v>
          </cell>
          <cell r="F43">
            <v>845</v>
          </cell>
          <cell r="G43">
            <v>685</v>
          </cell>
          <cell r="H43">
            <v>918</v>
          </cell>
          <cell r="I43">
            <v>514</v>
          </cell>
          <cell r="K43">
            <v>514</v>
          </cell>
          <cell r="M43">
            <v>514</v>
          </cell>
        </row>
        <row r="44">
          <cell r="A44" t="str">
            <v>케이블600V CV  22㎟/1C</v>
          </cell>
          <cell r="B44" t="str">
            <v>케이블</v>
          </cell>
          <cell r="C44" t="str">
            <v>600V CV  22㎟/1C</v>
          </cell>
          <cell r="D44" t="str">
            <v>m</v>
          </cell>
          <cell r="E44">
            <v>939</v>
          </cell>
          <cell r="F44">
            <v>845</v>
          </cell>
          <cell r="G44">
            <v>991</v>
          </cell>
          <cell r="H44">
            <v>918</v>
          </cell>
          <cell r="I44">
            <v>742</v>
          </cell>
          <cell r="K44">
            <v>742</v>
          </cell>
          <cell r="M44">
            <v>742</v>
          </cell>
        </row>
        <row r="45">
          <cell r="A45" t="str">
            <v>케이블600V CV  38㎟/1C</v>
          </cell>
          <cell r="B45" t="str">
            <v>케이블</v>
          </cell>
          <cell r="C45" t="str">
            <v>600V CV  38㎟/1C</v>
          </cell>
          <cell r="D45" t="str">
            <v>m</v>
          </cell>
          <cell r="E45">
            <v>1469</v>
          </cell>
          <cell r="F45">
            <v>845</v>
          </cell>
          <cell r="G45">
            <v>1549</v>
          </cell>
          <cell r="H45">
            <v>918</v>
          </cell>
          <cell r="I45">
            <v>1161</v>
          </cell>
          <cell r="K45">
            <v>1161</v>
          </cell>
          <cell r="M45">
            <v>1161</v>
          </cell>
        </row>
        <row r="46">
          <cell r="A46" t="str">
            <v>케이블600V CV  60㎟/1C</v>
          </cell>
          <cell r="B46" t="str">
            <v>케이블</v>
          </cell>
          <cell r="C46" t="str">
            <v>600V CV  60㎟/1C</v>
          </cell>
          <cell r="D46" t="str">
            <v>m</v>
          </cell>
          <cell r="E46">
            <v>2300</v>
          </cell>
          <cell r="F46">
            <v>845</v>
          </cell>
          <cell r="G46">
            <v>2425</v>
          </cell>
          <cell r="H46">
            <v>918</v>
          </cell>
          <cell r="I46">
            <v>1818</v>
          </cell>
          <cell r="K46">
            <v>1818</v>
          </cell>
          <cell r="M46">
            <v>1818</v>
          </cell>
        </row>
        <row r="47">
          <cell r="A47" t="str">
            <v>케이블600V CV  150㎟/1C</v>
          </cell>
          <cell r="B47" t="str">
            <v>케이블</v>
          </cell>
          <cell r="C47" t="str">
            <v>600V CV  150㎟/1C</v>
          </cell>
          <cell r="D47" t="str">
            <v>m</v>
          </cell>
          <cell r="E47">
            <v>5942</v>
          </cell>
          <cell r="F47">
            <v>845</v>
          </cell>
          <cell r="G47">
            <v>5792</v>
          </cell>
          <cell r="H47">
            <v>918</v>
          </cell>
          <cell r="K47">
            <v>5792</v>
          </cell>
          <cell r="M47">
            <v>5792</v>
          </cell>
        </row>
        <row r="48">
          <cell r="A48" t="str">
            <v>케이블600V CV  100㎟/1C</v>
          </cell>
          <cell r="B48" t="str">
            <v>케이블</v>
          </cell>
          <cell r="C48" t="str">
            <v>600V CV  100㎟/1C</v>
          </cell>
          <cell r="D48" t="str">
            <v>m</v>
          </cell>
          <cell r="E48">
            <v>3724</v>
          </cell>
          <cell r="F48">
            <v>845</v>
          </cell>
          <cell r="G48">
            <v>3927</v>
          </cell>
          <cell r="H48">
            <v>918</v>
          </cell>
          <cell r="I48">
            <v>2943</v>
          </cell>
          <cell r="K48">
            <v>2943</v>
          </cell>
          <cell r="M48">
            <v>2943</v>
          </cell>
        </row>
        <row r="49">
          <cell r="A49" t="str">
            <v>케이블600V CV  200㎟/1C</v>
          </cell>
          <cell r="B49" t="str">
            <v>케이블</v>
          </cell>
          <cell r="C49" t="str">
            <v>600V CV  200㎟/1C</v>
          </cell>
          <cell r="D49" t="str">
            <v>m</v>
          </cell>
          <cell r="E49">
            <v>7666</v>
          </cell>
          <cell r="F49">
            <v>845</v>
          </cell>
          <cell r="G49">
            <v>8188</v>
          </cell>
          <cell r="H49">
            <v>918</v>
          </cell>
          <cell r="I49">
            <v>7318</v>
          </cell>
          <cell r="K49">
            <v>6010</v>
          </cell>
          <cell r="M49">
            <v>6010</v>
          </cell>
        </row>
        <row r="50">
          <cell r="A50" t="str">
            <v>케이블600V CV  250㎟/1C</v>
          </cell>
          <cell r="B50" t="str">
            <v>케이블</v>
          </cell>
          <cell r="C50" t="str">
            <v>600V CV  250㎟/1C</v>
          </cell>
          <cell r="D50" t="str">
            <v>m</v>
          </cell>
          <cell r="E50">
            <v>9262</v>
          </cell>
          <cell r="F50">
            <v>845</v>
          </cell>
          <cell r="G50">
            <v>9970</v>
          </cell>
          <cell r="H50">
            <v>918</v>
          </cell>
          <cell r="I50">
            <v>7318</v>
          </cell>
          <cell r="K50">
            <v>7318</v>
          </cell>
          <cell r="M50">
            <v>7318</v>
          </cell>
        </row>
        <row r="51">
          <cell r="A51" t="str">
            <v>케이블600V CV  325㎟/1C</v>
          </cell>
          <cell r="B51" t="str">
            <v>케이블</v>
          </cell>
          <cell r="C51" t="str">
            <v>600V CV  325㎟/1C</v>
          </cell>
          <cell r="D51" t="str">
            <v>m</v>
          </cell>
          <cell r="E51">
            <v>11600</v>
          </cell>
          <cell r="F51">
            <v>845</v>
          </cell>
          <cell r="G51">
            <v>12663</v>
          </cell>
          <cell r="H51">
            <v>919</v>
          </cell>
          <cell r="K51">
            <v>11600</v>
          </cell>
          <cell r="M51">
            <v>11600</v>
          </cell>
        </row>
        <row r="52">
          <cell r="A52" t="str">
            <v>케이블600V CV 3.5㎟/2C</v>
          </cell>
          <cell r="B52" t="str">
            <v>케이블</v>
          </cell>
          <cell r="C52" t="str">
            <v>600V CV 3.5㎟/2C</v>
          </cell>
          <cell r="D52" t="str">
            <v>M</v>
          </cell>
          <cell r="E52">
            <v>533</v>
          </cell>
          <cell r="F52">
            <v>845</v>
          </cell>
          <cell r="G52">
            <v>581</v>
          </cell>
          <cell r="H52">
            <v>918</v>
          </cell>
          <cell r="K52">
            <v>533</v>
          </cell>
          <cell r="M52">
            <v>533</v>
          </cell>
        </row>
        <row r="53">
          <cell r="A53" t="str">
            <v>케이블600V CV 5.5㎟/2C</v>
          </cell>
          <cell r="B53" t="str">
            <v>케이블</v>
          </cell>
          <cell r="C53" t="str">
            <v>600V CV 5.5㎟/2C</v>
          </cell>
          <cell r="D53" t="str">
            <v>m</v>
          </cell>
          <cell r="E53">
            <v>731</v>
          </cell>
          <cell r="F53">
            <v>845</v>
          </cell>
          <cell r="G53">
            <v>798</v>
          </cell>
          <cell r="H53">
            <v>918</v>
          </cell>
          <cell r="K53">
            <v>731</v>
          </cell>
          <cell r="M53">
            <v>731</v>
          </cell>
        </row>
        <row r="54">
          <cell r="A54" t="str">
            <v>케이블600V CV 8㎟/2C</v>
          </cell>
          <cell r="B54" t="str">
            <v>케이블</v>
          </cell>
          <cell r="C54" t="str">
            <v>600V CV 8㎟/2C</v>
          </cell>
          <cell r="D54" t="str">
            <v>m</v>
          </cell>
          <cell r="E54">
            <v>975</v>
          </cell>
          <cell r="F54">
            <v>845</v>
          </cell>
          <cell r="G54">
            <v>1064</v>
          </cell>
          <cell r="H54">
            <v>918</v>
          </cell>
          <cell r="K54">
            <v>975</v>
          </cell>
          <cell r="M54">
            <v>975</v>
          </cell>
        </row>
        <row r="55">
          <cell r="A55" t="str">
            <v>케이블600V CVV-S  2.0㎟/2C</v>
          </cell>
          <cell r="B55" t="str">
            <v>케이블</v>
          </cell>
          <cell r="C55" t="str">
            <v>600V CVV-S  2.0㎟/2C</v>
          </cell>
          <cell r="D55" t="str">
            <v>m</v>
          </cell>
          <cell r="E55">
            <v>684</v>
          </cell>
          <cell r="F55">
            <v>844</v>
          </cell>
          <cell r="G55">
            <v>566</v>
          </cell>
          <cell r="H55">
            <v>908</v>
          </cell>
          <cell r="I55">
            <v>395</v>
          </cell>
          <cell r="K55">
            <v>395</v>
          </cell>
          <cell r="M55">
            <v>395</v>
          </cell>
        </row>
        <row r="56">
          <cell r="A56" t="str">
            <v>케이블600V CVV-S  3.5㎟/3C</v>
          </cell>
          <cell r="B56" t="str">
            <v>케이블</v>
          </cell>
          <cell r="C56" t="str">
            <v>600V CVV-S  3.5㎟/3C</v>
          </cell>
          <cell r="D56" t="str">
            <v>m</v>
          </cell>
          <cell r="E56">
            <v>866</v>
          </cell>
          <cell r="F56">
            <v>844</v>
          </cell>
          <cell r="G56">
            <v>932</v>
          </cell>
          <cell r="H56">
            <v>908</v>
          </cell>
          <cell r="I56">
            <v>650</v>
          </cell>
          <cell r="K56">
            <v>650</v>
          </cell>
          <cell r="M56">
            <v>650</v>
          </cell>
        </row>
        <row r="57">
          <cell r="A57" t="str">
            <v>케이블600V F-CV 2.0㎟/3C</v>
          </cell>
          <cell r="B57" t="str">
            <v>케이블</v>
          </cell>
          <cell r="C57" t="str">
            <v>600V F-CV 2.0㎟/3C</v>
          </cell>
          <cell r="D57" t="str">
            <v>m</v>
          </cell>
          <cell r="E57">
            <v>792</v>
          </cell>
          <cell r="F57">
            <v>845</v>
          </cell>
          <cell r="G57">
            <v>714</v>
          </cell>
          <cell r="H57">
            <v>919</v>
          </cell>
          <cell r="K57">
            <v>571</v>
          </cell>
          <cell r="M57">
            <v>571</v>
          </cell>
        </row>
        <row r="58">
          <cell r="A58" t="str">
            <v>케이블600V F-CV 3.5㎟/1C</v>
          </cell>
          <cell r="B58" t="str">
            <v>케이블</v>
          </cell>
          <cell r="C58" t="str">
            <v>600V F-CV 3.5㎟/1C</v>
          </cell>
          <cell r="D58" t="str">
            <v>m</v>
          </cell>
          <cell r="E58">
            <v>296</v>
          </cell>
          <cell r="F58">
            <v>845</v>
          </cell>
          <cell r="G58">
            <v>315</v>
          </cell>
          <cell r="H58">
            <v>919</v>
          </cell>
          <cell r="I58">
            <v>237</v>
          </cell>
          <cell r="K58">
            <v>237</v>
          </cell>
          <cell r="M58">
            <v>237</v>
          </cell>
        </row>
        <row r="59">
          <cell r="A59" t="str">
            <v>케이블600V F-CV 5.5㎟/1C</v>
          </cell>
          <cell r="B59" t="str">
            <v>케이블</v>
          </cell>
          <cell r="C59" t="str">
            <v>600V F-CV 5.5㎟/1C</v>
          </cell>
          <cell r="D59" t="str">
            <v>m</v>
          </cell>
          <cell r="E59">
            <v>400</v>
          </cell>
          <cell r="F59">
            <v>845</v>
          </cell>
          <cell r="G59">
            <v>425</v>
          </cell>
          <cell r="H59">
            <v>919</v>
          </cell>
          <cell r="I59">
            <v>320</v>
          </cell>
          <cell r="K59">
            <v>320</v>
          </cell>
          <cell r="M59">
            <v>320</v>
          </cell>
        </row>
        <row r="60">
          <cell r="A60" t="str">
            <v>케이블600V F-CV 5.5㎟/2C</v>
          </cell>
          <cell r="B60" t="str">
            <v>케이블</v>
          </cell>
          <cell r="C60" t="str">
            <v>600V F-CV 5.5㎟/2C</v>
          </cell>
          <cell r="D60" t="str">
            <v>m</v>
          </cell>
          <cell r="E60">
            <v>915</v>
          </cell>
          <cell r="F60">
            <v>845</v>
          </cell>
          <cell r="G60">
            <v>972</v>
          </cell>
          <cell r="H60">
            <v>919</v>
          </cell>
          <cell r="I60">
            <v>732</v>
          </cell>
          <cell r="K60">
            <v>732</v>
          </cell>
          <cell r="M60">
            <v>732</v>
          </cell>
        </row>
        <row r="61">
          <cell r="A61" t="str">
            <v>케이블600V F-CV 8㎟/2C</v>
          </cell>
          <cell r="B61" t="str">
            <v>케이블</v>
          </cell>
          <cell r="C61" t="str">
            <v>600V F-CV 8㎟/2C</v>
          </cell>
          <cell r="D61" t="str">
            <v>m</v>
          </cell>
          <cell r="E61">
            <v>1197</v>
          </cell>
          <cell r="F61">
            <v>845</v>
          </cell>
          <cell r="G61">
            <v>1272</v>
          </cell>
          <cell r="H61">
            <v>919</v>
          </cell>
          <cell r="I61">
            <v>958</v>
          </cell>
          <cell r="K61">
            <v>958</v>
          </cell>
          <cell r="M61">
            <v>958</v>
          </cell>
        </row>
        <row r="62">
          <cell r="A62" t="str">
            <v>케이블600V F-CV 14㎟/2C</v>
          </cell>
          <cell r="B62" t="str">
            <v>케이블</v>
          </cell>
          <cell r="C62" t="str">
            <v>600V F-CV 14㎟/2C</v>
          </cell>
          <cell r="D62" t="str">
            <v>m</v>
          </cell>
          <cell r="E62">
            <v>1752</v>
          </cell>
          <cell r="F62">
            <v>845</v>
          </cell>
          <cell r="G62">
            <v>1861</v>
          </cell>
          <cell r="H62">
            <v>919</v>
          </cell>
          <cell r="I62">
            <v>1402</v>
          </cell>
          <cell r="K62">
            <v>1402</v>
          </cell>
          <cell r="M62">
            <v>1402</v>
          </cell>
        </row>
        <row r="63">
          <cell r="A63" t="str">
            <v>케이블600V F-CV 22㎟/2C</v>
          </cell>
          <cell r="B63" t="str">
            <v>케이블</v>
          </cell>
          <cell r="C63" t="str">
            <v>600V F-CV 22㎟/2C</v>
          </cell>
          <cell r="D63" t="str">
            <v>m</v>
          </cell>
          <cell r="E63">
            <v>2473</v>
          </cell>
          <cell r="F63">
            <v>845</v>
          </cell>
          <cell r="G63">
            <v>2630</v>
          </cell>
          <cell r="H63">
            <v>919</v>
          </cell>
          <cell r="I63">
            <v>2473</v>
          </cell>
          <cell r="K63">
            <v>2473</v>
          </cell>
          <cell r="M63">
            <v>2473</v>
          </cell>
        </row>
        <row r="64">
          <cell r="A64" t="str">
            <v>케이블600V F-CV 22㎟/1C</v>
          </cell>
          <cell r="B64" t="str">
            <v>케이블</v>
          </cell>
          <cell r="C64" t="str">
            <v>600V F-CV 22㎟/1C</v>
          </cell>
          <cell r="D64" t="str">
            <v>m</v>
          </cell>
          <cell r="E64">
            <v>1748</v>
          </cell>
          <cell r="F64">
            <v>845</v>
          </cell>
          <cell r="G64">
            <v>1244</v>
          </cell>
          <cell r="H64">
            <v>919</v>
          </cell>
          <cell r="K64">
            <v>1201</v>
          </cell>
          <cell r="M64">
            <v>1201</v>
          </cell>
        </row>
        <row r="65">
          <cell r="A65" t="str">
            <v>케이블600V F-CV  38㎟/1C</v>
          </cell>
          <cell r="B65" t="str">
            <v>케이블</v>
          </cell>
          <cell r="C65" t="str">
            <v>600V F-CV  38㎟/1C</v>
          </cell>
          <cell r="D65" t="str">
            <v>m</v>
          </cell>
          <cell r="E65">
            <v>1748</v>
          </cell>
          <cell r="F65">
            <v>845</v>
          </cell>
          <cell r="G65">
            <v>1858</v>
          </cell>
          <cell r="H65">
            <v>919</v>
          </cell>
          <cell r="K65">
            <v>1748</v>
          </cell>
          <cell r="M65">
            <v>1748</v>
          </cell>
        </row>
        <row r="66">
          <cell r="A66" t="str">
            <v>케이블600V F-CV  60㎟/1C</v>
          </cell>
          <cell r="B66" t="str">
            <v>케이블</v>
          </cell>
          <cell r="C66" t="str">
            <v>600V F-CV  60㎟/1C</v>
          </cell>
          <cell r="D66" t="str">
            <v>m</v>
          </cell>
          <cell r="E66">
            <v>2720</v>
          </cell>
          <cell r="F66">
            <v>845</v>
          </cell>
          <cell r="G66">
            <v>2890</v>
          </cell>
          <cell r="H66">
            <v>919</v>
          </cell>
          <cell r="I66">
            <v>2176</v>
          </cell>
          <cell r="K66">
            <v>2176</v>
          </cell>
          <cell r="M66">
            <v>2176</v>
          </cell>
        </row>
        <row r="67">
          <cell r="A67" t="str">
            <v>케이블600V F-CV 100㎟/1C</v>
          </cell>
          <cell r="B67" t="str">
            <v>케이블</v>
          </cell>
          <cell r="C67" t="str">
            <v>600V F-CV 100㎟/1C</v>
          </cell>
          <cell r="D67" t="str">
            <v>m</v>
          </cell>
          <cell r="E67">
            <v>4344</v>
          </cell>
          <cell r="F67">
            <v>845</v>
          </cell>
          <cell r="G67">
            <v>4616</v>
          </cell>
          <cell r="H67">
            <v>919</v>
          </cell>
          <cell r="I67">
            <v>3475</v>
          </cell>
          <cell r="K67">
            <v>3475</v>
          </cell>
          <cell r="M67">
            <v>3475</v>
          </cell>
        </row>
        <row r="68">
          <cell r="A68" t="str">
            <v>케이블600V F-CV 150㎟/1C</v>
          </cell>
          <cell r="B68" t="str">
            <v>케이블</v>
          </cell>
          <cell r="C68" t="str">
            <v>600V F-CV 150㎟/1C</v>
          </cell>
          <cell r="D68" t="str">
            <v>m</v>
          </cell>
          <cell r="E68">
            <v>6396</v>
          </cell>
          <cell r="F68">
            <v>845</v>
          </cell>
          <cell r="G68">
            <v>6795</v>
          </cell>
          <cell r="H68">
            <v>919</v>
          </cell>
          <cell r="K68">
            <v>6396</v>
          </cell>
          <cell r="M68">
            <v>6396</v>
          </cell>
        </row>
        <row r="69">
          <cell r="A69" t="str">
            <v>케이블600V F-CV 200㎟/1C</v>
          </cell>
          <cell r="B69" t="str">
            <v>케이블</v>
          </cell>
          <cell r="C69" t="str">
            <v>600V F-CV 200㎟/1C</v>
          </cell>
          <cell r="D69" t="str">
            <v>m</v>
          </cell>
          <cell r="E69">
            <v>8792</v>
          </cell>
          <cell r="F69">
            <v>845</v>
          </cell>
          <cell r="G69">
            <v>9341</v>
          </cell>
          <cell r="H69">
            <v>919</v>
          </cell>
          <cell r="K69">
            <v>8792</v>
          </cell>
          <cell r="M69">
            <v>8792</v>
          </cell>
        </row>
        <row r="70">
          <cell r="A70" t="str">
            <v>케이블600V F-CV 325㎟/1C</v>
          </cell>
          <cell r="B70" t="str">
            <v>케이블</v>
          </cell>
          <cell r="C70" t="str">
            <v>600V F-CV 325㎟/1C</v>
          </cell>
          <cell r="D70" t="str">
            <v>m</v>
          </cell>
          <cell r="E70">
            <v>10707</v>
          </cell>
          <cell r="F70">
            <v>845</v>
          </cell>
          <cell r="G70">
            <v>11376</v>
          </cell>
          <cell r="H70">
            <v>919</v>
          </cell>
          <cell r="I70">
            <v>10707</v>
          </cell>
          <cell r="K70">
            <v>10707</v>
          </cell>
          <cell r="M70">
            <v>10707</v>
          </cell>
        </row>
        <row r="71">
          <cell r="A71" t="str">
            <v>케이블600V FR-8  2.0mm/1C</v>
          </cell>
          <cell r="B71" t="str">
            <v>케이블</v>
          </cell>
          <cell r="C71" t="str">
            <v>600V FR-8  2.0mm/1C</v>
          </cell>
          <cell r="D71" t="str">
            <v>m</v>
          </cell>
          <cell r="E71">
            <v>524</v>
          </cell>
          <cell r="F71">
            <v>845</v>
          </cell>
          <cell r="G71">
            <v>564</v>
          </cell>
          <cell r="H71">
            <v>912</v>
          </cell>
          <cell r="I71">
            <v>445</v>
          </cell>
          <cell r="K71">
            <v>445</v>
          </cell>
          <cell r="M71">
            <v>445</v>
          </cell>
        </row>
        <row r="72">
          <cell r="A72" t="str">
            <v>케이블600V FR-8  2.0㎟/3C</v>
          </cell>
          <cell r="B72" t="str">
            <v>케이블</v>
          </cell>
          <cell r="C72" t="str">
            <v>600V FR-8  2.0㎟/3C</v>
          </cell>
          <cell r="D72" t="str">
            <v>m</v>
          </cell>
          <cell r="E72">
            <v>1630</v>
          </cell>
          <cell r="F72">
            <v>846</v>
          </cell>
          <cell r="G72">
            <v>1754</v>
          </cell>
          <cell r="H72">
            <v>912</v>
          </cell>
          <cell r="K72">
            <v>1304</v>
          </cell>
          <cell r="M72">
            <v>1304</v>
          </cell>
        </row>
        <row r="73">
          <cell r="A73" t="str">
            <v>케이블600V FR-8  3.5㎟/1C</v>
          </cell>
          <cell r="B73" t="str">
            <v>케이블</v>
          </cell>
          <cell r="C73" t="str">
            <v>600V FR-8  3.5㎟/1C</v>
          </cell>
          <cell r="D73" t="str">
            <v>m</v>
          </cell>
          <cell r="E73">
            <v>660</v>
          </cell>
          <cell r="F73">
            <v>845</v>
          </cell>
          <cell r="G73">
            <v>710</v>
          </cell>
          <cell r="H73">
            <v>912</v>
          </cell>
          <cell r="I73">
            <v>561</v>
          </cell>
          <cell r="K73">
            <v>561</v>
          </cell>
          <cell r="M73">
            <v>561</v>
          </cell>
        </row>
        <row r="74">
          <cell r="A74" t="str">
            <v>케이블600V FR-8  5.5㎟/1C</v>
          </cell>
          <cell r="B74" t="str">
            <v>케이블</v>
          </cell>
          <cell r="C74" t="str">
            <v>600V FR-8  5.5㎟/1C</v>
          </cell>
          <cell r="D74" t="str">
            <v>m</v>
          </cell>
          <cell r="E74">
            <v>786</v>
          </cell>
          <cell r="F74">
            <v>845</v>
          </cell>
          <cell r="G74">
            <v>845</v>
          </cell>
          <cell r="H74">
            <v>912</v>
          </cell>
          <cell r="I74">
            <v>668</v>
          </cell>
          <cell r="K74">
            <v>668</v>
          </cell>
          <cell r="M74">
            <v>668</v>
          </cell>
        </row>
        <row r="75">
          <cell r="A75" t="str">
            <v>케이블600V FR-8  5.5㎟/2C</v>
          </cell>
          <cell r="B75" t="str">
            <v>케이블</v>
          </cell>
          <cell r="C75" t="str">
            <v>600V FR-8  5.5㎟/2C</v>
          </cell>
          <cell r="D75" t="str">
            <v>m</v>
          </cell>
          <cell r="E75">
            <v>1879</v>
          </cell>
          <cell r="F75">
            <v>846</v>
          </cell>
          <cell r="G75">
            <v>2022</v>
          </cell>
          <cell r="H75">
            <v>912</v>
          </cell>
          <cell r="K75">
            <v>1597</v>
          </cell>
          <cell r="M75">
            <v>1597</v>
          </cell>
        </row>
        <row r="76">
          <cell r="A76" t="str">
            <v>케이블600V FR-8  5.5㎟/3C</v>
          </cell>
          <cell r="B76" t="str">
            <v>케이블</v>
          </cell>
          <cell r="C76" t="str">
            <v>600V FR-8  5.5㎟/3C</v>
          </cell>
          <cell r="D76" t="str">
            <v>m</v>
          </cell>
          <cell r="E76">
            <v>2489</v>
          </cell>
          <cell r="F76">
            <v>846</v>
          </cell>
          <cell r="G76">
            <v>2678</v>
          </cell>
          <cell r="H76">
            <v>912</v>
          </cell>
          <cell r="K76">
            <v>2116</v>
          </cell>
          <cell r="M76">
            <v>2116</v>
          </cell>
        </row>
        <row r="77">
          <cell r="A77" t="str">
            <v>케이블600V FR-8  8㎟/1C</v>
          </cell>
          <cell r="B77" t="str">
            <v>케이블</v>
          </cell>
          <cell r="C77" t="str">
            <v>600V FR-8  8㎟/1C</v>
          </cell>
          <cell r="D77" t="str">
            <v>m</v>
          </cell>
          <cell r="E77">
            <v>1010</v>
          </cell>
          <cell r="F77">
            <v>845</v>
          </cell>
          <cell r="G77">
            <v>1087</v>
          </cell>
          <cell r="H77">
            <v>912</v>
          </cell>
          <cell r="I77">
            <v>951</v>
          </cell>
          <cell r="K77">
            <v>859</v>
          </cell>
          <cell r="M77">
            <v>859</v>
          </cell>
        </row>
        <row r="78">
          <cell r="A78" t="str">
            <v>케이블600V FR-8  14㎟/1C</v>
          </cell>
          <cell r="B78" t="str">
            <v>케이블</v>
          </cell>
          <cell r="C78" t="str">
            <v>600V FR-8  14㎟/1C</v>
          </cell>
          <cell r="D78" t="str">
            <v>m</v>
          </cell>
          <cell r="E78">
            <v>1119</v>
          </cell>
          <cell r="F78">
            <v>845</v>
          </cell>
          <cell r="G78">
            <v>1204</v>
          </cell>
          <cell r="H78">
            <v>912</v>
          </cell>
          <cell r="I78">
            <v>1283</v>
          </cell>
          <cell r="K78">
            <v>951</v>
          </cell>
          <cell r="M78">
            <v>951</v>
          </cell>
        </row>
        <row r="79">
          <cell r="A79" t="str">
            <v>케이블600V FR-8  22㎟/1C</v>
          </cell>
          <cell r="B79" t="str">
            <v>케이블</v>
          </cell>
          <cell r="C79" t="str">
            <v>600V FR-8  22㎟/1C</v>
          </cell>
          <cell r="D79" t="str">
            <v>m</v>
          </cell>
          <cell r="E79">
            <v>1509</v>
          </cell>
          <cell r="F79">
            <v>846</v>
          </cell>
          <cell r="G79">
            <v>1624</v>
          </cell>
          <cell r="H79">
            <v>912</v>
          </cell>
          <cell r="I79">
            <v>1283</v>
          </cell>
          <cell r="K79">
            <v>1283</v>
          </cell>
          <cell r="M79">
            <v>1283</v>
          </cell>
        </row>
        <row r="80">
          <cell r="A80" t="str">
            <v>케이블600V FR-8  38㎟/1C</v>
          </cell>
          <cell r="B80" t="str">
            <v>케이블</v>
          </cell>
          <cell r="C80" t="str">
            <v>600V FR-8  38㎟/1C</v>
          </cell>
          <cell r="D80" t="str">
            <v>m</v>
          </cell>
          <cell r="E80">
            <v>2251</v>
          </cell>
          <cell r="F80">
            <v>846</v>
          </cell>
          <cell r="G80">
            <v>2524</v>
          </cell>
          <cell r="H80">
            <v>912</v>
          </cell>
          <cell r="K80">
            <v>2251</v>
          </cell>
          <cell r="M80">
            <v>2251</v>
          </cell>
        </row>
        <row r="81">
          <cell r="A81" t="str">
            <v>케이블 600V FR-8  60㎟/1C</v>
          </cell>
          <cell r="B81" t="str">
            <v>케이블</v>
          </cell>
          <cell r="C81" t="str">
            <v xml:space="preserve"> 600V FR-8  60㎟/1C</v>
          </cell>
          <cell r="D81" t="str">
            <v>m</v>
          </cell>
          <cell r="E81">
            <v>3321</v>
          </cell>
          <cell r="F81">
            <v>846</v>
          </cell>
          <cell r="G81">
            <v>3675</v>
          </cell>
          <cell r="H81">
            <v>912</v>
          </cell>
          <cell r="K81">
            <v>2720</v>
          </cell>
          <cell r="M81">
            <v>2720</v>
          </cell>
        </row>
        <row r="82">
          <cell r="A82" t="str">
            <v>케이블600V FR-8  100㎟/1C</v>
          </cell>
          <cell r="B82" t="str">
            <v>케이블</v>
          </cell>
          <cell r="C82" t="str">
            <v>600V FR-8  100㎟/1C</v>
          </cell>
          <cell r="D82" t="str">
            <v>m</v>
          </cell>
          <cell r="E82">
            <v>5043</v>
          </cell>
          <cell r="F82">
            <v>846</v>
          </cell>
          <cell r="G82">
            <v>5577</v>
          </cell>
          <cell r="H82">
            <v>912</v>
          </cell>
          <cell r="K82">
            <v>2890</v>
          </cell>
          <cell r="M82">
            <v>2890</v>
          </cell>
        </row>
        <row r="83">
          <cell r="A83" t="str">
            <v>케이블 600V FR-8  200㎟/1C</v>
          </cell>
          <cell r="B83" t="str">
            <v>케이블</v>
          </cell>
          <cell r="C83" t="str">
            <v xml:space="preserve"> 600V FR-8  200㎟/1C</v>
          </cell>
          <cell r="D83" t="str">
            <v>m</v>
          </cell>
          <cell r="E83">
            <v>9247</v>
          </cell>
          <cell r="F83">
            <v>846</v>
          </cell>
          <cell r="G83">
            <v>10354</v>
          </cell>
          <cell r="H83">
            <v>912</v>
          </cell>
          <cell r="K83">
            <v>7857</v>
          </cell>
          <cell r="M83">
            <v>7857</v>
          </cell>
        </row>
        <row r="84">
          <cell r="A84" t="str">
            <v>케이블 600V FR-8  250㎟/1C</v>
          </cell>
          <cell r="B84" t="str">
            <v>케이블</v>
          </cell>
          <cell r="C84" t="str">
            <v xml:space="preserve"> 600V FR-8  250㎟/1C</v>
          </cell>
          <cell r="D84" t="str">
            <v>m</v>
          </cell>
          <cell r="E84">
            <v>11218</v>
          </cell>
          <cell r="F84">
            <v>846</v>
          </cell>
          <cell r="G84">
            <v>12610</v>
          </cell>
          <cell r="H84">
            <v>912</v>
          </cell>
          <cell r="K84">
            <v>8974</v>
          </cell>
          <cell r="M84">
            <v>8974</v>
          </cell>
        </row>
        <row r="85">
          <cell r="A85" t="str">
            <v>케이블600V FR-CV   8㎟/1C</v>
          </cell>
          <cell r="B85" t="str">
            <v>케이블</v>
          </cell>
          <cell r="C85" t="str">
            <v>600V FR-CV   8㎟/1C</v>
          </cell>
          <cell r="D85" t="str">
            <v>m</v>
          </cell>
          <cell r="K85">
            <v>416</v>
          </cell>
          <cell r="M85">
            <v>416</v>
          </cell>
        </row>
        <row r="86">
          <cell r="A86" t="str">
            <v>케이블600V FR-CV  14㎟/1C</v>
          </cell>
          <cell r="B86" t="str">
            <v>케이블</v>
          </cell>
          <cell r="C86" t="str">
            <v>600V FR-CV  14㎟/1C</v>
          </cell>
          <cell r="D86" t="str">
            <v>m</v>
          </cell>
          <cell r="K86">
            <v>630</v>
          </cell>
          <cell r="M86">
            <v>630</v>
          </cell>
        </row>
        <row r="87">
          <cell r="A87" t="str">
            <v>케이블600V FR-CV  22㎟/1C</v>
          </cell>
          <cell r="B87" t="str">
            <v>케이블</v>
          </cell>
          <cell r="C87" t="str">
            <v>600V FR-CV  22㎟/1C</v>
          </cell>
          <cell r="D87" t="str">
            <v>m</v>
          </cell>
          <cell r="K87">
            <v>905</v>
          </cell>
          <cell r="M87">
            <v>905</v>
          </cell>
        </row>
        <row r="88">
          <cell r="A88" t="str">
            <v>케이블600V FR-CV  38㎟/1C</v>
          </cell>
          <cell r="B88" t="str">
            <v>케이블</v>
          </cell>
          <cell r="C88" t="str">
            <v>600V FR-CV  38㎟/1C</v>
          </cell>
          <cell r="D88" t="str">
            <v>m</v>
          </cell>
          <cell r="K88">
            <v>1398</v>
          </cell>
          <cell r="M88">
            <v>1398</v>
          </cell>
        </row>
        <row r="89">
          <cell r="A89" t="str">
            <v>케이블600V FR-CV  60㎟/1C</v>
          </cell>
          <cell r="B89" t="str">
            <v>케이블</v>
          </cell>
          <cell r="C89" t="str">
            <v>600V FR-CV  60㎟/1C</v>
          </cell>
          <cell r="D89" t="str">
            <v>m</v>
          </cell>
          <cell r="K89">
            <v>2176</v>
          </cell>
          <cell r="M89">
            <v>2176</v>
          </cell>
        </row>
        <row r="90">
          <cell r="A90" t="str">
            <v>케이블600V FR-CV  100㎟/1C</v>
          </cell>
          <cell r="B90" t="str">
            <v>케이블</v>
          </cell>
          <cell r="C90" t="str">
            <v>600V FR-CV  100㎟/1C</v>
          </cell>
          <cell r="D90" t="str">
            <v>m</v>
          </cell>
          <cell r="K90">
            <v>3475</v>
          </cell>
          <cell r="M90">
            <v>3475</v>
          </cell>
        </row>
        <row r="91">
          <cell r="A91" t="str">
            <v>케이블600V FR-CV  150㎟/1C</v>
          </cell>
          <cell r="B91" t="str">
            <v>케이블</v>
          </cell>
          <cell r="C91" t="str">
            <v>600V FR-CV  150㎟/1C</v>
          </cell>
          <cell r="D91" t="str">
            <v>m</v>
          </cell>
          <cell r="K91">
            <v>5117</v>
          </cell>
          <cell r="M91">
            <v>5117</v>
          </cell>
        </row>
        <row r="92">
          <cell r="A92" t="str">
            <v>케이블600V FR-CV  200㎟/1C</v>
          </cell>
          <cell r="B92" t="str">
            <v>케이블</v>
          </cell>
          <cell r="C92" t="str">
            <v>600V FR-CV  200㎟/1C</v>
          </cell>
          <cell r="D92" t="str">
            <v>m</v>
          </cell>
          <cell r="K92">
            <v>7034</v>
          </cell>
          <cell r="M92">
            <v>7034</v>
          </cell>
        </row>
        <row r="93">
          <cell r="A93" t="str">
            <v>케이블600V FR-CV 5.5㎟/1C</v>
          </cell>
          <cell r="B93" t="str">
            <v>케이블</v>
          </cell>
          <cell r="C93" t="str">
            <v>600V FR-CV 5.5㎟/1C</v>
          </cell>
          <cell r="D93" t="str">
            <v>m</v>
          </cell>
          <cell r="K93">
            <v>320</v>
          </cell>
          <cell r="M93">
            <v>320</v>
          </cell>
        </row>
        <row r="94">
          <cell r="A94" t="str">
            <v>전 선F-GV  8㎟</v>
          </cell>
          <cell r="B94" t="str">
            <v>전 선</v>
          </cell>
          <cell r="C94" t="str">
            <v>F-GV  8㎟</v>
          </cell>
          <cell r="D94" t="str">
            <v>m</v>
          </cell>
          <cell r="G94">
            <v>490</v>
          </cell>
          <cell r="H94">
            <v>906</v>
          </cell>
          <cell r="K94">
            <v>392</v>
          </cell>
          <cell r="M94">
            <v>392</v>
          </cell>
        </row>
        <row r="95">
          <cell r="A95" t="str">
            <v>전 선GV 1.6㎜</v>
          </cell>
          <cell r="B95" t="str">
            <v>전 선</v>
          </cell>
          <cell r="C95" t="str">
            <v>GV 1.6㎜</v>
          </cell>
          <cell r="D95" t="str">
            <v>m</v>
          </cell>
          <cell r="E95">
            <v>153</v>
          </cell>
          <cell r="F95">
            <v>847</v>
          </cell>
          <cell r="G95">
            <v>156</v>
          </cell>
          <cell r="H95">
            <v>906</v>
          </cell>
          <cell r="I95">
            <v>132</v>
          </cell>
          <cell r="K95">
            <v>132</v>
          </cell>
          <cell r="M95">
            <v>132</v>
          </cell>
        </row>
        <row r="96">
          <cell r="A96" t="str">
            <v>전 선GV 2.0㎜</v>
          </cell>
          <cell r="B96" t="str">
            <v>전 선</v>
          </cell>
          <cell r="C96" t="str">
            <v>GV 2.0㎜</v>
          </cell>
          <cell r="D96" t="str">
            <v>m</v>
          </cell>
          <cell r="E96">
            <v>153</v>
          </cell>
          <cell r="F96">
            <v>847</v>
          </cell>
          <cell r="G96">
            <v>156</v>
          </cell>
          <cell r="H96">
            <v>906</v>
          </cell>
          <cell r="I96">
            <v>175</v>
          </cell>
          <cell r="K96">
            <v>175</v>
          </cell>
          <cell r="M96">
            <v>153</v>
          </cell>
        </row>
        <row r="97">
          <cell r="A97" t="str">
            <v>전 선GV 5.5㎟</v>
          </cell>
          <cell r="B97" t="str">
            <v>전 선</v>
          </cell>
          <cell r="C97" t="str">
            <v>GV 5.5㎟</v>
          </cell>
          <cell r="D97" t="str">
            <v>m</v>
          </cell>
          <cell r="E97">
            <v>344</v>
          </cell>
          <cell r="F97">
            <v>847</v>
          </cell>
          <cell r="G97">
            <v>221</v>
          </cell>
          <cell r="H97">
            <v>906</v>
          </cell>
          <cell r="I97">
            <v>292</v>
          </cell>
          <cell r="K97">
            <v>179</v>
          </cell>
          <cell r="M97">
            <v>179</v>
          </cell>
        </row>
        <row r="98">
          <cell r="A98" t="str">
            <v>전 선GV   8㎟</v>
          </cell>
          <cell r="B98" t="str">
            <v>전 선</v>
          </cell>
          <cell r="C98" t="str">
            <v>GV   8㎟</v>
          </cell>
          <cell r="D98" t="str">
            <v>m</v>
          </cell>
          <cell r="E98">
            <v>451</v>
          </cell>
          <cell r="F98">
            <v>847</v>
          </cell>
          <cell r="G98">
            <v>462</v>
          </cell>
          <cell r="H98">
            <v>906</v>
          </cell>
          <cell r="I98">
            <v>383</v>
          </cell>
          <cell r="K98">
            <v>383</v>
          </cell>
          <cell r="M98">
            <v>383</v>
          </cell>
        </row>
        <row r="99">
          <cell r="A99" t="str">
            <v>전 선GV  14㎟</v>
          </cell>
          <cell r="B99" t="str">
            <v>전 선</v>
          </cell>
          <cell r="C99" t="str">
            <v>GV  14㎟</v>
          </cell>
          <cell r="D99" t="str">
            <v>m</v>
          </cell>
          <cell r="E99">
            <v>691</v>
          </cell>
          <cell r="F99">
            <v>847</v>
          </cell>
          <cell r="G99">
            <v>703</v>
          </cell>
          <cell r="H99">
            <v>906</v>
          </cell>
          <cell r="K99">
            <v>587</v>
          </cell>
          <cell r="M99">
            <v>587</v>
          </cell>
        </row>
        <row r="100">
          <cell r="A100" t="str">
            <v>전 선GV  22㎟</v>
          </cell>
          <cell r="B100" t="str">
            <v>전 선</v>
          </cell>
          <cell r="C100" t="str">
            <v>GV  22㎟</v>
          </cell>
          <cell r="D100" t="str">
            <v>m</v>
          </cell>
          <cell r="E100">
            <v>980</v>
          </cell>
          <cell r="F100">
            <v>847</v>
          </cell>
          <cell r="G100">
            <v>1001</v>
          </cell>
          <cell r="H100">
            <v>906</v>
          </cell>
          <cell r="K100">
            <v>833</v>
          </cell>
          <cell r="M100">
            <v>833</v>
          </cell>
        </row>
        <row r="101">
          <cell r="A101" t="str">
            <v>전 선GV  38㎟</v>
          </cell>
          <cell r="B101" t="str">
            <v>전 선</v>
          </cell>
          <cell r="C101" t="str">
            <v>GV  38㎟</v>
          </cell>
          <cell r="D101" t="str">
            <v>m</v>
          </cell>
          <cell r="E101">
            <v>1525</v>
          </cell>
          <cell r="F101">
            <v>847</v>
          </cell>
          <cell r="G101">
            <v>1558</v>
          </cell>
          <cell r="H101">
            <v>906</v>
          </cell>
          <cell r="I101">
            <v>1280</v>
          </cell>
          <cell r="K101">
            <v>1296</v>
          </cell>
          <cell r="M101">
            <v>1280</v>
          </cell>
        </row>
        <row r="102">
          <cell r="A102" t="str">
            <v>전 선GV 60㎟</v>
          </cell>
          <cell r="B102" t="str">
            <v>전 선</v>
          </cell>
          <cell r="C102" t="str">
            <v>GV 60㎟</v>
          </cell>
          <cell r="D102" t="str">
            <v>m</v>
          </cell>
          <cell r="E102">
            <v>3757</v>
          </cell>
          <cell r="F102">
            <v>847</v>
          </cell>
          <cell r="G102">
            <v>2411</v>
          </cell>
          <cell r="H102">
            <v>906</v>
          </cell>
          <cell r="K102">
            <v>2003</v>
          </cell>
          <cell r="M102">
            <v>2003</v>
          </cell>
        </row>
        <row r="103">
          <cell r="A103" t="str">
            <v>전 선HIV 2.0㎜</v>
          </cell>
          <cell r="B103" t="str">
            <v>전 선</v>
          </cell>
          <cell r="C103" t="str">
            <v>HIV 2.0㎜</v>
          </cell>
          <cell r="D103" t="str">
            <v>m</v>
          </cell>
          <cell r="E103">
            <v>113</v>
          </cell>
          <cell r="F103">
            <v>842</v>
          </cell>
          <cell r="G103">
            <v>117</v>
          </cell>
          <cell r="H103">
            <v>905</v>
          </cell>
          <cell r="K103">
            <v>96</v>
          </cell>
          <cell r="M103">
            <v>96</v>
          </cell>
        </row>
        <row r="104">
          <cell r="A104" t="str">
            <v>전 선HIV 2.0㎟</v>
          </cell>
          <cell r="B104" t="str">
            <v>전 선</v>
          </cell>
          <cell r="C104" t="str">
            <v>HIV 2.0㎟</v>
          </cell>
          <cell r="D104" t="str">
            <v>m</v>
          </cell>
          <cell r="E104">
            <v>94</v>
          </cell>
          <cell r="F104">
            <v>842</v>
          </cell>
          <cell r="G104">
            <v>105</v>
          </cell>
          <cell r="H104">
            <v>905</v>
          </cell>
          <cell r="K104">
            <v>79</v>
          </cell>
          <cell r="M104">
            <v>79</v>
          </cell>
        </row>
        <row r="105">
          <cell r="A105" t="str">
            <v>전 선HIV 3.5㎟</v>
          </cell>
          <cell r="B105" t="str">
            <v>전 선</v>
          </cell>
          <cell r="C105" t="str">
            <v>HIV 3.5㎟</v>
          </cell>
          <cell r="D105" t="str">
            <v>m</v>
          </cell>
          <cell r="E105">
            <v>145</v>
          </cell>
          <cell r="F105">
            <v>842</v>
          </cell>
          <cell r="G105">
            <v>163</v>
          </cell>
          <cell r="H105">
            <v>905</v>
          </cell>
          <cell r="K105">
            <v>145</v>
          </cell>
          <cell r="M105">
            <v>145</v>
          </cell>
        </row>
        <row r="106">
          <cell r="A106" t="str">
            <v>전 선HIV 5.5㎟</v>
          </cell>
          <cell r="B106" t="str">
            <v>전 선</v>
          </cell>
          <cell r="C106" t="str">
            <v>HIV 5.5㎟</v>
          </cell>
          <cell r="D106" t="str">
            <v>m</v>
          </cell>
          <cell r="E106">
            <v>217</v>
          </cell>
          <cell r="F106">
            <v>842</v>
          </cell>
          <cell r="G106">
            <v>243</v>
          </cell>
          <cell r="H106">
            <v>905</v>
          </cell>
          <cell r="K106">
            <v>217</v>
          </cell>
          <cell r="M106">
            <v>217</v>
          </cell>
        </row>
        <row r="107">
          <cell r="A107" t="str">
            <v>전 선HIV  8㎟</v>
          </cell>
          <cell r="B107" t="str">
            <v>전 선</v>
          </cell>
          <cell r="C107" t="str">
            <v>HIV  8㎟</v>
          </cell>
          <cell r="D107" t="str">
            <v>m</v>
          </cell>
          <cell r="E107">
            <v>315</v>
          </cell>
          <cell r="F107">
            <v>842</v>
          </cell>
          <cell r="G107">
            <v>354</v>
          </cell>
          <cell r="H107">
            <v>905</v>
          </cell>
          <cell r="K107">
            <v>315</v>
          </cell>
          <cell r="M107">
            <v>315</v>
          </cell>
        </row>
        <row r="108">
          <cell r="A108" t="str">
            <v>전 선HIV  14㎟</v>
          </cell>
          <cell r="B108" t="str">
            <v>전 선</v>
          </cell>
          <cell r="C108" t="str">
            <v>HIV  14㎟</v>
          </cell>
          <cell r="D108" t="str">
            <v>m</v>
          </cell>
          <cell r="E108">
            <v>571</v>
          </cell>
          <cell r="F108">
            <v>842</v>
          </cell>
          <cell r="G108">
            <v>624</v>
          </cell>
          <cell r="H108">
            <v>905</v>
          </cell>
          <cell r="K108">
            <v>571</v>
          </cell>
          <cell r="M108">
            <v>571</v>
          </cell>
        </row>
        <row r="109">
          <cell r="A109" t="str">
            <v>전 선HIV  22㎟</v>
          </cell>
          <cell r="B109" t="str">
            <v>전 선</v>
          </cell>
          <cell r="C109" t="str">
            <v>HIV  22㎟</v>
          </cell>
          <cell r="D109" t="str">
            <v>m</v>
          </cell>
          <cell r="E109">
            <v>843</v>
          </cell>
          <cell r="F109">
            <v>842</v>
          </cell>
          <cell r="G109">
            <v>920</v>
          </cell>
          <cell r="H109">
            <v>905</v>
          </cell>
          <cell r="K109">
            <v>843</v>
          </cell>
          <cell r="M109">
            <v>843</v>
          </cell>
        </row>
        <row r="110">
          <cell r="A110" t="str">
            <v>전 선HIV  38㎟</v>
          </cell>
          <cell r="B110" t="str">
            <v>전 선</v>
          </cell>
          <cell r="C110" t="str">
            <v>HIV  38㎟</v>
          </cell>
          <cell r="D110" t="str">
            <v>m</v>
          </cell>
          <cell r="E110">
            <v>2500</v>
          </cell>
          <cell r="F110">
            <v>842</v>
          </cell>
          <cell r="G110">
            <v>1443</v>
          </cell>
          <cell r="H110">
            <v>905</v>
          </cell>
          <cell r="K110">
            <v>1443</v>
          </cell>
          <cell r="M110">
            <v>1443</v>
          </cell>
        </row>
        <row r="111">
          <cell r="A111" t="str">
            <v>전 선HIV  60㎟</v>
          </cell>
          <cell r="B111" t="str">
            <v>전 선</v>
          </cell>
          <cell r="C111" t="str">
            <v>HIV  60㎟</v>
          </cell>
          <cell r="D111" t="str">
            <v>m</v>
          </cell>
          <cell r="E111">
            <v>2100</v>
          </cell>
          <cell r="F111">
            <v>842</v>
          </cell>
          <cell r="G111">
            <v>2296</v>
          </cell>
          <cell r="H111">
            <v>905</v>
          </cell>
          <cell r="K111">
            <v>2100</v>
          </cell>
          <cell r="M111">
            <v>2100</v>
          </cell>
        </row>
        <row r="112">
          <cell r="A112" t="str">
            <v>전 선HIV  100㎟</v>
          </cell>
          <cell r="B112" t="str">
            <v>전 선</v>
          </cell>
          <cell r="C112" t="str">
            <v>HIV  100㎟</v>
          </cell>
          <cell r="D112" t="str">
            <v>m</v>
          </cell>
          <cell r="E112">
            <v>3400</v>
          </cell>
          <cell r="F112">
            <v>842</v>
          </cell>
          <cell r="G112">
            <v>3647</v>
          </cell>
          <cell r="H112">
            <v>905</v>
          </cell>
          <cell r="K112">
            <v>3400</v>
          </cell>
          <cell r="M112">
            <v>3400</v>
          </cell>
        </row>
        <row r="113">
          <cell r="A113" t="str">
            <v>전 선IV   8㎟</v>
          </cell>
          <cell r="B113" t="str">
            <v>전 선</v>
          </cell>
          <cell r="C113" t="str">
            <v>IV   8㎟</v>
          </cell>
          <cell r="D113" t="str">
            <v>m</v>
          </cell>
          <cell r="E113">
            <v>306</v>
          </cell>
          <cell r="F113">
            <v>842</v>
          </cell>
          <cell r="G113">
            <v>322</v>
          </cell>
          <cell r="H113">
            <v>905</v>
          </cell>
          <cell r="I113">
            <v>259</v>
          </cell>
          <cell r="K113">
            <v>259</v>
          </cell>
          <cell r="M113">
            <v>259</v>
          </cell>
        </row>
        <row r="114">
          <cell r="A114" t="str">
            <v>전 선IV  14㎟</v>
          </cell>
          <cell r="B114" t="str">
            <v>전 선</v>
          </cell>
          <cell r="C114" t="str">
            <v>IV  14㎟</v>
          </cell>
          <cell r="D114" t="str">
            <v>m</v>
          </cell>
          <cell r="E114">
            <v>556</v>
          </cell>
          <cell r="F114">
            <v>842</v>
          </cell>
          <cell r="G114">
            <v>586</v>
          </cell>
          <cell r="H114">
            <v>905</v>
          </cell>
          <cell r="I114">
            <v>473</v>
          </cell>
          <cell r="K114">
            <v>473</v>
          </cell>
          <cell r="M114">
            <v>473</v>
          </cell>
        </row>
        <row r="115">
          <cell r="A115" t="str">
            <v>전 선IV  22㎟</v>
          </cell>
          <cell r="B115" t="str">
            <v>전 선</v>
          </cell>
          <cell r="C115" t="str">
            <v>IV  22㎟</v>
          </cell>
          <cell r="D115" t="str">
            <v>m</v>
          </cell>
          <cell r="E115">
            <v>819</v>
          </cell>
          <cell r="F115">
            <v>842</v>
          </cell>
          <cell r="G115">
            <v>898</v>
          </cell>
          <cell r="H115">
            <v>905</v>
          </cell>
          <cell r="I115">
            <v>696</v>
          </cell>
          <cell r="K115">
            <v>696</v>
          </cell>
          <cell r="M115">
            <v>696</v>
          </cell>
        </row>
        <row r="116">
          <cell r="A116" t="str">
            <v>전 선IV  38㎟</v>
          </cell>
          <cell r="B116" t="str">
            <v>전 선</v>
          </cell>
          <cell r="C116" t="str">
            <v>IV  38㎟</v>
          </cell>
          <cell r="D116" t="str">
            <v>m</v>
          </cell>
          <cell r="E116">
            <v>1227</v>
          </cell>
          <cell r="F116">
            <v>842</v>
          </cell>
          <cell r="G116">
            <v>1400</v>
          </cell>
          <cell r="H116">
            <v>905</v>
          </cell>
          <cell r="I116">
            <v>1085</v>
          </cell>
          <cell r="K116">
            <v>1085</v>
          </cell>
          <cell r="M116">
            <v>1085</v>
          </cell>
        </row>
        <row r="117">
          <cell r="A117" t="str">
            <v>전 선IV  60㎟</v>
          </cell>
          <cell r="B117" t="str">
            <v>전 선</v>
          </cell>
          <cell r="C117" t="str">
            <v>IV  60㎟</v>
          </cell>
          <cell r="D117" t="str">
            <v>m</v>
          </cell>
          <cell r="E117">
            <v>2039</v>
          </cell>
          <cell r="F117">
            <v>842</v>
          </cell>
          <cell r="G117">
            <v>2245</v>
          </cell>
          <cell r="H117">
            <v>905</v>
          </cell>
          <cell r="I117">
            <v>1732</v>
          </cell>
          <cell r="K117">
            <v>1732</v>
          </cell>
          <cell r="M117">
            <v>1732</v>
          </cell>
        </row>
        <row r="118">
          <cell r="A118" t="str">
            <v>전 선IV  100㎟</v>
          </cell>
          <cell r="B118" t="str">
            <v>전 선</v>
          </cell>
          <cell r="C118" t="str">
            <v>IV  100㎟</v>
          </cell>
          <cell r="D118" t="str">
            <v>m</v>
          </cell>
          <cell r="E118">
            <v>2039</v>
          </cell>
          <cell r="F118">
            <v>842</v>
          </cell>
          <cell r="G118">
            <v>2235</v>
          </cell>
          <cell r="H118">
            <v>905</v>
          </cell>
          <cell r="I118">
            <v>2795</v>
          </cell>
          <cell r="K118">
            <v>2795</v>
          </cell>
          <cell r="M118">
            <v>2039</v>
          </cell>
        </row>
        <row r="119">
          <cell r="A119" t="str">
            <v>전 선IV 1.6㎜</v>
          </cell>
          <cell r="B119" t="str">
            <v>전 선</v>
          </cell>
          <cell r="C119" t="str">
            <v>IV 1.6㎜</v>
          </cell>
          <cell r="D119" t="str">
            <v>m</v>
          </cell>
          <cell r="E119">
            <v>75</v>
          </cell>
          <cell r="F119">
            <v>842</v>
          </cell>
          <cell r="G119">
            <v>79</v>
          </cell>
          <cell r="H119">
            <v>905</v>
          </cell>
          <cell r="I119">
            <v>64</v>
          </cell>
          <cell r="K119">
            <v>64</v>
          </cell>
          <cell r="M119">
            <v>64</v>
          </cell>
        </row>
        <row r="120">
          <cell r="A120" t="str">
            <v>전 선IV 2.0㎜</v>
          </cell>
          <cell r="B120" t="str">
            <v>전 선</v>
          </cell>
          <cell r="C120" t="str">
            <v>IV 2.0㎜</v>
          </cell>
          <cell r="D120" t="str">
            <v>m</v>
          </cell>
          <cell r="E120">
            <v>110</v>
          </cell>
          <cell r="F120">
            <v>842</v>
          </cell>
          <cell r="G120">
            <v>115</v>
          </cell>
          <cell r="H120">
            <v>905</v>
          </cell>
          <cell r="I120">
            <v>93</v>
          </cell>
          <cell r="K120">
            <v>93</v>
          </cell>
          <cell r="M120">
            <v>93</v>
          </cell>
        </row>
        <row r="121">
          <cell r="A121" t="str">
            <v>전 선IV 2.0㎟</v>
          </cell>
          <cell r="B121" t="str">
            <v>전 선</v>
          </cell>
          <cell r="C121" t="str">
            <v>IV 2.0㎟</v>
          </cell>
          <cell r="D121" t="str">
            <v>m</v>
          </cell>
          <cell r="E121">
            <v>91</v>
          </cell>
          <cell r="F121">
            <v>842</v>
          </cell>
          <cell r="G121">
            <v>96</v>
          </cell>
          <cell r="H121">
            <v>905</v>
          </cell>
          <cell r="I121">
            <v>77</v>
          </cell>
          <cell r="K121">
            <v>77</v>
          </cell>
          <cell r="M121">
            <v>77</v>
          </cell>
        </row>
        <row r="122">
          <cell r="A122" t="str">
            <v>전 선IV 3.5㎟</v>
          </cell>
          <cell r="B122" t="str">
            <v>전 선</v>
          </cell>
          <cell r="C122" t="str">
            <v>IV 3.5㎟</v>
          </cell>
          <cell r="D122" t="str">
            <v>m</v>
          </cell>
          <cell r="E122">
            <v>140</v>
          </cell>
          <cell r="F122">
            <v>842</v>
          </cell>
          <cell r="G122">
            <v>147</v>
          </cell>
          <cell r="H122">
            <v>905</v>
          </cell>
          <cell r="I122">
            <v>119</v>
          </cell>
          <cell r="K122">
            <v>119</v>
          </cell>
          <cell r="M122">
            <v>119</v>
          </cell>
        </row>
        <row r="123">
          <cell r="A123" t="str">
            <v>전 선IV 5.5㎟</v>
          </cell>
          <cell r="B123" t="str">
            <v>전 선</v>
          </cell>
          <cell r="C123" t="str">
            <v>IV 5.5㎟</v>
          </cell>
          <cell r="D123" t="str">
            <v>m</v>
          </cell>
          <cell r="E123">
            <v>210</v>
          </cell>
          <cell r="F123">
            <v>842</v>
          </cell>
          <cell r="G123">
            <v>221</v>
          </cell>
          <cell r="H123">
            <v>905</v>
          </cell>
          <cell r="I123">
            <v>179</v>
          </cell>
          <cell r="K123">
            <v>179</v>
          </cell>
          <cell r="M123">
            <v>179</v>
          </cell>
        </row>
        <row r="124">
          <cell r="A124" t="str">
            <v>접지본딩BC 2.0m㎜</v>
          </cell>
          <cell r="B124" t="str">
            <v>접지본딩</v>
          </cell>
          <cell r="C124" t="str">
            <v>BC 2.0m㎜</v>
          </cell>
          <cell r="D124" t="str">
            <v>m</v>
          </cell>
          <cell r="G124">
            <v>68</v>
          </cell>
          <cell r="H124">
            <v>919</v>
          </cell>
          <cell r="M124">
            <v>68</v>
          </cell>
        </row>
        <row r="125">
          <cell r="A125" t="str">
            <v>노말밴드ST 16C</v>
          </cell>
          <cell r="B125" t="str">
            <v>노말밴드</v>
          </cell>
          <cell r="C125" t="str">
            <v>ST 16C</v>
          </cell>
          <cell r="D125" t="str">
            <v>EA</v>
          </cell>
          <cell r="E125">
            <v>930</v>
          </cell>
          <cell r="F125">
            <v>867</v>
          </cell>
          <cell r="G125">
            <v>930</v>
          </cell>
          <cell r="H125">
            <v>935</v>
          </cell>
          <cell r="K125">
            <v>744</v>
          </cell>
          <cell r="M125">
            <v>744</v>
          </cell>
        </row>
        <row r="126">
          <cell r="A126" t="str">
            <v>노말밴드ST 22C</v>
          </cell>
          <cell r="B126" t="str">
            <v>노말밴드</v>
          </cell>
          <cell r="C126" t="str">
            <v>ST 22C</v>
          </cell>
          <cell r="D126" t="str">
            <v>EA</v>
          </cell>
          <cell r="E126">
            <v>1030</v>
          </cell>
          <cell r="F126">
            <v>867</v>
          </cell>
          <cell r="G126">
            <v>1030</v>
          </cell>
          <cell r="H126">
            <v>935</v>
          </cell>
          <cell r="K126">
            <v>824</v>
          </cell>
          <cell r="M126">
            <v>824</v>
          </cell>
        </row>
        <row r="127">
          <cell r="A127" t="str">
            <v>노말밴드ST 28C</v>
          </cell>
          <cell r="B127" t="str">
            <v>노말밴드</v>
          </cell>
          <cell r="C127" t="str">
            <v>ST 28C</v>
          </cell>
          <cell r="D127" t="str">
            <v>EA</v>
          </cell>
          <cell r="E127">
            <v>1550</v>
          </cell>
          <cell r="F127">
            <v>867</v>
          </cell>
          <cell r="G127">
            <v>1550</v>
          </cell>
          <cell r="H127">
            <v>935</v>
          </cell>
          <cell r="I127">
            <v>1240</v>
          </cell>
          <cell r="K127">
            <v>1240</v>
          </cell>
          <cell r="M127">
            <v>1240</v>
          </cell>
        </row>
        <row r="128">
          <cell r="A128" t="str">
            <v>노말밴드ST 36C</v>
          </cell>
          <cell r="B128" t="str">
            <v>노말밴드</v>
          </cell>
          <cell r="C128" t="str">
            <v>ST 36C</v>
          </cell>
          <cell r="D128" t="str">
            <v>EA</v>
          </cell>
          <cell r="E128">
            <v>2070</v>
          </cell>
          <cell r="F128">
            <v>867</v>
          </cell>
          <cell r="G128">
            <v>2070</v>
          </cell>
          <cell r="H128">
            <v>935</v>
          </cell>
          <cell r="I128">
            <v>1656</v>
          </cell>
          <cell r="K128">
            <v>1656</v>
          </cell>
          <cell r="M128">
            <v>1656</v>
          </cell>
        </row>
        <row r="129">
          <cell r="A129" t="str">
            <v>노말밴드ST 42C</v>
          </cell>
          <cell r="B129" t="str">
            <v>노말밴드</v>
          </cell>
          <cell r="C129" t="str">
            <v>ST 42C</v>
          </cell>
          <cell r="D129" t="str">
            <v>EA</v>
          </cell>
          <cell r="E129">
            <v>2690</v>
          </cell>
          <cell r="F129">
            <v>867</v>
          </cell>
          <cell r="G129">
            <v>2690</v>
          </cell>
          <cell r="H129">
            <v>935</v>
          </cell>
          <cell r="I129">
            <v>2152</v>
          </cell>
          <cell r="K129">
            <v>2152</v>
          </cell>
          <cell r="M129">
            <v>2152</v>
          </cell>
        </row>
        <row r="130">
          <cell r="A130" t="str">
            <v>노말밴드ST 54C</v>
          </cell>
          <cell r="B130" t="str">
            <v>노말밴드</v>
          </cell>
          <cell r="C130" t="str">
            <v>ST 54C</v>
          </cell>
          <cell r="D130" t="str">
            <v>EA</v>
          </cell>
          <cell r="E130">
            <v>3830</v>
          </cell>
          <cell r="F130">
            <v>867</v>
          </cell>
          <cell r="G130">
            <v>3830</v>
          </cell>
          <cell r="H130">
            <v>935</v>
          </cell>
          <cell r="I130">
            <v>3064</v>
          </cell>
          <cell r="K130">
            <v>3064</v>
          </cell>
          <cell r="M130">
            <v>3064</v>
          </cell>
        </row>
        <row r="131">
          <cell r="A131" t="str">
            <v>노말밴드ST 70C</v>
          </cell>
          <cell r="B131" t="str">
            <v>노말밴드</v>
          </cell>
          <cell r="C131" t="str">
            <v>ST 70C</v>
          </cell>
          <cell r="D131" t="str">
            <v>EA</v>
          </cell>
          <cell r="E131">
            <v>6200</v>
          </cell>
          <cell r="F131">
            <v>867</v>
          </cell>
          <cell r="G131">
            <v>6220</v>
          </cell>
          <cell r="H131">
            <v>935</v>
          </cell>
          <cell r="I131">
            <v>4960</v>
          </cell>
          <cell r="K131">
            <v>4960</v>
          </cell>
          <cell r="M131">
            <v>4960</v>
          </cell>
        </row>
        <row r="132">
          <cell r="A132" t="str">
            <v>노말밴드ST 82C</v>
          </cell>
          <cell r="B132" t="str">
            <v>노말밴드</v>
          </cell>
          <cell r="C132" t="str">
            <v>ST 82C</v>
          </cell>
          <cell r="D132" t="str">
            <v>EA</v>
          </cell>
          <cell r="E132">
            <v>9330</v>
          </cell>
          <cell r="F132">
            <v>867</v>
          </cell>
          <cell r="G132">
            <v>9330</v>
          </cell>
          <cell r="H132">
            <v>935</v>
          </cell>
          <cell r="K132">
            <v>7464</v>
          </cell>
          <cell r="M132">
            <v>7464</v>
          </cell>
        </row>
        <row r="133">
          <cell r="A133" t="str">
            <v>노말밴드ST 84C</v>
          </cell>
          <cell r="B133" t="str">
            <v>노말밴드</v>
          </cell>
          <cell r="C133" t="str">
            <v>ST 84C</v>
          </cell>
          <cell r="D133" t="str">
            <v>EA</v>
          </cell>
          <cell r="E133">
            <v>9330</v>
          </cell>
          <cell r="F133">
            <v>867</v>
          </cell>
          <cell r="G133">
            <v>9330</v>
          </cell>
          <cell r="H133">
            <v>935</v>
          </cell>
          <cell r="K133">
            <v>7464</v>
          </cell>
          <cell r="M133">
            <v>7464</v>
          </cell>
        </row>
        <row r="134">
          <cell r="A134" t="str">
            <v>노말밴드ST 104C</v>
          </cell>
          <cell r="B134" t="str">
            <v>노말밴드</v>
          </cell>
          <cell r="C134" t="str">
            <v>ST 104C</v>
          </cell>
          <cell r="D134" t="str">
            <v>EA</v>
          </cell>
          <cell r="E134">
            <v>17550</v>
          </cell>
          <cell r="F134">
            <v>867</v>
          </cell>
          <cell r="G134">
            <v>17630</v>
          </cell>
          <cell r="H134">
            <v>935</v>
          </cell>
          <cell r="K134">
            <v>14040</v>
          </cell>
          <cell r="M134">
            <v>14040</v>
          </cell>
        </row>
        <row r="135">
          <cell r="A135" t="str">
            <v>단말처리재23KV 38㎟/1C</v>
          </cell>
          <cell r="B135" t="str">
            <v>단말처리재</v>
          </cell>
          <cell r="C135" t="str">
            <v>23KV 38㎟/1C</v>
          </cell>
          <cell r="D135" t="str">
            <v>EA</v>
          </cell>
          <cell r="E135">
            <v>85800</v>
          </cell>
          <cell r="F135">
            <v>864</v>
          </cell>
          <cell r="G135">
            <v>85800</v>
          </cell>
          <cell r="H135">
            <v>926</v>
          </cell>
          <cell r="I135">
            <v>49460</v>
          </cell>
          <cell r="K135">
            <v>49460</v>
          </cell>
          <cell r="M135">
            <v>49460</v>
          </cell>
        </row>
        <row r="136">
          <cell r="A136" t="str">
            <v>단말처리재23KV 60㎟/1C</v>
          </cell>
          <cell r="B136" t="str">
            <v>단말처리재</v>
          </cell>
          <cell r="C136" t="str">
            <v>23KV 60㎟/1C</v>
          </cell>
          <cell r="D136" t="str">
            <v>EA</v>
          </cell>
          <cell r="E136">
            <v>182200</v>
          </cell>
          <cell r="F136">
            <v>864</v>
          </cell>
          <cell r="G136">
            <v>146000</v>
          </cell>
          <cell r="H136">
            <v>926</v>
          </cell>
          <cell r="I136">
            <v>49460</v>
          </cell>
          <cell r="K136">
            <v>49460</v>
          </cell>
          <cell r="M136">
            <v>49460</v>
          </cell>
        </row>
        <row r="137">
          <cell r="A137" t="str">
            <v>자기수축단말처리재23KV 60㎟/1C</v>
          </cell>
          <cell r="B137" t="str">
            <v>자기수축단말처리재</v>
          </cell>
          <cell r="C137" t="str">
            <v>23KV 60㎟/1C</v>
          </cell>
          <cell r="D137" t="str">
            <v>EA</v>
          </cell>
          <cell r="E137">
            <v>73400</v>
          </cell>
          <cell r="F137">
            <v>864</v>
          </cell>
          <cell r="G137">
            <v>73400</v>
          </cell>
          <cell r="H137">
            <v>926</v>
          </cell>
          <cell r="I137">
            <v>20080</v>
          </cell>
          <cell r="K137">
            <v>20080</v>
          </cell>
          <cell r="M137">
            <v>20080</v>
          </cell>
        </row>
        <row r="138">
          <cell r="A138" t="str">
            <v>자기수축단말처리재6.6KV 100㎟/1C</v>
          </cell>
          <cell r="B138" t="str">
            <v>자기수축단말처리재</v>
          </cell>
          <cell r="C138" t="str">
            <v>6.6KV 100㎟/1C</v>
          </cell>
          <cell r="D138" t="str">
            <v>EA</v>
          </cell>
          <cell r="E138">
            <v>73400</v>
          </cell>
          <cell r="F138">
            <v>864</v>
          </cell>
          <cell r="G138">
            <v>73400</v>
          </cell>
          <cell r="H138">
            <v>926</v>
          </cell>
          <cell r="I138">
            <v>20800</v>
          </cell>
          <cell r="K138">
            <v>20800</v>
          </cell>
          <cell r="M138">
            <v>20800</v>
          </cell>
        </row>
        <row r="139">
          <cell r="A139" t="str">
            <v>자기수축단말처리재6.6KV 60㎟/1C</v>
          </cell>
          <cell r="B139" t="str">
            <v>자기수축단말처리재</v>
          </cell>
          <cell r="C139" t="str">
            <v>6.6KV 60㎟/1C</v>
          </cell>
          <cell r="D139" t="str">
            <v>EA</v>
          </cell>
          <cell r="E139">
            <v>72800</v>
          </cell>
          <cell r="F139">
            <v>864</v>
          </cell>
          <cell r="G139">
            <v>72800</v>
          </cell>
          <cell r="H139">
            <v>926</v>
          </cell>
          <cell r="I139">
            <v>18500</v>
          </cell>
          <cell r="K139">
            <v>18500</v>
          </cell>
          <cell r="M139">
            <v>18500</v>
          </cell>
        </row>
        <row r="140">
          <cell r="A140" t="str">
            <v>동관단자  100㎟/1C</v>
          </cell>
          <cell r="B140" t="str">
            <v>동관단자</v>
          </cell>
          <cell r="C140" t="str">
            <v xml:space="preserve">  100㎟/1C</v>
          </cell>
          <cell r="D140" t="str">
            <v>EA</v>
          </cell>
          <cell r="E140">
            <v>1870</v>
          </cell>
          <cell r="F140">
            <v>864</v>
          </cell>
          <cell r="G140">
            <v>1870</v>
          </cell>
          <cell r="H140">
            <v>925</v>
          </cell>
          <cell r="I140">
            <v>1600</v>
          </cell>
          <cell r="K140">
            <v>1170</v>
          </cell>
          <cell r="M140">
            <v>1170</v>
          </cell>
        </row>
        <row r="141">
          <cell r="A141" t="str">
            <v>동관단자  150㎟/1C</v>
          </cell>
          <cell r="B141" t="str">
            <v>동관단자</v>
          </cell>
          <cell r="C141" t="str">
            <v xml:space="preserve">  150㎟/1C</v>
          </cell>
          <cell r="D141" t="str">
            <v>EA</v>
          </cell>
          <cell r="F141">
            <v>864</v>
          </cell>
          <cell r="G141">
            <v>3040</v>
          </cell>
          <cell r="H141">
            <v>925</v>
          </cell>
          <cell r="I141">
            <v>2190</v>
          </cell>
          <cell r="K141">
            <v>2190</v>
          </cell>
          <cell r="M141">
            <v>2190</v>
          </cell>
        </row>
        <row r="142">
          <cell r="A142" t="str">
            <v>동관단자  200㎟/1C</v>
          </cell>
          <cell r="B142" t="str">
            <v>동관단자</v>
          </cell>
          <cell r="C142" t="str">
            <v xml:space="preserve">  200㎟/1C</v>
          </cell>
          <cell r="D142" t="str">
            <v>EA</v>
          </cell>
          <cell r="F142">
            <v>864</v>
          </cell>
          <cell r="G142">
            <v>4090</v>
          </cell>
          <cell r="H142">
            <v>925</v>
          </cell>
          <cell r="I142">
            <v>2550</v>
          </cell>
          <cell r="K142">
            <v>2550</v>
          </cell>
          <cell r="M142">
            <v>2550</v>
          </cell>
        </row>
        <row r="143">
          <cell r="A143" t="str">
            <v>동관단자  250㎟/1C</v>
          </cell>
          <cell r="B143" t="str">
            <v>동관단자</v>
          </cell>
          <cell r="C143" t="str">
            <v xml:space="preserve">  250㎟/1C</v>
          </cell>
          <cell r="D143" t="str">
            <v>EA</v>
          </cell>
          <cell r="E143">
            <v>4600</v>
          </cell>
          <cell r="F143">
            <v>864</v>
          </cell>
          <cell r="G143">
            <v>4680</v>
          </cell>
          <cell r="H143">
            <v>925</v>
          </cell>
          <cell r="I143">
            <v>3970</v>
          </cell>
          <cell r="K143">
            <v>3970</v>
          </cell>
          <cell r="M143">
            <v>3970</v>
          </cell>
        </row>
        <row r="144">
          <cell r="A144" t="str">
            <v>동관단자  325㎟/1C</v>
          </cell>
          <cell r="B144" t="str">
            <v>동관단자</v>
          </cell>
          <cell r="C144" t="str">
            <v xml:space="preserve">  325㎟/1C</v>
          </cell>
          <cell r="D144" t="str">
            <v>EA</v>
          </cell>
          <cell r="E144">
            <v>9300</v>
          </cell>
          <cell r="F144">
            <v>864</v>
          </cell>
          <cell r="G144">
            <v>7600</v>
          </cell>
          <cell r="H144">
            <v>925</v>
          </cell>
          <cell r="I144">
            <v>7600</v>
          </cell>
          <cell r="K144">
            <v>7600</v>
          </cell>
          <cell r="M144">
            <v>7600</v>
          </cell>
        </row>
        <row r="145">
          <cell r="A145" t="str">
            <v>동관단자60㎟/1C</v>
          </cell>
          <cell r="B145" t="str">
            <v>동관단자</v>
          </cell>
          <cell r="C145" t="str">
            <v>60㎟/1C</v>
          </cell>
          <cell r="D145" t="str">
            <v>EA</v>
          </cell>
          <cell r="E145">
            <v>1050</v>
          </cell>
          <cell r="F145">
            <v>864</v>
          </cell>
          <cell r="G145">
            <v>1050</v>
          </cell>
          <cell r="H145">
            <v>925</v>
          </cell>
          <cell r="I145">
            <v>850</v>
          </cell>
          <cell r="K145">
            <v>850</v>
          </cell>
          <cell r="M145">
            <v>850</v>
          </cell>
        </row>
        <row r="146">
          <cell r="A146" t="str">
            <v>동관단자2HOLE  60㎟</v>
          </cell>
          <cell r="B146" t="str">
            <v>동관단자</v>
          </cell>
          <cell r="C146" t="str">
            <v>2HOLE  60㎟</v>
          </cell>
          <cell r="D146" t="str">
            <v>EA</v>
          </cell>
          <cell r="E146">
            <v>1050</v>
          </cell>
          <cell r="F146">
            <v>864</v>
          </cell>
          <cell r="G146">
            <v>1050</v>
          </cell>
          <cell r="H146">
            <v>925</v>
          </cell>
          <cell r="I146">
            <v>850</v>
          </cell>
          <cell r="K146">
            <v>850</v>
          </cell>
          <cell r="M146">
            <v>850</v>
          </cell>
        </row>
        <row r="147">
          <cell r="A147" t="str">
            <v>동관단자2HOLE 100㎟/1C</v>
          </cell>
          <cell r="B147" t="str">
            <v>동관단자</v>
          </cell>
          <cell r="C147" t="str">
            <v>2HOLE 100㎟/1C</v>
          </cell>
          <cell r="D147" t="str">
            <v>EA</v>
          </cell>
          <cell r="E147">
            <v>1870</v>
          </cell>
          <cell r="F147">
            <v>864</v>
          </cell>
          <cell r="G147">
            <v>1870</v>
          </cell>
          <cell r="H147">
            <v>925</v>
          </cell>
          <cell r="I147">
            <v>1600</v>
          </cell>
          <cell r="K147">
            <v>1600</v>
          </cell>
          <cell r="M147">
            <v>1600</v>
          </cell>
        </row>
        <row r="148">
          <cell r="A148" t="str">
            <v>동관단자2HOLE 150㎟</v>
          </cell>
          <cell r="B148" t="str">
            <v>동관단자</v>
          </cell>
          <cell r="C148" t="str">
            <v>2HOLE 150㎟</v>
          </cell>
          <cell r="D148" t="str">
            <v>EA</v>
          </cell>
          <cell r="F148">
            <v>864</v>
          </cell>
          <cell r="G148">
            <v>3040</v>
          </cell>
          <cell r="H148">
            <v>925</v>
          </cell>
          <cell r="I148">
            <v>2190</v>
          </cell>
          <cell r="K148">
            <v>2190</v>
          </cell>
          <cell r="M148">
            <v>2190</v>
          </cell>
        </row>
        <row r="149">
          <cell r="A149" t="str">
            <v>동관단자2HOLE 200㎟</v>
          </cell>
          <cell r="B149" t="str">
            <v>동관단자</v>
          </cell>
          <cell r="C149" t="str">
            <v>2HOLE 200㎟</v>
          </cell>
          <cell r="D149" t="str">
            <v>EA</v>
          </cell>
          <cell r="G149">
            <v>4090</v>
          </cell>
          <cell r="H149">
            <v>925</v>
          </cell>
          <cell r="I149">
            <v>2550</v>
          </cell>
          <cell r="K149">
            <v>2550</v>
          </cell>
          <cell r="M149">
            <v>2550</v>
          </cell>
        </row>
        <row r="150">
          <cell r="A150" t="str">
            <v>동관단자2HOLE 250㎟</v>
          </cell>
          <cell r="B150" t="str">
            <v>동관단자</v>
          </cell>
          <cell r="C150" t="str">
            <v>2HOLE 250㎟</v>
          </cell>
          <cell r="D150" t="str">
            <v>EA</v>
          </cell>
          <cell r="E150">
            <v>4600</v>
          </cell>
          <cell r="F150">
            <v>864</v>
          </cell>
          <cell r="G150">
            <v>4680</v>
          </cell>
          <cell r="H150">
            <v>925</v>
          </cell>
          <cell r="I150">
            <v>3970</v>
          </cell>
          <cell r="K150">
            <v>3970</v>
          </cell>
          <cell r="M150">
            <v>3970</v>
          </cell>
        </row>
        <row r="151">
          <cell r="A151" t="str">
            <v>동관단자2HOLE 325㎟</v>
          </cell>
          <cell r="B151" t="str">
            <v>동관단자</v>
          </cell>
          <cell r="C151" t="str">
            <v>2HOLE 325㎟</v>
          </cell>
          <cell r="D151" t="str">
            <v>EA</v>
          </cell>
          <cell r="E151">
            <v>9300</v>
          </cell>
          <cell r="F151">
            <v>864</v>
          </cell>
          <cell r="G151">
            <v>7600</v>
          </cell>
          <cell r="K151">
            <v>6080</v>
          </cell>
          <cell r="M151">
            <v>6080</v>
          </cell>
        </row>
        <row r="152">
          <cell r="A152" t="str">
            <v>직선접속재5.5㎟</v>
          </cell>
          <cell r="B152" t="str">
            <v>직선접속재</v>
          </cell>
          <cell r="C152" t="str">
            <v>5.5㎟</v>
          </cell>
          <cell r="D152" t="str">
            <v>EA</v>
          </cell>
          <cell r="E152">
            <v>10600</v>
          </cell>
          <cell r="F152">
            <v>862</v>
          </cell>
          <cell r="G152">
            <v>10600</v>
          </cell>
          <cell r="H152">
            <v>926</v>
          </cell>
          <cell r="K152">
            <v>8480</v>
          </cell>
          <cell r="M152">
            <v>8480</v>
          </cell>
        </row>
        <row r="153">
          <cell r="A153" t="str">
            <v>직선접속재8㎟</v>
          </cell>
          <cell r="B153" t="str">
            <v>직선접속재</v>
          </cell>
          <cell r="C153" t="str">
            <v>8㎟</v>
          </cell>
          <cell r="D153" t="str">
            <v>EA</v>
          </cell>
          <cell r="E153">
            <v>10600</v>
          </cell>
          <cell r="F153">
            <v>862</v>
          </cell>
          <cell r="G153">
            <v>10600</v>
          </cell>
          <cell r="H153">
            <v>926</v>
          </cell>
          <cell r="K153">
            <v>8480</v>
          </cell>
          <cell r="M153">
            <v>8480</v>
          </cell>
        </row>
        <row r="154">
          <cell r="A154" t="str">
            <v>직선접속재14㎟</v>
          </cell>
          <cell r="B154" t="str">
            <v>직선접속재</v>
          </cell>
          <cell r="C154" t="str">
            <v>14㎟</v>
          </cell>
          <cell r="D154" t="str">
            <v>EA</v>
          </cell>
          <cell r="E154">
            <v>8800</v>
          </cell>
          <cell r="F154">
            <v>862</v>
          </cell>
          <cell r="G154">
            <v>8800</v>
          </cell>
          <cell r="H154">
            <v>926</v>
          </cell>
          <cell r="K154">
            <v>7040</v>
          </cell>
          <cell r="M154">
            <v>7040</v>
          </cell>
        </row>
        <row r="155">
          <cell r="A155" t="str">
            <v>직선접속재22㎟</v>
          </cell>
          <cell r="B155" t="str">
            <v>직선접속재</v>
          </cell>
          <cell r="C155" t="str">
            <v>22㎟</v>
          </cell>
          <cell r="D155" t="str">
            <v>EA</v>
          </cell>
          <cell r="E155">
            <v>8800</v>
          </cell>
          <cell r="F155">
            <v>862</v>
          </cell>
          <cell r="G155">
            <v>8800</v>
          </cell>
          <cell r="H155">
            <v>926</v>
          </cell>
          <cell r="K155">
            <v>7040</v>
          </cell>
          <cell r="M155">
            <v>7040</v>
          </cell>
        </row>
        <row r="156">
          <cell r="A156" t="str">
            <v>직선접속재38㎟</v>
          </cell>
          <cell r="B156" t="str">
            <v>직선접속재</v>
          </cell>
          <cell r="C156" t="str">
            <v>38㎟</v>
          </cell>
          <cell r="D156" t="str">
            <v>EA</v>
          </cell>
          <cell r="E156">
            <v>8800</v>
          </cell>
          <cell r="F156">
            <v>862</v>
          </cell>
          <cell r="G156">
            <v>8800</v>
          </cell>
          <cell r="H156">
            <v>926</v>
          </cell>
          <cell r="K156">
            <v>7040</v>
          </cell>
          <cell r="M156">
            <v>7040</v>
          </cell>
        </row>
        <row r="157">
          <cell r="A157" t="str">
            <v>직선접속재60㎟</v>
          </cell>
          <cell r="B157" t="str">
            <v>직선접속재</v>
          </cell>
          <cell r="C157" t="str">
            <v>60㎟</v>
          </cell>
          <cell r="D157" t="str">
            <v>EA</v>
          </cell>
          <cell r="E157">
            <v>8800</v>
          </cell>
          <cell r="F157">
            <v>862</v>
          </cell>
          <cell r="G157">
            <v>8800</v>
          </cell>
          <cell r="H157">
            <v>926</v>
          </cell>
          <cell r="K157">
            <v>7040</v>
          </cell>
          <cell r="M157">
            <v>7040</v>
          </cell>
        </row>
        <row r="158">
          <cell r="A158" t="str">
            <v>직선접속재100㎟</v>
          </cell>
          <cell r="B158" t="str">
            <v>직선접속재</v>
          </cell>
          <cell r="C158" t="str">
            <v>100㎟</v>
          </cell>
          <cell r="D158" t="str">
            <v>EA</v>
          </cell>
          <cell r="E158">
            <v>10300</v>
          </cell>
          <cell r="F158">
            <v>862</v>
          </cell>
          <cell r="G158">
            <v>10300</v>
          </cell>
          <cell r="H158">
            <v>926</v>
          </cell>
          <cell r="K158">
            <v>8240</v>
          </cell>
          <cell r="M158">
            <v>8240</v>
          </cell>
        </row>
        <row r="159">
          <cell r="A159" t="str">
            <v>직선접속재150㎟</v>
          </cell>
          <cell r="B159" t="str">
            <v>직선접속재</v>
          </cell>
          <cell r="C159" t="str">
            <v>150㎟</v>
          </cell>
          <cell r="D159" t="str">
            <v>EA</v>
          </cell>
          <cell r="E159">
            <v>10300</v>
          </cell>
          <cell r="F159">
            <v>862</v>
          </cell>
          <cell r="G159">
            <v>10300</v>
          </cell>
          <cell r="H159">
            <v>926</v>
          </cell>
          <cell r="K159">
            <v>8240</v>
          </cell>
          <cell r="M159">
            <v>8240</v>
          </cell>
        </row>
        <row r="160">
          <cell r="A160" t="str">
            <v>직선접속재200㎟</v>
          </cell>
          <cell r="B160" t="str">
            <v>직선접속재</v>
          </cell>
          <cell r="C160" t="str">
            <v>200㎟</v>
          </cell>
          <cell r="D160" t="str">
            <v>EA</v>
          </cell>
          <cell r="E160">
            <v>14800</v>
          </cell>
          <cell r="F160">
            <v>862</v>
          </cell>
          <cell r="G160">
            <v>14800</v>
          </cell>
          <cell r="H160">
            <v>926</v>
          </cell>
          <cell r="K160">
            <v>11840</v>
          </cell>
          <cell r="M160">
            <v>11840</v>
          </cell>
        </row>
        <row r="161">
          <cell r="A161" t="str">
            <v>직선접속재250㎟</v>
          </cell>
          <cell r="B161" t="str">
            <v>직선접속재</v>
          </cell>
          <cell r="C161" t="str">
            <v>250㎟</v>
          </cell>
          <cell r="D161" t="str">
            <v>EA</v>
          </cell>
          <cell r="E161">
            <v>14800</v>
          </cell>
          <cell r="F161">
            <v>862</v>
          </cell>
          <cell r="G161">
            <v>14800</v>
          </cell>
          <cell r="H161">
            <v>926</v>
          </cell>
          <cell r="K161">
            <v>11840</v>
          </cell>
          <cell r="M161">
            <v>11840</v>
          </cell>
        </row>
        <row r="162">
          <cell r="A162" t="str">
            <v>압착단자5.5㎟/1C</v>
          </cell>
          <cell r="B162" t="str">
            <v>압착단자</v>
          </cell>
          <cell r="C162" t="str">
            <v>5.5㎟/1C</v>
          </cell>
          <cell r="D162" t="str">
            <v>EA</v>
          </cell>
          <cell r="E162">
            <v>32</v>
          </cell>
          <cell r="F162">
            <v>864</v>
          </cell>
          <cell r="G162">
            <v>60</v>
          </cell>
          <cell r="H162">
            <v>925</v>
          </cell>
          <cell r="K162">
            <v>26</v>
          </cell>
          <cell r="M162">
            <v>26</v>
          </cell>
        </row>
        <row r="163">
          <cell r="A163" t="str">
            <v>압착단자8㎟/1C</v>
          </cell>
          <cell r="B163" t="str">
            <v>압착단자</v>
          </cell>
          <cell r="C163" t="str">
            <v>8㎟/1C</v>
          </cell>
          <cell r="D163" t="str">
            <v>EA</v>
          </cell>
          <cell r="E163">
            <v>35</v>
          </cell>
          <cell r="F163">
            <v>864</v>
          </cell>
          <cell r="G163">
            <v>150</v>
          </cell>
          <cell r="H163">
            <v>925</v>
          </cell>
          <cell r="I163">
            <v>25</v>
          </cell>
          <cell r="K163">
            <v>25</v>
          </cell>
          <cell r="M163">
            <v>25</v>
          </cell>
        </row>
        <row r="164">
          <cell r="A164" t="str">
            <v>압착단자14㎟/1C</v>
          </cell>
          <cell r="B164" t="str">
            <v>압착단자</v>
          </cell>
          <cell r="C164" t="str">
            <v>14㎟/1C</v>
          </cell>
          <cell r="D164" t="str">
            <v>EA</v>
          </cell>
          <cell r="E164">
            <v>68</v>
          </cell>
          <cell r="F164">
            <v>864</v>
          </cell>
          <cell r="G164">
            <v>188</v>
          </cell>
          <cell r="H164">
            <v>925</v>
          </cell>
          <cell r="I164">
            <v>42</v>
          </cell>
          <cell r="K164">
            <v>42</v>
          </cell>
          <cell r="M164">
            <v>42</v>
          </cell>
        </row>
        <row r="165">
          <cell r="A165" t="str">
            <v>압착단자22㎟/1C</v>
          </cell>
          <cell r="B165" t="str">
            <v>압착단자</v>
          </cell>
          <cell r="C165" t="str">
            <v>22㎟/1C</v>
          </cell>
          <cell r="D165" t="str">
            <v>EA</v>
          </cell>
          <cell r="E165">
            <v>88</v>
          </cell>
          <cell r="F165">
            <v>864</v>
          </cell>
          <cell r="G165">
            <v>264</v>
          </cell>
          <cell r="H165">
            <v>925</v>
          </cell>
          <cell r="I165">
            <v>60</v>
          </cell>
          <cell r="K165">
            <v>60</v>
          </cell>
          <cell r="M165">
            <v>60</v>
          </cell>
        </row>
        <row r="166">
          <cell r="A166" t="str">
            <v>압착단자38㎟/1C</v>
          </cell>
          <cell r="B166" t="str">
            <v>압착단자</v>
          </cell>
          <cell r="C166" t="str">
            <v>38㎟/1C</v>
          </cell>
          <cell r="D166" t="str">
            <v>EA</v>
          </cell>
          <cell r="E166">
            <v>134</v>
          </cell>
          <cell r="F166">
            <v>864</v>
          </cell>
          <cell r="G166">
            <v>329</v>
          </cell>
          <cell r="H166">
            <v>925</v>
          </cell>
          <cell r="I166">
            <v>96</v>
          </cell>
          <cell r="K166">
            <v>96</v>
          </cell>
          <cell r="M166">
            <v>96</v>
          </cell>
        </row>
        <row r="167">
          <cell r="A167" t="str">
            <v>압착단자60㎟/1C</v>
          </cell>
          <cell r="B167" t="str">
            <v>압착단자</v>
          </cell>
          <cell r="C167" t="str">
            <v>60㎟/1C</v>
          </cell>
          <cell r="D167" t="str">
            <v>EA</v>
          </cell>
          <cell r="E167">
            <v>230</v>
          </cell>
          <cell r="F167">
            <v>864</v>
          </cell>
          <cell r="G167">
            <v>537</v>
          </cell>
          <cell r="H167">
            <v>925</v>
          </cell>
          <cell r="K167">
            <v>145</v>
          </cell>
          <cell r="M167">
            <v>145</v>
          </cell>
        </row>
        <row r="168">
          <cell r="A168" t="str">
            <v>연결슬리브80C</v>
          </cell>
          <cell r="B168" t="str">
            <v>연결슬리브</v>
          </cell>
          <cell r="C168" t="str">
            <v>80C</v>
          </cell>
          <cell r="D168" t="str">
            <v>EA</v>
          </cell>
          <cell r="E168">
            <v>7200</v>
          </cell>
          <cell r="F168" t="str">
            <v>우본</v>
          </cell>
          <cell r="K168">
            <v>5760</v>
          </cell>
          <cell r="M168">
            <v>5760</v>
          </cell>
        </row>
        <row r="169">
          <cell r="A169" t="str">
            <v>연결슬리브100C</v>
          </cell>
          <cell r="B169" t="str">
            <v>연결슬리브</v>
          </cell>
          <cell r="C169" t="str">
            <v>100C</v>
          </cell>
          <cell r="D169" t="str">
            <v>EA</v>
          </cell>
          <cell r="E169">
            <v>8200</v>
          </cell>
          <cell r="F169" t="str">
            <v>우본</v>
          </cell>
          <cell r="K169">
            <v>6560</v>
          </cell>
          <cell r="M169">
            <v>6560</v>
          </cell>
        </row>
        <row r="170">
          <cell r="A170" t="str">
            <v>박스 커넥터방수 104C</v>
          </cell>
          <cell r="B170" t="str">
            <v>박스 커넥터</v>
          </cell>
          <cell r="C170" t="str">
            <v>방수 104C</v>
          </cell>
          <cell r="D170" t="str">
            <v>EA</v>
          </cell>
          <cell r="E170">
            <v>18050</v>
          </cell>
          <cell r="F170">
            <v>868</v>
          </cell>
          <cell r="G170">
            <v>19000</v>
          </cell>
          <cell r="H170">
            <v>933</v>
          </cell>
          <cell r="I170">
            <v>18050</v>
          </cell>
          <cell r="K170">
            <v>18050</v>
          </cell>
          <cell r="M170">
            <v>18050</v>
          </cell>
        </row>
        <row r="171">
          <cell r="A171" t="str">
            <v>박스 커넥터방수 16C</v>
          </cell>
          <cell r="B171" t="str">
            <v>박스 커넥터</v>
          </cell>
          <cell r="C171" t="str">
            <v>방수 16C</v>
          </cell>
          <cell r="D171" t="str">
            <v>EA</v>
          </cell>
          <cell r="E171">
            <v>880</v>
          </cell>
          <cell r="F171">
            <v>868</v>
          </cell>
          <cell r="G171">
            <v>930</v>
          </cell>
          <cell r="H171">
            <v>933</v>
          </cell>
          <cell r="I171">
            <v>432</v>
          </cell>
          <cell r="K171">
            <v>432</v>
          </cell>
          <cell r="M171">
            <v>432</v>
          </cell>
        </row>
        <row r="172">
          <cell r="A172" t="str">
            <v>박스 커넥터방수 22C</v>
          </cell>
          <cell r="B172" t="str">
            <v>박스 커넥터</v>
          </cell>
          <cell r="C172" t="str">
            <v>방수 22C</v>
          </cell>
          <cell r="D172" t="str">
            <v>EA</v>
          </cell>
          <cell r="E172">
            <v>1120</v>
          </cell>
          <cell r="F172">
            <v>868</v>
          </cell>
          <cell r="G172">
            <v>1180</v>
          </cell>
          <cell r="H172">
            <v>933</v>
          </cell>
          <cell r="I172">
            <v>512</v>
          </cell>
          <cell r="K172">
            <v>512</v>
          </cell>
          <cell r="M172">
            <v>512</v>
          </cell>
        </row>
        <row r="173">
          <cell r="A173" t="str">
            <v>박스 커넥터방수 28C</v>
          </cell>
          <cell r="B173" t="str">
            <v>박스 커넥터</v>
          </cell>
          <cell r="C173" t="str">
            <v>방수 28C</v>
          </cell>
          <cell r="D173" t="str">
            <v>EA</v>
          </cell>
          <cell r="E173">
            <v>1880</v>
          </cell>
          <cell r="F173">
            <v>868</v>
          </cell>
          <cell r="G173">
            <v>1980</v>
          </cell>
          <cell r="H173">
            <v>933</v>
          </cell>
          <cell r="I173">
            <v>760</v>
          </cell>
          <cell r="K173">
            <v>760</v>
          </cell>
          <cell r="M173">
            <v>760</v>
          </cell>
        </row>
        <row r="174">
          <cell r="A174" t="str">
            <v>박스 커넥터방수 36C</v>
          </cell>
          <cell r="B174" t="str">
            <v>박스 커넥터</v>
          </cell>
          <cell r="C174" t="str">
            <v>방수 36C</v>
          </cell>
          <cell r="D174" t="str">
            <v>EA</v>
          </cell>
          <cell r="E174">
            <v>2450</v>
          </cell>
          <cell r="F174">
            <v>868</v>
          </cell>
          <cell r="G174">
            <v>2580</v>
          </cell>
          <cell r="H174">
            <v>933</v>
          </cell>
          <cell r="I174">
            <v>1000</v>
          </cell>
          <cell r="K174">
            <v>1000</v>
          </cell>
          <cell r="M174">
            <v>1000</v>
          </cell>
        </row>
        <row r="175">
          <cell r="A175" t="str">
            <v>박스 커넥터방수 42C</v>
          </cell>
          <cell r="B175" t="str">
            <v>박스 커넥터</v>
          </cell>
          <cell r="C175" t="str">
            <v>방수 42C</v>
          </cell>
          <cell r="D175" t="str">
            <v>EA</v>
          </cell>
          <cell r="E175">
            <v>3140</v>
          </cell>
          <cell r="F175">
            <v>868</v>
          </cell>
          <cell r="G175">
            <v>3300</v>
          </cell>
          <cell r="H175">
            <v>933</v>
          </cell>
          <cell r="I175">
            <v>1320</v>
          </cell>
          <cell r="K175">
            <v>1320</v>
          </cell>
          <cell r="M175">
            <v>1320</v>
          </cell>
        </row>
        <row r="176">
          <cell r="A176" t="str">
            <v>박스 커넥터방수 54C</v>
          </cell>
          <cell r="B176" t="str">
            <v>박스 커넥터</v>
          </cell>
          <cell r="C176" t="str">
            <v>방수 54C</v>
          </cell>
          <cell r="D176" t="str">
            <v>EA</v>
          </cell>
          <cell r="E176">
            <v>4470</v>
          </cell>
          <cell r="F176">
            <v>868</v>
          </cell>
          <cell r="G176">
            <v>4700</v>
          </cell>
          <cell r="H176">
            <v>933</v>
          </cell>
          <cell r="I176">
            <v>2200</v>
          </cell>
          <cell r="K176">
            <v>2200</v>
          </cell>
          <cell r="M176">
            <v>2200</v>
          </cell>
        </row>
        <row r="177">
          <cell r="A177" t="str">
            <v>박스 커넥터방수 70C</v>
          </cell>
          <cell r="B177" t="str">
            <v>박스 커넥터</v>
          </cell>
          <cell r="C177" t="str">
            <v>방수 70C</v>
          </cell>
          <cell r="D177" t="str">
            <v>EA</v>
          </cell>
          <cell r="E177">
            <v>7220</v>
          </cell>
          <cell r="F177">
            <v>868</v>
          </cell>
          <cell r="G177">
            <v>7600</v>
          </cell>
          <cell r="H177">
            <v>933</v>
          </cell>
          <cell r="I177">
            <v>4160</v>
          </cell>
          <cell r="K177">
            <v>4160</v>
          </cell>
          <cell r="M177">
            <v>4160</v>
          </cell>
        </row>
        <row r="178">
          <cell r="A178" t="str">
            <v>박스 커넥터방수 82C</v>
          </cell>
          <cell r="B178" t="str">
            <v>박스 커넥터</v>
          </cell>
          <cell r="C178" t="str">
            <v>방수 82C</v>
          </cell>
          <cell r="D178" t="str">
            <v>EA</v>
          </cell>
          <cell r="E178">
            <v>10450</v>
          </cell>
          <cell r="F178">
            <v>868</v>
          </cell>
          <cell r="G178">
            <v>11000</v>
          </cell>
          <cell r="H178">
            <v>933</v>
          </cell>
          <cell r="I178">
            <v>10450</v>
          </cell>
          <cell r="K178">
            <v>10450</v>
          </cell>
          <cell r="M178">
            <v>10450</v>
          </cell>
        </row>
        <row r="179">
          <cell r="A179" t="str">
            <v>박스 커넥터비방수 16C</v>
          </cell>
          <cell r="B179" t="str">
            <v>박스 커넥터</v>
          </cell>
          <cell r="C179" t="str">
            <v>비방수 16C</v>
          </cell>
          <cell r="D179" t="str">
            <v>EA</v>
          </cell>
          <cell r="E179">
            <v>360</v>
          </cell>
          <cell r="F179">
            <v>868</v>
          </cell>
          <cell r="G179">
            <v>380</v>
          </cell>
          <cell r="H179">
            <v>933</v>
          </cell>
          <cell r="I179">
            <v>260</v>
          </cell>
          <cell r="K179">
            <v>260</v>
          </cell>
          <cell r="M179">
            <v>260</v>
          </cell>
        </row>
        <row r="180">
          <cell r="A180" t="str">
            <v>박스 커넥터비방수 22C</v>
          </cell>
          <cell r="B180" t="str">
            <v>박스 커넥터</v>
          </cell>
          <cell r="C180" t="str">
            <v>비방수 22C</v>
          </cell>
          <cell r="D180" t="str">
            <v>EA</v>
          </cell>
          <cell r="E180">
            <v>500</v>
          </cell>
          <cell r="F180">
            <v>868</v>
          </cell>
          <cell r="G180">
            <v>530</v>
          </cell>
          <cell r="H180">
            <v>933</v>
          </cell>
          <cell r="K180">
            <v>376</v>
          </cell>
          <cell r="M180">
            <v>376</v>
          </cell>
        </row>
        <row r="181">
          <cell r="A181" t="str">
            <v>박스 커넥터비방수 28C</v>
          </cell>
          <cell r="B181" t="str">
            <v>박스 커넥터</v>
          </cell>
          <cell r="C181" t="str">
            <v>비방수 28C</v>
          </cell>
          <cell r="D181" t="str">
            <v>EA</v>
          </cell>
          <cell r="E181">
            <v>950</v>
          </cell>
          <cell r="F181">
            <v>868</v>
          </cell>
          <cell r="G181">
            <v>1000</v>
          </cell>
          <cell r="H181">
            <v>933</v>
          </cell>
          <cell r="I181">
            <v>720</v>
          </cell>
          <cell r="K181">
            <v>720</v>
          </cell>
          <cell r="M181">
            <v>720</v>
          </cell>
        </row>
        <row r="182">
          <cell r="A182" t="str">
            <v>박스 커넥터비방수 36C</v>
          </cell>
          <cell r="B182" t="str">
            <v>박스 커넥터</v>
          </cell>
          <cell r="C182" t="str">
            <v>비방수 36C</v>
          </cell>
          <cell r="D182" t="str">
            <v>EA</v>
          </cell>
          <cell r="E182">
            <v>1140</v>
          </cell>
          <cell r="F182">
            <v>868</v>
          </cell>
          <cell r="G182">
            <v>1200</v>
          </cell>
          <cell r="H182">
            <v>933</v>
          </cell>
          <cell r="K182">
            <v>855</v>
          </cell>
          <cell r="M182">
            <v>855</v>
          </cell>
        </row>
        <row r="183">
          <cell r="A183" t="str">
            <v>JOINT BOX100 x 100 x 100</v>
          </cell>
          <cell r="B183" t="str">
            <v>JOINT BOX</v>
          </cell>
          <cell r="C183" t="str">
            <v>100 x 100 x 100</v>
          </cell>
          <cell r="D183" t="str">
            <v>EA</v>
          </cell>
          <cell r="E183">
            <v>1750</v>
          </cell>
          <cell r="F183">
            <v>872</v>
          </cell>
          <cell r="G183">
            <v>1650</v>
          </cell>
          <cell r="H183">
            <v>945</v>
          </cell>
          <cell r="I183">
            <v>1320</v>
          </cell>
          <cell r="K183">
            <v>1320</v>
          </cell>
          <cell r="M183">
            <v>1320</v>
          </cell>
        </row>
        <row r="184">
          <cell r="A184" t="str">
            <v>JOINT BOX100 x 100 x 50</v>
          </cell>
          <cell r="B184" t="str">
            <v>JOINT BOX</v>
          </cell>
          <cell r="C184" t="str">
            <v>100 x 100 x 50</v>
          </cell>
          <cell r="D184" t="str">
            <v>EA</v>
          </cell>
          <cell r="E184">
            <v>1400</v>
          </cell>
          <cell r="F184">
            <v>872</v>
          </cell>
          <cell r="G184">
            <v>1400</v>
          </cell>
          <cell r="H184">
            <v>945</v>
          </cell>
          <cell r="I184">
            <v>1120</v>
          </cell>
          <cell r="K184">
            <v>1120</v>
          </cell>
          <cell r="M184">
            <v>1120</v>
          </cell>
        </row>
        <row r="185">
          <cell r="A185" t="str">
            <v>OUTLET 박스8각 54mm</v>
          </cell>
          <cell r="B185" t="str">
            <v>OUTLET 박스</v>
          </cell>
          <cell r="C185" t="str">
            <v>8각 54mm</v>
          </cell>
          <cell r="D185" t="str">
            <v>EA</v>
          </cell>
          <cell r="E185">
            <v>714</v>
          </cell>
          <cell r="F185">
            <v>871</v>
          </cell>
          <cell r="G185">
            <v>680</v>
          </cell>
          <cell r="H185">
            <v>944</v>
          </cell>
          <cell r="I185">
            <v>360</v>
          </cell>
          <cell r="K185">
            <v>360</v>
          </cell>
          <cell r="M185">
            <v>360</v>
          </cell>
        </row>
        <row r="186">
          <cell r="A186" t="str">
            <v>OUTLET 박스중형 4각 54mm</v>
          </cell>
          <cell r="B186" t="str">
            <v>OUTLET 박스</v>
          </cell>
          <cell r="C186" t="str">
            <v>중형 4각 54mm</v>
          </cell>
          <cell r="D186" t="str">
            <v>EA</v>
          </cell>
          <cell r="E186">
            <v>832</v>
          </cell>
          <cell r="F186">
            <v>871</v>
          </cell>
          <cell r="I186">
            <v>666</v>
          </cell>
          <cell r="K186">
            <v>666</v>
          </cell>
          <cell r="M186">
            <v>666</v>
          </cell>
        </row>
        <row r="187">
          <cell r="A187" t="str">
            <v>박스커버1개용 54mm</v>
          </cell>
          <cell r="B187" t="str">
            <v>박스커버</v>
          </cell>
          <cell r="C187" t="str">
            <v>1개용 54mm</v>
          </cell>
          <cell r="D187" t="str">
            <v>EA</v>
          </cell>
          <cell r="E187">
            <v>211</v>
          </cell>
          <cell r="F187">
            <v>871</v>
          </cell>
          <cell r="G187">
            <v>200</v>
          </cell>
          <cell r="H187">
            <v>944</v>
          </cell>
          <cell r="I187">
            <v>152</v>
          </cell>
          <cell r="K187">
            <v>152</v>
          </cell>
          <cell r="M187">
            <v>152</v>
          </cell>
        </row>
        <row r="188">
          <cell r="A188" t="str">
            <v>박스커버2개용 54mm</v>
          </cell>
          <cell r="B188" t="str">
            <v>박스커버</v>
          </cell>
          <cell r="C188" t="str">
            <v>2개용 54mm</v>
          </cell>
          <cell r="D188" t="str">
            <v>EA</v>
          </cell>
          <cell r="E188">
            <v>211</v>
          </cell>
          <cell r="F188">
            <v>871</v>
          </cell>
          <cell r="G188">
            <v>200</v>
          </cell>
          <cell r="H188">
            <v>944</v>
          </cell>
          <cell r="I188">
            <v>152</v>
          </cell>
          <cell r="K188">
            <v>152</v>
          </cell>
          <cell r="M188">
            <v>152</v>
          </cell>
        </row>
        <row r="189">
          <cell r="A189" t="str">
            <v>박스커버4각, 평형</v>
          </cell>
          <cell r="B189" t="str">
            <v>박스커버</v>
          </cell>
          <cell r="C189" t="str">
            <v>4각, 평형</v>
          </cell>
          <cell r="D189" t="str">
            <v>EA</v>
          </cell>
          <cell r="E189">
            <v>238</v>
          </cell>
          <cell r="F189">
            <v>871</v>
          </cell>
          <cell r="I189">
            <v>120</v>
          </cell>
          <cell r="K189">
            <v>120</v>
          </cell>
          <cell r="M189">
            <v>120</v>
          </cell>
        </row>
        <row r="190">
          <cell r="A190" t="str">
            <v>박스커버8각, 평형</v>
          </cell>
          <cell r="B190" t="str">
            <v>박스커버</v>
          </cell>
          <cell r="C190" t="str">
            <v>8각, 평형</v>
          </cell>
          <cell r="D190" t="str">
            <v>EA</v>
          </cell>
          <cell r="E190">
            <v>238</v>
          </cell>
          <cell r="F190">
            <v>871</v>
          </cell>
          <cell r="G190">
            <v>150</v>
          </cell>
          <cell r="H190">
            <v>944</v>
          </cell>
          <cell r="I190">
            <v>120</v>
          </cell>
          <cell r="K190">
            <v>120</v>
          </cell>
          <cell r="M190">
            <v>120</v>
          </cell>
        </row>
        <row r="191">
          <cell r="A191" t="str">
            <v>스위치 박스1개용 54mm</v>
          </cell>
          <cell r="B191" t="str">
            <v>스위치 박스</v>
          </cell>
          <cell r="C191" t="str">
            <v>1개용 54mm</v>
          </cell>
          <cell r="D191" t="str">
            <v>EA</v>
          </cell>
          <cell r="E191">
            <v>668</v>
          </cell>
          <cell r="F191">
            <v>871</v>
          </cell>
          <cell r="G191">
            <v>650</v>
          </cell>
          <cell r="H191">
            <v>944</v>
          </cell>
          <cell r="I191">
            <v>328</v>
          </cell>
          <cell r="K191">
            <v>328</v>
          </cell>
          <cell r="M191">
            <v>328</v>
          </cell>
        </row>
        <row r="192">
          <cell r="A192" t="str">
            <v>스위치 박스2개용 54mm</v>
          </cell>
          <cell r="B192" t="str">
            <v>스위치 박스</v>
          </cell>
          <cell r="C192" t="str">
            <v>2개용 54mm</v>
          </cell>
          <cell r="D192" t="str">
            <v>EA</v>
          </cell>
          <cell r="E192">
            <v>701</v>
          </cell>
          <cell r="F192">
            <v>871</v>
          </cell>
          <cell r="G192">
            <v>840</v>
          </cell>
          <cell r="H192">
            <v>944</v>
          </cell>
          <cell r="I192">
            <v>701</v>
          </cell>
          <cell r="K192">
            <v>701</v>
          </cell>
          <cell r="M192">
            <v>701</v>
          </cell>
        </row>
        <row r="193">
          <cell r="A193" t="str">
            <v>풀박스100 x 100 x 100</v>
          </cell>
          <cell r="B193" t="str">
            <v>풀박스</v>
          </cell>
          <cell r="C193" t="str">
            <v>100 x 100 x 100</v>
          </cell>
          <cell r="D193" t="str">
            <v>EA</v>
          </cell>
          <cell r="E193">
            <v>1750</v>
          </cell>
          <cell r="F193">
            <v>872</v>
          </cell>
          <cell r="G193">
            <v>1650</v>
          </cell>
          <cell r="H193">
            <v>945</v>
          </cell>
          <cell r="I193">
            <v>1320</v>
          </cell>
          <cell r="K193">
            <v>1320</v>
          </cell>
          <cell r="M193">
            <v>1320</v>
          </cell>
        </row>
        <row r="194">
          <cell r="A194" t="str">
            <v>풀박스100 x 100 x 50</v>
          </cell>
          <cell r="B194" t="str">
            <v>풀박스</v>
          </cell>
          <cell r="C194" t="str">
            <v>100 x 100 x 50</v>
          </cell>
          <cell r="D194" t="str">
            <v>EA</v>
          </cell>
          <cell r="E194">
            <v>1400</v>
          </cell>
          <cell r="F194">
            <v>872</v>
          </cell>
          <cell r="G194">
            <v>1400</v>
          </cell>
          <cell r="H194">
            <v>945</v>
          </cell>
          <cell r="I194">
            <v>1120</v>
          </cell>
          <cell r="K194">
            <v>1120</v>
          </cell>
          <cell r="M194">
            <v>1120</v>
          </cell>
        </row>
        <row r="195">
          <cell r="A195" t="str">
            <v>풀박스150 x 150 x 100</v>
          </cell>
          <cell r="B195" t="str">
            <v>풀박스</v>
          </cell>
          <cell r="C195" t="str">
            <v>150 x 150 x 100</v>
          </cell>
          <cell r="D195" t="str">
            <v>EA</v>
          </cell>
          <cell r="E195">
            <v>2350</v>
          </cell>
          <cell r="F195">
            <v>872</v>
          </cell>
          <cell r="G195">
            <v>2300</v>
          </cell>
          <cell r="H195">
            <v>945</v>
          </cell>
          <cell r="K195">
            <v>1760</v>
          </cell>
          <cell r="M195">
            <v>1760</v>
          </cell>
        </row>
        <row r="196">
          <cell r="A196" t="str">
            <v>풀박스200 x 200 x 100</v>
          </cell>
          <cell r="B196" t="str">
            <v>풀박스</v>
          </cell>
          <cell r="C196" t="str">
            <v>200 x 200 x 100</v>
          </cell>
          <cell r="D196" t="str">
            <v>EA</v>
          </cell>
          <cell r="E196">
            <v>3440</v>
          </cell>
          <cell r="F196">
            <v>872</v>
          </cell>
          <cell r="G196">
            <v>3230</v>
          </cell>
          <cell r="H196">
            <v>945</v>
          </cell>
          <cell r="I196">
            <v>3536</v>
          </cell>
          <cell r="K196">
            <v>2432</v>
          </cell>
          <cell r="M196">
            <v>2432</v>
          </cell>
        </row>
        <row r="197">
          <cell r="A197" t="str">
            <v>풀박스200 x 200 x 150</v>
          </cell>
          <cell r="B197" t="str">
            <v>풀박스</v>
          </cell>
          <cell r="C197" t="str">
            <v>200 x 200 x 150</v>
          </cell>
          <cell r="D197" t="str">
            <v>EA</v>
          </cell>
          <cell r="E197">
            <v>4200</v>
          </cell>
          <cell r="F197">
            <v>872</v>
          </cell>
          <cell r="G197">
            <v>4150</v>
          </cell>
          <cell r="K197">
            <v>3320</v>
          </cell>
          <cell r="M197">
            <v>3320</v>
          </cell>
        </row>
        <row r="198">
          <cell r="A198" t="str">
            <v>풀박스200 x 200 x 200</v>
          </cell>
          <cell r="B198" t="str">
            <v>풀박스</v>
          </cell>
          <cell r="C198" t="str">
            <v>200 x 200 x 200</v>
          </cell>
          <cell r="D198" t="str">
            <v>EA</v>
          </cell>
          <cell r="E198">
            <v>4850</v>
          </cell>
          <cell r="F198">
            <v>872</v>
          </cell>
          <cell r="G198">
            <v>4420</v>
          </cell>
          <cell r="H198">
            <v>946</v>
          </cell>
          <cell r="I198">
            <v>3536</v>
          </cell>
          <cell r="K198">
            <v>3315</v>
          </cell>
          <cell r="M198">
            <v>3315</v>
          </cell>
        </row>
        <row r="199">
          <cell r="A199" t="str">
            <v>풀박스250 x 250 x 100</v>
          </cell>
          <cell r="B199" t="str">
            <v>풀박스</v>
          </cell>
          <cell r="C199" t="str">
            <v>250 x 250 x 100</v>
          </cell>
          <cell r="D199" t="str">
            <v>EA</v>
          </cell>
          <cell r="E199">
            <v>5115</v>
          </cell>
          <cell r="F199">
            <v>872</v>
          </cell>
          <cell r="G199">
            <v>4370</v>
          </cell>
          <cell r="H199">
            <v>945</v>
          </cell>
          <cell r="I199">
            <v>3496</v>
          </cell>
          <cell r="K199">
            <v>4936</v>
          </cell>
          <cell r="M199">
            <v>3496</v>
          </cell>
        </row>
        <row r="200">
          <cell r="A200" t="str">
            <v>풀박스250 x 250 x 150</v>
          </cell>
          <cell r="B200" t="str">
            <v>풀박스</v>
          </cell>
          <cell r="C200" t="str">
            <v>250 x 250 x 150</v>
          </cell>
          <cell r="D200" t="str">
            <v>EA</v>
          </cell>
          <cell r="E200">
            <v>5410</v>
          </cell>
          <cell r="F200">
            <v>872</v>
          </cell>
          <cell r="G200">
            <v>5350</v>
          </cell>
          <cell r="H200">
            <v>945</v>
          </cell>
          <cell r="I200">
            <v>4280</v>
          </cell>
          <cell r="K200">
            <v>4280</v>
          </cell>
          <cell r="M200">
            <v>4280</v>
          </cell>
        </row>
        <row r="201">
          <cell r="A201" t="str">
            <v>풀박스300 x 300 x 100</v>
          </cell>
          <cell r="B201" t="str">
            <v>풀박스</v>
          </cell>
          <cell r="C201" t="str">
            <v>300 x 300 x 100</v>
          </cell>
          <cell r="D201" t="str">
            <v>EA</v>
          </cell>
          <cell r="E201">
            <v>5410</v>
          </cell>
          <cell r="F201">
            <v>872</v>
          </cell>
          <cell r="G201">
            <v>5350</v>
          </cell>
          <cell r="H201">
            <v>945</v>
          </cell>
          <cell r="I201">
            <v>4280</v>
          </cell>
          <cell r="K201">
            <v>4280</v>
          </cell>
          <cell r="M201">
            <v>4280</v>
          </cell>
        </row>
        <row r="202">
          <cell r="A202" t="str">
            <v>풀박스300 x 300 x 150</v>
          </cell>
          <cell r="B202" t="str">
            <v>풀박스</v>
          </cell>
          <cell r="C202" t="str">
            <v>300 x 300 x 150</v>
          </cell>
          <cell r="D202" t="str">
            <v>EA</v>
          </cell>
          <cell r="E202">
            <v>6200</v>
          </cell>
          <cell r="F202">
            <v>872</v>
          </cell>
          <cell r="G202">
            <v>6030</v>
          </cell>
          <cell r="H202">
            <v>945</v>
          </cell>
          <cell r="I202">
            <v>4280</v>
          </cell>
          <cell r="K202">
            <v>4280</v>
          </cell>
          <cell r="M202">
            <v>4280</v>
          </cell>
        </row>
        <row r="203">
          <cell r="A203" t="str">
            <v>풀박스300 x 300 x 200</v>
          </cell>
          <cell r="B203" t="str">
            <v>풀박스</v>
          </cell>
          <cell r="C203" t="str">
            <v>300 x 300 x 200</v>
          </cell>
          <cell r="D203" t="str">
            <v>EA</v>
          </cell>
          <cell r="E203">
            <v>9110</v>
          </cell>
          <cell r="F203">
            <v>872</v>
          </cell>
          <cell r="G203">
            <v>7100</v>
          </cell>
          <cell r="H203">
            <v>945</v>
          </cell>
          <cell r="K203">
            <v>5440</v>
          </cell>
          <cell r="M203">
            <v>5440</v>
          </cell>
        </row>
        <row r="204">
          <cell r="A204" t="str">
            <v>풀박스400 x 400 x 100</v>
          </cell>
          <cell r="B204" t="str">
            <v>풀박스</v>
          </cell>
          <cell r="C204" t="str">
            <v>400 x 400 x 100</v>
          </cell>
          <cell r="D204" t="str">
            <v>EA</v>
          </cell>
          <cell r="E204">
            <v>9850</v>
          </cell>
          <cell r="F204">
            <v>872</v>
          </cell>
          <cell r="G204">
            <v>9600</v>
          </cell>
          <cell r="H204">
            <v>945</v>
          </cell>
          <cell r="I204">
            <v>7680</v>
          </cell>
          <cell r="K204">
            <v>7680</v>
          </cell>
          <cell r="M204">
            <v>7680</v>
          </cell>
        </row>
        <row r="205">
          <cell r="A205" t="str">
            <v>풀박스400 x 400 x 150</v>
          </cell>
          <cell r="B205" t="str">
            <v>풀박스</v>
          </cell>
          <cell r="C205" t="str">
            <v>400 x 400 x 150</v>
          </cell>
          <cell r="D205" t="str">
            <v>EA</v>
          </cell>
          <cell r="E205">
            <v>9850</v>
          </cell>
          <cell r="F205">
            <v>872</v>
          </cell>
          <cell r="G205">
            <v>9600</v>
          </cell>
          <cell r="H205">
            <v>945</v>
          </cell>
          <cell r="I205">
            <v>7680</v>
          </cell>
          <cell r="K205">
            <v>7680</v>
          </cell>
          <cell r="M205">
            <v>7680</v>
          </cell>
        </row>
        <row r="206">
          <cell r="A206" t="str">
            <v>풀박스400 x 400 x 300</v>
          </cell>
          <cell r="B206" t="str">
            <v>풀박스</v>
          </cell>
          <cell r="C206" t="str">
            <v>400 x 400 x 300</v>
          </cell>
          <cell r="D206" t="str">
            <v>EA</v>
          </cell>
          <cell r="E206">
            <v>13050</v>
          </cell>
          <cell r="F206">
            <v>872</v>
          </cell>
          <cell r="G206">
            <v>12830</v>
          </cell>
          <cell r="H206">
            <v>945</v>
          </cell>
          <cell r="I206">
            <v>10264</v>
          </cell>
          <cell r="K206">
            <v>10264</v>
          </cell>
          <cell r="M206">
            <v>10264</v>
          </cell>
        </row>
        <row r="207">
          <cell r="A207" t="str">
            <v>풀박스400 x 400 x 200</v>
          </cell>
          <cell r="B207" t="str">
            <v>풀박스</v>
          </cell>
          <cell r="C207" t="str">
            <v>400 x 400 x 200</v>
          </cell>
          <cell r="D207" t="str">
            <v>EA</v>
          </cell>
          <cell r="E207">
            <v>13050</v>
          </cell>
          <cell r="F207">
            <v>872</v>
          </cell>
          <cell r="G207">
            <v>12830</v>
          </cell>
          <cell r="H207">
            <v>945</v>
          </cell>
          <cell r="I207">
            <v>10264</v>
          </cell>
          <cell r="K207">
            <v>8327</v>
          </cell>
          <cell r="M207">
            <v>8327</v>
          </cell>
        </row>
        <row r="208">
          <cell r="A208" t="str">
            <v>풀박스400 x 400 x 400</v>
          </cell>
          <cell r="B208" t="str">
            <v>풀박스</v>
          </cell>
          <cell r="C208" t="str">
            <v>400 x 400 x 400</v>
          </cell>
          <cell r="D208" t="str">
            <v>EA</v>
          </cell>
          <cell r="E208">
            <v>13050</v>
          </cell>
          <cell r="F208">
            <v>872</v>
          </cell>
          <cell r="G208">
            <v>12830</v>
          </cell>
          <cell r="H208">
            <v>945</v>
          </cell>
          <cell r="I208">
            <v>10264</v>
          </cell>
          <cell r="K208">
            <v>10264</v>
          </cell>
          <cell r="M208">
            <v>10264</v>
          </cell>
        </row>
        <row r="209">
          <cell r="A209" t="str">
            <v>풀박스500 x 500 x 100</v>
          </cell>
          <cell r="B209" t="str">
            <v>풀박스</v>
          </cell>
          <cell r="C209" t="str">
            <v>500 x 500 x 100</v>
          </cell>
          <cell r="D209" t="str">
            <v>EA</v>
          </cell>
          <cell r="E209">
            <v>19100</v>
          </cell>
          <cell r="F209">
            <v>872</v>
          </cell>
          <cell r="G209">
            <v>17680</v>
          </cell>
          <cell r="H209">
            <v>945</v>
          </cell>
          <cell r="I209">
            <v>14144</v>
          </cell>
          <cell r="K209">
            <v>14144</v>
          </cell>
          <cell r="M209">
            <v>14144</v>
          </cell>
        </row>
        <row r="210">
          <cell r="A210" t="str">
            <v>풀박스500 x 500 x 200</v>
          </cell>
          <cell r="B210" t="str">
            <v>풀박스</v>
          </cell>
          <cell r="C210" t="str">
            <v>500 x 500 x 200</v>
          </cell>
          <cell r="D210" t="str">
            <v>EA</v>
          </cell>
          <cell r="E210">
            <v>19100</v>
          </cell>
          <cell r="F210">
            <v>872</v>
          </cell>
          <cell r="G210">
            <v>17680</v>
          </cell>
          <cell r="H210">
            <v>945</v>
          </cell>
          <cell r="I210">
            <v>14144</v>
          </cell>
          <cell r="K210">
            <v>14144</v>
          </cell>
          <cell r="M210">
            <v>14144</v>
          </cell>
        </row>
        <row r="211">
          <cell r="A211" t="str">
            <v>풀박스500 x 500 x 300</v>
          </cell>
          <cell r="B211" t="str">
            <v>풀박스</v>
          </cell>
          <cell r="C211" t="str">
            <v>500 x 500 x 300</v>
          </cell>
          <cell r="D211" t="str">
            <v>EA</v>
          </cell>
          <cell r="E211">
            <v>22800</v>
          </cell>
          <cell r="F211">
            <v>872</v>
          </cell>
          <cell r="G211">
            <v>23000</v>
          </cell>
          <cell r="H211">
            <v>945</v>
          </cell>
          <cell r="K211">
            <v>16788</v>
          </cell>
          <cell r="M211">
            <v>16788</v>
          </cell>
        </row>
        <row r="212">
          <cell r="A212" t="str">
            <v>풀박스500 x 500 x 400</v>
          </cell>
          <cell r="B212" t="str">
            <v>풀박스</v>
          </cell>
          <cell r="C212" t="str">
            <v>500 x 500 x 400</v>
          </cell>
          <cell r="D212" t="str">
            <v>EA</v>
          </cell>
          <cell r="E212">
            <v>28500</v>
          </cell>
          <cell r="F212">
            <v>872</v>
          </cell>
          <cell r="K212">
            <v>22800</v>
          </cell>
          <cell r="M212">
            <v>22800</v>
          </cell>
        </row>
        <row r="213">
          <cell r="A213" t="str">
            <v>풀박스500 x 500 x 500</v>
          </cell>
          <cell r="B213" t="str">
            <v>풀박스</v>
          </cell>
          <cell r="C213" t="str">
            <v>500 x 500 x 500</v>
          </cell>
          <cell r="D213" t="str">
            <v>EA</v>
          </cell>
          <cell r="E213">
            <v>28500</v>
          </cell>
          <cell r="F213">
            <v>872</v>
          </cell>
          <cell r="K213">
            <v>22800</v>
          </cell>
          <cell r="M213">
            <v>22800</v>
          </cell>
        </row>
        <row r="214">
          <cell r="A214" t="str">
            <v>풀박스600 x 600 x 100</v>
          </cell>
          <cell r="B214" t="str">
            <v>풀박스</v>
          </cell>
          <cell r="C214" t="str">
            <v>600 x 600 x 100</v>
          </cell>
          <cell r="D214" t="str">
            <v>EA</v>
          </cell>
          <cell r="E214">
            <v>28500</v>
          </cell>
          <cell r="F214">
            <v>872</v>
          </cell>
          <cell r="K214">
            <v>22800</v>
          </cell>
          <cell r="M214">
            <v>22800</v>
          </cell>
        </row>
        <row r="215">
          <cell r="A215" t="str">
            <v>풀박스600 x 600 x 200</v>
          </cell>
          <cell r="B215" t="str">
            <v>풀박스</v>
          </cell>
          <cell r="C215" t="str">
            <v>600 x 600 x 200</v>
          </cell>
          <cell r="D215" t="str">
            <v>EA</v>
          </cell>
          <cell r="E215">
            <v>28500</v>
          </cell>
          <cell r="F215">
            <v>872</v>
          </cell>
          <cell r="K215">
            <v>22800</v>
          </cell>
          <cell r="M215">
            <v>22800</v>
          </cell>
        </row>
        <row r="216">
          <cell r="A216" t="str">
            <v>풀박스600 x 600 x 300</v>
          </cell>
          <cell r="B216" t="str">
            <v>풀박스</v>
          </cell>
          <cell r="C216" t="str">
            <v>600 x 600 x 300</v>
          </cell>
          <cell r="D216" t="str">
            <v>EA</v>
          </cell>
          <cell r="E216">
            <v>28500</v>
          </cell>
          <cell r="F216">
            <v>872</v>
          </cell>
          <cell r="G216">
            <v>28550</v>
          </cell>
          <cell r="H216">
            <v>947</v>
          </cell>
          <cell r="K216">
            <v>25920</v>
          </cell>
          <cell r="M216">
            <v>25920</v>
          </cell>
        </row>
        <row r="217">
          <cell r="A217" t="str">
            <v>풀박스600 x 600 x 400</v>
          </cell>
          <cell r="B217" t="str">
            <v>풀박스</v>
          </cell>
          <cell r="C217" t="str">
            <v>600 x 600 x 400</v>
          </cell>
          <cell r="D217" t="str">
            <v>EA</v>
          </cell>
          <cell r="E217">
            <v>34800</v>
          </cell>
          <cell r="F217">
            <v>872</v>
          </cell>
          <cell r="K217">
            <v>27800</v>
          </cell>
          <cell r="M217">
            <v>27800</v>
          </cell>
        </row>
        <row r="218">
          <cell r="A218" t="str">
            <v>풀박스600 x 600 x 500</v>
          </cell>
          <cell r="B218" t="str">
            <v>풀박스</v>
          </cell>
          <cell r="C218" t="str">
            <v>600 x 600 x 500</v>
          </cell>
          <cell r="D218" t="str">
            <v>EA</v>
          </cell>
          <cell r="E218">
            <v>34800</v>
          </cell>
          <cell r="F218">
            <v>872</v>
          </cell>
          <cell r="K218">
            <v>27800</v>
          </cell>
          <cell r="M218">
            <v>27800</v>
          </cell>
        </row>
        <row r="219">
          <cell r="A219" t="str">
            <v>풀박스600 x 600 x 600</v>
          </cell>
          <cell r="B219" t="str">
            <v>풀박스</v>
          </cell>
          <cell r="C219" t="str">
            <v>600 x 600 x 600</v>
          </cell>
          <cell r="D219" t="str">
            <v>EA</v>
          </cell>
          <cell r="E219">
            <v>34800</v>
          </cell>
          <cell r="F219">
            <v>872</v>
          </cell>
          <cell r="K219">
            <v>27800</v>
          </cell>
          <cell r="M219">
            <v>27800</v>
          </cell>
        </row>
        <row r="220">
          <cell r="A220" t="str">
            <v>풀박스700 x 700 x 100</v>
          </cell>
          <cell r="B220" t="str">
            <v>풀박스</v>
          </cell>
          <cell r="C220" t="str">
            <v>700 x 700 x 100</v>
          </cell>
          <cell r="D220" t="str">
            <v>EA</v>
          </cell>
          <cell r="E220">
            <v>44200</v>
          </cell>
          <cell r="F220">
            <v>872</v>
          </cell>
          <cell r="K220">
            <v>35300</v>
          </cell>
          <cell r="M220">
            <v>35300</v>
          </cell>
        </row>
        <row r="221">
          <cell r="A221" t="str">
            <v>풀박스700 x 700 x 200</v>
          </cell>
          <cell r="B221" t="str">
            <v>풀박스</v>
          </cell>
          <cell r="C221" t="str">
            <v>700 x 700 x 200</v>
          </cell>
          <cell r="D221" t="str">
            <v>EA</v>
          </cell>
          <cell r="E221">
            <v>44200</v>
          </cell>
          <cell r="F221">
            <v>872</v>
          </cell>
          <cell r="K221">
            <v>35300</v>
          </cell>
          <cell r="M221">
            <v>35300</v>
          </cell>
        </row>
        <row r="222">
          <cell r="A222" t="str">
            <v>풀박스700 x 700 x 300</v>
          </cell>
          <cell r="B222" t="str">
            <v>풀박스</v>
          </cell>
          <cell r="C222" t="str">
            <v>700 x 700 x 300</v>
          </cell>
          <cell r="D222" t="str">
            <v>EA</v>
          </cell>
          <cell r="E222">
            <v>49900</v>
          </cell>
          <cell r="F222">
            <v>872</v>
          </cell>
          <cell r="K222">
            <v>39900</v>
          </cell>
          <cell r="M222">
            <v>39900</v>
          </cell>
        </row>
        <row r="223">
          <cell r="A223" t="str">
            <v>풀박스700 x 700 x 400</v>
          </cell>
          <cell r="B223" t="str">
            <v>풀박스</v>
          </cell>
          <cell r="C223" t="str">
            <v>700 x 700 x 400</v>
          </cell>
          <cell r="D223" t="str">
            <v>EA</v>
          </cell>
          <cell r="E223">
            <v>49900</v>
          </cell>
          <cell r="F223">
            <v>872</v>
          </cell>
          <cell r="K223">
            <v>39900</v>
          </cell>
          <cell r="M223">
            <v>39900</v>
          </cell>
        </row>
        <row r="224">
          <cell r="A224" t="str">
            <v>풀박스700 x 700 x 700</v>
          </cell>
          <cell r="B224" t="str">
            <v>풀박스</v>
          </cell>
          <cell r="C224" t="str">
            <v>700 x 700 x 700</v>
          </cell>
          <cell r="D224" t="str">
            <v>EA</v>
          </cell>
          <cell r="E224">
            <v>68000</v>
          </cell>
          <cell r="F224">
            <v>872</v>
          </cell>
          <cell r="K224">
            <v>54400</v>
          </cell>
          <cell r="M224">
            <v>54400</v>
          </cell>
        </row>
        <row r="225">
          <cell r="A225" t="str">
            <v>풀박스800 x 800 x 100</v>
          </cell>
          <cell r="B225" t="str">
            <v>풀박스</v>
          </cell>
          <cell r="C225" t="str">
            <v>800 x 800 x 100</v>
          </cell>
          <cell r="D225" t="str">
            <v>EA</v>
          </cell>
          <cell r="E225">
            <v>55600</v>
          </cell>
          <cell r="F225">
            <v>872</v>
          </cell>
          <cell r="K225">
            <v>44400</v>
          </cell>
          <cell r="M225">
            <v>44400</v>
          </cell>
        </row>
        <row r="226">
          <cell r="A226" t="str">
            <v>풀박스800 x 800 x 200</v>
          </cell>
          <cell r="B226" t="str">
            <v>풀박스</v>
          </cell>
          <cell r="C226" t="str">
            <v>800 x 800 x 200</v>
          </cell>
          <cell r="D226" t="str">
            <v>EA</v>
          </cell>
          <cell r="E226">
            <v>55600</v>
          </cell>
          <cell r="F226">
            <v>872</v>
          </cell>
          <cell r="K226">
            <v>44400</v>
          </cell>
          <cell r="M226">
            <v>44400</v>
          </cell>
        </row>
        <row r="227">
          <cell r="A227" t="str">
            <v>풀박스800 x 800 x 300</v>
          </cell>
          <cell r="B227" t="str">
            <v>풀박스</v>
          </cell>
          <cell r="C227" t="str">
            <v>800 x 800 x 300</v>
          </cell>
          <cell r="D227" t="str">
            <v>EA</v>
          </cell>
          <cell r="E227">
            <v>55600</v>
          </cell>
          <cell r="F227">
            <v>872</v>
          </cell>
          <cell r="K227">
            <v>44400</v>
          </cell>
          <cell r="M227">
            <v>44400</v>
          </cell>
        </row>
        <row r="228">
          <cell r="A228" t="str">
            <v>풀박스800 x 800 x 400</v>
          </cell>
          <cell r="B228" t="str">
            <v>풀박스</v>
          </cell>
          <cell r="C228" t="str">
            <v>800 x 800 x 400</v>
          </cell>
          <cell r="D228" t="str">
            <v>EA</v>
          </cell>
          <cell r="E228">
            <v>69600</v>
          </cell>
          <cell r="F228">
            <v>872</v>
          </cell>
          <cell r="K228">
            <v>55600</v>
          </cell>
          <cell r="M228">
            <v>55600</v>
          </cell>
        </row>
        <row r="229">
          <cell r="A229" t="str">
            <v>풀박스900 x 900 x 100</v>
          </cell>
          <cell r="B229" t="str">
            <v>풀박스</v>
          </cell>
          <cell r="C229" t="str">
            <v>900 x 900 x 100</v>
          </cell>
          <cell r="D229" t="str">
            <v>EA</v>
          </cell>
          <cell r="E229">
            <v>69600</v>
          </cell>
          <cell r="F229">
            <v>872</v>
          </cell>
          <cell r="K229">
            <v>55600</v>
          </cell>
          <cell r="M229">
            <v>55600</v>
          </cell>
        </row>
        <row r="230">
          <cell r="A230" t="str">
            <v>풀박스900 x 900 x 200</v>
          </cell>
          <cell r="B230" t="str">
            <v>풀박스</v>
          </cell>
          <cell r="C230" t="str">
            <v>900 x 900 x 200</v>
          </cell>
          <cell r="D230" t="str">
            <v>EA</v>
          </cell>
          <cell r="E230">
            <v>69600</v>
          </cell>
          <cell r="F230">
            <v>872</v>
          </cell>
          <cell r="K230">
            <v>55600</v>
          </cell>
          <cell r="M230">
            <v>55600</v>
          </cell>
        </row>
        <row r="231">
          <cell r="A231" t="str">
            <v>풀박스900 x 900 x 300</v>
          </cell>
          <cell r="B231" t="str">
            <v>풀박스</v>
          </cell>
          <cell r="C231" t="str">
            <v>900 x 900 x 300</v>
          </cell>
          <cell r="D231" t="str">
            <v>EA</v>
          </cell>
          <cell r="E231">
            <v>69600</v>
          </cell>
          <cell r="F231">
            <v>872</v>
          </cell>
          <cell r="K231">
            <v>55600</v>
          </cell>
          <cell r="M231">
            <v>55600</v>
          </cell>
        </row>
        <row r="232">
          <cell r="A232" t="str">
            <v>풀박스900 x 900 x 400</v>
          </cell>
          <cell r="B232" t="str">
            <v>풀박스</v>
          </cell>
          <cell r="C232" t="str">
            <v>900 x 900 x 400</v>
          </cell>
          <cell r="D232" t="str">
            <v>EA</v>
          </cell>
          <cell r="E232">
            <v>69600</v>
          </cell>
          <cell r="F232">
            <v>872</v>
          </cell>
          <cell r="K232">
            <v>54600</v>
          </cell>
          <cell r="M232">
            <v>54600</v>
          </cell>
        </row>
        <row r="233">
          <cell r="A233" t="str">
            <v>풀박스900 x 900 x 500</v>
          </cell>
          <cell r="B233" t="str">
            <v>풀박스</v>
          </cell>
          <cell r="C233" t="str">
            <v>900 x 900 x 500</v>
          </cell>
          <cell r="D233" t="str">
            <v>EA</v>
          </cell>
          <cell r="E233">
            <v>78000</v>
          </cell>
          <cell r="F233">
            <v>872</v>
          </cell>
          <cell r="K233">
            <v>62400</v>
          </cell>
          <cell r="M233">
            <v>62400</v>
          </cell>
        </row>
        <row r="234">
          <cell r="A234" t="str">
            <v>풀박스1000 x 1000 x 200</v>
          </cell>
          <cell r="B234" t="str">
            <v>풀박스</v>
          </cell>
          <cell r="C234" t="str">
            <v>1000 x 1000 x 200</v>
          </cell>
          <cell r="D234" t="str">
            <v>EA</v>
          </cell>
          <cell r="E234">
            <v>100000</v>
          </cell>
          <cell r="F234">
            <v>872</v>
          </cell>
          <cell r="K234">
            <v>80000</v>
          </cell>
          <cell r="M234">
            <v>80000</v>
          </cell>
        </row>
        <row r="235">
          <cell r="A235" t="str">
            <v>풀박스1000 x 1000 x 400</v>
          </cell>
          <cell r="B235" t="str">
            <v>풀박스</v>
          </cell>
          <cell r="C235" t="str">
            <v>1000 x 1000 x 400</v>
          </cell>
          <cell r="D235" t="str">
            <v>EA</v>
          </cell>
          <cell r="E235">
            <v>100000</v>
          </cell>
          <cell r="F235">
            <v>872</v>
          </cell>
          <cell r="K235">
            <v>80000</v>
          </cell>
          <cell r="M235">
            <v>80000</v>
          </cell>
        </row>
        <row r="236">
          <cell r="A236" t="str">
            <v>풀박스1100 x 1100 x 400</v>
          </cell>
          <cell r="B236" t="str">
            <v>풀박스</v>
          </cell>
          <cell r="C236" t="str">
            <v>1100 x 1100 x 400</v>
          </cell>
          <cell r="D236" t="str">
            <v>EA</v>
          </cell>
          <cell r="E236">
            <v>100000</v>
          </cell>
          <cell r="F236">
            <v>872</v>
          </cell>
          <cell r="K236">
            <v>80000</v>
          </cell>
          <cell r="M236">
            <v>80000</v>
          </cell>
        </row>
        <row r="237">
          <cell r="A237" t="str">
            <v>풀박스1200 x 1200 x 600</v>
          </cell>
          <cell r="B237" t="str">
            <v>풀박스</v>
          </cell>
          <cell r="C237" t="str">
            <v>1200 x 1200 x 600</v>
          </cell>
          <cell r="D237" t="str">
            <v>EA</v>
          </cell>
          <cell r="E237">
            <v>150000</v>
          </cell>
          <cell r="F237">
            <v>872</v>
          </cell>
          <cell r="K237">
            <v>120000</v>
          </cell>
          <cell r="M237">
            <v>120000</v>
          </cell>
        </row>
        <row r="238">
          <cell r="A238" t="str">
            <v>풀박스1300 x 1300 x 500</v>
          </cell>
          <cell r="B238" t="str">
            <v>풀박스</v>
          </cell>
          <cell r="C238" t="str">
            <v>1300 x 1300 x 500</v>
          </cell>
          <cell r="D238" t="str">
            <v>EA</v>
          </cell>
          <cell r="E238">
            <v>150000</v>
          </cell>
          <cell r="F238">
            <v>872</v>
          </cell>
          <cell r="K238">
            <v>120000</v>
          </cell>
          <cell r="M238">
            <v>120000</v>
          </cell>
        </row>
        <row r="239">
          <cell r="A239" t="str">
            <v>스위치3로 1구</v>
          </cell>
          <cell r="B239" t="str">
            <v>스위치</v>
          </cell>
          <cell r="C239" t="str">
            <v>3로 1구</v>
          </cell>
          <cell r="D239" t="str">
            <v>EA</v>
          </cell>
          <cell r="E239">
            <v>1218</v>
          </cell>
          <cell r="F239">
            <v>938</v>
          </cell>
          <cell r="G239">
            <v>1440</v>
          </cell>
          <cell r="H239">
            <v>998</v>
          </cell>
          <cell r="I239">
            <v>970</v>
          </cell>
          <cell r="K239">
            <v>970</v>
          </cell>
          <cell r="M239">
            <v>970</v>
          </cell>
        </row>
        <row r="240">
          <cell r="A240" t="str">
            <v>스위치3로 2구</v>
          </cell>
          <cell r="B240" t="str">
            <v>스위치</v>
          </cell>
          <cell r="C240" t="str">
            <v>3로 2구</v>
          </cell>
          <cell r="D240" t="str">
            <v>EA</v>
          </cell>
          <cell r="E240">
            <v>2052</v>
          </cell>
          <cell r="F240">
            <v>938</v>
          </cell>
          <cell r="G240">
            <v>2340</v>
          </cell>
          <cell r="H240">
            <v>998</v>
          </cell>
          <cell r="I240">
            <v>1620</v>
          </cell>
          <cell r="K240">
            <v>1620</v>
          </cell>
          <cell r="M240">
            <v>1620</v>
          </cell>
        </row>
        <row r="241">
          <cell r="A241" t="str">
            <v>스위치단로 1구</v>
          </cell>
          <cell r="B241" t="str">
            <v>스위치</v>
          </cell>
          <cell r="C241" t="str">
            <v>단로 1구</v>
          </cell>
          <cell r="D241" t="str">
            <v>EA</v>
          </cell>
          <cell r="E241">
            <v>1033</v>
          </cell>
          <cell r="F241">
            <v>938</v>
          </cell>
          <cell r="G241">
            <v>1260</v>
          </cell>
          <cell r="H241">
            <v>998</v>
          </cell>
          <cell r="I241">
            <v>820</v>
          </cell>
          <cell r="K241">
            <v>820</v>
          </cell>
          <cell r="M241">
            <v>820</v>
          </cell>
        </row>
        <row r="242">
          <cell r="A242" t="str">
            <v>스위치단로 2구</v>
          </cell>
          <cell r="B242" t="str">
            <v>스위치</v>
          </cell>
          <cell r="C242" t="str">
            <v>단로 2구</v>
          </cell>
          <cell r="D242" t="str">
            <v>EA</v>
          </cell>
          <cell r="E242">
            <v>1681</v>
          </cell>
          <cell r="F242">
            <v>938</v>
          </cell>
          <cell r="G242">
            <v>1980</v>
          </cell>
          <cell r="H242">
            <v>998</v>
          </cell>
          <cell r="I242">
            <v>1330</v>
          </cell>
          <cell r="K242">
            <v>1330</v>
          </cell>
          <cell r="M242">
            <v>1330</v>
          </cell>
        </row>
        <row r="243">
          <cell r="A243" t="str">
            <v>스위치단로 3구</v>
          </cell>
          <cell r="B243" t="str">
            <v>스위치</v>
          </cell>
          <cell r="C243" t="str">
            <v>단로 3구</v>
          </cell>
          <cell r="D243" t="str">
            <v>EA</v>
          </cell>
          <cell r="E243">
            <v>2329</v>
          </cell>
          <cell r="F243">
            <v>938</v>
          </cell>
          <cell r="G243">
            <v>2700</v>
          </cell>
          <cell r="H243">
            <v>998</v>
          </cell>
          <cell r="I243">
            <v>1820</v>
          </cell>
          <cell r="K243">
            <v>1820</v>
          </cell>
          <cell r="M243">
            <v>1820</v>
          </cell>
        </row>
        <row r="244">
          <cell r="A244" t="str">
            <v>리미트 스위치</v>
          </cell>
          <cell r="B244" t="str">
            <v>리미트 스위치</v>
          </cell>
          <cell r="D244" t="str">
            <v>EA</v>
          </cell>
          <cell r="G244">
            <v>10900</v>
          </cell>
          <cell r="H244">
            <v>985</v>
          </cell>
          <cell r="K244">
            <v>8720</v>
          </cell>
          <cell r="M244">
            <v>8720</v>
          </cell>
        </row>
        <row r="245">
          <cell r="A245" t="str">
            <v>워샤캡16C</v>
          </cell>
          <cell r="B245" t="str">
            <v>워샤캡</v>
          </cell>
          <cell r="C245" t="str">
            <v>16C</v>
          </cell>
          <cell r="D245" t="str">
            <v>EA</v>
          </cell>
          <cell r="E245">
            <v>1485</v>
          </cell>
          <cell r="F245">
            <v>167</v>
          </cell>
          <cell r="I245">
            <v>1188</v>
          </cell>
          <cell r="K245">
            <v>1188</v>
          </cell>
          <cell r="M245">
            <v>1188</v>
          </cell>
        </row>
        <row r="246">
          <cell r="A246" t="str">
            <v>워샤캡36C</v>
          </cell>
          <cell r="B246" t="str">
            <v>워샤캡</v>
          </cell>
          <cell r="C246" t="str">
            <v>36C</v>
          </cell>
          <cell r="D246" t="str">
            <v>EA</v>
          </cell>
          <cell r="E246">
            <v>2970</v>
          </cell>
          <cell r="F246">
            <v>867</v>
          </cell>
          <cell r="I246">
            <v>2376</v>
          </cell>
          <cell r="K246">
            <v>2376</v>
          </cell>
          <cell r="M246">
            <v>2376</v>
          </cell>
        </row>
        <row r="247">
          <cell r="A247" t="str">
            <v>워샤캡42C</v>
          </cell>
          <cell r="B247" t="str">
            <v>워샤캡</v>
          </cell>
          <cell r="C247" t="str">
            <v>42C</v>
          </cell>
          <cell r="D247" t="str">
            <v>EA</v>
          </cell>
          <cell r="E247">
            <v>3420</v>
          </cell>
          <cell r="F247">
            <v>867</v>
          </cell>
          <cell r="K247">
            <v>2736</v>
          </cell>
          <cell r="M247">
            <v>2736</v>
          </cell>
        </row>
        <row r="248">
          <cell r="A248" t="str">
            <v>접지단자함3 CCT</v>
          </cell>
          <cell r="B248" t="str">
            <v>접지단자함</v>
          </cell>
          <cell r="C248" t="str">
            <v>3 CCT</v>
          </cell>
          <cell r="D248" t="str">
            <v>면</v>
          </cell>
          <cell r="E248">
            <v>95000</v>
          </cell>
          <cell r="F248">
            <v>935</v>
          </cell>
          <cell r="G248">
            <v>95000</v>
          </cell>
          <cell r="H248">
            <v>994</v>
          </cell>
          <cell r="K248">
            <v>44000</v>
          </cell>
          <cell r="M248">
            <v>44000</v>
          </cell>
        </row>
        <row r="249">
          <cell r="A249" t="str">
            <v>접지단자함5 CCT</v>
          </cell>
          <cell r="B249" t="str">
            <v>접지단자함</v>
          </cell>
          <cell r="C249" t="str">
            <v>5 CCT</v>
          </cell>
          <cell r="D249" t="str">
            <v>면</v>
          </cell>
          <cell r="E249">
            <v>140000</v>
          </cell>
          <cell r="F249">
            <v>935</v>
          </cell>
          <cell r="K249">
            <v>63000</v>
          </cell>
          <cell r="M249">
            <v>63000</v>
          </cell>
        </row>
        <row r="250">
          <cell r="A250" t="str">
            <v>접지봉14Φ 1000㎜</v>
          </cell>
          <cell r="B250" t="str">
            <v>접지봉</v>
          </cell>
          <cell r="C250" t="str">
            <v>14Φ 1000㎜</v>
          </cell>
          <cell r="D250" t="str">
            <v>EA</v>
          </cell>
          <cell r="E250">
            <v>3000</v>
          </cell>
          <cell r="F250">
            <v>935</v>
          </cell>
          <cell r="G250">
            <v>3000</v>
          </cell>
          <cell r="H250">
            <v>994</v>
          </cell>
          <cell r="I250">
            <v>2390</v>
          </cell>
          <cell r="K250">
            <v>2930</v>
          </cell>
          <cell r="M250">
            <v>2390</v>
          </cell>
        </row>
        <row r="251">
          <cell r="A251" t="str">
            <v>접지봉18Φx 2400mm</v>
          </cell>
          <cell r="B251" t="str">
            <v>접지봉</v>
          </cell>
          <cell r="C251" t="str">
            <v>18Φx 2400mm</v>
          </cell>
          <cell r="D251" t="str">
            <v>EA</v>
          </cell>
          <cell r="E251">
            <v>7300</v>
          </cell>
          <cell r="F251">
            <v>935</v>
          </cell>
          <cell r="G251">
            <v>7300</v>
          </cell>
          <cell r="H251">
            <v>994</v>
          </cell>
          <cell r="I251">
            <v>5690</v>
          </cell>
          <cell r="K251">
            <v>5690</v>
          </cell>
          <cell r="M251">
            <v>5690</v>
          </cell>
        </row>
        <row r="252">
          <cell r="A252" t="str">
            <v>케이블트레이W200x100H</v>
          </cell>
          <cell r="B252" t="str">
            <v>케이블트레이</v>
          </cell>
          <cell r="C252" t="str">
            <v>W200x100H</v>
          </cell>
          <cell r="D252" t="str">
            <v>m</v>
          </cell>
          <cell r="E252">
            <v>10320</v>
          </cell>
          <cell r="F252">
            <v>881</v>
          </cell>
          <cell r="G252">
            <v>8300</v>
          </cell>
          <cell r="H252">
            <v>939</v>
          </cell>
          <cell r="I252">
            <v>5395</v>
          </cell>
          <cell r="K252">
            <v>5395</v>
          </cell>
          <cell r="M252">
            <v>5395</v>
          </cell>
        </row>
        <row r="253">
          <cell r="A253" t="str">
            <v>케이블트레이W200x150H</v>
          </cell>
          <cell r="B253" t="str">
            <v>케이블트레이</v>
          </cell>
          <cell r="C253" t="str">
            <v>W200x150H</v>
          </cell>
          <cell r="D253" t="str">
            <v>m</v>
          </cell>
          <cell r="E253">
            <v>13350</v>
          </cell>
          <cell r="F253">
            <v>881</v>
          </cell>
          <cell r="I253">
            <v>8235</v>
          </cell>
          <cell r="K253">
            <v>8235</v>
          </cell>
          <cell r="M253">
            <v>8235</v>
          </cell>
        </row>
        <row r="254">
          <cell r="A254" t="str">
            <v>케이블트레이부속품BONDING JUMPER 38㎟</v>
          </cell>
          <cell r="B254" t="str">
            <v>케이블트레이부속품</v>
          </cell>
          <cell r="C254" t="str">
            <v>BONDING JUMPER 38㎟</v>
          </cell>
          <cell r="D254" t="str">
            <v>EA</v>
          </cell>
          <cell r="E254">
            <v>2800</v>
          </cell>
          <cell r="F254">
            <v>881</v>
          </cell>
          <cell r="G254">
            <v>1950</v>
          </cell>
          <cell r="H254">
            <v>939</v>
          </cell>
          <cell r="I254">
            <v>1408</v>
          </cell>
          <cell r="K254">
            <v>1300</v>
          </cell>
          <cell r="M254">
            <v>1300</v>
          </cell>
        </row>
        <row r="255">
          <cell r="A255" t="str">
            <v>케이블트레이부속품BRACKET W220</v>
          </cell>
          <cell r="B255" t="str">
            <v>케이블트레이부속품</v>
          </cell>
          <cell r="C255" t="str">
            <v>BRACKET W220</v>
          </cell>
          <cell r="D255" t="str">
            <v>EA</v>
          </cell>
          <cell r="E255">
            <v>15680</v>
          </cell>
          <cell r="F255">
            <v>882</v>
          </cell>
          <cell r="G255">
            <v>15680</v>
          </cell>
          <cell r="H255">
            <v>940</v>
          </cell>
          <cell r="I255">
            <v>1646</v>
          </cell>
          <cell r="K255">
            <v>1646</v>
          </cell>
          <cell r="M255">
            <v>1646</v>
          </cell>
        </row>
        <row r="256">
          <cell r="A256" t="str">
            <v>케이블트레이부속품ELBOW W200</v>
          </cell>
          <cell r="B256" t="str">
            <v>케이블트레이부속품</v>
          </cell>
          <cell r="C256" t="str">
            <v>ELBOW W200</v>
          </cell>
          <cell r="D256" t="str">
            <v>EA</v>
          </cell>
          <cell r="E256">
            <v>16200</v>
          </cell>
          <cell r="F256">
            <v>882</v>
          </cell>
          <cell r="G256">
            <v>15570</v>
          </cell>
          <cell r="H256">
            <v>940</v>
          </cell>
          <cell r="I256">
            <v>29040</v>
          </cell>
          <cell r="K256">
            <v>15570</v>
          </cell>
          <cell r="M256">
            <v>15570</v>
          </cell>
        </row>
        <row r="257">
          <cell r="A257" t="str">
            <v>케이블트레이부속품CHANNEL SPRING NUT</v>
          </cell>
          <cell r="B257" t="str">
            <v>케이블트레이부속품</v>
          </cell>
          <cell r="C257" t="str">
            <v>CHANNEL SPRING NUT</v>
          </cell>
          <cell r="D257" t="str">
            <v>EA</v>
          </cell>
          <cell r="E257">
            <v>400</v>
          </cell>
          <cell r="F257">
            <v>881</v>
          </cell>
          <cell r="G257">
            <v>350</v>
          </cell>
          <cell r="H257">
            <v>939</v>
          </cell>
          <cell r="I257">
            <v>308</v>
          </cell>
          <cell r="K257">
            <v>228</v>
          </cell>
          <cell r="M257">
            <v>228</v>
          </cell>
        </row>
        <row r="258">
          <cell r="A258" t="str">
            <v>케이블트레이부속품H.ELBOW W200x100H</v>
          </cell>
          <cell r="B258" t="str">
            <v>케이블트레이부속품</v>
          </cell>
          <cell r="C258" t="str">
            <v>H.ELBOW W200x100H</v>
          </cell>
          <cell r="D258" t="str">
            <v>EA</v>
          </cell>
          <cell r="E258">
            <v>17000</v>
          </cell>
          <cell r="F258">
            <v>881</v>
          </cell>
          <cell r="G258">
            <v>12500</v>
          </cell>
          <cell r="H258">
            <v>939</v>
          </cell>
          <cell r="I258">
            <v>8125</v>
          </cell>
          <cell r="K258">
            <v>8125</v>
          </cell>
          <cell r="M258">
            <v>8125</v>
          </cell>
        </row>
        <row r="259">
          <cell r="A259" t="str">
            <v>케이블트레이부속품HOLD DOWN CLAMP</v>
          </cell>
          <cell r="B259" t="str">
            <v>케이블트레이부속품</v>
          </cell>
          <cell r="C259" t="str">
            <v>HOLD DOWN CLAMP</v>
          </cell>
          <cell r="D259" t="str">
            <v>EA</v>
          </cell>
          <cell r="E259">
            <v>300</v>
          </cell>
          <cell r="F259">
            <v>881</v>
          </cell>
          <cell r="G259">
            <v>300</v>
          </cell>
          <cell r="H259">
            <v>939</v>
          </cell>
          <cell r="I259">
            <v>264</v>
          </cell>
          <cell r="K259">
            <v>200</v>
          </cell>
          <cell r="M259">
            <v>200</v>
          </cell>
        </row>
        <row r="260">
          <cell r="A260" t="str">
            <v>케이블트레이부속품JOINT CONNECTOR 100H</v>
          </cell>
          <cell r="B260" t="str">
            <v>케이블트레이부속품</v>
          </cell>
          <cell r="C260" t="str">
            <v>JOINT CONNECTOR 100H</v>
          </cell>
          <cell r="D260" t="str">
            <v>EA</v>
          </cell>
          <cell r="E260">
            <v>1300</v>
          </cell>
          <cell r="F260">
            <v>881</v>
          </cell>
          <cell r="G260">
            <v>1500</v>
          </cell>
          <cell r="H260">
            <v>939</v>
          </cell>
          <cell r="I260">
            <v>845</v>
          </cell>
          <cell r="K260">
            <v>715</v>
          </cell>
          <cell r="M260">
            <v>715</v>
          </cell>
        </row>
        <row r="261">
          <cell r="A261" t="str">
            <v>케이블트레이부속품SHANK BOLT &amp; NUT</v>
          </cell>
          <cell r="B261" t="str">
            <v>케이블트레이부속품</v>
          </cell>
          <cell r="C261" t="str">
            <v>SHANK BOLT &amp; NUT</v>
          </cell>
          <cell r="D261" t="str">
            <v>EA</v>
          </cell>
          <cell r="E261">
            <v>100</v>
          </cell>
          <cell r="F261">
            <v>881</v>
          </cell>
          <cell r="G261">
            <v>70</v>
          </cell>
          <cell r="H261">
            <v>939</v>
          </cell>
          <cell r="I261">
            <v>46</v>
          </cell>
          <cell r="K261">
            <v>43</v>
          </cell>
          <cell r="M261">
            <v>43</v>
          </cell>
        </row>
        <row r="262">
          <cell r="A262" t="str">
            <v>케이블트레이부속품V.ELBOW W200x100H</v>
          </cell>
          <cell r="B262" t="str">
            <v>케이블트레이부속품</v>
          </cell>
          <cell r="C262" t="str">
            <v>V.ELBOW W200x100H</v>
          </cell>
          <cell r="D262" t="str">
            <v>EA</v>
          </cell>
          <cell r="E262">
            <v>14500</v>
          </cell>
          <cell r="F262">
            <v>881</v>
          </cell>
          <cell r="G262">
            <v>13000</v>
          </cell>
          <cell r="H262">
            <v>939</v>
          </cell>
          <cell r="I262">
            <v>8450</v>
          </cell>
          <cell r="K262">
            <v>8450</v>
          </cell>
          <cell r="M262">
            <v>8450</v>
          </cell>
        </row>
        <row r="263">
          <cell r="A263" t="str">
            <v>CABLE DUCT900Wx200H</v>
          </cell>
          <cell r="B263" t="str">
            <v>CABLE DUCT</v>
          </cell>
          <cell r="C263" t="str">
            <v>900Wx200H</v>
          </cell>
          <cell r="D263" t="str">
            <v>m</v>
          </cell>
          <cell r="E263">
            <v>89000</v>
          </cell>
          <cell r="F263">
            <v>940</v>
          </cell>
          <cell r="K263">
            <v>49900</v>
          </cell>
          <cell r="M263">
            <v>49900</v>
          </cell>
        </row>
        <row r="264">
          <cell r="A264" t="str">
            <v>CABLE DUCT600x200</v>
          </cell>
          <cell r="B264" t="str">
            <v>CABLE DUCT</v>
          </cell>
          <cell r="C264" t="str">
            <v>600x200</v>
          </cell>
          <cell r="D264" t="str">
            <v>m</v>
          </cell>
          <cell r="E264">
            <v>54300</v>
          </cell>
          <cell r="F264">
            <v>940</v>
          </cell>
          <cell r="K264">
            <v>33300</v>
          </cell>
          <cell r="M264">
            <v>33300</v>
          </cell>
        </row>
        <row r="265">
          <cell r="A265" t="str">
            <v>CABLE DUCT 부속품JOINT CONNECTOR 100H</v>
          </cell>
          <cell r="B265" t="str">
            <v>CABLE DUCT 부속품</v>
          </cell>
          <cell r="C265" t="str">
            <v>JOINT CONNECTOR 100H</v>
          </cell>
          <cell r="D265" t="str">
            <v>EA</v>
          </cell>
          <cell r="E265">
            <v>1200</v>
          </cell>
          <cell r="F265">
            <v>940</v>
          </cell>
          <cell r="K265">
            <v>715</v>
          </cell>
          <cell r="M265">
            <v>715</v>
          </cell>
        </row>
        <row r="266">
          <cell r="A266" t="str">
            <v>CABLE DUCT 부속품JOINT CONNECTOR 200H</v>
          </cell>
          <cell r="B266" t="str">
            <v>CABLE DUCT 부속품</v>
          </cell>
          <cell r="C266" t="str">
            <v>JOINT CONNECTOR 200H</v>
          </cell>
          <cell r="D266" t="str">
            <v>EA</v>
          </cell>
          <cell r="E266">
            <v>1500</v>
          </cell>
          <cell r="F266">
            <v>940</v>
          </cell>
          <cell r="K266">
            <v>1200</v>
          </cell>
          <cell r="M266">
            <v>1200</v>
          </cell>
        </row>
        <row r="267">
          <cell r="A267" t="str">
            <v>CABLE DUCT 부속품V.ELBOW W900x200H</v>
          </cell>
          <cell r="B267" t="str">
            <v>CABLE DUCT 부속품</v>
          </cell>
          <cell r="C267" t="str">
            <v>V.ELBOW W900x200H</v>
          </cell>
          <cell r="D267" t="str">
            <v>EA</v>
          </cell>
          <cell r="E267">
            <v>76300</v>
          </cell>
          <cell r="F267">
            <v>940</v>
          </cell>
          <cell r="K267">
            <v>61040</v>
          </cell>
          <cell r="M267">
            <v>61040</v>
          </cell>
        </row>
        <row r="268">
          <cell r="A268" t="str">
            <v>콘센트매입-접지형. 15A 250V 1구</v>
          </cell>
          <cell r="B268" t="str">
            <v>콘센트</v>
          </cell>
          <cell r="C268" t="str">
            <v>매입-접지형. 15A 250V 1구</v>
          </cell>
          <cell r="D268" t="str">
            <v>EA</v>
          </cell>
          <cell r="E268">
            <v>1080</v>
          </cell>
          <cell r="F268">
            <v>938</v>
          </cell>
          <cell r="G268">
            <v>1440</v>
          </cell>
          <cell r="H268">
            <v>998</v>
          </cell>
          <cell r="I268">
            <v>910</v>
          </cell>
          <cell r="K268">
            <v>840</v>
          </cell>
          <cell r="M268">
            <v>840</v>
          </cell>
        </row>
        <row r="269">
          <cell r="A269" t="str">
            <v>콘센트매입-접지형. 15A 250V 2구</v>
          </cell>
          <cell r="B269" t="str">
            <v>콘센트</v>
          </cell>
          <cell r="C269" t="str">
            <v>매입-접지형. 15A 250V 2구</v>
          </cell>
          <cell r="D269" t="str">
            <v>EA</v>
          </cell>
          <cell r="E269">
            <v>1364</v>
          </cell>
          <cell r="F269">
            <v>938</v>
          </cell>
          <cell r="G269">
            <v>1820</v>
          </cell>
          <cell r="H269">
            <v>998</v>
          </cell>
          <cell r="I269">
            <v>1060</v>
          </cell>
          <cell r="K269">
            <v>1060</v>
          </cell>
          <cell r="M269">
            <v>1060</v>
          </cell>
        </row>
        <row r="270">
          <cell r="A270" t="str">
            <v>콘센트방우-접지형. 15A 250V 1구</v>
          </cell>
          <cell r="B270" t="str">
            <v>콘센트</v>
          </cell>
          <cell r="C270" t="str">
            <v>방우-접지형. 15A 250V 1구</v>
          </cell>
          <cell r="D270" t="str">
            <v>EA</v>
          </cell>
          <cell r="E270">
            <v>2084</v>
          </cell>
          <cell r="F270">
            <v>938</v>
          </cell>
          <cell r="G270">
            <v>2510</v>
          </cell>
          <cell r="H270">
            <v>998</v>
          </cell>
          <cell r="K270">
            <v>1780</v>
          </cell>
          <cell r="M270">
            <v>1780</v>
          </cell>
        </row>
        <row r="271">
          <cell r="A271" t="str">
            <v>콘센트방우-접지형. 15A 250V 2구</v>
          </cell>
          <cell r="B271" t="str">
            <v>콘센트</v>
          </cell>
          <cell r="C271" t="str">
            <v>방우-접지형. 15A 250V 2구</v>
          </cell>
          <cell r="D271" t="str">
            <v>EA</v>
          </cell>
          <cell r="E271">
            <v>2417</v>
          </cell>
          <cell r="F271">
            <v>938</v>
          </cell>
          <cell r="G271">
            <v>2920</v>
          </cell>
          <cell r="H271">
            <v>998</v>
          </cell>
          <cell r="K271">
            <v>2350</v>
          </cell>
          <cell r="M271">
            <v>2350</v>
          </cell>
        </row>
        <row r="272">
          <cell r="A272" t="str">
            <v>파이프크램프방수 104C</v>
          </cell>
          <cell r="B272" t="str">
            <v>파이프크램프</v>
          </cell>
          <cell r="C272" t="str">
            <v>방수 104C</v>
          </cell>
          <cell r="D272" t="str">
            <v>EA</v>
          </cell>
          <cell r="E272">
            <v>1110</v>
          </cell>
          <cell r="F272">
            <v>867</v>
          </cell>
          <cell r="I272">
            <v>280</v>
          </cell>
          <cell r="K272">
            <v>280</v>
          </cell>
          <cell r="M272">
            <v>280</v>
          </cell>
        </row>
        <row r="273">
          <cell r="A273" t="str">
            <v>파이프크램프방수 16C</v>
          </cell>
          <cell r="B273" t="str">
            <v>파이프크램프</v>
          </cell>
          <cell r="C273" t="str">
            <v>방수 16C</v>
          </cell>
          <cell r="D273" t="str">
            <v>EA</v>
          </cell>
          <cell r="E273">
            <v>235</v>
          </cell>
          <cell r="F273">
            <v>867</v>
          </cell>
          <cell r="I273">
            <v>60</v>
          </cell>
          <cell r="K273">
            <v>72</v>
          </cell>
          <cell r="M273">
            <v>60</v>
          </cell>
        </row>
        <row r="274">
          <cell r="A274" t="str">
            <v>파이프크램프방수 22C</v>
          </cell>
          <cell r="B274" t="str">
            <v>파이프크램프</v>
          </cell>
          <cell r="C274" t="str">
            <v>방수 22C</v>
          </cell>
          <cell r="D274" t="str">
            <v>EA</v>
          </cell>
          <cell r="E274">
            <v>265</v>
          </cell>
          <cell r="F274">
            <v>867</v>
          </cell>
          <cell r="I274">
            <v>72</v>
          </cell>
          <cell r="K274">
            <v>72</v>
          </cell>
          <cell r="M274">
            <v>72</v>
          </cell>
        </row>
        <row r="275">
          <cell r="A275" t="str">
            <v>파이프크램프방수 28C</v>
          </cell>
          <cell r="B275" t="str">
            <v>파이프크램프</v>
          </cell>
          <cell r="C275" t="str">
            <v>방수 28C</v>
          </cell>
          <cell r="D275" t="str">
            <v>EA</v>
          </cell>
          <cell r="E275">
            <v>300</v>
          </cell>
          <cell r="F275">
            <v>867</v>
          </cell>
          <cell r="I275">
            <v>80</v>
          </cell>
          <cell r="K275">
            <v>80</v>
          </cell>
          <cell r="M275">
            <v>80</v>
          </cell>
        </row>
        <row r="276">
          <cell r="A276" t="str">
            <v>파이프크램프방수 36C</v>
          </cell>
          <cell r="B276" t="str">
            <v>파이프크램프</v>
          </cell>
          <cell r="C276" t="str">
            <v>방수 36C</v>
          </cell>
          <cell r="D276" t="str">
            <v>EA</v>
          </cell>
          <cell r="E276">
            <v>365</v>
          </cell>
          <cell r="F276">
            <v>867</v>
          </cell>
          <cell r="I276">
            <v>96</v>
          </cell>
          <cell r="K276">
            <v>96</v>
          </cell>
          <cell r="M276">
            <v>96</v>
          </cell>
        </row>
        <row r="277">
          <cell r="A277" t="str">
            <v>파이프크램프방수 42C</v>
          </cell>
          <cell r="B277" t="str">
            <v>파이프크램프</v>
          </cell>
          <cell r="C277" t="str">
            <v>방수 42C</v>
          </cell>
          <cell r="D277" t="str">
            <v>EA</v>
          </cell>
          <cell r="E277">
            <v>405</v>
          </cell>
          <cell r="F277">
            <v>867</v>
          </cell>
          <cell r="I277">
            <v>108</v>
          </cell>
          <cell r="K277">
            <v>108</v>
          </cell>
          <cell r="M277">
            <v>108</v>
          </cell>
        </row>
        <row r="278">
          <cell r="A278" t="str">
            <v>파이프크램프방수 54C</v>
          </cell>
          <cell r="B278" t="str">
            <v>파이프크램프</v>
          </cell>
          <cell r="C278" t="str">
            <v>방수 54C</v>
          </cell>
          <cell r="D278" t="str">
            <v>EA</v>
          </cell>
          <cell r="E278">
            <v>480</v>
          </cell>
          <cell r="F278">
            <v>867</v>
          </cell>
          <cell r="I278">
            <v>128</v>
          </cell>
          <cell r="K278">
            <v>128</v>
          </cell>
          <cell r="M278">
            <v>128</v>
          </cell>
        </row>
        <row r="279">
          <cell r="A279" t="str">
            <v>파이프크램프방수 70C</v>
          </cell>
          <cell r="B279" t="str">
            <v>파이프크램프</v>
          </cell>
          <cell r="C279" t="str">
            <v>방수 70C</v>
          </cell>
          <cell r="D279" t="str">
            <v>EA</v>
          </cell>
          <cell r="E279">
            <v>885</v>
          </cell>
          <cell r="F279">
            <v>867</v>
          </cell>
          <cell r="I279">
            <v>172</v>
          </cell>
          <cell r="K279">
            <v>172</v>
          </cell>
          <cell r="M279">
            <v>172</v>
          </cell>
        </row>
        <row r="280">
          <cell r="A280" t="str">
            <v>파이프크램프방수 82C</v>
          </cell>
          <cell r="B280" t="str">
            <v>파이프크램프</v>
          </cell>
          <cell r="C280" t="str">
            <v>방수 82C</v>
          </cell>
          <cell r="D280" t="str">
            <v>EA</v>
          </cell>
          <cell r="E280">
            <v>900</v>
          </cell>
          <cell r="F280">
            <v>867</v>
          </cell>
          <cell r="I280">
            <v>224</v>
          </cell>
          <cell r="K280">
            <v>224</v>
          </cell>
          <cell r="M280">
            <v>224</v>
          </cell>
        </row>
        <row r="281">
          <cell r="A281" t="str">
            <v>파이프크램프비방수 16C</v>
          </cell>
          <cell r="B281" t="str">
            <v>파이프크램프</v>
          </cell>
          <cell r="C281" t="str">
            <v>비방수 16C</v>
          </cell>
          <cell r="D281" t="str">
            <v>EA</v>
          </cell>
          <cell r="E281">
            <v>235</v>
          </cell>
          <cell r="F281">
            <v>867</v>
          </cell>
          <cell r="I281">
            <v>60</v>
          </cell>
          <cell r="K281">
            <v>72</v>
          </cell>
          <cell r="M281">
            <v>60</v>
          </cell>
        </row>
        <row r="282">
          <cell r="A282" t="str">
            <v>파이프크램프비방수 22C</v>
          </cell>
          <cell r="B282" t="str">
            <v>파이프크램프</v>
          </cell>
          <cell r="C282" t="str">
            <v>비방수 22C</v>
          </cell>
          <cell r="D282" t="str">
            <v>EA</v>
          </cell>
          <cell r="E282">
            <v>265</v>
          </cell>
          <cell r="F282">
            <v>867</v>
          </cell>
          <cell r="I282">
            <v>72</v>
          </cell>
          <cell r="K282">
            <v>72</v>
          </cell>
          <cell r="M282">
            <v>72</v>
          </cell>
        </row>
        <row r="283">
          <cell r="A283" t="str">
            <v>파이프크램프비방수 28C</v>
          </cell>
          <cell r="B283" t="str">
            <v>파이프크램프</v>
          </cell>
          <cell r="C283" t="str">
            <v>비방수 28C</v>
          </cell>
          <cell r="D283" t="str">
            <v>EA</v>
          </cell>
          <cell r="E283">
            <v>300</v>
          </cell>
          <cell r="F283">
            <v>867</v>
          </cell>
          <cell r="I283">
            <v>80</v>
          </cell>
          <cell r="K283">
            <v>80</v>
          </cell>
          <cell r="M283">
            <v>80</v>
          </cell>
        </row>
        <row r="284">
          <cell r="A284" t="str">
            <v>파이프크램프비방수 36C</v>
          </cell>
          <cell r="B284" t="str">
            <v>파이프크램프</v>
          </cell>
          <cell r="C284" t="str">
            <v>비방수 36C</v>
          </cell>
          <cell r="D284" t="str">
            <v>EA</v>
          </cell>
          <cell r="E284">
            <v>365</v>
          </cell>
          <cell r="F284">
            <v>867</v>
          </cell>
          <cell r="I284">
            <v>96</v>
          </cell>
          <cell r="K284">
            <v>96</v>
          </cell>
          <cell r="M284">
            <v>96</v>
          </cell>
        </row>
        <row r="285">
          <cell r="A285" t="str">
            <v>파이프행가104C</v>
          </cell>
          <cell r="B285" t="str">
            <v>파이프행가</v>
          </cell>
          <cell r="C285" t="str">
            <v>104C</v>
          </cell>
          <cell r="D285" t="str">
            <v>EA</v>
          </cell>
          <cell r="E285">
            <v>1710</v>
          </cell>
          <cell r="F285">
            <v>867</v>
          </cell>
          <cell r="G285">
            <v>1710</v>
          </cell>
          <cell r="H285">
            <v>935</v>
          </cell>
          <cell r="I285">
            <v>1368</v>
          </cell>
          <cell r="K285">
            <v>1368</v>
          </cell>
          <cell r="M285">
            <v>1368</v>
          </cell>
        </row>
        <row r="286">
          <cell r="A286" t="str">
            <v>파이프행가16C</v>
          </cell>
          <cell r="B286" t="str">
            <v>파이프행가</v>
          </cell>
          <cell r="C286" t="str">
            <v>16C</v>
          </cell>
          <cell r="D286" t="str">
            <v>EA</v>
          </cell>
          <cell r="E286">
            <v>425</v>
          </cell>
          <cell r="F286">
            <v>867</v>
          </cell>
          <cell r="G286">
            <v>425</v>
          </cell>
          <cell r="H286">
            <v>935</v>
          </cell>
          <cell r="I286">
            <v>340</v>
          </cell>
          <cell r="K286">
            <v>340</v>
          </cell>
          <cell r="M286">
            <v>340</v>
          </cell>
        </row>
        <row r="287">
          <cell r="A287" t="str">
            <v>파이프행가22C</v>
          </cell>
          <cell r="B287" t="str">
            <v>파이프행가</v>
          </cell>
          <cell r="C287" t="str">
            <v>22C</v>
          </cell>
          <cell r="D287" t="str">
            <v>EA</v>
          </cell>
          <cell r="E287">
            <v>465</v>
          </cell>
          <cell r="F287">
            <v>867</v>
          </cell>
          <cell r="G287">
            <v>465</v>
          </cell>
          <cell r="H287">
            <v>935</v>
          </cell>
          <cell r="I287">
            <v>372</v>
          </cell>
          <cell r="K287">
            <v>372</v>
          </cell>
          <cell r="M287">
            <v>372</v>
          </cell>
        </row>
        <row r="288">
          <cell r="A288" t="str">
            <v>파이프행가28C</v>
          </cell>
          <cell r="B288" t="str">
            <v>파이프행가</v>
          </cell>
          <cell r="C288" t="str">
            <v>28C</v>
          </cell>
          <cell r="D288" t="str">
            <v>EA</v>
          </cell>
          <cell r="E288">
            <v>515</v>
          </cell>
          <cell r="F288">
            <v>867</v>
          </cell>
          <cell r="G288">
            <v>515</v>
          </cell>
          <cell r="H288">
            <v>935</v>
          </cell>
          <cell r="I288">
            <v>412</v>
          </cell>
          <cell r="K288">
            <v>412</v>
          </cell>
          <cell r="M288">
            <v>412</v>
          </cell>
        </row>
        <row r="289">
          <cell r="A289" t="str">
            <v>파이프행가36C</v>
          </cell>
          <cell r="B289" t="str">
            <v>파이프행가</v>
          </cell>
          <cell r="C289" t="str">
            <v>36C</v>
          </cell>
          <cell r="D289" t="str">
            <v>EA</v>
          </cell>
          <cell r="E289">
            <v>590</v>
          </cell>
          <cell r="F289">
            <v>867</v>
          </cell>
          <cell r="G289">
            <v>590</v>
          </cell>
          <cell r="H289">
            <v>935</v>
          </cell>
          <cell r="I289">
            <v>472</v>
          </cell>
          <cell r="K289">
            <v>472</v>
          </cell>
          <cell r="M289">
            <v>472</v>
          </cell>
        </row>
        <row r="290">
          <cell r="A290" t="str">
            <v>파이프행가42C</v>
          </cell>
          <cell r="B290" t="str">
            <v>파이프행가</v>
          </cell>
          <cell r="C290" t="str">
            <v>42C</v>
          </cell>
          <cell r="D290" t="str">
            <v>EA</v>
          </cell>
          <cell r="E290">
            <v>650</v>
          </cell>
          <cell r="F290">
            <v>867</v>
          </cell>
          <cell r="G290">
            <v>650</v>
          </cell>
          <cell r="H290">
            <v>935</v>
          </cell>
          <cell r="I290">
            <v>520</v>
          </cell>
          <cell r="K290">
            <v>520</v>
          </cell>
          <cell r="M290">
            <v>520</v>
          </cell>
        </row>
        <row r="291">
          <cell r="A291" t="str">
            <v>파이프행가54C</v>
          </cell>
          <cell r="B291" t="str">
            <v>파이프행가</v>
          </cell>
          <cell r="C291" t="str">
            <v>54C</v>
          </cell>
          <cell r="D291" t="str">
            <v>EA</v>
          </cell>
          <cell r="E291">
            <v>930</v>
          </cell>
          <cell r="F291">
            <v>867</v>
          </cell>
          <cell r="G291">
            <v>930</v>
          </cell>
          <cell r="H291">
            <v>935</v>
          </cell>
          <cell r="I291">
            <v>744</v>
          </cell>
          <cell r="K291">
            <v>744</v>
          </cell>
          <cell r="M291">
            <v>744</v>
          </cell>
        </row>
        <row r="292">
          <cell r="A292" t="str">
            <v>파이프행가70C</v>
          </cell>
          <cell r="B292" t="str">
            <v>파이프행가</v>
          </cell>
          <cell r="C292" t="str">
            <v>70C</v>
          </cell>
          <cell r="D292" t="str">
            <v>EA</v>
          </cell>
          <cell r="E292">
            <v>1140</v>
          </cell>
          <cell r="F292">
            <v>867</v>
          </cell>
          <cell r="G292">
            <v>1140</v>
          </cell>
          <cell r="H292">
            <v>935</v>
          </cell>
          <cell r="I292">
            <v>912</v>
          </cell>
          <cell r="K292">
            <v>912</v>
          </cell>
          <cell r="M292">
            <v>912</v>
          </cell>
        </row>
        <row r="293">
          <cell r="A293" t="str">
            <v>파이프행가82C</v>
          </cell>
          <cell r="B293" t="str">
            <v>파이프행가</v>
          </cell>
          <cell r="C293" t="str">
            <v>82C</v>
          </cell>
          <cell r="D293" t="str">
            <v>EA</v>
          </cell>
          <cell r="E293">
            <v>1240</v>
          </cell>
          <cell r="F293">
            <v>867</v>
          </cell>
          <cell r="G293">
            <v>1240</v>
          </cell>
          <cell r="H293">
            <v>935</v>
          </cell>
          <cell r="I293">
            <v>992</v>
          </cell>
          <cell r="K293">
            <v>992</v>
          </cell>
          <cell r="M293">
            <v>992</v>
          </cell>
        </row>
        <row r="294">
          <cell r="A294" t="str">
            <v>CAD MOLDLARGE</v>
          </cell>
          <cell r="B294" t="str">
            <v>CAD MOLD</v>
          </cell>
          <cell r="C294" t="str">
            <v>LARGE</v>
          </cell>
          <cell r="D294" t="str">
            <v>EA</v>
          </cell>
          <cell r="E294">
            <v>150000</v>
          </cell>
          <cell r="F294">
            <v>935</v>
          </cell>
          <cell r="K294">
            <v>120000</v>
          </cell>
          <cell r="M294">
            <v>120000</v>
          </cell>
        </row>
        <row r="295">
          <cell r="A295" t="str">
            <v>CAD MOLDMEDIUM</v>
          </cell>
          <cell r="B295" t="str">
            <v>CAD MOLD</v>
          </cell>
          <cell r="C295" t="str">
            <v>MEDIUM</v>
          </cell>
          <cell r="D295" t="str">
            <v>EA</v>
          </cell>
          <cell r="E295">
            <v>50000</v>
          </cell>
          <cell r="F295">
            <v>935</v>
          </cell>
          <cell r="K295">
            <v>40000</v>
          </cell>
          <cell r="M295">
            <v>40000</v>
          </cell>
        </row>
        <row r="296">
          <cell r="A296" t="str">
            <v>BUS DUCTAL-FE-2500A</v>
          </cell>
          <cell r="B296" t="str">
            <v>BUS DUCT</v>
          </cell>
          <cell r="C296" t="str">
            <v>AL-FE-2500A</v>
          </cell>
          <cell r="D296" t="str">
            <v>m</v>
          </cell>
          <cell r="E296">
            <v>494500</v>
          </cell>
          <cell r="F296">
            <v>860</v>
          </cell>
          <cell r="G296">
            <v>489550</v>
          </cell>
          <cell r="H296">
            <v>922</v>
          </cell>
          <cell r="K296">
            <v>391640</v>
          </cell>
          <cell r="M296">
            <v>391640</v>
          </cell>
        </row>
        <row r="297">
          <cell r="A297" t="str">
            <v>FLANGE ENDAL-FE-2500A</v>
          </cell>
          <cell r="B297" t="str">
            <v>FLANGE END</v>
          </cell>
          <cell r="C297" t="str">
            <v>AL-FE-2500A</v>
          </cell>
          <cell r="D297" t="str">
            <v>개소</v>
          </cell>
          <cell r="E297">
            <v>190920</v>
          </cell>
          <cell r="F297">
            <v>861</v>
          </cell>
          <cell r="G297">
            <v>262100</v>
          </cell>
          <cell r="H297">
            <v>923</v>
          </cell>
          <cell r="K297">
            <v>152736</v>
          </cell>
          <cell r="M297">
            <v>152736</v>
          </cell>
        </row>
        <row r="298">
          <cell r="A298" t="str">
            <v>FLANGE END BOXAL-FE-2500A</v>
          </cell>
          <cell r="B298" t="str">
            <v>FLANGE END BOX</v>
          </cell>
          <cell r="C298" t="str">
            <v>AL-FE-2500A</v>
          </cell>
          <cell r="D298" t="str">
            <v>개소</v>
          </cell>
          <cell r="E298">
            <v>242540</v>
          </cell>
          <cell r="F298">
            <v>861</v>
          </cell>
          <cell r="G298">
            <v>262100</v>
          </cell>
          <cell r="H298">
            <v>923</v>
          </cell>
          <cell r="K298">
            <v>194032</v>
          </cell>
          <cell r="M298">
            <v>194032</v>
          </cell>
        </row>
        <row r="299">
          <cell r="A299" t="str">
            <v>HANGER(3P4W)AL-FE-2500A</v>
          </cell>
          <cell r="B299" t="str">
            <v>HANGER(3P4W)</v>
          </cell>
          <cell r="C299" t="str">
            <v>AL-FE-2500A</v>
          </cell>
          <cell r="D299" t="str">
            <v>EA</v>
          </cell>
          <cell r="E299">
            <v>102050</v>
          </cell>
          <cell r="F299">
            <v>861</v>
          </cell>
          <cell r="G299">
            <v>91850</v>
          </cell>
          <cell r="H299">
            <v>923</v>
          </cell>
          <cell r="K299">
            <v>73480</v>
          </cell>
          <cell r="M299">
            <v>73480</v>
          </cell>
        </row>
        <row r="300">
          <cell r="A300" t="str">
            <v>수직 ELBOWAL-FE-2500A</v>
          </cell>
          <cell r="B300" t="str">
            <v>수직 ELBOW</v>
          </cell>
          <cell r="C300" t="str">
            <v>AL-FE-2500A</v>
          </cell>
          <cell r="D300" t="str">
            <v>개소</v>
          </cell>
          <cell r="E300">
            <v>484420</v>
          </cell>
          <cell r="F300">
            <v>860</v>
          </cell>
          <cell r="G300">
            <v>479580</v>
          </cell>
          <cell r="H300">
            <v>922</v>
          </cell>
          <cell r="K300">
            <v>383664</v>
          </cell>
          <cell r="M300">
            <v>383664</v>
          </cell>
        </row>
        <row r="301">
          <cell r="A301" t="str">
            <v>수평 ELBOWAL-FE-2500A</v>
          </cell>
          <cell r="B301" t="str">
            <v>수평 ELBOW</v>
          </cell>
          <cell r="C301" t="str">
            <v>AL-FE-2500A</v>
          </cell>
          <cell r="D301" t="str">
            <v>개소</v>
          </cell>
          <cell r="E301">
            <v>170610</v>
          </cell>
          <cell r="F301">
            <v>860</v>
          </cell>
          <cell r="G301">
            <v>168910</v>
          </cell>
          <cell r="H301">
            <v>922</v>
          </cell>
          <cell r="K301">
            <v>135128</v>
          </cell>
          <cell r="M301">
            <v>135128</v>
          </cell>
        </row>
        <row r="302">
          <cell r="A302" t="str">
            <v>POWERD#150</v>
          </cell>
          <cell r="B302" t="str">
            <v>POWERD</v>
          </cell>
          <cell r="C302" t="str">
            <v>#150</v>
          </cell>
          <cell r="D302" t="str">
            <v>EA</v>
          </cell>
          <cell r="E302">
            <v>4900</v>
          </cell>
          <cell r="F302">
            <v>935</v>
          </cell>
          <cell r="K302">
            <v>3900</v>
          </cell>
          <cell r="M302">
            <v>3900</v>
          </cell>
        </row>
        <row r="303">
          <cell r="A303" t="str">
            <v>POWERD#200</v>
          </cell>
          <cell r="B303" t="str">
            <v>POWERD</v>
          </cell>
          <cell r="C303" t="str">
            <v>#200</v>
          </cell>
          <cell r="D303" t="str">
            <v>EA</v>
          </cell>
          <cell r="E303">
            <v>5700</v>
          </cell>
          <cell r="F303">
            <v>935</v>
          </cell>
          <cell r="K303">
            <v>4500</v>
          </cell>
          <cell r="M303">
            <v>4500</v>
          </cell>
        </row>
        <row r="304">
          <cell r="A304" t="str">
            <v>RACE WAY 기구용금구70 x 40</v>
          </cell>
          <cell r="B304" t="str">
            <v>RACE WAY 기구용금구</v>
          </cell>
          <cell r="C304" t="str">
            <v>70 x 40</v>
          </cell>
          <cell r="D304" t="str">
            <v>EA</v>
          </cell>
          <cell r="E304">
            <v>430</v>
          </cell>
          <cell r="F304">
            <v>879</v>
          </cell>
          <cell r="G304">
            <v>430</v>
          </cell>
          <cell r="H304">
            <v>946</v>
          </cell>
          <cell r="I304">
            <v>301</v>
          </cell>
          <cell r="K304">
            <v>301</v>
          </cell>
          <cell r="M304">
            <v>301</v>
          </cell>
        </row>
        <row r="305">
          <cell r="A305" t="str">
            <v>RACE WAY 지지금구70 x 40</v>
          </cell>
          <cell r="B305" t="str">
            <v>RACE WAY 지지금구</v>
          </cell>
          <cell r="C305" t="str">
            <v>70 x 40</v>
          </cell>
          <cell r="D305" t="str">
            <v>EA</v>
          </cell>
          <cell r="E305">
            <v>1800</v>
          </cell>
          <cell r="F305">
            <v>879</v>
          </cell>
          <cell r="G305">
            <v>1800</v>
          </cell>
          <cell r="H305">
            <v>946</v>
          </cell>
          <cell r="I305">
            <v>1260</v>
          </cell>
          <cell r="K305">
            <v>1260</v>
          </cell>
          <cell r="M305">
            <v>1260</v>
          </cell>
        </row>
        <row r="306">
          <cell r="A306" t="str">
            <v>RACE WAY BODY70 x 40</v>
          </cell>
          <cell r="B306" t="str">
            <v>RACE WAY BODY</v>
          </cell>
          <cell r="C306" t="str">
            <v>70 x 40</v>
          </cell>
          <cell r="D306" t="str">
            <v>m</v>
          </cell>
          <cell r="E306">
            <v>2500</v>
          </cell>
          <cell r="F306">
            <v>879</v>
          </cell>
          <cell r="G306">
            <v>2500</v>
          </cell>
          <cell r="H306">
            <v>946</v>
          </cell>
          <cell r="I306">
            <v>1750</v>
          </cell>
          <cell r="K306">
            <v>1750</v>
          </cell>
          <cell r="M306">
            <v>1750</v>
          </cell>
        </row>
        <row r="307">
          <cell r="A307" t="str">
            <v>RACE WAY C형 HANGER70 x 40</v>
          </cell>
          <cell r="B307" t="str">
            <v>RACE WAY C형 HANGER</v>
          </cell>
          <cell r="C307" t="str">
            <v>70 x 40</v>
          </cell>
          <cell r="D307" t="str">
            <v>EA</v>
          </cell>
          <cell r="E307">
            <v>1800</v>
          </cell>
          <cell r="F307">
            <v>879</v>
          </cell>
          <cell r="G307">
            <v>1800</v>
          </cell>
          <cell r="H307">
            <v>946</v>
          </cell>
          <cell r="I307">
            <v>1260</v>
          </cell>
          <cell r="K307">
            <v>1260</v>
          </cell>
          <cell r="M307">
            <v>1260</v>
          </cell>
        </row>
        <row r="308">
          <cell r="A308" t="str">
            <v>RACE WAY COVER70 x 40</v>
          </cell>
          <cell r="B308" t="str">
            <v>RACE WAY COVER</v>
          </cell>
          <cell r="C308" t="str">
            <v>70 x 40</v>
          </cell>
          <cell r="D308" t="str">
            <v>m</v>
          </cell>
          <cell r="E308">
            <v>1150</v>
          </cell>
          <cell r="F308">
            <v>879</v>
          </cell>
          <cell r="G308">
            <v>1150</v>
          </cell>
          <cell r="H308">
            <v>946</v>
          </cell>
          <cell r="I308">
            <v>805</v>
          </cell>
          <cell r="K308">
            <v>805</v>
          </cell>
          <cell r="M308">
            <v>805</v>
          </cell>
        </row>
        <row r="309">
          <cell r="A309" t="str">
            <v>RACE WAY END CAP70 x 40</v>
          </cell>
          <cell r="B309" t="str">
            <v>RACE WAY END CAP</v>
          </cell>
          <cell r="C309" t="str">
            <v>70 x 40</v>
          </cell>
          <cell r="D309" t="str">
            <v>EA</v>
          </cell>
          <cell r="E309">
            <v>680</v>
          </cell>
          <cell r="F309">
            <v>879</v>
          </cell>
          <cell r="G309">
            <v>680</v>
          </cell>
          <cell r="H309">
            <v>946</v>
          </cell>
          <cell r="I309">
            <v>476</v>
          </cell>
          <cell r="K309">
            <v>476</v>
          </cell>
          <cell r="M309">
            <v>476</v>
          </cell>
        </row>
        <row r="310">
          <cell r="A310" t="str">
            <v>RACE WAY JOINER70 x 40</v>
          </cell>
          <cell r="B310" t="str">
            <v>RACE WAY JOINER</v>
          </cell>
          <cell r="C310" t="str">
            <v>70 x 40</v>
          </cell>
          <cell r="D310" t="str">
            <v>EA</v>
          </cell>
          <cell r="E310">
            <v>940</v>
          </cell>
          <cell r="F310">
            <v>879</v>
          </cell>
          <cell r="G310">
            <v>940</v>
          </cell>
          <cell r="H310">
            <v>946</v>
          </cell>
          <cell r="I310">
            <v>658</v>
          </cell>
          <cell r="K310">
            <v>658</v>
          </cell>
          <cell r="M310">
            <v>658</v>
          </cell>
        </row>
        <row r="311">
          <cell r="A311" t="str">
            <v>RACE WAY JOINT BOX100 x 100 × 50</v>
          </cell>
          <cell r="B311" t="str">
            <v>RACE WAY JOINT BOX</v>
          </cell>
          <cell r="C311" t="str">
            <v>100 x 100 × 50</v>
          </cell>
          <cell r="D311" t="str">
            <v>EA</v>
          </cell>
          <cell r="E311">
            <v>2250</v>
          </cell>
          <cell r="F311">
            <v>879</v>
          </cell>
          <cell r="G311">
            <v>2250</v>
          </cell>
          <cell r="H311">
            <v>946</v>
          </cell>
          <cell r="K311">
            <v>1800</v>
          </cell>
          <cell r="M311">
            <v>1800</v>
          </cell>
        </row>
        <row r="312">
          <cell r="A312" t="str">
            <v>RACE WAY JOINT BOX70 x 40</v>
          </cell>
          <cell r="B312" t="str">
            <v>RACE WAY JOINT BOX</v>
          </cell>
          <cell r="C312" t="str">
            <v>70 x 40</v>
          </cell>
          <cell r="D312" t="str">
            <v>EA</v>
          </cell>
          <cell r="E312">
            <v>1360</v>
          </cell>
          <cell r="F312">
            <v>879</v>
          </cell>
          <cell r="G312">
            <v>1360</v>
          </cell>
          <cell r="H312">
            <v>946</v>
          </cell>
          <cell r="I312">
            <v>952</v>
          </cell>
          <cell r="K312">
            <v>952</v>
          </cell>
          <cell r="M312">
            <v>952</v>
          </cell>
        </row>
        <row r="313">
          <cell r="A313" t="str">
            <v>RACE WAY JUNC BOX-2방70 x 40</v>
          </cell>
          <cell r="B313" t="str">
            <v>RACE WAY JUNC BOX-2방</v>
          </cell>
          <cell r="C313" t="str">
            <v>70 x 40</v>
          </cell>
          <cell r="D313" t="str">
            <v>EA</v>
          </cell>
          <cell r="E313">
            <v>3600</v>
          </cell>
          <cell r="F313">
            <v>879</v>
          </cell>
          <cell r="G313">
            <v>3700</v>
          </cell>
          <cell r="H313">
            <v>946</v>
          </cell>
          <cell r="I313">
            <v>2520</v>
          </cell>
          <cell r="K313">
            <v>2520</v>
          </cell>
          <cell r="M313">
            <v>2520</v>
          </cell>
        </row>
        <row r="314">
          <cell r="A314" t="str">
            <v>RACE WAY JUNC BOX-3방70 x 40</v>
          </cell>
          <cell r="B314" t="str">
            <v>RACE WAY JUNC BOX-3방</v>
          </cell>
          <cell r="C314" t="str">
            <v>70 x 40</v>
          </cell>
          <cell r="D314" t="str">
            <v>EA</v>
          </cell>
          <cell r="E314">
            <v>4250</v>
          </cell>
          <cell r="F314">
            <v>879</v>
          </cell>
          <cell r="G314">
            <v>4250</v>
          </cell>
          <cell r="H314">
            <v>946</v>
          </cell>
          <cell r="I314">
            <v>2975</v>
          </cell>
          <cell r="K314">
            <v>2975</v>
          </cell>
          <cell r="M314">
            <v>2975</v>
          </cell>
        </row>
        <row r="315">
          <cell r="A315" t="str">
            <v>RACE WAY JUNC BOX-4방70 x 40</v>
          </cell>
          <cell r="B315" t="str">
            <v>RACE WAY JUNC BOX-4방</v>
          </cell>
          <cell r="C315" t="str">
            <v>70 x 40</v>
          </cell>
          <cell r="D315" t="str">
            <v>EA</v>
          </cell>
          <cell r="E315">
            <v>4900</v>
          </cell>
          <cell r="F315">
            <v>879</v>
          </cell>
          <cell r="G315">
            <v>4900</v>
          </cell>
          <cell r="H315">
            <v>946</v>
          </cell>
          <cell r="I315">
            <v>3430</v>
          </cell>
          <cell r="K315">
            <v>3430</v>
          </cell>
          <cell r="M315">
            <v>3430</v>
          </cell>
        </row>
        <row r="316">
          <cell r="A316" t="str">
            <v>RACE WAY0 COVER70 x 40</v>
          </cell>
          <cell r="B316" t="str">
            <v>RACE WAY0 COVER</v>
          </cell>
          <cell r="C316" t="str">
            <v>70 x 40</v>
          </cell>
          <cell r="D316" t="str">
            <v>m</v>
          </cell>
          <cell r="E316">
            <v>1150</v>
          </cell>
          <cell r="F316">
            <v>879</v>
          </cell>
          <cell r="G316">
            <v>1150</v>
          </cell>
          <cell r="H316">
            <v>946</v>
          </cell>
          <cell r="I316">
            <v>805</v>
          </cell>
          <cell r="K316">
            <v>805</v>
          </cell>
          <cell r="M316">
            <v>805</v>
          </cell>
        </row>
        <row r="317">
          <cell r="A317" t="str">
            <v>유도등통로</v>
          </cell>
          <cell r="B317" t="str">
            <v>유도등</v>
          </cell>
          <cell r="C317" t="str">
            <v>통로</v>
          </cell>
          <cell r="D317" t="str">
            <v>EA</v>
          </cell>
          <cell r="E317">
            <v>25000</v>
          </cell>
          <cell r="F317">
            <v>747</v>
          </cell>
          <cell r="G317">
            <v>35000</v>
          </cell>
          <cell r="H317">
            <v>1069</v>
          </cell>
          <cell r="K317">
            <v>23100</v>
          </cell>
          <cell r="M317">
            <v>23100</v>
          </cell>
        </row>
        <row r="318">
          <cell r="A318" t="str">
            <v>고휘도유도등피난구 대형</v>
          </cell>
          <cell r="B318" t="str">
            <v>고휘도유도등</v>
          </cell>
          <cell r="C318" t="str">
            <v>피난구 대형</v>
          </cell>
          <cell r="D318" t="str">
            <v>EA</v>
          </cell>
          <cell r="E318">
            <v>240000</v>
          </cell>
          <cell r="F318">
            <v>747</v>
          </cell>
          <cell r="G318">
            <v>240000</v>
          </cell>
          <cell r="H318">
            <v>1069</v>
          </cell>
          <cell r="K318">
            <v>100000</v>
          </cell>
          <cell r="M318">
            <v>100000</v>
          </cell>
        </row>
        <row r="319">
          <cell r="A319" t="str">
            <v>고휘도유도등피난구 중형</v>
          </cell>
          <cell r="B319" t="str">
            <v>고휘도유도등</v>
          </cell>
          <cell r="C319" t="str">
            <v>피난구 중형</v>
          </cell>
          <cell r="D319" t="str">
            <v>EA</v>
          </cell>
          <cell r="E319">
            <v>200000</v>
          </cell>
          <cell r="F319">
            <v>747</v>
          </cell>
          <cell r="G319">
            <v>200000</v>
          </cell>
          <cell r="H319">
            <v>1069</v>
          </cell>
          <cell r="K319">
            <v>45000</v>
          </cell>
          <cell r="M319">
            <v>45000</v>
          </cell>
        </row>
        <row r="320">
          <cell r="A320" t="str">
            <v>배선용 차단기표준형, 2P 600V 50AF</v>
          </cell>
          <cell r="B320" t="str">
            <v>배선용 차단기</v>
          </cell>
          <cell r="C320" t="str">
            <v>표준형, 2P 600V 50AF</v>
          </cell>
          <cell r="D320" t="str">
            <v>EA</v>
          </cell>
          <cell r="E320">
            <v>26900</v>
          </cell>
          <cell r="F320">
            <v>915</v>
          </cell>
          <cell r="G320">
            <v>27400</v>
          </cell>
          <cell r="H320">
            <v>974</v>
          </cell>
          <cell r="I320">
            <v>19540</v>
          </cell>
          <cell r="K320">
            <v>19540</v>
          </cell>
          <cell r="M320">
            <v>19540</v>
          </cell>
        </row>
        <row r="321">
          <cell r="A321" t="str">
            <v>배선용 차단기표준형, 3P 600V 60AF</v>
          </cell>
          <cell r="B321" t="str">
            <v>배선용 차단기</v>
          </cell>
          <cell r="C321" t="str">
            <v>표준형, 3P 600V 60AF</v>
          </cell>
          <cell r="D321" t="str">
            <v>EA</v>
          </cell>
          <cell r="E321">
            <v>39300</v>
          </cell>
          <cell r="F321">
            <v>915</v>
          </cell>
          <cell r="G321">
            <v>39600</v>
          </cell>
          <cell r="H321">
            <v>974</v>
          </cell>
          <cell r="K321">
            <v>31730</v>
          </cell>
          <cell r="M321">
            <v>31730</v>
          </cell>
        </row>
        <row r="322">
          <cell r="A322" t="str">
            <v>분전함Steel문짝, 매입, 300x400</v>
          </cell>
          <cell r="B322" t="str">
            <v>분전함</v>
          </cell>
          <cell r="C322" t="str">
            <v>Steel문짝, 매입, 300x400</v>
          </cell>
          <cell r="D322" t="str">
            <v>EA</v>
          </cell>
          <cell r="E322">
            <v>37000</v>
          </cell>
          <cell r="F322">
            <v>918</v>
          </cell>
          <cell r="K322">
            <v>23900</v>
          </cell>
          <cell r="M322">
            <v>23900</v>
          </cell>
        </row>
        <row r="323">
          <cell r="A323" t="str">
            <v>전력량계전자식 3Φ4W 10A</v>
          </cell>
          <cell r="B323" t="str">
            <v>전력량계</v>
          </cell>
          <cell r="C323" t="str">
            <v>전자식 3Φ4W 10A</v>
          </cell>
          <cell r="D323" t="str">
            <v>SET</v>
          </cell>
          <cell r="E323">
            <v>127500</v>
          </cell>
          <cell r="F323">
            <v>992</v>
          </cell>
          <cell r="K323">
            <v>102000</v>
          </cell>
          <cell r="M323">
            <v>102000</v>
          </cell>
        </row>
        <row r="324">
          <cell r="A324" t="str">
            <v>콘센트 BOX</v>
          </cell>
          <cell r="B324" t="str">
            <v>콘센트 BOX</v>
          </cell>
          <cell r="D324" t="str">
            <v>EA</v>
          </cell>
          <cell r="E324">
            <v>100000</v>
          </cell>
          <cell r="F324">
            <v>746</v>
          </cell>
          <cell r="K324">
            <v>80000</v>
          </cell>
          <cell r="M324">
            <v>80000</v>
          </cell>
        </row>
        <row r="325">
          <cell r="A325" t="str">
            <v>비상콘센트소화전 내장형</v>
          </cell>
          <cell r="B325" t="str">
            <v>비상콘센트</v>
          </cell>
          <cell r="C325" t="str">
            <v>소화전 내장형</v>
          </cell>
          <cell r="D325" t="str">
            <v>면</v>
          </cell>
          <cell r="E325">
            <v>100000</v>
          </cell>
          <cell r="F325">
            <v>746</v>
          </cell>
          <cell r="G325">
            <v>100000</v>
          </cell>
          <cell r="H325">
            <v>1070</v>
          </cell>
          <cell r="K325">
            <v>56000</v>
          </cell>
          <cell r="M325">
            <v>56000</v>
          </cell>
        </row>
        <row r="326">
          <cell r="A326" t="str">
            <v>비상콘센트함280x380x130(방진내함포함)</v>
          </cell>
          <cell r="B326" t="str">
            <v>비상콘센트함</v>
          </cell>
          <cell r="C326" t="str">
            <v>280x380x130(방진내함포함)</v>
          </cell>
          <cell r="D326" t="str">
            <v>EA</v>
          </cell>
          <cell r="K326">
            <v>195000</v>
          </cell>
          <cell r="M326">
            <v>195000</v>
          </cell>
        </row>
        <row r="327">
          <cell r="A327" t="str">
            <v>RACK4선용</v>
          </cell>
          <cell r="B327" t="str">
            <v>RACK</v>
          </cell>
          <cell r="C327" t="str">
            <v>4선용</v>
          </cell>
          <cell r="D327" t="str">
            <v>EA</v>
          </cell>
          <cell r="I327">
            <v>7400</v>
          </cell>
          <cell r="K327">
            <v>5900</v>
          </cell>
          <cell r="M327">
            <v>5900</v>
          </cell>
        </row>
        <row r="328">
          <cell r="A328" t="str">
            <v>인류애자110-90</v>
          </cell>
          <cell r="B328" t="str">
            <v>인류애자</v>
          </cell>
          <cell r="C328" t="str">
            <v>110-90</v>
          </cell>
          <cell r="D328" t="str">
            <v>SET</v>
          </cell>
          <cell r="E328">
            <v>1320</v>
          </cell>
          <cell r="F328">
            <v>962</v>
          </cell>
          <cell r="G328">
            <v>1320</v>
          </cell>
          <cell r="H328">
            <v>1017</v>
          </cell>
          <cell r="I328">
            <v>1120</v>
          </cell>
          <cell r="K328">
            <v>1120</v>
          </cell>
          <cell r="M328">
            <v>1120</v>
          </cell>
        </row>
        <row r="329">
          <cell r="A329" t="str">
            <v>저압핀애자65-80</v>
          </cell>
          <cell r="B329" t="str">
            <v>저압핀애자</v>
          </cell>
          <cell r="C329" t="str">
            <v>65-80</v>
          </cell>
          <cell r="D329" t="str">
            <v>SET</v>
          </cell>
          <cell r="I329">
            <v>1260</v>
          </cell>
          <cell r="K329">
            <v>1260</v>
          </cell>
          <cell r="M329">
            <v>1260</v>
          </cell>
        </row>
        <row r="330">
          <cell r="A330" t="str">
            <v>RACK(인류형)5선용</v>
          </cell>
          <cell r="B330" t="str">
            <v>RACK(인류형)</v>
          </cell>
          <cell r="C330" t="str">
            <v>5선용</v>
          </cell>
          <cell r="D330" t="str">
            <v>EA</v>
          </cell>
          <cell r="M330">
            <v>0</v>
          </cell>
        </row>
        <row r="331">
          <cell r="A331" t="str">
            <v>RACK(종단형)5선용(각암타이)</v>
          </cell>
          <cell r="B331" t="str">
            <v>RACK(종단형)</v>
          </cell>
          <cell r="C331" t="str">
            <v>5선용(각암타이)</v>
          </cell>
          <cell r="D331" t="str">
            <v>EA</v>
          </cell>
          <cell r="M331">
            <v>0</v>
          </cell>
        </row>
        <row r="332">
          <cell r="A332" t="str">
            <v>RACK(중간형)각암타이4개,스트랍포함</v>
          </cell>
          <cell r="B332" t="str">
            <v>RACK(중간형)</v>
          </cell>
          <cell r="C332" t="str">
            <v>각암타이4개,스트랍포함</v>
          </cell>
          <cell r="D332" t="str">
            <v>EA</v>
          </cell>
          <cell r="M332">
            <v>0</v>
          </cell>
        </row>
        <row r="333">
          <cell r="A333" t="str">
            <v>등기구 지지금구160x50x4t(아연도)</v>
          </cell>
          <cell r="B333" t="str">
            <v>등기구 지지금구</v>
          </cell>
          <cell r="C333" t="str">
            <v>160x50x4t(아연도)</v>
          </cell>
          <cell r="D333" t="str">
            <v>EA</v>
          </cell>
          <cell r="E333">
            <v>430</v>
          </cell>
          <cell r="F333">
            <v>45</v>
          </cell>
          <cell r="G333">
            <v>425</v>
          </cell>
          <cell r="H333">
            <v>46</v>
          </cell>
          <cell r="K333">
            <v>340</v>
          </cell>
          <cell r="M333">
            <v>340</v>
          </cell>
        </row>
        <row r="334">
          <cell r="A334" t="str">
            <v>등기구보강대스프링형M바표준(1.0m)</v>
          </cell>
          <cell r="B334" t="str">
            <v>등기구보강대</v>
          </cell>
          <cell r="C334" t="str">
            <v>스프링형M바표준(1.0m)</v>
          </cell>
          <cell r="D334" t="str">
            <v>EA</v>
          </cell>
          <cell r="E334">
            <v>3900</v>
          </cell>
          <cell r="F334">
            <v>944</v>
          </cell>
          <cell r="G334">
            <v>3900</v>
          </cell>
          <cell r="H334">
            <v>1004</v>
          </cell>
          <cell r="I334">
            <v>3900</v>
          </cell>
          <cell r="K334">
            <v>2400</v>
          </cell>
          <cell r="M334">
            <v>2400</v>
          </cell>
        </row>
        <row r="335">
          <cell r="A335" t="str">
            <v>레미콘25-210-8</v>
          </cell>
          <cell r="B335" t="str">
            <v>레미콘</v>
          </cell>
          <cell r="C335" t="str">
            <v>25-210-8</v>
          </cell>
          <cell r="D335" t="str">
            <v>㎥</v>
          </cell>
          <cell r="E335">
            <v>48020</v>
          </cell>
          <cell r="F335">
            <v>115</v>
          </cell>
          <cell r="G335">
            <v>49580</v>
          </cell>
          <cell r="H335">
            <v>98</v>
          </cell>
          <cell r="K335">
            <v>46210</v>
          </cell>
          <cell r="M335">
            <v>46210</v>
          </cell>
        </row>
        <row r="336">
          <cell r="A336" t="str">
            <v>막돌25mm이하</v>
          </cell>
          <cell r="B336" t="str">
            <v>막돌</v>
          </cell>
          <cell r="C336" t="str">
            <v>25mm이하</v>
          </cell>
          <cell r="D336" t="str">
            <v>㎥</v>
          </cell>
          <cell r="E336">
            <v>6000</v>
          </cell>
          <cell r="F336">
            <v>109</v>
          </cell>
          <cell r="K336">
            <v>6000</v>
          </cell>
          <cell r="M336">
            <v>6000</v>
          </cell>
        </row>
        <row r="337">
          <cell r="A337" t="str">
            <v>모래세사</v>
          </cell>
          <cell r="B337" t="str">
            <v>모래</v>
          </cell>
          <cell r="C337" t="str">
            <v>세사</v>
          </cell>
          <cell r="D337" t="str">
            <v>㎥</v>
          </cell>
          <cell r="E337">
            <v>20000</v>
          </cell>
          <cell r="F337">
            <v>109</v>
          </cell>
          <cell r="K337">
            <v>18000</v>
          </cell>
          <cell r="M337">
            <v>18000</v>
          </cell>
        </row>
        <row r="338">
          <cell r="A338" t="str">
            <v>자갈25mm이하</v>
          </cell>
          <cell r="B338" t="str">
            <v>자갈</v>
          </cell>
          <cell r="C338" t="str">
            <v>25mm이하</v>
          </cell>
          <cell r="D338" t="str">
            <v>㎥</v>
          </cell>
          <cell r="E338">
            <v>9000</v>
          </cell>
          <cell r="F338">
            <v>109</v>
          </cell>
          <cell r="G338">
            <v>11500</v>
          </cell>
          <cell r="H338">
            <v>94</v>
          </cell>
          <cell r="K338">
            <v>8500</v>
          </cell>
          <cell r="M338">
            <v>8500</v>
          </cell>
        </row>
        <row r="339">
          <cell r="A339" t="str">
            <v>못일반못 N50</v>
          </cell>
          <cell r="B339" t="str">
            <v>못</v>
          </cell>
          <cell r="C339" t="str">
            <v>일반못 N50</v>
          </cell>
          <cell r="D339" t="str">
            <v>KG</v>
          </cell>
          <cell r="E339">
            <v>647</v>
          </cell>
          <cell r="F339">
            <v>68</v>
          </cell>
          <cell r="G339">
            <v>624</v>
          </cell>
          <cell r="H339">
            <v>70</v>
          </cell>
          <cell r="K339">
            <v>516</v>
          </cell>
          <cell r="M339">
            <v>516</v>
          </cell>
        </row>
        <row r="340">
          <cell r="A340" t="str">
            <v>박리제목재용(수성)</v>
          </cell>
          <cell r="B340" t="str">
            <v>박리제</v>
          </cell>
          <cell r="C340" t="str">
            <v>목재용(수성)</v>
          </cell>
          <cell r="D340" t="str">
            <v>ℓ</v>
          </cell>
          <cell r="E340">
            <v>2500</v>
          </cell>
          <cell r="F340">
            <v>121</v>
          </cell>
          <cell r="G340">
            <v>2500</v>
          </cell>
          <cell r="H340">
            <v>110</v>
          </cell>
          <cell r="K340">
            <v>700</v>
          </cell>
          <cell r="M340">
            <v>700</v>
          </cell>
        </row>
        <row r="341">
          <cell r="A341" t="str">
            <v>시멘트포틀랜트 40kg</v>
          </cell>
          <cell r="B341" t="str">
            <v>시멘트</v>
          </cell>
          <cell r="C341" t="str">
            <v>포틀랜트 40kg</v>
          </cell>
          <cell r="D341" t="str">
            <v>포</v>
          </cell>
          <cell r="E341">
            <v>3700</v>
          </cell>
          <cell r="F341">
            <v>113</v>
          </cell>
          <cell r="G341">
            <v>3600</v>
          </cell>
          <cell r="H341">
            <v>96</v>
          </cell>
          <cell r="K341">
            <v>2497</v>
          </cell>
          <cell r="M341">
            <v>2497</v>
          </cell>
        </row>
        <row r="342">
          <cell r="A342" t="str">
            <v>U CHANNEL41x25x2.6t</v>
          </cell>
          <cell r="B342" t="str">
            <v>U CHANNEL</v>
          </cell>
          <cell r="C342" t="str">
            <v>41x25x2.6t</v>
          </cell>
          <cell r="D342" t="str">
            <v>m</v>
          </cell>
          <cell r="F342">
            <v>881</v>
          </cell>
          <cell r="G342">
            <v>2500</v>
          </cell>
          <cell r="H342">
            <v>939</v>
          </cell>
          <cell r="K342">
            <v>2000</v>
          </cell>
          <cell r="M342">
            <v>2000</v>
          </cell>
        </row>
        <row r="343">
          <cell r="A343" t="str">
            <v>U CHANNEL41x41x2.6t</v>
          </cell>
          <cell r="B343" t="str">
            <v>U CHANNEL</v>
          </cell>
          <cell r="C343" t="str">
            <v>41x41x2.6t</v>
          </cell>
          <cell r="D343" t="str">
            <v>m</v>
          </cell>
          <cell r="E343">
            <v>3000</v>
          </cell>
          <cell r="F343">
            <v>881</v>
          </cell>
          <cell r="G343">
            <v>2800</v>
          </cell>
          <cell r="H343">
            <v>939</v>
          </cell>
          <cell r="K343">
            <v>2580</v>
          </cell>
          <cell r="M343">
            <v>2580</v>
          </cell>
        </row>
        <row r="344">
          <cell r="A344" t="str">
            <v>ㄷ형강75x40x4T</v>
          </cell>
          <cell r="B344" t="str">
            <v>ㄷ형강</v>
          </cell>
          <cell r="C344" t="str">
            <v>75x40x4T</v>
          </cell>
          <cell r="D344" t="str">
            <v>KG</v>
          </cell>
          <cell r="E344">
            <v>410</v>
          </cell>
          <cell r="F344">
            <v>45</v>
          </cell>
          <cell r="G344">
            <v>415</v>
          </cell>
          <cell r="H344">
            <v>46</v>
          </cell>
          <cell r="K344">
            <v>320</v>
          </cell>
          <cell r="M344">
            <v>320</v>
          </cell>
        </row>
        <row r="345">
          <cell r="A345" t="str">
            <v>열연강판6t</v>
          </cell>
          <cell r="B345" t="str">
            <v>열연강판</v>
          </cell>
          <cell r="C345" t="str">
            <v>6t</v>
          </cell>
          <cell r="D345" t="str">
            <v>KG</v>
          </cell>
          <cell r="E345">
            <v>330</v>
          </cell>
          <cell r="F345">
            <v>52</v>
          </cell>
          <cell r="G345">
            <v>338</v>
          </cell>
          <cell r="H345">
            <v>50</v>
          </cell>
          <cell r="K345">
            <v>330</v>
          </cell>
          <cell r="M345">
            <v>330</v>
          </cell>
        </row>
        <row r="346">
          <cell r="A346" t="str">
            <v>6각너트NUT-M10</v>
          </cell>
          <cell r="B346" t="str">
            <v>6각너트</v>
          </cell>
          <cell r="C346" t="str">
            <v>NUT-M10</v>
          </cell>
          <cell r="D346" t="str">
            <v>EA</v>
          </cell>
          <cell r="E346">
            <v>9</v>
          </cell>
          <cell r="F346">
            <v>93</v>
          </cell>
          <cell r="G346">
            <v>10</v>
          </cell>
          <cell r="H346">
            <v>79</v>
          </cell>
          <cell r="K346">
            <v>9</v>
          </cell>
          <cell r="M346">
            <v>9</v>
          </cell>
        </row>
        <row r="347">
          <cell r="A347" t="str">
            <v>셋트앵커(3/8")M10*L75</v>
          </cell>
          <cell r="B347" t="str">
            <v>셋트앵커(3/8")</v>
          </cell>
          <cell r="C347" t="str">
            <v>M10*L75</v>
          </cell>
          <cell r="D347" t="str">
            <v>EA</v>
          </cell>
          <cell r="G347">
            <v>80</v>
          </cell>
          <cell r="H347">
            <v>77</v>
          </cell>
          <cell r="K347">
            <v>80</v>
          </cell>
          <cell r="M347">
            <v>80</v>
          </cell>
        </row>
        <row r="348">
          <cell r="A348" t="str">
            <v>6각볼트3/8",M10</v>
          </cell>
          <cell r="B348" t="str">
            <v>6각볼트</v>
          </cell>
          <cell r="C348" t="str">
            <v>3/8",M10</v>
          </cell>
          <cell r="D348" t="str">
            <v>EA</v>
          </cell>
          <cell r="E348">
            <v>39</v>
          </cell>
          <cell r="F348">
            <v>89</v>
          </cell>
          <cell r="G348">
            <v>39</v>
          </cell>
          <cell r="H348">
            <v>73</v>
          </cell>
          <cell r="K348">
            <v>35</v>
          </cell>
          <cell r="M348">
            <v>35</v>
          </cell>
        </row>
        <row r="349">
          <cell r="A349" t="str">
            <v>행거볼트∮9×1000㎜</v>
          </cell>
          <cell r="B349" t="str">
            <v>행거볼트</v>
          </cell>
          <cell r="C349" t="str">
            <v>∮9×1000㎜</v>
          </cell>
          <cell r="D349" t="str">
            <v>EA</v>
          </cell>
          <cell r="E349">
            <v>280</v>
          </cell>
          <cell r="F349">
            <v>95</v>
          </cell>
          <cell r="K349">
            <v>280</v>
          </cell>
          <cell r="M349">
            <v>280</v>
          </cell>
        </row>
        <row r="350">
          <cell r="A350" t="str">
            <v>스트롱앵커3/8"  (M10)</v>
          </cell>
          <cell r="B350" t="str">
            <v>스트롱앵커</v>
          </cell>
          <cell r="C350" t="str">
            <v>3/8"  (M10)</v>
          </cell>
          <cell r="D350" t="str">
            <v>EA</v>
          </cell>
          <cell r="G350">
            <v>59</v>
          </cell>
          <cell r="H350">
            <v>77</v>
          </cell>
          <cell r="K350">
            <v>43</v>
          </cell>
          <cell r="M350">
            <v>43</v>
          </cell>
        </row>
        <row r="351">
          <cell r="A351" t="str">
            <v>너트NUT-M10</v>
          </cell>
          <cell r="B351" t="str">
            <v>너트</v>
          </cell>
          <cell r="C351" t="str">
            <v>NUT-M10</v>
          </cell>
          <cell r="D351" t="str">
            <v>EA</v>
          </cell>
          <cell r="E351">
            <v>13</v>
          </cell>
          <cell r="F351">
            <v>93</v>
          </cell>
          <cell r="G351">
            <v>15</v>
          </cell>
          <cell r="H351">
            <v>79</v>
          </cell>
          <cell r="K351">
            <v>13</v>
          </cell>
          <cell r="M351">
            <v>13</v>
          </cell>
        </row>
        <row r="352">
          <cell r="A352" t="str">
            <v>와샤M 10</v>
          </cell>
          <cell r="B352" t="str">
            <v>와샤</v>
          </cell>
          <cell r="C352" t="str">
            <v>M 10</v>
          </cell>
          <cell r="D352" t="str">
            <v>EA</v>
          </cell>
          <cell r="E352">
            <v>44</v>
          </cell>
          <cell r="F352">
            <v>96</v>
          </cell>
          <cell r="G352">
            <v>48</v>
          </cell>
          <cell r="H352">
            <v>79</v>
          </cell>
          <cell r="K352">
            <v>44</v>
          </cell>
          <cell r="M352">
            <v>44</v>
          </cell>
        </row>
        <row r="353">
          <cell r="A353" t="str">
            <v>사각와샤3/8"  (M10)</v>
          </cell>
          <cell r="B353" t="str">
            <v>사각와샤</v>
          </cell>
          <cell r="C353" t="str">
            <v>3/8"  (M10)</v>
          </cell>
          <cell r="D353" t="str">
            <v>EA</v>
          </cell>
          <cell r="E353">
            <v>14</v>
          </cell>
          <cell r="F353">
            <v>96</v>
          </cell>
          <cell r="G353">
            <v>14</v>
          </cell>
          <cell r="H353">
            <v>79</v>
          </cell>
          <cell r="K353">
            <v>4</v>
          </cell>
          <cell r="M353">
            <v>4</v>
          </cell>
        </row>
        <row r="354">
          <cell r="A354" t="str">
            <v>전산볼트M10x1000mm</v>
          </cell>
          <cell r="B354" t="str">
            <v>전산볼트</v>
          </cell>
          <cell r="C354" t="str">
            <v>M10x1000mm</v>
          </cell>
          <cell r="D354" t="str">
            <v>EA</v>
          </cell>
          <cell r="E354">
            <v>456</v>
          </cell>
          <cell r="F354">
            <v>90</v>
          </cell>
          <cell r="G354">
            <v>466</v>
          </cell>
          <cell r="H354">
            <v>78</v>
          </cell>
          <cell r="K354">
            <v>456</v>
          </cell>
          <cell r="M354">
            <v>456</v>
          </cell>
        </row>
        <row r="355">
          <cell r="A355" t="str">
            <v>각재외송</v>
          </cell>
          <cell r="B355" t="str">
            <v>각재</v>
          </cell>
          <cell r="C355" t="str">
            <v>외송</v>
          </cell>
          <cell r="D355" t="str">
            <v>㎥</v>
          </cell>
          <cell r="E355">
            <v>171467</v>
          </cell>
          <cell r="F355">
            <v>139</v>
          </cell>
          <cell r="G355">
            <v>188614</v>
          </cell>
          <cell r="H355">
            <v>105</v>
          </cell>
          <cell r="K355">
            <v>171467</v>
          </cell>
          <cell r="M355">
            <v>171467</v>
          </cell>
        </row>
        <row r="356">
          <cell r="A356" t="str">
            <v>관로구밀폐기실링가스켓, D 100</v>
          </cell>
          <cell r="B356" t="str">
            <v>관로구밀폐기</v>
          </cell>
          <cell r="C356" t="str">
            <v>실링가스켓, D 100</v>
          </cell>
          <cell r="D356" t="str">
            <v>EA</v>
          </cell>
          <cell r="E356">
            <v>16500</v>
          </cell>
          <cell r="F356">
            <v>958</v>
          </cell>
          <cell r="G356">
            <v>16500</v>
          </cell>
          <cell r="H356">
            <v>1020</v>
          </cell>
          <cell r="I356">
            <v>18700</v>
          </cell>
          <cell r="K356">
            <v>46500</v>
          </cell>
          <cell r="M356">
            <v>16500</v>
          </cell>
        </row>
        <row r="357">
          <cell r="A357" t="str">
            <v>관로구밀폐기실링가스켓, D 50</v>
          </cell>
          <cell r="B357" t="str">
            <v>관로구밀폐기</v>
          </cell>
          <cell r="C357" t="str">
            <v>실링가스켓, D 50</v>
          </cell>
          <cell r="D357" t="str">
            <v>EA</v>
          </cell>
          <cell r="E357">
            <v>16500</v>
          </cell>
          <cell r="F357">
            <v>958</v>
          </cell>
          <cell r="G357">
            <v>16500</v>
          </cell>
          <cell r="H357">
            <v>1020</v>
          </cell>
          <cell r="I357">
            <v>12600</v>
          </cell>
          <cell r="K357">
            <v>12600</v>
          </cell>
          <cell r="M357">
            <v>12600</v>
          </cell>
        </row>
        <row r="358">
          <cell r="A358" t="str">
            <v>기초콘크리트0.0438194444444444</v>
          </cell>
          <cell r="B358" t="str">
            <v>기초콘크리트</v>
          </cell>
          <cell r="C358">
            <v>4.3819444444444446E-2</v>
          </cell>
          <cell r="D358" t="str">
            <v>㎥</v>
          </cell>
          <cell r="M358">
            <v>0</v>
          </cell>
        </row>
        <row r="359">
          <cell r="A359" t="str">
            <v>내수합판1급,12x1220x2440</v>
          </cell>
          <cell r="B359" t="str">
            <v>내수합판</v>
          </cell>
          <cell r="C359" t="str">
            <v>1급,12x1220x2440</v>
          </cell>
          <cell r="D359" t="str">
            <v>㎡</v>
          </cell>
          <cell r="E359">
            <v>5710</v>
          </cell>
          <cell r="F359">
            <v>495</v>
          </cell>
          <cell r="G359">
            <v>5375</v>
          </cell>
          <cell r="H359">
            <v>415</v>
          </cell>
          <cell r="K359">
            <v>5373</v>
          </cell>
          <cell r="M359">
            <v>5373</v>
          </cell>
        </row>
        <row r="360">
          <cell r="A360" t="str">
            <v xml:space="preserve">발포지수제 D 150이하 </v>
          </cell>
          <cell r="B360" t="str">
            <v>발포지수제</v>
          </cell>
          <cell r="C360" t="str">
            <v xml:space="preserve"> D 150이하 </v>
          </cell>
          <cell r="D360" t="str">
            <v xml:space="preserve"> EA </v>
          </cell>
          <cell r="G360">
            <v>24000</v>
          </cell>
          <cell r="H360">
            <v>928</v>
          </cell>
          <cell r="I360">
            <v>20700</v>
          </cell>
          <cell r="K360">
            <v>20700</v>
          </cell>
          <cell r="M360">
            <v>20700</v>
          </cell>
        </row>
        <row r="361">
          <cell r="A361" t="str">
            <v>배전용 경완금75x75x9t</v>
          </cell>
          <cell r="B361" t="str">
            <v>배전용 경완금</v>
          </cell>
          <cell r="C361" t="str">
            <v>75x75x9t</v>
          </cell>
          <cell r="D361" t="str">
            <v>EA</v>
          </cell>
          <cell r="E361">
            <v>9800</v>
          </cell>
          <cell r="F361">
            <v>941</v>
          </cell>
          <cell r="G361">
            <v>9800</v>
          </cell>
          <cell r="H361">
            <v>1002</v>
          </cell>
          <cell r="K361">
            <v>9800</v>
          </cell>
          <cell r="M361">
            <v>9800</v>
          </cell>
        </row>
        <row r="362">
          <cell r="A362" t="str">
            <v>수밀보호테이프</v>
          </cell>
          <cell r="B362" t="str">
            <v>수밀보호테이프</v>
          </cell>
          <cell r="D362" t="str">
            <v>EA</v>
          </cell>
          <cell r="E362">
            <v>9000</v>
          </cell>
          <cell r="F362">
            <v>966</v>
          </cell>
          <cell r="I362">
            <v>3600</v>
          </cell>
          <cell r="K362">
            <v>3600</v>
          </cell>
          <cell r="M362">
            <v>3600</v>
          </cell>
        </row>
        <row r="363">
          <cell r="A363" t="str">
            <v>앙카볼트16Cx120</v>
          </cell>
          <cell r="B363" t="str">
            <v>앙카볼트</v>
          </cell>
          <cell r="C363" t="str">
            <v>16Cx120</v>
          </cell>
          <cell r="D363" t="str">
            <v>개</v>
          </cell>
          <cell r="E363">
            <v>550</v>
          </cell>
          <cell r="F363">
            <v>95</v>
          </cell>
          <cell r="G363">
            <v>209</v>
          </cell>
          <cell r="H363">
            <v>76</v>
          </cell>
          <cell r="K363">
            <v>170</v>
          </cell>
          <cell r="M363">
            <v>170</v>
          </cell>
        </row>
        <row r="364">
          <cell r="A364" t="str">
            <v>앵커볼트M25 L500</v>
          </cell>
          <cell r="B364" t="str">
            <v>앵커볼트</v>
          </cell>
          <cell r="C364" t="str">
            <v>M25 L500</v>
          </cell>
          <cell r="D364" t="str">
            <v>EA</v>
          </cell>
          <cell r="E364">
            <v>1840</v>
          </cell>
          <cell r="F364">
            <v>94</v>
          </cell>
          <cell r="G364">
            <v>1507</v>
          </cell>
          <cell r="H364">
            <v>76</v>
          </cell>
          <cell r="K364">
            <v>1507</v>
          </cell>
          <cell r="M364">
            <v>1507</v>
          </cell>
        </row>
        <row r="365">
          <cell r="A365" t="str">
            <v>와샤M25</v>
          </cell>
          <cell r="B365" t="str">
            <v>와샤</v>
          </cell>
          <cell r="C365" t="str">
            <v>M25</v>
          </cell>
          <cell r="D365" t="str">
            <v>EA</v>
          </cell>
          <cell r="E365">
            <v>44</v>
          </cell>
          <cell r="F365">
            <v>96</v>
          </cell>
          <cell r="G365">
            <v>48</v>
          </cell>
          <cell r="H365">
            <v>79</v>
          </cell>
          <cell r="K365">
            <v>44</v>
          </cell>
          <cell r="M365">
            <v>44</v>
          </cell>
        </row>
        <row r="366">
          <cell r="A366" t="str">
            <v>육각너트M25</v>
          </cell>
          <cell r="B366" t="str">
            <v>육각너트</v>
          </cell>
          <cell r="C366" t="str">
            <v>M25</v>
          </cell>
          <cell r="D366" t="str">
            <v>EA</v>
          </cell>
          <cell r="E366">
            <v>117</v>
          </cell>
          <cell r="F366">
            <v>93</v>
          </cell>
          <cell r="G366">
            <v>97</v>
          </cell>
          <cell r="H366">
            <v>79</v>
          </cell>
          <cell r="K366">
            <v>97</v>
          </cell>
          <cell r="M366">
            <v>97</v>
          </cell>
        </row>
        <row r="367">
          <cell r="A367" t="str">
            <v>이형철근D-13</v>
          </cell>
          <cell r="B367" t="str">
            <v>이형철근</v>
          </cell>
          <cell r="C367" t="str">
            <v>D-13</v>
          </cell>
          <cell r="D367" t="str">
            <v>kg</v>
          </cell>
          <cell r="E367">
            <v>420</v>
          </cell>
          <cell r="F367">
            <v>42</v>
          </cell>
          <cell r="G367">
            <v>315</v>
          </cell>
          <cell r="H367">
            <v>42</v>
          </cell>
          <cell r="K367">
            <v>296</v>
          </cell>
          <cell r="M367">
            <v>296</v>
          </cell>
        </row>
        <row r="368">
          <cell r="A368" t="str">
            <v>지중선용 가선철물맨홀용 발판볼트, 200x330</v>
          </cell>
          <cell r="B368" t="str">
            <v>지중선용 가선철물</v>
          </cell>
          <cell r="C368" t="str">
            <v>맨홀용 발판볼트, 200x330</v>
          </cell>
          <cell r="D368" t="str">
            <v>EA</v>
          </cell>
          <cell r="E368">
            <v>2000</v>
          </cell>
          <cell r="F368">
            <v>958</v>
          </cell>
          <cell r="G368">
            <v>2000</v>
          </cell>
          <cell r="H368">
            <v>1021</v>
          </cell>
          <cell r="I368">
            <v>1470</v>
          </cell>
          <cell r="K368">
            <v>1470</v>
          </cell>
          <cell r="M368">
            <v>1470</v>
          </cell>
        </row>
        <row r="369">
          <cell r="A369" t="str">
            <v>지중선용 가선철물맨홀용 훅크, 100x250</v>
          </cell>
          <cell r="B369" t="str">
            <v>지중선용 가선철물</v>
          </cell>
          <cell r="C369" t="str">
            <v>맨홀용 훅크, 100x250</v>
          </cell>
          <cell r="D369" t="str">
            <v>EA</v>
          </cell>
          <cell r="I369">
            <v>11330</v>
          </cell>
          <cell r="K369">
            <v>11330</v>
          </cell>
          <cell r="M369">
            <v>11330</v>
          </cell>
        </row>
        <row r="370">
          <cell r="A370" t="str">
            <v>지중선용 가선철물케이블표지시트 0.23x400</v>
          </cell>
          <cell r="B370" t="str">
            <v>지중선용 가선철물</v>
          </cell>
          <cell r="C370" t="str">
            <v>케이블표지시트 0.23x400</v>
          </cell>
          <cell r="D370" t="str">
            <v>m</v>
          </cell>
          <cell r="E370">
            <v>250</v>
          </cell>
          <cell r="F370">
            <v>956</v>
          </cell>
          <cell r="G370">
            <v>250</v>
          </cell>
          <cell r="H370">
            <v>1020</v>
          </cell>
          <cell r="I370">
            <v>170</v>
          </cell>
          <cell r="K370">
            <v>160</v>
          </cell>
          <cell r="M370">
            <v>160</v>
          </cell>
        </row>
        <row r="371">
          <cell r="A371" t="str">
            <v>철선어니일링 4.0mm</v>
          </cell>
          <cell r="B371" t="str">
            <v>철선</v>
          </cell>
          <cell r="C371" t="str">
            <v>어니일링 4.0mm</v>
          </cell>
          <cell r="D371" t="str">
            <v>KG</v>
          </cell>
          <cell r="E371">
            <v>530</v>
          </cell>
          <cell r="F371">
            <v>65</v>
          </cell>
          <cell r="G371">
            <v>520</v>
          </cell>
          <cell r="H371">
            <v>70</v>
          </cell>
          <cell r="K371">
            <v>420</v>
          </cell>
          <cell r="M371">
            <v>420</v>
          </cell>
        </row>
        <row r="372">
          <cell r="A372" t="str">
            <v>체인8Cx1000</v>
          </cell>
          <cell r="B372" t="str">
            <v>체인</v>
          </cell>
          <cell r="C372" t="str">
            <v>8Cx1000</v>
          </cell>
          <cell r="D372" t="str">
            <v>개</v>
          </cell>
          <cell r="G372">
            <v>2200</v>
          </cell>
          <cell r="H372">
            <v>814</v>
          </cell>
          <cell r="K372">
            <v>2200</v>
          </cell>
          <cell r="M372">
            <v>2200</v>
          </cell>
        </row>
        <row r="373">
          <cell r="A373" t="str">
            <v>케이블 걸이걸리쇠, 2조</v>
          </cell>
          <cell r="B373" t="str">
            <v>케이블 걸이</v>
          </cell>
          <cell r="C373" t="str">
            <v>걸리쇠, 2조</v>
          </cell>
          <cell r="D373" t="str">
            <v>EA</v>
          </cell>
          <cell r="E373">
            <v>1700</v>
          </cell>
          <cell r="F373">
            <v>956</v>
          </cell>
          <cell r="G373">
            <v>1710</v>
          </cell>
          <cell r="H373">
            <v>1020</v>
          </cell>
          <cell r="I373">
            <v>780</v>
          </cell>
          <cell r="K373">
            <v>780</v>
          </cell>
          <cell r="M373">
            <v>780</v>
          </cell>
        </row>
        <row r="374">
          <cell r="A374" t="str">
            <v>케이블 받침대75x40x5x750</v>
          </cell>
          <cell r="B374" t="str">
            <v>케이블 받침대</v>
          </cell>
          <cell r="C374" t="str">
            <v>75x40x5x750</v>
          </cell>
          <cell r="D374" t="str">
            <v>EA</v>
          </cell>
          <cell r="E374">
            <v>5500</v>
          </cell>
          <cell r="F374">
            <v>956</v>
          </cell>
          <cell r="G374">
            <v>550</v>
          </cell>
          <cell r="H374">
            <v>1020</v>
          </cell>
          <cell r="I374">
            <v>3820</v>
          </cell>
          <cell r="K374">
            <v>3820</v>
          </cell>
          <cell r="M374">
            <v>550</v>
          </cell>
        </row>
        <row r="375">
          <cell r="A375" t="str">
            <v>합판거푸집6회</v>
          </cell>
          <cell r="B375" t="str">
            <v>합판거푸집</v>
          </cell>
          <cell r="C375" t="str">
            <v>6회</v>
          </cell>
          <cell r="D375" t="str">
            <v>㎡</v>
          </cell>
          <cell r="E375">
            <v>13443</v>
          </cell>
          <cell r="F375" t="str">
            <v>부록60</v>
          </cell>
          <cell r="K375">
            <v>13443</v>
          </cell>
          <cell r="M375">
            <v>13443</v>
          </cell>
        </row>
        <row r="376">
          <cell r="A376" t="str">
            <v>핸드홀1500x1500x1500</v>
          </cell>
          <cell r="B376" t="str">
            <v>핸드홀</v>
          </cell>
          <cell r="C376" t="str">
            <v>1500x1500x1500</v>
          </cell>
          <cell r="D376" t="str">
            <v>조</v>
          </cell>
          <cell r="E376">
            <v>315000</v>
          </cell>
          <cell r="F376">
            <v>180</v>
          </cell>
          <cell r="G376">
            <v>350000</v>
          </cell>
          <cell r="H376">
            <v>191</v>
          </cell>
          <cell r="K376">
            <v>315000</v>
          </cell>
          <cell r="M376">
            <v>315000</v>
          </cell>
        </row>
        <row r="377">
          <cell r="A377" t="str">
            <v>핸드홀카바주철갈형(1120x680x132)</v>
          </cell>
          <cell r="B377" t="str">
            <v>핸드홀카바</v>
          </cell>
          <cell r="C377" t="str">
            <v>주철갈형(1120x680x132)</v>
          </cell>
          <cell r="D377" t="str">
            <v>조</v>
          </cell>
          <cell r="E377">
            <v>320000</v>
          </cell>
          <cell r="F377">
            <v>180</v>
          </cell>
          <cell r="G377">
            <v>320000</v>
          </cell>
          <cell r="H377">
            <v>180</v>
          </cell>
          <cell r="K377">
            <v>219000</v>
          </cell>
          <cell r="M377">
            <v>219000</v>
          </cell>
        </row>
        <row r="378">
          <cell r="A378" t="str">
            <v>WALL BRACKETL250</v>
          </cell>
          <cell r="B378" t="str">
            <v>WALL BRACKET</v>
          </cell>
          <cell r="C378" t="str">
            <v>L250</v>
          </cell>
          <cell r="D378" t="str">
            <v>EA</v>
          </cell>
          <cell r="E378">
            <v>15960</v>
          </cell>
          <cell r="F378">
            <v>879</v>
          </cell>
          <cell r="G378">
            <v>17740</v>
          </cell>
          <cell r="H378">
            <v>944</v>
          </cell>
          <cell r="K378">
            <v>12768</v>
          </cell>
          <cell r="M378">
            <v>12768</v>
          </cell>
        </row>
        <row r="379">
          <cell r="A379" t="str">
            <v>FIRE STOP FORMSILICONE RTV FOAM</v>
          </cell>
          <cell r="B379" t="str">
            <v>FIRE STOP FORM</v>
          </cell>
          <cell r="C379" t="str">
            <v>SILICONE RTV FOAM</v>
          </cell>
          <cell r="D379" t="str">
            <v>kg</v>
          </cell>
          <cell r="E379">
            <v>22000</v>
          </cell>
          <cell r="F379">
            <v>368</v>
          </cell>
          <cell r="K379">
            <v>17600</v>
          </cell>
          <cell r="M379">
            <v>17600</v>
          </cell>
        </row>
        <row r="380">
          <cell r="A380" t="str">
            <v>웨샤캡22C</v>
          </cell>
          <cell r="B380" t="str">
            <v>웨샤캡</v>
          </cell>
          <cell r="C380" t="str">
            <v>22C</v>
          </cell>
          <cell r="E380">
            <v>1980</v>
          </cell>
          <cell r="F380">
            <v>868</v>
          </cell>
          <cell r="K380">
            <v>1584</v>
          </cell>
          <cell r="M380">
            <v>1584</v>
          </cell>
        </row>
        <row r="381">
          <cell r="A381" t="str">
            <v>웨샤캡28C</v>
          </cell>
          <cell r="B381" t="str">
            <v>웨샤캡</v>
          </cell>
          <cell r="C381" t="str">
            <v>28C</v>
          </cell>
          <cell r="E381">
            <v>2430</v>
          </cell>
          <cell r="F381">
            <v>868</v>
          </cell>
          <cell r="K381">
            <v>1944</v>
          </cell>
          <cell r="M381">
            <v>1944</v>
          </cell>
        </row>
        <row r="382">
          <cell r="A382" t="str">
            <v>열수축튜브</v>
          </cell>
          <cell r="B382" t="str">
            <v>열수축튜브</v>
          </cell>
          <cell r="G382">
            <v>7100</v>
          </cell>
          <cell r="H382">
            <v>928</v>
          </cell>
          <cell r="K382">
            <v>5680</v>
          </cell>
          <cell r="M382">
            <v>5680</v>
          </cell>
        </row>
        <row r="383">
          <cell r="A383" t="str">
            <v>콘크리트 트라후300Wx100H</v>
          </cell>
          <cell r="B383" t="str">
            <v>콘크리트 트라후</v>
          </cell>
          <cell r="C383" t="str">
            <v>300Wx100H</v>
          </cell>
          <cell r="D383" t="str">
            <v>m</v>
          </cell>
          <cell r="E383">
            <v>27720</v>
          </cell>
          <cell r="F383">
            <v>876</v>
          </cell>
          <cell r="K383">
            <v>22176</v>
          </cell>
          <cell r="M383">
            <v>22176</v>
          </cell>
        </row>
        <row r="384">
          <cell r="A384" t="str">
            <v>ATS4P 100A</v>
          </cell>
          <cell r="B384" t="str">
            <v>ATS</v>
          </cell>
          <cell r="C384" t="str">
            <v>4P 100A</v>
          </cell>
          <cell r="D384" t="str">
            <v>EA</v>
          </cell>
          <cell r="E384">
            <v>984000</v>
          </cell>
          <cell r="F384">
            <v>921</v>
          </cell>
          <cell r="G384">
            <v>984000</v>
          </cell>
          <cell r="H384">
            <v>971</v>
          </cell>
          <cell r="K384">
            <v>787200</v>
          </cell>
          <cell r="M384">
            <v>787200</v>
          </cell>
        </row>
        <row r="385">
          <cell r="A385" t="str">
            <v>ATS4P 200A</v>
          </cell>
          <cell r="B385" t="str">
            <v>ATS</v>
          </cell>
          <cell r="C385" t="str">
            <v>4P 200A</v>
          </cell>
          <cell r="D385" t="str">
            <v>EA</v>
          </cell>
          <cell r="E385">
            <v>1171000</v>
          </cell>
          <cell r="F385">
            <v>921</v>
          </cell>
          <cell r="G385">
            <v>1171000</v>
          </cell>
          <cell r="H385">
            <v>971</v>
          </cell>
          <cell r="K385">
            <v>936800</v>
          </cell>
          <cell r="M385">
            <v>936800</v>
          </cell>
        </row>
        <row r="386">
          <cell r="A386" t="str">
            <v>ATS4P 400A</v>
          </cell>
          <cell r="B386" t="str">
            <v>ATS</v>
          </cell>
          <cell r="C386" t="str">
            <v>4P 400A</v>
          </cell>
          <cell r="D386" t="str">
            <v>EA</v>
          </cell>
          <cell r="E386">
            <v>1880000</v>
          </cell>
          <cell r="F386">
            <v>921</v>
          </cell>
          <cell r="G386">
            <v>1880000</v>
          </cell>
          <cell r="H386">
            <v>971</v>
          </cell>
          <cell r="K386">
            <v>1504000</v>
          </cell>
          <cell r="M386">
            <v>1504000</v>
          </cell>
        </row>
        <row r="387">
          <cell r="A387" t="str">
            <v>ATS4P 600A</v>
          </cell>
          <cell r="B387" t="str">
            <v>ATS</v>
          </cell>
          <cell r="C387" t="str">
            <v>4P 600A</v>
          </cell>
          <cell r="D387" t="str">
            <v>EA</v>
          </cell>
          <cell r="E387">
            <v>2160000</v>
          </cell>
          <cell r="F387">
            <v>921</v>
          </cell>
          <cell r="G387">
            <v>2160000</v>
          </cell>
          <cell r="H387">
            <v>971</v>
          </cell>
          <cell r="K387">
            <v>1728000</v>
          </cell>
          <cell r="M387">
            <v>1728000</v>
          </cell>
        </row>
        <row r="388">
          <cell r="A388" t="str">
            <v>ATS4P 800A</v>
          </cell>
          <cell r="B388" t="str">
            <v>ATS</v>
          </cell>
          <cell r="C388" t="str">
            <v>4P 800A</v>
          </cell>
          <cell r="D388" t="str">
            <v>EA</v>
          </cell>
          <cell r="E388">
            <v>2440000</v>
          </cell>
          <cell r="F388">
            <v>921</v>
          </cell>
          <cell r="G388">
            <v>2440000</v>
          </cell>
          <cell r="H388">
            <v>971</v>
          </cell>
          <cell r="K388">
            <v>1952000</v>
          </cell>
          <cell r="M388">
            <v>1952000</v>
          </cell>
        </row>
        <row r="389">
          <cell r="A389" t="str">
            <v>난연도료케이블용</v>
          </cell>
          <cell r="B389" t="str">
            <v>난연도료</v>
          </cell>
          <cell r="C389" t="str">
            <v>케이블용</v>
          </cell>
          <cell r="D389" t="str">
            <v>ℓ</v>
          </cell>
          <cell r="E389">
            <v>15000</v>
          </cell>
          <cell r="F389">
            <v>443</v>
          </cell>
          <cell r="G389">
            <v>15000</v>
          </cell>
          <cell r="H389">
            <v>343</v>
          </cell>
          <cell r="K389">
            <v>12000</v>
          </cell>
          <cell r="M389">
            <v>12000</v>
          </cell>
        </row>
        <row r="390">
          <cell r="A390" t="str">
            <v>케이블AWG#24-3PAIR</v>
          </cell>
          <cell r="B390" t="str">
            <v>케이블</v>
          </cell>
          <cell r="C390" t="str">
            <v>AWG#24-3PAIR</v>
          </cell>
          <cell r="D390" t="str">
            <v>m</v>
          </cell>
          <cell r="E390">
            <v>220</v>
          </cell>
          <cell r="F390">
            <v>851</v>
          </cell>
          <cell r="G390">
            <v>220</v>
          </cell>
          <cell r="K390">
            <v>220</v>
          </cell>
          <cell r="M390">
            <v>220</v>
          </cell>
        </row>
        <row r="391">
          <cell r="A391" t="str">
            <v>케이블AWG#24-5PAIR</v>
          </cell>
          <cell r="B391" t="str">
            <v>케이블</v>
          </cell>
          <cell r="C391" t="str">
            <v>AWG#24-5PAIR</v>
          </cell>
          <cell r="D391" t="str">
            <v>m</v>
          </cell>
          <cell r="E391">
            <v>220</v>
          </cell>
          <cell r="F391">
            <v>851</v>
          </cell>
          <cell r="G391">
            <v>220</v>
          </cell>
          <cell r="K391">
            <v>220</v>
          </cell>
          <cell r="M391">
            <v>220</v>
          </cell>
        </row>
        <row r="392">
          <cell r="A392" t="str">
            <v>케이블UTP-4PAIR</v>
          </cell>
          <cell r="B392" t="str">
            <v>케이블</v>
          </cell>
          <cell r="C392" t="str">
            <v>UTP-4PAIR</v>
          </cell>
          <cell r="D392" t="str">
            <v>m</v>
          </cell>
          <cell r="E392">
            <v>391</v>
          </cell>
          <cell r="F392">
            <v>851</v>
          </cell>
          <cell r="G392">
            <v>391</v>
          </cell>
          <cell r="K392">
            <v>313</v>
          </cell>
          <cell r="M392">
            <v>313</v>
          </cell>
        </row>
        <row r="393">
          <cell r="A393" t="str">
            <v>넝마</v>
          </cell>
          <cell r="B393" t="str">
            <v>넝마</v>
          </cell>
          <cell r="D393" t="str">
            <v>kg</v>
          </cell>
          <cell r="G393">
            <v>1500</v>
          </cell>
          <cell r="H393">
            <v>1190</v>
          </cell>
          <cell r="K393">
            <v>1500</v>
          </cell>
          <cell r="M393">
            <v>1500</v>
          </cell>
        </row>
        <row r="394">
          <cell r="A394" t="str">
            <v>솔벤트</v>
          </cell>
          <cell r="B394" t="str">
            <v>솔벤트</v>
          </cell>
          <cell r="D394" t="str">
            <v>ℓ</v>
          </cell>
          <cell r="G394">
            <v>925</v>
          </cell>
          <cell r="K394">
            <v>925</v>
          </cell>
          <cell r="M394">
            <v>925</v>
          </cell>
        </row>
        <row r="395">
          <cell r="A395" t="str">
            <v>케이블 명판50 x 70</v>
          </cell>
          <cell r="B395" t="str">
            <v>케이블 명판</v>
          </cell>
          <cell r="C395" t="str">
            <v>50 x 70</v>
          </cell>
          <cell r="D395" t="str">
            <v>EA</v>
          </cell>
          <cell r="G395">
            <v>2000</v>
          </cell>
          <cell r="K395">
            <v>2000</v>
          </cell>
          <cell r="M395">
            <v>2000</v>
          </cell>
        </row>
        <row r="396">
          <cell r="A396" t="str">
            <v>비상조명등휴대용</v>
          </cell>
          <cell r="B396" t="str">
            <v>비상조명등</v>
          </cell>
          <cell r="C396" t="str">
            <v>휴대용</v>
          </cell>
          <cell r="D396" t="str">
            <v>EA</v>
          </cell>
          <cell r="K396">
            <v>17000</v>
          </cell>
          <cell r="M396">
            <v>17000</v>
          </cell>
        </row>
        <row r="397">
          <cell r="A397" t="str">
            <v>유도등(통로)바닥매입</v>
          </cell>
          <cell r="B397" t="str">
            <v>유도등(통로)</v>
          </cell>
          <cell r="C397" t="str">
            <v>바닥매입</v>
          </cell>
          <cell r="D397" t="str">
            <v>EA</v>
          </cell>
          <cell r="K397">
            <v>17000</v>
          </cell>
          <cell r="M397">
            <v>17000</v>
          </cell>
        </row>
        <row r="398">
          <cell r="A398" t="str">
            <v>축광유도띠접착식</v>
          </cell>
          <cell r="B398" t="str">
            <v>축광유도띠</v>
          </cell>
          <cell r="C398" t="str">
            <v>접착식</v>
          </cell>
          <cell r="D398" t="str">
            <v>m</v>
          </cell>
          <cell r="K398">
            <v>17000</v>
          </cell>
          <cell r="M398">
            <v>17000</v>
          </cell>
        </row>
        <row r="399">
          <cell r="A399" t="str">
            <v>접지본딩크램프16C</v>
          </cell>
          <cell r="B399" t="str">
            <v>접지본딩크램프</v>
          </cell>
          <cell r="C399" t="str">
            <v>16C</v>
          </cell>
          <cell r="D399" t="str">
            <v>m</v>
          </cell>
          <cell r="G399">
            <v>240</v>
          </cell>
          <cell r="H399">
            <v>994</v>
          </cell>
          <cell r="K399">
            <v>17000</v>
          </cell>
          <cell r="M399">
            <v>240</v>
          </cell>
        </row>
        <row r="400">
          <cell r="A400" t="str">
            <v>접지본딩크램프22C</v>
          </cell>
          <cell r="B400" t="str">
            <v>접지본딩크램프</v>
          </cell>
          <cell r="C400" t="str">
            <v>22C</v>
          </cell>
          <cell r="D400" t="str">
            <v>m</v>
          </cell>
          <cell r="G400">
            <v>240</v>
          </cell>
          <cell r="H400">
            <v>994</v>
          </cell>
          <cell r="K400">
            <v>17000</v>
          </cell>
          <cell r="M400">
            <v>240</v>
          </cell>
        </row>
        <row r="401">
          <cell r="A401" t="str">
            <v>접지본딩크램프28C</v>
          </cell>
          <cell r="B401" t="str">
            <v>접지본딩크램프</v>
          </cell>
          <cell r="C401" t="str">
            <v>28C</v>
          </cell>
          <cell r="D401" t="str">
            <v>m</v>
          </cell>
          <cell r="G401">
            <v>290</v>
          </cell>
          <cell r="H401">
            <v>994</v>
          </cell>
          <cell r="K401">
            <v>17001</v>
          </cell>
          <cell r="M401">
            <v>290</v>
          </cell>
        </row>
        <row r="402">
          <cell r="A402" t="str">
            <v>접지본딩크램프36C</v>
          </cell>
          <cell r="B402" t="str">
            <v>접지본딩크램프</v>
          </cell>
          <cell r="C402" t="str">
            <v>36C</v>
          </cell>
          <cell r="D402" t="str">
            <v>m</v>
          </cell>
          <cell r="G402">
            <v>330</v>
          </cell>
          <cell r="H402">
            <v>994</v>
          </cell>
          <cell r="K402">
            <v>17002</v>
          </cell>
          <cell r="M402">
            <v>330</v>
          </cell>
        </row>
        <row r="403">
          <cell r="A403" t="str">
            <v>접지본딩크램프42C</v>
          </cell>
          <cell r="B403" t="str">
            <v>접지본딩크램프</v>
          </cell>
          <cell r="C403" t="str">
            <v>42C</v>
          </cell>
          <cell r="D403" t="str">
            <v>m</v>
          </cell>
          <cell r="G403">
            <v>430</v>
          </cell>
          <cell r="H403">
            <v>994</v>
          </cell>
          <cell r="K403">
            <v>17003</v>
          </cell>
          <cell r="M403">
            <v>430</v>
          </cell>
        </row>
        <row r="404">
          <cell r="A404" t="str">
            <v>접지본딩크램프54C</v>
          </cell>
          <cell r="B404" t="str">
            <v>접지본딩크램프</v>
          </cell>
          <cell r="C404" t="str">
            <v>54C</v>
          </cell>
          <cell r="D404" t="str">
            <v>m</v>
          </cell>
          <cell r="G404">
            <v>650</v>
          </cell>
          <cell r="H404">
            <v>994</v>
          </cell>
          <cell r="K404">
            <v>17004</v>
          </cell>
          <cell r="M404">
            <v>650</v>
          </cell>
        </row>
        <row r="405">
          <cell r="A405" t="str">
            <v>접지본딩크램프70C</v>
          </cell>
          <cell r="B405" t="str">
            <v>접지본딩크램프</v>
          </cell>
          <cell r="C405" t="str">
            <v>70C</v>
          </cell>
          <cell r="D405" t="str">
            <v>m</v>
          </cell>
          <cell r="G405">
            <v>860</v>
          </cell>
          <cell r="H405">
            <v>994</v>
          </cell>
          <cell r="K405">
            <v>17005</v>
          </cell>
          <cell r="M405">
            <v>860</v>
          </cell>
        </row>
        <row r="406">
          <cell r="A406" t="str">
            <v>접지본딩크램프82C</v>
          </cell>
          <cell r="B406" t="str">
            <v>접지본딩크램프</v>
          </cell>
          <cell r="C406" t="str">
            <v>82C</v>
          </cell>
          <cell r="D406" t="str">
            <v>m</v>
          </cell>
          <cell r="G406">
            <v>1160</v>
          </cell>
          <cell r="H406">
            <v>994</v>
          </cell>
          <cell r="K406">
            <v>17006</v>
          </cell>
          <cell r="M406">
            <v>1160</v>
          </cell>
        </row>
        <row r="407">
          <cell r="A407" t="str">
            <v>접지본딩크램프104C</v>
          </cell>
          <cell r="B407" t="str">
            <v>접지본딩크램프</v>
          </cell>
          <cell r="C407" t="str">
            <v>104C</v>
          </cell>
          <cell r="D407" t="str">
            <v>m</v>
          </cell>
          <cell r="G407">
            <v>1490</v>
          </cell>
          <cell r="H407">
            <v>994</v>
          </cell>
          <cell r="K407">
            <v>17007</v>
          </cell>
          <cell r="M407">
            <v>1490</v>
          </cell>
        </row>
        <row r="408">
          <cell r="A408" t="str">
            <v>케이블 600V FR-8  325㎟/1C</v>
          </cell>
          <cell r="B408" t="str">
            <v>케이블</v>
          </cell>
          <cell r="C408" t="str">
            <v xml:space="preserve"> 600V FR-8  325㎟/1C</v>
          </cell>
          <cell r="D408" t="str">
            <v>m</v>
          </cell>
          <cell r="E408">
            <v>12538</v>
          </cell>
          <cell r="F408">
            <v>846</v>
          </cell>
          <cell r="G408">
            <v>13546</v>
          </cell>
          <cell r="H408">
            <v>912</v>
          </cell>
          <cell r="K408">
            <v>9500</v>
          </cell>
          <cell r="M408">
            <v>9500</v>
          </cell>
        </row>
        <row r="409">
          <cell r="A409" t="str">
            <v>CABLE DUCT1300Wx200H</v>
          </cell>
          <cell r="B409" t="str">
            <v>CABLE DUCT</v>
          </cell>
          <cell r="C409" t="str">
            <v>1300Wx200H</v>
          </cell>
          <cell r="D409" t="str">
            <v>m</v>
          </cell>
          <cell r="E409">
            <v>115000</v>
          </cell>
          <cell r="F409">
            <v>940</v>
          </cell>
          <cell r="M409">
            <v>115000</v>
          </cell>
        </row>
        <row r="410">
          <cell r="A410" t="str">
            <v>CABLE DUCT300x200</v>
          </cell>
          <cell r="B410" t="str">
            <v>CABLE DUCT</v>
          </cell>
          <cell r="C410" t="str">
            <v>300x200</v>
          </cell>
          <cell r="D410" t="str">
            <v>m</v>
          </cell>
          <cell r="E410">
            <v>38000</v>
          </cell>
          <cell r="F410">
            <v>940</v>
          </cell>
          <cell r="M410">
            <v>38000</v>
          </cell>
        </row>
        <row r="411">
          <cell r="A411" t="str">
            <v>CABLE DUCT 부속품V.ELBOW W1300x200H</v>
          </cell>
          <cell r="B411" t="str">
            <v>CABLE DUCT 부속품</v>
          </cell>
          <cell r="C411" t="str">
            <v>V.ELBOW W1300x200H</v>
          </cell>
          <cell r="D411" t="str">
            <v>EA</v>
          </cell>
          <cell r="E411">
            <v>99000</v>
          </cell>
          <cell r="F411">
            <v>940</v>
          </cell>
          <cell r="M411">
            <v>99000</v>
          </cell>
        </row>
        <row r="412">
          <cell r="A412" t="str">
            <v>CABLE DUCT 부속품V.ELBOW W600x200H</v>
          </cell>
          <cell r="B412" t="str">
            <v>CABLE DUCT 부속품</v>
          </cell>
          <cell r="C412" t="str">
            <v>V.ELBOW W600x200H</v>
          </cell>
          <cell r="D412" t="str">
            <v>EA</v>
          </cell>
          <cell r="E412">
            <v>58000</v>
          </cell>
          <cell r="F412">
            <v>940</v>
          </cell>
          <cell r="M412">
            <v>58000</v>
          </cell>
        </row>
        <row r="413">
          <cell r="A413" t="str">
            <v>CABLE DUCT 부속품V.ELBOW W300x200H</v>
          </cell>
          <cell r="B413" t="str">
            <v>CABLE DUCT 부속품</v>
          </cell>
          <cell r="C413" t="str">
            <v>V.ELBOW W300x200H</v>
          </cell>
          <cell r="D413" t="str">
            <v>EA</v>
          </cell>
          <cell r="E413">
            <v>35000</v>
          </cell>
          <cell r="F413">
            <v>940</v>
          </cell>
          <cell r="M413">
            <v>35000</v>
          </cell>
        </row>
        <row r="414">
          <cell r="A414" t="str">
            <v>CABLE DUCT1200x200</v>
          </cell>
          <cell r="B414" t="str">
            <v>CABLE DUCT</v>
          </cell>
          <cell r="C414" t="str">
            <v>1200x200</v>
          </cell>
          <cell r="D414" t="str">
            <v>m</v>
          </cell>
          <cell r="E414">
            <v>115000</v>
          </cell>
          <cell r="F414">
            <v>940</v>
          </cell>
          <cell r="M414">
            <v>115000</v>
          </cell>
        </row>
      </sheetData>
      <sheetData sheetId="1" refreshError="1">
        <row r="5">
          <cell r="A5" t="str">
            <v>분전반KLB1-1A</v>
          </cell>
          <cell r="B5" t="str">
            <v>분전반</v>
          </cell>
          <cell r="C5" t="str">
            <v>KLB1-1A</v>
          </cell>
          <cell r="D5" t="str">
            <v>면</v>
          </cell>
          <cell r="E5">
            <v>1584630</v>
          </cell>
          <cell r="F5" t="str">
            <v>삼덕</v>
          </cell>
          <cell r="G5">
            <v>1649123</v>
          </cell>
          <cell r="H5" t="str">
            <v>삼우</v>
          </cell>
          <cell r="K5">
            <v>1584630</v>
          </cell>
          <cell r="M5">
            <v>1584630</v>
          </cell>
        </row>
        <row r="6">
          <cell r="A6" t="str">
            <v>분전반KLB1-1B</v>
          </cell>
          <cell r="B6" t="str">
            <v>분전반</v>
          </cell>
          <cell r="C6" t="str">
            <v>KLB1-1B</v>
          </cell>
          <cell r="D6" t="str">
            <v>면</v>
          </cell>
          <cell r="E6">
            <v>1518939</v>
          </cell>
          <cell r="F6" t="str">
            <v>삼덕</v>
          </cell>
          <cell r="G6">
            <v>1578441</v>
          </cell>
          <cell r="H6" t="str">
            <v>삼우</v>
          </cell>
          <cell r="K6">
            <v>1518939</v>
          </cell>
          <cell r="M6">
            <v>1518939</v>
          </cell>
        </row>
        <row r="7">
          <cell r="A7" t="str">
            <v>분전반KLB1-2A</v>
          </cell>
          <cell r="B7" t="str">
            <v>분전반</v>
          </cell>
          <cell r="C7" t="str">
            <v>KLB1-2A</v>
          </cell>
          <cell r="D7" t="str">
            <v>면</v>
          </cell>
          <cell r="E7">
            <v>1860995</v>
          </cell>
          <cell r="F7" t="str">
            <v>삼덕</v>
          </cell>
          <cell r="G7">
            <v>1936199</v>
          </cell>
          <cell r="H7" t="str">
            <v>삼우</v>
          </cell>
          <cell r="K7">
            <v>1860995</v>
          </cell>
          <cell r="M7">
            <v>1860995</v>
          </cell>
        </row>
        <row r="8">
          <cell r="A8" t="str">
            <v>분전반KLB1-2B</v>
          </cell>
          <cell r="B8" t="str">
            <v>분전반</v>
          </cell>
          <cell r="C8" t="str">
            <v>KLB1-2B</v>
          </cell>
          <cell r="D8" t="str">
            <v>면</v>
          </cell>
          <cell r="E8">
            <v>2021899</v>
          </cell>
          <cell r="F8" t="str">
            <v>삼덕</v>
          </cell>
          <cell r="G8">
            <v>2103542</v>
          </cell>
          <cell r="H8" t="str">
            <v>삼우</v>
          </cell>
          <cell r="K8">
            <v>2021899</v>
          </cell>
          <cell r="M8">
            <v>2021899</v>
          </cell>
        </row>
        <row r="9">
          <cell r="A9" t="str">
            <v>분전반KLB2-1A</v>
          </cell>
          <cell r="B9" t="str">
            <v>분전반</v>
          </cell>
          <cell r="C9" t="str">
            <v>KLB2-1A</v>
          </cell>
          <cell r="D9" t="str">
            <v>면</v>
          </cell>
          <cell r="E9">
            <v>1725681</v>
          </cell>
          <cell r="F9" t="str">
            <v>삼덕</v>
          </cell>
          <cell r="G9">
            <v>1795671</v>
          </cell>
          <cell r="H9" t="str">
            <v>삼우</v>
          </cell>
          <cell r="K9">
            <v>1725681</v>
          </cell>
          <cell r="M9">
            <v>1725681</v>
          </cell>
        </row>
        <row r="10">
          <cell r="A10" t="str">
            <v>분전반KLB2-1B</v>
          </cell>
          <cell r="B10" t="str">
            <v>분전반</v>
          </cell>
          <cell r="C10" t="str">
            <v>KLB2-1B</v>
          </cell>
          <cell r="D10" t="str">
            <v>면</v>
          </cell>
          <cell r="E10">
            <v>1725681</v>
          </cell>
          <cell r="F10" t="str">
            <v>삼덕</v>
          </cell>
          <cell r="G10">
            <v>1795671</v>
          </cell>
          <cell r="H10" t="str">
            <v>삼우</v>
          </cell>
          <cell r="K10">
            <v>1725681</v>
          </cell>
          <cell r="M10">
            <v>1725681</v>
          </cell>
        </row>
        <row r="11">
          <cell r="A11" t="str">
            <v>분전반KLB2-2A</v>
          </cell>
          <cell r="B11" t="str">
            <v>분전반</v>
          </cell>
          <cell r="C11" t="str">
            <v>KLB2-2A</v>
          </cell>
          <cell r="D11" t="str">
            <v>면</v>
          </cell>
          <cell r="E11">
            <v>1860995</v>
          </cell>
          <cell r="F11" t="str">
            <v>삼덕</v>
          </cell>
          <cell r="G11">
            <v>1936199</v>
          </cell>
          <cell r="H11" t="str">
            <v>삼우</v>
          </cell>
          <cell r="K11">
            <v>1860995</v>
          </cell>
          <cell r="M11">
            <v>1860995</v>
          </cell>
        </row>
        <row r="12">
          <cell r="A12" t="str">
            <v>분전반KLB2-2B</v>
          </cell>
          <cell r="B12" t="str">
            <v>분전반</v>
          </cell>
          <cell r="C12" t="str">
            <v>KLB2-2B</v>
          </cell>
          <cell r="D12" t="str">
            <v>면</v>
          </cell>
          <cell r="E12">
            <v>1860995</v>
          </cell>
          <cell r="F12" t="str">
            <v>삼덕</v>
          </cell>
          <cell r="G12">
            <v>1936199</v>
          </cell>
          <cell r="H12" t="str">
            <v>삼우</v>
          </cell>
          <cell r="K12">
            <v>1860995</v>
          </cell>
          <cell r="M12">
            <v>1860995</v>
          </cell>
        </row>
        <row r="13">
          <cell r="A13" t="str">
            <v>분전반KLB2-3A</v>
          </cell>
          <cell r="B13" t="str">
            <v>분전반</v>
          </cell>
          <cell r="C13" t="str">
            <v>KLB2-3A</v>
          </cell>
          <cell r="D13" t="str">
            <v>면</v>
          </cell>
          <cell r="E13">
            <v>1584630</v>
          </cell>
          <cell r="F13" t="str">
            <v>삼덕</v>
          </cell>
          <cell r="G13">
            <v>1649123</v>
          </cell>
          <cell r="H13" t="str">
            <v>삼우</v>
          </cell>
          <cell r="K13">
            <v>1584630</v>
          </cell>
          <cell r="M13">
            <v>1584630</v>
          </cell>
        </row>
        <row r="14">
          <cell r="A14" t="str">
            <v>분전반KLB2-3B</v>
          </cell>
          <cell r="B14" t="str">
            <v>분전반</v>
          </cell>
          <cell r="C14" t="str">
            <v>KLB2-3B</v>
          </cell>
          <cell r="D14" t="str">
            <v>면</v>
          </cell>
          <cell r="E14">
            <v>1584630</v>
          </cell>
          <cell r="F14" t="str">
            <v>삼덕</v>
          </cell>
          <cell r="G14">
            <v>1649123</v>
          </cell>
          <cell r="H14" t="str">
            <v>삼우</v>
          </cell>
          <cell r="K14">
            <v>1584630</v>
          </cell>
          <cell r="M14">
            <v>1584630</v>
          </cell>
        </row>
        <row r="15">
          <cell r="A15" t="str">
            <v>분전반KLB2-4A</v>
          </cell>
          <cell r="B15" t="str">
            <v>분전반</v>
          </cell>
          <cell r="C15" t="str">
            <v>KLB2-4A</v>
          </cell>
          <cell r="D15" t="str">
            <v>면</v>
          </cell>
          <cell r="E15">
            <v>1725681</v>
          </cell>
          <cell r="F15" t="str">
            <v>삼덕</v>
          </cell>
          <cell r="G15">
            <v>1795671</v>
          </cell>
          <cell r="H15" t="str">
            <v>삼우</v>
          </cell>
          <cell r="K15">
            <v>1725681</v>
          </cell>
          <cell r="M15">
            <v>1725681</v>
          </cell>
        </row>
        <row r="16">
          <cell r="A16" t="str">
            <v>분전반KLB2-4B</v>
          </cell>
          <cell r="B16" t="str">
            <v>분전반</v>
          </cell>
          <cell r="C16" t="str">
            <v>KLB2-4B</v>
          </cell>
          <cell r="D16" t="str">
            <v>면</v>
          </cell>
          <cell r="E16">
            <v>1584630</v>
          </cell>
          <cell r="F16" t="str">
            <v>삼덕</v>
          </cell>
          <cell r="G16">
            <v>1649123</v>
          </cell>
          <cell r="H16" t="str">
            <v>삼우</v>
          </cell>
          <cell r="K16">
            <v>1584630</v>
          </cell>
          <cell r="M16">
            <v>1584630</v>
          </cell>
        </row>
        <row r="17">
          <cell r="A17" t="str">
            <v>분전반KL-C</v>
          </cell>
          <cell r="B17" t="str">
            <v>분전반</v>
          </cell>
          <cell r="C17" t="str">
            <v>KL-C</v>
          </cell>
          <cell r="D17" t="str">
            <v>면</v>
          </cell>
          <cell r="E17">
            <v>1001461</v>
          </cell>
          <cell r="F17" t="str">
            <v>삼덕</v>
          </cell>
          <cell r="G17">
            <v>1040422</v>
          </cell>
          <cell r="H17" t="str">
            <v>삼우</v>
          </cell>
          <cell r="K17">
            <v>1001461</v>
          </cell>
          <cell r="M17">
            <v>1001461</v>
          </cell>
        </row>
        <row r="18">
          <cell r="A18" t="str">
            <v>분전반KL-S</v>
          </cell>
          <cell r="B18" t="str">
            <v>분전반</v>
          </cell>
          <cell r="C18" t="str">
            <v>KL-S</v>
          </cell>
          <cell r="D18" t="str">
            <v>면</v>
          </cell>
          <cell r="E18">
            <v>565400</v>
          </cell>
          <cell r="F18" t="str">
            <v>삼덕</v>
          </cell>
          <cell r="G18">
            <v>588754</v>
          </cell>
          <cell r="H18" t="str">
            <v>삼우</v>
          </cell>
          <cell r="K18">
            <v>565400</v>
          </cell>
          <cell r="M18">
            <v>565400</v>
          </cell>
        </row>
        <row r="19">
          <cell r="A19" t="str">
            <v>분전반KL-D</v>
          </cell>
          <cell r="B19" t="str">
            <v>분전반</v>
          </cell>
          <cell r="C19" t="str">
            <v>KL-D</v>
          </cell>
          <cell r="D19" t="str">
            <v>면</v>
          </cell>
          <cell r="E19">
            <v>762783</v>
          </cell>
          <cell r="F19" t="str">
            <v>삼덕</v>
          </cell>
          <cell r="G19">
            <v>792969</v>
          </cell>
          <cell r="H19" t="str">
            <v>삼우</v>
          </cell>
          <cell r="K19">
            <v>762783</v>
          </cell>
          <cell r="M19">
            <v>762783</v>
          </cell>
        </row>
        <row r="20">
          <cell r="A20" t="str">
            <v>분전반KL-F</v>
          </cell>
          <cell r="B20" t="str">
            <v>분전반</v>
          </cell>
          <cell r="C20" t="str">
            <v>KL-F</v>
          </cell>
          <cell r="D20" t="str">
            <v>면</v>
          </cell>
          <cell r="E20">
            <v>622065</v>
          </cell>
          <cell r="F20" t="str">
            <v>삼덕</v>
          </cell>
          <cell r="G20">
            <v>647926</v>
          </cell>
          <cell r="H20" t="str">
            <v>삼우</v>
          </cell>
          <cell r="K20">
            <v>622065</v>
          </cell>
          <cell r="M20">
            <v>622065</v>
          </cell>
        </row>
        <row r="21">
          <cell r="A21" t="str">
            <v>분전반KP-P</v>
          </cell>
          <cell r="B21" t="str">
            <v>분전반</v>
          </cell>
          <cell r="C21" t="str">
            <v>KP-P</v>
          </cell>
          <cell r="D21" t="str">
            <v>면</v>
          </cell>
          <cell r="E21">
            <v>452899</v>
          </cell>
          <cell r="F21" t="str">
            <v>삼덕</v>
          </cell>
          <cell r="G21">
            <v>471662</v>
          </cell>
          <cell r="H21" t="str">
            <v>삼우</v>
          </cell>
          <cell r="K21">
            <v>452899</v>
          </cell>
          <cell r="M21">
            <v>452899</v>
          </cell>
        </row>
        <row r="22">
          <cell r="A22" t="str">
            <v>분전반KL-AFC</v>
          </cell>
          <cell r="B22" t="str">
            <v>분전반</v>
          </cell>
          <cell r="C22" t="str">
            <v>KL-AFC</v>
          </cell>
          <cell r="D22" t="str">
            <v>면</v>
          </cell>
          <cell r="E22">
            <v>1226311</v>
          </cell>
          <cell r="F22" t="str">
            <v>삼덕</v>
          </cell>
          <cell r="G22">
            <v>1273540</v>
          </cell>
          <cell r="H22" t="str">
            <v>삼우</v>
          </cell>
          <cell r="K22">
            <v>1226311</v>
          </cell>
          <cell r="M22">
            <v>1226311</v>
          </cell>
        </row>
        <row r="23">
          <cell r="A23" t="str">
            <v>분전반KEV-1</v>
          </cell>
          <cell r="B23" t="str">
            <v>분전반</v>
          </cell>
          <cell r="C23" t="str">
            <v>KEV-1</v>
          </cell>
          <cell r="D23" t="str">
            <v>면</v>
          </cell>
          <cell r="E23">
            <v>658538</v>
          </cell>
          <cell r="F23" t="str">
            <v>삼덕</v>
          </cell>
          <cell r="G23">
            <v>684839</v>
          </cell>
          <cell r="H23" t="str">
            <v>삼우</v>
          </cell>
          <cell r="K23">
            <v>658538</v>
          </cell>
          <cell r="M23">
            <v>658538</v>
          </cell>
        </row>
        <row r="24">
          <cell r="A24" t="str">
            <v>분전반KEV-2</v>
          </cell>
          <cell r="B24" t="str">
            <v>분전반</v>
          </cell>
          <cell r="C24" t="str">
            <v>KEV-2</v>
          </cell>
          <cell r="D24" t="str">
            <v>면</v>
          </cell>
          <cell r="E24">
            <v>658538</v>
          </cell>
          <cell r="F24" t="str">
            <v>삼덕</v>
          </cell>
          <cell r="G24">
            <v>684839</v>
          </cell>
          <cell r="H24" t="str">
            <v>삼우</v>
          </cell>
          <cell r="K24">
            <v>658538</v>
          </cell>
          <cell r="M24">
            <v>658538</v>
          </cell>
        </row>
        <row r="25">
          <cell r="A25" t="str">
            <v>분전반KEV-3</v>
          </cell>
          <cell r="B25" t="str">
            <v>분전반</v>
          </cell>
          <cell r="C25" t="str">
            <v>KEV-3</v>
          </cell>
          <cell r="D25" t="str">
            <v>면</v>
          </cell>
          <cell r="E25">
            <v>452899</v>
          </cell>
          <cell r="F25" t="str">
            <v>삼덕</v>
          </cell>
          <cell r="G25">
            <v>471662</v>
          </cell>
          <cell r="H25" t="str">
            <v>삼우</v>
          </cell>
          <cell r="K25">
            <v>452899</v>
          </cell>
          <cell r="M25">
            <v>452899</v>
          </cell>
        </row>
        <row r="26">
          <cell r="A26" t="str">
            <v>분전반KEV-4</v>
          </cell>
          <cell r="B26" t="str">
            <v>분전반</v>
          </cell>
          <cell r="C26" t="str">
            <v>KEV-4</v>
          </cell>
          <cell r="D26" t="str">
            <v>면</v>
          </cell>
          <cell r="E26">
            <v>452899</v>
          </cell>
          <cell r="F26" t="str">
            <v>삼덕</v>
          </cell>
          <cell r="G26">
            <v>471662</v>
          </cell>
          <cell r="H26" t="str">
            <v>삼우</v>
          </cell>
          <cell r="K26">
            <v>452899</v>
          </cell>
          <cell r="M26">
            <v>452899</v>
          </cell>
        </row>
        <row r="27">
          <cell r="A27" t="str">
            <v>분전반KES-1</v>
          </cell>
          <cell r="B27" t="str">
            <v>분전반</v>
          </cell>
          <cell r="C27" t="str">
            <v>KES-1</v>
          </cell>
          <cell r="D27" t="str">
            <v>면</v>
          </cell>
          <cell r="E27">
            <v>797222</v>
          </cell>
          <cell r="F27" t="str">
            <v>삼덕</v>
          </cell>
          <cell r="G27">
            <v>829204</v>
          </cell>
          <cell r="H27" t="str">
            <v>삼우</v>
          </cell>
          <cell r="K27">
            <v>797222</v>
          </cell>
          <cell r="M27">
            <v>797222</v>
          </cell>
        </row>
        <row r="28">
          <cell r="A28" t="str">
            <v>분전반KES-2</v>
          </cell>
          <cell r="B28" t="str">
            <v>분전반</v>
          </cell>
          <cell r="C28" t="str">
            <v>KES-2</v>
          </cell>
          <cell r="D28" t="str">
            <v>면</v>
          </cell>
          <cell r="E28">
            <v>797222</v>
          </cell>
          <cell r="F28" t="str">
            <v>삼덕</v>
          </cell>
          <cell r="G28">
            <v>829204</v>
          </cell>
          <cell r="H28" t="str">
            <v>삼우</v>
          </cell>
          <cell r="K28">
            <v>797222</v>
          </cell>
          <cell r="M28">
            <v>797222</v>
          </cell>
        </row>
        <row r="29">
          <cell r="A29" t="str">
            <v>분전반KES-3</v>
          </cell>
          <cell r="B29" t="str">
            <v>분전반</v>
          </cell>
          <cell r="C29" t="str">
            <v>KES-3</v>
          </cell>
          <cell r="D29" t="str">
            <v>면</v>
          </cell>
          <cell r="E29">
            <v>797222</v>
          </cell>
          <cell r="F29" t="str">
            <v>삼덕</v>
          </cell>
          <cell r="G29">
            <v>829204</v>
          </cell>
          <cell r="H29" t="str">
            <v>삼우</v>
          </cell>
          <cell r="K29">
            <v>797222</v>
          </cell>
          <cell r="M29">
            <v>797222</v>
          </cell>
        </row>
        <row r="30">
          <cell r="A30" t="str">
            <v>분전반KES-4</v>
          </cell>
          <cell r="B30" t="str">
            <v>분전반</v>
          </cell>
          <cell r="C30" t="str">
            <v>KES-4</v>
          </cell>
          <cell r="D30" t="str">
            <v>면</v>
          </cell>
          <cell r="E30">
            <v>797222</v>
          </cell>
          <cell r="F30" t="str">
            <v>삼덕</v>
          </cell>
          <cell r="G30">
            <v>829204</v>
          </cell>
          <cell r="H30" t="str">
            <v>삼우</v>
          </cell>
          <cell r="K30">
            <v>797222</v>
          </cell>
          <cell r="M30">
            <v>797222</v>
          </cell>
        </row>
        <row r="31">
          <cell r="A31" t="str">
            <v>분전반KES-5</v>
          </cell>
          <cell r="B31" t="str">
            <v>분전반</v>
          </cell>
          <cell r="C31" t="str">
            <v>KES-5</v>
          </cell>
          <cell r="D31" t="str">
            <v>면</v>
          </cell>
          <cell r="E31">
            <v>1059220</v>
          </cell>
          <cell r="F31" t="str">
            <v>삼덕</v>
          </cell>
          <cell r="G31">
            <v>1100485</v>
          </cell>
          <cell r="H31" t="str">
            <v>삼우</v>
          </cell>
          <cell r="K31">
            <v>1059220</v>
          </cell>
          <cell r="M31">
            <v>1059220</v>
          </cell>
        </row>
        <row r="32">
          <cell r="A32" t="str">
            <v>분전반KES-6</v>
          </cell>
          <cell r="B32" t="str">
            <v>분전반</v>
          </cell>
          <cell r="C32" t="str">
            <v>KES-6</v>
          </cell>
          <cell r="D32" t="str">
            <v>면</v>
          </cell>
          <cell r="E32">
            <v>1059220</v>
          </cell>
          <cell r="F32" t="str">
            <v>삼덕</v>
          </cell>
          <cell r="G32">
            <v>1100485</v>
          </cell>
          <cell r="H32" t="str">
            <v>삼우</v>
          </cell>
          <cell r="K32">
            <v>1059220</v>
          </cell>
          <cell r="M32">
            <v>1059220</v>
          </cell>
        </row>
        <row r="33">
          <cell r="A33" t="str">
            <v>분전반KES-7</v>
          </cell>
          <cell r="B33" t="str">
            <v>분전반</v>
          </cell>
          <cell r="C33" t="str">
            <v>KES-7</v>
          </cell>
          <cell r="D33" t="str">
            <v>면</v>
          </cell>
          <cell r="E33">
            <v>1059220</v>
          </cell>
          <cell r="F33" t="str">
            <v>삼덕</v>
          </cell>
          <cell r="G33">
            <v>1100485</v>
          </cell>
          <cell r="H33" t="str">
            <v>삼우</v>
          </cell>
          <cell r="K33">
            <v>1059220</v>
          </cell>
          <cell r="M33">
            <v>1059220</v>
          </cell>
        </row>
        <row r="34">
          <cell r="A34" t="str">
            <v>분전반KES-8</v>
          </cell>
          <cell r="B34" t="str">
            <v>분전반</v>
          </cell>
          <cell r="C34" t="str">
            <v>KES-8</v>
          </cell>
          <cell r="D34" t="str">
            <v>면</v>
          </cell>
          <cell r="E34">
            <v>1059220</v>
          </cell>
          <cell r="F34" t="str">
            <v>삼덕</v>
          </cell>
          <cell r="G34">
            <v>1100485</v>
          </cell>
          <cell r="H34" t="str">
            <v>삼우</v>
          </cell>
          <cell r="K34">
            <v>1059220</v>
          </cell>
          <cell r="M34">
            <v>1059220</v>
          </cell>
        </row>
        <row r="35">
          <cell r="A35" t="str">
            <v>분전반KMCC-1</v>
          </cell>
          <cell r="B35" t="str">
            <v>분전반</v>
          </cell>
          <cell r="C35" t="str">
            <v>KMCC-1</v>
          </cell>
          <cell r="D35" t="str">
            <v>면</v>
          </cell>
          <cell r="E35">
            <v>9014721</v>
          </cell>
          <cell r="F35" t="str">
            <v>삼덕</v>
          </cell>
          <cell r="G35">
            <v>9310944</v>
          </cell>
          <cell r="H35" t="str">
            <v>삼우</v>
          </cell>
          <cell r="K35">
            <v>9014721</v>
          </cell>
          <cell r="M35">
            <v>9014721</v>
          </cell>
        </row>
        <row r="36">
          <cell r="A36" t="str">
            <v>분전반KMCC-2</v>
          </cell>
          <cell r="B36" t="str">
            <v>분전반</v>
          </cell>
          <cell r="C36" t="str">
            <v>KMCC-2</v>
          </cell>
          <cell r="D36" t="str">
            <v>면</v>
          </cell>
          <cell r="E36">
            <v>10554093</v>
          </cell>
          <cell r="F36" t="str">
            <v>삼덕</v>
          </cell>
          <cell r="G36">
            <v>10894047</v>
          </cell>
          <cell r="H36" t="str">
            <v>삼우</v>
          </cell>
          <cell r="K36">
            <v>10554093</v>
          </cell>
          <cell r="M36">
            <v>10554093</v>
          </cell>
        </row>
        <row r="37">
          <cell r="A37" t="str">
            <v>분전반KMCC-3</v>
          </cell>
          <cell r="B37" t="str">
            <v>분전반</v>
          </cell>
          <cell r="C37" t="str">
            <v>KMCC-3</v>
          </cell>
          <cell r="D37" t="str">
            <v>면</v>
          </cell>
          <cell r="E37">
            <v>7320895</v>
          </cell>
          <cell r="F37" t="str">
            <v>삼덕</v>
          </cell>
          <cell r="G37">
            <v>7565171</v>
          </cell>
          <cell r="H37" t="str">
            <v>삼우</v>
          </cell>
          <cell r="K37">
            <v>7320895</v>
          </cell>
          <cell r="M37">
            <v>7320895</v>
          </cell>
        </row>
        <row r="38">
          <cell r="A38" t="str">
            <v>분전반KMCC-4</v>
          </cell>
          <cell r="B38" t="str">
            <v>분전반</v>
          </cell>
          <cell r="C38" t="str">
            <v>KMCC-4</v>
          </cell>
          <cell r="D38" t="str">
            <v>면</v>
          </cell>
          <cell r="E38">
            <v>7320895</v>
          </cell>
          <cell r="F38" t="str">
            <v>삼덕</v>
          </cell>
          <cell r="G38">
            <v>7565171</v>
          </cell>
          <cell r="H38" t="str">
            <v>삼우</v>
          </cell>
          <cell r="K38">
            <v>7320895</v>
          </cell>
          <cell r="M38">
            <v>7320895</v>
          </cell>
        </row>
        <row r="39">
          <cell r="A39" t="str">
            <v>MCCB BOX4P 50/30AT</v>
          </cell>
          <cell r="B39" t="str">
            <v>MCCB BOX</v>
          </cell>
          <cell r="C39" t="str">
            <v>4P 50/30AT</v>
          </cell>
          <cell r="D39" t="str">
            <v>면</v>
          </cell>
          <cell r="E39">
            <v>339810</v>
          </cell>
          <cell r="F39" t="str">
            <v>금성</v>
          </cell>
          <cell r="G39">
            <v>439900</v>
          </cell>
          <cell r="H39" t="str">
            <v>삼지</v>
          </cell>
          <cell r="M39">
            <v>339810</v>
          </cell>
        </row>
        <row r="55">
          <cell r="A55" t="str">
            <v>공덕 정거장</v>
          </cell>
          <cell r="B55" t="str">
            <v>공덕 정거장</v>
          </cell>
        </row>
        <row r="56">
          <cell r="A56" t="str">
            <v>인천국제공항</v>
          </cell>
          <cell r="B56" t="str">
            <v>인천국제공항</v>
          </cell>
        </row>
        <row r="57">
          <cell r="A57" t="str">
            <v>분전반LB3-1A</v>
          </cell>
          <cell r="B57" t="str">
            <v>분전반</v>
          </cell>
          <cell r="C57" t="str">
            <v>LB3-1A</v>
          </cell>
          <cell r="D57" t="str">
            <v>면</v>
          </cell>
          <cell r="E57">
            <v>903580</v>
          </cell>
          <cell r="F57" t="str">
            <v>금성</v>
          </cell>
          <cell r="G57">
            <v>994200</v>
          </cell>
          <cell r="H57" t="str">
            <v>삼지</v>
          </cell>
          <cell r="I57">
            <v>1067748</v>
          </cell>
          <cell r="J57" t="str">
            <v>제이케이</v>
          </cell>
          <cell r="M57">
            <v>903580</v>
          </cell>
        </row>
        <row r="58">
          <cell r="A58" t="str">
            <v>분전반LB3-1B</v>
          </cell>
          <cell r="B58" t="str">
            <v>분전반</v>
          </cell>
          <cell r="C58" t="str">
            <v>LB3-1B</v>
          </cell>
          <cell r="D58" t="str">
            <v>면</v>
          </cell>
          <cell r="E58">
            <v>689940</v>
          </cell>
          <cell r="F58" t="str">
            <v>금성</v>
          </cell>
          <cell r="G58">
            <v>759200</v>
          </cell>
          <cell r="H58" t="str">
            <v>삼지</v>
          </cell>
          <cell r="I58">
            <v>1001352</v>
          </cell>
          <cell r="J58" t="str">
            <v>제이케이</v>
          </cell>
          <cell r="M58">
            <v>689940</v>
          </cell>
        </row>
        <row r="59">
          <cell r="A59" t="str">
            <v>분전반LB3-2A</v>
          </cell>
          <cell r="B59" t="str">
            <v>분전반</v>
          </cell>
          <cell r="C59" t="str">
            <v>LB3-2A</v>
          </cell>
          <cell r="D59" t="str">
            <v>면</v>
          </cell>
          <cell r="E59">
            <v>1410510</v>
          </cell>
          <cell r="F59" t="str">
            <v>금성</v>
          </cell>
          <cell r="G59">
            <v>1552100</v>
          </cell>
          <cell r="H59" t="str">
            <v>삼지</v>
          </cell>
          <cell r="I59">
            <v>1500180</v>
          </cell>
          <cell r="J59" t="str">
            <v>제이케이</v>
          </cell>
          <cell r="M59">
            <v>1410510</v>
          </cell>
        </row>
        <row r="60">
          <cell r="A60" t="str">
            <v>분전반LB3-2B</v>
          </cell>
          <cell r="B60" t="str">
            <v>분전반</v>
          </cell>
          <cell r="C60" t="str">
            <v>LB3-2B</v>
          </cell>
          <cell r="D60" t="str">
            <v>면</v>
          </cell>
          <cell r="E60">
            <v>1517110</v>
          </cell>
          <cell r="F60" t="str">
            <v>금성</v>
          </cell>
          <cell r="G60">
            <v>1669500</v>
          </cell>
          <cell r="H60" t="str">
            <v>삼지</v>
          </cell>
          <cell r="I60">
            <v>1725636</v>
          </cell>
          <cell r="J60" t="str">
            <v>제이케이</v>
          </cell>
          <cell r="M60">
            <v>1517110</v>
          </cell>
        </row>
        <row r="61">
          <cell r="A61" t="str">
            <v>분전반LB3-3A</v>
          </cell>
          <cell r="B61" t="str">
            <v>분전반</v>
          </cell>
          <cell r="C61" t="str">
            <v>LB3-3A</v>
          </cell>
          <cell r="D61" t="str">
            <v>면</v>
          </cell>
          <cell r="E61">
            <v>1290590</v>
          </cell>
          <cell r="F61" t="str">
            <v>금성</v>
          </cell>
          <cell r="G61">
            <v>1419900</v>
          </cell>
          <cell r="H61" t="str">
            <v>삼지</v>
          </cell>
          <cell r="I61">
            <v>1566444</v>
          </cell>
          <cell r="J61" t="str">
            <v>제이케이</v>
          </cell>
          <cell r="M61">
            <v>1290590</v>
          </cell>
        </row>
        <row r="62">
          <cell r="A62" t="str">
            <v>분전반LB3-3B</v>
          </cell>
          <cell r="B62" t="str">
            <v>분전반</v>
          </cell>
          <cell r="C62" t="str">
            <v>LB3-3B</v>
          </cell>
          <cell r="D62" t="str">
            <v>면</v>
          </cell>
          <cell r="E62">
            <v>1218820</v>
          </cell>
          <cell r="F62" t="str">
            <v>금성</v>
          </cell>
          <cell r="G62">
            <v>1341200</v>
          </cell>
          <cell r="H62" t="str">
            <v>삼지</v>
          </cell>
          <cell r="I62">
            <v>1433916</v>
          </cell>
          <cell r="J62" t="str">
            <v>제이케이</v>
          </cell>
          <cell r="M62">
            <v>1218820</v>
          </cell>
        </row>
        <row r="63">
          <cell r="A63" t="str">
            <v>분전반LB5-1A</v>
          </cell>
          <cell r="B63" t="str">
            <v>분전반</v>
          </cell>
          <cell r="C63" t="str">
            <v>LB5-1A</v>
          </cell>
          <cell r="D63" t="str">
            <v>면</v>
          </cell>
          <cell r="E63">
            <v>909560</v>
          </cell>
          <cell r="F63" t="str">
            <v>금성</v>
          </cell>
          <cell r="G63">
            <v>1000800</v>
          </cell>
          <cell r="H63" t="str">
            <v>삼지</v>
          </cell>
          <cell r="I63">
            <v>1155924</v>
          </cell>
          <cell r="J63" t="str">
            <v>제이케이</v>
          </cell>
          <cell r="M63">
            <v>909560</v>
          </cell>
        </row>
        <row r="64">
          <cell r="A64" t="str">
            <v>분전반LB5-1B</v>
          </cell>
          <cell r="B64" t="str">
            <v>분전반</v>
          </cell>
          <cell r="C64" t="str">
            <v>LB5-1B</v>
          </cell>
          <cell r="D64" t="str">
            <v>면</v>
          </cell>
          <cell r="E64">
            <v>1110060</v>
          </cell>
          <cell r="F64" t="str">
            <v>금성</v>
          </cell>
          <cell r="G64">
            <v>1221500</v>
          </cell>
          <cell r="H64" t="str">
            <v>삼지</v>
          </cell>
          <cell r="I64">
            <v>1358412</v>
          </cell>
          <cell r="J64" t="str">
            <v>제이케이</v>
          </cell>
          <cell r="M64">
            <v>1110060</v>
          </cell>
        </row>
        <row r="65">
          <cell r="A65" t="str">
            <v>분전반LB5-2A</v>
          </cell>
          <cell r="B65" t="str">
            <v>분전반</v>
          </cell>
          <cell r="C65" t="str">
            <v>LB5-2A</v>
          </cell>
          <cell r="D65" t="str">
            <v>면</v>
          </cell>
          <cell r="E65">
            <v>909560</v>
          </cell>
          <cell r="F65" t="str">
            <v>금성</v>
          </cell>
          <cell r="G65">
            <v>1000800</v>
          </cell>
          <cell r="H65" t="str">
            <v>삼지</v>
          </cell>
          <cell r="I65">
            <v>1155924</v>
          </cell>
          <cell r="J65" t="str">
            <v>제이케이</v>
          </cell>
          <cell r="M65">
            <v>909560</v>
          </cell>
        </row>
        <row r="66">
          <cell r="A66" t="str">
            <v>분전반LB5-2B</v>
          </cell>
          <cell r="B66" t="str">
            <v>분전반</v>
          </cell>
          <cell r="C66" t="str">
            <v>LB5-2B</v>
          </cell>
          <cell r="D66" t="str">
            <v>면</v>
          </cell>
          <cell r="E66">
            <v>1110060</v>
          </cell>
          <cell r="F66" t="str">
            <v>금성</v>
          </cell>
          <cell r="G66">
            <v>1221500</v>
          </cell>
          <cell r="H66" t="str">
            <v>삼지</v>
          </cell>
          <cell r="I66">
            <v>1358412</v>
          </cell>
          <cell r="J66" t="str">
            <v>제이케이</v>
          </cell>
          <cell r="M66">
            <v>1110060</v>
          </cell>
        </row>
        <row r="67">
          <cell r="A67" t="str">
            <v>분전반LB5-3A</v>
          </cell>
          <cell r="B67" t="str">
            <v>분전반</v>
          </cell>
          <cell r="C67" t="str">
            <v>LB5-3A</v>
          </cell>
          <cell r="D67" t="str">
            <v>면</v>
          </cell>
          <cell r="E67">
            <v>909560</v>
          </cell>
          <cell r="F67" t="str">
            <v>금성</v>
          </cell>
          <cell r="G67">
            <v>1000800</v>
          </cell>
          <cell r="H67" t="str">
            <v>삼지</v>
          </cell>
          <cell r="I67">
            <v>1155924</v>
          </cell>
          <cell r="J67" t="str">
            <v>제이케이</v>
          </cell>
          <cell r="M67">
            <v>909560</v>
          </cell>
        </row>
        <row r="68">
          <cell r="A68" t="str">
            <v>분전반LB5-3B</v>
          </cell>
          <cell r="B68" t="str">
            <v>분전반</v>
          </cell>
          <cell r="C68" t="str">
            <v>LB5-3B</v>
          </cell>
          <cell r="D68" t="str">
            <v>면</v>
          </cell>
          <cell r="E68">
            <v>896080</v>
          </cell>
          <cell r="F68" t="str">
            <v>금성</v>
          </cell>
          <cell r="G68">
            <v>986100</v>
          </cell>
          <cell r="H68" t="str">
            <v>삼지</v>
          </cell>
          <cell r="I68">
            <v>1155924</v>
          </cell>
          <cell r="J68" t="str">
            <v>제이케이</v>
          </cell>
          <cell r="M68">
            <v>896080</v>
          </cell>
        </row>
        <row r="69">
          <cell r="A69" t="str">
            <v>분전반LB5-4A</v>
          </cell>
          <cell r="B69" t="str">
            <v>분전반</v>
          </cell>
          <cell r="C69" t="str">
            <v>LB5-4A</v>
          </cell>
          <cell r="D69" t="str">
            <v>면</v>
          </cell>
          <cell r="E69">
            <v>909560</v>
          </cell>
          <cell r="F69" t="str">
            <v>금성</v>
          </cell>
          <cell r="G69">
            <v>1000800</v>
          </cell>
          <cell r="H69" t="str">
            <v>삼지</v>
          </cell>
          <cell r="I69">
            <v>1155924</v>
          </cell>
          <cell r="J69" t="str">
            <v>제이케이</v>
          </cell>
          <cell r="M69">
            <v>909560</v>
          </cell>
        </row>
        <row r="70">
          <cell r="A70" t="str">
            <v>분전반LB5-4B</v>
          </cell>
          <cell r="B70" t="str">
            <v>분전반</v>
          </cell>
          <cell r="C70" t="str">
            <v>LB5-4B</v>
          </cell>
          <cell r="D70" t="str">
            <v>면</v>
          </cell>
          <cell r="E70">
            <v>896080</v>
          </cell>
          <cell r="F70" t="str">
            <v>금성</v>
          </cell>
          <cell r="G70">
            <v>986100</v>
          </cell>
          <cell r="H70" t="str">
            <v>삼지</v>
          </cell>
          <cell r="I70">
            <v>1080420</v>
          </cell>
          <cell r="J70" t="str">
            <v>제이케이</v>
          </cell>
          <cell r="M70">
            <v>896080</v>
          </cell>
        </row>
        <row r="71">
          <cell r="A71" t="str">
            <v>분전반L-C</v>
          </cell>
          <cell r="B71" t="str">
            <v>분전반</v>
          </cell>
          <cell r="C71" t="str">
            <v>L-C</v>
          </cell>
          <cell r="D71" t="str">
            <v>면</v>
          </cell>
          <cell r="E71">
            <v>1537600</v>
          </cell>
          <cell r="F71" t="str">
            <v>금성</v>
          </cell>
          <cell r="G71">
            <v>1691800</v>
          </cell>
          <cell r="H71" t="str">
            <v>삼지</v>
          </cell>
          <cell r="I71">
            <v>1925088</v>
          </cell>
          <cell r="J71" t="str">
            <v>제이케이</v>
          </cell>
          <cell r="M71">
            <v>1537600</v>
          </cell>
        </row>
        <row r="72">
          <cell r="A72" t="str">
            <v>분전반L-S</v>
          </cell>
          <cell r="B72" t="str">
            <v>분전반</v>
          </cell>
          <cell r="C72" t="str">
            <v>L-S</v>
          </cell>
          <cell r="D72" t="str">
            <v>면</v>
          </cell>
          <cell r="E72">
            <v>1476930</v>
          </cell>
          <cell r="F72" t="str">
            <v>금성</v>
          </cell>
          <cell r="G72">
            <v>1625500</v>
          </cell>
          <cell r="H72" t="str">
            <v>삼지</v>
          </cell>
          <cell r="I72">
            <v>1744380</v>
          </cell>
          <cell r="J72" t="str">
            <v>제이케이</v>
          </cell>
          <cell r="M72">
            <v>1476930</v>
          </cell>
        </row>
        <row r="73">
          <cell r="A73" t="str">
            <v>분전반L-D</v>
          </cell>
          <cell r="B73" t="str">
            <v>분전반</v>
          </cell>
          <cell r="C73" t="str">
            <v>L-D</v>
          </cell>
          <cell r="D73" t="str">
            <v>면</v>
          </cell>
          <cell r="E73">
            <v>553440</v>
          </cell>
          <cell r="F73" t="str">
            <v>금성</v>
          </cell>
          <cell r="G73">
            <v>608400</v>
          </cell>
          <cell r="H73" t="str">
            <v>삼지</v>
          </cell>
          <cell r="I73">
            <v>701448</v>
          </cell>
          <cell r="J73" t="str">
            <v>제이케이</v>
          </cell>
          <cell r="M73">
            <v>553440</v>
          </cell>
        </row>
        <row r="74">
          <cell r="A74" t="str">
            <v>분전반L-F</v>
          </cell>
          <cell r="B74" t="str">
            <v>분전반</v>
          </cell>
          <cell r="C74" t="str">
            <v>L-F</v>
          </cell>
          <cell r="D74" t="str">
            <v>면</v>
          </cell>
          <cell r="E74">
            <v>478980</v>
          </cell>
          <cell r="F74" t="str">
            <v>금성</v>
          </cell>
          <cell r="G74">
            <v>526600</v>
          </cell>
          <cell r="H74" t="str">
            <v>삼지</v>
          </cell>
          <cell r="I74">
            <v>738144</v>
          </cell>
          <cell r="J74" t="str">
            <v>제이케이</v>
          </cell>
          <cell r="M74">
            <v>478980</v>
          </cell>
        </row>
        <row r="75">
          <cell r="A75" t="str">
            <v>분전반P-P</v>
          </cell>
          <cell r="B75" t="str">
            <v>분전반</v>
          </cell>
          <cell r="C75" t="str">
            <v>P-P</v>
          </cell>
          <cell r="D75" t="str">
            <v>면</v>
          </cell>
          <cell r="E75">
            <v>570660</v>
          </cell>
          <cell r="F75" t="str">
            <v>금성</v>
          </cell>
          <cell r="G75">
            <v>627700</v>
          </cell>
          <cell r="H75" t="str">
            <v>삼지</v>
          </cell>
          <cell r="I75">
            <v>762960</v>
          </cell>
          <cell r="J75" t="str">
            <v>제이케이</v>
          </cell>
          <cell r="M75">
            <v>570660</v>
          </cell>
        </row>
        <row r="76">
          <cell r="A76" t="str">
            <v>분전반P-H</v>
          </cell>
          <cell r="B76" t="str">
            <v>분전반</v>
          </cell>
          <cell r="C76" t="str">
            <v>P-H</v>
          </cell>
          <cell r="D76" t="str">
            <v>면</v>
          </cell>
          <cell r="E76">
            <v>912670</v>
          </cell>
          <cell r="F76" t="str">
            <v>금성</v>
          </cell>
          <cell r="G76">
            <v>1004400</v>
          </cell>
          <cell r="H76" t="str">
            <v>삼지</v>
          </cell>
          <cell r="I76">
            <v>1054680</v>
          </cell>
          <cell r="J76" t="str">
            <v>제이케이</v>
          </cell>
          <cell r="M76">
            <v>912670</v>
          </cell>
        </row>
        <row r="77">
          <cell r="A77" t="str">
            <v>분전반LA-AFC</v>
          </cell>
          <cell r="B77" t="str">
            <v>분전반</v>
          </cell>
          <cell r="C77" t="str">
            <v>LA-AFC</v>
          </cell>
          <cell r="D77" t="str">
            <v>면</v>
          </cell>
          <cell r="E77">
            <v>881350</v>
          </cell>
          <cell r="F77" t="str">
            <v>금성</v>
          </cell>
          <cell r="G77">
            <v>986500</v>
          </cell>
          <cell r="H77" t="str">
            <v>삼지</v>
          </cell>
          <cell r="I77">
            <v>1120944</v>
          </cell>
          <cell r="J77" t="str">
            <v>제이케이</v>
          </cell>
          <cell r="M77">
            <v>881350</v>
          </cell>
        </row>
        <row r="78">
          <cell r="A78" t="str">
            <v>분전반EV-2</v>
          </cell>
          <cell r="B78" t="str">
            <v>분전반</v>
          </cell>
          <cell r="C78" t="str">
            <v>EV-2</v>
          </cell>
          <cell r="D78" t="str">
            <v>면</v>
          </cell>
          <cell r="E78">
            <v>392940</v>
          </cell>
          <cell r="F78" t="str">
            <v>금성</v>
          </cell>
          <cell r="G78">
            <v>432300</v>
          </cell>
          <cell r="H78" t="str">
            <v>삼지</v>
          </cell>
          <cell r="I78">
            <v>631092</v>
          </cell>
          <cell r="J78" t="str">
            <v>제이케이</v>
          </cell>
          <cell r="M78">
            <v>392940</v>
          </cell>
        </row>
        <row r="79">
          <cell r="A79" t="str">
            <v>분전반EV-3</v>
          </cell>
          <cell r="B79" t="str">
            <v>분전반</v>
          </cell>
          <cell r="C79" t="str">
            <v>EV-3</v>
          </cell>
          <cell r="D79" t="str">
            <v>면</v>
          </cell>
          <cell r="E79">
            <v>392940</v>
          </cell>
          <cell r="F79" t="str">
            <v>금성</v>
          </cell>
          <cell r="G79">
            <v>432300</v>
          </cell>
          <cell r="H79" t="str">
            <v>삼지</v>
          </cell>
          <cell r="I79">
            <v>631092</v>
          </cell>
          <cell r="J79" t="str">
            <v>제이케이</v>
          </cell>
          <cell r="M79">
            <v>392940</v>
          </cell>
        </row>
        <row r="80">
          <cell r="A80" t="str">
            <v>분전반ES-5</v>
          </cell>
          <cell r="B80" t="str">
            <v>분전반</v>
          </cell>
          <cell r="C80" t="str">
            <v>ES-5</v>
          </cell>
          <cell r="D80" t="str">
            <v>면</v>
          </cell>
          <cell r="E80">
            <v>392940</v>
          </cell>
          <cell r="F80" t="str">
            <v>금성</v>
          </cell>
          <cell r="G80">
            <v>432300</v>
          </cell>
          <cell r="H80" t="str">
            <v>삼지</v>
          </cell>
          <cell r="I80">
            <v>631092</v>
          </cell>
          <cell r="J80" t="str">
            <v>제이케이</v>
          </cell>
          <cell r="M80">
            <v>392940</v>
          </cell>
        </row>
        <row r="81">
          <cell r="A81" t="str">
            <v>분전반ES-6</v>
          </cell>
          <cell r="B81" t="str">
            <v>분전반</v>
          </cell>
          <cell r="C81" t="str">
            <v>ES-6</v>
          </cell>
          <cell r="D81" t="str">
            <v>면</v>
          </cell>
          <cell r="E81">
            <v>392940</v>
          </cell>
          <cell r="F81" t="str">
            <v>금성</v>
          </cell>
          <cell r="G81">
            <v>432300</v>
          </cell>
          <cell r="H81" t="str">
            <v>삼지</v>
          </cell>
          <cell r="I81">
            <v>631092</v>
          </cell>
          <cell r="J81" t="str">
            <v>제이케이</v>
          </cell>
          <cell r="M81">
            <v>392940</v>
          </cell>
        </row>
        <row r="82">
          <cell r="A82" t="str">
            <v>분전반ES-7</v>
          </cell>
          <cell r="B82" t="str">
            <v>분전반</v>
          </cell>
          <cell r="C82" t="str">
            <v>ES-7</v>
          </cell>
          <cell r="D82" t="str">
            <v>면</v>
          </cell>
          <cell r="E82">
            <v>392940</v>
          </cell>
          <cell r="F82" t="str">
            <v>금성</v>
          </cell>
          <cell r="G82">
            <v>432300</v>
          </cell>
          <cell r="H82" t="str">
            <v>삼지</v>
          </cell>
          <cell r="I82">
            <v>631092</v>
          </cell>
          <cell r="J82" t="str">
            <v>제이케이</v>
          </cell>
          <cell r="M82">
            <v>392940</v>
          </cell>
        </row>
        <row r="83">
          <cell r="A83" t="str">
            <v>분전반ES-8</v>
          </cell>
          <cell r="B83" t="str">
            <v>분전반</v>
          </cell>
          <cell r="C83" t="str">
            <v>ES-8</v>
          </cell>
          <cell r="D83" t="str">
            <v>면</v>
          </cell>
          <cell r="E83">
            <v>392940</v>
          </cell>
          <cell r="F83" t="str">
            <v>금성</v>
          </cell>
          <cell r="G83">
            <v>432300</v>
          </cell>
          <cell r="H83" t="str">
            <v>삼지</v>
          </cell>
          <cell r="I83">
            <v>631092</v>
          </cell>
          <cell r="J83" t="str">
            <v>제이케이</v>
          </cell>
          <cell r="M83">
            <v>392940</v>
          </cell>
        </row>
        <row r="84">
          <cell r="A84" t="str">
            <v>분전반MCC-3</v>
          </cell>
          <cell r="B84" t="str">
            <v>분전반</v>
          </cell>
          <cell r="C84" t="str">
            <v>MCC-3</v>
          </cell>
          <cell r="D84" t="str">
            <v>면</v>
          </cell>
          <cell r="E84">
            <v>10562690</v>
          </cell>
          <cell r="F84" t="str">
            <v>금성</v>
          </cell>
          <cell r="G84">
            <v>11625000</v>
          </cell>
          <cell r="H84" t="str">
            <v>삼지</v>
          </cell>
          <cell r="I84">
            <v>11977680</v>
          </cell>
          <cell r="J84" t="str">
            <v>제이케이</v>
          </cell>
          <cell r="M84">
            <v>10562690</v>
          </cell>
        </row>
        <row r="85">
          <cell r="A85" t="str">
            <v>분전반MCC-9</v>
          </cell>
          <cell r="B85" t="str">
            <v>분전반</v>
          </cell>
          <cell r="C85" t="str">
            <v>MCC-9</v>
          </cell>
          <cell r="D85" t="str">
            <v>면</v>
          </cell>
          <cell r="E85">
            <v>10763130</v>
          </cell>
          <cell r="F85" t="str">
            <v>금성</v>
          </cell>
          <cell r="G85">
            <v>11845400</v>
          </cell>
          <cell r="H85" t="str">
            <v>삼지</v>
          </cell>
          <cell r="I85">
            <v>12303192</v>
          </cell>
          <cell r="J85" t="str">
            <v>제이케이</v>
          </cell>
          <cell r="M85">
            <v>10763130</v>
          </cell>
        </row>
        <row r="86">
          <cell r="A86" t="str">
            <v>MCCB BOX4P 50/30AT</v>
          </cell>
          <cell r="B86" t="str">
            <v>MCCB BOX</v>
          </cell>
          <cell r="C86" t="str">
            <v>4P 50/30AT</v>
          </cell>
          <cell r="D86" t="str">
            <v>면</v>
          </cell>
          <cell r="E86">
            <v>339810</v>
          </cell>
          <cell r="F86" t="str">
            <v>금성</v>
          </cell>
          <cell r="G86">
            <v>439900</v>
          </cell>
          <cell r="H86" t="str">
            <v>삼지</v>
          </cell>
          <cell r="I86">
            <v>506836</v>
          </cell>
          <cell r="J86" t="str">
            <v>제이케이</v>
          </cell>
          <cell r="M86">
            <v>339810</v>
          </cell>
        </row>
        <row r="107">
          <cell r="A107" t="str">
            <v>공덕 정거장</v>
          </cell>
          <cell r="B107" t="str">
            <v>공덕 정거장</v>
          </cell>
        </row>
        <row r="108">
          <cell r="A108" t="str">
            <v>공용</v>
          </cell>
          <cell r="B108" t="str">
            <v>공용</v>
          </cell>
          <cell r="M108">
            <v>0</v>
          </cell>
        </row>
        <row r="109">
          <cell r="A109" t="str">
            <v>분전반L-E</v>
          </cell>
          <cell r="B109" t="str">
            <v>분전반</v>
          </cell>
          <cell r="C109" t="str">
            <v>L-E</v>
          </cell>
          <cell r="D109" t="str">
            <v>면</v>
          </cell>
          <cell r="E109">
            <v>579660</v>
          </cell>
          <cell r="F109" t="str">
            <v>금성</v>
          </cell>
          <cell r="G109">
            <v>638000</v>
          </cell>
          <cell r="H109" t="str">
            <v>삼지</v>
          </cell>
          <cell r="I109">
            <v>587400</v>
          </cell>
          <cell r="J109" t="str">
            <v>제이케이</v>
          </cell>
          <cell r="M109">
            <v>579660</v>
          </cell>
        </row>
        <row r="110">
          <cell r="A110" t="str">
            <v>분전반LB1-1A</v>
          </cell>
          <cell r="B110" t="str">
            <v>분전반</v>
          </cell>
          <cell r="C110" t="str">
            <v>LB1-1A</v>
          </cell>
          <cell r="D110" t="str">
            <v>면</v>
          </cell>
          <cell r="E110">
            <v>1503090</v>
          </cell>
          <cell r="F110" t="str">
            <v>금성</v>
          </cell>
          <cell r="G110">
            <v>1653900</v>
          </cell>
          <cell r="H110" t="str">
            <v>삼지</v>
          </cell>
          <cell r="I110">
            <v>1627164</v>
          </cell>
          <cell r="J110" t="str">
            <v>제이케이</v>
          </cell>
          <cell r="M110">
            <v>1503090</v>
          </cell>
        </row>
        <row r="111">
          <cell r="A111" t="str">
            <v>분전반LB1-1B</v>
          </cell>
          <cell r="B111" t="str">
            <v>분전반</v>
          </cell>
          <cell r="C111" t="str">
            <v>LB1-1B</v>
          </cell>
          <cell r="D111" t="str">
            <v>면</v>
          </cell>
          <cell r="E111">
            <v>1629140</v>
          </cell>
          <cell r="F111" t="str">
            <v>금성</v>
          </cell>
          <cell r="G111">
            <v>1792800</v>
          </cell>
          <cell r="H111" t="str">
            <v>삼지</v>
          </cell>
          <cell r="I111">
            <v>1711908</v>
          </cell>
          <cell r="J111" t="str">
            <v>제이케이</v>
          </cell>
          <cell r="M111">
            <v>1629140</v>
          </cell>
        </row>
        <row r="112">
          <cell r="A112" t="str">
            <v>분전반LB1-2A</v>
          </cell>
          <cell r="B112" t="str">
            <v>분전반</v>
          </cell>
          <cell r="C112" t="str">
            <v>LB1-2A</v>
          </cell>
          <cell r="D112" t="str">
            <v>면</v>
          </cell>
          <cell r="E112">
            <v>1190780</v>
          </cell>
          <cell r="F112" t="str">
            <v>금성</v>
          </cell>
          <cell r="G112">
            <v>1310000</v>
          </cell>
          <cell r="H112" t="str">
            <v>삼지</v>
          </cell>
          <cell r="I112">
            <v>1415436</v>
          </cell>
          <cell r="J112" t="str">
            <v>제이케이</v>
          </cell>
          <cell r="M112">
            <v>1190780</v>
          </cell>
        </row>
        <row r="113">
          <cell r="A113" t="str">
            <v>분전반LB1-2B</v>
          </cell>
          <cell r="B113" t="str">
            <v>분전반</v>
          </cell>
          <cell r="C113" t="str">
            <v>LB1-2B</v>
          </cell>
          <cell r="D113" t="str">
            <v>면</v>
          </cell>
          <cell r="E113">
            <v>1110060</v>
          </cell>
          <cell r="F113" t="str">
            <v>금성</v>
          </cell>
          <cell r="G113">
            <v>1221500</v>
          </cell>
          <cell r="H113" t="str">
            <v>삼지</v>
          </cell>
          <cell r="I113">
            <v>1358412</v>
          </cell>
          <cell r="J113" t="str">
            <v>제이케이</v>
          </cell>
          <cell r="M113">
            <v>1110060</v>
          </cell>
        </row>
        <row r="114">
          <cell r="A114" t="str">
            <v>분전반LB3-4A</v>
          </cell>
          <cell r="B114" t="str">
            <v>분전반</v>
          </cell>
          <cell r="C114" t="str">
            <v>LB3-4A</v>
          </cell>
          <cell r="D114" t="str">
            <v>면</v>
          </cell>
          <cell r="E114">
            <v>1110060</v>
          </cell>
          <cell r="F114" t="str">
            <v>금성</v>
          </cell>
          <cell r="G114">
            <v>1221500</v>
          </cell>
          <cell r="H114" t="str">
            <v>삼지</v>
          </cell>
          <cell r="I114">
            <v>1358412</v>
          </cell>
          <cell r="J114" t="str">
            <v>제이케이</v>
          </cell>
          <cell r="M114">
            <v>1110060</v>
          </cell>
        </row>
        <row r="115">
          <cell r="A115" t="str">
            <v>분전반LB3-4B</v>
          </cell>
          <cell r="B115" t="str">
            <v>분전반</v>
          </cell>
          <cell r="C115" t="str">
            <v>LB3-4B</v>
          </cell>
          <cell r="D115" t="str">
            <v>면</v>
          </cell>
          <cell r="E115">
            <v>1218820</v>
          </cell>
          <cell r="F115" t="str">
            <v>금성</v>
          </cell>
          <cell r="G115">
            <v>1341200</v>
          </cell>
          <cell r="H115" t="str">
            <v>삼지</v>
          </cell>
          <cell r="I115">
            <v>1433916</v>
          </cell>
          <cell r="J115" t="str">
            <v>제이케이</v>
          </cell>
          <cell r="M115">
            <v>1218820</v>
          </cell>
        </row>
        <row r="116">
          <cell r="A116" t="str">
            <v>분전반LB3-5A</v>
          </cell>
          <cell r="B116" t="str">
            <v>분전반</v>
          </cell>
          <cell r="C116" t="str">
            <v>LB3-5A</v>
          </cell>
          <cell r="D116" t="str">
            <v>면</v>
          </cell>
          <cell r="E116">
            <v>1204800</v>
          </cell>
          <cell r="F116" t="str">
            <v>금성</v>
          </cell>
          <cell r="G116">
            <v>1325600</v>
          </cell>
          <cell r="H116" t="str">
            <v>삼지</v>
          </cell>
          <cell r="I116">
            <v>1424676</v>
          </cell>
          <cell r="J116" t="str">
            <v>제이케이</v>
          </cell>
          <cell r="M116">
            <v>1204800</v>
          </cell>
        </row>
        <row r="117">
          <cell r="A117" t="str">
            <v>분전반LB3-5B</v>
          </cell>
          <cell r="B117" t="str">
            <v>분전반</v>
          </cell>
          <cell r="C117" t="str">
            <v>LB3-5B</v>
          </cell>
          <cell r="D117" t="str">
            <v>면</v>
          </cell>
          <cell r="E117">
            <v>1218820</v>
          </cell>
          <cell r="F117" t="str">
            <v>금성</v>
          </cell>
          <cell r="G117">
            <v>1341200</v>
          </cell>
          <cell r="H117" t="str">
            <v>삼지</v>
          </cell>
          <cell r="I117">
            <v>1433916</v>
          </cell>
          <cell r="J117" t="str">
            <v>제이케이</v>
          </cell>
          <cell r="M117">
            <v>1218820</v>
          </cell>
        </row>
        <row r="118">
          <cell r="A118" t="str">
            <v>분전반LB4-1A</v>
          </cell>
          <cell r="B118" t="str">
            <v>분전반</v>
          </cell>
          <cell r="C118" t="str">
            <v>LB4-1A</v>
          </cell>
          <cell r="D118" t="str">
            <v>면</v>
          </cell>
          <cell r="E118">
            <v>903580</v>
          </cell>
          <cell r="F118" t="str">
            <v>금성</v>
          </cell>
          <cell r="G118">
            <v>994200</v>
          </cell>
          <cell r="H118" t="str">
            <v>삼지</v>
          </cell>
          <cell r="I118">
            <v>1170708</v>
          </cell>
          <cell r="J118" t="str">
            <v>제이케이</v>
          </cell>
          <cell r="M118">
            <v>903580</v>
          </cell>
        </row>
        <row r="119">
          <cell r="A119" t="str">
            <v>분전반LB4-1B</v>
          </cell>
          <cell r="B119" t="str">
            <v>분전반</v>
          </cell>
          <cell r="C119" t="str">
            <v>LB4-1B</v>
          </cell>
          <cell r="D119" t="str">
            <v>면</v>
          </cell>
          <cell r="E119">
            <v>689940</v>
          </cell>
          <cell r="F119" t="str">
            <v>금성</v>
          </cell>
          <cell r="G119">
            <v>759200</v>
          </cell>
          <cell r="H119" t="str">
            <v>삼지</v>
          </cell>
          <cell r="I119">
            <v>865392</v>
          </cell>
          <cell r="J119" t="str">
            <v>제이케이</v>
          </cell>
          <cell r="M119">
            <v>689940</v>
          </cell>
        </row>
        <row r="120">
          <cell r="A120" t="str">
            <v>분전반LB4-2A</v>
          </cell>
          <cell r="B120" t="str">
            <v>분전반</v>
          </cell>
          <cell r="C120" t="str">
            <v>LB4-2A</v>
          </cell>
          <cell r="D120" t="str">
            <v>면</v>
          </cell>
          <cell r="E120">
            <v>599740</v>
          </cell>
          <cell r="F120" t="str">
            <v>금성</v>
          </cell>
          <cell r="G120">
            <v>659900</v>
          </cell>
          <cell r="H120" t="str">
            <v>삼지</v>
          </cell>
          <cell r="I120">
            <v>733116</v>
          </cell>
          <cell r="J120" t="str">
            <v>제이케이</v>
          </cell>
          <cell r="M120">
            <v>599740</v>
          </cell>
        </row>
        <row r="121">
          <cell r="A121" t="str">
            <v>분전반LB4-2B</v>
          </cell>
          <cell r="B121" t="str">
            <v>분전반</v>
          </cell>
          <cell r="C121" t="str">
            <v>LB4-2B</v>
          </cell>
          <cell r="D121" t="str">
            <v>면</v>
          </cell>
          <cell r="E121">
            <v>491180</v>
          </cell>
          <cell r="F121" t="str">
            <v>금성</v>
          </cell>
          <cell r="G121">
            <v>540600</v>
          </cell>
          <cell r="H121" t="str">
            <v>삼지</v>
          </cell>
          <cell r="I121">
            <v>714384</v>
          </cell>
          <cell r="J121" t="str">
            <v>제이케이</v>
          </cell>
          <cell r="M121">
            <v>491180</v>
          </cell>
        </row>
        <row r="122">
          <cell r="A122" t="str">
            <v>분전반LB4-3A</v>
          </cell>
          <cell r="B122" t="str">
            <v>분전반</v>
          </cell>
          <cell r="C122" t="str">
            <v>LB4-3A</v>
          </cell>
          <cell r="D122" t="str">
            <v>면</v>
          </cell>
          <cell r="E122">
            <v>827810</v>
          </cell>
          <cell r="F122" t="str">
            <v>금성</v>
          </cell>
          <cell r="G122">
            <v>910900</v>
          </cell>
          <cell r="H122" t="str">
            <v>삼지</v>
          </cell>
          <cell r="I122">
            <v>1034484</v>
          </cell>
          <cell r="J122" t="str">
            <v>제이케이</v>
          </cell>
          <cell r="M122">
            <v>827810</v>
          </cell>
        </row>
        <row r="123">
          <cell r="A123" t="str">
            <v>분전반LB4-3B</v>
          </cell>
          <cell r="B123" t="str">
            <v>분전반</v>
          </cell>
          <cell r="C123" t="str">
            <v>LB4-3B</v>
          </cell>
          <cell r="D123" t="str">
            <v>면</v>
          </cell>
          <cell r="E123">
            <v>689940</v>
          </cell>
          <cell r="F123" t="str">
            <v>금성</v>
          </cell>
          <cell r="G123">
            <v>759200</v>
          </cell>
          <cell r="H123" t="str">
            <v>삼지</v>
          </cell>
          <cell r="I123">
            <v>1001352</v>
          </cell>
          <cell r="J123" t="str">
            <v>제이케이</v>
          </cell>
          <cell r="M123">
            <v>689940</v>
          </cell>
        </row>
        <row r="124">
          <cell r="A124" t="str">
            <v>분전반EV-1</v>
          </cell>
          <cell r="B124" t="str">
            <v>분전반</v>
          </cell>
          <cell r="C124" t="str">
            <v>EV-1</v>
          </cell>
          <cell r="D124" t="str">
            <v>면</v>
          </cell>
          <cell r="E124">
            <v>392940</v>
          </cell>
          <cell r="F124" t="str">
            <v>금성</v>
          </cell>
          <cell r="G124">
            <v>432300</v>
          </cell>
          <cell r="H124" t="str">
            <v>삼지</v>
          </cell>
          <cell r="I124">
            <v>631092</v>
          </cell>
          <cell r="J124" t="str">
            <v>제이케이</v>
          </cell>
          <cell r="M124">
            <v>392940</v>
          </cell>
        </row>
        <row r="125">
          <cell r="A125" t="str">
            <v>분전반ES-1</v>
          </cell>
          <cell r="B125" t="str">
            <v>분전반</v>
          </cell>
          <cell r="C125" t="str">
            <v>ES-1</v>
          </cell>
          <cell r="D125" t="str">
            <v>면</v>
          </cell>
          <cell r="E125">
            <v>476650</v>
          </cell>
          <cell r="F125" t="str">
            <v>금성</v>
          </cell>
          <cell r="G125">
            <v>524300</v>
          </cell>
          <cell r="H125" t="str">
            <v>삼지</v>
          </cell>
          <cell r="I125">
            <v>697356</v>
          </cell>
          <cell r="J125" t="str">
            <v>제이케이</v>
          </cell>
          <cell r="M125">
            <v>476650</v>
          </cell>
        </row>
        <row r="126">
          <cell r="A126" t="str">
            <v>분전반ES-2</v>
          </cell>
          <cell r="B126" t="str">
            <v>분전반</v>
          </cell>
          <cell r="C126" t="str">
            <v>ES-2</v>
          </cell>
          <cell r="D126" t="str">
            <v>면</v>
          </cell>
          <cell r="E126">
            <v>392940</v>
          </cell>
          <cell r="F126" t="str">
            <v>금성</v>
          </cell>
          <cell r="G126">
            <v>432300</v>
          </cell>
          <cell r="H126" t="str">
            <v>삼지</v>
          </cell>
          <cell r="I126">
            <v>631092</v>
          </cell>
          <cell r="J126" t="str">
            <v>제이케이</v>
          </cell>
          <cell r="M126">
            <v>392940</v>
          </cell>
        </row>
        <row r="127">
          <cell r="A127" t="str">
            <v>분전반ES-3</v>
          </cell>
          <cell r="B127" t="str">
            <v>분전반</v>
          </cell>
          <cell r="C127" t="str">
            <v>ES-3</v>
          </cell>
          <cell r="D127" t="str">
            <v>면</v>
          </cell>
          <cell r="E127">
            <v>476650</v>
          </cell>
          <cell r="F127" t="str">
            <v>금성</v>
          </cell>
          <cell r="G127">
            <v>524300</v>
          </cell>
          <cell r="H127" t="str">
            <v>삼지</v>
          </cell>
          <cell r="I127">
            <v>697356</v>
          </cell>
          <cell r="J127" t="str">
            <v>제이케이</v>
          </cell>
          <cell r="M127">
            <v>476650</v>
          </cell>
        </row>
        <row r="128">
          <cell r="A128" t="str">
            <v>분전반ES-4</v>
          </cell>
          <cell r="B128" t="str">
            <v>분전반</v>
          </cell>
          <cell r="C128" t="str">
            <v>ES-4</v>
          </cell>
          <cell r="D128" t="str">
            <v>면</v>
          </cell>
          <cell r="E128">
            <v>392940</v>
          </cell>
          <cell r="F128" t="str">
            <v>금성</v>
          </cell>
          <cell r="G128">
            <v>432300</v>
          </cell>
          <cell r="H128" t="str">
            <v>삼지</v>
          </cell>
          <cell r="I128">
            <v>631092</v>
          </cell>
          <cell r="J128" t="str">
            <v>제이케이</v>
          </cell>
          <cell r="M128">
            <v>392940</v>
          </cell>
        </row>
        <row r="129">
          <cell r="A129" t="str">
            <v>분전반ES-9</v>
          </cell>
          <cell r="B129" t="str">
            <v>분전반</v>
          </cell>
          <cell r="C129" t="str">
            <v>ES-9</v>
          </cell>
          <cell r="D129" t="str">
            <v>면</v>
          </cell>
          <cell r="E129">
            <v>392940</v>
          </cell>
          <cell r="F129" t="str">
            <v>금성</v>
          </cell>
          <cell r="G129">
            <v>432300</v>
          </cell>
          <cell r="H129" t="str">
            <v>삼지</v>
          </cell>
          <cell r="I129">
            <v>631092</v>
          </cell>
          <cell r="J129" t="str">
            <v>제이케이</v>
          </cell>
          <cell r="M129">
            <v>392940</v>
          </cell>
        </row>
        <row r="130">
          <cell r="A130" t="str">
            <v>분전반ES-10</v>
          </cell>
          <cell r="B130" t="str">
            <v>분전반</v>
          </cell>
          <cell r="C130" t="str">
            <v>ES-10</v>
          </cell>
          <cell r="D130" t="str">
            <v>면</v>
          </cell>
          <cell r="E130">
            <v>392940</v>
          </cell>
          <cell r="F130" t="str">
            <v>금성</v>
          </cell>
          <cell r="G130">
            <v>432300</v>
          </cell>
          <cell r="H130" t="str">
            <v>삼지</v>
          </cell>
          <cell r="I130">
            <v>631092</v>
          </cell>
          <cell r="J130" t="str">
            <v>제이케이</v>
          </cell>
          <cell r="M130">
            <v>392940</v>
          </cell>
        </row>
        <row r="131">
          <cell r="A131" t="str">
            <v>분전반L-PL</v>
          </cell>
          <cell r="B131" t="str">
            <v>분전반</v>
          </cell>
          <cell r="C131" t="str">
            <v>L-PL</v>
          </cell>
          <cell r="D131" t="str">
            <v>면</v>
          </cell>
          <cell r="F131" t="str">
            <v>금성</v>
          </cell>
          <cell r="H131" t="str">
            <v>삼지</v>
          </cell>
          <cell r="I131">
            <v>738144</v>
          </cell>
          <cell r="J131" t="str">
            <v>제이케이</v>
          </cell>
          <cell r="M131">
            <v>738144</v>
          </cell>
        </row>
        <row r="132">
          <cell r="A132" t="str">
            <v>분전반MCC-1</v>
          </cell>
          <cell r="B132" t="str">
            <v>분전반</v>
          </cell>
          <cell r="C132" t="str">
            <v>MCC-1</v>
          </cell>
          <cell r="D132" t="str">
            <v>면</v>
          </cell>
          <cell r="E132">
            <v>9898520</v>
          </cell>
          <cell r="F132" t="str">
            <v>금성</v>
          </cell>
          <cell r="G132">
            <v>10894200</v>
          </cell>
          <cell r="H132" t="str">
            <v>삼지</v>
          </cell>
          <cell r="I132">
            <v>11136180</v>
          </cell>
          <cell r="J132" t="str">
            <v>제이케이</v>
          </cell>
          <cell r="M132">
            <v>9898520</v>
          </cell>
        </row>
        <row r="133">
          <cell r="A133" t="str">
            <v>분전반MCC-2</v>
          </cell>
          <cell r="B133" t="str">
            <v>분전반</v>
          </cell>
          <cell r="C133" t="str">
            <v>MCC-2</v>
          </cell>
          <cell r="D133" t="str">
            <v>면</v>
          </cell>
          <cell r="E133">
            <v>9120530</v>
          </cell>
          <cell r="F133" t="str">
            <v>금성</v>
          </cell>
          <cell r="G133">
            <v>10037900</v>
          </cell>
          <cell r="H133" t="str">
            <v>삼지</v>
          </cell>
          <cell r="I133">
            <v>10157400</v>
          </cell>
          <cell r="J133" t="str">
            <v>제이케이</v>
          </cell>
          <cell r="M133">
            <v>9120530</v>
          </cell>
        </row>
        <row r="134">
          <cell r="A134" t="str">
            <v>분전반MCC-4</v>
          </cell>
          <cell r="B134" t="str">
            <v>분전반</v>
          </cell>
          <cell r="C134" t="str">
            <v>MCC-4</v>
          </cell>
          <cell r="D134" t="str">
            <v>면</v>
          </cell>
          <cell r="E134">
            <v>11250090</v>
          </cell>
          <cell r="F134" t="str">
            <v>금성</v>
          </cell>
          <cell r="G134">
            <v>12381300</v>
          </cell>
          <cell r="H134" t="str">
            <v>삼지</v>
          </cell>
          <cell r="I134">
            <v>12601116</v>
          </cell>
          <cell r="J134" t="str">
            <v>제이케이</v>
          </cell>
          <cell r="M134">
            <v>11250090</v>
          </cell>
        </row>
        <row r="135">
          <cell r="A135" t="str">
            <v>분전반MCC-5A</v>
          </cell>
          <cell r="B135" t="str">
            <v>분전반</v>
          </cell>
          <cell r="C135" t="str">
            <v>MCC-5A</v>
          </cell>
          <cell r="D135" t="str">
            <v>면</v>
          </cell>
          <cell r="E135">
            <v>9692350</v>
          </cell>
          <cell r="F135" t="str">
            <v>금성</v>
          </cell>
          <cell r="G135">
            <v>10667100</v>
          </cell>
          <cell r="H135" t="str">
            <v>삼지</v>
          </cell>
          <cell r="I135">
            <v>10884456</v>
          </cell>
          <cell r="J135" t="str">
            <v>제이케이</v>
          </cell>
          <cell r="M135">
            <v>9692350</v>
          </cell>
        </row>
        <row r="136">
          <cell r="A136" t="str">
            <v>분전반MCC-5B</v>
          </cell>
          <cell r="B136" t="str">
            <v>분전반</v>
          </cell>
          <cell r="C136" t="str">
            <v>MCC-5B</v>
          </cell>
          <cell r="D136" t="str">
            <v>면</v>
          </cell>
          <cell r="E136">
            <v>10152350</v>
          </cell>
          <cell r="F136" t="str">
            <v>금성</v>
          </cell>
          <cell r="G136">
            <v>11173400</v>
          </cell>
          <cell r="H136" t="str">
            <v>삼지</v>
          </cell>
          <cell r="I136">
            <v>11475288</v>
          </cell>
          <cell r="J136" t="str">
            <v>제이케이</v>
          </cell>
          <cell r="M136">
            <v>10152350</v>
          </cell>
        </row>
        <row r="137">
          <cell r="A137" t="str">
            <v>분전반MCC-6</v>
          </cell>
          <cell r="B137" t="str">
            <v>분전반</v>
          </cell>
          <cell r="C137" t="str">
            <v>MCC-6</v>
          </cell>
          <cell r="D137" t="str">
            <v>면</v>
          </cell>
          <cell r="E137">
            <v>13397110</v>
          </cell>
          <cell r="F137" t="str">
            <v>금성</v>
          </cell>
          <cell r="G137">
            <v>14744500</v>
          </cell>
          <cell r="H137" t="str">
            <v>삼지</v>
          </cell>
          <cell r="I137">
            <v>14936196</v>
          </cell>
          <cell r="J137" t="str">
            <v>제이케이</v>
          </cell>
          <cell r="M137">
            <v>13397110</v>
          </cell>
        </row>
        <row r="138">
          <cell r="A138" t="str">
            <v>분전반MCC-7</v>
          </cell>
          <cell r="B138" t="str">
            <v>분전반</v>
          </cell>
          <cell r="C138" t="str">
            <v>MCC-7</v>
          </cell>
          <cell r="D138" t="str">
            <v>면</v>
          </cell>
          <cell r="E138">
            <v>11103560</v>
          </cell>
          <cell r="F138" t="str">
            <v>금성</v>
          </cell>
          <cell r="G138">
            <v>12218700</v>
          </cell>
          <cell r="H138" t="str">
            <v>삼지</v>
          </cell>
          <cell r="I138">
            <v>11056584</v>
          </cell>
          <cell r="J138" t="str">
            <v>제이케이</v>
          </cell>
          <cell r="M138">
            <v>11056584</v>
          </cell>
        </row>
        <row r="139">
          <cell r="A139" t="str">
            <v>분전반MCC-8</v>
          </cell>
          <cell r="B139" t="str">
            <v>분전반</v>
          </cell>
          <cell r="C139" t="str">
            <v>MCC-8</v>
          </cell>
          <cell r="D139" t="str">
            <v>면</v>
          </cell>
          <cell r="E139">
            <v>7799780</v>
          </cell>
          <cell r="F139" t="str">
            <v>금성</v>
          </cell>
          <cell r="G139">
            <v>8583500</v>
          </cell>
          <cell r="H139" t="str">
            <v>삼지</v>
          </cell>
          <cell r="I139">
            <v>9540168</v>
          </cell>
          <cell r="J139" t="str">
            <v>제이케이</v>
          </cell>
          <cell r="M139">
            <v>7799780</v>
          </cell>
        </row>
        <row r="140">
          <cell r="A140" t="str">
            <v>분전반MCC-F</v>
          </cell>
          <cell r="B140" t="str">
            <v>분전반</v>
          </cell>
          <cell r="C140" t="str">
            <v>MCC-F</v>
          </cell>
          <cell r="D140" t="str">
            <v>면</v>
          </cell>
          <cell r="E140">
            <v>9554700</v>
          </cell>
          <cell r="F140" t="str">
            <v>금성</v>
          </cell>
          <cell r="G140">
            <v>10515400</v>
          </cell>
          <cell r="H140" t="str">
            <v>삼지</v>
          </cell>
          <cell r="I140">
            <v>9322764</v>
          </cell>
          <cell r="J140" t="str">
            <v>제이케이</v>
          </cell>
          <cell r="M140">
            <v>9322764</v>
          </cell>
        </row>
        <row r="141">
          <cell r="A141" t="str">
            <v>MCCB BOX4P 50/50AT</v>
          </cell>
          <cell r="B141" t="str">
            <v>MCCB BOX</v>
          </cell>
          <cell r="C141" t="str">
            <v>4P 50/50AT</v>
          </cell>
          <cell r="D141" t="str">
            <v>면</v>
          </cell>
          <cell r="E141">
            <v>399810</v>
          </cell>
          <cell r="F141" t="str">
            <v>금성</v>
          </cell>
          <cell r="G141">
            <v>439900</v>
          </cell>
          <cell r="H141" t="str">
            <v>삼지</v>
          </cell>
          <cell r="I141">
            <v>506836</v>
          </cell>
          <cell r="J141" t="str">
            <v>제이케이</v>
          </cell>
          <cell r="M141">
            <v>399810</v>
          </cell>
        </row>
        <row r="142">
          <cell r="A142" t="str">
            <v>UPS75KVA</v>
          </cell>
          <cell r="B142" t="str">
            <v>UPS</v>
          </cell>
          <cell r="C142" t="str">
            <v>75KVA</v>
          </cell>
          <cell r="D142" t="str">
            <v>SET</v>
          </cell>
          <cell r="E142">
            <v>74500000</v>
          </cell>
          <cell r="F142" t="str">
            <v>금성</v>
          </cell>
          <cell r="K142">
            <v>74500000</v>
          </cell>
          <cell r="M142">
            <v>74500000</v>
          </cell>
        </row>
        <row r="159">
          <cell r="A159" t="str">
            <v>경의선</v>
          </cell>
          <cell r="B159" t="str">
            <v>경의선</v>
          </cell>
        </row>
        <row r="160">
          <cell r="A160" t="str">
            <v>주조작반(DESK TYPE)경의선용</v>
          </cell>
          <cell r="B160" t="str">
            <v>주조작반(DESK TYPE)</v>
          </cell>
          <cell r="C160" t="str">
            <v>경의선용</v>
          </cell>
          <cell r="D160" t="str">
            <v>면</v>
          </cell>
          <cell r="E160">
            <v>10380000</v>
          </cell>
          <cell r="F160" t="str">
            <v>엠알</v>
          </cell>
          <cell r="G160">
            <v>11000000</v>
          </cell>
          <cell r="H160" t="str">
            <v>라이팅</v>
          </cell>
          <cell r="I160">
            <v>11400000</v>
          </cell>
          <cell r="J160" t="str">
            <v>옴니</v>
          </cell>
          <cell r="K160">
            <v>10380000</v>
          </cell>
          <cell r="M160">
            <v>10380000</v>
          </cell>
        </row>
        <row r="161">
          <cell r="A161" t="str">
            <v>조명제어 PANELKLAP-B1-2A</v>
          </cell>
          <cell r="B161" t="str">
            <v>조명제어 PANEL</v>
          </cell>
          <cell r="C161" t="str">
            <v>KLAP-B1-2A</v>
          </cell>
          <cell r="D161" t="str">
            <v>면</v>
          </cell>
          <cell r="E161">
            <v>1450000</v>
          </cell>
          <cell r="F161" t="str">
            <v>엠알</v>
          </cell>
          <cell r="G161">
            <v>1523000</v>
          </cell>
          <cell r="H161" t="str">
            <v>라이팅</v>
          </cell>
          <cell r="I161">
            <v>1566000</v>
          </cell>
          <cell r="J161" t="str">
            <v>옴니</v>
          </cell>
          <cell r="K161">
            <v>1450000</v>
          </cell>
          <cell r="M161">
            <v>1450000</v>
          </cell>
        </row>
        <row r="162">
          <cell r="A162" t="str">
            <v>조명제어 PANELKLAP-B1-2B</v>
          </cell>
          <cell r="B162" t="str">
            <v>조명제어 PANEL</v>
          </cell>
          <cell r="C162" t="str">
            <v>KLAP-B1-2B</v>
          </cell>
          <cell r="D162" t="str">
            <v>면</v>
          </cell>
          <cell r="E162">
            <v>1450000</v>
          </cell>
          <cell r="F162" t="str">
            <v>엠알</v>
          </cell>
          <cell r="G162">
            <v>1523000</v>
          </cell>
          <cell r="H162" t="str">
            <v>라이팅</v>
          </cell>
          <cell r="I162">
            <v>1566000</v>
          </cell>
          <cell r="J162" t="str">
            <v>옴니</v>
          </cell>
          <cell r="K162">
            <v>1450000</v>
          </cell>
          <cell r="M162">
            <v>1450000</v>
          </cell>
        </row>
        <row r="163">
          <cell r="A163" t="str">
            <v>조명제어 PANELKLAP-PL</v>
          </cell>
          <cell r="B163" t="str">
            <v>조명제어 PANEL</v>
          </cell>
          <cell r="C163" t="str">
            <v>KLAP-PL</v>
          </cell>
          <cell r="D163" t="str">
            <v>면</v>
          </cell>
          <cell r="E163">
            <v>990000</v>
          </cell>
          <cell r="F163" t="str">
            <v>엠알</v>
          </cell>
          <cell r="G163">
            <v>1040000</v>
          </cell>
          <cell r="H163" t="str">
            <v>라이팅</v>
          </cell>
          <cell r="I163">
            <v>1069000</v>
          </cell>
          <cell r="J163" t="str">
            <v>옴니</v>
          </cell>
          <cell r="K163">
            <v>990000</v>
          </cell>
          <cell r="M163">
            <v>990000</v>
          </cell>
        </row>
        <row r="164">
          <cell r="A164" t="str">
            <v>조명제어 PANELKLAP-B2-1A</v>
          </cell>
          <cell r="B164" t="str">
            <v>조명제어 PANEL</v>
          </cell>
          <cell r="C164" t="str">
            <v>KLAP-B2-1A</v>
          </cell>
          <cell r="D164" t="str">
            <v>면</v>
          </cell>
          <cell r="E164">
            <v>1090000</v>
          </cell>
          <cell r="F164" t="str">
            <v>엠알</v>
          </cell>
          <cell r="G164">
            <v>1145000</v>
          </cell>
          <cell r="H164" t="str">
            <v>라이팅</v>
          </cell>
          <cell r="I164">
            <v>1177000</v>
          </cell>
          <cell r="J164" t="str">
            <v>옴니</v>
          </cell>
          <cell r="K164">
            <v>1090000</v>
          </cell>
          <cell r="M164">
            <v>1090000</v>
          </cell>
        </row>
        <row r="165">
          <cell r="A165" t="str">
            <v>조명제어 PANELKLAP-B2-1B</v>
          </cell>
          <cell r="B165" t="str">
            <v>조명제어 PANEL</v>
          </cell>
          <cell r="C165" t="str">
            <v>KLAP-B2-1B</v>
          </cell>
          <cell r="D165" t="str">
            <v>면</v>
          </cell>
          <cell r="E165">
            <v>1090000</v>
          </cell>
          <cell r="F165" t="str">
            <v>엠알</v>
          </cell>
          <cell r="G165">
            <v>1145000</v>
          </cell>
          <cell r="H165" t="str">
            <v>라이팅</v>
          </cell>
          <cell r="I165">
            <v>1177000</v>
          </cell>
          <cell r="J165" t="str">
            <v>옴니</v>
          </cell>
          <cell r="K165">
            <v>1090000</v>
          </cell>
          <cell r="M165">
            <v>1090000</v>
          </cell>
        </row>
        <row r="166">
          <cell r="A166" t="str">
            <v>조명제어 PANELKLAP-B2-2A</v>
          </cell>
          <cell r="B166" t="str">
            <v>조명제어 PANEL</v>
          </cell>
          <cell r="C166" t="str">
            <v>KLAP-B2-2A</v>
          </cell>
          <cell r="D166" t="str">
            <v>면</v>
          </cell>
          <cell r="E166">
            <v>1350000</v>
          </cell>
          <cell r="F166" t="str">
            <v>엠알</v>
          </cell>
          <cell r="G166">
            <v>1418000</v>
          </cell>
          <cell r="H166" t="str">
            <v>라이팅</v>
          </cell>
          <cell r="I166">
            <v>1458000</v>
          </cell>
          <cell r="J166" t="str">
            <v>옴니</v>
          </cell>
          <cell r="K166">
            <v>1350000</v>
          </cell>
          <cell r="M166">
            <v>1350000</v>
          </cell>
        </row>
        <row r="167">
          <cell r="A167" t="str">
            <v>조명제어 PANELKLAP-B2-2B</v>
          </cell>
          <cell r="B167" t="str">
            <v>조명제어 PANEL</v>
          </cell>
          <cell r="C167" t="str">
            <v>KLAP-B2-2B</v>
          </cell>
          <cell r="D167" t="str">
            <v>면</v>
          </cell>
          <cell r="E167">
            <v>1350000</v>
          </cell>
          <cell r="F167" t="str">
            <v>엠알</v>
          </cell>
          <cell r="G167">
            <v>1418000</v>
          </cell>
          <cell r="H167" t="str">
            <v>라이팅</v>
          </cell>
          <cell r="I167">
            <v>1458000</v>
          </cell>
          <cell r="J167" t="str">
            <v>옴니</v>
          </cell>
          <cell r="K167">
            <v>1350000</v>
          </cell>
          <cell r="M167">
            <v>1350000</v>
          </cell>
        </row>
        <row r="168">
          <cell r="A168" t="str">
            <v>조명제어 PANELKLAP-B2-3A</v>
          </cell>
          <cell r="B168" t="str">
            <v>조명제어 PANEL</v>
          </cell>
          <cell r="C168" t="str">
            <v>KLAP-B2-3A</v>
          </cell>
          <cell r="D168" t="str">
            <v>면</v>
          </cell>
          <cell r="E168">
            <v>1040000</v>
          </cell>
          <cell r="F168" t="str">
            <v>엠알</v>
          </cell>
          <cell r="G168">
            <v>1092000</v>
          </cell>
          <cell r="H168" t="str">
            <v>라이팅</v>
          </cell>
          <cell r="I168">
            <v>1123000</v>
          </cell>
          <cell r="J168" t="str">
            <v>옴니</v>
          </cell>
          <cell r="K168">
            <v>1040000</v>
          </cell>
          <cell r="M168">
            <v>1040000</v>
          </cell>
        </row>
        <row r="169">
          <cell r="A169" t="str">
            <v>조명제어 PANELKLAP-B2-3B</v>
          </cell>
          <cell r="B169" t="str">
            <v>조명제어 PANEL</v>
          </cell>
          <cell r="C169" t="str">
            <v>KLAP-B2-3B</v>
          </cell>
          <cell r="D169" t="str">
            <v>면</v>
          </cell>
          <cell r="E169">
            <v>1040000</v>
          </cell>
          <cell r="F169" t="str">
            <v>엠알</v>
          </cell>
          <cell r="G169">
            <v>1092000</v>
          </cell>
          <cell r="H169" t="str">
            <v>라이팅</v>
          </cell>
          <cell r="I169">
            <v>1123000</v>
          </cell>
          <cell r="J169" t="str">
            <v>옴니</v>
          </cell>
          <cell r="K169">
            <v>1040000</v>
          </cell>
          <cell r="M169">
            <v>1040000</v>
          </cell>
        </row>
        <row r="170">
          <cell r="A170" t="str">
            <v>조명제어 PANELKLAP-B2-4A</v>
          </cell>
          <cell r="B170" t="str">
            <v>조명제어 PANEL</v>
          </cell>
          <cell r="C170" t="str">
            <v>KLAP-B2-4A</v>
          </cell>
          <cell r="D170" t="str">
            <v>면</v>
          </cell>
          <cell r="E170">
            <v>1300000</v>
          </cell>
          <cell r="F170" t="str">
            <v>엠알</v>
          </cell>
          <cell r="G170">
            <v>1365000</v>
          </cell>
          <cell r="H170" t="str">
            <v>라이팅</v>
          </cell>
          <cell r="I170">
            <v>1404000</v>
          </cell>
          <cell r="J170" t="str">
            <v>옴니</v>
          </cell>
          <cell r="K170">
            <v>1300000</v>
          </cell>
          <cell r="M170">
            <v>1300000</v>
          </cell>
        </row>
        <row r="171">
          <cell r="A171" t="str">
            <v>조명제어 PANELKLAP-B2-4B</v>
          </cell>
          <cell r="B171" t="str">
            <v>조명제어 PANEL</v>
          </cell>
          <cell r="C171" t="str">
            <v>KLAP-B2-4B</v>
          </cell>
          <cell r="D171" t="str">
            <v>면</v>
          </cell>
          <cell r="E171">
            <v>1300000</v>
          </cell>
          <cell r="F171" t="str">
            <v>엠알</v>
          </cell>
          <cell r="G171">
            <v>1365000</v>
          </cell>
          <cell r="H171" t="str">
            <v>라이팅</v>
          </cell>
          <cell r="I171">
            <v>1404000</v>
          </cell>
          <cell r="J171" t="str">
            <v>옴니</v>
          </cell>
          <cell r="K171">
            <v>1300000</v>
          </cell>
          <cell r="M171">
            <v>1300000</v>
          </cell>
        </row>
        <row r="172">
          <cell r="A172" t="str">
            <v>설치인건비조명제어설비(경의선용)</v>
          </cell>
          <cell r="B172" t="str">
            <v>설치인건비</v>
          </cell>
          <cell r="C172" t="str">
            <v>조명제어설비(경의선용)</v>
          </cell>
          <cell r="D172" t="str">
            <v>식</v>
          </cell>
          <cell r="E172">
            <v>2227660</v>
          </cell>
          <cell r="F172" t="str">
            <v>엠알</v>
          </cell>
          <cell r="G172">
            <v>2227660</v>
          </cell>
          <cell r="H172" t="str">
            <v>라이팅</v>
          </cell>
          <cell r="I172">
            <v>2227660</v>
          </cell>
          <cell r="J172" t="str">
            <v>옴니</v>
          </cell>
          <cell r="K172">
            <v>2227660</v>
          </cell>
          <cell r="M172">
            <v>2227660</v>
          </cell>
        </row>
        <row r="173">
          <cell r="A173" t="str">
            <v>시스템시운전조정비조명제어설비(경의선용)</v>
          </cell>
          <cell r="B173" t="str">
            <v>시스템시운전조정비</v>
          </cell>
          <cell r="C173" t="str">
            <v>조명제어설비(경의선용)</v>
          </cell>
          <cell r="D173" t="str">
            <v>식</v>
          </cell>
          <cell r="E173">
            <v>556574</v>
          </cell>
          <cell r="F173" t="str">
            <v>엠알</v>
          </cell>
          <cell r="G173">
            <v>836340</v>
          </cell>
          <cell r="H173" t="str">
            <v>라이팅</v>
          </cell>
          <cell r="I173">
            <v>827340</v>
          </cell>
          <cell r="J173" t="str">
            <v>옴니</v>
          </cell>
          <cell r="K173">
            <v>556574</v>
          </cell>
          <cell r="M173">
            <v>556574</v>
          </cell>
        </row>
        <row r="185">
          <cell r="A185" t="str">
            <v>공항철도</v>
          </cell>
          <cell r="B185" t="str">
            <v>공항철도</v>
          </cell>
          <cell r="M185">
            <v>0</v>
          </cell>
        </row>
        <row r="186">
          <cell r="A186" t="str">
            <v>주조작반(DESK TYPE)인천공항용</v>
          </cell>
          <cell r="B186" t="str">
            <v>주조작반(DESK TYPE)</v>
          </cell>
          <cell r="C186" t="str">
            <v>인천공항용</v>
          </cell>
          <cell r="D186" t="str">
            <v>면</v>
          </cell>
          <cell r="E186">
            <v>10580000</v>
          </cell>
          <cell r="F186" t="str">
            <v>엠알</v>
          </cell>
          <cell r="G186">
            <v>11000000</v>
          </cell>
          <cell r="H186" t="str">
            <v>라이팅</v>
          </cell>
          <cell r="I186">
            <v>11400000</v>
          </cell>
          <cell r="J186" t="str">
            <v>옴니</v>
          </cell>
          <cell r="K186">
            <v>10580000</v>
          </cell>
          <cell r="M186">
            <v>10580000</v>
          </cell>
        </row>
        <row r="187">
          <cell r="A187" t="str">
            <v>전력감시용상태입력반인천공항용</v>
          </cell>
          <cell r="B187" t="str">
            <v>전력감시용상태입력반</v>
          </cell>
          <cell r="C187" t="str">
            <v>인천공항용</v>
          </cell>
          <cell r="D187" t="str">
            <v>면</v>
          </cell>
          <cell r="E187">
            <v>900000</v>
          </cell>
          <cell r="F187" t="str">
            <v>엠알</v>
          </cell>
          <cell r="G187">
            <v>1102000</v>
          </cell>
          <cell r="H187" t="str">
            <v>라이팅</v>
          </cell>
          <cell r="I187">
            <v>980000</v>
          </cell>
          <cell r="J187" t="str">
            <v>옴니</v>
          </cell>
          <cell r="K187">
            <v>900000</v>
          </cell>
          <cell r="M187">
            <v>900000</v>
          </cell>
        </row>
        <row r="188">
          <cell r="A188" t="str">
            <v>조명제어 PANELLAP-B1-1A</v>
          </cell>
          <cell r="B188" t="str">
            <v>조명제어 PANEL</v>
          </cell>
          <cell r="C188" t="str">
            <v>LAP-B1-1A</v>
          </cell>
          <cell r="D188" t="str">
            <v>면</v>
          </cell>
          <cell r="E188">
            <v>1090000</v>
          </cell>
          <cell r="F188" t="str">
            <v>엠알</v>
          </cell>
          <cell r="G188">
            <v>1145000</v>
          </cell>
          <cell r="H188" t="str">
            <v>라이팅</v>
          </cell>
          <cell r="I188">
            <v>1177000</v>
          </cell>
          <cell r="J188" t="str">
            <v>옴니</v>
          </cell>
          <cell r="K188">
            <v>1090000</v>
          </cell>
          <cell r="M188">
            <v>1090000</v>
          </cell>
        </row>
        <row r="189">
          <cell r="A189" t="str">
            <v>조명제어 PANELLAP-B1-1B</v>
          </cell>
          <cell r="B189" t="str">
            <v>조명제어 PANEL</v>
          </cell>
          <cell r="C189" t="str">
            <v>LAP-B1-1B</v>
          </cell>
          <cell r="D189" t="str">
            <v>면</v>
          </cell>
          <cell r="E189">
            <v>1090000</v>
          </cell>
          <cell r="F189" t="str">
            <v>엠알</v>
          </cell>
          <cell r="G189">
            <v>1145000</v>
          </cell>
          <cell r="H189" t="str">
            <v>라이팅</v>
          </cell>
          <cell r="I189">
            <v>1177000</v>
          </cell>
          <cell r="J189" t="str">
            <v>옴니</v>
          </cell>
          <cell r="K189">
            <v>1090000</v>
          </cell>
          <cell r="M189">
            <v>1090000</v>
          </cell>
        </row>
        <row r="190">
          <cell r="A190" t="str">
            <v>조명제어 PANELLAP-B1-2A</v>
          </cell>
          <cell r="B190" t="str">
            <v>조명제어 PANEL</v>
          </cell>
          <cell r="C190" t="str">
            <v>LAP-B1-2A</v>
          </cell>
          <cell r="D190" t="str">
            <v>면</v>
          </cell>
          <cell r="E190">
            <v>1090000</v>
          </cell>
          <cell r="F190" t="str">
            <v>엠알</v>
          </cell>
          <cell r="G190">
            <v>1145000</v>
          </cell>
          <cell r="H190" t="str">
            <v>라이팅</v>
          </cell>
          <cell r="I190">
            <v>1177000</v>
          </cell>
          <cell r="J190" t="str">
            <v>옴니</v>
          </cell>
          <cell r="K190">
            <v>1090000</v>
          </cell>
          <cell r="M190">
            <v>1090000</v>
          </cell>
        </row>
        <row r="191">
          <cell r="A191" t="str">
            <v>조명제어 PANELLAP-B1-2B</v>
          </cell>
          <cell r="B191" t="str">
            <v>조명제어 PANEL</v>
          </cell>
          <cell r="C191" t="str">
            <v>LAP-B1-2B</v>
          </cell>
          <cell r="D191" t="str">
            <v>면</v>
          </cell>
          <cell r="E191">
            <v>1090000</v>
          </cell>
          <cell r="F191" t="str">
            <v>엠알</v>
          </cell>
          <cell r="G191">
            <v>1145000</v>
          </cell>
          <cell r="H191" t="str">
            <v>라이팅</v>
          </cell>
          <cell r="I191">
            <v>1177000</v>
          </cell>
          <cell r="J191" t="str">
            <v>옴니</v>
          </cell>
          <cell r="K191">
            <v>1090000</v>
          </cell>
          <cell r="M191">
            <v>1090000</v>
          </cell>
        </row>
        <row r="192">
          <cell r="A192" t="str">
            <v>조명제어 PANELLAP-B3-2A</v>
          </cell>
          <cell r="B192" t="str">
            <v>조명제어 PANEL</v>
          </cell>
          <cell r="C192" t="str">
            <v>LAP-B3-2A</v>
          </cell>
          <cell r="D192" t="str">
            <v>면</v>
          </cell>
          <cell r="E192">
            <v>1040000</v>
          </cell>
          <cell r="F192" t="str">
            <v>엠알</v>
          </cell>
          <cell r="G192">
            <v>1092000</v>
          </cell>
          <cell r="H192" t="str">
            <v>라이팅</v>
          </cell>
          <cell r="I192">
            <v>1123000</v>
          </cell>
          <cell r="J192" t="str">
            <v>옴니</v>
          </cell>
          <cell r="K192">
            <v>1040000</v>
          </cell>
          <cell r="M192">
            <v>1040000</v>
          </cell>
        </row>
        <row r="193">
          <cell r="A193" t="str">
            <v>조명제어 PANELLAP-B3-2B</v>
          </cell>
          <cell r="B193" t="str">
            <v>조명제어 PANEL</v>
          </cell>
          <cell r="C193" t="str">
            <v>LAP-B3-2B</v>
          </cell>
          <cell r="D193" t="str">
            <v>면</v>
          </cell>
          <cell r="E193">
            <v>1040000</v>
          </cell>
          <cell r="F193" t="str">
            <v>엠알</v>
          </cell>
          <cell r="G193">
            <v>1092000</v>
          </cell>
          <cell r="H193" t="str">
            <v>라이팅</v>
          </cell>
          <cell r="I193">
            <v>1123000</v>
          </cell>
          <cell r="J193" t="str">
            <v>옴니</v>
          </cell>
          <cell r="K193">
            <v>1040000</v>
          </cell>
          <cell r="M193">
            <v>1040000</v>
          </cell>
        </row>
        <row r="194">
          <cell r="A194" t="str">
            <v>조명제어 PANELLAP-B3-3A</v>
          </cell>
          <cell r="B194" t="str">
            <v>조명제어 PANEL</v>
          </cell>
          <cell r="C194" t="str">
            <v>LAP-B3-3A</v>
          </cell>
          <cell r="D194" t="str">
            <v>면</v>
          </cell>
          <cell r="E194">
            <v>1350000</v>
          </cell>
          <cell r="F194" t="str">
            <v>엠알</v>
          </cell>
          <cell r="G194">
            <v>1418000</v>
          </cell>
          <cell r="H194" t="str">
            <v>라이팅</v>
          </cell>
          <cell r="I194">
            <v>1458000</v>
          </cell>
          <cell r="J194" t="str">
            <v>옴니</v>
          </cell>
          <cell r="K194">
            <v>1350000</v>
          </cell>
          <cell r="M194">
            <v>1350000</v>
          </cell>
        </row>
        <row r="195">
          <cell r="A195" t="str">
            <v>조명제어 PANELLAP-B3-3B</v>
          </cell>
          <cell r="B195" t="str">
            <v>조명제어 PANEL</v>
          </cell>
          <cell r="C195" t="str">
            <v>LAP-B3-3B</v>
          </cell>
          <cell r="D195" t="str">
            <v>면</v>
          </cell>
          <cell r="E195">
            <v>1350000</v>
          </cell>
          <cell r="F195" t="str">
            <v>엠알</v>
          </cell>
          <cell r="G195">
            <v>1418000</v>
          </cell>
          <cell r="H195" t="str">
            <v>라이팅</v>
          </cell>
          <cell r="I195">
            <v>1458000</v>
          </cell>
          <cell r="J195" t="str">
            <v>옴니</v>
          </cell>
          <cell r="K195">
            <v>1350000</v>
          </cell>
          <cell r="M195">
            <v>1350000</v>
          </cell>
        </row>
        <row r="196">
          <cell r="A196" t="str">
            <v>조명제어 PANELLAP-B3-4A</v>
          </cell>
          <cell r="B196" t="str">
            <v>조명제어 PANEL</v>
          </cell>
          <cell r="C196" t="str">
            <v>LAP-B3-4A</v>
          </cell>
          <cell r="D196" t="str">
            <v>면</v>
          </cell>
          <cell r="E196">
            <v>1450000</v>
          </cell>
          <cell r="F196" t="str">
            <v>엠알</v>
          </cell>
          <cell r="G196">
            <v>1523000</v>
          </cell>
          <cell r="H196" t="str">
            <v>라이팅</v>
          </cell>
          <cell r="I196">
            <v>1566000</v>
          </cell>
          <cell r="J196" t="str">
            <v>옴니</v>
          </cell>
          <cell r="K196">
            <v>1450000</v>
          </cell>
          <cell r="M196">
            <v>1450000</v>
          </cell>
        </row>
        <row r="197">
          <cell r="A197" t="str">
            <v>조명제어 PANELLAP-B3-4B</v>
          </cell>
          <cell r="B197" t="str">
            <v>조명제어 PANEL</v>
          </cell>
          <cell r="C197" t="str">
            <v>LAP-B3-4B</v>
          </cell>
          <cell r="D197" t="str">
            <v>면</v>
          </cell>
          <cell r="E197">
            <v>1450000</v>
          </cell>
          <cell r="F197" t="str">
            <v>엠알</v>
          </cell>
          <cell r="G197">
            <v>1523000</v>
          </cell>
          <cell r="H197" t="str">
            <v>라이팅</v>
          </cell>
          <cell r="I197">
            <v>1566000</v>
          </cell>
          <cell r="J197" t="str">
            <v>옴니</v>
          </cell>
          <cell r="K197">
            <v>1450000</v>
          </cell>
          <cell r="M197">
            <v>1450000</v>
          </cell>
        </row>
        <row r="198">
          <cell r="A198" t="str">
            <v>조명제어 PANELLAP-B5-1A</v>
          </cell>
          <cell r="B198" t="str">
            <v>조명제어 PANEL</v>
          </cell>
          <cell r="C198" t="str">
            <v>LAP-B5-1A</v>
          </cell>
          <cell r="D198" t="str">
            <v>면</v>
          </cell>
          <cell r="E198">
            <v>1090000</v>
          </cell>
          <cell r="F198" t="str">
            <v>엠알</v>
          </cell>
          <cell r="G198">
            <v>1145000</v>
          </cell>
          <cell r="H198" t="str">
            <v>라이팅</v>
          </cell>
          <cell r="I198">
            <v>1177000</v>
          </cell>
          <cell r="J198" t="str">
            <v>옴니</v>
          </cell>
          <cell r="K198">
            <v>1090000</v>
          </cell>
          <cell r="M198">
            <v>1090000</v>
          </cell>
        </row>
        <row r="199">
          <cell r="A199" t="str">
            <v>조명제어 PANELLAP-B5-1B</v>
          </cell>
          <cell r="B199" t="str">
            <v>조명제어 PANEL</v>
          </cell>
          <cell r="C199" t="str">
            <v>LAP-B5-1B</v>
          </cell>
          <cell r="D199" t="str">
            <v>면</v>
          </cell>
          <cell r="E199">
            <v>1090000</v>
          </cell>
          <cell r="F199" t="str">
            <v>엠알</v>
          </cell>
          <cell r="G199">
            <v>1145000</v>
          </cell>
          <cell r="H199" t="str">
            <v>라이팅</v>
          </cell>
          <cell r="I199">
            <v>1177000</v>
          </cell>
          <cell r="J199" t="str">
            <v>옴니</v>
          </cell>
          <cell r="K199">
            <v>1090000</v>
          </cell>
          <cell r="M199">
            <v>1090000</v>
          </cell>
        </row>
        <row r="200">
          <cell r="A200" t="str">
            <v>조명제어 PANELLAP-B5-2A</v>
          </cell>
          <cell r="B200" t="str">
            <v>조명제어 PANEL</v>
          </cell>
          <cell r="C200" t="str">
            <v>LAP-B5-2A</v>
          </cell>
          <cell r="D200" t="str">
            <v>면</v>
          </cell>
          <cell r="E200">
            <v>1090000</v>
          </cell>
          <cell r="F200" t="str">
            <v>엠알</v>
          </cell>
          <cell r="G200">
            <v>1145000</v>
          </cell>
          <cell r="H200" t="str">
            <v>라이팅</v>
          </cell>
          <cell r="I200">
            <v>1177000</v>
          </cell>
          <cell r="J200" t="str">
            <v>옴니</v>
          </cell>
          <cell r="K200">
            <v>1090000</v>
          </cell>
          <cell r="M200">
            <v>1090000</v>
          </cell>
        </row>
        <row r="201">
          <cell r="A201" t="str">
            <v>조명제어 PANELLAP-B5-2B</v>
          </cell>
          <cell r="B201" t="str">
            <v>조명제어 PANEL</v>
          </cell>
          <cell r="C201" t="str">
            <v>LAP-B5-2B</v>
          </cell>
          <cell r="D201" t="str">
            <v>면</v>
          </cell>
          <cell r="E201">
            <v>1090000</v>
          </cell>
          <cell r="F201" t="str">
            <v>엠알</v>
          </cell>
          <cell r="G201">
            <v>1145000</v>
          </cell>
          <cell r="H201" t="str">
            <v>라이팅</v>
          </cell>
          <cell r="I201">
            <v>1177000</v>
          </cell>
          <cell r="J201" t="str">
            <v>옴니</v>
          </cell>
          <cell r="K201">
            <v>1090000</v>
          </cell>
          <cell r="M201">
            <v>1090000</v>
          </cell>
        </row>
        <row r="202">
          <cell r="A202" t="str">
            <v>조명제어 PANELLAP-B5-3A</v>
          </cell>
          <cell r="B202" t="str">
            <v>조명제어 PANEL</v>
          </cell>
          <cell r="C202" t="str">
            <v>LAP-B5-3A</v>
          </cell>
          <cell r="D202" t="str">
            <v>면</v>
          </cell>
          <cell r="E202">
            <v>990000</v>
          </cell>
          <cell r="F202" t="str">
            <v>엠알</v>
          </cell>
          <cell r="G202">
            <v>1040000</v>
          </cell>
          <cell r="H202" t="str">
            <v>라이팅</v>
          </cell>
          <cell r="I202">
            <v>1069000</v>
          </cell>
          <cell r="J202" t="str">
            <v>옴니</v>
          </cell>
          <cell r="K202">
            <v>990000</v>
          </cell>
          <cell r="M202">
            <v>990000</v>
          </cell>
        </row>
        <row r="203">
          <cell r="A203" t="str">
            <v>조명제어 PANELLAP-B5-3B</v>
          </cell>
          <cell r="B203" t="str">
            <v>조명제어 PANEL</v>
          </cell>
          <cell r="C203" t="str">
            <v>LAP-B5-3B</v>
          </cell>
          <cell r="D203" t="str">
            <v>면</v>
          </cell>
          <cell r="E203">
            <v>990000</v>
          </cell>
          <cell r="F203" t="str">
            <v>엠알</v>
          </cell>
          <cell r="G203">
            <v>1040000</v>
          </cell>
          <cell r="H203" t="str">
            <v>라이팅</v>
          </cell>
          <cell r="I203">
            <v>1069000</v>
          </cell>
          <cell r="J203" t="str">
            <v>옴니</v>
          </cell>
          <cell r="K203">
            <v>990000</v>
          </cell>
          <cell r="M203">
            <v>990000</v>
          </cell>
        </row>
        <row r="204">
          <cell r="A204" t="str">
            <v>조명제어 PANELLAP-B5-4A</v>
          </cell>
          <cell r="B204" t="str">
            <v>조명제어 PANEL</v>
          </cell>
          <cell r="C204" t="str">
            <v>LAP-B5-4A</v>
          </cell>
          <cell r="D204" t="str">
            <v>면</v>
          </cell>
          <cell r="E204">
            <v>1040000</v>
          </cell>
          <cell r="F204" t="str">
            <v>엠알</v>
          </cell>
          <cell r="G204">
            <v>1092000</v>
          </cell>
          <cell r="H204" t="str">
            <v>라이팅</v>
          </cell>
          <cell r="I204">
            <v>1123000</v>
          </cell>
          <cell r="J204" t="str">
            <v>옴니</v>
          </cell>
          <cell r="K204">
            <v>1040000</v>
          </cell>
          <cell r="M204">
            <v>1040000</v>
          </cell>
        </row>
        <row r="205">
          <cell r="A205" t="str">
            <v>조명제어 PANELLAP-B5-4B</v>
          </cell>
          <cell r="B205" t="str">
            <v>조명제어 PANEL</v>
          </cell>
          <cell r="C205" t="str">
            <v>LAP-B5-4B</v>
          </cell>
          <cell r="D205" t="str">
            <v>면</v>
          </cell>
          <cell r="E205">
            <v>1040000</v>
          </cell>
          <cell r="F205" t="str">
            <v>엠알</v>
          </cell>
          <cell r="G205">
            <v>1092000</v>
          </cell>
          <cell r="H205" t="str">
            <v>라이팅</v>
          </cell>
          <cell r="I205">
            <v>1123000</v>
          </cell>
          <cell r="J205" t="str">
            <v>옴니</v>
          </cell>
          <cell r="K205">
            <v>1040000</v>
          </cell>
          <cell r="M205">
            <v>1040000</v>
          </cell>
        </row>
        <row r="206">
          <cell r="A206" t="str">
            <v>설치인건비조명제어설비(인천공항용)</v>
          </cell>
          <cell r="B206" t="str">
            <v>설치인건비</v>
          </cell>
          <cell r="C206" t="str">
            <v>조명제어설비(인천공항용)</v>
          </cell>
          <cell r="D206" t="str">
            <v>식</v>
          </cell>
          <cell r="E206">
            <v>3037455</v>
          </cell>
          <cell r="F206" t="str">
            <v>엠알</v>
          </cell>
          <cell r="G206">
            <v>3037456</v>
          </cell>
          <cell r="H206" t="str">
            <v>라이팅</v>
          </cell>
          <cell r="I206">
            <v>3036636</v>
          </cell>
          <cell r="J206" t="str">
            <v>옴니</v>
          </cell>
          <cell r="K206">
            <v>3037455</v>
          </cell>
          <cell r="M206">
            <v>3036636</v>
          </cell>
        </row>
        <row r="207">
          <cell r="A207" t="str">
            <v>시스템시운전조정비조명제어설비(인천공항용)</v>
          </cell>
          <cell r="B207" t="str">
            <v>시스템시운전조정비</v>
          </cell>
          <cell r="C207" t="str">
            <v>조명제어설비(인천공항용)</v>
          </cell>
          <cell r="D207" t="str">
            <v>식</v>
          </cell>
          <cell r="E207">
            <v>758800</v>
          </cell>
          <cell r="F207" t="str">
            <v>엠알</v>
          </cell>
          <cell r="G207">
            <v>1214544</v>
          </cell>
          <cell r="H207" t="str">
            <v>라이팅</v>
          </cell>
          <cell r="I207">
            <v>1009364</v>
          </cell>
          <cell r="J207" t="str">
            <v>옴니</v>
          </cell>
          <cell r="K207">
            <v>758800</v>
          </cell>
          <cell r="M207">
            <v>758800</v>
          </cell>
        </row>
        <row r="212">
          <cell r="A212" t="str">
            <v>조명기구 (A1)</v>
          </cell>
          <cell r="B212" t="str">
            <v>조명기구 (A1)</v>
          </cell>
          <cell r="C212" t="str">
            <v>매입하면개방형FL 32W X 1</v>
          </cell>
          <cell r="D212" t="str">
            <v>SET</v>
          </cell>
          <cell r="E212">
            <v>60000</v>
          </cell>
          <cell r="F212" t="str">
            <v>삼창</v>
          </cell>
          <cell r="G212">
            <v>68000</v>
          </cell>
          <cell r="H212" t="str">
            <v>에디코</v>
          </cell>
          <cell r="K212">
            <v>60000</v>
          </cell>
          <cell r="M212">
            <v>60000</v>
          </cell>
        </row>
        <row r="213">
          <cell r="A213" t="str">
            <v>조명기구 (A2)</v>
          </cell>
          <cell r="B213" t="str">
            <v>조명기구 (A2)</v>
          </cell>
          <cell r="C213" t="str">
            <v>매입하면개방형FL 32W X 2</v>
          </cell>
          <cell r="D213" t="str">
            <v>SET</v>
          </cell>
          <cell r="E213">
            <v>65000</v>
          </cell>
          <cell r="F213" t="str">
            <v>삼창</v>
          </cell>
          <cell r="G213">
            <v>72000</v>
          </cell>
          <cell r="H213" t="str">
            <v>에디코</v>
          </cell>
          <cell r="K213">
            <v>65000</v>
          </cell>
          <cell r="M213">
            <v>65000</v>
          </cell>
        </row>
        <row r="214">
          <cell r="A214" t="str">
            <v>조명기구 (B1)</v>
          </cell>
          <cell r="B214" t="str">
            <v>조명기구 (B1)</v>
          </cell>
          <cell r="C214" t="str">
            <v>매입하면개방형FL 32W X 2</v>
          </cell>
          <cell r="D214" t="str">
            <v>SET</v>
          </cell>
          <cell r="E214">
            <v>65000</v>
          </cell>
          <cell r="F214" t="str">
            <v>삼창</v>
          </cell>
          <cell r="G214">
            <v>72000</v>
          </cell>
          <cell r="H214" t="str">
            <v>에디코</v>
          </cell>
          <cell r="K214">
            <v>65000</v>
          </cell>
          <cell r="M214">
            <v>65000</v>
          </cell>
        </row>
        <row r="215">
          <cell r="A215" t="str">
            <v>조명기구 (C1)</v>
          </cell>
          <cell r="B215" t="str">
            <v>조명기구 (C1)</v>
          </cell>
          <cell r="C215" t="str">
            <v>매입파라보릭루바형FL 32W X 2</v>
          </cell>
          <cell r="D215" t="str">
            <v>SET</v>
          </cell>
          <cell r="E215">
            <v>88000</v>
          </cell>
          <cell r="F215" t="str">
            <v>삼창</v>
          </cell>
          <cell r="G215">
            <v>97000</v>
          </cell>
          <cell r="H215" t="str">
            <v>에디코</v>
          </cell>
          <cell r="K215">
            <v>88000</v>
          </cell>
          <cell r="M215">
            <v>88000</v>
          </cell>
        </row>
        <row r="216">
          <cell r="A216" t="str">
            <v>조명기구 (D1)</v>
          </cell>
          <cell r="B216" t="str">
            <v>조명기구 (D1)</v>
          </cell>
          <cell r="C216" t="str">
            <v>매입파라보릭루바형FL 36W X 3</v>
          </cell>
          <cell r="D216" t="str">
            <v>SET</v>
          </cell>
          <cell r="E216">
            <v>55000</v>
          </cell>
          <cell r="F216" t="str">
            <v>삼창</v>
          </cell>
          <cell r="G216">
            <v>60000</v>
          </cell>
          <cell r="H216" t="str">
            <v>에디코</v>
          </cell>
          <cell r="K216">
            <v>55000</v>
          </cell>
          <cell r="M216">
            <v>55000</v>
          </cell>
        </row>
        <row r="217">
          <cell r="A217" t="str">
            <v>조명기구 (D2)</v>
          </cell>
          <cell r="B217" t="str">
            <v>조명기구 (D2)</v>
          </cell>
          <cell r="C217" t="str">
            <v>매입파라보릭루바형FL 36W X 4</v>
          </cell>
          <cell r="D217" t="str">
            <v>SET</v>
          </cell>
          <cell r="E217">
            <v>59000</v>
          </cell>
          <cell r="F217" t="str">
            <v>삼창</v>
          </cell>
          <cell r="G217">
            <v>64000</v>
          </cell>
          <cell r="H217" t="str">
            <v>에디코</v>
          </cell>
          <cell r="K217">
            <v>59000</v>
          </cell>
          <cell r="M217">
            <v>59000</v>
          </cell>
        </row>
        <row r="218">
          <cell r="A218" t="str">
            <v>조명기구 (E1)</v>
          </cell>
          <cell r="B218" t="str">
            <v>조명기구 (E1)</v>
          </cell>
          <cell r="C218" t="str">
            <v>노출직부형FL 32W X 2</v>
          </cell>
          <cell r="D218" t="str">
            <v>SET</v>
          </cell>
          <cell r="E218">
            <v>58000</v>
          </cell>
          <cell r="F218" t="str">
            <v>삼창</v>
          </cell>
          <cell r="G218">
            <v>64000</v>
          </cell>
          <cell r="H218" t="str">
            <v>에디코</v>
          </cell>
          <cell r="K218">
            <v>58000</v>
          </cell>
          <cell r="M218">
            <v>58000</v>
          </cell>
        </row>
        <row r="219">
          <cell r="A219" t="str">
            <v>조명기구 (F1)</v>
          </cell>
          <cell r="B219" t="str">
            <v>조명기구 (F1)</v>
          </cell>
          <cell r="C219" t="str">
            <v>노출파이프팬단트형FL 32W X 2</v>
          </cell>
          <cell r="D219" t="str">
            <v>SET</v>
          </cell>
          <cell r="E219">
            <v>48000</v>
          </cell>
          <cell r="F219" t="str">
            <v>삼창</v>
          </cell>
          <cell r="G219">
            <v>55000</v>
          </cell>
          <cell r="H219" t="str">
            <v>에디코</v>
          </cell>
          <cell r="K219">
            <v>48000</v>
          </cell>
          <cell r="M219">
            <v>48000</v>
          </cell>
        </row>
        <row r="220">
          <cell r="A220" t="str">
            <v>조명기구 (F2)</v>
          </cell>
          <cell r="B220" t="str">
            <v>조명기구 (F2)</v>
          </cell>
          <cell r="C220" t="str">
            <v>노출파이프팬단트형FL 20W X 2</v>
          </cell>
          <cell r="D220" t="str">
            <v>SET</v>
          </cell>
          <cell r="E220">
            <v>18000</v>
          </cell>
          <cell r="F220" t="str">
            <v>삼창</v>
          </cell>
          <cell r="G220">
            <v>19000</v>
          </cell>
          <cell r="H220" t="str">
            <v>에디코</v>
          </cell>
          <cell r="K220">
            <v>18000</v>
          </cell>
          <cell r="M220">
            <v>18000</v>
          </cell>
        </row>
        <row r="221">
          <cell r="A221" t="str">
            <v>조명기구 (G1)</v>
          </cell>
          <cell r="B221" t="str">
            <v>조명기구 (G1)</v>
          </cell>
          <cell r="C221" t="str">
            <v>노출직부형FL 32W X 1</v>
          </cell>
          <cell r="D221" t="str">
            <v>SET</v>
          </cell>
          <cell r="E221">
            <v>32000</v>
          </cell>
          <cell r="F221" t="str">
            <v>삼창</v>
          </cell>
          <cell r="G221">
            <v>33000</v>
          </cell>
          <cell r="H221" t="str">
            <v>에디코</v>
          </cell>
          <cell r="K221">
            <v>32000</v>
          </cell>
          <cell r="M221">
            <v>32000</v>
          </cell>
        </row>
        <row r="222">
          <cell r="A222" t="str">
            <v>조명기구 (H1)</v>
          </cell>
          <cell r="B222" t="str">
            <v>조명기구 (H1)</v>
          </cell>
          <cell r="C222" t="str">
            <v>다운라이트FUL 18W X 1</v>
          </cell>
          <cell r="D222" t="str">
            <v>SET</v>
          </cell>
          <cell r="E222">
            <v>22000</v>
          </cell>
          <cell r="F222" t="str">
            <v>삼창</v>
          </cell>
          <cell r="G222">
            <v>22000</v>
          </cell>
          <cell r="H222" t="str">
            <v>에디코</v>
          </cell>
          <cell r="K222">
            <v>22000</v>
          </cell>
          <cell r="M222">
            <v>22000</v>
          </cell>
        </row>
        <row r="223">
          <cell r="A223" t="str">
            <v>조명기구 (H2)</v>
          </cell>
          <cell r="B223" t="str">
            <v>조명기구 (H2)</v>
          </cell>
          <cell r="C223" t="str">
            <v>다운라이트FUL 18W X 2</v>
          </cell>
          <cell r="D223" t="str">
            <v>SET</v>
          </cell>
          <cell r="E223">
            <v>25000</v>
          </cell>
          <cell r="F223" t="str">
            <v>삼창</v>
          </cell>
          <cell r="G223">
            <v>27000</v>
          </cell>
          <cell r="H223" t="str">
            <v>에디코</v>
          </cell>
          <cell r="K223">
            <v>25000</v>
          </cell>
          <cell r="M223">
            <v>25000</v>
          </cell>
        </row>
        <row r="224">
          <cell r="A224" t="str">
            <v>조명기구 (H3)</v>
          </cell>
          <cell r="B224" t="str">
            <v>조명기구 (H3)</v>
          </cell>
          <cell r="C224" t="str">
            <v>다운라이트IL 60W(DC)</v>
          </cell>
          <cell r="D224" t="str">
            <v>SET</v>
          </cell>
          <cell r="E224">
            <v>20000</v>
          </cell>
          <cell r="F224" t="str">
            <v>삼창</v>
          </cell>
          <cell r="G224">
            <v>20000</v>
          </cell>
          <cell r="H224" t="str">
            <v>에디코</v>
          </cell>
          <cell r="K224">
            <v>20000</v>
          </cell>
          <cell r="M224">
            <v>20000</v>
          </cell>
        </row>
        <row r="225">
          <cell r="A225" t="str">
            <v>조명기구 (I1)</v>
          </cell>
          <cell r="B225" t="str">
            <v>조명기구 (I1)</v>
          </cell>
          <cell r="C225" t="str">
            <v>다운라이트FUL 26W X 1</v>
          </cell>
          <cell r="D225" t="str">
            <v>SET</v>
          </cell>
          <cell r="E225">
            <v>45000</v>
          </cell>
          <cell r="F225" t="str">
            <v>삼창</v>
          </cell>
          <cell r="G225">
            <v>48000</v>
          </cell>
          <cell r="H225" t="str">
            <v>에디코</v>
          </cell>
          <cell r="K225">
            <v>45000</v>
          </cell>
          <cell r="M225">
            <v>45000</v>
          </cell>
        </row>
        <row r="226">
          <cell r="A226" t="str">
            <v>조명기구 (I2)</v>
          </cell>
          <cell r="B226" t="str">
            <v>조명기구 (I2)</v>
          </cell>
          <cell r="C226" t="str">
            <v>다운라이트FUL 26W X 2</v>
          </cell>
          <cell r="D226" t="str">
            <v>SET</v>
          </cell>
          <cell r="E226">
            <v>50000</v>
          </cell>
          <cell r="F226" t="str">
            <v>삼창</v>
          </cell>
          <cell r="G226">
            <v>55000</v>
          </cell>
          <cell r="H226" t="str">
            <v>에디코</v>
          </cell>
          <cell r="K226">
            <v>50000</v>
          </cell>
          <cell r="M226">
            <v>50000</v>
          </cell>
        </row>
        <row r="227">
          <cell r="A227" t="str">
            <v>조명기구 (J1)</v>
          </cell>
          <cell r="B227" t="str">
            <v>조명기구 (J1)</v>
          </cell>
          <cell r="C227" t="str">
            <v>라이스웨이형비상등IL 60W(DC)</v>
          </cell>
          <cell r="D227" t="str">
            <v>SET</v>
          </cell>
          <cell r="E227">
            <v>45000</v>
          </cell>
          <cell r="F227" t="str">
            <v>삼창</v>
          </cell>
          <cell r="G227">
            <v>50000</v>
          </cell>
          <cell r="H227" t="str">
            <v>에디코</v>
          </cell>
          <cell r="K227">
            <v>45000</v>
          </cell>
          <cell r="M227">
            <v>45000</v>
          </cell>
        </row>
        <row r="228">
          <cell r="A228" t="str">
            <v>조명기구 (K1)</v>
          </cell>
          <cell r="B228" t="str">
            <v>조명기구 (K1)</v>
          </cell>
          <cell r="C228" t="str">
            <v>노출직부형IL 60W</v>
          </cell>
          <cell r="D228" t="str">
            <v>SET</v>
          </cell>
          <cell r="E228">
            <v>10000</v>
          </cell>
          <cell r="F228" t="str">
            <v>삼창</v>
          </cell>
          <cell r="G228">
            <v>10000</v>
          </cell>
          <cell r="H228" t="str">
            <v>에디코</v>
          </cell>
          <cell r="K228">
            <v>10000</v>
          </cell>
          <cell r="M228">
            <v>10000</v>
          </cell>
        </row>
        <row r="229">
          <cell r="A229" t="str">
            <v>조명기구 (L1)</v>
          </cell>
          <cell r="B229" t="str">
            <v>조명기구 (L1)</v>
          </cell>
          <cell r="C229" t="str">
            <v>망벽부등IL 60W(DC)</v>
          </cell>
          <cell r="D229" t="str">
            <v>SET</v>
          </cell>
          <cell r="E229">
            <v>15000</v>
          </cell>
          <cell r="F229" t="str">
            <v>삼창</v>
          </cell>
          <cell r="G229">
            <v>15000</v>
          </cell>
          <cell r="H229" t="str">
            <v>에디코</v>
          </cell>
          <cell r="K229">
            <v>15000</v>
          </cell>
          <cell r="M229">
            <v>15000</v>
          </cell>
        </row>
        <row r="230">
          <cell r="A230" t="str">
            <v>조명기구 (M1)</v>
          </cell>
          <cell r="B230" t="str">
            <v>조명기구 (M1)</v>
          </cell>
          <cell r="C230" t="str">
            <v>벽부메탈등MH 175W X 1</v>
          </cell>
          <cell r="D230" t="str">
            <v>SET</v>
          </cell>
          <cell r="E230">
            <v>150000</v>
          </cell>
          <cell r="F230" t="str">
            <v>삼창</v>
          </cell>
          <cell r="G230">
            <v>220000</v>
          </cell>
          <cell r="H230" t="str">
            <v>에디코</v>
          </cell>
          <cell r="K230">
            <v>150000</v>
          </cell>
          <cell r="M230">
            <v>150000</v>
          </cell>
        </row>
        <row r="231">
          <cell r="A231" t="str">
            <v>조명기구 (N1)</v>
          </cell>
          <cell r="B231" t="str">
            <v>조명기구 (N1)</v>
          </cell>
          <cell r="C231" t="str">
            <v>투광기HQI 100W</v>
          </cell>
          <cell r="D231" t="str">
            <v>SET</v>
          </cell>
          <cell r="E231">
            <v>200000</v>
          </cell>
          <cell r="F231" t="str">
            <v>삼창</v>
          </cell>
          <cell r="G231">
            <v>250000</v>
          </cell>
          <cell r="H231" t="str">
            <v>에디코</v>
          </cell>
          <cell r="K231">
            <v>200000</v>
          </cell>
          <cell r="M231">
            <v>200000</v>
          </cell>
        </row>
        <row r="232">
          <cell r="A232" t="str">
            <v>조명기구 (P1)</v>
          </cell>
          <cell r="B232" t="str">
            <v>조명기구 (P1)</v>
          </cell>
          <cell r="C232" t="str">
            <v>방진방습등FL 32W X 2</v>
          </cell>
          <cell r="D232" t="str">
            <v>SET</v>
          </cell>
          <cell r="E232">
            <v>120000</v>
          </cell>
          <cell r="F232" t="str">
            <v>삼창</v>
          </cell>
          <cell r="G232">
            <v>125000</v>
          </cell>
          <cell r="H232" t="str">
            <v>에디코</v>
          </cell>
          <cell r="K232">
            <v>120000</v>
          </cell>
          <cell r="M232">
            <v>120000</v>
          </cell>
        </row>
        <row r="233">
          <cell r="A233" t="str">
            <v>조명기구 (P2)</v>
          </cell>
          <cell r="B233" t="str">
            <v>조명기구 (P2)</v>
          </cell>
          <cell r="C233" t="str">
            <v>방진방습등FL 32W X 1</v>
          </cell>
          <cell r="D233" t="str">
            <v>SET</v>
          </cell>
          <cell r="E233">
            <v>67000</v>
          </cell>
          <cell r="F233" t="str">
            <v>삼창</v>
          </cell>
          <cell r="G233">
            <v>125000</v>
          </cell>
          <cell r="H233" t="str">
            <v>에디코</v>
          </cell>
          <cell r="K233">
            <v>67000</v>
          </cell>
          <cell r="M233">
            <v>67000</v>
          </cell>
        </row>
        <row r="234">
          <cell r="A234" t="str">
            <v>조명기구 (P3)</v>
          </cell>
          <cell r="B234" t="str">
            <v>조명기구 (P3)</v>
          </cell>
          <cell r="C234" t="str">
            <v>방진방습등(밧데리내장형)FL 32W X 1</v>
          </cell>
          <cell r="D234" t="str">
            <v>SET</v>
          </cell>
          <cell r="E234">
            <v>170000</v>
          </cell>
          <cell r="F234" t="str">
            <v>삼창</v>
          </cell>
          <cell r="G234">
            <v>200000</v>
          </cell>
          <cell r="H234" t="str">
            <v>에디코</v>
          </cell>
          <cell r="K234">
            <v>170000</v>
          </cell>
          <cell r="M234">
            <v>170000</v>
          </cell>
        </row>
        <row r="235">
          <cell r="A235" t="str">
            <v>조명기구 (R1)</v>
          </cell>
          <cell r="B235" t="str">
            <v>조명기구 (R1)</v>
          </cell>
          <cell r="C235" t="str">
            <v>POLE LIGHTMH 175W X 1</v>
          </cell>
          <cell r="D235" t="str">
            <v>SET</v>
          </cell>
          <cell r="E235">
            <v>2300000</v>
          </cell>
          <cell r="F235" t="str">
            <v>삼창</v>
          </cell>
          <cell r="G235">
            <v>2750000</v>
          </cell>
          <cell r="H235" t="str">
            <v>에디코</v>
          </cell>
          <cell r="K235">
            <v>2300000</v>
          </cell>
          <cell r="M235">
            <v>2300000</v>
          </cell>
        </row>
        <row r="236">
          <cell r="A236" t="str">
            <v>조명기구 (R2)</v>
          </cell>
          <cell r="B236" t="str">
            <v>조명기구 (R2)</v>
          </cell>
          <cell r="C236" t="str">
            <v>POLE LIGHTMH 175W X 2</v>
          </cell>
          <cell r="D236" t="str">
            <v>SET</v>
          </cell>
          <cell r="E236">
            <v>2450000</v>
          </cell>
          <cell r="F236" t="str">
            <v>삼창</v>
          </cell>
          <cell r="G236">
            <v>2900000</v>
          </cell>
          <cell r="H236" t="str">
            <v>에디코</v>
          </cell>
          <cell r="K236">
            <v>2450000</v>
          </cell>
          <cell r="M236">
            <v>2450000</v>
          </cell>
        </row>
        <row r="237">
          <cell r="A237" t="str">
            <v>조명기구 (S1)</v>
          </cell>
          <cell r="B237" t="str">
            <v>조명기구 (S1)</v>
          </cell>
          <cell r="C237" t="str">
            <v>벽부형형광등기구FL 32W X 2</v>
          </cell>
          <cell r="D237" t="str">
            <v>SET</v>
          </cell>
          <cell r="E237">
            <v>58000</v>
          </cell>
          <cell r="F237" t="str">
            <v>삼창</v>
          </cell>
          <cell r="G237">
            <v>60000</v>
          </cell>
          <cell r="H237" t="str">
            <v>에디코</v>
          </cell>
          <cell r="K237">
            <v>58000</v>
          </cell>
          <cell r="M237">
            <v>58000</v>
          </cell>
        </row>
        <row r="238">
          <cell r="A238" t="str">
            <v>조명기구 (T1)</v>
          </cell>
          <cell r="B238" t="str">
            <v>조명기구 (T1)</v>
          </cell>
          <cell r="C238" t="str">
            <v>노출직부형FL 32W X 2</v>
          </cell>
          <cell r="D238" t="str">
            <v>SET</v>
          </cell>
          <cell r="E238">
            <v>50000</v>
          </cell>
          <cell r="F238" t="str">
            <v>삼창</v>
          </cell>
          <cell r="G238">
            <v>55000</v>
          </cell>
          <cell r="H238" t="str">
            <v>에디코</v>
          </cell>
          <cell r="K238">
            <v>50000</v>
          </cell>
          <cell r="M238">
            <v>50000</v>
          </cell>
        </row>
        <row r="239">
          <cell r="A239" t="str">
            <v>조명기구 (U1)</v>
          </cell>
          <cell r="B239" t="str">
            <v>조명기구 (U1)</v>
          </cell>
          <cell r="C239" t="str">
            <v xml:space="preserve">다운라이트HQI 150W </v>
          </cell>
          <cell r="D239" t="str">
            <v>SET</v>
          </cell>
          <cell r="E239">
            <v>120000</v>
          </cell>
          <cell r="F239" t="str">
            <v>삼창</v>
          </cell>
          <cell r="G239">
            <v>150000</v>
          </cell>
          <cell r="H239" t="str">
            <v>에디코</v>
          </cell>
          <cell r="K239">
            <v>120000</v>
          </cell>
          <cell r="M239">
            <v>120000</v>
          </cell>
        </row>
        <row r="240">
          <cell r="A240" t="str">
            <v>조명기구 (V1)</v>
          </cell>
          <cell r="B240" t="str">
            <v>조명기구 (V1)</v>
          </cell>
          <cell r="C240" t="str">
            <v xml:space="preserve">벽부형기구PAR 70W </v>
          </cell>
          <cell r="D240" t="str">
            <v>SET</v>
          </cell>
          <cell r="E240">
            <v>95000</v>
          </cell>
          <cell r="F240" t="str">
            <v>삼창</v>
          </cell>
          <cell r="G240">
            <v>110000</v>
          </cell>
          <cell r="H240" t="str">
            <v>에디코</v>
          </cell>
          <cell r="K240">
            <v>95000</v>
          </cell>
          <cell r="M240">
            <v>95000</v>
          </cell>
        </row>
        <row r="241">
          <cell r="A241" t="str">
            <v>조명기구 (Y1)</v>
          </cell>
          <cell r="B241" t="str">
            <v>조명기구 (Y1)</v>
          </cell>
          <cell r="C241" t="str">
            <v>주차장램프MH 175W X 1</v>
          </cell>
          <cell r="D241" t="str">
            <v>SET</v>
          </cell>
          <cell r="E241">
            <v>120000</v>
          </cell>
          <cell r="F241" t="str">
            <v>삼창</v>
          </cell>
          <cell r="G241">
            <v>130000</v>
          </cell>
          <cell r="H241" t="str">
            <v>에디코</v>
          </cell>
          <cell r="K241">
            <v>120000</v>
          </cell>
          <cell r="M241">
            <v>120000</v>
          </cell>
        </row>
        <row r="242">
          <cell r="A242" t="str">
            <v>조명기구 (X1)</v>
          </cell>
          <cell r="B242" t="str">
            <v>조명기구 (X1)</v>
          </cell>
          <cell r="D242" t="str">
            <v>SET</v>
          </cell>
          <cell r="E242">
            <v>120000</v>
          </cell>
          <cell r="F242" t="str">
            <v>삼창</v>
          </cell>
          <cell r="G242">
            <v>130000</v>
          </cell>
          <cell r="H242" t="str">
            <v>에디코</v>
          </cell>
          <cell r="K242">
            <v>120000</v>
          </cell>
          <cell r="M242">
            <v>120000</v>
          </cell>
        </row>
      </sheetData>
      <sheetData sheetId="2" refreshError="1">
        <row r="4">
          <cell r="A4" t="str">
            <v>플랜트전공</v>
          </cell>
          <cell r="B4">
            <v>59669</v>
          </cell>
        </row>
        <row r="5">
          <cell r="A5" t="str">
            <v>목도공</v>
          </cell>
          <cell r="B5">
            <v>67725</v>
          </cell>
        </row>
        <row r="6">
          <cell r="A6" t="str">
            <v>비계공</v>
          </cell>
          <cell r="B6">
            <v>75140</v>
          </cell>
        </row>
        <row r="7">
          <cell r="A7" t="str">
            <v>특별인부</v>
          </cell>
          <cell r="B7">
            <v>55970</v>
          </cell>
        </row>
        <row r="8">
          <cell r="A8" t="str">
            <v>기계설치공</v>
          </cell>
          <cell r="B8">
            <v>57749</v>
          </cell>
        </row>
        <row r="9">
          <cell r="A9" t="str">
            <v>석공</v>
          </cell>
          <cell r="B9">
            <v>78296</v>
          </cell>
        </row>
        <row r="10">
          <cell r="A10" t="str">
            <v>철공</v>
          </cell>
          <cell r="B10">
            <v>63963</v>
          </cell>
        </row>
        <row r="11">
          <cell r="A11" t="str">
            <v>용접공</v>
          </cell>
          <cell r="B11">
            <v>65262</v>
          </cell>
        </row>
        <row r="12">
          <cell r="A12" t="str">
            <v>도장공</v>
          </cell>
          <cell r="B12">
            <v>59780</v>
          </cell>
        </row>
        <row r="13">
          <cell r="A13" t="str">
            <v>철근공</v>
          </cell>
          <cell r="B13">
            <v>73192</v>
          </cell>
        </row>
        <row r="14">
          <cell r="A14" t="str">
            <v>기계공</v>
          </cell>
          <cell r="B14">
            <v>49113</v>
          </cell>
        </row>
        <row r="15">
          <cell r="A15" t="str">
            <v>보통인부</v>
          </cell>
          <cell r="B15">
            <v>40922</v>
          </cell>
        </row>
        <row r="16">
          <cell r="A16" t="str">
            <v>내선전공</v>
          </cell>
          <cell r="B16">
            <v>56143</v>
          </cell>
        </row>
        <row r="17">
          <cell r="A17" t="str">
            <v>배전전공</v>
          </cell>
          <cell r="B17">
            <v>156907</v>
          </cell>
        </row>
        <row r="18">
          <cell r="A18" t="str">
            <v>특고압케이블공</v>
          </cell>
          <cell r="B18">
            <v>122075</v>
          </cell>
        </row>
        <row r="19">
          <cell r="A19" t="str">
            <v>고압케이블공</v>
          </cell>
          <cell r="B19">
            <v>89217</v>
          </cell>
        </row>
        <row r="20">
          <cell r="A20" t="str">
            <v>저압케이블공</v>
          </cell>
          <cell r="B20">
            <v>73973</v>
          </cell>
        </row>
        <row r="21">
          <cell r="A21" t="str">
            <v>배관공</v>
          </cell>
          <cell r="B21">
            <v>60590</v>
          </cell>
        </row>
        <row r="22">
          <cell r="A22" t="str">
            <v>H/W설치기사</v>
          </cell>
          <cell r="B22">
            <v>82720</v>
          </cell>
        </row>
        <row r="23">
          <cell r="A23" t="str">
            <v>S/W시험기사</v>
          </cell>
          <cell r="B23">
            <v>98026</v>
          </cell>
        </row>
        <row r="24">
          <cell r="A24" t="str">
            <v>건축목공</v>
          </cell>
          <cell r="B24">
            <v>69086</v>
          </cell>
        </row>
        <row r="25">
          <cell r="A25" t="str">
            <v>통신케이블전공</v>
          </cell>
          <cell r="B25">
            <v>95424</v>
          </cell>
        </row>
        <row r="26">
          <cell r="A26" t="str">
            <v>통신외선공</v>
          </cell>
          <cell r="B26">
            <v>90961</v>
          </cell>
        </row>
        <row r="27">
          <cell r="A27" t="str">
            <v>통신내선공</v>
          </cell>
          <cell r="B27">
            <v>63806</v>
          </cell>
        </row>
        <row r="28">
          <cell r="A28" t="str">
            <v>통신설비공</v>
          </cell>
          <cell r="B28">
            <v>77401</v>
          </cell>
        </row>
        <row r="29">
          <cell r="A29" t="str">
            <v>광케이블기사</v>
          </cell>
          <cell r="B29">
            <v>104231</v>
          </cell>
        </row>
        <row r="30">
          <cell r="A30" t="str">
            <v>방수공</v>
          </cell>
          <cell r="B30">
            <v>56597</v>
          </cell>
        </row>
        <row r="31">
          <cell r="A31" t="str">
            <v>무선안테나공</v>
          </cell>
          <cell r="B31">
            <v>95000</v>
          </cell>
        </row>
        <row r="32">
          <cell r="A32" t="str">
            <v>콘크리트공</v>
          </cell>
          <cell r="B32">
            <v>68884</v>
          </cell>
        </row>
        <row r="33">
          <cell r="A33" t="str">
            <v>플랜트배관공</v>
          </cell>
          <cell r="B33">
            <v>69836</v>
          </cell>
        </row>
        <row r="34">
          <cell r="A34" t="str">
            <v>직   종   명</v>
          </cell>
          <cell r="B34" t="str">
            <v>노  임  단  가</v>
          </cell>
          <cell r="C34" t="str">
            <v>비       고</v>
          </cell>
        </row>
        <row r="35">
          <cell r="A35" t="str">
            <v>형틀목공</v>
          </cell>
          <cell r="B35">
            <v>71251</v>
          </cell>
        </row>
        <row r="36">
          <cell r="A36" t="str">
            <v>미장공</v>
          </cell>
          <cell r="B36">
            <v>67451</v>
          </cell>
        </row>
        <row r="37">
          <cell r="A37" t="str">
            <v>중기운전기사</v>
          </cell>
          <cell r="B37">
            <v>56603</v>
          </cell>
        </row>
        <row r="38">
          <cell r="A38" t="str">
            <v>중기운전조수</v>
          </cell>
          <cell r="B38">
            <v>43994</v>
          </cell>
        </row>
        <row r="39">
          <cell r="A39" t="str">
            <v>중기조장</v>
          </cell>
          <cell r="B39">
            <v>68228</v>
          </cell>
        </row>
        <row r="40">
          <cell r="A40" t="str">
            <v>운전사(운반차)</v>
          </cell>
          <cell r="B40">
            <v>55214</v>
          </cell>
        </row>
        <row r="41">
          <cell r="A41" t="str">
            <v>운전사(기계)</v>
          </cell>
          <cell r="B41">
            <v>47653</v>
          </cell>
        </row>
        <row r="42">
          <cell r="A42" t="str">
            <v>계장공</v>
          </cell>
          <cell r="B42">
            <v>62012</v>
          </cell>
        </row>
        <row r="43">
          <cell r="A43" t="str">
            <v>신호공</v>
          </cell>
          <cell r="B43">
            <v>88110</v>
          </cell>
        </row>
        <row r="44">
          <cell r="A44" t="str">
            <v>통신기사 2급</v>
          </cell>
          <cell r="B44">
            <v>91949</v>
          </cell>
        </row>
        <row r="45">
          <cell r="A45" t="str">
            <v>무선설비기사1급</v>
          </cell>
          <cell r="B45">
            <v>92355</v>
          </cell>
        </row>
        <row r="46">
          <cell r="A46" t="str">
            <v>무선설비기사2급</v>
          </cell>
          <cell r="B46">
            <v>91949</v>
          </cell>
        </row>
      </sheetData>
      <sheetData sheetId="3" refreshError="1">
        <row r="2">
          <cell r="A2" t="str">
            <v>[제 1 호표]</v>
          </cell>
          <cell r="B2" t="str">
            <v>인력터파기</v>
          </cell>
          <cell r="C2" t="str">
            <v>보통토사 0-1m</v>
          </cell>
          <cell r="D2" t="str">
            <v>㎥</v>
          </cell>
          <cell r="E2">
            <v>1</v>
          </cell>
          <cell r="G2">
            <v>8184</v>
          </cell>
          <cell r="I2">
            <v>8184</v>
          </cell>
        </row>
        <row r="3">
          <cell r="A3" t="str">
            <v>[제 2 호표]</v>
          </cell>
          <cell r="B3" t="str">
            <v>터파기</v>
          </cell>
          <cell r="C3" t="str">
            <v>보통토사(백호우80%,인력20%)</v>
          </cell>
          <cell r="D3" t="str">
            <v>㎥</v>
          </cell>
          <cell r="E3">
            <v>1</v>
          </cell>
          <cell r="F3">
            <v>120</v>
          </cell>
          <cell r="G3">
            <v>2002</v>
          </cell>
          <cell r="H3">
            <v>318</v>
          </cell>
          <cell r="I3">
            <v>2440</v>
          </cell>
        </row>
        <row r="4">
          <cell r="A4" t="str">
            <v>[제 3 호표]</v>
          </cell>
          <cell r="B4" t="str">
            <v>되메우기</v>
          </cell>
          <cell r="C4" t="str">
            <v>토사</v>
          </cell>
          <cell r="D4" t="str">
            <v>㎥</v>
          </cell>
          <cell r="E4">
            <v>1</v>
          </cell>
          <cell r="G4">
            <v>4092</v>
          </cell>
          <cell r="I4">
            <v>4092</v>
          </cell>
        </row>
        <row r="5">
          <cell r="A5" t="str">
            <v>[제 4 호표]</v>
          </cell>
          <cell r="B5" t="str">
            <v>되메우기</v>
          </cell>
          <cell r="C5" t="str">
            <v>보통토사(백호우80%,인력20%)</v>
          </cell>
          <cell r="D5" t="str">
            <v>㎥</v>
          </cell>
          <cell r="E5">
            <v>1</v>
          </cell>
          <cell r="F5">
            <v>120</v>
          </cell>
          <cell r="G5">
            <v>1184</v>
          </cell>
          <cell r="H5">
            <v>318</v>
          </cell>
          <cell r="I5">
            <v>1622</v>
          </cell>
        </row>
        <row r="6">
          <cell r="A6" t="str">
            <v>[제 5 호표]</v>
          </cell>
          <cell r="B6" t="str">
            <v>현장내잔토처리</v>
          </cell>
          <cell r="C6" t="str">
            <v>소운반.고르기</v>
          </cell>
          <cell r="D6" t="str">
            <v>㎥</v>
          </cell>
          <cell r="E6">
            <v>1</v>
          </cell>
          <cell r="G6">
            <v>8184</v>
          </cell>
          <cell r="I6">
            <v>8184</v>
          </cell>
        </row>
        <row r="7">
          <cell r="A7" t="str">
            <v>[제 6 호표]</v>
          </cell>
          <cell r="B7" t="str">
            <v>자갈깔기</v>
          </cell>
          <cell r="C7">
            <v>0</v>
          </cell>
          <cell r="D7" t="str">
            <v>㎥</v>
          </cell>
          <cell r="E7">
            <v>1</v>
          </cell>
          <cell r="F7">
            <v>8500</v>
          </cell>
          <cell r="G7">
            <v>4092</v>
          </cell>
          <cell r="I7">
            <v>12592</v>
          </cell>
        </row>
        <row r="8">
          <cell r="A8" t="str">
            <v>[제 7 호표]</v>
          </cell>
          <cell r="B8" t="str">
            <v>합판거푸집</v>
          </cell>
          <cell r="C8" t="str">
            <v>4회</v>
          </cell>
          <cell r="D8" t="str">
            <v>㎡</v>
          </cell>
          <cell r="E8">
            <v>1</v>
          </cell>
          <cell r="F8">
            <v>3861</v>
          </cell>
          <cell r="G8">
            <v>12642</v>
          </cell>
          <cell r="I8">
            <v>16503</v>
          </cell>
        </row>
        <row r="9">
          <cell r="A9" t="str">
            <v>[제 8 호표]</v>
          </cell>
          <cell r="B9" t="str">
            <v>파이프행가</v>
          </cell>
          <cell r="C9" t="str">
            <v>16C</v>
          </cell>
          <cell r="D9" t="str">
            <v>개소</v>
          </cell>
          <cell r="E9">
            <v>1</v>
          </cell>
          <cell r="F9">
            <v>697</v>
          </cell>
          <cell r="G9">
            <v>2021</v>
          </cell>
          <cell r="I9">
            <v>2718</v>
          </cell>
        </row>
        <row r="10">
          <cell r="A10" t="str">
            <v>[제 9 호표]</v>
          </cell>
          <cell r="B10" t="str">
            <v>파이프행가</v>
          </cell>
          <cell r="C10" t="str">
            <v>22C</v>
          </cell>
          <cell r="D10" t="str">
            <v>개소</v>
          </cell>
          <cell r="E10">
            <v>1</v>
          </cell>
          <cell r="F10">
            <v>729</v>
          </cell>
          <cell r="G10">
            <v>2021</v>
          </cell>
          <cell r="I10">
            <v>2750</v>
          </cell>
        </row>
        <row r="11">
          <cell r="A11" t="str">
            <v>[제 10 호표]</v>
          </cell>
          <cell r="B11" t="str">
            <v>파이프행가</v>
          </cell>
          <cell r="C11" t="str">
            <v>28C</v>
          </cell>
          <cell r="D11" t="str">
            <v>개소</v>
          </cell>
          <cell r="E11">
            <v>1</v>
          </cell>
          <cell r="F11">
            <v>769</v>
          </cell>
          <cell r="G11">
            <v>2021</v>
          </cell>
          <cell r="I11">
            <v>2790</v>
          </cell>
        </row>
        <row r="12">
          <cell r="A12" t="str">
            <v>[제 11 호표]</v>
          </cell>
          <cell r="B12" t="str">
            <v>파이프행가</v>
          </cell>
          <cell r="C12" t="str">
            <v>36C</v>
          </cell>
          <cell r="D12" t="str">
            <v>개소</v>
          </cell>
          <cell r="E12">
            <v>1</v>
          </cell>
          <cell r="F12">
            <v>829</v>
          </cell>
          <cell r="G12">
            <v>2021</v>
          </cell>
          <cell r="I12">
            <v>2850</v>
          </cell>
        </row>
        <row r="13">
          <cell r="A13" t="str">
            <v>[제 12 호표]</v>
          </cell>
          <cell r="B13" t="str">
            <v>파이프행가</v>
          </cell>
          <cell r="C13" t="str">
            <v>42C</v>
          </cell>
          <cell r="D13" t="str">
            <v>개소</v>
          </cell>
          <cell r="E13">
            <v>1</v>
          </cell>
          <cell r="F13">
            <v>877</v>
          </cell>
          <cell r="G13">
            <v>2021</v>
          </cell>
          <cell r="I13">
            <v>2898</v>
          </cell>
        </row>
        <row r="14">
          <cell r="A14" t="str">
            <v>[제 13 호표]</v>
          </cell>
          <cell r="B14" t="str">
            <v>파이프행가</v>
          </cell>
          <cell r="C14" t="str">
            <v>54C</v>
          </cell>
          <cell r="D14" t="str">
            <v>개소</v>
          </cell>
          <cell r="E14">
            <v>1</v>
          </cell>
          <cell r="F14">
            <v>1101</v>
          </cell>
          <cell r="G14">
            <v>2021</v>
          </cell>
          <cell r="I14">
            <v>3122</v>
          </cell>
        </row>
        <row r="15">
          <cell r="A15" t="str">
            <v>[제 14 호표]</v>
          </cell>
          <cell r="B15" t="str">
            <v>파이프행가</v>
          </cell>
          <cell r="C15" t="str">
            <v>70C</v>
          </cell>
          <cell r="D15" t="str">
            <v>개소</v>
          </cell>
          <cell r="E15">
            <v>1</v>
          </cell>
          <cell r="F15">
            <v>1269</v>
          </cell>
          <cell r="G15">
            <v>2021</v>
          </cell>
          <cell r="I15">
            <v>3290</v>
          </cell>
        </row>
        <row r="16">
          <cell r="A16" t="str">
            <v>[제 15 호표]</v>
          </cell>
          <cell r="B16" t="str">
            <v>파이프행가</v>
          </cell>
          <cell r="C16" t="str">
            <v>82C</v>
          </cell>
          <cell r="D16" t="str">
            <v>개소</v>
          </cell>
          <cell r="E16">
            <v>1</v>
          </cell>
          <cell r="F16">
            <v>1349</v>
          </cell>
          <cell r="G16">
            <v>2021</v>
          </cell>
          <cell r="I16">
            <v>3370</v>
          </cell>
        </row>
        <row r="17">
          <cell r="A17" t="str">
            <v>[제 16 호표]</v>
          </cell>
          <cell r="B17" t="str">
            <v>파이프행가</v>
          </cell>
          <cell r="C17" t="str">
            <v>104C</v>
          </cell>
          <cell r="D17" t="str">
            <v>개소</v>
          </cell>
          <cell r="E17">
            <v>1</v>
          </cell>
          <cell r="F17">
            <v>1725</v>
          </cell>
          <cell r="G17">
            <v>2021</v>
          </cell>
          <cell r="I17">
            <v>3746</v>
          </cell>
        </row>
        <row r="18">
          <cell r="A18" t="str">
            <v>[제 17 호표]</v>
          </cell>
          <cell r="B18" t="str">
            <v>파이프지지대</v>
          </cell>
          <cell r="C18" t="str">
            <v>W200</v>
          </cell>
          <cell r="D18" t="str">
            <v>개소</v>
          </cell>
          <cell r="E18">
            <v>1</v>
          </cell>
          <cell r="F18">
            <v>1488</v>
          </cell>
          <cell r="G18">
            <v>4042</v>
          </cell>
          <cell r="I18">
            <v>5530</v>
          </cell>
        </row>
        <row r="19">
          <cell r="A19" t="str">
            <v>[제 18 호표]</v>
          </cell>
          <cell r="B19" t="str">
            <v>파이프지지대</v>
          </cell>
          <cell r="C19" t="str">
            <v>W250</v>
          </cell>
          <cell r="D19" t="str">
            <v>개소</v>
          </cell>
          <cell r="E19">
            <v>1</v>
          </cell>
          <cell r="F19">
            <v>1617</v>
          </cell>
          <cell r="G19">
            <v>4042</v>
          </cell>
          <cell r="I19">
            <v>5659</v>
          </cell>
        </row>
        <row r="20">
          <cell r="A20" t="str">
            <v>[제 19 호표]</v>
          </cell>
          <cell r="B20" t="str">
            <v>파이프지지대</v>
          </cell>
          <cell r="C20" t="str">
            <v>W300</v>
          </cell>
          <cell r="D20" t="str">
            <v>개소</v>
          </cell>
          <cell r="E20">
            <v>1</v>
          </cell>
          <cell r="F20">
            <v>1746</v>
          </cell>
          <cell r="G20">
            <v>4042</v>
          </cell>
          <cell r="I20">
            <v>5788</v>
          </cell>
        </row>
        <row r="21">
          <cell r="A21" t="str">
            <v>[제 20 호표]</v>
          </cell>
          <cell r="B21" t="str">
            <v>파이프지지대</v>
          </cell>
          <cell r="C21" t="str">
            <v>W300-2단</v>
          </cell>
          <cell r="D21" t="str">
            <v>개소</v>
          </cell>
          <cell r="E21">
            <v>1</v>
          </cell>
          <cell r="F21">
            <v>2846</v>
          </cell>
          <cell r="G21">
            <v>4042</v>
          </cell>
          <cell r="I21">
            <v>6888</v>
          </cell>
        </row>
        <row r="22">
          <cell r="A22" t="str">
            <v>[제 21 호표]</v>
          </cell>
          <cell r="B22" t="str">
            <v>파이프지지대</v>
          </cell>
          <cell r="C22" t="str">
            <v>W400</v>
          </cell>
          <cell r="D22" t="str">
            <v>개소</v>
          </cell>
          <cell r="E22">
            <v>1</v>
          </cell>
          <cell r="F22">
            <v>2004</v>
          </cell>
          <cell r="G22">
            <v>4042</v>
          </cell>
          <cell r="I22">
            <v>6046</v>
          </cell>
        </row>
        <row r="23">
          <cell r="A23" t="str">
            <v>[제 22 호표]</v>
          </cell>
          <cell r="B23" t="str">
            <v>파이프지지대</v>
          </cell>
          <cell r="C23" t="str">
            <v>W400-2단</v>
          </cell>
          <cell r="D23" t="str">
            <v>개소</v>
          </cell>
          <cell r="E23">
            <v>1</v>
          </cell>
          <cell r="F23">
            <v>3362</v>
          </cell>
          <cell r="G23">
            <v>4042</v>
          </cell>
          <cell r="I23">
            <v>7404</v>
          </cell>
        </row>
        <row r="24">
          <cell r="A24" t="str">
            <v>[제 23 호표]</v>
          </cell>
          <cell r="B24" t="str">
            <v>파이프지지대</v>
          </cell>
          <cell r="C24" t="str">
            <v>W500</v>
          </cell>
          <cell r="D24" t="str">
            <v>개소</v>
          </cell>
          <cell r="E24">
            <v>1</v>
          </cell>
          <cell r="F24">
            <v>2262</v>
          </cell>
          <cell r="G24">
            <v>4042</v>
          </cell>
          <cell r="I24">
            <v>6304</v>
          </cell>
        </row>
        <row r="25">
          <cell r="A25" t="str">
            <v>[제 24 호표]</v>
          </cell>
          <cell r="B25" t="str">
            <v>파이프지지대</v>
          </cell>
          <cell r="C25" t="str">
            <v>W500-2단</v>
          </cell>
          <cell r="D25" t="str">
            <v>개소</v>
          </cell>
          <cell r="E25">
            <v>1</v>
          </cell>
          <cell r="F25">
            <v>3878</v>
          </cell>
          <cell r="G25">
            <v>4042</v>
          </cell>
          <cell r="I25">
            <v>7920</v>
          </cell>
        </row>
        <row r="26">
          <cell r="A26" t="str">
            <v>[제 25 호표]</v>
          </cell>
          <cell r="B26" t="str">
            <v>파이프지지대</v>
          </cell>
          <cell r="C26" t="str">
            <v>W500-3단</v>
          </cell>
          <cell r="D26" t="str">
            <v>개소</v>
          </cell>
          <cell r="E26">
            <v>1</v>
          </cell>
          <cell r="F26">
            <v>5494</v>
          </cell>
          <cell r="G26">
            <v>4042</v>
          </cell>
          <cell r="I26">
            <v>9536</v>
          </cell>
        </row>
        <row r="27">
          <cell r="A27" t="str">
            <v>[제 26 호표]</v>
          </cell>
          <cell r="B27" t="str">
            <v>파이프지지대</v>
          </cell>
          <cell r="C27" t="str">
            <v>W600</v>
          </cell>
          <cell r="D27" t="str">
            <v>개소</v>
          </cell>
          <cell r="E27">
            <v>1</v>
          </cell>
          <cell r="F27">
            <v>2520</v>
          </cell>
          <cell r="G27">
            <v>4042</v>
          </cell>
          <cell r="I27">
            <v>6562</v>
          </cell>
        </row>
        <row r="28">
          <cell r="A28" t="str">
            <v>[제 27 호표]</v>
          </cell>
          <cell r="B28" t="str">
            <v>파이프지지대</v>
          </cell>
          <cell r="C28" t="str">
            <v>W600-2단</v>
          </cell>
          <cell r="D28" t="str">
            <v>개소</v>
          </cell>
          <cell r="E28">
            <v>1</v>
          </cell>
          <cell r="F28">
            <v>4394</v>
          </cell>
          <cell r="G28">
            <v>4042</v>
          </cell>
          <cell r="I28">
            <v>8436</v>
          </cell>
        </row>
        <row r="29">
          <cell r="A29" t="str">
            <v>[제 28 호표]</v>
          </cell>
          <cell r="B29" t="str">
            <v>파이프지지대</v>
          </cell>
          <cell r="C29" t="str">
            <v>W700</v>
          </cell>
          <cell r="D29" t="str">
            <v>개소</v>
          </cell>
          <cell r="E29">
            <v>1</v>
          </cell>
          <cell r="F29">
            <v>2778</v>
          </cell>
          <cell r="G29">
            <v>4042</v>
          </cell>
          <cell r="I29">
            <v>6820</v>
          </cell>
        </row>
        <row r="30">
          <cell r="A30" t="str">
            <v>[제 29 호표]</v>
          </cell>
          <cell r="B30" t="str">
            <v>파이프지지대</v>
          </cell>
          <cell r="C30" t="str">
            <v>W700-2단</v>
          </cell>
          <cell r="D30" t="str">
            <v>개소</v>
          </cell>
          <cell r="E30">
            <v>1</v>
          </cell>
          <cell r="F30">
            <v>4910</v>
          </cell>
          <cell r="G30">
            <v>4042</v>
          </cell>
          <cell r="I30">
            <v>8952</v>
          </cell>
        </row>
        <row r="31">
          <cell r="A31" t="str">
            <v>[제 30 호표]</v>
          </cell>
          <cell r="B31" t="str">
            <v>파이프지지대</v>
          </cell>
          <cell r="C31" t="str">
            <v>W700-3단</v>
          </cell>
          <cell r="D31" t="str">
            <v>개소</v>
          </cell>
          <cell r="E31">
            <v>1</v>
          </cell>
          <cell r="F31">
            <v>7042</v>
          </cell>
          <cell r="G31">
            <v>4042</v>
          </cell>
          <cell r="I31">
            <v>11084</v>
          </cell>
        </row>
        <row r="32">
          <cell r="A32" t="str">
            <v>[제 31 호표]</v>
          </cell>
          <cell r="B32" t="str">
            <v>파이프지지대</v>
          </cell>
          <cell r="C32" t="str">
            <v>W800</v>
          </cell>
          <cell r="D32" t="str">
            <v>개소</v>
          </cell>
          <cell r="E32">
            <v>1</v>
          </cell>
          <cell r="F32">
            <v>3036</v>
          </cell>
          <cell r="G32">
            <v>4042</v>
          </cell>
          <cell r="I32">
            <v>7078</v>
          </cell>
        </row>
        <row r="33">
          <cell r="A33" t="str">
            <v>[제 32 호표]</v>
          </cell>
          <cell r="B33" t="str">
            <v>파이프지지대</v>
          </cell>
          <cell r="C33" t="str">
            <v>W800-2단</v>
          </cell>
          <cell r="D33" t="str">
            <v>개소</v>
          </cell>
          <cell r="E33">
            <v>1</v>
          </cell>
          <cell r="F33">
            <v>5426</v>
          </cell>
          <cell r="G33">
            <v>4042</v>
          </cell>
          <cell r="I33">
            <v>9468</v>
          </cell>
        </row>
        <row r="34">
          <cell r="A34" t="str">
            <v>[제 33 호표]</v>
          </cell>
          <cell r="B34" t="str">
            <v>파이프지지대</v>
          </cell>
          <cell r="C34" t="str">
            <v>W800-3단</v>
          </cell>
          <cell r="D34" t="str">
            <v>개소</v>
          </cell>
          <cell r="E34">
            <v>1</v>
          </cell>
          <cell r="F34">
            <v>7816</v>
          </cell>
          <cell r="G34">
            <v>4042</v>
          </cell>
          <cell r="I34">
            <v>11858</v>
          </cell>
        </row>
        <row r="35">
          <cell r="A35" t="str">
            <v>[제 34 호표]</v>
          </cell>
          <cell r="B35" t="str">
            <v>파이프지지대</v>
          </cell>
          <cell r="C35" t="str">
            <v>W900-3단</v>
          </cell>
          <cell r="D35" t="str">
            <v>개소</v>
          </cell>
          <cell r="E35">
            <v>1</v>
          </cell>
          <cell r="F35">
            <v>8574</v>
          </cell>
          <cell r="G35">
            <v>4042</v>
          </cell>
          <cell r="I35">
            <v>12616</v>
          </cell>
        </row>
        <row r="36">
          <cell r="A36" t="str">
            <v>[제 35 호표]</v>
          </cell>
          <cell r="B36" t="str">
            <v>동력배관지지가대</v>
          </cell>
          <cell r="C36" t="str">
            <v>모타배관지지</v>
          </cell>
          <cell r="D36" t="str">
            <v>개소</v>
          </cell>
          <cell r="E36">
            <v>1</v>
          </cell>
          <cell r="F36">
            <v>10637</v>
          </cell>
          <cell r="G36">
            <v>8982</v>
          </cell>
          <cell r="I36">
            <v>19619</v>
          </cell>
        </row>
        <row r="37">
          <cell r="A37" t="str">
            <v>[제 36 호표]</v>
          </cell>
          <cell r="B37" t="str">
            <v>파이프지지</v>
          </cell>
          <cell r="C37" t="str">
            <v>W50</v>
          </cell>
          <cell r="D37" t="str">
            <v>개소</v>
          </cell>
          <cell r="E37">
            <v>1</v>
          </cell>
          <cell r="F37">
            <v>541</v>
          </cell>
          <cell r="G37">
            <v>4042</v>
          </cell>
          <cell r="I37">
            <v>4583</v>
          </cell>
        </row>
        <row r="38">
          <cell r="A38" t="str">
            <v>[제 37 호표]</v>
          </cell>
          <cell r="B38" t="str">
            <v>파이프지지</v>
          </cell>
          <cell r="C38" t="str">
            <v>W100</v>
          </cell>
          <cell r="D38" t="str">
            <v>개소</v>
          </cell>
          <cell r="E38">
            <v>1</v>
          </cell>
          <cell r="F38">
            <v>670</v>
          </cell>
          <cell r="G38">
            <v>4042</v>
          </cell>
          <cell r="I38">
            <v>4712</v>
          </cell>
        </row>
        <row r="39">
          <cell r="A39" t="str">
            <v>[제 38 호표]</v>
          </cell>
          <cell r="B39" t="str">
            <v>파이프지지</v>
          </cell>
          <cell r="C39" t="str">
            <v>W200</v>
          </cell>
          <cell r="D39" t="str">
            <v>개소</v>
          </cell>
          <cell r="E39">
            <v>1</v>
          </cell>
          <cell r="F39">
            <v>928</v>
          </cell>
          <cell r="G39">
            <v>4042</v>
          </cell>
          <cell r="I39">
            <v>4970</v>
          </cell>
        </row>
        <row r="40">
          <cell r="A40" t="str">
            <v>[제 39 호표]</v>
          </cell>
          <cell r="B40" t="str">
            <v>파이프지지</v>
          </cell>
          <cell r="C40" t="str">
            <v>W300</v>
          </cell>
          <cell r="D40" t="str">
            <v>개소</v>
          </cell>
          <cell r="E40">
            <v>1</v>
          </cell>
          <cell r="F40">
            <v>1186</v>
          </cell>
          <cell r="G40">
            <v>4042</v>
          </cell>
          <cell r="I40">
            <v>5228</v>
          </cell>
        </row>
        <row r="41">
          <cell r="A41" t="str">
            <v>[제 40 호표]</v>
          </cell>
          <cell r="B41" t="str">
            <v>파이프지지</v>
          </cell>
          <cell r="C41" t="str">
            <v>W400</v>
          </cell>
          <cell r="D41" t="str">
            <v>개소</v>
          </cell>
          <cell r="E41">
            <v>1</v>
          </cell>
          <cell r="F41">
            <v>1444</v>
          </cell>
          <cell r="G41">
            <v>4042</v>
          </cell>
          <cell r="I41">
            <v>5486</v>
          </cell>
        </row>
        <row r="42">
          <cell r="A42" t="str">
            <v>[제 41 호표]</v>
          </cell>
          <cell r="B42" t="str">
            <v>파이프지지</v>
          </cell>
          <cell r="C42" t="str">
            <v>W500</v>
          </cell>
          <cell r="D42" t="str">
            <v>개소</v>
          </cell>
          <cell r="E42">
            <v>1</v>
          </cell>
          <cell r="F42">
            <v>1702</v>
          </cell>
          <cell r="G42">
            <v>4042</v>
          </cell>
          <cell r="I42">
            <v>5744</v>
          </cell>
        </row>
        <row r="43">
          <cell r="A43" t="str">
            <v>[제 42 호표]</v>
          </cell>
          <cell r="B43" t="str">
            <v>파이프지지</v>
          </cell>
          <cell r="C43" t="str">
            <v>W600</v>
          </cell>
          <cell r="D43" t="str">
            <v>개소</v>
          </cell>
          <cell r="E43">
            <v>1</v>
          </cell>
          <cell r="F43">
            <v>1960</v>
          </cell>
          <cell r="G43">
            <v>4042</v>
          </cell>
          <cell r="I43">
            <v>6002</v>
          </cell>
        </row>
        <row r="44">
          <cell r="A44" t="str">
            <v>[제 43 호표]</v>
          </cell>
          <cell r="B44" t="str">
            <v>등기구보강</v>
          </cell>
          <cell r="C44" t="str">
            <v>스프링형M바표준</v>
          </cell>
          <cell r="D44" t="str">
            <v>개소</v>
          </cell>
          <cell r="E44">
            <v>1</v>
          </cell>
          <cell r="F44">
            <v>2486</v>
          </cell>
          <cell r="G44">
            <v>4042</v>
          </cell>
          <cell r="I44">
            <v>6528</v>
          </cell>
        </row>
        <row r="45">
          <cell r="A45" t="str">
            <v>[제 44 호표]</v>
          </cell>
          <cell r="B45" t="str">
            <v>등기구보강</v>
          </cell>
          <cell r="C45" t="str">
            <v>FL 2/32W</v>
          </cell>
          <cell r="D45" t="str">
            <v>개소</v>
          </cell>
          <cell r="E45">
            <v>1</v>
          </cell>
          <cell r="F45">
            <v>4972</v>
          </cell>
          <cell r="G45">
            <v>13249</v>
          </cell>
          <cell r="I45">
            <v>18221</v>
          </cell>
        </row>
        <row r="46">
          <cell r="A46" t="str">
            <v>[제 45 호표]</v>
          </cell>
          <cell r="B46" t="str">
            <v>RACE WAY 지지</v>
          </cell>
          <cell r="C46" t="str">
            <v>70x40</v>
          </cell>
          <cell r="D46" t="str">
            <v>개소</v>
          </cell>
          <cell r="E46">
            <v>1</v>
          </cell>
          <cell r="F46">
            <v>1600</v>
          </cell>
          <cell r="G46">
            <v>2021</v>
          </cell>
          <cell r="I46">
            <v>3621</v>
          </cell>
        </row>
        <row r="47">
          <cell r="A47" t="str">
            <v>[제 46 호표]</v>
          </cell>
          <cell r="B47" t="str">
            <v>EPS SUPPORT (C.T)</v>
          </cell>
          <cell r="C47" t="str">
            <v>W300</v>
          </cell>
          <cell r="D47" t="str">
            <v>개소</v>
          </cell>
          <cell r="E47">
            <v>1</v>
          </cell>
          <cell r="F47">
            <v>1152</v>
          </cell>
          <cell r="G47">
            <v>4042</v>
          </cell>
          <cell r="I47">
            <v>5194</v>
          </cell>
        </row>
        <row r="48">
          <cell r="A48" t="str">
            <v>[제 47 호표]</v>
          </cell>
          <cell r="B48" t="str">
            <v>EPS SUPPORT (C.T)</v>
          </cell>
          <cell r="C48" t="str">
            <v>W600</v>
          </cell>
          <cell r="D48" t="str">
            <v>개소</v>
          </cell>
          <cell r="E48">
            <v>1</v>
          </cell>
          <cell r="F48">
            <v>1926</v>
          </cell>
          <cell r="G48">
            <v>4042</v>
          </cell>
          <cell r="I48">
            <v>5968</v>
          </cell>
        </row>
        <row r="49">
          <cell r="A49" t="str">
            <v>[제 48 호표]</v>
          </cell>
          <cell r="B49" t="str">
            <v>EPS SUPPORT (C.T)</v>
          </cell>
          <cell r="C49" t="str">
            <v>W700</v>
          </cell>
          <cell r="D49" t="str">
            <v>개소</v>
          </cell>
          <cell r="E49">
            <v>1</v>
          </cell>
          <cell r="F49">
            <v>2184</v>
          </cell>
          <cell r="G49">
            <v>4042</v>
          </cell>
          <cell r="I49">
            <v>6226</v>
          </cell>
        </row>
        <row r="50">
          <cell r="A50" t="str">
            <v>[제 49 호표]</v>
          </cell>
          <cell r="B50" t="str">
            <v>EPS SUPPORT (C.T)</v>
          </cell>
          <cell r="C50" t="str">
            <v>W900</v>
          </cell>
          <cell r="D50" t="str">
            <v>개소</v>
          </cell>
          <cell r="E50">
            <v>1</v>
          </cell>
          <cell r="F50">
            <v>2700</v>
          </cell>
          <cell r="G50">
            <v>4042</v>
          </cell>
          <cell r="I50">
            <v>6742</v>
          </cell>
        </row>
        <row r="51">
          <cell r="A51" t="str">
            <v>[제 50 호표]</v>
          </cell>
          <cell r="B51" t="str">
            <v>EPS SUPPORT (C.T)</v>
          </cell>
          <cell r="C51" t="str">
            <v>3P 60AF</v>
          </cell>
          <cell r="D51" t="str">
            <v>면</v>
          </cell>
          <cell r="E51">
            <v>1</v>
          </cell>
          <cell r="F51">
            <v>55630</v>
          </cell>
          <cell r="G51">
            <v>78600</v>
          </cell>
          <cell r="I51">
            <v>134230</v>
          </cell>
        </row>
        <row r="52">
          <cell r="A52" t="str">
            <v>[제 51 호표]</v>
          </cell>
          <cell r="B52" t="str">
            <v>케이블트레이지지대</v>
          </cell>
          <cell r="C52" t="str">
            <v>W200</v>
          </cell>
          <cell r="D52" t="str">
            <v>개소</v>
          </cell>
          <cell r="E52">
            <v>1</v>
          </cell>
          <cell r="F52">
            <v>1488</v>
          </cell>
          <cell r="G52">
            <v>4042</v>
          </cell>
          <cell r="I52">
            <v>5530</v>
          </cell>
        </row>
        <row r="53">
          <cell r="A53" t="str">
            <v>[제 52 호표]</v>
          </cell>
          <cell r="B53" t="str">
            <v>MCCB BOX</v>
          </cell>
          <cell r="C53" t="str">
            <v>2P 50AF</v>
          </cell>
          <cell r="D53" t="str">
            <v>면</v>
          </cell>
          <cell r="E53">
            <v>1</v>
          </cell>
          <cell r="F53">
            <v>43440</v>
          </cell>
          <cell r="G53">
            <v>69617</v>
          </cell>
          <cell r="I53">
            <v>113057</v>
          </cell>
        </row>
        <row r="54">
          <cell r="A54" t="str">
            <v>[제 53 호표]</v>
          </cell>
          <cell r="B54" t="str">
            <v>MCCB BOX</v>
          </cell>
          <cell r="C54" t="str">
            <v>2P 50AF x 2</v>
          </cell>
          <cell r="D54" t="str">
            <v>면</v>
          </cell>
          <cell r="E54">
            <v>1</v>
          </cell>
          <cell r="F54">
            <v>62980</v>
          </cell>
          <cell r="G54">
            <v>102180</v>
          </cell>
          <cell r="I54">
            <v>165160</v>
          </cell>
        </row>
        <row r="55">
          <cell r="A55" t="str">
            <v>[제 54 호표]</v>
          </cell>
          <cell r="B55" t="str">
            <v>맨홀</v>
          </cell>
          <cell r="C55" t="str">
            <v>"C"형</v>
          </cell>
          <cell r="D55" t="str">
            <v>개소</v>
          </cell>
          <cell r="E55">
            <v>1</v>
          </cell>
          <cell r="F55">
            <v>1031480</v>
          </cell>
          <cell r="G55">
            <v>868343</v>
          </cell>
          <cell r="I55">
            <v>1899823</v>
          </cell>
        </row>
        <row r="56">
          <cell r="A56" t="str">
            <v>[제 55 호표]</v>
          </cell>
          <cell r="B56" t="str">
            <v>관로구방수</v>
          </cell>
          <cell r="C56" t="str">
            <v>D 50</v>
          </cell>
          <cell r="D56" t="str">
            <v>개소</v>
          </cell>
          <cell r="E56">
            <v>1</v>
          </cell>
          <cell r="F56">
            <v>43900</v>
          </cell>
          <cell r="G56">
            <v>15240</v>
          </cell>
          <cell r="I56">
            <v>59140</v>
          </cell>
        </row>
        <row r="57">
          <cell r="A57" t="str">
            <v>[제 56 호표]</v>
          </cell>
          <cell r="B57" t="str">
            <v>관로구방수</v>
          </cell>
          <cell r="C57" t="str">
            <v>D 100</v>
          </cell>
          <cell r="D57" t="str">
            <v>개소</v>
          </cell>
          <cell r="E57">
            <v>1</v>
          </cell>
          <cell r="F57">
            <v>47800</v>
          </cell>
          <cell r="G57">
            <v>15240</v>
          </cell>
          <cell r="I57">
            <v>63040</v>
          </cell>
        </row>
        <row r="58">
          <cell r="A58" t="str">
            <v>[제 57 호표]</v>
          </cell>
          <cell r="B58" t="str">
            <v>콘크리트타설</v>
          </cell>
          <cell r="C58" t="str">
            <v>레미콘 25-210-8</v>
          </cell>
          <cell r="D58" t="str">
            <v>㎥</v>
          </cell>
          <cell r="E58">
            <v>1</v>
          </cell>
          <cell r="F58">
            <v>47134</v>
          </cell>
          <cell r="G58">
            <v>21380</v>
          </cell>
          <cell r="I58">
            <v>68514</v>
          </cell>
        </row>
        <row r="59">
          <cell r="A59" t="str">
            <v>[제 58 호표]</v>
          </cell>
          <cell r="B59" t="str">
            <v>외등기초</v>
          </cell>
          <cell r="C59" t="str">
            <v>접지(유)</v>
          </cell>
          <cell r="D59" t="str">
            <v>개소</v>
          </cell>
          <cell r="E59">
            <v>1</v>
          </cell>
          <cell r="F59">
            <v>26046</v>
          </cell>
          <cell r="G59">
            <v>48223</v>
          </cell>
          <cell r="H59">
            <v>414</v>
          </cell>
          <cell r="I59">
            <v>74683</v>
          </cell>
        </row>
        <row r="60">
          <cell r="A60" t="str">
            <v>[제 59 호표]</v>
          </cell>
          <cell r="B60" t="str">
            <v>등기구보강</v>
          </cell>
          <cell r="C60" t="str">
            <v>스프링형M바표준</v>
          </cell>
          <cell r="D60" t="str">
            <v>개소</v>
          </cell>
          <cell r="E60">
            <v>1</v>
          </cell>
          <cell r="F60">
            <v>2486</v>
          </cell>
          <cell r="G60">
            <v>4042</v>
          </cell>
          <cell r="I60">
            <v>6528</v>
          </cell>
        </row>
        <row r="61">
          <cell r="A61" t="str">
            <v>[제 60 호표]</v>
          </cell>
          <cell r="B61" t="str">
            <v>등기구보강</v>
          </cell>
          <cell r="C61" t="str">
            <v>FL 2/32W</v>
          </cell>
          <cell r="D61" t="str">
            <v>개소</v>
          </cell>
          <cell r="E61">
            <v>1</v>
          </cell>
          <cell r="F61">
            <v>4972</v>
          </cell>
          <cell r="G61">
            <v>13249</v>
          </cell>
          <cell r="I61">
            <v>18221</v>
          </cell>
        </row>
        <row r="62">
          <cell r="A62" t="str">
            <v>[제 61 호표]</v>
          </cell>
          <cell r="B62" t="str">
            <v>터널전등설치(P1)</v>
          </cell>
          <cell r="C62" t="str">
            <v>FL 2/32W</v>
          </cell>
          <cell r="D62" t="str">
            <v>개소</v>
          </cell>
          <cell r="E62">
            <v>1</v>
          </cell>
          <cell r="F62">
            <v>123995</v>
          </cell>
          <cell r="G62">
            <v>35596</v>
          </cell>
          <cell r="I62">
            <v>159591</v>
          </cell>
        </row>
        <row r="63">
          <cell r="A63" t="str">
            <v>[제 62 호표]</v>
          </cell>
          <cell r="B63" t="str">
            <v>터널전등설치(P2)</v>
          </cell>
          <cell r="C63" t="str">
            <v>FL 1/32W</v>
          </cell>
          <cell r="D63" t="str">
            <v>개소</v>
          </cell>
          <cell r="E63">
            <v>1</v>
          </cell>
          <cell r="F63">
            <v>70995</v>
          </cell>
          <cell r="G63">
            <v>32227</v>
          </cell>
          <cell r="I63">
            <v>103222</v>
          </cell>
        </row>
        <row r="64">
          <cell r="A64" t="str">
            <v>[제 63 호표]</v>
          </cell>
          <cell r="B64" t="str">
            <v>인류애자RACK설치</v>
          </cell>
          <cell r="C64" t="str">
            <v>시.종단형</v>
          </cell>
          <cell r="D64" t="str">
            <v>개소</v>
          </cell>
          <cell r="E64">
            <v>1</v>
          </cell>
          <cell r="F64">
            <v>560</v>
          </cell>
          <cell r="G64">
            <v>153364</v>
          </cell>
          <cell r="I64">
            <v>153924</v>
          </cell>
        </row>
        <row r="65">
          <cell r="A65" t="str">
            <v>[제 64 호표]</v>
          </cell>
          <cell r="B65" t="str">
            <v>인류애자RACK설치</v>
          </cell>
          <cell r="C65" t="str">
            <v>중간형</v>
          </cell>
          <cell r="D65" t="str">
            <v>개소</v>
          </cell>
          <cell r="E65">
            <v>1</v>
          </cell>
          <cell r="F65">
            <v>1120</v>
          </cell>
          <cell r="G65">
            <v>208975</v>
          </cell>
          <cell r="I65">
            <v>210095</v>
          </cell>
        </row>
        <row r="66">
          <cell r="A66" t="str">
            <v>[제 65 호표]</v>
          </cell>
          <cell r="B66" t="str">
            <v>인류애자RACK설치</v>
          </cell>
          <cell r="C66" t="str">
            <v>인류형</v>
          </cell>
          <cell r="D66" t="str">
            <v>개소</v>
          </cell>
          <cell r="E66">
            <v>1</v>
          </cell>
          <cell r="F66">
            <v>400</v>
          </cell>
          <cell r="G66">
            <v>149715</v>
          </cell>
          <cell r="I66">
            <v>150115</v>
          </cell>
        </row>
        <row r="67">
          <cell r="A67" t="str">
            <v>[제 66 호표]</v>
          </cell>
          <cell r="B67" t="str">
            <v>터널콘센트함설치</v>
          </cell>
          <cell r="C67" t="str">
            <v>280x380x130</v>
          </cell>
          <cell r="D67" t="str">
            <v>개소</v>
          </cell>
          <cell r="E67">
            <v>1</v>
          </cell>
          <cell r="F67">
            <v>218943</v>
          </cell>
          <cell r="G67">
            <v>105979</v>
          </cell>
          <cell r="I67">
            <v>324922</v>
          </cell>
        </row>
        <row r="68">
          <cell r="A68" t="str">
            <v>[제 67 호표]</v>
          </cell>
          <cell r="B68" t="str">
            <v>CADWELD</v>
          </cell>
          <cell r="C68" t="str">
            <v>"T"</v>
          </cell>
          <cell r="D68" t="str">
            <v>개소</v>
          </cell>
          <cell r="E68">
            <v>1</v>
          </cell>
          <cell r="F68">
            <v>7900</v>
          </cell>
          <cell r="G68">
            <v>10667</v>
          </cell>
          <cell r="I68">
            <v>18567</v>
          </cell>
        </row>
        <row r="69">
          <cell r="A69" t="str">
            <v>[제 68 호표]</v>
          </cell>
          <cell r="B69" t="str">
            <v>CADWELD</v>
          </cell>
          <cell r="C69" t="str">
            <v>"+"</v>
          </cell>
          <cell r="D69" t="str">
            <v>개소</v>
          </cell>
          <cell r="E69">
            <v>1</v>
          </cell>
          <cell r="F69">
            <v>16500</v>
          </cell>
          <cell r="G69">
            <v>10667</v>
          </cell>
          <cell r="I69">
            <v>27167</v>
          </cell>
        </row>
        <row r="70">
          <cell r="A70" t="str">
            <v>[제 69 호표]</v>
          </cell>
          <cell r="B70" t="str">
            <v>파이프지지대</v>
          </cell>
          <cell r="C70" t="str">
            <v>W900-1단</v>
          </cell>
          <cell r="D70" t="str">
            <v>개소</v>
          </cell>
          <cell r="E70">
            <v>1</v>
          </cell>
          <cell r="F70">
            <v>3414</v>
          </cell>
          <cell r="G70">
            <v>4042</v>
          </cell>
          <cell r="I70">
            <v>7456</v>
          </cell>
        </row>
        <row r="71">
          <cell r="A71" t="str">
            <v>[제 70 호표]</v>
          </cell>
          <cell r="B71" t="str">
            <v>파이프지지대</v>
          </cell>
          <cell r="C71" t="str">
            <v>W900-2단</v>
          </cell>
          <cell r="D71" t="str">
            <v>개소</v>
          </cell>
          <cell r="E71">
            <v>1</v>
          </cell>
          <cell r="F71">
            <v>5994</v>
          </cell>
          <cell r="G71">
            <v>4042</v>
          </cell>
          <cell r="I71">
            <v>10036</v>
          </cell>
        </row>
        <row r="72">
          <cell r="A72" t="str">
            <v>[제 71 호표]</v>
          </cell>
          <cell r="B72" t="str">
            <v>WALL TRAY 지지금구 신설</v>
          </cell>
          <cell r="C72" t="str">
            <v>W200</v>
          </cell>
          <cell r="D72" t="str">
            <v>개소</v>
          </cell>
          <cell r="E72">
            <v>1</v>
          </cell>
          <cell r="F72">
            <v>16750</v>
          </cell>
          <cell r="G72">
            <v>8982</v>
          </cell>
          <cell r="I72">
            <v>25732</v>
          </cell>
        </row>
        <row r="73">
          <cell r="A73" t="str">
            <v>[제 72 호표]</v>
          </cell>
          <cell r="B73" t="str">
            <v>터널전등설치(P3)</v>
          </cell>
          <cell r="C73" t="str">
            <v>FL 1/32W(비상등)</v>
          </cell>
          <cell r="D73" t="str">
            <v>개소</v>
          </cell>
          <cell r="E73">
            <v>1</v>
          </cell>
          <cell r="F73">
            <v>123995</v>
          </cell>
          <cell r="G73">
            <v>32227</v>
          </cell>
          <cell r="I73">
            <v>156222</v>
          </cell>
        </row>
        <row r="74">
          <cell r="A74" t="str">
            <v>[제 73 호표]</v>
          </cell>
          <cell r="B74" t="str">
            <v>파이프지지대</v>
          </cell>
          <cell r="C74" t="str">
            <v>W1300-1단</v>
          </cell>
          <cell r="D74" t="str">
            <v>개소</v>
          </cell>
          <cell r="E74">
            <v>1</v>
          </cell>
          <cell r="F74">
            <v>4446</v>
          </cell>
          <cell r="G74">
            <v>4042</v>
          </cell>
          <cell r="I74">
            <v>8488</v>
          </cell>
        </row>
      </sheetData>
      <sheetData sheetId="4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상례공사명령"/>
      <sheetName val="설계산출기초"/>
      <sheetName val="공사원가계산서"/>
      <sheetName val="도급예산내역서총괄표"/>
      <sheetName val="적산전력계신설"/>
      <sheetName val="전선철거"/>
      <sheetName val="케이블신설"/>
      <sheetName val="#REF"/>
      <sheetName val="동원인원"/>
      <sheetName val="청천내"/>
      <sheetName val="효성CB 1P기초"/>
      <sheetName val="도급예산내역서봉투"/>
      <sheetName val="설계산출표지"/>
      <sheetName val="을부담운반비"/>
      <sheetName val="운반비산출"/>
      <sheetName val="설계명세서"/>
      <sheetName val="자료입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  <sheetName val="경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  <sheetData sheetId="12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효성CB 1P기초"/>
      <sheetName val="철주철거8.8"/>
      <sheetName val="철주8.8M신설"/>
      <sheetName val="철주신11.3M용"/>
      <sheetName val="철주철11.3M용"/>
      <sheetName val="빔신5M하부용"/>
      <sheetName val="빔철거5M하부용"/>
      <sheetName val="빔신5M상부용"/>
      <sheetName val="빔철5M상부용"/>
      <sheetName val="DS가대철거"/>
      <sheetName val="주변압기"/>
      <sheetName val="단로기용기초"/>
      <sheetName val="O,PT,LA기초"/>
      <sheetName val="지지주용기초"/>
      <sheetName val="지지주신"/>
      <sheetName val="빔7M신"/>
      <sheetName val="OT용가대신"/>
      <sheetName val="모선신설"/>
      <sheetName val="모선철거"/>
      <sheetName val="LA용가대신"/>
      <sheetName val="PT가대신"/>
      <sheetName val="DS가대신"/>
      <sheetName val="철주기초"/>
      <sheetName val="닛신4P기초"/>
      <sheetName val="분전함신설"/>
      <sheetName val="접지1종"/>
      <sheetName val="기계경비(시간당)"/>
      <sheetName val="램머"/>
      <sheetName val="내역단위"/>
      <sheetName val="코드명"/>
      <sheetName val="구조물단위표"/>
      <sheetName val="관포설품"/>
      <sheetName val="토적단위"/>
      <sheetName val="동원단위"/>
      <sheetName val="인수공규격"/>
      <sheetName val="구조물절단규격"/>
      <sheetName val="거리별운반단가"/>
      <sheetName val="산출금액내역"/>
      <sheetName val="설비"/>
      <sheetName val="공리일"/>
      <sheetName val="증산변경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일위대가"/>
      <sheetName val="전선 및 전선관"/>
      <sheetName val="내역서"/>
      <sheetName val="조명율표"/>
      <sheetName val="용수량(생활용수)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  <sheetName val="계수시트"/>
      <sheetName val="수량산출"/>
      <sheetName val="경산"/>
      <sheetName val="DATE"/>
      <sheetName val="데이타"/>
      <sheetName val="원정우정"/>
      <sheetName val="골조시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갑지"/>
      <sheetName val="설계내역서"/>
      <sheetName val="현장경비"/>
      <sheetName val="#REF"/>
      <sheetName val="단가"/>
      <sheetName val="교대(A1-A2)"/>
      <sheetName val="공사개요"/>
      <sheetName val="Dae_Jiju"/>
      <sheetName val="Sikje_ingun"/>
      <sheetName val="TREE_D"/>
      <sheetName val="내역서"/>
      <sheetName val="견적의뢰서"/>
      <sheetName val="대비"/>
      <sheetName val="건축내역"/>
      <sheetName val="노임"/>
      <sheetName val="실행철강하도"/>
      <sheetName val="일H35Y4"/>
      <sheetName val="사용성검토"/>
      <sheetName val="일위대가"/>
      <sheetName val="실행내역"/>
      <sheetName val="교대(A1)"/>
      <sheetName val="배수공"/>
      <sheetName val="집계표"/>
      <sheetName val="양수장(기계)"/>
      <sheetName val="Sheet1 (2)"/>
      <sheetName val="공통가설"/>
      <sheetName val="공사비총괄표"/>
      <sheetName val="별표총괄"/>
      <sheetName val="총괄내역서"/>
      <sheetName val="가격조사서"/>
      <sheetName val="해평견적"/>
      <sheetName val="방배동내역(리라)"/>
      <sheetName val="건축공사집계표"/>
      <sheetName val="방배동내역 (총괄)"/>
      <sheetName val="부대공사총괄"/>
      <sheetName val="낙찰표"/>
      <sheetName val="물가변동 총괄서"/>
      <sheetName val="수량조서(신)"/>
      <sheetName val="금액내역서"/>
      <sheetName val="청천내"/>
      <sheetName val="ASALTOTA"/>
      <sheetName val="BID"/>
      <sheetName val="EUL"/>
      <sheetName val="부하(성남)"/>
      <sheetName val="제수"/>
      <sheetName val="공기"/>
      <sheetName val="인건비"/>
      <sheetName val="설계조건"/>
      <sheetName val="조명시설"/>
      <sheetName val="제잡비"/>
      <sheetName val="도시가스현황"/>
      <sheetName val="대림경상68억"/>
      <sheetName val="내역"/>
      <sheetName val="간접"/>
      <sheetName val="공종별"/>
      <sheetName val="MIJIBI"/>
      <sheetName val="재료비"/>
      <sheetName val="시공여유율"/>
      <sheetName val="Sheet1"/>
      <sheetName val="장비집계"/>
      <sheetName val="허용전류-IEC"/>
      <sheetName val="허용전류-IEC DATA"/>
      <sheetName val="취수탑"/>
      <sheetName val="증감내역서"/>
      <sheetName val="저"/>
      <sheetName val="단위단가"/>
      <sheetName val="중기사용료"/>
      <sheetName val="EQUIP LIST"/>
      <sheetName val="수량집계"/>
      <sheetName val="노무비계"/>
      <sheetName val="Sheet17"/>
      <sheetName val="새공통"/>
      <sheetName val="대전-교대(A1-A2)"/>
      <sheetName val="맨홀수량"/>
      <sheetName val="현황산출서"/>
      <sheetName val="기초1"/>
      <sheetName val="노임단가"/>
      <sheetName val="7.1유효폭"/>
      <sheetName val="동력부하계산"/>
      <sheetName val="Sheet3"/>
      <sheetName val="부속동"/>
      <sheetName val="본선 토공 분배표"/>
      <sheetName val="프랜트면허"/>
      <sheetName val="토목주소"/>
      <sheetName val="인사자료총집계"/>
      <sheetName val="TEST1"/>
      <sheetName val="평가데이터"/>
      <sheetName val="기본단가"/>
      <sheetName val="DATE"/>
      <sheetName val="현장관리비 산출내역"/>
      <sheetName val="기계경비일람"/>
      <sheetName val="뚝토공"/>
      <sheetName val="도급"/>
      <sheetName val="변경내역대비표(2)"/>
      <sheetName val="단면 (2)"/>
      <sheetName val="경비"/>
      <sheetName val="정부노임단가"/>
      <sheetName val="현장관리비"/>
      <sheetName val="36+45-113-18+19+20I"/>
      <sheetName val="부하계산서"/>
      <sheetName val="노무비단가"/>
      <sheetName val="단면치수"/>
      <sheetName val="건축공사실행"/>
      <sheetName val="공사비예산서(토목분)"/>
      <sheetName val="갑지1"/>
      <sheetName val="데이타"/>
      <sheetName val="방배동내역(한영)"/>
      <sheetName val="토사(PE)"/>
      <sheetName val="INPUT"/>
      <sheetName val="구조물견적"/>
      <sheetName val="수량3"/>
      <sheetName val="장비"/>
      <sheetName val="산근1"/>
      <sheetName val="노무"/>
      <sheetName val="자재"/>
      <sheetName val="지급자재"/>
      <sheetName val="총공사내역서"/>
      <sheetName val="출자한도"/>
      <sheetName val="적용률"/>
      <sheetName val="전기"/>
      <sheetName val="물가시세"/>
      <sheetName val="자료"/>
      <sheetName val="Y-WORK"/>
      <sheetName val="일년TOTAL"/>
      <sheetName val="주식"/>
      <sheetName val="물량"/>
      <sheetName val="3.공통공사대비"/>
      <sheetName val="토공 갑지"/>
      <sheetName val="BOX 본체"/>
      <sheetName val="원형1호맨홀토공수량"/>
      <sheetName val="특수선일위대가"/>
      <sheetName val="장비내역서"/>
      <sheetName val="구조물철거타공정이월"/>
      <sheetName val="MAT"/>
      <sheetName val="갑지(추정)"/>
      <sheetName val="JUCKEYK"/>
      <sheetName val="공문"/>
      <sheetName val="D01"/>
      <sheetName val="D02"/>
      <sheetName val="1-1"/>
      <sheetName val="내역1"/>
      <sheetName val="CIVIL"/>
      <sheetName val="단가비교표"/>
      <sheetName val="CTEMCOST"/>
      <sheetName val="총괄표"/>
      <sheetName val="000000"/>
      <sheetName val="1,2,3,4,5단위수량"/>
      <sheetName val="바닥판"/>
      <sheetName val="침하계"/>
      <sheetName val="각사별공사비분개 "/>
      <sheetName val="자재단가"/>
      <sheetName val="대로근거"/>
      <sheetName val="중로근거"/>
      <sheetName val="경비2내역"/>
      <sheetName val="을 2"/>
      <sheetName val="을 1"/>
      <sheetName val="JUCK"/>
      <sheetName val="자재수량"/>
      <sheetName val="정SW_원_"/>
      <sheetName val="입찰안"/>
      <sheetName val="차액보증"/>
      <sheetName val="변수데이타"/>
      <sheetName val="현장지지물물량"/>
      <sheetName val="일위대가표"/>
      <sheetName val="영동(D)"/>
      <sheetName val="기계경비(시간당)"/>
      <sheetName val="램머"/>
      <sheetName val="SG"/>
      <sheetName val="단가조사표"/>
      <sheetName val="제경비"/>
      <sheetName val="실적"/>
      <sheetName val="입력(K0)"/>
      <sheetName val="노무비"/>
      <sheetName val="터널전기"/>
      <sheetName val="Sheet5"/>
      <sheetName val=" "/>
      <sheetName val="WORK"/>
      <sheetName val="표지"/>
      <sheetName val="설계개요"/>
      <sheetName val="예가표"/>
      <sheetName val="해외법인"/>
      <sheetName val="6PILE  (돌출)"/>
      <sheetName val="9GNG운반"/>
      <sheetName val="70%"/>
      <sheetName val="식재인부"/>
      <sheetName val="찍기"/>
      <sheetName val="별표"/>
      <sheetName val="자재조사표"/>
      <sheetName val="설계흐름도"/>
      <sheetName val="9811"/>
      <sheetName val="Sheet1_(2)"/>
      <sheetName val="물가변동_총괄서"/>
      <sheetName val="방배동내역_(총괄)"/>
      <sheetName val="허용전류-IEC_DATA"/>
      <sheetName val="7_1유효폭"/>
      <sheetName val="현장관리비_산출내역"/>
      <sheetName val="본선_토공_분배표"/>
      <sheetName val="EQUIP_LIST"/>
      <sheetName val="단면_(2)"/>
      <sheetName val="발생토"/>
      <sheetName val="계수시트"/>
      <sheetName val="간접비"/>
      <sheetName val="6호기"/>
      <sheetName val="유기공정"/>
      <sheetName val="Sheet2"/>
      <sheetName val="산출금액내역"/>
      <sheetName val="견적대비표"/>
      <sheetName val="공내역서"/>
      <sheetName val="COVER-P"/>
      <sheetName val="TB-내역서"/>
      <sheetName val="소요자재"/>
      <sheetName val="노무산출서"/>
      <sheetName val="2006납품"/>
      <sheetName val="연돌일위집계"/>
      <sheetName val="터널조도"/>
      <sheetName val="공문(신)"/>
      <sheetName val="L-type"/>
      <sheetName val="수량산출"/>
      <sheetName val="마감사양"/>
      <sheetName val="D-3109"/>
      <sheetName val="ABUT수량-A1"/>
      <sheetName val="1.취수장"/>
      <sheetName val="와동25-3(변경)"/>
      <sheetName val="암거날개벽"/>
      <sheetName val="기초"/>
      <sheetName val="U-TYPE(1)"/>
      <sheetName val="맨홀토공산출"/>
      <sheetName val="노임이"/>
      <sheetName val="부도어음"/>
      <sheetName val="Pier 3"/>
      <sheetName val="붙임5"/>
      <sheetName val="작업방"/>
      <sheetName val="총괄k"/>
      <sheetName val="개요"/>
      <sheetName val="안전건강연금"/>
      <sheetName val="건축실적"/>
      <sheetName val="고용퇴직"/>
      <sheetName val="입력"/>
      <sheetName val="기계실적"/>
      <sheetName val="물가기준년"/>
      <sheetName val="노임산재"/>
      <sheetName val="장비기준"/>
      <sheetName val="조경수목"/>
      <sheetName val="토목실적"/>
      <sheetName val="골조시행"/>
      <sheetName val="용수간선"/>
      <sheetName val="간선계산"/>
      <sheetName val="정렬"/>
      <sheetName val="관로토공"/>
      <sheetName val="1호맨홀토공"/>
      <sheetName val="신천교(음성)"/>
      <sheetName val="7-3단면_상시"/>
      <sheetName val="기성집계"/>
      <sheetName val="결재갑지"/>
      <sheetName val="일위대가(건축)"/>
      <sheetName val="표준건축비"/>
      <sheetName val="S1"/>
      <sheetName val="단위중기"/>
      <sheetName val="수량집계표"/>
      <sheetName val="공종별수량집계"/>
      <sheetName val="기기리스트"/>
      <sheetName val="금융비용"/>
      <sheetName val="배명(단가)"/>
      <sheetName val="Sheet4"/>
      <sheetName val="수정2"/>
      <sheetName val="3련 BOX"/>
      <sheetName val="옹벽(수량)"/>
      <sheetName val="자바라1"/>
      <sheetName val="해외 연수비용 계산-삭제"/>
      <sheetName val="해외 기술훈련비 (합계)"/>
      <sheetName val="영업2"/>
      <sheetName val="시설일위"/>
      <sheetName val="식재수량표"/>
      <sheetName val="식재일위"/>
      <sheetName val="12호기내역서(건축분)"/>
      <sheetName val="기성금내역서"/>
      <sheetName val="수목단가"/>
      <sheetName val="시설수량표"/>
      <sheetName val="2000년1차"/>
      <sheetName val="중기일위대가"/>
      <sheetName val="결과조달"/>
      <sheetName val="Sheet6"/>
      <sheetName val="조건표"/>
      <sheetName val="2"/>
      <sheetName val="품셈TABLE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Tender"/>
      <sheetName val="옹벽수량집계"/>
      <sheetName val="1SPAN"/>
      <sheetName val="T기성9605"/>
      <sheetName val="전체"/>
      <sheetName val="BOX(1.5X1.5)"/>
      <sheetName val="철거산출근거"/>
      <sheetName val="DANGA"/>
      <sheetName val="전기일위대가"/>
      <sheetName val="단가산출1"/>
      <sheetName val="단가산출2"/>
      <sheetName val="적용단가"/>
      <sheetName val="외자배분"/>
      <sheetName val="외자내역"/>
      <sheetName val="K55수출"/>
      <sheetName val="c_balju"/>
      <sheetName val="TYPE A"/>
      <sheetName val="기둥(원형)"/>
      <sheetName val="기초단가"/>
      <sheetName val="1안98Billing"/>
      <sheetName val="FORM-0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장비투입 (2)"/>
      <sheetName val="시설물일위"/>
      <sheetName val="을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산출근거"/>
      <sheetName val="Baby일위대가"/>
      <sheetName val="구성비"/>
      <sheetName val="기경집계"/>
      <sheetName val="2000년 공정표"/>
      <sheetName val="WEON"/>
      <sheetName val="예산총괄표"/>
      <sheetName val="목표세부명세"/>
      <sheetName val="설비원가"/>
      <sheetName val="신림자금"/>
      <sheetName val="매립"/>
      <sheetName val="국공유지및사유지"/>
      <sheetName val="방송(체육관)"/>
      <sheetName val="날개벽수량표"/>
      <sheetName val="산출내역서집계표"/>
      <sheetName val="장문교(대전)"/>
      <sheetName val="유용원석량소요시기검토안"/>
      <sheetName val="1차설계변경내역"/>
      <sheetName val="공사수행방안"/>
      <sheetName val="단면가정"/>
      <sheetName val="내역서 "/>
      <sheetName val="조경"/>
      <sheetName val="토공사(단지)"/>
      <sheetName val="EKOG10건축"/>
      <sheetName val="시추주상도"/>
      <sheetName val="백암비스타내역"/>
      <sheetName val="지질조사분석"/>
      <sheetName val="ITB COST"/>
      <sheetName val="BSD (2)"/>
      <sheetName val="DATA"/>
      <sheetName val="공내역"/>
      <sheetName val="토목품셈"/>
      <sheetName val="제품"/>
      <sheetName val="CLAUSE"/>
      <sheetName val="CATCH BASIN"/>
      <sheetName val="COPING"/>
      <sheetName val="guard(mac)"/>
      <sheetName val="입출재고현황 (2)"/>
      <sheetName val="CODE"/>
      <sheetName val="실행대비"/>
      <sheetName val="손익분석"/>
      <sheetName val="SLAB&quot;1&quot;"/>
      <sheetName val="1.설계조건"/>
      <sheetName val="광산내역"/>
      <sheetName val="Sheet1_(2)1"/>
      <sheetName val="방배동내역_(총괄)1"/>
      <sheetName val="물가변동_총괄서1"/>
      <sheetName val="허용전류-IEC_DATA1"/>
      <sheetName val="7_1유효폭1"/>
      <sheetName val="단면_(2)1"/>
      <sheetName val="EQUIP_LIST1"/>
      <sheetName val="현장관리비_산출내역1"/>
      <sheetName val="본선_토공_분배표1"/>
      <sheetName val="3_공통공사대비"/>
      <sheetName val="을_2"/>
      <sheetName val="을_1"/>
      <sheetName val="토공_갑지"/>
      <sheetName val="BOX_본체"/>
      <sheetName val="Pier_3"/>
      <sheetName val="각사별공사비분개_"/>
      <sheetName val="_"/>
      <sheetName val="6PILE__(돌출)"/>
      <sheetName val="1_취수장"/>
      <sheetName val="3련_BOX"/>
      <sheetName val="해외_연수비용_계산-삭제"/>
      <sheetName val="해외_기술훈련비_(합계)"/>
      <sheetName val="포장물량집계"/>
      <sheetName val="1공구 건정토건 토공"/>
      <sheetName val="변경원가서갑"/>
      <sheetName val="수문보고"/>
      <sheetName val="5사남"/>
      <sheetName val="설계기준"/>
      <sheetName val="L형옹벽단위수량(35)"/>
      <sheetName val="L형옹벽단위수량(25)"/>
      <sheetName val="9"/>
      <sheetName val="1ST"/>
      <sheetName val="#10거푸집유로폼(0~7m)"/>
      <sheetName val="상부하중"/>
      <sheetName val="풍하중1"/>
      <sheetName val="기지국"/>
      <sheetName val="CC16-내역서"/>
      <sheetName val="건축"/>
      <sheetName val="메서,변+증"/>
      <sheetName val="경영상태"/>
      <sheetName val="96까지"/>
      <sheetName val="97년"/>
      <sheetName val="98이후"/>
      <sheetName val="수량명세서"/>
      <sheetName val="C &amp; G RHS"/>
      <sheetName val="수질정화시설"/>
      <sheetName val="원가1(기계)"/>
      <sheetName val="날개벽(시점좌측)"/>
      <sheetName val="참조"/>
      <sheetName val="공사내역"/>
      <sheetName val="간지"/>
      <sheetName val="신우"/>
      <sheetName val="과천MAIN"/>
      <sheetName val="Total"/>
      <sheetName val="식재"/>
      <sheetName val="시설물"/>
      <sheetName val="식재출력용"/>
      <sheetName val="유지관리"/>
      <sheetName val="물량표"/>
      <sheetName val="단기차입금"/>
      <sheetName val="간접1"/>
      <sheetName val="일위대가목차"/>
      <sheetName val="실시공"/>
      <sheetName val="°©Áö"/>
      <sheetName val="부대내역"/>
      <sheetName val="일위대가(가설)"/>
      <sheetName val="Man Hole"/>
      <sheetName val="토공산출(주차장)"/>
      <sheetName val="COVER"/>
      <sheetName val="수리결과"/>
      <sheetName val="단위수량"/>
      <sheetName val="업무처리전"/>
      <sheetName val="선로정수계산"/>
      <sheetName val="CON포장수량"/>
      <sheetName val="ACUNIT"/>
      <sheetName val="CONUNIT"/>
      <sheetName val="포장공"/>
      <sheetName val="화전내"/>
      <sheetName val="2000용수잠관-수량집계"/>
      <sheetName val="jobhist"/>
      <sheetName val="5.3 단면가정"/>
      <sheetName val="기성내역"/>
      <sheetName val="건축공사요약표"/>
      <sheetName val="집계내역서(가압장)"/>
      <sheetName val="흐름도"/>
      <sheetName val="설계서"/>
      <sheetName val="변경내역"/>
      <sheetName val="교대시점"/>
      <sheetName val="비탈면보호공수량산출"/>
      <sheetName val="STRA2"/>
      <sheetName val="조내역"/>
      <sheetName val="증감대비"/>
      <sheetName val="관로토공집계표"/>
      <sheetName val="TYPE-A"/>
      <sheetName val="유림골조"/>
      <sheetName val="WEIGHT LIST"/>
      <sheetName val="POL6차-PIPING"/>
      <sheetName val="산#2-1 (2)"/>
      <sheetName val="산#3-1"/>
      <sheetName val="설산1.나"/>
      <sheetName val="본사S"/>
      <sheetName val="상행-교대(A1-A2)"/>
      <sheetName val="투자효율분석"/>
      <sheetName val="설계명세서"/>
      <sheetName val="FAB별"/>
      <sheetName val="F4-F7"/>
      <sheetName val="입찰내역"/>
      <sheetName val="L_type"/>
      <sheetName val="FB25JN"/>
      <sheetName val="부대공사"/>
      <sheetName val="품셈기준"/>
      <sheetName val="전라자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9509"/>
      <sheetName val="단가조사"/>
      <sheetName val="투찰금액"/>
      <sheetName val="여과지동"/>
      <sheetName val="기초자료"/>
      <sheetName val="48일위(기존)"/>
      <sheetName val="조도"/>
      <sheetName val="DATA"/>
      <sheetName val="보험료산출"/>
      <sheetName val="J"/>
      <sheetName val="산출내역(4월)"/>
      <sheetName val="산출내역(5월) (2)"/>
      <sheetName val="기술자료 (광화문)"/>
      <sheetName val="일위대가"/>
      <sheetName val="토공"/>
      <sheetName val="견적을지"/>
      <sheetName val="단가조정"/>
      <sheetName val="공내역"/>
      <sheetName val="2000년1차"/>
      <sheetName val="FRP PIPING 일위대가"/>
      <sheetName val="집계표"/>
      <sheetName val="화성태안9공구내역(실행)"/>
      <sheetName val="실행내역서 "/>
      <sheetName val="환경인력"/>
      <sheetName val="데리네이타현황"/>
      <sheetName val="내역서"/>
      <sheetName val="세부내역서"/>
      <sheetName val="간선"/>
      <sheetName val="발전기"/>
      <sheetName val="DUT-BAT1"/>
      <sheetName val="전기자료"/>
      <sheetName val="도체종-상수표"/>
      <sheetName val="준검 내역서"/>
      <sheetName val="기록장"/>
      <sheetName val="감액총괄표"/>
      <sheetName val="을지"/>
      <sheetName val="데이타"/>
      <sheetName val="내역서(교량)전체"/>
      <sheetName val="연결임시"/>
      <sheetName val="철거공사1"/>
      <sheetName val="2.대외공문"/>
      <sheetName val="NYS"/>
      <sheetName val="#REF"/>
      <sheetName val="b_balju_cho"/>
      <sheetName val="총괄내역서"/>
      <sheetName val="Sheet1"/>
      <sheetName val="표지"/>
      <sheetName val="1.취수장"/>
      <sheetName val="산출금액내역"/>
      <sheetName val="직재"/>
      <sheetName val="견적가"/>
      <sheetName val="노임단가"/>
      <sheetName val="일위집계"/>
      <sheetName val="전차선로 물량표"/>
      <sheetName val="한강운반비"/>
      <sheetName val="노임"/>
      <sheetName val="자재"/>
      <sheetName val="기존단가 (2)"/>
      <sheetName val="견적"/>
      <sheetName val="소일위대가코드표"/>
      <sheetName val="공통가설(현장검토안)"/>
      <sheetName val="우배수"/>
      <sheetName val="구조물"/>
      <sheetName val="규격"/>
      <sheetName val="수종"/>
      <sheetName val="금광1터널"/>
      <sheetName val="Y-WORK"/>
      <sheetName val="설계명세서"/>
      <sheetName val="자재단가"/>
    </sheetNames>
    <sheetDataSet>
      <sheetData sheetId="0">
        <row r="3">
          <cell r="A3">
            <v>1</v>
          </cell>
          <cell r="B3" t="str">
            <v>전선관</v>
          </cell>
          <cell r="C3" t="str">
            <v>ST  16C</v>
          </cell>
          <cell r="D3" t="str">
            <v>m</v>
          </cell>
          <cell r="G3">
            <v>741</v>
          </cell>
          <cell r="H3">
            <v>665</v>
          </cell>
          <cell r="Q3">
            <v>665</v>
          </cell>
          <cell r="R3">
            <v>0.1</v>
          </cell>
          <cell r="S3" t="str">
            <v>내선</v>
          </cell>
          <cell r="T3">
            <v>0.08</v>
          </cell>
          <cell r="U3" t="str">
            <v>내선</v>
          </cell>
          <cell r="V3">
            <v>5.6000000000000001E-2</v>
          </cell>
          <cell r="Y3" t="str">
            <v>지중매설 :70%</v>
          </cell>
        </row>
        <row r="4">
          <cell r="A4">
            <v>2</v>
          </cell>
          <cell r="B4" t="str">
            <v>전선관</v>
          </cell>
          <cell r="C4" t="str">
            <v>ST  22C</v>
          </cell>
          <cell r="D4" t="str">
            <v>m</v>
          </cell>
          <cell r="G4">
            <v>741</v>
          </cell>
          <cell r="H4">
            <v>852</v>
          </cell>
          <cell r="Q4">
            <v>852</v>
          </cell>
          <cell r="R4">
            <v>0.1</v>
          </cell>
          <cell r="S4" t="str">
            <v>내선</v>
          </cell>
          <cell r="T4">
            <v>0.11</v>
          </cell>
          <cell r="U4" t="str">
            <v>내선</v>
          </cell>
          <cell r="V4">
            <v>7.6999999999999999E-2</v>
          </cell>
          <cell r="Y4" t="str">
            <v>지중매설 :70%</v>
          </cell>
        </row>
        <row r="5">
          <cell r="A5">
            <v>3</v>
          </cell>
          <cell r="B5" t="str">
            <v>전선관</v>
          </cell>
          <cell r="C5" t="str">
            <v>ST  28C</v>
          </cell>
          <cell r="D5" t="str">
            <v>m</v>
          </cell>
          <cell r="G5">
            <v>741</v>
          </cell>
          <cell r="H5">
            <v>1112</v>
          </cell>
          <cell r="Q5">
            <v>1112</v>
          </cell>
          <cell r="R5">
            <v>0.1</v>
          </cell>
          <cell r="S5" t="str">
            <v>내선</v>
          </cell>
          <cell r="T5">
            <v>0.14000000000000001</v>
          </cell>
          <cell r="U5" t="str">
            <v>내선</v>
          </cell>
          <cell r="V5">
            <v>9.8000000000000004E-2</v>
          </cell>
          <cell r="Y5" t="str">
            <v>지중매설 :70%</v>
          </cell>
        </row>
        <row r="6">
          <cell r="A6">
            <v>4</v>
          </cell>
          <cell r="B6" t="str">
            <v>전선관</v>
          </cell>
          <cell r="C6" t="str">
            <v>ST  36C</v>
          </cell>
          <cell r="D6" t="str">
            <v>m</v>
          </cell>
          <cell r="G6">
            <v>741</v>
          </cell>
          <cell r="H6">
            <v>1365</v>
          </cell>
          <cell r="Q6">
            <v>1365</v>
          </cell>
          <cell r="R6">
            <v>0.1</v>
          </cell>
          <cell r="S6" t="str">
            <v>내선</v>
          </cell>
          <cell r="T6">
            <v>0.2</v>
          </cell>
          <cell r="U6" t="str">
            <v>내선</v>
          </cell>
          <cell r="V6">
            <v>0.14000000000000001</v>
          </cell>
          <cell r="Y6" t="str">
            <v>지중매설 :70%</v>
          </cell>
        </row>
        <row r="7">
          <cell r="A7">
            <v>5</v>
          </cell>
          <cell r="B7" t="str">
            <v>전선관</v>
          </cell>
          <cell r="C7" t="str">
            <v>ST  42C</v>
          </cell>
          <cell r="D7" t="str">
            <v>m</v>
          </cell>
          <cell r="G7">
            <v>741</v>
          </cell>
          <cell r="H7">
            <v>1582</v>
          </cell>
          <cell r="Q7">
            <v>1582</v>
          </cell>
          <cell r="R7">
            <v>0.1</v>
          </cell>
          <cell r="S7" t="str">
            <v>내선</v>
          </cell>
          <cell r="T7">
            <v>0.25</v>
          </cell>
          <cell r="U7" t="str">
            <v>내선</v>
          </cell>
          <cell r="V7">
            <v>0.17499999999999999</v>
          </cell>
          <cell r="Y7" t="str">
            <v>지중매설 :70%</v>
          </cell>
        </row>
        <row r="8">
          <cell r="A8">
            <v>6</v>
          </cell>
          <cell r="B8" t="str">
            <v>전선관</v>
          </cell>
          <cell r="C8" t="str">
            <v>ST  54C</v>
          </cell>
          <cell r="D8" t="str">
            <v>m</v>
          </cell>
          <cell r="G8">
            <v>741</v>
          </cell>
          <cell r="H8">
            <v>2206</v>
          </cell>
          <cell r="Q8">
            <v>2206</v>
          </cell>
          <cell r="R8">
            <v>0.1</v>
          </cell>
          <cell r="S8" t="str">
            <v>내선</v>
          </cell>
          <cell r="T8">
            <v>0.34</v>
          </cell>
          <cell r="U8" t="str">
            <v>내선</v>
          </cell>
          <cell r="V8">
            <v>0.23799999999999999</v>
          </cell>
          <cell r="Y8" t="str">
            <v>지중매설 :70%</v>
          </cell>
        </row>
        <row r="9">
          <cell r="A9">
            <v>7</v>
          </cell>
          <cell r="B9" t="str">
            <v>전선관</v>
          </cell>
          <cell r="C9" t="str">
            <v>ST  104C</v>
          </cell>
          <cell r="D9" t="str">
            <v>m</v>
          </cell>
          <cell r="G9">
            <v>741</v>
          </cell>
          <cell r="H9">
            <v>5020</v>
          </cell>
          <cell r="Q9">
            <v>5020</v>
          </cell>
          <cell r="R9">
            <v>0.1</v>
          </cell>
          <cell r="S9" t="str">
            <v>내선</v>
          </cell>
          <cell r="T9">
            <v>0.71</v>
          </cell>
          <cell r="U9" t="str">
            <v>내선</v>
          </cell>
          <cell r="V9">
            <v>0.497</v>
          </cell>
          <cell r="Y9" t="str">
            <v>지중매설 :70%</v>
          </cell>
        </row>
        <row r="10">
          <cell r="A10">
            <v>8</v>
          </cell>
          <cell r="Q10" t="str">
            <v/>
          </cell>
        </row>
        <row r="11">
          <cell r="A11">
            <v>9</v>
          </cell>
          <cell r="Q11" t="str">
            <v/>
          </cell>
        </row>
        <row r="12">
          <cell r="A12">
            <v>10</v>
          </cell>
          <cell r="B12" t="str">
            <v>전선관</v>
          </cell>
          <cell r="C12" t="str">
            <v>HI-PVC  16C</v>
          </cell>
          <cell r="D12" t="str">
            <v>m</v>
          </cell>
          <cell r="G12">
            <v>745</v>
          </cell>
          <cell r="H12">
            <v>279</v>
          </cell>
          <cell r="Q12">
            <v>279</v>
          </cell>
          <cell r="R12">
            <v>0.1</v>
          </cell>
          <cell r="S12" t="str">
            <v>내선</v>
          </cell>
          <cell r="T12">
            <v>0.05</v>
          </cell>
          <cell r="U12" t="str">
            <v>내선</v>
          </cell>
          <cell r="V12">
            <v>3.5000000000000003E-2</v>
          </cell>
          <cell r="Y12" t="str">
            <v>지중매설 :70%</v>
          </cell>
        </row>
        <row r="13">
          <cell r="A13">
            <v>11</v>
          </cell>
          <cell r="B13" t="str">
            <v>전선관</v>
          </cell>
          <cell r="C13" t="str">
            <v>HI-PVC  22C</v>
          </cell>
          <cell r="D13" t="str">
            <v>m</v>
          </cell>
          <cell r="G13">
            <v>745</v>
          </cell>
          <cell r="H13">
            <v>336</v>
          </cell>
          <cell r="Q13">
            <v>336</v>
          </cell>
          <cell r="R13">
            <v>0.1</v>
          </cell>
          <cell r="S13" t="str">
            <v>내선</v>
          </cell>
          <cell r="T13">
            <v>0.06</v>
          </cell>
          <cell r="U13" t="str">
            <v>내선</v>
          </cell>
          <cell r="V13">
            <v>4.2000000000000003E-2</v>
          </cell>
          <cell r="Y13" t="str">
            <v>지중매설 :70%</v>
          </cell>
        </row>
        <row r="14">
          <cell r="A14">
            <v>12</v>
          </cell>
          <cell r="B14" t="str">
            <v>전선관</v>
          </cell>
          <cell r="C14" t="str">
            <v>HI-PVC  28C</v>
          </cell>
          <cell r="D14" t="str">
            <v>m</v>
          </cell>
          <cell r="G14">
            <v>745</v>
          </cell>
          <cell r="H14">
            <v>650</v>
          </cell>
          <cell r="Q14">
            <v>650</v>
          </cell>
          <cell r="R14">
            <v>0.1</v>
          </cell>
          <cell r="S14" t="str">
            <v>내선</v>
          </cell>
          <cell r="T14">
            <v>0.08</v>
          </cell>
          <cell r="U14" t="str">
            <v>내선</v>
          </cell>
          <cell r="V14">
            <v>5.6000000000000001E-2</v>
          </cell>
          <cell r="Y14" t="str">
            <v>지중매설 :70%</v>
          </cell>
        </row>
        <row r="15">
          <cell r="A15">
            <v>13</v>
          </cell>
          <cell r="B15" t="str">
            <v>전선관</v>
          </cell>
          <cell r="C15" t="str">
            <v>HI-PVC  36C</v>
          </cell>
          <cell r="D15" t="str">
            <v>m</v>
          </cell>
          <cell r="G15">
            <v>745</v>
          </cell>
          <cell r="H15">
            <v>906</v>
          </cell>
          <cell r="Q15">
            <v>906</v>
          </cell>
          <cell r="R15">
            <v>0.1</v>
          </cell>
          <cell r="S15" t="str">
            <v>내선</v>
          </cell>
          <cell r="T15">
            <v>0.1</v>
          </cell>
          <cell r="U15" t="str">
            <v>내선</v>
          </cell>
          <cell r="V15">
            <v>7.0000000000000007E-2</v>
          </cell>
          <cell r="Y15" t="str">
            <v>지중매설 :70%</v>
          </cell>
        </row>
        <row r="16">
          <cell r="A16">
            <v>14</v>
          </cell>
          <cell r="B16" t="str">
            <v>전선관</v>
          </cell>
          <cell r="C16" t="str">
            <v>HI-PVC  42C</v>
          </cell>
          <cell r="D16" t="str">
            <v>m</v>
          </cell>
          <cell r="G16">
            <v>745</v>
          </cell>
          <cell r="H16">
            <v>1182</v>
          </cell>
          <cell r="Q16">
            <v>1182</v>
          </cell>
          <cell r="R16">
            <v>0.1</v>
          </cell>
          <cell r="S16" t="str">
            <v>내선</v>
          </cell>
          <cell r="T16">
            <v>0.13</v>
          </cell>
          <cell r="U16" t="str">
            <v>내선</v>
          </cell>
          <cell r="V16">
            <v>9.0999999999999998E-2</v>
          </cell>
          <cell r="Y16" t="str">
            <v>지중매설 :70%</v>
          </cell>
        </row>
        <row r="17">
          <cell r="A17">
            <v>15</v>
          </cell>
          <cell r="Q17" t="str">
            <v/>
          </cell>
          <cell r="S17" t="str">
            <v>내선</v>
          </cell>
          <cell r="T17">
            <v>8.8749999999999996E-2</v>
          </cell>
        </row>
        <row r="18">
          <cell r="A18">
            <v>16</v>
          </cell>
          <cell r="Q18" t="str">
            <v/>
          </cell>
        </row>
        <row r="19">
          <cell r="A19">
            <v>17</v>
          </cell>
          <cell r="B19" t="str">
            <v>전선관</v>
          </cell>
          <cell r="C19" t="str">
            <v xml:space="preserve">PE  22C  </v>
          </cell>
          <cell r="D19" t="str">
            <v>m</v>
          </cell>
          <cell r="G19">
            <v>746</v>
          </cell>
          <cell r="H19">
            <v>200</v>
          </cell>
          <cell r="Q19">
            <v>200</v>
          </cell>
          <cell r="R19">
            <v>0.1</v>
          </cell>
          <cell r="U19" t="str">
            <v>배전</v>
          </cell>
          <cell r="V19">
            <v>7.8E-2</v>
          </cell>
        </row>
        <row r="20">
          <cell r="A20">
            <v>18</v>
          </cell>
          <cell r="B20" t="str">
            <v>전선관</v>
          </cell>
          <cell r="C20" t="str">
            <v>PE  28C</v>
          </cell>
          <cell r="D20" t="str">
            <v>m</v>
          </cell>
          <cell r="G20">
            <v>746</v>
          </cell>
          <cell r="H20">
            <v>330</v>
          </cell>
          <cell r="Q20">
            <v>330</v>
          </cell>
          <cell r="R20">
            <v>0.1</v>
          </cell>
          <cell r="U20" t="str">
            <v>배전</v>
          </cell>
          <cell r="V20">
            <v>7.8E-2</v>
          </cell>
        </row>
        <row r="21">
          <cell r="A21">
            <v>19</v>
          </cell>
          <cell r="B21" t="str">
            <v>전선관</v>
          </cell>
          <cell r="C21" t="str">
            <v>PE  36C</v>
          </cell>
          <cell r="D21" t="str">
            <v>m</v>
          </cell>
          <cell r="G21">
            <v>746</v>
          </cell>
          <cell r="H21">
            <v>490</v>
          </cell>
          <cell r="Q21">
            <v>490</v>
          </cell>
          <cell r="R21">
            <v>0.1</v>
          </cell>
          <cell r="U21" t="str">
            <v>배전</v>
          </cell>
          <cell r="V21">
            <v>7.8E-2</v>
          </cell>
        </row>
        <row r="22">
          <cell r="A22">
            <v>20</v>
          </cell>
          <cell r="B22" t="str">
            <v>전선관</v>
          </cell>
          <cell r="C22" t="str">
            <v>PE  42C</v>
          </cell>
          <cell r="D22" t="str">
            <v>m</v>
          </cell>
          <cell r="G22">
            <v>746</v>
          </cell>
          <cell r="H22">
            <v>570</v>
          </cell>
          <cell r="Q22">
            <v>570</v>
          </cell>
          <cell r="R22">
            <v>0.1</v>
          </cell>
          <cell r="U22" t="str">
            <v>배전</v>
          </cell>
          <cell r="V22">
            <v>7.8E-2</v>
          </cell>
        </row>
        <row r="23">
          <cell r="A23">
            <v>21</v>
          </cell>
          <cell r="Q23" t="str">
            <v/>
          </cell>
        </row>
        <row r="24">
          <cell r="A24">
            <v>22</v>
          </cell>
          <cell r="Q24" t="str">
            <v/>
          </cell>
        </row>
        <row r="25">
          <cell r="A25">
            <v>23</v>
          </cell>
          <cell r="B25" t="str">
            <v>전선관</v>
          </cell>
          <cell r="C25" t="str">
            <v xml:space="preserve">ELPφ30  </v>
          </cell>
          <cell r="D25" t="str">
            <v>m</v>
          </cell>
          <cell r="G25">
            <v>745</v>
          </cell>
          <cell r="H25">
            <v>330</v>
          </cell>
          <cell r="Q25">
            <v>330</v>
          </cell>
          <cell r="R25">
            <v>0.1</v>
          </cell>
          <cell r="U25" t="str">
            <v>배전</v>
          </cell>
          <cell r="V25">
            <v>1.2E-2</v>
          </cell>
          <cell r="W25" t="str">
            <v>보인</v>
          </cell>
          <cell r="X25">
            <v>2.9000000000000001E-2</v>
          </cell>
        </row>
        <row r="26">
          <cell r="A26">
            <v>24</v>
          </cell>
          <cell r="B26" t="str">
            <v>전선관</v>
          </cell>
          <cell r="C26" t="str">
            <v xml:space="preserve">ELPφ40  </v>
          </cell>
          <cell r="D26" t="str">
            <v>m</v>
          </cell>
          <cell r="G26">
            <v>745</v>
          </cell>
          <cell r="H26">
            <v>480</v>
          </cell>
          <cell r="Q26">
            <v>480</v>
          </cell>
          <cell r="R26">
            <v>0.1</v>
          </cell>
          <cell r="U26" t="str">
            <v>배전</v>
          </cell>
          <cell r="V26">
            <v>1.2E-2</v>
          </cell>
          <cell r="W26" t="str">
            <v>보인</v>
          </cell>
          <cell r="X26">
            <v>2.9000000000000001E-2</v>
          </cell>
        </row>
        <row r="27">
          <cell r="A27">
            <v>25</v>
          </cell>
          <cell r="B27" t="str">
            <v>전선관</v>
          </cell>
          <cell r="C27" t="str">
            <v xml:space="preserve">ELPφ50  </v>
          </cell>
          <cell r="D27" t="str">
            <v>m</v>
          </cell>
          <cell r="G27">
            <v>745</v>
          </cell>
          <cell r="H27">
            <v>600</v>
          </cell>
          <cell r="Q27">
            <v>600</v>
          </cell>
          <cell r="R27">
            <v>0.1</v>
          </cell>
          <cell r="U27" t="str">
            <v>배전</v>
          </cell>
          <cell r="V27">
            <v>1.2E-2</v>
          </cell>
          <cell r="W27" t="str">
            <v>보인</v>
          </cell>
          <cell r="X27">
            <v>2.9000000000000001E-2</v>
          </cell>
        </row>
        <row r="28">
          <cell r="A28">
            <v>26</v>
          </cell>
          <cell r="B28" t="str">
            <v>전선관</v>
          </cell>
          <cell r="C28" t="str">
            <v>ELPφ65</v>
          </cell>
          <cell r="D28" t="str">
            <v>m</v>
          </cell>
          <cell r="G28">
            <v>745</v>
          </cell>
          <cell r="H28">
            <v>900</v>
          </cell>
          <cell r="Q28">
            <v>900</v>
          </cell>
          <cell r="R28">
            <v>0.1</v>
          </cell>
          <cell r="U28" t="str">
            <v>배전</v>
          </cell>
          <cell r="V28">
            <v>1.4999999999999999E-2</v>
          </cell>
          <cell r="W28" t="str">
            <v>보인</v>
          </cell>
          <cell r="X28">
            <v>3.5000000000000003E-2</v>
          </cell>
        </row>
        <row r="29">
          <cell r="A29">
            <v>27</v>
          </cell>
          <cell r="B29" t="str">
            <v>전선관</v>
          </cell>
          <cell r="C29" t="str">
            <v>ELPφ80</v>
          </cell>
          <cell r="D29" t="str">
            <v>m</v>
          </cell>
          <cell r="G29">
            <v>745</v>
          </cell>
          <cell r="H29">
            <v>1300</v>
          </cell>
          <cell r="Q29">
            <v>1300</v>
          </cell>
          <cell r="R29">
            <v>0.1</v>
          </cell>
          <cell r="U29" t="str">
            <v>배전</v>
          </cell>
          <cell r="V29">
            <v>1.4999999999999999E-2</v>
          </cell>
          <cell r="W29" t="str">
            <v>보인</v>
          </cell>
          <cell r="X29">
            <v>3.5000000000000003E-2</v>
          </cell>
        </row>
        <row r="30">
          <cell r="A30">
            <v>28</v>
          </cell>
          <cell r="B30" t="str">
            <v>전선관</v>
          </cell>
          <cell r="C30" t="str">
            <v>ELPφ100</v>
          </cell>
          <cell r="D30" t="str">
            <v>m</v>
          </cell>
          <cell r="G30">
            <v>745</v>
          </cell>
          <cell r="H30">
            <v>1800</v>
          </cell>
          <cell r="Q30">
            <v>1800</v>
          </cell>
          <cell r="R30">
            <v>0.1</v>
          </cell>
          <cell r="U30" t="str">
            <v>배전</v>
          </cell>
          <cell r="V30">
            <v>1.7999999999999999E-2</v>
          </cell>
          <cell r="W30" t="str">
            <v>보인</v>
          </cell>
          <cell r="X30">
            <v>5.7000000000000002E-2</v>
          </cell>
        </row>
        <row r="31">
          <cell r="A31">
            <v>29</v>
          </cell>
          <cell r="B31" t="str">
            <v>전선관</v>
          </cell>
          <cell r="C31" t="str">
            <v>ELPφ125</v>
          </cell>
          <cell r="D31" t="str">
            <v>m</v>
          </cell>
          <cell r="G31">
            <v>745</v>
          </cell>
          <cell r="H31">
            <v>2700</v>
          </cell>
          <cell r="Q31">
            <v>2700</v>
          </cell>
          <cell r="R31">
            <v>0.1</v>
          </cell>
          <cell r="U31" t="str">
            <v>배전</v>
          </cell>
          <cell r="V31">
            <v>2.5000000000000001E-2</v>
          </cell>
          <cell r="W31" t="str">
            <v>보인</v>
          </cell>
          <cell r="X31">
            <v>7.6999999999999999E-2</v>
          </cell>
        </row>
        <row r="32">
          <cell r="A32">
            <v>30</v>
          </cell>
          <cell r="B32" t="str">
            <v>전선관</v>
          </cell>
          <cell r="C32" t="str">
            <v>ELPφ150</v>
          </cell>
          <cell r="D32" t="str">
            <v>m</v>
          </cell>
          <cell r="G32">
            <v>745</v>
          </cell>
          <cell r="H32">
            <v>3200</v>
          </cell>
          <cell r="Q32">
            <v>3200</v>
          </cell>
          <cell r="R32">
            <v>0.1</v>
          </cell>
          <cell r="U32" t="str">
            <v>배전</v>
          </cell>
          <cell r="V32">
            <v>0.03</v>
          </cell>
          <cell r="W32" t="str">
            <v>보인</v>
          </cell>
          <cell r="X32">
            <v>9.7000000000000003E-2</v>
          </cell>
        </row>
        <row r="33">
          <cell r="A33">
            <v>31</v>
          </cell>
          <cell r="B33" t="str">
            <v>전선관</v>
          </cell>
          <cell r="C33" t="str">
            <v>ELPφ175</v>
          </cell>
          <cell r="D33" t="str">
            <v>m</v>
          </cell>
          <cell r="G33">
            <v>745</v>
          </cell>
          <cell r="H33">
            <v>4800</v>
          </cell>
          <cell r="Q33">
            <v>4800</v>
          </cell>
          <cell r="R33">
            <v>0.1</v>
          </cell>
          <cell r="U33" t="str">
            <v>배전</v>
          </cell>
          <cell r="V33">
            <v>3.5999999999999997E-2</v>
          </cell>
          <cell r="W33" t="str">
            <v>보인</v>
          </cell>
          <cell r="X33">
            <v>0.11700000000000001</v>
          </cell>
        </row>
        <row r="34">
          <cell r="A34">
            <v>32</v>
          </cell>
          <cell r="B34" t="str">
            <v>전선관</v>
          </cell>
          <cell r="C34" t="str">
            <v>ELPφ200</v>
          </cell>
          <cell r="D34" t="str">
            <v>m</v>
          </cell>
          <cell r="G34">
            <v>745</v>
          </cell>
          <cell r="H34">
            <v>6400</v>
          </cell>
          <cell r="Q34">
            <v>6400</v>
          </cell>
          <cell r="R34">
            <v>0.1</v>
          </cell>
          <cell r="U34" t="str">
            <v>배전</v>
          </cell>
          <cell r="V34">
            <v>4.1000000000000002E-2</v>
          </cell>
          <cell r="W34" t="str">
            <v>보인</v>
          </cell>
          <cell r="X34">
            <v>0.129</v>
          </cell>
        </row>
        <row r="35">
          <cell r="A35">
            <v>33</v>
          </cell>
          <cell r="B35" t="str">
            <v>FLEXIBLE  TUBE 2종</v>
          </cell>
          <cell r="C35" t="str">
            <v>PLICA 방수 #38</v>
          </cell>
          <cell r="D35" t="str">
            <v>m</v>
          </cell>
          <cell r="G35">
            <v>743</v>
          </cell>
          <cell r="H35">
            <v>5560</v>
          </cell>
          <cell r="Q35">
            <v>5560</v>
          </cell>
          <cell r="R35">
            <v>0.1</v>
          </cell>
          <cell r="S35" t="str">
            <v>내선</v>
          </cell>
          <cell r="T35">
            <v>9.0999999999999998E-2</v>
          </cell>
        </row>
        <row r="36">
          <cell r="A36">
            <v>34</v>
          </cell>
          <cell r="B36" t="str">
            <v>FLEXIBLE  TUBE 2종</v>
          </cell>
          <cell r="C36" t="str">
            <v>PLICA 방수 #50</v>
          </cell>
          <cell r="D36" t="str">
            <v>m</v>
          </cell>
          <cell r="G36">
            <v>743</v>
          </cell>
          <cell r="H36">
            <v>8080</v>
          </cell>
          <cell r="Q36">
            <v>8080</v>
          </cell>
          <cell r="R36">
            <v>0.1</v>
          </cell>
          <cell r="S36" t="str">
            <v>내선</v>
          </cell>
          <cell r="T36">
            <v>0.13</v>
          </cell>
        </row>
        <row r="37">
          <cell r="A37">
            <v>35</v>
          </cell>
          <cell r="B37" t="str">
            <v>FLEXIBLE  TUBE 1종</v>
          </cell>
          <cell r="C37" t="str">
            <v>고장력비방수  15C</v>
          </cell>
          <cell r="D37" t="str">
            <v>m</v>
          </cell>
          <cell r="G37">
            <v>742</v>
          </cell>
          <cell r="H37">
            <v>930</v>
          </cell>
          <cell r="Q37">
            <v>930</v>
          </cell>
          <cell r="R37">
            <v>0.1</v>
          </cell>
          <cell r="S37" t="str">
            <v>내선</v>
          </cell>
          <cell r="T37">
            <v>3.9E-2</v>
          </cell>
        </row>
        <row r="38">
          <cell r="A38">
            <v>36</v>
          </cell>
          <cell r="B38" t="str">
            <v>FLEXIBLE  CONNECTOR</v>
          </cell>
          <cell r="C38" t="str">
            <v>PVC 15C-CD</v>
          </cell>
          <cell r="D38" t="str">
            <v>EA</v>
          </cell>
          <cell r="G38">
            <v>746</v>
          </cell>
          <cell r="H38">
            <v>90</v>
          </cell>
          <cell r="Q38">
            <v>90</v>
          </cell>
        </row>
        <row r="39">
          <cell r="A39">
            <v>37</v>
          </cell>
          <cell r="B39" t="str">
            <v>FLEXIBLE  TUBE 1종</v>
          </cell>
          <cell r="C39" t="str">
            <v>고장력방수  15C</v>
          </cell>
          <cell r="D39" t="str">
            <v>m</v>
          </cell>
          <cell r="G39">
            <v>742</v>
          </cell>
          <cell r="H39">
            <v>2000</v>
          </cell>
          <cell r="Q39">
            <v>2000</v>
          </cell>
          <cell r="R39">
            <v>0.1</v>
          </cell>
          <cell r="S39" t="str">
            <v>내선</v>
          </cell>
          <cell r="T39">
            <v>3.9E-2</v>
          </cell>
        </row>
        <row r="40">
          <cell r="A40">
            <v>38</v>
          </cell>
          <cell r="B40" t="str">
            <v>FLEXIBLE  CONNECTOR</v>
          </cell>
          <cell r="C40" t="str">
            <v>방수용콘넥타15C-황동</v>
          </cell>
          <cell r="D40" t="str">
            <v>EA</v>
          </cell>
          <cell r="G40">
            <v>742</v>
          </cell>
          <cell r="H40">
            <v>1370</v>
          </cell>
          <cell r="Q40">
            <v>1370</v>
          </cell>
        </row>
        <row r="41">
          <cell r="A41">
            <v>39</v>
          </cell>
          <cell r="B41" t="str">
            <v>FLEXIBLE  TUBE 1종</v>
          </cell>
          <cell r="C41" t="str">
            <v>고장력방수  17C</v>
          </cell>
          <cell r="D41" t="str">
            <v>m</v>
          </cell>
          <cell r="G41">
            <v>742</v>
          </cell>
          <cell r="H41">
            <v>2620</v>
          </cell>
          <cell r="Q41">
            <v>2620</v>
          </cell>
          <cell r="R41">
            <v>0.1</v>
          </cell>
          <cell r="S41" t="str">
            <v>내선</v>
          </cell>
          <cell r="T41">
            <v>4.9000000000000002E-2</v>
          </cell>
        </row>
        <row r="42">
          <cell r="A42">
            <v>40</v>
          </cell>
          <cell r="B42" t="str">
            <v>FLEXIBLE  CONNECTOR</v>
          </cell>
          <cell r="C42" t="str">
            <v>방수용콘넥타17C-황동</v>
          </cell>
          <cell r="D42" t="str">
            <v>EA</v>
          </cell>
          <cell r="G42">
            <v>742</v>
          </cell>
          <cell r="H42">
            <v>1890</v>
          </cell>
          <cell r="Q42">
            <v>1890</v>
          </cell>
        </row>
        <row r="43">
          <cell r="A43">
            <v>41</v>
          </cell>
          <cell r="B43" t="str">
            <v>FLEXIBLE  TUBE 1종</v>
          </cell>
          <cell r="C43" t="str">
            <v>고장력방수  24C</v>
          </cell>
          <cell r="D43" t="str">
            <v>m</v>
          </cell>
          <cell r="G43">
            <v>742</v>
          </cell>
          <cell r="H43">
            <v>3120</v>
          </cell>
          <cell r="Q43">
            <v>3120</v>
          </cell>
          <cell r="R43">
            <v>0.1</v>
          </cell>
          <cell r="S43" t="str">
            <v>내선</v>
          </cell>
          <cell r="T43">
            <v>6.3E-2</v>
          </cell>
        </row>
        <row r="44">
          <cell r="A44">
            <v>42</v>
          </cell>
          <cell r="B44" t="str">
            <v>FLEXIBLE  CONNECTOR</v>
          </cell>
          <cell r="C44" t="str">
            <v>방수용콘넥타24C-황동</v>
          </cell>
          <cell r="D44" t="str">
            <v>EA</v>
          </cell>
          <cell r="G44">
            <v>742</v>
          </cell>
          <cell r="H44">
            <v>2300</v>
          </cell>
          <cell r="Q44">
            <v>2300</v>
          </cell>
        </row>
        <row r="45">
          <cell r="A45">
            <v>43</v>
          </cell>
          <cell r="B45" t="str">
            <v>FLEXIBLE  TUBE 1종</v>
          </cell>
          <cell r="C45" t="str">
            <v>고장력방수  30C</v>
          </cell>
          <cell r="D45" t="str">
            <v>m</v>
          </cell>
          <cell r="G45">
            <v>742</v>
          </cell>
          <cell r="H45">
            <v>4700</v>
          </cell>
          <cell r="Q45">
            <v>4700</v>
          </cell>
          <cell r="R45">
            <v>0.1</v>
          </cell>
          <cell r="S45" t="str">
            <v>내선</v>
          </cell>
          <cell r="T45">
            <v>7.6999999999999999E-2</v>
          </cell>
        </row>
        <row r="46">
          <cell r="A46">
            <v>44</v>
          </cell>
          <cell r="B46" t="str">
            <v>FLEXIBLE  CONNECTOR</v>
          </cell>
          <cell r="C46" t="str">
            <v>방수용콘넥타30C-황동</v>
          </cell>
          <cell r="D46" t="str">
            <v>EA</v>
          </cell>
          <cell r="G46">
            <v>742</v>
          </cell>
          <cell r="H46">
            <v>3620</v>
          </cell>
          <cell r="Q46">
            <v>3620</v>
          </cell>
        </row>
        <row r="47">
          <cell r="A47">
            <v>45</v>
          </cell>
          <cell r="B47" t="str">
            <v>FLEXIBLE  TUBE 1종</v>
          </cell>
          <cell r="C47" t="str">
            <v>고장력방수  38C</v>
          </cell>
          <cell r="D47" t="str">
            <v>m</v>
          </cell>
          <cell r="G47">
            <v>742</v>
          </cell>
          <cell r="H47">
            <v>7500</v>
          </cell>
          <cell r="Q47">
            <v>7500</v>
          </cell>
          <cell r="R47">
            <v>0.1</v>
          </cell>
          <cell r="S47" t="str">
            <v>내선</v>
          </cell>
          <cell r="T47">
            <v>9.0999999999999998E-2</v>
          </cell>
        </row>
        <row r="48">
          <cell r="A48">
            <v>46</v>
          </cell>
          <cell r="B48" t="str">
            <v>FLEXIBLE  CONNECTOR</v>
          </cell>
          <cell r="C48" t="str">
            <v>방수용콘넥타38C-황동</v>
          </cell>
          <cell r="D48" t="str">
            <v>EA</v>
          </cell>
          <cell r="G48">
            <v>742</v>
          </cell>
          <cell r="H48">
            <v>5450</v>
          </cell>
          <cell r="Q48">
            <v>5450</v>
          </cell>
        </row>
        <row r="49">
          <cell r="A49">
            <v>47</v>
          </cell>
          <cell r="B49" t="str">
            <v>FLEXIBLE  TUBE 1종</v>
          </cell>
          <cell r="C49" t="str">
            <v>고장력방수 50C</v>
          </cell>
          <cell r="D49" t="str">
            <v>m</v>
          </cell>
          <cell r="G49">
            <v>742</v>
          </cell>
          <cell r="H49">
            <v>8800</v>
          </cell>
          <cell r="Q49">
            <v>8800</v>
          </cell>
          <cell r="R49">
            <v>0.1</v>
          </cell>
          <cell r="S49" t="str">
            <v>내선</v>
          </cell>
          <cell r="T49">
            <v>0.13</v>
          </cell>
        </row>
        <row r="50">
          <cell r="A50">
            <v>48</v>
          </cell>
          <cell r="B50" t="str">
            <v>FLEXIBLE  CONNECTOR</v>
          </cell>
          <cell r="C50" t="str">
            <v>방수용콘넥타50C-황동</v>
          </cell>
          <cell r="D50" t="str">
            <v>EA</v>
          </cell>
          <cell r="G50">
            <v>742</v>
          </cell>
          <cell r="H50">
            <v>7370</v>
          </cell>
          <cell r="Q50">
            <v>7370</v>
          </cell>
        </row>
        <row r="51">
          <cell r="A51">
            <v>49</v>
          </cell>
          <cell r="B51" t="str">
            <v>FLEXIBLE  TUBE 2종</v>
          </cell>
          <cell r="C51" t="str">
            <v>PLICA 방수 #15</v>
          </cell>
          <cell r="D51" t="str">
            <v>m</v>
          </cell>
          <cell r="G51">
            <v>743</v>
          </cell>
          <cell r="H51">
            <v>2370</v>
          </cell>
          <cell r="Q51">
            <v>2370</v>
          </cell>
          <cell r="R51">
            <v>0.1</v>
          </cell>
          <cell r="S51" t="str">
            <v>내선</v>
          </cell>
          <cell r="T51">
            <v>3.9E-2</v>
          </cell>
        </row>
        <row r="52">
          <cell r="A52">
            <v>50</v>
          </cell>
          <cell r="B52" t="str">
            <v>FLEXIBLE  TUBE 2종</v>
          </cell>
          <cell r="C52" t="str">
            <v>PLICA 방수 #17</v>
          </cell>
          <cell r="D52" t="str">
            <v>m</v>
          </cell>
          <cell r="G52">
            <v>743</v>
          </cell>
          <cell r="H52">
            <v>2650</v>
          </cell>
          <cell r="Q52">
            <v>2650</v>
          </cell>
          <cell r="R52">
            <v>0.1</v>
          </cell>
          <cell r="S52" t="str">
            <v>내선</v>
          </cell>
          <cell r="T52">
            <v>4.9000000000000002E-2</v>
          </cell>
        </row>
        <row r="53">
          <cell r="A53">
            <v>51</v>
          </cell>
          <cell r="B53" t="str">
            <v>FLEXIBLE  TUBE 2종</v>
          </cell>
          <cell r="C53" t="str">
            <v>PLICA 방수 #24</v>
          </cell>
          <cell r="D53" t="str">
            <v>m</v>
          </cell>
          <cell r="G53">
            <v>743</v>
          </cell>
          <cell r="H53">
            <v>3520</v>
          </cell>
          <cell r="Q53">
            <v>3520</v>
          </cell>
          <cell r="R53">
            <v>0.1</v>
          </cell>
          <cell r="S53" t="str">
            <v>내선</v>
          </cell>
          <cell r="T53">
            <v>6.3E-2</v>
          </cell>
        </row>
        <row r="54">
          <cell r="A54">
            <v>52</v>
          </cell>
          <cell r="B54" t="str">
            <v>FLEXIBLE  TUBE 2종</v>
          </cell>
          <cell r="C54" t="str">
            <v>PLICA 방수 #30</v>
          </cell>
          <cell r="D54" t="str">
            <v>EA</v>
          </cell>
          <cell r="G54">
            <v>743</v>
          </cell>
          <cell r="H54">
            <v>4560</v>
          </cell>
          <cell r="Q54">
            <v>4560</v>
          </cell>
          <cell r="R54">
            <v>0.1</v>
          </cell>
          <cell r="S54" t="str">
            <v>내선</v>
          </cell>
          <cell r="T54">
            <v>7.6999999999999999E-2</v>
          </cell>
        </row>
        <row r="55">
          <cell r="A55">
            <v>53</v>
          </cell>
          <cell r="B55" t="str">
            <v>노말 밴드</v>
          </cell>
          <cell r="C55" t="str">
            <v>ST  28C</v>
          </cell>
          <cell r="D55" t="str">
            <v>EA</v>
          </cell>
          <cell r="G55">
            <v>741</v>
          </cell>
          <cell r="H55">
            <v>1440</v>
          </cell>
          <cell r="Q55">
            <v>1440</v>
          </cell>
        </row>
        <row r="56">
          <cell r="A56">
            <v>54</v>
          </cell>
          <cell r="B56" t="str">
            <v>노말 밴드</v>
          </cell>
          <cell r="C56" t="str">
            <v>ST  36C</v>
          </cell>
          <cell r="D56" t="str">
            <v>EA</v>
          </cell>
          <cell r="G56">
            <v>741</v>
          </cell>
          <cell r="H56">
            <v>2240</v>
          </cell>
          <cell r="Q56">
            <v>2240</v>
          </cell>
        </row>
        <row r="57">
          <cell r="A57">
            <v>55</v>
          </cell>
          <cell r="B57" t="str">
            <v>노말 밴드</v>
          </cell>
          <cell r="C57" t="str">
            <v>ST  42C</v>
          </cell>
          <cell r="D57" t="str">
            <v>EA</v>
          </cell>
          <cell r="G57">
            <v>741</v>
          </cell>
          <cell r="H57">
            <v>2640</v>
          </cell>
          <cell r="Q57">
            <v>2640</v>
          </cell>
        </row>
        <row r="58">
          <cell r="A58">
            <v>56</v>
          </cell>
          <cell r="B58" t="str">
            <v>노말 밴드</v>
          </cell>
          <cell r="C58" t="str">
            <v>ST  54C</v>
          </cell>
          <cell r="D58" t="str">
            <v>EA</v>
          </cell>
          <cell r="G58">
            <v>741</v>
          </cell>
          <cell r="H58">
            <v>4000</v>
          </cell>
          <cell r="Q58">
            <v>4000</v>
          </cell>
        </row>
        <row r="59">
          <cell r="A59">
            <v>57</v>
          </cell>
          <cell r="B59" t="str">
            <v>노말 밴드</v>
          </cell>
          <cell r="C59" t="str">
            <v>ST  104C</v>
          </cell>
          <cell r="D59" t="str">
            <v>EA</v>
          </cell>
          <cell r="G59">
            <v>741</v>
          </cell>
          <cell r="H59">
            <v>18400</v>
          </cell>
          <cell r="Q59">
            <v>18400</v>
          </cell>
        </row>
        <row r="60">
          <cell r="A60">
            <v>58</v>
          </cell>
          <cell r="B60" t="str">
            <v>FLEXIBLE  CONNECTOR</v>
          </cell>
          <cell r="C60" t="str">
            <v>PLICA 방수 #24</v>
          </cell>
          <cell r="D60" t="str">
            <v>EA</v>
          </cell>
          <cell r="G60">
            <v>743</v>
          </cell>
          <cell r="H60">
            <v>1010</v>
          </cell>
          <cell r="Q60">
            <v>1010</v>
          </cell>
        </row>
        <row r="61">
          <cell r="A61">
            <v>59</v>
          </cell>
          <cell r="B61" t="str">
            <v>FLEXIBLE  CONNECTOR</v>
          </cell>
          <cell r="C61" t="str">
            <v>PLICA 방수 #30</v>
          </cell>
          <cell r="D61" t="str">
            <v>EA</v>
          </cell>
          <cell r="G61">
            <v>743</v>
          </cell>
          <cell r="H61">
            <v>1620</v>
          </cell>
          <cell r="Q61">
            <v>1620</v>
          </cell>
        </row>
        <row r="62">
          <cell r="A62">
            <v>60</v>
          </cell>
          <cell r="B62" t="str">
            <v>노말 밴드</v>
          </cell>
          <cell r="C62" t="str">
            <v>HI-PVC  28C</v>
          </cell>
          <cell r="D62" t="str">
            <v>EA</v>
          </cell>
          <cell r="G62">
            <v>745</v>
          </cell>
          <cell r="H62">
            <v>800</v>
          </cell>
          <cell r="Q62">
            <v>800</v>
          </cell>
        </row>
        <row r="63">
          <cell r="A63">
            <v>61</v>
          </cell>
          <cell r="B63" t="str">
            <v>노말 밴드</v>
          </cell>
          <cell r="C63" t="str">
            <v>HI-PVC  36C</v>
          </cell>
          <cell r="D63" t="str">
            <v>EA</v>
          </cell>
          <cell r="G63">
            <v>745</v>
          </cell>
          <cell r="H63">
            <v>900</v>
          </cell>
          <cell r="Q63">
            <v>900</v>
          </cell>
        </row>
        <row r="64">
          <cell r="A64">
            <v>62</v>
          </cell>
          <cell r="B64" t="str">
            <v>노말 밴드</v>
          </cell>
          <cell r="C64" t="str">
            <v>HI-PVC  42C</v>
          </cell>
          <cell r="D64" t="str">
            <v>EA</v>
          </cell>
          <cell r="G64">
            <v>745</v>
          </cell>
          <cell r="H64">
            <v>1200</v>
          </cell>
          <cell r="Q64">
            <v>1200</v>
          </cell>
        </row>
        <row r="65">
          <cell r="A65">
            <v>63</v>
          </cell>
          <cell r="Q65" t="str">
            <v/>
          </cell>
        </row>
        <row r="66">
          <cell r="A66">
            <v>64</v>
          </cell>
          <cell r="Q66" t="str">
            <v/>
          </cell>
        </row>
        <row r="67">
          <cell r="A67">
            <v>65</v>
          </cell>
          <cell r="B67" t="str">
            <v xml:space="preserve">전선 </v>
          </cell>
          <cell r="C67" t="str">
            <v>IV   1.6</v>
          </cell>
          <cell r="D67" t="str">
            <v>m</v>
          </cell>
          <cell r="G67">
            <v>714</v>
          </cell>
          <cell r="H67">
            <v>69</v>
          </cell>
          <cell r="Q67">
            <v>69</v>
          </cell>
          <cell r="R67">
            <v>0.1</v>
          </cell>
          <cell r="S67" t="str">
            <v>내선</v>
          </cell>
          <cell r="T67">
            <v>0.01</v>
          </cell>
          <cell r="U67" t="str">
            <v>내선</v>
          </cell>
          <cell r="V67">
            <v>8.0000000000000002E-3</v>
          </cell>
          <cell r="Y67" t="str">
            <v>바닥배선 :80%</v>
          </cell>
        </row>
        <row r="68">
          <cell r="A68">
            <v>66</v>
          </cell>
          <cell r="B68" t="str">
            <v xml:space="preserve">전선 </v>
          </cell>
          <cell r="C68" t="str">
            <v>IV   2.0</v>
          </cell>
          <cell r="D68" t="str">
            <v>m</v>
          </cell>
          <cell r="G68">
            <v>714</v>
          </cell>
          <cell r="H68">
            <v>103</v>
          </cell>
          <cell r="Q68">
            <v>103</v>
          </cell>
          <cell r="R68">
            <v>0.1</v>
          </cell>
          <cell r="S68" t="str">
            <v>내선</v>
          </cell>
          <cell r="T68">
            <v>0.01</v>
          </cell>
          <cell r="U68" t="str">
            <v>내선</v>
          </cell>
          <cell r="V68">
            <v>8.0000000000000002E-3</v>
          </cell>
          <cell r="Y68" t="str">
            <v>바닥배선 :80%</v>
          </cell>
        </row>
        <row r="69">
          <cell r="A69">
            <v>67</v>
          </cell>
          <cell r="B69" t="str">
            <v xml:space="preserve">전선 </v>
          </cell>
          <cell r="C69" t="str">
            <v>IV   5.5sq</v>
          </cell>
          <cell r="D69" t="str">
            <v>m</v>
          </cell>
          <cell r="G69">
            <v>714</v>
          </cell>
          <cell r="H69">
            <v>196</v>
          </cell>
          <cell r="Q69">
            <v>196</v>
          </cell>
          <cell r="R69">
            <v>0.1</v>
          </cell>
          <cell r="S69" t="str">
            <v>내선</v>
          </cell>
          <cell r="T69">
            <v>0.01</v>
          </cell>
          <cell r="U69" t="str">
            <v>내선</v>
          </cell>
          <cell r="V69">
            <v>8.0000000000000002E-3</v>
          </cell>
          <cell r="Y69" t="str">
            <v>바닥배선 :80%</v>
          </cell>
        </row>
        <row r="70">
          <cell r="A70">
            <v>68</v>
          </cell>
          <cell r="B70" t="str">
            <v xml:space="preserve">전선 </v>
          </cell>
          <cell r="C70" t="str">
            <v>IV   8sq</v>
          </cell>
          <cell r="D70" t="str">
            <v>m</v>
          </cell>
          <cell r="G70">
            <v>714</v>
          </cell>
          <cell r="H70">
            <v>277</v>
          </cell>
          <cell r="Q70">
            <v>277</v>
          </cell>
          <cell r="R70">
            <v>0.1</v>
          </cell>
          <cell r="S70" t="str">
            <v>내선</v>
          </cell>
          <cell r="T70">
            <v>0.02</v>
          </cell>
          <cell r="U70" t="str">
            <v>내선</v>
          </cell>
          <cell r="V70">
            <v>1.6E-2</v>
          </cell>
          <cell r="Y70" t="str">
            <v>바닥배선 :80%</v>
          </cell>
        </row>
        <row r="71">
          <cell r="A71">
            <v>69</v>
          </cell>
          <cell r="B71" t="str">
            <v xml:space="preserve">전선 </v>
          </cell>
          <cell r="C71" t="str">
            <v>IV   14sq</v>
          </cell>
          <cell r="D71" t="str">
            <v>m</v>
          </cell>
          <cell r="G71">
            <v>714</v>
          </cell>
          <cell r="H71">
            <v>543</v>
          </cell>
          <cell r="Q71">
            <v>543</v>
          </cell>
          <cell r="R71">
            <v>0.1</v>
          </cell>
          <cell r="S71" t="str">
            <v>내선</v>
          </cell>
          <cell r="T71">
            <v>0.02</v>
          </cell>
          <cell r="U71" t="str">
            <v>내선</v>
          </cell>
          <cell r="V71">
            <v>1.6E-2</v>
          </cell>
          <cell r="Y71" t="str">
            <v>바닥배선 :80%</v>
          </cell>
        </row>
        <row r="72">
          <cell r="A72">
            <v>70</v>
          </cell>
          <cell r="B72" t="str">
            <v xml:space="preserve">전선 </v>
          </cell>
          <cell r="C72" t="str">
            <v>IV   22sq</v>
          </cell>
          <cell r="D72" t="str">
            <v>m</v>
          </cell>
          <cell r="G72">
            <v>714</v>
          </cell>
          <cell r="H72">
            <v>830</v>
          </cell>
          <cell r="Q72">
            <v>830</v>
          </cell>
          <cell r="R72">
            <v>0.1</v>
          </cell>
          <cell r="S72" t="str">
            <v>내선</v>
          </cell>
          <cell r="T72">
            <v>3.1E-2</v>
          </cell>
          <cell r="U72" t="str">
            <v>내선</v>
          </cell>
          <cell r="V72">
            <v>2.5000000000000001E-2</v>
          </cell>
          <cell r="Y72" t="str">
            <v>바닥배선 :80%</v>
          </cell>
        </row>
        <row r="73">
          <cell r="A73">
            <v>71</v>
          </cell>
          <cell r="B73" t="str">
            <v xml:space="preserve">전선 </v>
          </cell>
          <cell r="C73" t="str">
            <v>IV   38sq</v>
          </cell>
          <cell r="D73" t="str">
            <v>m</v>
          </cell>
          <cell r="G73">
            <v>714</v>
          </cell>
          <cell r="H73">
            <v>1321</v>
          </cell>
          <cell r="Q73">
            <v>1321</v>
          </cell>
          <cell r="R73">
            <v>0.1</v>
          </cell>
          <cell r="S73" t="str">
            <v>내선</v>
          </cell>
          <cell r="T73">
            <v>3.1E-2</v>
          </cell>
          <cell r="U73" t="str">
            <v>내선</v>
          </cell>
          <cell r="V73">
            <v>2.5000000000000001E-2</v>
          </cell>
          <cell r="Y73" t="str">
            <v>바닥배선 :80%</v>
          </cell>
        </row>
        <row r="74">
          <cell r="A74">
            <v>72</v>
          </cell>
          <cell r="Q74" t="str">
            <v/>
          </cell>
        </row>
        <row r="75">
          <cell r="A75">
            <v>73</v>
          </cell>
          <cell r="Q75" t="str">
            <v/>
          </cell>
        </row>
        <row r="76">
          <cell r="A76">
            <v>74</v>
          </cell>
          <cell r="Q76" t="str">
            <v/>
          </cell>
        </row>
        <row r="77">
          <cell r="A77">
            <v>75</v>
          </cell>
          <cell r="B77" t="str">
            <v xml:space="preserve">전선 </v>
          </cell>
          <cell r="C77" t="str">
            <v>GV   2.0sq</v>
          </cell>
          <cell r="D77" t="str">
            <v>m</v>
          </cell>
          <cell r="G77">
            <v>715</v>
          </cell>
          <cell r="H77">
            <v>177</v>
          </cell>
          <cell r="Q77">
            <v>177</v>
          </cell>
          <cell r="R77">
            <v>0.1</v>
          </cell>
          <cell r="S77" t="str">
            <v>내선</v>
          </cell>
          <cell r="T77">
            <v>0.01</v>
          </cell>
          <cell r="U77" t="str">
            <v>내선</v>
          </cell>
          <cell r="V77">
            <v>8.0000000000000002E-3</v>
          </cell>
          <cell r="Y77" t="str">
            <v>바닥배선 :80%</v>
          </cell>
        </row>
        <row r="78">
          <cell r="A78">
            <v>76</v>
          </cell>
          <cell r="B78" t="str">
            <v xml:space="preserve">전선 </v>
          </cell>
          <cell r="C78" t="str">
            <v>GV   3.5sq</v>
          </cell>
          <cell r="D78" t="str">
            <v>m</v>
          </cell>
          <cell r="G78">
            <v>715</v>
          </cell>
          <cell r="H78">
            <v>239</v>
          </cell>
          <cell r="Q78">
            <v>239</v>
          </cell>
          <cell r="R78">
            <v>0.1</v>
          </cell>
          <cell r="S78" t="str">
            <v>내선</v>
          </cell>
          <cell r="T78">
            <v>0.01</v>
          </cell>
          <cell r="U78" t="str">
            <v>내선</v>
          </cell>
          <cell r="V78">
            <v>8.0000000000000002E-3</v>
          </cell>
          <cell r="Y78" t="str">
            <v>바닥배선 :80%</v>
          </cell>
        </row>
        <row r="79">
          <cell r="A79">
            <v>77</v>
          </cell>
          <cell r="B79" t="str">
            <v xml:space="preserve">전선 </v>
          </cell>
          <cell r="C79" t="str">
            <v>GV   5.5sq</v>
          </cell>
          <cell r="D79" t="str">
            <v>m</v>
          </cell>
          <cell r="G79">
            <v>715</v>
          </cell>
          <cell r="H79">
            <v>324</v>
          </cell>
          <cell r="Q79">
            <v>324</v>
          </cell>
          <cell r="R79">
            <v>0.1</v>
          </cell>
          <cell r="S79" t="str">
            <v>내선</v>
          </cell>
          <cell r="T79">
            <v>0.01</v>
          </cell>
          <cell r="U79" t="str">
            <v>내선</v>
          </cell>
          <cell r="V79">
            <v>8.0000000000000002E-3</v>
          </cell>
          <cell r="Y79" t="str">
            <v>바닥배선 :80%</v>
          </cell>
        </row>
        <row r="80">
          <cell r="A80">
            <v>78</v>
          </cell>
          <cell r="B80" t="str">
            <v xml:space="preserve">전선 </v>
          </cell>
          <cell r="C80" t="str">
            <v>GV   8sq</v>
          </cell>
          <cell r="D80" t="str">
            <v>m</v>
          </cell>
          <cell r="G80">
            <v>715</v>
          </cell>
          <cell r="H80">
            <v>495</v>
          </cell>
          <cell r="Q80">
            <v>495</v>
          </cell>
          <cell r="R80">
            <v>0.1</v>
          </cell>
          <cell r="S80" t="str">
            <v>내선</v>
          </cell>
          <cell r="T80">
            <v>0.02</v>
          </cell>
          <cell r="U80" t="str">
            <v>내선</v>
          </cell>
          <cell r="V80">
            <v>1.6E-2</v>
          </cell>
          <cell r="Y80" t="str">
            <v>바닥배선 :80%</v>
          </cell>
        </row>
        <row r="81">
          <cell r="A81">
            <v>79</v>
          </cell>
          <cell r="B81" t="str">
            <v xml:space="preserve">전선 </v>
          </cell>
          <cell r="C81" t="str">
            <v>GV   14sq</v>
          </cell>
          <cell r="D81" t="str">
            <v>m</v>
          </cell>
          <cell r="G81">
            <v>715</v>
          </cell>
          <cell r="H81">
            <v>835</v>
          </cell>
          <cell r="Q81">
            <v>835</v>
          </cell>
          <cell r="R81">
            <v>0.1</v>
          </cell>
          <cell r="S81" t="str">
            <v>내선</v>
          </cell>
          <cell r="T81">
            <v>0.02</v>
          </cell>
          <cell r="U81" t="str">
            <v>내선</v>
          </cell>
          <cell r="V81">
            <v>1.6E-2</v>
          </cell>
          <cell r="Y81" t="str">
            <v>바닥배선 :80%</v>
          </cell>
        </row>
        <row r="82">
          <cell r="A82">
            <v>80</v>
          </cell>
          <cell r="B82" t="str">
            <v xml:space="preserve">전선 </v>
          </cell>
          <cell r="C82" t="str">
            <v>GV   22sq</v>
          </cell>
          <cell r="D82" t="str">
            <v>m</v>
          </cell>
          <cell r="G82">
            <v>715</v>
          </cell>
          <cell r="H82">
            <v>1159</v>
          </cell>
          <cell r="Q82">
            <v>1159</v>
          </cell>
          <cell r="R82">
            <v>0.1</v>
          </cell>
          <cell r="S82" t="str">
            <v>내선</v>
          </cell>
          <cell r="T82">
            <v>3.1E-2</v>
          </cell>
          <cell r="U82" t="str">
            <v>내선</v>
          </cell>
          <cell r="V82">
            <v>2.5000000000000001E-2</v>
          </cell>
          <cell r="Y82" t="str">
            <v>바닥배선 :80%</v>
          </cell>
        </row>
        <row r="83">
          <cell r="A83">
            <v>81</v>
          </cell>
          <cell r="B83" t="str">
            <v xml:space="preserve">전선 </v>
          </cell>
          <cell r="C83" t="str">
            <v>GV   38sq</v>
          </cell>
          <cell r="D83" t="str">
            <v>m</v>
          </cell>
          <cell r="G83">
            <v>715</v>
          </cell>
          <cell r="H83">
            <v>1746</v>
          </cell>
          <cell r="Q83">
            <v>1746</v>
          </cell>
          <cell r="R83">
            <v>0.1</v>
          </cell>
          <cell r="S83" t="str">
            <v>내선</v>
          </cell>
          <cell r="T83">
            <v>3.1E-2</v>
          </cell>
          <cell r="U83" t="str">
            <v>내선</v>
          </cell>
          <cell r="V83">
            <v>2.5000000000000001E-2</v>
          </cell>
          <cell r="Y83" t="str">
            <v>바닥배선 :80%</v>
          </cell>
        </row>
        <row r="84">
          <cell r="A84">
            <v>82</v>
          </cell>
          <cell r="B84" t="str">
            <v xml:space="preserve">전선 </v>
          </cell>
          <cell r="C84" t="str">
            <v>GV   60sq</v>
          </cell>
          <cell r="D84" t="str">
            <v>m</v>
          </cell>
          <cell r="G84">
            <v>715</v>
          </cell>
          <cell r="H84">
            <v>2760</v>
          </cell>
          <cell r="Q84">
            <v>2760</v>
          </cell>
          <cell r="R84">
            <v>0.1</v>
          </cell>
          <cell r="S84" t="str">
            <v>내선</v>
          </cell>
          <cell r="T84">
            <v>5.1999999999999998E-2</v>
          </cell>
          <cell r="U84" t="str">
            <v>내선</v>
          </cell>
          <cell r="V84">
            <v>4.2000000000000003E-2</v>
          </cell>
          <cell r="Y84" t="str">
            <v>바닥배선 :80%</v>
          </cell>
        </row>
        <row r="85">
          <cell r="A85">
            <v>83</v>
          </cell>
          <cell r="B85" t="str">
            <v xml:space="preserve">전선 </v>
          </cell>
          <cell r="C85" t="str">
            <v>GV   100sq</v>
          </cell>
          <cell r="D85" t="str">
            <v>m</v>
          </cell>
          <cell r="G85">
            <v>715</v>
          </cell>
          <cell r="H85">
            <v>4112</v>
          </cell>
          <cell r="Q85">
            <v>4112</v>
          </cell>
          <cell r="R85">
            <v>0.1</v>
          </cell>
          <cell r="S85" t="str">
            <v>내선</v>
          </cell>
          <cell r="T85">
            <v>6.4000000000000001E-2</v>
          </cell>
          <cell r="U85" t="str">
            <v>내선</v>
          </cell>
          <cell r="V85">
            <v>5.0999999999999997E-2</v>
          </cell>
          <cell r="Y85" t="str">
            <v>바닥배선 :80%</v>
          </cell>
        </row>
        <row r="86">
          <cell r="A86">
            <v>84</v>
          </cell>
          <cell r="Q86" t="str">
            <v/>
          </cell>
        </row>
        <row r="87">
          <cell r="A87">
            <v>85</v>
          </cell>
          <cell r="Q87" t="str">
            <v/>
          </cell>
        </row>
        <row r="88">
          <cell r="A88">
            <v>86</v>
          </cell>
          <cell r="Q88" t="str">
            <v/>
          </cell>
        </row>
        <row r="89">
          <cell r="A89">
            <v>87</v>
          </cell>
          <cell r="B89" t="str">
            <v>동 피뢰침H:7.5M이하</v>
          </cell>
          <cell r="C89" t="str">
            <v>大14×430㎜</v>
          </cell>
          <cell r="D89" t="str">
            <v>EA</v>
          </cell>
          <cell r="G89">
            <v>800</v>
          </cell>
          <cell r="H89">
            <v>10800</v>
          </cell>
          <cell r="Q89">
            <v>10800</v>
          </cell>
          <cell r="S89" t="str">
            <v>내선</v>
          </cell>
          <cell r="T89">
            <v>0.89999999999999991</v>
          </cell>
          <cell r="U89" t="str">
            <v>내선</v>
          </cell>
          <cell r="V89">
            <v>1.5</v>
          </cell>
          <cell r="Y89" t="str">
            <v>발판좋은곳(철탑)60%</v>
          </cell>
        </row>
        <row r="90">
          <cell r="A90">
            <v>88</v>
          </cell>
          <cell r="B90" t="str">
            <v>동 피뢰침H:10M이하</v>
          </cell>
          <cell r="C90" t="str">
            <v>大14×430㎜</v>
          </cell>
          <cell r="D90" t="str">
            <v>EA</v>
          </cell>
          <cell r="G90">
            <v>800</v>
          </cell>
          <cell r="H90">
            <v>10800</v>
          </cell>
          <cell r="Q90">
            <v>10800</v>
          </cell>
          <cell r="S90" t="str">
            <v>내선</v>
          </cell>
          <cell r="T90">
            <v>1.1399999999999999</v>
          </cell>
          <cell r="U90" t="str">
            <v>내선</v>
          </cell>
          <cell r="V90">
            <v>1.9</v>
          </cell>
          <cell r="Y90" t="str">
            <v>*배선,접지물포함</v>
          </cell>
        </row>
        <row r="91">
          <cell r="A91">
            <v>89</v>
          </cell>
          <cell r="B91" t="str">
            <v>동 피뢰침H:15M이하</v>
          </cell>
          <cell r="C91" t="str">
            <v>大14×430㎜</v>
          </cell>
          <cell r="D91" t="str">
            <v>EA</v>
          </cell>
          <cell r="G91">
            <v>800</v>
          </cell>
          <cell r="H91">
            <v>10800</v>
          </cell>
          <cell r="Q91">
            <v>10800</v>
          </cell>
          <cell r="U91" t="str">
            <v>배전</v>
          </cell>
          <cell r="V91">
            <v>2.6</v>
          </cell>
          <cell r="Y91" t="str">
            <v>*전주설치는배전전공</v>
          </cell>
        </row>
        <row r="92">
          <cell r="A92">
            <v>90</v>
          </cell>
          <cell r="B92" t="str">
            <v>동 피뢰침H:20M이하</v>
          </cell>
          <cell r="C92" t="str">
            <v>大14×430㎜</v>
          </cell>
          <cell r="D92" t="str">
            <v>EA</v>
          </cell>
          <cell r="G92">
            <v>800</v>
          </cell>
          <cell r="H92">
            <v>10800</v>
          </cell>
          <cell r="Q92">
            <v>10800</v>
          </cell>
          <cell r="U92" t="str">
            <v>배전</v>
          </cell>
          <cell r="V92">
            <v>3.4</v>
          </cell>
          <cell r="Y92" t="str">
            <v>상동</v>
          </cell>
        </row>
        <row r="93">
          <cell r="A93">
            <v>91</v>
          </cell>
          <cell r="B93" t="str">
            <v>동 피뢰침H:7.5M이하</v>
          </cell>
          <cell r="C93" t="str">
            <v>中14×320㎜</v>
          </cell>
          <cell r="D93" t="str">
            <v>EA</v>
          </cell>
          <cell r="G93">
            <v>800</v>
          </cell>
          <cell r="H93">
            <v>9560</v>
          </cell>
          <cell r="Q93">
            <v>9560</v>
          </cell>
          <cell r="S93" t="str">
            <v>내선</v>
          </cell>
          <cell r="T93">
            <v>0.89999999999999991</v>
          </cell>
          <cell r="U93" t="str">
            <v>내선</v>
          </cell>
          <cell r="V93">
            <v>1.5</v>
          </cell>
          <cell r="Y93" t="str">
            <v>상동</v>
          </cell>
        </row>
        <row r="94">
          <cell r="A94">
            <v>92</v>
          </cell>
          <cell r="B94" t="str">
            <v>동 피뢰침H:10M이하</v>
          </cell>
          <cell r="C94" t="str">
            <v>中14×320㎜</v>
          </cell>
          <cell r="D94" t="str">
            <v>EA</v>
          </cell>
          <cell r="G94">
            <v>800</v>
          </cell>
          <cell r="H94">
            <v>9560</v>
          </cell>
          <cell r="Q94">
            <v>9560</v>
          </cell>
          <cell r="S94" t="str">
            <v>내선</v>
          </cell>
          <cell r="T94">
            <v>1.1399999999999999</v>
          </cell>
          <cell r="U94" t="str">
            <v>내선</v>
          </cell>
          <cell r="V94">
            <v>1.9</v>
          </cell>
          <cell r="Y94" t="str">
            <v>상동</v>
          </cell>
        </row>
        <row r="95">
          <cell r="A95">
            <v>93</v>
          </cell>
          <cell r="B95" t="str">
            <v>동 피뢰침H:15M이하</v>
          </cell>
          <cell r="C95" t="str">
            <v>中14×320㎜</v>
          </cell>
          <cell r="D95" t="str">
            <v>EA</v>
          </cell>
          <cell r="G95">
            <v>800</v>
          </cell>
          <cell r="H95">
            <v>9560</v>
          </cell>
          <cell r="Q95">
            <v>9560</v>
          </cell>
          <cell r="U95" t="str">
            <v>배전</v>
          </cell>
          <cell r="V95">
            <v>2.6</v>
          </cell>
          <cell r="Y95" t="str">
            <v>상동</v>
          </cell>
        </row>
        <row r="96">
          <cell r="A96">
            <v>94</v>
          </cell>
          <cell r="B96" t="str">
            <v>동 피뢰침H:20M이하</v>
          </cell>
          <cell r="C96" t="str">
            <v>中14×320㎜</v>
          </cell>
          <cell r="D96" t="str">
            <v>EA</v>
          </cell>
          <cell r="G96">
            <v>800</v>
          </cell>
          <cell r="H96">
            <v>9560</v>
          </cell>
          <cell r="Q96">
            <v>9560</v>
          </cell>
          <cell r="U96" t="str">
            <v>배전</v>
          </cell>
          <cell r="V96">
            <v>3.4</v>
          </cell>
          <cell r="Y96" t="str">
            <v>상동</v>
          </cell>
        </row>
        <row r="97">
          <cell r="A97">
            <v>95</v>
          </cell>
          <cell r="Q97" t="str">
            <v/>
          </cell>
        </row>
        <row r="98">
          <cell r="A98">
            <v>96</v>
          </cell>
          <cell r="B98" t="str">
            <v>접지봉</v>
          </cell>
          <cell r="C98" t="str">
            <v>φ14×1000㎜(동피복)</v>
          </cell>
          <cell r="D98" t="str">
            <v>EA</v>
          </cell>
          <cell r="G98">
            <v>800</v>
          </cell>
          <cell r="H98">
            <v>2700</v>
          </cell>
          <cell r="Q98">
            <v>2700</v>
          </cell>
          <cell r="S98" t="str">
            <v>내선</v>
          </cell>
          <cell r="T98">
            <v>0.2</v>
          </cell>
          <cell r="U98" t="str">
            <v>보인</v>
          </cell>
          <cell r="V98">
            <v>0.1</v>
          </cell>
        </row>
        <row r="99">
          <cell r="A99">
            <v>97</v>
          </cell>
          <cell r="B99" t="str">
            <v>접지봉</v>
          </cell>
          <cell r="C99" t="str">
            <v>φ16×1800㎜(동피복)</v>
          </cell>
          <cell r="D99" t="str">
            <v>EA</v>
          </cell>
          <cell r="G99">
            <v>800</v>
          </cell>
          <cell r="H99">
            <v>3820</v>
          </cell>
          <cell r="Q99">
            <v>3820</v>
          </cell>
          <cell r="S99" t="str">
            <v>내선</v>
          </cell>
          <cell r="T99">
            <v>0.2</v>
          </cell>
          <cell r="U99" t="str">
            <v>보인</v>
          </cell>
          <cell r="V99">
            <v>0.1</v>
          </cell>
        </row>
        <row r="100">
          <cell r="A100">
            <v>98</v>
          </cell>
          <cell r="B100" t="str">
            <v>접지봉</v>
          </cell>
          <cell r="C100" t="str">
            <v>φ18×2400㎜(동피복)</v>
          </cell>
          <cell r="D100" t="str">
            <v>EA</v>
          </cell>
          <cell r="G100">
            <v>800</v>
          </cell>
          <cell r="H100">
            <v>5280</v>
          </cell>
          <cell r="Q100">
            <v>5280</v>
          </cell>
          <cell r="S100" t="str">
            <v>내선</v>
          </cell>
          <cell r="T100">
            <v>0.2</v>
          </cell>
          <cell r="U100" t="str">
            <v>보인</v>
          </cell>
          <cell r="V100">
            <v>0.1</v>
          </cell>
        </row>
        <row r="101">
          <cell r="A101">
            <v>99</v>
          </cell>
          <cell r="B101" t="str">
            <v>접지봉</v>
          </cell>
          <cell r="C101" t="str">
            <v>φ16×1800㎜-3EA</v>
          </cell>
          <cell r="D101" t="str">
            <v>조</v>
          </cell>
          <cell r="Q101">
            <v>0</v>
          </cell>
          <cell r="S101" t="str">
            <v>내선</v>
          </cell>
          <cell r="T101">
            <v>0.45</v>
          </cell>
          <cell r="U101" t="str">
            <v>보인</v>
          </cell>
          <cell r="V101">
            <v>0.23</v>
          </cell>
        </row>
        <row r="102">
          <cell r="A102">
            <v>100</v>
          </cell>
          <cell r="Q102" t="str">
            <v/>
          </cell>
        </row>
        <row r="103">
          <cell r="A103">
            <v>101</v>
          </cell>
          <cell r="B103" t="str">
            <v xml:space="preserve">전선 </v>
          </cell>
          <cell r="C103" t="str">
            <v>HIV   1.2</v>
          </cell>
          <cell r="D103" t="str">
            <v>m</v>
          </cell>
          <cell r="G103">
            <v>714</v>
          </cell>
          <cell r="H103">
            <v>45</v>
          </cell>
          <cell r="Q103">
            <v>45</v>
          </cell>
          <cell r="R103">
            <v>0.1</v>
          </cell>
          <cell r="S103" t="str">
            <v>내선</v>
          </cell>
          <cell r="T103">
            <v>0.01</v>
          </cell>
        </row>
        <row r="104">
          <cell r="A104">
            <v>102</v>
          </cell>
          <cell r="B104" t="str">
            <v xml:space="preserve">전선 </v>
          </cell>
          <cell r="C104" t="str">
            <v>HIV   1.6</v>
          </cell>
          <cell r="D104" t="str">
            <v>m</v>
          </cell>
          <cell r="G104">
            <v>714</v>
          </cell>
          <cell r="H104">
            <v>73</v>
          </cell>
          <cell r="Q104">
            <v>73</v>
          </cell>
          <cell r="R104">
            <v>0.1</v>
          </cell>
          <cell r="S104" t="str">
            <v>내선</v>
          </cell>
          <cell r="T104">
            <v>0.01</v>
          </cell>
        </row>
        <row r="105">
          <cell r="A105">
            <v>103</v>
          </cell>
          <cell r="B105" t="str">
            <v xml:space="preserve">전선 </v>
          </cell>
          <cell r="C105" t="str">
            <v>HIV   2.0</v>
          </cell>
          <cell r="D105" t="str">
            <v>m</v>
          </cell>
          <cell r="G105">
            <v>714</v>
          </cell>
          <cell r="H105">
            <v>107</v>
          </cell>
          <cell r="Q105">
            <v>107</v>
          </cell>
          <cell r="R105">
            <v>0.1</v>
          </cell>
          <cell r="S105" t="str">
            <v>내선</v>
          </cell>
          <cell r="T105">
            <v>0.01</v>
          </cell>
        </row>
        <row r="106">
          <cell r="A106">
            <v>104</v>
          </cell>
          <cell r="B106" t="str">
            <v xml:space="preserve">전선 </v>
          </cell>
          <cell r="C106" t="str">
            <v>HIV   5.5sq</v>
          </cell>
          <cell r="D106" t="str">
            <v>m</v>
          </cell>
          <cell r="G106">
            <v>714</v>
          </cell>
          <cell r="H106">
            <v>209</v>
          </cell>
          <cell r="Q106">
            <v>209</v>
          </cell>
          <cell r="R106">
            <v>0.1</v>
          </cell>
          <cell r="S106" t="str">
            <v>내선</v>
          </cell>
          <cell r="T106">
            <v>0.01</v>
          </cell>
        </row>
        <row r="107">
          <cell r="A107">
            <v>105</v>
          </cell>
          <cell r="B107" t="str">
            <v xml:space="preserve">전선 </v>
          </cell>
          <cell r="C107" t="str">
            <v>HIV   8sq</v>
          </cell>
          <cell r="D107" t="str">
            <v>m</v>
          </cell>
          <cell r="G107">
            <v>714</v>
          </cell>
          <cell r="H107">
            <v>296</v>
          </cell>
          <cell r="Q107">
            <v>296</v>
          </cell>
          <cell r="R107">
            <v>0.1</v>
          </cell>
          <cell r="S107" t="str">
            <v>내선</v>
          </cell>
          <cell r="T107">
            <v>0.02</v>
          </cell>
        </row>
        <row r="108">
          <cell r="A108">
            <v>106</v>
          </cell>
          <cell r="B108" t="str">
            <v xml:space="preserve">전선 </v>
          </cell>
          <cell r="C108" t="str">
            <v>HIV   14sq</v>
          </cell>
          <cell r="D108" t="str">
            <v>m</v>
          </cell>
          <cell r="G108">
            <v>714</v>
          </cell>
          <cell r="H108">
            <v>583</v>
          </cell>
          <cell r="Q108">
            <v>583</v>
          </cell>
          <cell r="R108">
            <v>0.1</v>
          </cell>
          <cell r="S108" t="str">
            <v>내선</v>
          </cell>
          <cell r="T108">
            <v>0.02</v>
          </cell>
        </row>
        <row r="109">
          <cell r="A109">
            <v>107</v>
          </cell>
          <cell r="B109" t="str">
            <v xml:space="preserve">전선 </v>
          </cell>
          <cell r="C109" t="str">
            <v>HIV   22sq</v>
          </cell>
          <cell r="D109" t="str">
            <v>m</v>
          </cell>
          <cell r="G109">
            <v>714</v>
          </cell>
          <cell r="H109">
            <v>888</v>
          </cell>
          <cell r="Q109">
            <v>888</v>
          </cell>
          <cell r="R109">
            <v>0.1</v>
          </cell>
          <cell r="S109" t="str">
            <v>내선</v>
          </cell>
          <cell r="T109">
            <v>3.1E-2</v>
          </cell>
        </row>
        <row r="110">
          <cell r="A110">
            <v>108</v>
          </cell>
          <cell r="B110" t="str">
            <v xml:space="preserve">전선 </v>
          </cell>
          <cell r="C110" t="str">
            <v>HIV   38sq</v>
          </cell>
          <cell r="D110" t="str">
            <v>m</v>
          </cell>
          <cell r="G110">
            <v>714</v>
          </cell>
          <cell r="H110">
            <v>1414</v>
          </cell>
          <cell r="Q110">
            <v>1414</v>
          </cell>
          <cell r="R110">
            <v>0.1</v>
          </cell>
          <cell r="S110" t="str">
            <v>내선</v>
          </cell>
          <cell r="T110">
            <v>3.1E-2</v>
          </cell>
        </row>
        <row r="111">
          <cell r="A111">
            <v>109</v>
          </cell>
          <cell r="Q111" t="str">
            <v/>
          </cell>
        </row>
        <row r="112">
          <cell r="A112">
            <v>110</v>
          </cell>
          <cell r="Q112" t="str">
            <v/>
          </cell>
        </row>
        <row r="113">
          <cell r="A113">
            <v>111</v>
          </cell>
          <cell r="Q113" t="str">
            <v/>
          </cell>
        </row>
        <row r="114">
          <cell r="A114">
            <v>112</v>
          </cell>
          <cell r="B114" t="str">
            <v>전화선</v>
          </cell>
          <cell r="C114" t="str">
            <v>TIV 0.8/2C</v>
          </cell>
          <cell r="D114" t="str">
            <v>m</v>
          </cell>
          <cell r="G114">
            <v>731</v>
          </cell>
          <cell r="H114">
            <v>60</v>
          </cell>
          <cell r="Q114">
            <v>60</v>
          </cell>
          <cell r="R114">
            <v>0.1</v>
          </cell>
          <cell r="S114" t="str">
            <v>통내</v>
          </cell>
          <cell r="T114">
            <v>1.4999999999999999E-2</v>
          </cell>
        </row>
        <row r="115">
          <cell r="A115">
            <v>113</v>
          </cell>
          <cell r="B115" t="str">
            <v>전화선</v>
          </cell>
          <cell r="C115" t="str">
            <v>TIV 1.0/2C</v>
          </cell>
          <cell r="D115" t="str">
            <v>m</v>
          </cell>
          <cell r="G115">
            <v>731</v>
          </cell>
          <cell r="H115">
            <v>113</v>
          </cell>
          <cell r="Q115">
            <v>113</v>
          </cell>
          <cell r="R115">
            <v>0.1</v>
          </cell>
          <cell r="S115" t="str">
            <v>통내</v>
          </cell>
          <cell r="T115">
            <v>1.4999999999999999E-2</v>
          </cell>
        </row>
        <row r="116">
          <cell r="A116">
            <v>114</v>
          </cell>
          <cell r="B116" t="str">
            <v>전화선</v>
          </cell>
          <cell r="C116" t="str">
            <v>TIV 1.2/2C</v>
          </cell>
          <cell r="D116" t="str">
            <v>m</v>
          </cell>
          <cell r="G116">
            <v>731</v>
          </cell>
          <cell r="H116">
            <v>119</v>
          </cell>
          <cell r="Q116">
            <v>119</v>
          </cell>
          <cell r="R116">
            <v>0.1</v>
          </cell>
          <cell r="S116" t="str">
            <v>통내</v>
          </cell>
          <cell r="T116">
            <v>1.4999999999999999E-2</v>
          </cell>
        </row>
        <row r="117">
          <cell r="A117">
            <v>115</v>
          </cell>
          <cell r="Q117" t="str">
            <v/>
          </cell>
        </row>
        <row r="118">
          <cell r="A118">
            <v>116</v>
          </cell>
          <cell r="B118" t="str">
            <v xml:space="preserve"> 저압 케이블</v>
          </cell>
          <cell r="C118" t="str">
            <v>600V CV 2.0 sq/1C</v>
          </cell>
          <cell r="D118" t="str">
            <v>m</v>
          </cell>
          <cell r="G118">
            <v>718</v>
          </cell>
          <cell r="H118">
            <v>173</v>
          </cell>
          <cell r="Q118">
            <v>173</v>
          </cell>
          <cell r="R118">
            <v>0.05</v>
          </cell>
          <cell r="S118" t="str">
            <v>저케</v>
          </cell>
          <cell r="T118">
            <v>0.01</v>
          </cell>
          <cell r="U118" t="str">
            <v>저케</v>
          </cell>
          <cell r="V118">
            <v>5.0000000000000001E-3</v>
          </cell>
          <cell r="W118" t="str">
            <v>보인</v>
          </cell>
          <cell r="X118">
            <v>5.0000000000000001E-3</v>
          </cell>
          <cell r="Y118" t="str">
            <v xml:space="preserve">옥외에서    2열동시 :180%        3열동시 :260%        4열동시 :340%         *구내부설시 본품의50%가산    </v>
          </cell>
        </row>
        <row r="119">
          <cell r="A119">
            <v>117</v>
          </cell>
          <cell r="B119" t="str">
            <v xml:space="preserve"> 저압 케이블</v>
          </cell>
          <cell r="C119" t="str">
            <v>600V CV 3.5 sq/1C</v>
          </cell>
          <cell r="D119" t="str">
            <v>m</v>
          </cell>
          <cell r="G119">
            <v>718</v>
          </cell>
          <cell r="H119">
            <v>218</v>
          </cell>
          <cell r="Q119">
            <v>218</v>
          </cell>
          <cell r="R119">
            <v>0.05</v>
          </cell>
          <cell r="S119" t="str">
            <v>저케</v>
          </cell>
          <cell r="T119">
            <v>1.0999999999999999E-2</v>
          </cell>
          <cell r="U119" t="str">
            <v>저케</v>
          </cell>
          <cell r="V119">
            <v>5.0000000000000001E-3</v>
          </cell>
          <cell r="W119" t="str">
            <v>보인</v>
          </cell>
          <cell r="X119">
            <v>5.0000000000000001E-3</v>
          </cell>
          <cell r="Y119" t="str">
            <v xml:space="preserve"> :180%        3열동시 :260%        4열동시 :340%         *구내부설시 본품의51%가산</v>
          </cell>
        </row>
        <row r="120">
          <cell r="A120">
            <v>118</v>
          </cell>
          <cell r="B120" t="str">
            <v xml:space="preserve"> 저압 케이블</v>
          </cell>
          <cell r="C120" t="str">
            <v>600V CV 5.5 sq/1C</v>
          </cell>
          <cell r="D120" t="str">
            <v>m</v>
          </cell>
          <cell r="G120">
            <v>718</v>
          </cell>
          <cell r="H120">
            <v>316</v>
          </cell>
          <cell r="Q120">
            <v>316</v>
          </cell>
          <cell r="R120">
            <v>0.05</v>
          </cell>
          <cell r="S120" t="str">
            <v>저케</v>
          </cell>
          <cell r="T120">
            <v>1.2999999999999999E-2</v>
          </cell>
          <cell r="U120" t="str">
            <v>저케</v>
          </cell>
          <cell r="V120">
            <v>5.0000000000000001E-3</v>
          </cell>
          <cell r="W120" t="str">
            <v>보인</v>
          </cell>
          <cell r="X120">
            <v>5.0000000000000001E-3</v>
          </cell>
          <cell r="Y120" t="str">
            <v xml:space="preserve"> :260%        4열동시 :340%         *구내부설시 본품의52%가산</v>
          </cell>
        </row>
        <row r="121">
          <cell r="A121">
            <v>119</v>
          </cell>
          <cell r="B121" t="str">
            <v xml:space="preserve"> 저압 케이블</v>
          </cell>
          <cell r="C121" t="str">
            <v>600V CV 8sq/1C</v>
          </cell>
          <cell r="D121" t="str">
            <v>m</v>
          </cell>
          <cell r="G121">
            <v>718</v>
          </cell>
          <cell r="H121">
            <v>409</v>
          </cell>
          <cell r="Q121">
            <v>409</v>
          </cell>
          <cell r="R121">
            <v>0.05</v>
          </cell>
          <cell r="S121" t="str">
            <v>저케</v>
          </cell>
          <cell r="T121">
            <v>1.4E-2</v>
          </cell>
          <cell r="U121" t="str">
            <v>저케</v>
          </cell>
          <cell r="V121">
            <v>5.4999999999999997E-3</v>
          </cell>
          <cell r="W121" t="str">
            <v>보인</v>
          </cell>
          <cell r="X121">
            <v>5.4999999999999997E-3</v>
          </cell>
          <cell r="Y121" t="str">
            <v xml:space="preserve"> :340%         *구내부설시 본품의53%가산</v>
          </cell>
        </row>
        <row r="122">
          <cell r="A122">
            <v>120</v>
          </cell>
          <cell r="B122" t="str">
            <v xml:space="preserve"> 저압 케이블</v>
          </cell>
          <cell r="C122" t="str">
            <v>600V  CV  14sq/1C</v>
          </cell>
          <cell r="D122" t="str">
            <v>m</v>
          </cell>
          <cell r="G122">
            <v>718</v>
          </cell>
          <cell r="H122">
            <v>719</v>
          </cell>
          <cell r="Q122">
            <v>719</v>
          </cell>
          <cell r="R122">
            <v>0.05</v>
          </cell>
          <cell r="S122" t="str">
            <v>저케</v>
          </cell>
          <cell r="T122">
            <v>0.02</v>
          </cell>
          <cell r="U122" t="str">
            <v>저케</v>
          </cell>
          <cell r="V122">
            <v>5.4999999999999997E-3</v>
          </cell>
          <cell r="W122" t="str">
            <v>보인</v>
          </cell>
          <cell r="X122">
            <v>5.4999999999999997E-3</v>
          </cell>
          <cell r="Y122" t="str">
            <v>시 본품의50%가산</v>
          </cell>
        </row>
        <row r="123">
          <cell r="A123">
            <v>121</v>
          </cell>
          <cell r="B123" t="str">
            <v xml:space="preserve"> 저압 케이블</v>
          </cell>
          <cell r="C123" t="str">
            <v>600V  CV 22sq/1C</v>
          </cell>
          <cell r="D123" t="str">
            <v>m</v>
          </cell>
          <cell r="G123">
            <v>718</v>
          </cell>
          <cell r="H123">
            <v>949</v>
          </cell>
          <cell r="Q123">
            <v>949</v>
          </cell>
          <cell r="R123">
            <v>0.05</v>
          </cell>
          <cell r="S123" t="str">
            <v>저케</v>
          </cell>
          <cell r="T123">
            <v>2.5999999999999999E-2</v>
          </cell>
          <cell r="U123" t="str">
            <v>저케</v>
          </cell>
          <cell r="V123">
            <v>7.0000000000000001E-3</v>
          </cell>
          <cell r="W123" t="str">
            <v>보인</v>
          </cell>
          <cell r="X123">
            <v>5.4999999999999997E-3</v>
          </cell>
        </row>
        <row r="124">
          <cell r="A124">
            <v>122</v>
          </cell>
          <cell r="B124" t="str">
            <v xml:space="preserve"> 저압 케이블</v>
          </cell>
          <cell r="C124" t="str">
            <v>600V  CV 38sq/1C</v>
          </cell>
          <cell r="D124" t="str">
            <v>m</v>
          </cell>
          <cell r="G124">
            <v>718</v>
          </cell>
          <cell r="H124">
            <v>1461</v>
          </cell>
          <cell r="Q124">
            <v>1461</v>
          </cell>
          <cell r="R124">
            <v>0.05</v>
          </cell>
          <cell r="S124" t="str">
            <v>저케</v>
          </cell>
          <cell r="T124">
            <v>3.5999999999999997E-2</v>
          </cell>
          <cell r="U124" t="str">
            <v>저케</v>
          </cell>
          <cell r="V124">
            <v>7.4999999999999997E-3</v>
          </cell>
          <cell r="W124" t="str">
            <v>보인</v>
          </cell>
          <cell r="X124">
            <v>7.0000000000000001E-3</v>
          </cell>
        </row>
        <row r="125">
          <cell r="A125">
            <v>123</v>
          </cell>
          <cell r="B125" t="str">
            <v xml:space="preserve"> 저압 케이블</v>
          </cell>
          <cell r="C125" t="str">
            <v>600V  CV 60sq/1C</v>
          </cell>
          <cell r="D125" t="str">
            <v>m</v>
          </cell>
          <cell r="G125">
            <v>718</v>
          </cell>
          <cell r="H125">
            <v>2288</v>
          </cell>
          <cell r="Q125">
            <v>2288</v>
          </cell>
          <cell r="R125">
            <v>0.05</v>
          </cell>
          <cell r="S125" t="str">
            <v>저케</v>
          </cell>
          <cell r="T125">
            <v>4.9000000000000002E-2</v>
          </cell>
          <cell r="U125" t="str">
            <v>저케</v>
          </cell>
          <cell r="V125">
            <v>8.5000000000000006E-3</v>
          </cell>
          <cell r="W125" t="str">
            <v>보인</v>
          </cell>
          <cell r="X125">
            <v>8.5000000000000006E-3</v>
          </cell>
        </row>
        <row r="126">
          <cell r="A126">
            <v>124</v>
          </cell>
          <cell r="B126" t="str">
            <v xml:space="preserve"> 저압 케이블</v>
          </cell>
          <cell r="C126" t="str">
            <v>600V  CV 100sq/1C</v>
          </cell>
          <cell r="D126" t="str">
            <v>m</v>
          </cell>
          <cell r="G126">
            <v>718</v>
          </cell>
          <cell r="H126">
            <v>3735</v>
          </cell>
          <cell r="Q126">
            <v>3735</v>
          </cell>
          <cell r="R126">
            <v>0.05</v>
          </cell>
          <cell r="S126" t="str">
            <v>저케</v>
          </cell>
          <cell r="T126">
            <v>7.0999999999999994E-2</v>
          </cell>
          <cell r="U126" t="str">
            <v>저케</v>
          </cell>
          <cell r="V126">
            <v>1.15E-2</v>
          </cell>
          <cell r="W126" t="str">
            <v>보인</v>
          </cell>
          <cell r="X126">
            <v>1.0999999999999999E-2</v>
          </cell>
        </row>
        <row r="127">
          <cell r="A127">
            <v>125</v>
          </cell>
          <cell r="B127" t="str">
            <v xml:space="preserve"> 저압 케이블</v>
          </cell>
          <cell r="C127" t="str">
            <v>600V  CV 150sq/1C</v>
          </cell>
          <cell r="D127" t="str">
            <v>m</v>
          </cell>
          <cell r="G127">
            <v>718</v>
          </cell>
          <cell r="H127">
            <v>5445</v>
          </cell>
          <cell r="Q127">
            <v>5445</v>
          </cell>
          <cell r="R127">
            <v>0.05</v>
          </cell>
          <cell r="S127" t="str">
            <v>저케</v>
          </cell>
          <cell r="T127">
            <v>9.7000000000000003E-2</v>
          </cell>
          <cell r="U127" t="str">
            <v>저케</v>
          </cell>
          <cell r="V127">
            <v>1.4500000000000001E-2</v>
          </cell>
          <cell r="W127" t="str">
            <v>보인</v>
          </cell>
          <cell r="X127">
            <v>1.4500000000000001E-2</v>
          </cell>
        </row>
        <row r="128">
          <cell r="A128">
            <v>126</v>
          </cell>
          <cell r="B128" t="str">
            <v xml:space="preserve"> 저압 케이블</v>
          </cell>
          <cell r="C128" t="str">
            <v>600V  CV 200sq/1C</v>
          </cell>
          <cell r="D128" t="str">
            <v>m</v>
          </cell>
          <cell r="G128">
            <v>718</v>
          </cell>
          <cell r="H128">
            <v>8560</v>
          </cell>
          <cell r="Q128">
            <v>8560</v>
          </cell>
          <cell r="R128">
            <v>0.05</v>
          </cell>
          <cell r="S128" t="str">
            <v>저케</v>
          </cell>
          <cell r="T128">
            <v>0.11700000000000001</v>
          </cell>
          <cell r="U128" t="str">
            <v>저케</v>
          </cell>
          <cell r="V128">
            <v>1.7500000000000002E-2</v>
          </cell>
          <cell r="W128" t="str">
            <v>보인</v>
          </cell>
          <cell r="X128">
            <v>1.7000000000000001E-2</v>
          </cell>
        </row>
        <row r="129">
          <cell r="A129">
            <v>127</v>
          </cell>
          <cell r="B129" t="str">
            <v xml:space="preserve"> 저압 케이블</v>
          </cell>
          <cell r="C129" t="str">
            <v>600V  CV 250sq/1C</v>
          </cell>
          <cell r="D129" t="str">
            <v>m</v>
          </cell>
          <cell r="G129">
            <v>718</v>
          </cell>
          <cell r="H129">
            <v>9933</v>
          </cell>
          <cell r="Q129">
            <v>9933</v>
          </cell>
          <cell r="R129">
            <v>0.05</v>
          </cell>
          <cell r="S129" t="str">
            <v>저케</v>
          </cell>
          <cell r="T129">
            <v>0.14199999999999999</v>
          </cell>
          <cell r="U129" t="str">
            <v>저케</v>
          </cell>
          <cell r="V129">
            <v>2.5000000000000001E-2</v>
          </cell>
          <cell r="W129" t="str">
            <v>보인</v>
          </cell>
          <cell r="X129">
            <v>2.4500000000000001E-2</v>
          </cell>
        </row>
        <row r="130">
          <cell r="A130">
            <v>128</v>
          </cell>
          <cell r="Q130" t="str">
            <v/>
          </cell>
        </row>
        <row r="131">
          <cell r="A131">
            <v>129</v>
          </cell>
          <cell r="Q131" t="str">
            <v/>
          </cell>
        </row>
        <row r="132">
          <cell r="A132">
            <v>130</v>
          </cell>
          <cell r="B132" t="str">
            <v>저압 케이블</v>
          </cell>
          <cell r="C132" t="str">
            <v>600V EV 5.5 sq/1C</v>
          </cell>
          <cell r="D132" t="str">
            <v>m</v>
          </cell>
          <cell r="G132">
            <v>727</v>
          </cell>
          <cell r="H132">
            <v>251</v>
          </cell>
          <cell r="Q132">
            <v>251</v>
          </cell>
          <cell r="R132">
            <v>0.05</v>
          </cell>
          <cell r="S132" t="str">
            <v>저케</v>
          </cell>
          <cell r="T132">
            <v>1.2999999999999999E-2</v>
          </cell>
          <cell r="U132" t="str">
            <v>저케</v>
          </cell>
          <cell r="V132">
            <v>5.0000000000000001E-3</v>
          </cell>
          <cell r="W132" t="str">
            <v>보인</v>
          </cell>
          <cell r="X132">
            <v>5.0000000000000001E-3</v>
          </cell>
          <cell r="Y132" t="str">
            <v xml:space="preserve">옥외에서    2열동시 :180%        3열동시 :260%        4열동시 :340%         *구내부설시 본품의50%가산    </v>
          </cell>
        </row>
        <row r="133">
          <cell r="A133">
            <v>131</v>
          </cell>
          <cell r="B133" t="str">
            <v>저압 케이블</v>
          </cell>
          <cell r="C133" t="str">
            <v>600V EV 8sq/1C</v>
          </cell>
          <cell r="D133" t="str">
            <v>m</v>
          </cell>
          <cell r="G133">
            <v>727</v>
          </cell>
          <cell r="H133">
            <v>356</v>
          </cell>
          <cell r="Q133">
            <v>356</v>
          </cell>
          <cell r="R133">
            <v>0.05</v>
          </cell>
          <cell r="S133" t="str">
            <v>저케</v>
          </cell>
          <cell r="T133">
            <v>1.4E-2</v>
          </cell>
          <cell r="U133" t="str">
            <v>저케</v>
          </cell>
          <cell r="V133">
            <v>5.4999999999999997E-3</v>
          </cell>
          <cell r="W133" t="str">
            <v>보인</v>
          </cell>
          <cell r="X133">
            <v>5.4999999999999997E-3</v>
          </cell>
          <cell r="Y133" t="str">
            <v xml:space="preserve"> :180%        3열동시 :260%        4열동시 :340%         *구내부설시 본품의51%가산</v>
          </cell>
        </row>
        <row r="134">
          <cell r="A134">
            <v>132</v>
          </cell>
          <cell r="B134" t="str">
            <v>저압 케이블</v>
          </cell>
          <cell r="C134" t="str">
            <v>600V  EV  14sq/1C</v>
          </cell>
          <cell r="D134" t="str">
            <v>m</v>
          </cell>
          <cell r="G134">
            <v>727</v>
          </cell>
          <cell r="H134">
            <v>533</v>
          </cell>
          <cell r="Q134">
            <v>533</v>
          </cell>
          <cell r="R134">
            <v>0.05</v>
          </cell>
          <cell r="S134" t="str">
            <v>저케</v>
          </cell>
          <cell r="T134">
            <v>0.02</v>
          </cell>
          <cell r="U134" t="str">
            <v>저케</v>
          </cell>
          <cell r="V134">
            <v>5.4999999999999997E-3</v>
          </cell>
          <cell r="W134" t="str">
            <v>보인</v>
          </cell>
          <cell r="X134">
            <v>5.4999999999999997E-3</v>
          </cell>
          <cell r="Y134" t="str">
            <v xml:space="preserve"> :260%        4열동시 :340%         *구내부설시 본품의52%가산</v>
          </cell>
        </row>
        <row r="135">
          <cell r="A135">
            <v>133</v>
          </cell>
          <cell r="B135" t="str">
            <v>저압 케이블</v>
          </cell>
          <cell r="C135" t="str">
            <v>600V  EV 22sq/1C</v>
          </cell>
          <cell r="D135" t="str">
            <v>m</v>
          </cell>
          <cell r="G135">
            <v>727</v>
          </cell>
          <cell r="H135">
            <v>755</v>
          </cell>
          <cell r="Q135">
            <v>755</v>
          </cell>
          <cell r="R135">
            <v>0.05</v>
          </cell>
          <cell r="S135" t="str">
            <v>저케</v>
          </cell>
          <cell r="T135">
            <v>2.5999999999999999E-2</v>
          </cell>
          <cell r="U135" t="str">
            <v>저케</v>
          </cell>
          <cell r="V135">
            <v>7.0000000000000001E-3</v>
          </cell>
          <cell r="W135" t="str">
            <v>보인</v>
          </cell>
          <cell r="X135">
            <v>5.4999999999999997E-3</v>
          </cell>
          <cell r="Y135" t="str">
            <v xml:space="preserve"> :340%         *구내부설시 본품의53%가산</v>
          </cell>
        </row>
        <row r="136">
          <cell r="A136">
            <v>134</v>
          </cell>
          <cell r="B136" t="str">
            <v>저압 케이블</v>
          </cell>
          <cell r="C136" t="str">
            <v>600V  EV 38sq/1C</v>
          </cell>
          <cell r="D136" t="str">
            <v>m</v>
          </cell>
          <cell r="G136">
            <v>727</v>
          </cell>
          <cell r="H136">
            <v>1181</v>
          </cell>
          <cell r="Q136">
            <v>1181</v>
          </cell>
          <cell r="R136">
            <v>0.05</v>
          </cell>
          <cell r="S136" t="str">
            <v>저케</v>
          </cell>
          <cell r="T136">
            <v>3.5999999999999997E-2</v>
          </cell>
          <cell r="U136" t="str">
            <v>저케</v>
          </cell>
          <cell r="V136">
            <v>7.4999999999999997E-3</v>
          </cell>
          <cell r="W136" t="str">
            <v>보인</v>
          </cell>
          <cell r="X136">
            <v>7.0000000000000001E-3</v>
          </cell>
          <cell r="Y136" t="str">
            <v>시 본품의50%가산</v>
          </cell>
        </row>
        <row r="137">
          <cell r="A137">
            <v>135</v>
          </cell>
          <cell r="B137" t="str">
            <v>저압 케이블</v>
          </cell>
          <cell r="C137" t="str">
            <v>600V  EV 50sq/1C</v>
          </cell>
          <cell r="D137" t="str">
            <v>m</v>
          </cell>
          <cell r="G137">
            <v>727</v>
          </cell>
          <cell r="H137">
            <v>1626</v>
          </cell>
          <cell r="Q137">
            <v>1626</v>
          </cell>
          <cell r="R137">
            <v>0.05</v>
          </cell>
          <cell r="S137" t="str">
            <v>저케</v>
          </cell>
          <cell r="T137">
            <v>4.2999999999999997E-2</v>
          </cell>
          <cell r="U137" t="str">
            <v>저케</v>
          </cell>
          <cell r="V137">
            <v>8.5000000000000006E-3</v>
          </cell>
          <cell r="W137" t="str">
            <v>보인</v>
          </cell>
          <cell r="X137">
            <v>8.5000000000000006E-3</v>
          </cell>
        </row>
        <row r="138">
          <cell r="A138">
            <v>136</v>
          </cell>
          <cell r="B138" t="str">
            <v>저압 케이블</v>
          </cell>
          <cell r="C138" t="str">
            <v>600V  EV 60sq/1C</v>
          </cell>
          <cell r="D138" t="str">
            <v>m</v>
          </cell>
          <cell r="G138">
            <v>727</v>
          </cell>
          <cell r="H138">
            <v>1939</v>
          </cell>
          <cell r="Q138">
            <v>1939</v>
          </cell>
          <cell r="R138">
            <v>0.05</v>
          </cell>
          <cell r="S138" t="str">
            <v>저케</v>
          </cell>
          <cell r="T138">
            <v>4.9000000000000002E-2</v>
          </cell>
          <cell r="U138" t="str">
            <v>저케</v>
          </cell>
          <cell r="V138">
            <v>8.5000000000000006E-3</v>
          </cell>
          <cell r="W138" t="str">
            <v>보인</v>
          </cell>
          <cell r="X138">
            <v>8.5000000000000006E-3</v>
          </cell>
        </row>
        <row r="139">
          <cell r="A139">
            <v>137</v>
          </cell>
          <cell r="B139" t="str">
            <v>저압 케이블</v>
          </cell>
          <cell r="C139" t="str">
            <v>600V  EV 80sq/1C</v>
          </cell>
          <cell r="D139" t="str">
            <v>m</v>
          </cell>
          <cell r="G139">
            <v>727</v>
          </cell>
          <cell r="H139">
            <v>2494</v>
          </cell>
          <cell r="Q139">
            <v>2494</v>
          </cell>
          <cell r="R139">
            <v>0.05</v>
          </cell>
          <cell r="S139" t="str">
            <v>저케</v>
          </cell>
          <cell r="T139">
            <v>0.06</v>
          </cell>
          <cell r="U139" t="str">
            <v>저케</v>
          </cell>
          <cell r="V139">
            <v>1.15E-2</v>
          </cell>
          <cell r="W139" t="str">
            <v>보인</v>
          </cell>
          <cell r="X139">
            <v>1.0999999999999999E-2</v>
          </cell>
        </row>
        <row r="140">
          <cell r="A140">
            <v>138</v>
          </cell>
          <cell r="B140" t="str">
            <v>저압 케이블</v>
          </cell>
          <cell r="C140" t="str">
            <v>600V  EV 100sq/1C</v>
          </cell>
          <cell r="D140" t="str">
            <v>m</v>
          </cell>
          <cell r="G140">
            <v>727</v>
          </cell>
          <cell r="H140">
            <v>3160</v>
          </cell>
          <cell r="Q140">
            <v>3160</v>
          </cell>
          <cell r="R140">
            <v>0.05</v>
          </cell>
          <cell r="S140" t="str">
            <v>저케</v>
          </cell>
          <cell r="T140">
            <v>7.0999999999999994E-2</v>
          </cell>
          <cell r="U140" t="str">
            <v>저케</v>
          </cell>
          <cell r="V140">
            <v>1.15E-2</v>
          </cell>
          <cell r="W140" t="str">
            <v>보인</v>
          </cell>
          <cell r="X140">
            <v>1.0999999999999999E-2</v>
          </cell>
        </row>
        <row r="141">
          <cell r="A141">
            <v>139</v>
          </cell>
          <cell r="B141" t="str">
            <v>저압 케이블</v>
          </cell>
          <cell r="C141" t="str">
            <v>600V  EV 125sq/1C</v>
          </cell>
          <cell r="D141" t="str">
            <v>m</v>
          </cell>
          <cell r="G141">
            <v>727</v>
          </cell>
          <cell r="H141">
            <v>3881</v>
          </cell>
          <cell r="Q141">
            <v>3881</v>
          </cell>
          <cell r="R141">
            <v>0.05</v>
          </cell>
          <cell r="S141" t="str">
            <v>저케</v>
          </cell>
          <cell r="T141">
            <v>8.4000000000000005E-2</v>
          </cell>
          <cell r="U141" t="str">
            <v>저케</v>
          </cell>
          <cell r="V141">
            <v>1.4500000000000001E-2</v>
          </cell>
          <cell r="W141" t="str">
            <v>보인</v>
          </cell>
          <cell r="X141">
            <v>1.4500000000000001E-2</v>
          </cell>
        </row>
        <row r="142">
          <cell r="A142">
            <v>140</v>
          </cell>
          <cell r="B142" t="str">
            <v>저압 케이블</v>
          </cell>
          <cell r="C142" t="str">
            <v>600V  EV 150sq/1C</v>
          </cell>
          <cell r="D142" t="str">
            <v>m</v>
          </cell>
          <cell r="G142">
            <v>727</v>
          </cell>
          <cell r="H142">
            <v>4748</v>
          </cell>
          <cell r="Q142">
            <v>4748</v>
          </cell>
          <cell r="R142">
            <v>0.05</v>
          </cell>
          <cell r="S142" t="str">
            <v>저케</v>
          </cell>
          <cell r="T142">
            <v>9.7000000000000003E-2</v>
          </cell>
          <cell r="U142" t="str">
            <v>저케</v>
          </cell>
          <cell r="V142">
            <v>1.4500000000000001E-2</v>
          </cell>
          <cell r="W142" t="str">
            <v>보인</v>
          </cell>
          <cell r="X142">
            <v>1.4500000000000001E-2</v>
          </cell>
        </row>
        <row r="143">
          <cell r="A143">
            <v>141</v>
          </cell>
          <cell r="B143" t="str">
            <v>저압 케이블</v>
          </cell>
          <cell r="C143" t="str">
            <v>600V  EV 200sq/1C</v>
          </cell>
          <cell r="D143" t="str">
            <v>m</v>
          </cell>
          <cell r="G143">
            <v>727</v>
          </cell>
          <cell r="H143">
            <v>6086</v>
          </cell>
          <cell r="Q143">
            <v>6086</v>
          </cell>
          <cell r="R143">
            <v>0.05</v>
          </cell>
          <cell r="S143" t="str">
            <v>저케</v>
          </cell>
          <cell r="T143">
            <v>0.11700000000000001</v>
          </cell>
          <cell r="U143" t="str">
            <v>저케</v>
          </cell>
          <cell r="V143">
            <v>1.7500000000000002E-2</v>
          </cell>
          <cell r="W143" t="str">
            <v>보인</v>
          </cell>
          <cell r="X143">
            <v>1.7000000000000001E-2</v>
          </cell>
        </row>
        <row r="144">
          <cell r="A144">
            <v>142</v>
          </cell>
          <cell r="B144" t="str">
            <v>저압 케이블</v>
          </cell>
          <cell r="C144" t="str">
            <v>600V  EV 250sq/1C</v>
          </cell>
          <cell r="D144" t="str">
            <v>m</v>
          </cell>
          <cell r="G144">
            <v>727</v>
          </cell>
          <cell r="H144">
            <v>7801</v>
          </cell>
          <cell r="Q144">
            <v>7801</v>
          </cell>
          <cell r="R144">
            <v>0.05</v>
          </cell>
          <cell r="S144" t="str">
            <v>저케</v>
          </cell>
          <cell r="T144">
            <v>0.14199999999999999</v>
          </cell>
          <cell r="U144" t="str">
            <v>저케</v>
          </cell>
          <cell r="V144">
            <v>2.5000000000000001E-2</v>
          </cell>
          <cell r="W144" t="str">
            <v>보인</v>
          </cell>
          <cell r="X144">
            <v>2.4500000000000001E-2</v>
          </cell>
        </row>
        <row r="145">
          <cell r="A145">
            <v>143</v>
          </cell>
          <cell r="Q145" t="str">
            <v/>
          </cell>
        </row>
        <row r="146">
          <cell r="A146">
            <v>144</v>
          </cell>
          <cell r="Q146" t="str">
            <v/>
          </cell>
        </row>
        <row r="147">
          <cell r="A147">
            <v>145</v>
          </cell>
          <cell r="B147" t="str">
            <v>제어 케이블</v>
          </cell>
          <cell r="C147" t="str">
            <v>CVV  2.0sq/2C</v>
          </cell>
          <cell r="D147" t="str">
            <v>m</v>
          </cell>
          <cell r="G147">
            <v>716</v>
          </cell>
          <cell r="H147">
            <v>484</v>
          </cell>
          <cell r="Q147">
            <v>484</v>
          </cell>
          <cell r="R147">
            <v>0.05</v>
          </cell>
          <cell r="S147" t="str">
            <v>저케</v>
          </cell>
          <cell r="T147">
            <v>1.4E-2</v>
          </cell>
        </row>
        <row r="148">
          <cell r="A148">
            <v>146</v>
          </cell>
          <cell r="B148" t="str">
            <v>제어 케이블</v>
          </cell>
          <cell r="C148" t="str">
            <v>CVV  2.0sq/3C</v>
          </cell>
          <cell r="D148" t="str">
            <v>m</v>
          </cell>
          <cell r="G148">
            <v>716</v>
          </cell>
          <cell r="H148">
            <v>594</v>
          </cell>
          <cell r="Q148">
            <v>594</v>
          </cell>
          <cell r="R148">
            <v>0.05</v>
          </cell>
          <cell r="S148" t="str">
            <v>저케</v>
          </cell>
          <cell r="T148">
            <v>1.9E-2</v>
          </cell>
        </row>
        <row r="149">
          <cell r="A149">
            <v>147</v>
          </cell>
          <cell r="B149" t="str">
            <v>제어 케이블</v>
          </cell>
          <cell r="C149" t="str">
            <v>CVV  2.0sq/4C</v>
          </cell>
          <cell r="D149" t="str">
            <v>m</v>
          </cell>
          <cell r="G149">
            <v>716</v>
          </cell>
          <cell r="H149">
            <v>716</v>
          </cell>
          <cell r="Q149">
            <v>716</v>
          </cell>
          <cell r="R149">
            <v>0.05</v>
          </cell>
          <cell r="S149" t="str">
            <v>저케</v>
          </cell>
          <cell r="T149">
            <v>2.5999999999999999E-2</v>
          </cell>
        </row>
        <row r="150">
          <cell r="A150">
            <v>148</v>
          </cell>
          <cell r="B150" t="str">
            <v>제어 케이블</v>
          </cell>
          <cell r="C150" t="str">
            <v>CVV  2.0sq/5C</v>
          </cell>
          <cell r="D150" t="str">
            <v>m</v>
          </cell>
          <cell r="G150">
            <v>716</v>
          </cell>
          <cell r="H150">
            <v>656</v>
          </cell>
          <cell r="Q150">
            <v>656</v>
          </cell>
          <cell r="R150">
            <v>0.05</v>
          </cell>
          <cell r="S150" t="str">
            <v>저케</v>
          </cell>
          <cell r="T150">
            <v>3.2000000000000001E-2</v>
          </cell>
        </row>
        <row r="151">
          <cell r="A151">
            <v>149</v>
          </cell>
          <cell r="B151" t="str">
            <v>제어 케이블</v>
          </cell>
          <cell r="C151" t="str">
            <v>CVV  2.0sq/6C</v>
          </cell>
          <cell r="D151" t="str">
            <v>m</v>
          </cell>
          <cell r="G151">
            <v>716</v>
          </cell>
          <cell r="H151">
            <v>758</v>
          </cell>
          <cell r="Q151">
            <v>758</v>
          </cell>
          <cell r="R151">
            <v>0.05</v>
          </cell>
          <cell r="S151" t="str">
            <v>저케</v>
          </cell>
          <cell r="T151">
            <v>3.5000000000000003E-2</v>
          </cell>
        </row>
        <row r="152">
          <cell r="A152">
            <v>150</v>
          </cell>
          <cell r="B152" t="str">
            <v>제어 케이블</v>
          </cell>
          <cell r="C152" t="str">
            <v>CVV  2.0sq/7C</v>
          </cell>
          <cell r="D152" t="str">
            <v>m</v>
          </cell>
          <cell r="G152">
            <v>716</v>
          </cell>
          <cell r="H152">
            <v>810</v>
          </cell>
          <cell r="Q152">
            <v>810</v>
          </cell>
          <cell r="R152">
            <v>0.05</v>
          </cell>
          <cell r="S152" t="str">
            <v>저케</v>
          </cell>
          <cell r="T152">
            <v>3.9E-2</v>
          </cell>
        </row>
        <row r="153">
          <cell r="A153">
            <v>151</v>
          </cell>
          <cell r="B153" t="str">
            <v>제어 케이블</v>
          </cell>
          <cell r="C153" t="str">
            <v>CVV  2.0sq/8C</v>
          </cell>
          <cell r="D153" t="str">
            <v>m</v>
          </cell>
          <cell r="G153">
            <v>716</v>
          </cell>
          <cell r="H153">
            <v>1010</v>
          </cell>
          <cell r="Q153">
            <v>1010</v>
          </cell>
          <cell r="R153">
            <v>0.05</v>
          </cell>
          <cell r="S153" t="str">
            <v>저케</v>
          </cell>
          <cell r="T153">
            <v>4.2000000000000003E-2</v>
          </cell>
        </row>
        <row r="154">
          <cell r="A154">
            <v>152</v>
          </cell>
          <cell r="B154" t="str">
            <v>제어 케이블</v>
          </cell>
          <cell r="C154" t="str">
            <v>CVV  2.0sq/9C</v>
          </cell>
          <cell r="D154" t="str">
            <v>m</v>
          </cell>
          <cell r="G154">
            <v>716</v>
          </cell>
          <cell r="H154">
            <v>1100</v>
          </cell>
          <cell r="Q154">
            <v>1100</v>
          </cell>
          <cell r="R154">
            <v>0.05</v>
          </cell>
          <cell r="S154" t="str">
            <v>저케</v>
          </cell>
          <cell r="T154">
            <v>4.4999999999999998E-2</v>
          </cell>
        </row>
        <row r="155">
          <cell r="A155">
            <v>153</v>
          </cell>
          <cell r="B155" t="str">
            <v>제어 케이블</v>
          </cell>
          <cell r="C155" t="str">
            <v>CVV  2.0sq/10C</v>
          </cell>
          <cell r="D155" t="str">
            <v>m</v>
          </cell>
          <cell r="G155">
            <v>716</v>
          </cell>
          <cell r="H155">
            <v>1262</v>
          </cell>
          <cell r="Q155">
            <v>1262</v>
          </cell>
          <cell r="R155">
            <v>0.05</v>
          </cell>
          <cell r="S155" t="str">
            <v>저케</v>
          </cell>
          <cell r="T155">
            <v>4.8000000000000001E-2</v>
          </cell>
        </row>
        <row r="156">
          <cell r="A156">
            <v>154</v>
          </cell>
          <cell r="B156" t="str">
            <v>제어 케이블</v>
          </cell>
          <cell r="C156" t="str">
            <v>CVV  2.0sq/12C</v>
          </cell>
          <cell r="D156" t="str">
            <v>m</v>
          </cell>
          <cell r="G156">
            <v>716</v>
          </cell>
          <cell r="H156">
            <v>1400</v>
          </cell>
          <cell r="Q156">
            <v>1400</v>
          </cell>
          <cell r="R156">
            <v>0.05</v>
          </cell>
          <cell r="S156" t="str">
            <v>저케</v>
          </cell>
          <cell r="T156">
            <v>5.3999999999999999E-2</v>
          </cell>
        </row>
        <row r="157">
          <cell r="A157">
            <v>155</v>
          </cell>
          <cell r="B157" t="str">
            <v>제어 케이블</v>
          </cell>
          <cell r="C157" t="str">
            <v>CVV  2.0sq/15C</v>
          </cell>
          <cell r="D157" t="str">
            <v>m</v>
          </cell>
          <cell r="G157">
            <v>716</v>
          </cell>
          <cell r="H157">
            <v>1813</v>
          </cell>
          <cell r="Q157">
            <v>1813</v>
          </cell>
          <cell r="R157">
            <v>0.05</v>
          </cell>
          <cell r="S157" t="str">
            <v>저케</v>
          </cell>
          <cell r="T157">
            <v>6.3E-2</v>
          </cell>
        </row>
        <row r="158">
          <cell r="A158">
            <v>156</v>
          </cell>
          <cell r="B158" t="str">
            <v>제어 케이블</v>
          </cell>
          <cell r="C158" t="str">
            <v>CVV  2.0sq/19C</v>
          </cell>
          <cell r="D158" t="str">
            <v>m</v>
          </cell>
          <cell r="G158">
            <v>716</v>
          </cell>
          <cell r="H158">
            <v>2049</v>
          </cell>
          <cell r="Q158">
            <v>2049</v>
          </cell>
          <cell r="R158">
            <v>0.05</v>
          </cell>
          <cell r="S158" t="str">
            <v>저케</v>
          </cell>
          <cell r="T158">
            <v>7.1999999999999995E-2</v>
          </cell>
        </row>
        <row r="159">
          <cell r="A159">
            <v>157</v>
          </cell>
          <cell r="B159" t="str">
            <v>제어 케이블</v>
          </cell>
          <cell r="C159" t="str">
            <v>CVV  2.0sq/24C</v>
          </cell>
          <cell r="D159" t="str">
            <v>m</v>
          </cell>
          <cell r="G159">
            <v>716</v>
          </cell>
          <cell r="H159">
            <v>2590</v>
          </cell>
          <cell r="Q159">
            <v>2590</v>
          </cell>
          <cell r="R159">
            <v>0.05</v>
          </cell>
          <cell r="S159" t="str">
            <v>저케</v>
          </cell>
          <cell r="T159">
            <v>8.4000000000000005E-2</v>
          </cell>
        </row>
        <row r="160">
          <cell r="A160">
            <v>158</v>
          </cell>
          <cell r="B160" t="str">
            <v>제어 케이블</v>
          </cell>
          <cell r="C160" t="str">
            <v>CVV  2.0sq/27C</v>
          </cell>
          <cell r="D160" t="str">
            <v>m</v>
          </cell>
          <cell r="G160">
            <v>716</v>
          </cell>
          <cell r="H160">
            <v>2826</v>
          </cell>
          <cell r="Q160">
            <v>2826</v>
          </cell>
          <cell r="R160">
            <v>0.05</v>
          </cell>
          <cell r="S160" t="str">
            <v>저케</v>
          </cell>
          <cell r="T160">
            <v>9.0999999999999998E-2</v>
          </cell>
        </row>
        <row r="161">
          <cell r="A161">
            <v>159</v>
          </cell>
          <cell r="B161" t="str">
            <v>제어 케이블</v>
          </cell>
          <cell r="C161" t="str">
            <v>CVV  2.0sq/30C</v>
          </cell>
          <cell r="D161" t="str">
            <v>m</v>
          </cell>
          <cell r="G161">
            <v>716</v>
          </cell>
          <cell r="H161">
            <v>3163</v>
          </cell>
          <cell r="Q161">
            <v>3163</v>
          </cell>
          <cell r="R161">
            <v>0.05</v>
          </cell>
          <cell r="S161" t="str">
            <v>저케</v>
          </cell>
          <cell r="T161">
            <v>9.8000000000000004E-2</v>
          </cell>
        </row>
        <row r="162">
          <cell r="A162">
            <v>160</v>
          </cell>
          <cell r="Q162" t="str">
            <v/>
          </cell>
        </row>
        <row r="163">
          <cell r="A163">
            <v>161</v>
          </cell>
          <cell r="B163" t="str">
            <v>제어 케이블</v>
          </cell>
          <cell r="C163" t="str">
            <v>CVV-SB  2.0sq/2C</v>
          </cell>
          <cell r="D163" t="str">
            <v>m</v>
          </cell>
          <cell r="G163">
            <v>717</v>
          </cell>
          <cell r="H163">
            <v>754</v>
          </cell>
          <cell r="Q163">
            <v>754</v>
          </cell>
          <cell r="R163">
            <v>0.05</v>
          </cell>
          <cell r="S163" t="str">
            <v>저케</v>
          </cell>
          <cell r="T163">
            <v>1.4E-2</v>
          </cell>
        </row>
        <row r="164">
          <cell r="A164">
            <v>162</v>
          </cell>
          <cell r="B164" t="str">
            <v>제어 케이블</v>
          </cell>
          <cell r="C164" t="str">
            <v>CVV-SB  2.0sq/3C</v>
          </cell>
          <cell r="D164" t="str">
            <v>m</v>
          </cell>
          <cell r="G164">
            <v>717</v>
          </cell>
          <cell r="H164">
            <v>910</v>
          </cell>
          <cell r="Q164">
            <v>910</v>
          </cell>
          <cell r="R164">
            <v>0.05</v>
          </cell>
          <cell r="S164" t="str">
            <v>저케</v>
          </cell>
          <cell r="T164">
            <v>1.9E-2</v>
          </cell>
        </row>
        <row r="165">
          <cell r="A165">
            <v>163</v>
          </cell>
          <cell r="B165" t="str">
            <v>제어 케이블</v>
          </cell>
          <cell r="C165" t="str">
            <v>CVV-SB  2.0sq/4C</v>
          </cell>
          <cell r="D165" t="str">
            <v>m</v>
          </cell>
          <cell r="G165">
            <v>717</v>
          </cell>
          <cell r="H165">
            <v>1048</v>
          </cell>
          <cell r="Q165">
            <v>1048</v>
          </cell>
          <cell r="R165">
            <v>0.05</v>
          </cell>
          <cell r="S165" t="str">
            <v>저케</v>
          </cell>
          <cell r="T165">
            <v>2.5999999999999999E-2</v>
          </cell>
        </row>
        <row r="166">
          <cell r="A166">
            <v>164</v>
          </cell>
          <cell r="B166" t="str">
            <v>제어 케이블</v>
          </cell>
          <cell r="C166" t="str">
            <v>CVV-SB  2.0sq/5C</v>
          </cell>
          <cell r="D166" t="str">
            <v>m</v>
          </cell>
          <cell r="G166">
            <v>717</v>
          </cell>
          <cell r="H166">
            <v>1143</v>
          </cell>
          <cell r="Q166">
            <v>1143</v>
          </cell>
          <cell r="R166">
            <v>0.05</v>
          </cell>
          <cell r="S166" t="str">
            <v>저케</v>
          </cell>
          <cell r="T166">
            <v>3.2000000000000001E-2</v>
          </cell>
        </row>
        <row r="167">
          <cell r="A167">
            <v>165</v>
          </cell>
          <cell r="B167" t="str">
            <v>제어 케이블</v>
          </cell>
          <cell r="C167" t="str">
            <v>CVV-SB  2.0sq/6C</v>
          </cell>
          <cell r="D167" t="str">
            <v>m</v>
          </cell>
          <cell r="G167">
            <v>717</v>
          </cell>
          <cell r="H167">
            <v>1283</v>
          </cell>
          <cell r="Q167">
            <v>1283</v>
          </cell>
          <cell r="R167">
            <v>0.05</v>
          </cell>
          <cell r="S167" t="str">
            <v>저케</v>
          </cell>
          <cell r="T167">
            <v>3.5000000000000003E-2</v>
          </cell>
        </row>
        <row r="168">
          <cell r="A168">
            <v>166</v>
          </cell>
          <cell r="B168" t="str">
            <v>제어 케이블</v>
          </cell>
          <cell r="C168" t="str">
            <v>CVV-SB  2.0sq/7C</v>
          </cell>
          <cell r="D168" t="str">
            <v>m</v>
          </cell>
          <cell r="G168">
            <v>717</v>
          </cell>
          <cell r="H168">
            <v>1363</v>
          </cell>
          <cell r="Q168">
            <v>1363</v>
          </cell>
          <cell r="R168">
            <v>0.05</v>
          </cell>
          <cell r="S168" t="str">
            <v>저케</v>
          </cell>
          <cell r="T168">
            <v>3.9E-2</v>
          </cell>
        </row>
        <row r="169">
          <cell r="A169">
            <v>167</v>
          </cell>
          <cell r="B169" t="str">
            <v>제어 케이블</v>
          </cell>
          <cell r="C169" t="str">
            <v>CVV-SB  2.0sq/9C</v>
          </cell>
          <cell r="D169" t="str">
            <v>m</v>
          </cell>
          <cell r="G169">
            <v>717</v>
          </cell>
          <cell r="H169">
            <v>1584</v>
          </cell>
          <cell r="Q169">
            <v>1584</v>
          </cell>
          <cell r="R169">
            <v>0.05</v>
          </cell>
          <cell r="S169" t="str">
            <v>저케</v>
          </cell>
          <cell r="T169">
            <v>4.4999999999999998E-2</v>
          </cell>
        </row>
        <row r="170">
          <cell r="A170">
            <v>168</v>
          </cell>
          <cell r="B170" t="str">
            <v>제어 케이블</v>
          </cell>
          <cell r="C170" t="str">
            <v>CVV-SB  2.0sq/10C</v>
          </cell>
          <cell r="D170" t="str">
            <v>m</v>
          </cell>
          <cell r="G170">
            <v>717</v>
          </cell>
          <cell r="H170">
            <v>1734</v>
          </cell>
          <cell r="Q170">
            <v>1734</v>
          </cell>
          <cell r="R170">
            <v>0.05</v>
          </cell>
          <cell r="S170" t="str">
            <v>저케</v>
          </cell>
          <cell r="T170">
            <v>4.8000000000000001E-2</v>
          </cell>
        </row>
        <row r="171">
          <cell r="A171">
            <v>169</v>
          </cell>
          <cell r="B171" t="str">
            <v>제어 케이블</v>
          </cell>
          <cell r="C171" t="str">
            <v>CVV-SB  2.0sq/12C</v>
          </cell>
          <cell r="D171" t="str">
            <v>m</v>
          </cell>
          <cell r="G171">
            <v>717</v>
          </cell>
          <cell r="H171">
            <v>1899</v>
          </cell>
          <cell r="Q171">
            <v>1899</v>
          </cell>
          <cell r="R171">
            <v>0.05</v>
          </cell>
          <cell r="S171" t="str">
            <v>저케</v>
          </cell>
          <cell r="T171">
            <v>5.3999999999999999E-2</v>
          </cell>
        </row>
        <row r="172">
          <cell r="A172">
            <v>170</v>
          </cell>
          <cell r="B172" t="str">
            <v>제어 케이블</v>
          </cell>
          <cell r="C172" t="str">
            <v>CVV-SB  2.0sq/15C</v>
          </cell>
          <cell r="D172" t="str">
            <v>m</v>
          </cell>
          <cell r="G172">
            <v>717</v>
          </cell>
          <cell r="H172">
            <v>2278</v>
          </cell>
          <cell r="Q172">
            <v>2278</v>
          </cell>
          <cell r="R172">
            <v>0.05</v>
          </cell>
          <cell r="S172" t="str">
            <v>저케</v>
          </cell>
          <cell r="T172">
            <v>6.3E-2</v>
          </cell>
        </row>
        <row r="173">
          <cell r="A173">
            <v>171</v>
          </cell>
          <cell r="B173" t="str">
            <v>제어 케이블</v>
          </cell>
          <cell r="C173" t="str">
            <v>CVV-SB  2.0sq/17C</v>
          </cell>
          <cell r="D173" t="str">
            <v>m</v>
          </cell>
          <cell r="G173">
            <v>717</v>
          </cell>
          <cell r="H173">
            <v>2502</v>
          </cell>
          <cell r="Q173">
            <v>2502</v>
          </cell>
          <cell r="R173">
            <v>0.05</v>
          </cell>
          <cell r="S173" t="str">
            <v>저케</v>
          </cell>
          <cell r="T173">
            <v>6.9000000000000006E-2</v>
          </cell>
        </row>
        <row r="174">
          <cell r="A174">
            <v>172</v>
          </cell>
          <cell r="B174" t="str">
            <v>제어 케이블</v>
          </cell>
          <cell r="C174" t="str">
            <v>CVV-SB  2.0sq/19C</v>
          </cell>
          <cell r="D174" t="str">
            <v>m</v>
          </cell>
          <cell r="G174">
            <v>717</v>
          </cell>
          <cell r="H174">
            <v>2643</v>
          </cell>
          <cell r="Q174">
            <v>2643</v>
          </cell>
          <cell r="R174">
            <v>0.05</v>
          </cell>
          <cell r="S174" t="str">
            <v>저케</v>
          </cell>
          <cell r="T174">
            <v>7.1999999999999995E-2</v>
          </cell>
        </row>
        <row r="175">
          <cell r="A175">
            <v>173</v>
          </cell>
          <cell r="B175" t="str">
            <v>제어 케이블</v>
          </cell>
          <cell r="C175" t="str">
            <v>CVV-SB  2.0sq/22C</v>
          </cell>
          <cell r="D175" t="str">
            <v>m</v>
          </cell>
          <cell r="G175">
            <v>717</v>
          </cell>
          <cell r="H175">
            <v>3171</v>
          </cell>
          <cell r="Q175">
            <v>3171</v>
          </cell>
          <cell r="R175">
            <v>0.05</v>
          </cell>
          <cell r="S175" t="str">
            <v>저케</v>
          </cell>
          <cell r="T175">
            <v>7.9000000000000001E-2</v>
          </cell>
        </row>
        <row r="176">
          <cell r="A176">
            <v>174</v>
          </cell>
          <cell r="B176" t="str">
            <v>제어 케이블</v>
          </cell>
          <cell r="C176" t="str">
            <v>CVV-SB  2.0sq/24C</v>
          </cell>
          <cell r="D176" t="str">
            <v>m</v>
          </cell>
          <cell r="G176">
            <v>717</v>
          </cell>
          <cell r="H176">
            <v>3150</v>
          </cell>
          <cell r="Q176">
            <v>3150</v>
          </cell>
          <cell r="R176">
            <v>0.05</v>
          </cell>
          <cell r="S176" t="str">
            <v>저케</v>
          </cell>
          <cell r="T176">
            <v>8.4000000000000005E-2</v>
          </cell>
        </row>
        <row r="177">
          <cell r="A177">
            <v>175</v>
          </cell>
          <cell r="B177" t="str">
            <v>제어 케이블</v>
          </cell>
          <cell r="C177" t="str">
            <v>CVV-SB  2.0sq/29C</v>
          </cell>
          <cell r="D177" t="str">
            <v>m</v>
          </cell>
          <cell r="G177">
            <v>717</v>
          </cell>
          <cell r="H177">
            <v>3452</v>
          </cell>
          <cell r="Q177">
            <v>3452</v>
          </cell>
          <cell r="R177">
            <v>0.05</v>
          </cell>
          <cell r="S177" t="str">
            <v>저케</v>
          </cell>
          <cell r="T177">
            <v>9.5000000000000001E-2</v>
          </cell>
        </row>
        <row r="178">
          <cell r="A178">
            <v>176</v>
          </cell>
          <cell r="B178" t="str">
            <v>제어 케이블</v>
          </cell>
          <cell r="C178" t="str">
            <v>CVV-SB  2.0sq/30C</v>
          </cell>
          <cell r="D178" t="str">
            <v>m</v>
          </cell>
          <cell r="G178">
            <v>717</v>
          </cell>
          <cell r="H178">
            <v>3695</v>
          </cell>
          <cell r="Q178">
            <v>3695</v>
          </cell>
          <cell r="R178">
            <v>0.05</v>
          </cell>
          <cell r="S178" t="str">
            <v>저케</v>
          </cell>
          <cell r="T178">
            <v>9.8000000000000004E-2</v>
          </cell>
        </row>
        <row r="179">
          <cell r="A179">
            <v>177</v>
          </cell>
          <cell r="Q179" t="str">
            <v/>
          </cell>
        </row>
        <row r="180">
          <cell r="A180">
            <v>178</v>
          </cell>
          <cell r="B180" t="str">
            <v>통신 케이블</v>
          </cell>
          <cell r="C180" t="str">
            <v>CPEV 0.65/5P</v>
          </cell>
          <cell r="D180" t="str">
            <v>m</v>
          </cell>
          <cell r="G180">
            <v>730</v>
          </cell>
          <cell r="H180">
            <v>568</v>
          </cell>
          <cell r="Q180">
            <v>568</v>
          </cell>
          <cell r="R180">
            <v>0.05</v>
          </cell>
          <cell r="S180" t="str">
            <v>통케</v>
          </cell>
          <cell r="T180">
            <v>1.7999999999999999E-2</v>
          </cell>
          <cell r="Y180" t="str">
            <v>2열동시180%</v>
          </cell>
        </row>
        <row r="181">
          <cell r="A181">
            <v>179</v>
          </cell>
          <cell r="B181" t="str">
            <v>통신 케이블</v>
          </cell>
          <cell r="C181" t="str">
            <v>CPEV 0.65/10P</v>
          </cell>
          <cell r="D181" t="str">
            <v>m</v>
          </cell>
          <cell r="G181">
            <v>730</v>
          </cell>
          <cell r="H181">
            <v>713</v>
          </cell>
          <cell r="Q181">
            <v>713</v>
          </cell>
          <cell r="R181">
            <v>0.05</v>
          </cell>
          <cell r="S181" t="str">
            <v>통케</v>
          </cell>
          <cell r="T181">
            <v>1.7999999999999999E-2</v>
          </cell>
          <cell r="Y181" t="str">
            <v>3열동시240%</v>
          </cell>
        </row>
        <row r="182">
          <cell r="A182">
            <v>180</v>
          </cell>
          <cell r="B182" t="str">
            <v>통신 케이블</v>
          </cell>
          <cell r="C182" t="str">
            <v>CPEV 0.65/20P</v>
          </cell>
          <cell r="D182" t="str">
            <v>m</v>
          </cell>
          <cell r="G182">
            <v>730</v>
          </cell>
          <cell r="H182">
            <v>1053</v>
          </cell>
          <cell r="Q182">
            <v>1053</v>
          </cell>
          <cell r="R182">
            <v>0.05</v>
          </cell>
          <cell r="S182" t="str">
            <v>통케</v>
          </cell>
          <cell r="T182">
            <v>2.1999999999999999E-2</v>
          </cell>
          <cell r="Y182" t="str">
            <v>4열동시320%</v>
          </cell>
        </row>
        <row r="183">
          <cell r="A183">
            <v>181</v>
          </cell>
          <cell r="B183" t="str">
            <v>통신 케이블</v>
          </cell>
          <cell r="C183" t="str">
            <v>CPEV 0.65/30P</v>
          </cell>
          <cell r="D183" t="str">
            <v>m</v>
          </cell>
          <cell r="G183">
            <v>730</v>
          </cell>
          <cell r="H183">
            <v>1432</v>
          </cell>
          <cell r="Q183">
            <v>1432</v>
          </cell>
          <cell r="R183">
            <v>0.05</v>
          </cell>
          <cell r="S183" t="str">
            <v>통케</v>
          </cell>
          <cell r="T183">
            <v>2.3E-2</v>
          </cell>
        </row>
        <row r="184">
          <cell r="A184">
            <v>182</v>
          </cell>
          <cell r="Q184" t="str">
            <v/>
          </cell>
        </row>
        <row r="185">
          <cell r="A185">
            <v>183</v>
          </cell>
          <cell r="Q185" t="str">
            <v/>
          </cell>
        </row>
        <row r="186">
          <cell r="A186">
            <v>184</v>
          </cell>
          <cell r="B186" t="str">
            <v>동축 케이블</v>
          </cell>
          <cell r="C186" t="str">
            <v>ECX  5C-2V</v>
          </cell>
          <cell r="D186" t="str">
            <v>m</v>
          </cell>
          <cell r="G186">
            <v>730</v>
          </cell>
          <cell r="H186">
            <v>386</v>
          </cell>
          <cell r="Q186">
            <v>386</v>
          </cell>
          <cell r="R186">
            <v>0.05</v>
          </cell>
          <cell r="S186" t="str">
            <v>통설</v>
          </cell>
          <cell r="T186">
            <v>1.7999999999999999E-2</v>
          </cell>
        </row>
        <row r="187">
          <cell r="A187">
            <v>185</v>
          </cell>
          <cell r="B187" t="str">
            <v>동축 케이블</v>
          </cell>
          <cell r="C187" t="str">
            <v>ECX  7C-2V</v>
          </cell>
          <cell r="D187" t="str">
            <v>m</v>
          </cell>
          <cell r="G187">
            <v>730</v>
          </cell>
          <cell r="H187">
            <v>698</v>
          </cell>
          <cell r="Q187">
            <v>698</v>
          </cell>
          <cell r="R187">
            <v>0.05</v>
          </cell>
          <cell r="S187" t="str">
            <v>통설</v>
          </cell>
          <cell r="T187">
            <v>2.1999999999999999E-2</v>
          </cell>
        </row>
        <row r="188">
          <cell r="A188">
            <v>186</v>
          </cell>
          <cell r="B188" t="str">
            <v>동축 케이블</v>
          </cell>
          <cell r="C188" t="str">
            <v>ECX 10C-2V</v>
          </cell>
          <cell r="D188" t="str">
            <v>m</v>
          </cell>
          <cell r="G188">
            <v>730</v>
          </cell>
          <cell r="H188">
            <v>1432</v>
          </cell>
          <cell r="Q188">
            <v>1432</v>
          </cell>
          <cell r="R188">
            <v>0.05</v>
          </cell>
          <cell r="S188" t="str">
            <v>통설</v>
          </cell>
          <cell r="T188">
            <v>3.2000000000000001E-2</v>
          </cell>
        </row>
        <row r="189">
          <cell r="A189">
            <v>187</v>
          </cell>
          <cell r="Q189" t="str">
            <v/>
          </cell>
        </row>
        <row r="190">
          <cell r="A190">
            <v>188</v>
          </cell>
          <cell r="B190" t="str">
            <v>22.9KV 전력케이블</v>
          </cell>
          <cell r="C190" t="str">
            <v>CV/CN 60sq/1C</v>
          </cell>
          <cell r="D190" t="str">
            <v>m</v>
          </cell>
          <cell r="G190">
            <v>720</v>
          </cell>
          <cell r="H190">
            <v>7834</v>
          </cell>
          <cell r="Q190">
            <v>7834</v>
          </cell>
          <cell r="R190">
            <v>0.05</v>
          </cell>
          <cell r="S190" t="str">
            <v>특케</v>
          </cell>
          <cell r="T190">
            <v>8.09E-2</v>
          </cell>
          <cell r="Y190" t="str">
            <v>2심:140%</v>
          </cell>
        </row>
        <row r="191">
          <cell r="A191">
            <v>189</v>
          </cell>
          <cell r="B191" t="str">
            <v>22.9KV 전력케이블</v>
          </cell>
          <cell r="C191" t="str">
            <v>CV/CN 100sq/1C</v>
          </cell>
          <cell r="D191" t="str">
            <v>m</v>
          </cell>
          <cell r="G191">
            <v>720</v>
          </cell>
          <cell r="H191">
            <v>9219</v>
          </cell>
          <cell r="Q191">
            <v>9219</v>
          </cell>
          <cell r="R191">
            <v>0.05</v>
          </cell>
          <cell r="S191" t="str">
            <v>특케</v>
          </cell>
          <cell r="T191">
            <v>0.1172</v>
          </cell>
          <cell r="Y191" t="str">
            <v>3심:200%</v>
          </cell>
        </row>
        <row r="192">
          <cell r="A192">
            <v>190</v>
          </cell>
          <cell r="Q192" t="str">
            <v/>
          </cell>
          <cell r="Y192" t="str">
            <v>4심:260%</v>
          </cell>
        </row>
        <row r="193">
          <cell r="A193">
            <v>191</v>
          </cell>
          <cell r="Q193" t="str">
            <v/>
          </cell>
        </row>
        <row r="194">
          <cell r="A194">
            <v>192</v>
          </cell>
          <cell r="Q194" t="str">
            <v/>
          </cell>
        </row>
        <row r="195">
          <cell r="A195">
            <v>193</v>
          </cell>
          <cell r="B195" t="str">
            <v>케이블 헤드 60sq</v>
          </cell>
          <cell r="C195" t="str">
            <v>23KV/1C  1단말/KIT</v>
          </cell>
          <cell r="D195" t="str">
            <v>EA</v>
          </cell>
          <cell r="G195">
            <v>736</v>
          </cell>
          <cell r="H195">
            <v>67400</v>
          </cell>
          <cell r="Q195">
            <v>67400</v>
          </cell>
          <cell r="R195">
            <v>0.05</v>
          </cell>
          <cell r="S195" t="str">
            <v>특케</v>
          </cell>
          <cell r="T195">
            <v>1.05</v>
          </cell>
        </row>
        <row r="196">
          <cell r="A196">
            <v>194</v>
          </cell>
          <cell r="B196" t="str">
            <v>케이블 헤드 100sq</v>
          </cell>
          <cell r="C196" t="str">
            <v>23KV/1C  1단말/KIT</v>
          </cell>
          <cell r="D196" t="str">
            <v>EA</v>
          </cell>
          <cell r="G196">
            <v>736</v>
          </cell>
          <cell r="H196">
            <v>89500</v>
          </cell>
          <cell r="Q196">
            <v>89500</v>
          </cell>
          <cell r="R196">
            <v>0.05</v>
          </cell>
          <cell r="S196" t="str">
            <v>특케</v>
          </cell>
          <cell r="T196">
            <v>1.2</v>
          </cell>
        </row>
        <row r="197">
          <cell r="A197">
            <v>195</v>
          </cell>
          <cell r="Q197" t="str">
            <v/>
          </cell>
        </row>
        <row r="198">
          <cell r="A198">
            <v>196</v>
          </cell>
          <cell r="Q198" t="str">
            <v/>
          </cell>
        </row>
        <row r="199">
          <cell r="A199">
            <v>197</v>
          </cell>
          <cell r="Q199" t="str">
            <v/>
          </cell>
        </row>
        <row r="200">
          <cell r="A200">
            <v>198</v>
          </cell>
          <cell r="B200" t="str">
            <v>고압케이블</v>
          </cell>
          <cell r="C200" t="str">
            <v>3.3KV CV8sq/1C</v>
          </cell>
          <cell r="D200" t="str">
            <v>m</v>
          </cell>
          <cell r="G200">
            <v>719</v>
          </cell>
          <cell r="H200">
            <v>1182</v>
          </cell>
          <cell r="Q200">
            <v>1182</v>
          </cell>
          <cell r="R200">
            <v>0.05</v>
          </cell>
          <cell r="S200" t="str">
            <v>고케</v>
          </cell>
          <cell r="T200">
            <v>1.5400000000000002E-2</v>
          </cell>
        </row>
        <row r="201">
          <cell r="A201">
            <v>199</v>
          </cell>
          <cell r="B201" t="str">
            <v>고압케이블</v>
          </cell>
          <cell r="C201" t="str">
            <v>3.3KV CV14sq/1C</v>
          </cell>
          <cell r="D201" t="str">
            <v>m</v>
          </cell>
          <cell r="G201">
            <v>719</v>
          </cell>
          <cell r="H201">
            <v>1515</v>
          </cell>
          <cell r="Q201">
            <v>1515</v>
          </cell>
          <cell r="R201">
            <v>0.05</v>
          </cell>
          <cell r="S201" t="str">
            <v>고케</v>
          </cell>
          <cell r="T201">
            <v>2.2000000000000002E-2</v>
          </cell>
        </row>
        <row r="202">
          <cell r="A202">
            <v>200</v>
          </cell>
          <cell r="B202" t="str">
            <v>고압케이블</v>
          </cell>
          <cell r="C202" t="str">
            <v>3.3KV CV22sq/1C</v>
          </cell>
          <cell r="D202" t="str">
            <v>m</v>
          </cell>
          <cell r="G202">
            <v>719</v>
          </cell>
          <cell r="H202">
            <v>1825</v>
          </cell>
          <cell r="Q202">
            <v>1825</v>
          </cell>
          <cell r="R202">
            <v>0.05</v>
          </cell>
          <cell r="S202" t="str">
            <v>고케</v>
          </cell>
          <cell r="T202">
            <v>2.86E-2</v>
          </cell>
        </row>
        <row r="203">
          <cell r="A203">
            <v>201</v>
          </cell>
          <cell r="B203" t="str">
            <v>고압케이블</v>
          </cell>
          <cell r="C203" t="str">
            <v>3.3KV CV30sq/1C</v>
          </cell>
          <cell r="D203" t="str">
            <v>m</v>
          </cell>
          <cell r="G203">
            <v>719</v>
          </cell>
          <cell r="H203">
            <v>2201</v>
          </cell>
          <cell r="Q203">
            <v>2201</v>
          </cell>
          <cell r="R203">
            <v>0.05</v>
          </cell>
          <cell r="S203" t="str">
            <v>고케</v>
          </cell>
          <cell r="T203">
            <v>3.3000000000000002E-2</v>
          </cell>
        </row>
        <row r="204">
          <cell r="A204">
            <v>202</v>
          </cell>
          <cell r="B204" t="str">
            <v>고압케이블</v>
          </cell>
          <cell r="C204" t="str">
            <v>3.3KV CV38sq/1C</v>
          </cell>
          <cell r="D204" t="str">
            <v>m</v>
          </cell>
          <cell r="G204">
            <v>719</v>
          </cell>
          <cell r="H204">
            <v>2647</v>
          </cell>
          <cell r="Q204">
            <v>2647</v>
          </cell>
          <cell r="R204">
            <v>0.05</v>
          </cell>
          <cell r="S204" t="str">
            <v>고케</v>
          </cell>
          <cell r="T204">
            <v>3.9600000000000003E-2</v>
          </cell>
        </row>
        <row r="205">
          <cell r="A205">
            <v>203</v>
          </cell>
          <cell r="B205" t="str">
            <v>고압케이블</v>
          </cell>
          <cell r="C205" t="str">
            <v>3.3KV CV50sq/1C</v>
          </cell>
          <cell r="D205" t="str">
            <v>m</v>
          </cell>
          <cell r="G205">
            <v>719</v>
          </cell>
          <cell r="H205">
            <v>3260</v>
          </cell>
          <cell r="Q205">
            <v>3260</v>
          </cell>
          <cell r="R205">
            <v>0.05</v>
          </cell>
          <cell r="S205" t="str">
            <v>고케</v>
          </cell>
          <cell r="T205">
            <v>4.7300000000000002E-2</v>
          </cell>
        </row>
        <row r="206">
          <cell r="A206">
            <v>204</v>
          </cell>
          <cell r="B206" t="str">
            <v>고압케이블</v>
          </cell>
          <cell r="C206" t="str">
            <v>3.3KV CV60sq/1C</v>
          </cell>
          <cell r="D206" t="str">
            <v>m</v>
          </cell>
          <cell r="G206">
            <v>719</v>
          </cell>
          <cell r="H206">
            <v>3953</v>
          </cell>
          <cell r="Q206">
            <v>3953</v>
          </cell>
          <cell r="R206">
            <v>0.05</v>
          </cell>
          <cell r="S206" t="str">
            <v>고케</v>
          </cell>
          <cell r="T206">
            <v>5.3900000000000003E-2</v>
          </cell>
        </row>
        <row r="207">
          <cell r="A207">
            <v>205</v>
          </cell>
          <cell r="B207" t="str">
            <v>고압케이블</v>
          </cell>
          <cell r="C207" t="str">
            <v>3.3KV CV80sq/1C</v>
          </cell>
          <cell r="D207" t="str">
            <v>m</v>
          </cell>
          <cell r="G207">
            <v>719</v>
          </cell>
          <cell r="H207">
            <v>4347</v>
          </cell>
          <cell r="Q207">
            <v>4347</v>
          </cell>
          <cell r="R207">
            <v>0.05</v>
          </cell>
          <cell r="S207" t="str">
            <v>고케</v>
          </cell>
          <cell r="T207">
            <v>6.6000000000000003E-2</v>
          </cell>
        </row>
        <row r="208">
          <cell r="A208">
            <v>206</v>
          </cell>
          <cell r="B208" t="str">
            <v>고압케이블</v>
          </cell>
          <cell r="C208" t="str">
            <v>3.3KV CV100sq/1C</v>
          </cell>
          <cell r="D208" t="str">
            <v>m</v>
          </cell>
          <cell r="G208">
            <v>719</v>
          </cell>
          <cell r="H208">
            <v>5188</v>
          </cell>
          <cell r="Q208">
            <v>5188</v>
          </cell>
          <cell r="R208">
            <v>0.05</v>
          </cell>
          <cell r="S208" t="str">
            <v>고케</v>
          </cell>
          <cell r="T208">
            <v>7.8100000000000003E-2</v>
          </cell>
        </row>
        <row r="209">
          <cell r="A209">
            <v>207</v>
          </cell>
          <cell r="B209" t="str">
            <v>고압케이블</v>
          </cell>
          <cell r="C209" t="str">
            <v>3.3KV CV125sq/1C</v>
          </cell>
          <cell r="D209" t="str">
            <v>m</v>
          </cell>
          <cell r="G209">
            <v>719</v>
          </cell>
          <cell r="H209">
            <v>7110</v>
          </cell>
          <cell r="Q209">
            <v>7110</v>
          </cell>
          <cell r="R209">
            <v>0.05</v>
          </cell>
          <cell r="S209" t="str">
            <v>고케</v>
          </cell>
          <cell r="T209">
            <v>9.240000000000001E-2</v>
          </cell>
        </row>
        <row r="210">
          <cell r="A210">
            <v>208</v>
          </cell>
          <cell r="B210" t="str">
            <v>고압케이블</v>
          </cell>
          <cell r="C210" t="str">
            <v>3.3KV CV150sq/1C</v>
          </cell>
          <cell r="D210" t="str">
            <v>m</v>
          </cell>
          <cell r="G210">
            <v>719</v>
          </cell>
          <cell r="H210">
            <v>8415</v>
          </cell>
          <cell r="Q210">
            <v>8415</v>
          </cell>
          <cell r="R210">
            <v>0.05</v>
          </cell>
          <cell r="S210" t="str">
            <v>고케</v>
          </cell>
          <cell r="T210">
            <v>0.10670000000000002</v>
          </cell>
        </row>
        <row r="211">
          <cell r="A211">
            <v>209</v>
          </cell>
          <cell r="B211" t="str">
            <v>고압케이블</v>
          </cell>
          <cell r="C211" t="str">
            <v>3.3KV CV200sq/1C</v>
          </cell>
          <cell r="D211" t="str">
            <v>m</v>
          </cell>
          <cell r="G211">
            <v>719</v>
          </cell>
          <cell r="H211">
            <v>11412</v>
          </cell>
          <cell r="Q211">
            <v>11412</v>
          </cell>
          <cell r="R211">
            <v>0.05</v>
          </cell>
          <cell r="S211" t="str">
            <v>고케</v>
          </cell>
          <cell r="T211">
            <v>0.12870000000000001</v>
          </cell>
        </row>
        <row r="212">
          <cell r="A212">
            <v>210</v>
          </cell>
          <cell r="B212" t="str">
            <v>고압케이블</v>
          </cell>
          <cell r="C212" t="str">
            <v>3.3KV CV250sq/1C</v>
          </cell>
          <cell r="D212" t="str">
            <v>m</v>
          </cell>
          <cell r="G212">
            <v>719</v>
          </cell>
          <cell r="H212">
            <v>13970</v>
          </cell>
          <cell r="Q212">
            <v>13970</v>
          </cell>
          <cell r="R212">
            <v>0.05</v>
          </cell>
          <cell r="S212" t="str">
            <v>고케</v>
          </cell>
          <cell r="T212">
            <v>0.15620000000000001</v>
          </cell>
        </row>
        <row r="213">
          <cell r="A213">
            <v>211</v>
          </cell>
          <cell r="Q213" t="str">
            <v/>
          </cell>
        </row>
        <row r="214">
          <cell r="A214">
            <v>212</v>
          </cell>
          <cell r="Q214" t="str">
            <v/>
          </cell>
        </row>
        <row r="215">
          <cell r="A215">
            <v>213</v>
          </cell>
          <cell r="Q215" t="str">
            <v/>
          </cell>
        </row>
        <row r="216">
          <cell r="A216">
            <v>214</v>
          </cell>
          <cell r="B216" t="str">
            <v>케이블 헤드 8sq</v>
          </cell>
          <cell r="C216" t="str">
            <v>6.6KV/1C  1단말/KIT</v>
          </cell>
          <cell r="D216" t="str">
            <v>EA</v>
          </cell>
          <cell r="Q216">
            <v>0</v>
          </cell>
          <cell r="S216" t="str">
            <v>고케</v>
          </cell>
          <cell r="T216">
            <v>0.34</v>
          </cell>
        </row>
        <row r="217">
          <cell r="A217">
            <v>215</v>
          </cell>
          <cell r="B217" t="str">
            <v>케이블 헤드 14sq</v>
          </cell>
          <cell r="C217" t="str">
            <v>6.6KV/1C  1단말/KIT</v>
          </cell>
          <cell r="D217" t="str">
            <v>EA</v>
          </cell>
          <cell r="Q217">
            <v>0</v>
          </cell>
          <cell r="S217" t="str">
            <v>고케</v>
          </cell>
          <cell r="T217">
            <v>0.36</v>
          </cell>
        </row>
        <row r="218">
          <cell r="A218">
            <v>216</v>
          </cell>
          <cell r="B218" t="str">
            <v>케이블 헤드 22sq</v>
          </cell>
          <cell r="C218" t="str">
            <v>6.6KV/1C  1단말/KIT</v>
          </cell>
          <cell r="D218" t="str">
            <v>EA</v>
          </cell>
          <cell r="G218">
            <v>738</v>
          </cell>
          <cell r="H218">
            <v>22640</v>
          </cell>
          <cell r="Q218">
            <v>22640</v>
          </cell>
          <cell r="S218" t="str">
            <v>고케</v>
          </cell>
          <cell r="T218">
            <v>0.46</v>
          </cell>
        </row>
        <row r="219">
          <cell r="A219">
            <v>217</v>
          </cell>
          <cell r="B219" t="str">
            <v>케이블 헤드 30sq</v>
          </cell>
          <cell r="C219" t="str">
            <v>6.6KV/1C  1단말/KIT</v>
          </cell>
          <cell r="D219" t="str">
            <v>EA</v>
          </cell>
          <cell r="Q219">
            <v>0</v>
          </cell>
          <cell r="S219" t="str">
            <v>고케</v>
          </cell>
          <cell r="T219">
            <v>0.52</v>
          </cell>
        </row>
        <row r="220">
          <cell r="A220">
            <v>218</v>
          </cell>
          <cell r="B220" t="str">
            <v>케이블 헤드 38sq</v>
          </cell>
          <cell r="C220" t="str">
            <v>6.6KV/1C  1단말/KIT</v>
          </cell>
          <cell r="D220" t="str">
            <v>EA</v>
          </cell>
          <cell r="G220">
            <v>738</v>
          </cell>
          <cell r="H220">
            <v>22800</v>
          </cell>
          <cell r="Q220">
            <v>22800</v>
          </cell>
          <cell r="S220" t="str">
            <v>고케</v>
          </cell>
          <cell r="T220">
            <v>0.55000000000000004</v>
          </cell>
        </row>
        <row r="221">
          <cell r="A221">
            <v>219</v>
          </cell>
          <cell r="B221" t="str">
            <v>케이블 헤드 50sq</v>
          </cell>
          <cell r="C221" t="str">
            <v>6.6KV/1C  1단말/KIT</v>
          </cell>
          <cell r="D221" t="str">
            <v>EA</v>
          </cell>
          <cell r="Q221">
            <v>0</v>
          </cell>
          <cell r="S221" t="str">
            <v>고케</v>
          </cell>
          <cell r="T221">
            <v>0.6</v>
          </cell>
        </row>
        <row r="222">
          <cell r="A222">
            <v>220</v>
          </cell>
          <cell r="B222" t="str">
            <v>케이블 헤드 60sq</v>
          </cell>
          <cell r="C222" t="str">
            <v>6.6KV/1C  1단말/KIT</v>
          </cell>
          <cell r="D222" t="str">
            <v>EA</v>
          </cell>
          <cell r="G222">
            <v>738</v>
          </cell>
          <cell r="H222">
            <v>26000</v>
          </cell>
          <cell r="Q222">
            <v>26000</v>
          </cell>
          <cell r="S222" t="str">
            <v>고케</v>
          </cell>
          <cell r="T222">
            <v>0.67</v>
          </cell>
        </row>
        <row r="223">
          <cell r="A223">
            <v>221</v>
          </cell>
          <cell r="B223" t="str">
            <v>케이블 헤드 80sq</v>
          </cell>
          <cell r="C223" t="str">
            <v>6.6KV/1C  1단말/KIT</v>
          </cell>
          <cell r="D223" t="str">
            <v>EA</v>
          </cell>
          <cell r="Q223">
            <v>0</v>
          </cell>
          <cell r="S223" t="str">
            <v>고케</v>
          </cell>
          <cell r="T223">
            <v>0.72</v>
          </cell>
        </row>
        <row r="224">
          <cell r="A224">
            <v>222</v>
          </cell>
          <cell r="B224" t="str">
            <v>케이블 헤드 100sq</v>
          </cell>
          <cell r="C224" t="str">
            <v>6.6KV/1C  1단말/KIT</v>
          </cell>
          <cell r="D224" t="str">
            <v>EA</v>
          </cell>
          <cell r="G224">
            <v>738</v>
          </cell>
          <cell r="H224">
            <v>26700</v>
          </cell>
          <cell r="Q224">
            <v>26700</v>
          </cell>
          <cell r="S224" t="str">
            <v>고케</v>
          </cell>
          <cell r="T224">
            <v>0.76</v>
          </cell>
        </row>
        <row r="225">
          <cell r="A225">
            <v>223</v>
          </cell>
          <cell r="B225" t="str">
            <v>케이블 헤드 125sq</v>
          </cell>
          <cell r="C225" t="str">
            <v>6.6KV/1C  1단말/KIT</v>
          </cell>
          <cell r="D225" t="str">
            <v>EA</v>
          </cell>
          <cell r="Q225">
            <v>0</v>
          </cell>
          <cell r="S225" t="str">
            <v>고케</v>
          </cell>
          <cell r="T225">
            <v>0.85</v>
          </cell>
        </row>
        <row r="226">
          <cell r="A226">
            <v>224</v>
          </cell>
          <cell r="B226" t="str">
            <v>케이블 헤드 150sq</v>
          </cell>
          <cell r="C226" t="str">
            <v>6.6KV/1C  1단말/KIT</v>
          </cell>
          <cell r="D226" t="str">
            <v>EA</v>
          </cell>
          <cell r="G226">
            <v>738</v>
          </cell>
          <cell r="H226">
            <v>31800</v>
          </cell>
          <cell r="Q226">
            <v>31800</v>
          </cell>
          <cell r="S226" t="str">
            <v>고케</v>
          </cell>
          <cell r="T226">
            <v>0.95</v>
          </cell>
        </row>
        <row r="227">
          <cell r="A227">
            <v>225</v>
          </cell>
          <cell r="B227" t="str">
            <v>케이블 헤드 200sq</v>
          </cell>
          <cell r="C227" t="str">
            <v>6.6KV/1C  1단말/KIT</v>
          </cell>
          <cell r="D227" t="str">
            <v>EA</v>
          </cell>
          <cell r="G227">
            <v>738</v>
          </cell>
          <cell r="H227">
            <v>32600</v>
          </cell>
          <cell r="Q227">
            <v>32600</v>
          </cell>
          <cell r="S227" t="str">
            <v>고케</v>
          </cell>
          <cell r="T227">
            <v>1.03</v>
          </cell>
        </row>
        <row r="228">
          <cell r="A228">
            <v>226</v>
          </cell>
          <cell r="B228" t="str">
            <v>케이블 헤드 250sq</v>
          </cell>
          <cell r="C228" t="str">
            <v>6.6KV/1C  1단말/KIT</v>
          </cell>
          <cell r="D228" t="str">
            <v>EA</v>
          </cell>
          <cell r="G228">
            <v>738</v>
          </cell>
          <cell r="H228">
            <v>33400</v>
          </cell>
          <cell r="Q228">
            <v>33400</v>
          </cell>
          <cell r="S228" t="str">
            <v>고케</v>
          </cell>
          <cell r="T228">
            <v>1.18</v>
          </cell>
        </row>
        <row r="229">
          <cell r="A229">
            <v>227</v>
          </cell>
          <cell r="Q229" t="str">
            <v/>
          </cell>
        </row>
        <row r="230">
          <cell r="A230">
            <v>228</v>
          </cell>
          <cell r="Q230" t="str">
            <v/>
          </cell>
        </row>
        <row r="231">
          <cell r="A231">
            <v>229</v>
          </cell>
          <cell r="B231" t="str">
            <v>케이블헤드 지지금구</v>
          </cell>
          <cell r="C231" t="str">
            <v>상,하부용</v>
          </cell>
          <cell r="D231" t="str">
            <v>조</v>
          </cell>
          <cell r="G231">
            <v>828</v>
          </cell>
          <cell r="H231">
            <v>42000</v>
          </cell>
          <cell r="Q231">
            <v>42000</v>
          </cell>
          <cell r="U231" t="str">
            <v>배전</v>
          </cell>
          <cell r="V231">
            <v>0.45</v>
          </cell>
          <cell r="W231" t="str">
            <v>보인</v>
          </cell>
          <cell r="X231">
            <v>0.23</v>
          </cell>
        </row>
        <row r="232">
          <cell r="A232">
            <v>230</v>
          </cell>
          <cell r="B232" t="str">
            <v>전주용 입상관</v>
          </cell>
          <cell r="C232" t="str">
            <v>φ130×2m</v>
          </cell>
          <cell r="D232" t="str">
            <v>EA</v>
          </cell>
          <cell r="G232">
            <v>828</v>
          </cell>
          <cell r="H232">
            <v>17000</v>
          </cell>
          <cell r="Q232">
            <v>17000</v>
          </cell>
          <cell r="U232" t="str">
            <v>배전</v>
          </cell>
          <cell r="V232">
            <v>0.46</v>
          </cell>
          <cell r="W232" t="str">
            <v>보인</v>
          </cell>
          <cell r="X232">
            <v>0.17</v>
          </cell>
        </row>
        <row r="233">
          <cell r="A233">
            <v>231</v>
          </cell>
          <cell r="B233" t="str">
            <v>반경철관</v>
          </cell>
          <cell r="C233" t="str">
            <v>80×2×2400</v>
          </cell>
          <cell r="D233" t="str">
            <v>EA</v>
          </cell>
          <cell r="G233">
            <v>827</v>
          </cell>
          <cell r="H233">
            <v>9800</v>
          </cell>
          <cell r="Q233">
            <v>9800</v>
          </cell>
          <cell r="U233" t="str">
            <v>배관</v>
          </cell>
          <cell r="V233">
            <v>0.122</v>
          </cell>
        </row>
        <row r="234">
          <cell r="A234">
            <v>232</v>
          </cell>
          <cell r="B234" t="str">
            <v>반경철관 취부밴드</v>
          </cell>
          <cell r="D234" t="str">
            <v>EA</v>
          </cell>
          <cell r="G234">
            <v>827</v>
          </cell>
          <cell r="H234">
            <v>1200</v>
          </cell>
          <cell r="Q234">
            <v>1200</v>
          </cell>
        </row>
        <row r="235">
          <cell r="A235">
            <v>233</v>
          </cell>
          <cell r="B235" t="str">
            <v>입상관취부밴드</v>
          </cell>
          <cell r="D235" t="str">
            <v>EA</v>
          </cell>
          <cell r="G235">
            <v>827</v>
          </cell>
          <cell r="H235">
            <v>1200</v>
          </cell>
          <cell r="Q235">
            <v>1200</v>
          </cell>
        </row>
        <row r="236">
          <cell r="A236">
            <v>234</v>
          </cell>
          <cell r="Q236" t="str">
            <v/>
          </cell>
        </row>
        <row r="237">
          <cell r="A237">
            <v>235</v>
          </cell>
          <cell r="B237" t="str">
            <v>위샤 캡</v>
          </cell>
          <cell r="C237" t="str">
            <v>ST 36C</v>
          </cell>
          <cell r="D237" t="str">
            <v>EA</v>
          </cell>
          <cell r="G237">
            <v>741</v>
          </cell>
          <cell r="H237">
            <v>2480</v>
          </cell>
          <cell r="Q237">
            <v>2480</v>
          </cell>
          <cell r="S237" t="str">
            <v>내선</v>
          </cell>
          <cell r="T237">
            <v>0.03</v>
          </cell>
        </row>
        <row r="238">
          <cell r="A238">
            <v>236</v>
          </cell>
          <cell r="B238" t="str">
            <v>위샤 캡</v>
          </cell>
          <cell r="C238" t="str">
            <v>ST 42C</v>
          </cell>
          <cell r="D238" t="str">
            <v>EA</v>
          </cell>
          <cell r="G238">
            <v>741</v>
          </cell>
          <cell r="H238">
            <v>2770</v>
          </cell>
          <cell r="Q238">
            <v>2770</v>
          </cell>
          <cell r="S238" t="str">
            <v>내선</v>
          </cell>
          <cell r="T238">
            <v>0.03</v>
          </cell>
        </row>
        <row r="239">
          <cell r="A239">
            <v>237</v>
          </cell>
          <cell r="B239" t="str">
            <v>위샤 캡</v>
          </cell>
          <cell r="C239" t="str">
            <v>ST 54C</v>
          </cell>
          <cell r="D239" t="str">
            <v>EA</v>
          </cell>
          <cell r="G239">
            <v>741</v>
          </cell>
          <cell r="H239">
            <v>3440</v>
          </cell>
          <cell r="Q239">
            <v>3440</v>
          </cell>
          <cell r="S239" t="str">
            <v>내선</v>
          </cell>
          <cell r="T239">
            <v>0.04</v>
          </cell>
        </row>
        <row r="240">
          <cell r="A240">
            <v>238</v>
          </cell>
          <cell r="B240" t="str">
            <v>위샤 캡</v>
          </cell>
          <cell r="C240" t="str">
            <v>ST 104C</v>
          </cell>
          <cell r="D240" t="str">
            <v>EA</v>
          </cell>
          <cell r="G240">
            <v>741</v>
          </cell>
          <cell r="H240">
            <v>23910</v>
          </cell>
          <cell r="Q240">
            <v>23910</v>
          </cell>
          <cell r="S240" t="str">
            <v>내선</v>
          </cell>
          <cell r="T240">
            <v>0.04</v>
          </cell>
        </row>
        <row r="241">
          <cell r="A241">
            <v>239</v>
          </cell>
          <cell r="Q241" t="str">
            <v/>
          </cell>
        </row>
        <row r="242">
          <cell r="A242">
            <v>240</v>
          </cell>
          <cell r="Q242" t="str">
            <v/>
          </cell>
        </row>
        <row r="243">
          <cell r="A243">
            <v>241</v>
          </cell>
          <cell r="B243" t="str">
            <v>PULL BOX</v>
          </cell>
          <cell r="C243" t="str">
            <v>100×100×100</v>
          </cell>
          <cell r="D243" t="str">
            <v>EA</v>
          </cell>
          <cell r="G243">
            <v>746</v>
          </cell>
          <cell r="H243">
            <v>1600</v>
          </cell>
          <cell r="Q243">
            <v>1600</v>
          </cell>
          <cell r="S243" t="str">
            <v>내선</v>
          </cell>
          <cell r="T243">
            <v>0.35</v>
          </cell>
          <cell r="U243" t="str">
            <v>내선</v>
          </cell>
          <cell r="V243">
            <v>0.66</v>
          </cell>
          <cell r="Y243" t="str">
            <v>옥외는 벽면</v>
          </cell>
        </row>
        <row r="244">
          <cell r="A244">
            <v>242</v>
          </cell>
          <cell r="B244" t="str">
            <v>PULL BOX</v>
          </cell>
          <cell r="C244" t="str">
            <v>150×150×100</v>
          </cell>
          <cell r="D244" t="str">
            <v>EA</v>
          </cell>
          <cell r="G244">
            <v>746</v>
          </cell>
          <cell r="H244">
            <v>2000</v>
          </cell>
          <cell r="Q244">
            <v>2000</v>
          </cell>
          <cell r="S244" t="str">
            <v>내선</v>
          </cell>
          <cell r="T244">
            <v>0.35</v>
          </cell>
          <cell r="U244" t="str">
            <v>내선</v>
          </cell>
          <cell r="V244">
            <v>0.66</v>
          </cell>
          <cell r="Y244" t="str">
            <v>옥외는 벽면</v>
          </cell>
        </row>
        <row r="245">
          <cell r="A245">
            <v>243</v>
          </cell>
          <cell r="B245" t="str">
            <v>PULL BOX</v>
          </cell>
          <cell r="C245" t="str">
            <v>200×200×100</v>
          </cell>
          <cell r="D245" t="str">
            <v>EA</v>
          </cell>
          <cell r="G245">
            <v>746</v>
          </cell>
          <cell r="H245">
            <v>3100</v>
          </cell>
          <cell r="Q245">
            <v>3100</v>
          </cell>
          <cell r="S245" t="str">
            <v>내선</v>
          </cell>
          <cell r="T245">
            <v>0.35</v>
          </cell>
          <cell r="U245" t="str">
            <v>내선</v>
          </cell>
          <cell r="V245">
            <v>0.66</v>
          </cell>
          <cell r="Y245" t="str">
            <v>옥외는 벽면</v>
          </cell>
        </row>
        <row r="246">
          <cell r="A246">
            <v>244</v>
          </cell>
          <cell r="B246" t="str">
            <v>PULL BOX</v>
          </cell>
          <cell r="C246" t="str">
            <v>250×250×100</v>
          </cell>
          <cell r="D246" t="str">
            <v>EA</v>
          </cell>
          <cell r="G246">
            <v>746</v>
          </cell>
          <cell r="H246">
            <v>4650</v>
          </cell>
          <cell r="Q246">
            <v>4650</v>
          </cell>
          <cell r="S246" t="str">
            <v>내선</v>
          </cell>
          <cell r="T246">
            <v>0.35</v>
          </cell>
          <cell r="U246" t="str">
            <v>내선</v>
          </cell>
          <cell r="V246">
            <v>0.66</v>
          </cell>
          <cell r="Y246" t="str">
            <v>옥외는 벽면</v>
          </cell>
        </row>
        <row r="247">
          <cell r="A247">
            <v>245</v>
          </cell>
          <cell r="B247" t="str">
            <v>PULL BOX</v>
          </cell>
          <cell r="C247" t="str">
            <v>300×300×100</v>
          </cell>
          <cell r="D247" t="str">
            <v>EA</v>
          </cell>
          <cell r="G247">
            <v>746</v>
          </cell>
          <cell r="H247">
            <v>5000</v>
          </cell>
          <cell r="Q247">
            <v>5000</v>
          </cell>
          <cell r="S247" t="str">
            <v>내선</v>
          </cell>
          <cell r="T247">
            <v>0.35</v>
          </cell>
          <cell r="U247" t="str">
            <v>내선</v>
          </cell>
          <cell r="V247">
            <v>0.66</v>
          </cell>
          <cell r="Y247" t="str">
            <v>옥외는 벽면</v>
          </cell>
        </row>
        <row r="248">
          <cell r="A248">
            <v>246</v>
          </cell>
          <cell r="B248" t="str">
            <v>PULL BOX</v>
          </cell>
          <cell r="C248" t="str">
            <v>150×150×150</v>
          </cell>
          <cell r="D248" t="str">
            <v>EA</v>
          </cell>
          <cell r="G248">
            <v>746</v>
          </cell>
          <cell r="H248">
            <v>2350</v>
          </cell>
          <cell r="Q248">
            <v>2350</v>
          </cell>
          <cell r="S248" t="str">
            <v>내선</v>
          </cell>
          <cell r="T248">
            <v>0.35</v>
          </cell>
          <cell r="U248" t="str">
            <v>내선</v>
          </cell>
          <cell r="V248">
            <v>0.66</v>
          </cell>
          <cell r="Y248" t="str">
            <v>옥외는 벽면</v>
          </cell>
        </row>
        <row r="249">
          <cell r="A249">
            <v>247</v>
          </cell>
          <cell r="B249" t="str">
            <v>PULL BOX</v>
          </cell>
          <cell r="C249" t="str">
            <v>200×200×150</v>
          </cell>
          <cell r="D249" t="str">
            <v>EA</v>
          </cell>
          <cell r="G249">
            <v>746</v>
          </cell>
          <cell r="H249">
            <v>3900</v>
          </cell>
          <cell r="Q249">
            <v>3900</v>
          </cell>
          <cell r="S249" t="str">
            <v>내선</v>
          </cell>
          <cell r="T249">
            <v>0.35</v>
          </cell>
          <cell r="U249" t="str">
            <v>내선</v>
          </cell>
          <cell r="V249">
            <v>0.66</v>
          </cell>
          <cell r="Y249" t="str">
            <v>옥외는 벽면</v>
          </cell>
        </row>
        <row r="250">
          <cell r="A250">
            <v>248</v>
          </cell>
          <cell r="B250" t="str">
            <v>PULL BOX</v>
          </cell>
          <cell r="C250" t="str">
            <v>250×250×150</v>
          </cell>
          <cell r="D250" t="str">
            <v>EA</v>
          </cell>
          <cell r="G250">
            <v>746</v>
          </cell>
          <cell r="H250">
            <v>5000</v>
          </cell>
          <cell r="Q250">
            <v>5000</v>
          </cell>
          <cell r="S250" t="str">
            <v>내선</v>
          </cell>
          <cell r="T250">
            <v>0.35</v>
          </cell>
          <cell r="U250" t="str">
            <v>내선</v>
          </cell>
          <cell r="V250">
            <v>0.66</v>
          </cell>
          <cell r="Y250" t="str">
            <v>옥외는 벽면</v>
          </cell>
        </row>
        <row r="251">
          <cell r="A251">
            <v>249</v>
          </cell>
          <cell r="B251" t="str">
            <v>PULL BOX</v>
          </cell>
          <cell r="C251" t="str">
            <v>300×300×150</v>
          </cell>
          <cell r="D251" t="str">
            <v>EA</v>
          </cell>
          <cell r="G251">
            <v>746</v>
          </cell>
          <cell r="H251">
            <v>5750</v>
          </cell>
          <cell r="Q251">
            <v>5750</v>
          </cell>
          <cell r="S251" t="str">
            <v>내선</v>
          </cell>
          <cell r="T251">
            <v>0.35</v>
          </cell>
          <cell r="U251" t="str">
            <v>내선</v>
          </cell>
          <cell r="V251">
            <v>0.66</v>
          </cell>
          <cell r="Y251" t="str">
            <v>옥외는 벽면</v>
          </cell>
        </row>
        <row r="252">
          <cell r="A252">
            <v>250</v>
          </cell>
          <cell r="B252" t="str">
            <v>PULL BOX</v>
          </cell>
          <cell r="C252" t="str">
            <v>400×400×150</v>
          </cell>
          <cell r="D252" t="str">
            <v>EA</v>
          </cell>
          <cell r="G252">
            <v>746</v>
          </cell>
          <cell r="H252">
            <v>9350</v>
          </cell>
          <cell r="Q252">
            <v>9350</v>
          </cell>
          <cell r="S252" t="str">
            <v>내선</v>
          </cell>
          <cell r="T252">
            <v>0.35</v>
          </cell>
          <cell r="U252" t="str">
            <v>내선</v>
          </cell>
          <cell r="V252">
            <v>0.66</v>
          </cell>
          <cell r="Y252" t="str">
            <v>옥외는 벽면</v>
          </cell>
        </row>
        <row r="253">
          <cell r="A253">
            <v>251</v>
          </cell>
          <cell r="B253" t="str">
            <v>PULL BOX</v>
          </cell>
          <cell r="C253" t="str">
            <v>300×300×200</v>
          </cell>
          <cell r="D253" t="str">
            <v>EA</v>
          </cell>
          <cell r="G253">
            <v>746</v>
          </cell>
          <cell r="H253">
            <v>6500</v>
          </cell>
          <cell r="Q253">
            <v>6500</v>
          </cell>
          <cell r="S253" t="str">
            <v>내선</v>
          </cell>
          <cell r="T253">
            <v>0.35</v>
          </cell>
          <cell r="U253" t="str">
            <v>내선</v>
          </cell>
          <cell r="V253">
            <v>0.66</v>
          </cell>
          <cell r="Y253" t="str">
            <v>옥외는 벽면</v>
          </cell>
        </row>
        <row r="254">
          <cell r="A254">
            <v>252</v>
          </cell>
          <cell r="B254" t="str">
            <v>PULL BOX</v>
          </cell>
          <cell r="C254" t="str">
            <v>400×400×200</v>
          </cell>
          <cell r="D254" t="str">
            <v>EA</v>
          </cell>
          <cell r="G254">
            <v>746</v>
          </cell>
          <cell r="H254">
            <v>10200</v>
          </cell>
          <cell r="Q254">
            <v>10200</v>
          </cell>
          <cell r="S254" t="str">
            <v>내선</v>
          </cell>
          <cell r="T254">
            <v>0.66</v>
          </cell>
          <cell r="U254" t="str">
            <v>내선</v>
          </cell>
          <cell r="V254">
            <v>0.95</v>
          </cell>
          <cell r="Y254" t="str">
            <v>옥외는 벽면</v>
          </cell>
        </row>
        <row r="255">
          <cell r="A255">
            <v>253</v>
          </cell>
          <cell r="B255" t="str">
            <v>PULL BOX</v>
          </cell>
          <cell r="C255" t="str">
            <v>500×500×200</v>
          </cell>
          <cell r="D255" t="str">
            <v>EA</v>
          </cell>
          <cell r="G255">
            <v>746</v>
          </cell>
          <cell r="H255">
            <v>18200</v>
          </cell>
          <cell r="Q255">
            <v>18200</v>
          </cell>
          <cell r="S255" t="str">
            <v>내선</v>
          </cell>
          <cell r="T255">
            <v>0.66</v>
          </cell>
          <cell r="U255" t="str">
            <v>내선</v>
          </cell>
          <cell r="V255">
            <v>0.95</v>
          </cell>
          <cell r="Y255" t="str">
            <v>옥외는 벽면</v>
          </cell>
        </row>
        <row r="256">
          <cell r="A256">
            <v>254</v>
          </cell>
          <cell r="B256" t="str">
            <v>PULL BOX</v>
          </cell>
          <cell r="C256" t="str">
            <v>300×300×300</v>
          </cell>
          <cell r="D256" t="str">
            <v>EA</v>
          </cell>
          <cell r="G256">
            <v>746</v>
          </cell>
          <cell r="H256">
            <v>6500</v>
          </cell>
          <cell r="Q256">
            <v>6500</v>
          </cell>
          <cell r="S256" t="str">
            <v>내선</v>
          </cell>
          <cell r="T256">
            <v>0.66</v>
          </cell>
          <cell r="U256" t="str">
            <v>내선</v>
          </cell>
          <cell r="V256">
            <v>0.95</v>
          </cell>
          <cell r="Y256" t="str">
            <v>옥외는 벽면</v>
          </cell>
        </row>
        <row r="257">
          <cell r="A257">
            <v>255</v>
          </cell>
          <cell r="B257" t="str">
            <v>PULL BOX</v>
          </cell>
          <cell r="C257" t="str">
            <v>400×400×300</v>
          </cell>
          <cell r="D257" t="str">
            <v>EA</v>
          </cell>
          <cell r="G257">
            <v>746</v>
          </cell>
          <cell r="H257">
            <v>12100</v>
          </cell>
          <cell r="Q257">
            <v>12100</v>
          </cell>
          <cell r="S257" t="str">
            <v>내선</v>
          </cell>
          <cell r="T257">
            <v>0.66</v>
          </cell>
          <cell r="U257" t="str">
            <v>내선</v>
          </cell>
          <cell r="V257">
            <v>0.95</v>
          </cell>
          <cell r="Y257" t="str">
            <v>옥외는 벽면</v>
          </cell>
        </row>
        <row r="258">
          <cell r="A258">
            <v>256</v>
          </cell>
          <cell r="B258" t="str">
            <v>PULL BOX</v>
          </cell>
          <cell r="C258" t="str">
            <v>500×500×300</v>
          </cell>
          <cell r="D258" t="str">
            <v>EA</v>
          </cell>
          <cell r="G258">
            <v>746</v>
          </cell>
          <cell r="H258">
            <v>22000</v>
          </cell>
          <cell r="Q258">
            <v>22000</v>
          </cell>
          <cell r="S258" t="str">
            <v>내선</v>
          </cell>
          <cell r="T258">
            <v>0.66</v>
          </cell>
          <cell r="U258" t="str">
            <v>내선</v>
          </cell>
          <cell r="V258">
            <v>0.95</v>
          </cell>
          <cell r="Y258" t="str">
            <v>옥외는 벽면</v>
          </cell>
        </row>
        <row r="259">
          <cell r="A259">
            <v>257</v>
          </cell>
          <cell r="B259" t="str">
            <v>PULL BOX</v>
          </cell>
          <cell r="C259" t="str">
            <v>600×600×300</v>
          </cell>
          <cell r="D259" t="str">
            <v>EA</v>
          </cell>
          <cell r="G259">
            <v>746</v>
          </cell>
          <cell r="H259">
            <v>27500</v>
          </cell>
          <cell r="Q259">
            <v>27500</v>
          </cell>
          <cell r="S259" t="str">
            <v>내선</v>
          </cell>
          <cell r="T259">
            <v>0.66</v>
          </cell>
          <cell r="U259" t="str">
            <v>내선</v>
          </cell>
          <cell r="V259">
            <v>0.95</v>
          </cell>
          <cell r="Y259" t="str">
            <v>옥외는 벽면</v>
          </cell>
        </row>
        <row r="260">
          <cell r="A260">
            <v>258</v>
          </cell>
          <cell r="B260" t="str">
            <v>PULL BOX</v>
          </cell>
          <cell r="C260" t="str">
            <v>600×600×400</v>
          </cell>
          <cell r="D260" t="str">
            <v>EA</v>
          </cell>
          <cell r="G260">
            <v>746</v>
          </cell>
          <cell r="H260">
            <v>33000</v>
          </cell>
          <cell r="Q260">
            <v>33000</v>
          </cell>
          <cell r="S260" t="str">
            <v>내선</v>
          </cell>
          <cell r="T260">
            <v>0.66</v>
          </cell>
          <cell r="U260" t="str">
            <v>내선</v>
          </cell>
          <cell r="V260">
            <v>0.95</v>
          </cell>
          <cell r="Y260" t="str">
            <v>옥외는 벽면</v>
          </cell>
        </row>
        <row r="261">
          <cell r="A261">
            <v>259</v>
          </cell>
          <cell r="Q261" t="str">
            <v/>
          </cell>
        </row>
        <row r="262">
          <cell r="A262">
            <v>260</v>
          </cell>
          <cell r="Q262" t="str">
            <v/>
          </cell>
        </row>
        <row r="263">
          <cell r="A263">
            <v>261</v>
          </cell>
          <cell r="Q263" t="str">
            <v/>
          </cell>
        </row>
        <row r="264">
          <cell r="A264">
            <v>262</v>
          </cell>
          <cell r="Q264" t="str">
            <v/>
          </cell>
        </row>
        <row r="265">
          <cell r="A265">
            <v>263</v>
          </cell>
          <cell r="B265" t="str">
            <v>노출박스</v>
          </cell>
          <cell r="C265" t="str">
            <v>16C 1방출</v>
          </cell>
          <cell r="D265" t="str">
            <v>EA</v>
          </cell>
          <cell r="G265">
            <v>748</v>
          </cell>
          <cell r="H265">
            <v>2040</v>
          </cell>
          <cell r="Q265">
            <v>2040</v>
          </cell>
          <cell r="S265" t="str">
            <v>내선</v>
          </cell>
          <cell r="T265">
            <v>0.28999999999999998</v>
          </cell>
        </row>
        <row r="266">
          <cell r="A266">
            <v>264</v>
          </cell>
          <cell r="B266" t="str">
            <v>노출박스</v>
          </cell>
          <cell r="C266" t="str">
            <v>16C 2방출</v>
          </cell>
          <cell r="D266" t="str">
            <v>EA</v>
          </cell>
          <cell r="G266">
            <v>748</v>
          </cell>
          <cell r="H266">
            <v>2167</v>
          </cell>
          <cell r="Q266">
            <v>2167</v>
          </cell>
          <cell r="S266" t="str">
            <v>내선</v>
          </cell>
          <cell r="T266">
            <v>0.28999999999999998</v>
          </cell>
        </row>
        <row r="267">
          <cell r="A267">
            <v>265</v>
          </cell>
          <cell r="B267" t="str">
            <v>노출박스</v>
          </cell>
          <cell r="C267" t="str">
            <v>22C 1방출</v>
          </cell>
          <cell r="D267" t="str">
            <v>EA</v>
          </cell>
          <cell r="G267">
            <v>748</v>
          </cell>
          <cell r="H267">
            <v>2295</v>
          </cell>
          <cell r="Q267">
            <v>2295</v>
          </cell>
          <cell r="S267" t="str">
            <v>내선</v>
          </cell>
          <cell r="T267">
            <v>0.28999999999999998</v>
          </cell>
        </row>
        <row r="268">
          <cell r="A268">
            <v>266</v>
          </cell>
          <cell r="B268" t="str">
            <v>노출박스</v>
          </cell>
          <cell r="C268" t="str">
            <v>22C 2방출</v>
          </cell>
          <cell r="D268" t="str">
            <v>EA</v>
          </cell>
          <cell r="G268">
            <v>748</v>
          </cell>
          <cell r="H268">
            <v>2465</v>
          </cell>
          <cell r="Q268">
            <v>2465</v>
          </cell>
          <cell r="S268" t="str">
            <v>내선</v>
          </cell>
          <cell r="T268">
            <v>0.28999999999999998</v>
          </cell>
        </row>
        <row r="269">
          <cell r="A269">
            <v>267</v>
          </cell>
          <cell r="B269" t="str">
            <v>노출박스</v>
          </cell>
          <cell r="C269" t="str">
            <v>28C 1방출</v>
          </cell>
          <cell r="D269" t="str">
            <v>EA</v>
          </cell>
          <cell r="G269">
            <v>748</v>
          </cell>
          <cell r="H269">
            <v>3655</v>
          </cell>
          <cell r="Q269">
            <v>3655</v>
          </cell>
          <cell r="S269" t="str">
            <v>내선</v>
          </cell>
          <cell r="T269">
            <v>0.28999999999999998</v>
          </cell>
        </row>
        <row r="270">
          <cell r="A270">
            <v>268</v>
          </cell>
          <cell r="B270" t="str">
            <v>노출박스</v>
          </cell>
          <cell r="C270" t="str">
            <v>28C 2방출</v>
          </cell>
          <cell r="D270" t="str">
            <v>EA</v>
          </cell>
          <cell r="G270">
            <v>748</v>
          </cell>
          <cell r="H270">
            <v>3995</v>
          </cell>
          <cell r="Q270">
            <v>3995</v>
          </cell>
          <cell r="S270" t="str">
            <v>내선</v>
          </cell>
          <cell r="T270">
            <v>0.28999999999999998</v>
          </cell>
        </row>
        <row r="271">
          <cell r="A271">
            <v>269</v>
          </cell>
          <cell r="Q271" t="str">
            <v/>
          </cell>
        </row>
        <row r="272">
          <cell r="A272">
            <v>270</v>
          </cell>
          <cell r="Q272" t="str">
            <v/>
          </cell>
        </row>
        <row r="273">
          <cell r="A273">
            <v>271</v>
          </cell>
          <cell r="B273" t="str">
            <v>Outlet Box</v>
          </cell>
          <cell r="C273" t="str">
            <v>4각 천정</v>
          </cell>
          <cell r="D273" t="str">
            <v>EA</v>
          </cell>
          <cell r="G273">
            <v>748</v>
          </cell>
          <cell r="H273">
            <v>630</v>
          </cell>
          <cell r="Q273">
            <v>630</v>
          </cell>
          <cell r="S273" t="str">
            <v>내선</v>
          </cell>
          <cell r="T273">
            <v>0.12</v>
          </cell>
        </row>
        <row r="274">
          <cell r="A274">
            <v>272</v>
          </cell>
          <cell r="B274" t="str">
            <v>Outlet Box</v>
          </cell>
          <cell r="C274" t="str">
            <v>4각벽부</v>
          </cell>
          <cell r="D274" t="str">
            <v>EA</v>
          </cell>
          <cell r="G274">
            <v>748</v>
          </cell>
          <cell r="H274">
            <v>630</v>
          </cell>
          <cell r="Q274">
            <v>630</v>
          </cell>
          <cell r="S274" t="str">
            <v>내선</v>
          </cell>
          <cell r="T274">
            <v>0.2</v>
          </cell>
        </row>
        <row r="275">
          <cell r="A275">
            <v>273</v>
          </cell>
          <cell r="B275" t="str">
            <v>Outlet Box</v>
          </cell>
          <cell r="C275" t="str">
            <v xml:space="preserve">  8 각</v>
          </cell>
          <cell r="D275" t="str">
            <v>EA</v>
          </cell>
          <cell r="G275">
            <v>748</v>
          </cell>
          <cell r="H275">
            <v>540</v>
          </cell>
          <cell r="Q275">
            <v>540</v>
          </cell>
          <cell r="S275" t="str">
            <v>내선</v>
          </cell>
          <cell r="T275">
            <v>0.12</v>
          </cell>
        </row>
        <row r="276">
          <cell r="A276">
            <v>274</v>
          </cell>
          <cell r="B276" t="str">
            <v>Outlet Box</v>
          </cell>
          <cell r="C276" t="str">
            <v>SW</v>
          </cell>
          <cell r="D276" t="str">
            <v>EA</v>
          </cell>
          <cell r="G276">
            <v>748</v>
          </cell>
          <cell r="H276">
            <v>495</v>
          </cell>
          <cell r="Q276">
            <v>495</v>
          </cell>
          <cell r="S276" t="str">
            <v>내선</v>
          </cell>
          <cell r="T276">
            <v>0.2</v>
          </cell>
        </row>
        <row r="277">
          <cell r="A277">
            <v>275</v>
          </cell>
          <cell r="B277" t="str">
            <v>PVC  Outlet Box</v>
          </cell>
          <cell r="C277" t="str">
            <v xml:space="preserve">  8 각</v>
          </cell>
          <cell r="D277" t="str">
            <v>EA</v>
          </cell>
          <cell r="G277">
            <v>749</v>
          </cell>
          <cell r="H277">
            <v>670</v>
          </cell>
          <cell r="Q277">
            <v>670</v>
          </cell>
          <cell r="S277" t="str">
            <v>내선</v>
          </cell>
          <cell r="T277">
            <v>0.12</v>
          </cell>
        </row>
        <row r="278">
          <cell r="A278">
            <v>276</v>
          </cell>
          <cell r="B278" t="str">
            <v>PVC  Outlet Box</v>
          </cell>
          <cell r="C278" t="str">
            <v xml:space="preserve">  4 각</v>
          </cell>
          <cell r="D278" t="str">
            <v>EA</v>
          </cell>
          <cell r="G278">
            <v>749</v>
          </cell>
          <cell r="H278">
            <v>745</v>
          </cell>
          <cell r="Q278">
            <v>745</v>
          </cell>
          <cell r="S278" t="str">
            <v>내선</v>
          </cell>
          <cell r="T278">
            <v>0.12</v>
          </cell>
        </row>
        <row r="279">
          <cell r="A279">
            <v>277</v>
          </cell>
          <cell r="B279" t="str">
            <v>콘센트(접지극부 )</v>
          </cell>
          <cell r="C279" t="str">
            <v>1구 2P 15A 250V</v>
          </cell>
          <cell r="D279" t="str">
            <v>EA</v>
          </cell>
          <cell r="G279">
            <v>804</v>
          </cell>
          <cell r="H279">
            <v>1010</v>
          </cell>
          <cell r="Q279">
            <v>1010</v>
          </cell>
          <cell r="S279" t="str">
            <v>내선</v>
          </cell>
          <cell r="T279">
            <v>0.08</v>
          </cell>
        </row>
        <row r="280">
          <cell r="A280">
            <v>278</v>
          </cell>
          <cell r="B280" t="str">
            <v>콘센트(접지극부 )</v>
          </cell>
          <cell r="C280" t="str">
            <v>1구방폭 2P 15A 250V</v>
          </cell>
          <cell r="D280" t="str">
            <v>EA</v>
          </cell>
          <cell r="G280">
            <v>818</v>
          </cell>
          <cell r="H280">
            <v>67000</v>
          </cell>
          <cell r="Q280">
            <v>67000</v>
          </cell>
          <cell r="S280" t="str">
            <v>내선</v>
          </cell>
          <cell r="T280">
            <v>0.16</v>
          </cell>
        </row>
        <row r="281">
          <cell r="A281">
            <v>279</v>
          </cell>
          <cell r="B281" t="str">
            <v>콘센트(접지극부 )</v>
          </cell>
          <cell r="C281" t="str">
            <v>1구방수 2P 15A 250V</v>
          </cell>
          <cell r="D281" t="str">
            <v>EA</v>
          </cell>
          <cell r="G281">
            <v>804</v>
          </cell>
          <cell r="H281">
            <v>2500</v>
          </cell>
          <cell r="Q281">
            <v>2500</v>
          </cell>
          <cell r="S281" t="str">
            <v>내선</v>
          </cell>
          <cell r="T281">
            <v>0.08</v>
          </cell>
        </row>
        <row r="282">
          <cell r="A282">
            <v>280</v>
          </cell>
          <cell r="B282" t="str">
            <v>콘센트(접지극부 )</v>
          </cell>
          <cell r="C282" t="str">
            <v>2구 2P 15A 250V</v>
          </cell>
          <cell r="D282" t="str">
            <v>EA</v>
          </cell>
          <cell r="G282">
            <v>804</v>
          </cell>
          <cell r="H282">
            <v>1300</v>
          </cell>
          <cell r="Q282">
            <v>1300</v>
          </cell>
          <cell r="S282" t="str">
            <v>내선</v>
          </cell>
          <cell r="T282">
            <v>0.08</v>
          </cell>
        </row>
        <row r="283">
          <cell r="A283">
            <v>281</v>
          </cell>
          <cell r="B283" t="str">
            <v>콘센트(접지극부 )</v>
          </cell>
          <cell r="C283" t="str">
            <v>2구 2P 30A 250V</v>
          </cell>
          <cell r="D283" t="str">
            <v>EA</v>
          </cell>
          <cell r="G283">
            <v>806</v>
          </cell>
          <cell r="H283">
            <v>1452</v>
          </cell>
          <cell r="Q283">
            <v>1452</v>
          </cell>
          <cell r="S283" t="str">
            <v>내선</v>
          </cell>
          <cell r="T283">
            <v>0.08</v>
          </cell>
        </row>
        <row r="284">
          <cell r="A284">
            <v>282</v>
          </cell>
          <cell r="B284" t="str">
            <v>콘센트(접지극부 )</v>
          </cell>
          <cell r="C284" t="str">
            <v>3P 20A 250V</v>
          </cell>
          <cell r="D284" t="str">
            <v>EA</v>
          </cell>
          <cell r="G284">
            <v>806</v>
          </cell>
          <cell r="H284">
            <v>1074</v>
          </cell>
          <cell r="Q284">
            <v>1074</v>
          </cell>
          <cell r="S284" t="str">
            <v>내선</v>
          </cell>
          <cell r="T284">
            <v>9.5000000000000001E-2</v>
          </cell>
        </row>
        <row r="285">
          <cell r="A285">
            <v>283</v>
          </cell>
          <cell r="B285" t="str">
            <v>콘센트(접지극부 )</v>
          </cell>
          <cell r="C285" t="str">
            <v>3P 30A 250V</v>
          </cell>
          <cell r="D285" t="str">
            <v>EA</v>
          </cell>
          <cell r="Q285">
            <v>0</v>
          </cell>
          <cell r="S285" t="str">
            <v>내선</v>
          </cell>
          <cell r="T285">
            <v>0.14499999999999999</v>
          </cell>
        </row>
        <row r="286">
          <cell r="A286">
            <v>284</v>
          </cell>
          <cell r="Q286" t="str">
            <v/>
          </cell>
        </row>
        <row r="287">
          <cell r="A287">
            <v>285</v>
          </cell>
          <cell r="Q287" t="str">
            <v/>
          </cell>
        </row>
        <row r="288">
          <cell r="A288">
            <v>286</v>
          </cell>
          <cell r="B288" t="str">
            <v>전화용 콘센트</v>
          </cell>
          <cell r="C288" t="str">
            <v>체신부규격4P</v>
          </cell>
          <cell r="D288" t="str">
            <v>EA</v>
          </cell>
          <cell r="G288">
            <v>804</v>
          </cell>
          <cell r="H288">
            <v>620</v>
          </cell>
          <cell r="Q288">
            <v>620</v>
          </cell>
          <cell r="S288" t="str">
            <v>통내</v>
          </cell>
          <cell r="T288">
            <v>7.0000000000000007E-2</v>
          </cell>
        </row>
        <row r="289">
          <cell r="A289">
            <v>287</v>
          </cell>
          <cell r="B289" t="str">
            <v>TV유니트</v>
          </cell>
          <cell r="C289" t="str">
            <v>IN 75</v>
          </cell>
          <cell r="D289" t="str">
            <v>EA</v>
          </cell>
          <cell r="G289">
            <v>804</v>
          </cell>
          <cell r="H289">
            <v>1700</v>
          </cell>
          <cell r="Q289">
            <v>1700</v>
          </cell>
          <cell r="S289" t="str">
            <v>통내</v>
          </cell>
          <cell r="T289">
            <v>0.08</v>
          </cell>
        </row>
        <row r="290">
          <cell r="A290">
            <v>288</v>
          </cell>
          <cell r="Q290" t="str">
            <v/>
          </cell>
        </row>
        <row r="291">
          <cell r="A291">
            <v>289</v>
          </cell>
          <cell r="Q291" t="str">
            <v/>
          </cell>
        </row>
        <row r="292">
          <cell r="A292">
            <v>290</v>
          </cell>
          <cell r="B292" t="str">
            <v>텀블러SW</v>
          </cell>
          <cell r="C292" t="str">
            <v>1로 1구 램프</v>
          </cell>
          <cell r="D292" t="str">
            <v>EA</v>
          </cell>
          <cell r="G292">
            <v>804</v>
          </cell>
          <cell r="H292">
            <v>1080</v>
          </cell>
          <cell r="Q292">
            <v>1080</v>
          </cell>
          <cell r="S292" t="str">
            <v>내선</v>
          </cell>
          <cell r="T292">
            <v>6.5000000000000002E-2</v>
          </cell>
        </row>
        <row r="293">
          <cell r="A293">
            <v>291</v>
          </cell>
          <cell r="B293" t="str">
            <v>텀블러SW</v>
          </cell>
          <cell r="C293" t="str">
            <v>1로 1구  방폭2P 10A</v>
          </cell>
          <cell r="D293" t="str">
            <v>EA</v>
          </cell>
          <cell r="G293">
            <v>818</v>
          </cell>
          <cell r="H293">
            <v>38600</v>
          </cell>
          <cell r="Q293">
            <v>38600</v>
          </cell>
          <cell r="S293" t="str">
            <v>내선</v>
          </cell>
          <cell r="T293">
            <v>0.13</v>
          </cell>
        </row>
        <row r="294">
          <cell r="A294">
            <v>292</v>
          </cell>
          <cell r="B294" t="str">
            <v>텀블러SW</v>
          </cell>
          <cell r="C294" t="str">
            <v>1로 2구 램프</v>
          </cell>
          <cell r="D294" t="str">
            <v>EA</v>
          </cell>
          <cell r="G294">
            <v>804</v>
          </cell>
          <cell r="H294">
            <v>1840</v>
          </cell>
          <cell r="Q294">
            <v>1840</v>
          </cell>
          <cell r="S294" t="str">
            <v>내선</v>
          </cell>
          <cell r="T294">
            <v>8.5000000000000006E-2</v>
          </cell>
        </row>
        <row r="295">
          <cell r="A295">
            <v>293</v>
          </cell>
          <cell r="B295" t="str">
            <v>텀블러SW</v>
          </cell>
          <cell r="C295" t="str">
            <v>1로 3구 램프</v>
          </cell>
          <cell r="D295" t="str">
            <v>EA</v>
          </cell>
          <cell r="G295">
            <v>804</v>
          </cell>
          <cell r="H295">
            <v>2600</v>
          </cell>
          <cell r="Q295">
            <v>2600</v>
          </cell>
          <cell r="S295" t="str">
            <v>내선</v>
          </cell>
          <cell r="T295">
            <v>8.5000000000000006E-2</v>
          </cell>
        </row>
        <row r="296">
          <cell r="A296">
            <v>294</v>
          </cell>
          <cell r="B296" t="str">
            <v>텀블러SW</v>
          </cell>
          <cell r="C296" t="str">
            <v>3로 1구 램프</v>
          </cell>
          <cell r="D296" t="str">
            <v>EA</v>
          </cell>
          <cell r="G296">
            <v>804</v>
          </cell>
          <cell r="H296">
            <v>1210</v>
          </cell>
          <cell r="Q296">
            <v>1210</v>
          </cell>
          <cell r="S296" t="str">
            <v>내선</v>
          </cell>
          <cell r="T296">
            <v>8.5000000000000006E-2</v>
          </cell>
        </row>
        <row r="297">
          <cell r="A297">
            <v>295</v>
          </cell>
          <cell r="B297" t="str">
            <v>텀블러SW</v>
          </cell>
          <cell r="C297" t="str">
            <v>3로  2구</v>
          </cell>
          <cell r="D297" t="str">
            <v>EA</v>
          </cell>
          <cell r="G297">
            <v>804</v>
          </cell>
          <cell r="H297">
            <v>2100</v>
          </cell>
          <cell r="Q297">
            <v>2100</v>
          </cell>
          <cell r="S297" t="str">
            <v>내선</v>
          </cell>
          <cell r="T297">
            <v>0.10200000000000001</v>
          </cell>
        </row>
        <row r="298">
          <cell r="A298">
            <v>296</v>
          </cell>
          <cell r="B298" t="str">
            <v>텀블러SW</v>
          </cell>
          <cell r="C298" t="str">
            <v>4로 1구 램프</v>
          </cell>
          <cell r="D298" t="str">
            <v>EA</v>
          </cell>
          <cell r="G298">
            <v>804</v>
          </cell>
          <cell r="H298">
            <v>2020</v>
          </cell>
          <cell r="Q298">
            <v>2020</v>
          </cell>
          <cell r="S298" t="str">
            <v>내선</v>
          </cell>
          <cell r="T298">
            <v>0.1</v>
          </cell>
        </row>
        <row r="299">
          <cell r="A299">
            <v>297</v>
          </cell>
          <cell r="B299" t="str">
            <v>텀블러SW</v>
          </cell>
          <cell r="C299" t="str">
            <v>4로 2구 램프</v>
          </cell>
          <cell r="D299" t="str">
            <v>EA</v>
          </cell>
          <cell r="G299">
            <v>804</v>
          </cell>
          <cell r="H299">
            <v>3720</v>
          </cell>
          <cell r="Q299">
            <v>3720</v>
          </cell>
          <cell r="S299" t="str">
            <v>내선</v>
          </cell>
          <cell r="T299">
            <v>0.12</v>
          </cell>
        </row>
        <row r="300">
          <cell r="A300">
            <v>298</v>
          </cell>
          <cell r="Q300" t="str">
            <v/>
          </cell>
        </row>
        <row r="301">
          <cell r="A301">
            <v>299</v>
          </cell>
          <cell r="Q301" t="str">
            <v/>
          </cell>
        </row>
        <row r="302">
          <cell r="A302">
            <v>300</v>
          </cell>
          <cell r="B302" t="str">
            <v>등 기 구</v>
          </cell>
          <cell r="C302" t="str">
            <v>IL-60W 벽부</v>
          </cell>
          <cell r="D302" t="str">
            <v>EA</v>
          </cell>
          <cell r="G302">
            <v>816</v>
          </cell>
          <cell r="H302">
            <v>25500</v>
          </cell>
          <cell r="Q302">
            <v>25500</v>
          </cell>
          <cell r="S302" t="str">
            <v>내선</v>
          </cell>
          <cell r="T302">
            <v>0.15</v>
          </cell>
        </row>
        <row r="303">
          <cell r="A303">
            <v>301</v>
          </cell>
          <cell r="B303" t="str">
            <v>등 기 구</v>
          </cell>
          <cell r="C303" t="str">
            <v>IL-100W 벽부</v>
          </cell>
          <cell r="D303" t="str">
            <v>EA</v>
          </cell>
          <cell r="G303">
            <v>816</v>
          </cell>
          <cell r="H303">
            <v>25500</v>
          </cell>
          <cell r="Q303">
            <v>25500</v>
          </cell>
          <cell r="S303" t="str">
            <v>내선</v>
          </cell>
          <cell r="T303">
            <v>0.158</v>
          </cell>
        </row>
        <row r="304">
          <cell r="A304">
            <v>302</v>
          </cell>
          <cell r="B304" t="str">
            <v>등 기 구</v>
          </cell>
          <cell r="C304" t="str">
            <v>IL-200W 벽부</v>
          </cell>
          <cell r="D304" t="str">
            <v>EA</v>
          </cell>
          <cell r="G304">
            <v>816</v>
          </cell>
          <cell r="H304">
            <v>25500</v>
          </cell>
          <cell r="Q304">
            <v>25500</v>
          </cell>
          <cell r="S304" t="str">
            <v>내선</v>
          </cell>
          <cell r="T304">
            <v>0.158</v>
          </cell>
        </row>
        <row r="305">
          <cell r="A305">
            <v>303</v>
          </cell>
          <cell r="B305" t="str">
            <v>등 기 구</v>
          </cell>
          <cell r="C305" t="str">
            <v>IL-60W 천정매입</v>
          </cell>
          <cell r="D305" t="str">
            <v>EA</v>
          </cell>
          <cell r="G305">
            <v>816</v>
          </cell>
          <cell r="H305">
            <v>25500</v>
          </cell>
          <cell r="Q305">
            <v>25500</v>
          </cell>
          <cell r="S305" t="str">
            <v>내선</v>
          </cell>
          <cell r="T305">
            <v>0.245</v>
          </cell>
        </row>
        <row r="306">
          <cell r="A306">
            <v>304</v>
          </cell>
          <cell r="B306" t="str">
            <v>등 기 구</v>
          </cell>
          <cell r="C306" t="str">
            <v>IL-60W 천정직부</v>
          </cell>
          <cell r="D306" t="str">
            <v>EA</v>
          </cell>
          <cell r="G306">
            <v>816</v>
          </cell>
          <cell r="H306">
            <v>25500</v>
          </cell>
          <cell r="Q306">
            <v>25500</v>
          </cell>
          <cell r="S306" t="str">
            <v>내선</v>
          </cell>
          <cell r="T306">
            <v>0.18</v>
          </cell>
        </row>
        <row r="307">
          <cell r="A307">
            <v>305</v>
          </cell>
          <cell r="B307" t="str">
            <v>등 기 구</v>
          </cell>
          <cell r="C307" t="str">
            <v>IL-100W 천정직부</v>
          </cell>
          <cell r="D307" t="str">
            <v>EA</v>
          </cell>
          <cell r="G307">
            <v>816</v>
          </cell>
          <cell r="H307">
            <v>25500</v>
          </cell>
          <cell r="Q307">
            <v>25500</v>
          </cell>
          <cell r="S307" t="str">
            <v>내선</v>
          </cell>
          <cell r="T307">
            <v>0.19</v>
          </cell>
        </row>
        <row r="308">
          <cell r="A308">
            <v>306</v>
          </cell>
          <cell r="B308" t="str">
            <v>등 기 구</v>
          </cell>
          <cell r="C308" t="str">
            <v>비상등</v>
          </cell>
          <cell r="D308" t="str">
            <v>EA</v>
          </cell>
          <cell r="G308">
            <v>650</v>
          </cell>
          <cell r="H308">
            <v>95000</v>
          </cell>
          <cell r="Q308">
            <v>95000</v>
          </cell>
          <cell r="S308" t="str">
            <v>내선</v>
          </cell>
          <cell r="T308">
            <v>0.158</v>
          </cell>
        </row>
        <row r="309">
          <cell r="A309">
            <v>307</v>
          </cell>
          <cell r="Q309" t="str">
            <v/>
          </cell>
        </row>
        <row r="310">
          <cell r="A310">
            <v>308</v>
          </cell>
          <cell r="B310" t="str">
            <v>등 기 구</v>
          </cell>
          <cell r="C310" t="str">
            <v>FL 2/40삼각벽부</v>
          </cell>
          <cell r="D310" t="str">
            <v>EA</v>
          </cell>
          <cell r="G310">
            <v>811</v>
          </cell>
          <cell r="H310">
            <v>27500</v>
          </cell>
          <cell r="Q310">
            <v>27500</v>
          </cell>
          <cell r="S310" t="str">
            <v>내선</v>
          </cell>
          <cell r="T310">
            <v>0.36499999999999999</v>
          </cell>
        </row>
        <row r="311">
          <cell r="A311">
            <v>309</v>
          </cell>
          <cell r="B311" t="str">
            <v>등 기 구</v>
          </cell>
          <cell r="C311" t="str">
            <v>FL 2/20삼각직부</v>
          </cell>
          <cell r="D311" t="str">
            <v>EA</v>
          </cell>
          <cell r="G311">
            <v>811</v>
          </cell>
          <cell r="H311">
            <v>24000</v>
          </cell>
          <cell r="Q311">
            <v>24000</v>
          </cell>
          <cell r="S311" t="str">
            <v>내선</v>
          </cell>
          <cell r="T311">
            <v>0.19500000000000001</v>
          </cell>
        </row>
        <row r="312">
          <cell r="A312">
            <v>310</v>
          </cell>
          <cell r="B312" t="str">
            <v>등 기 구</v>
          </cell>
          <cell r="C312" t="str">
            <v>FL 2/40삼각직부</v>
          </cell>
          <cell r="D312" t="str">
            <v>EA</v>
          </cell>
          <cell r="G312">
            <v>811</v>
          </cell>
          <cell r="H312">
            <v>26500</v>
          </cell>
          <cell r="Q312">
            <v>26500</v>
          </cell>
          <cell r="S312" t="str">
            <v>내선</v>
          </cell>
          <cell r="T312">
            <v>0.30499999999999999</v>
          </cell>
        </row>
        <row r="313">
          <cell r="A313">
            <v>311</v>
          </cell>
          <cell r="B313" t="str">
            <v>등 기 구</v>
          </cell>
          <cell r="C313" t="str">
            <v>FL 1/40삼각직부</v>
          </cell>
          <cell r="D313" t="str">
            <v>EA</v>
          </cell>
          <cell r="G313">
            <v>811</v>
          </cell>
          <cell r="H313">
            <v>15500</v>
          </cell>
          <cell r="Q313">
            <v>15500</v>
          </cell>
          <cell r="S313" t="str">
            <v>내선</v>
          </cell>
          <cell r="T313">
            <v>0.245</v>
          </cell>
        </row>
        <row r="314">
          <cell r="A314">
            <v>312</v>
          </cell>
          <cell r="B314" t="str">
            <v>등 기 구(SUS)</v>
          </cell>
          <cell r="C314" t="str">
            <v>FL 1/40삼각직부</v>
          </cell>
          <cell r="D314" t="str">
            <v>EA</v>
          </cell>
          <cell r="K314" t="str">
            <v>신일조명</v>
          </cell>
          <cell r="L314">
            <v>23500</v>
          </cell>
          <cell r="Q314">
            <v>23500</v>
          </cell>
          <cell r="S314" t="str">
            <v>내선</v>
          </cell>
          <cell r="T314">
            <v>0.245</v>
          </cell>
        </row>
        <row r="315">
          <cell r="A315">
            <v>313</v>
          </cell>
          <cell r="B315" t="str">
            <v>등 기 구</v>
          </cell>
          <cell r="C315" t="str">
            <v>FL 2/20매입</v>
          </cell>
          <cell r="D315" t="str">
            <v>EA</v>
          </cell>
          <cell r="G315">
            <v>811</v>
          </cell>
          <cell r="H315">
            <v>28000</v>
          </cell>
          <cell r="Q315">
            <v>28000</v>
          </cell>
          <cell r="S315" t="str">
            <v>내선</v>
          </cell>
          <cell r="T315">
            <v>0.32</v>
          </cell>
        </row>
        <row r="316">
          <cell r="A316">
            <v>314</v>
          </cell>
          <cell r="B316" t="str">
            <v>등 기 구</v>
          </cell>
          <cell r="C316" t="str">
            <v>FL 4/20매입</v>
          </cell>
          <cell r="D316" t="str">
            <v>EA</v>
          </cell>
          <cell r="G316">
            <v>811</v>
          </cell>
          <cell r="H316">
            <v>49500</v>
          </cell>
          <cell r="Q316">
            <v>49500</v>
          </cell>
          <cell r="S316" t="str">
            <v>내선</v>
          </cell>
          <cell r="T316">
            <v>0.56999999999999995</v>
          </cell>
        </row>
        <row r="317">
          <cell r="A317">
            <v>315</v>
          </cell>
          <cell r="B317" t="str">
            <v>등 기 구</v>
          </cell>
          <cell r="C317" t="str">
            <v>FL 2/40매입</v>
          </cell>
          <cell r="D317" t="str">
            <v>EA</v>
          </cell>
          <cell r="G317">
            <v>811</v>
          </cell>
          <cell r="H317">
            <v>35000</v>
          </cell>
          <cell r="Q317">
            <v>35000</v>
          </cell>
          <cell r="S317" t="str">
            <v>내선</v>
          </cell>
          <cell r="T317">
            <v>0.48799999999999999</v>
          </cell>
        </row>
        <row r="318">
          <cell r="A318">
            <v>316</v>
          </cell>
          <cell r="B318" t="str">
            <v>등 기 구</v>
          </cell>
          <cell r="C318" t="str">
            <v>FL 2/20펜던트</v>
          </cell>
          <cell r="D318" t="str">
            <v>EA</v>
          </cell>
          <cell r="G318">
            <v>811</v>
          </cell>
          <cell r="H318">
            <v>24500</v>
          </cell>
          <cell r="Q318">
            <v>24500</v>
          </cell>
          <cell r="S318" t="str">
            <v>내선</v>
          </cell>
          <cell r="T318">
            <v>0.23499999999999999</v>
          </cell>
        </row>
        <row r="319">
          <cell r="A319">
            <v>317</v>
          </cell>
          <cell r="B319" t="str">
            <v>등 기 구</v>
          </cell>
          <cell r="C319" t="str">
            <v>FL 2/40펜던트</v>
          </cell>
          <cell r="D319" t="str">
            <v>EA</v>
          </cell>
          <cell r="G319">
            <v>811</v>
          </cell>
          <cell r="H319">
            <v>27500</v>
          </cell>
          <cell r="Q319">
            <v>27500</v>
          </cell>
          <cell r="S319" t="str">
            <v>내선</v>
          </cell>
          <cell r="T319">
            <v>0.36499999999999999</v>
          </cell>
        </row>
        <row r="320">
          <cell r="A320">
            <v>318</v>
          </cell>
          <cell r="B320" t="str">
            <v>등 기 구</v>
          </cell>
          <cell r="C320" t="str">
            <v>FL 1/40펜던트</v>
          </cell>
          <cell r="D320" t="str">
            <v>EA</v>
          </cell>
          <cell r="G320">
            <v>811</v>
          </cell>
          <cell r="H320">
            <v>16500</v>
          </cell>
          <cell r="Q320">
            <v>16500</v>
          </cell>
          <cell r="S320" t="str">
            <v>내선</v>
          </cell>
          <cell r="T320">
            <v>0.29499999999999998</v>
          </cell>
        </row>
        <row r="321">
          <cell r="A321">
            <v>319</v>
          </cell>
          <cell r="B321" t="str">
            <v>등 기 구</v>
          </cell>
          <cell r="C321" t="str">
            <v>FL 1/30W 천정직부</v>
          </cell>
          <cell r="D321" t="str">
            <v>EA</v>
          </cell>
          <cell r="Q321">
            <v>0</v>
          </cell>
          <cell r="S321" t="str">
            <v>내선</v>
          </cell>
          <cell r="T321">
            <v>0.16500000000000001</v>
          </cell>
        </row>
        <row r="322">
          <cell r="A322">
            <v>320</v>
          </cell>
          <cell r="B322" t="str">
            <v>등 기 구</v>
          </cell>
          <cell r="C322" t="str">
            <v>FL 1/30W매입</v>
          </cell>
          <cell r="D322" t="str">
            <v>EA</v>
          </cell>
          <cell r="Q322">
            <v>0</v>
          </cell>
          <cell r="S322" t="str">
            <v>내선</v>
          </cell>
          <cell r="T322">
            <v>0.26600000000000001</v>
          </cell>
        </row>
        <row r="323">
          <cell r="A323">
            <v>321</v>
          </cell>
          <cell r="B323" t="str">
            <v>등 기 구</v>
          </cell>
          <cell r="C323" t="str">
            <v>FL 2/30W매입</v>
          </cell>
          <cell r="D323" t="str">
            <v>EA</v>
          </cell>
          <cell r="Q323">
            <v>0</v>
          </cell>
          <cell r="S323" t="str">
            <v>내선</v>
          </cell>
          <cell r="T323">
            <v>0.36</v>
          </cell>
        </row>
        <row r="324">
          <cell r="A324">
            <v>322</v>
          </cell>
          <cell r="B324" t="str">
            <v>등 기 구</v>
          </cell>
          <cell r="C324" t="str">
            <v>FL 1/40W매입</v>
          </cell>
          <cell r="D324" t="str">
            <v>EA</v>
          </cell>
          <cell r="G324">
            <v>811</v>
          </cell>
          <cell r="H324">
            <v>26000</v>
          </cell>
          <cell r="Q324">
            <v>26000</v>
          </cell>
          <cell r="S324" t="str">
            <v>내선</v>
          </cell>
          <cell r="T324">
            <v>0.39900000000000002</v>
          </cell>
        </row>
        <row r="325">
          <cell r="A325">
            <v>323</v>
          </cell>
          <cell r="B325" t="str">
            <v>등 기 구</v>
          </cell>
          <cell r="C325" t="str">
            <v>FL 2/40방폭형</v>
          </cell>
          <cell r="D325" t="str">
            <v>EA</v>
          </cell>
          <cell r="G325">
            <v>818</v>
          </cell>
          <cell r="H325">
            <v>244000</v>
          </cell>
          <cell r="Q325">
            <v>244000</v>
          </cell>
          <cell r="S325" t="str">
            <v>내선</v>
          </cell>
          <cell r="T325">
            <v>0.73</v>
          </cell>
        </row>
        <row r="326">
          <cell r="A326">
            <v>324</v>
          </cell>
          <cell r="B326" t="str">
            <v>등 기 구(SUS)</v>
          </cell>
          <cell r="C326" t="str">
            <v>FL 1/40W매입</v>
          </cell>
          <cell r="D326" t="str">
            <v>EA</v>
          </cell>
          <cell r="K326" t="str">
            <v>신일조명</v>
          </cell>
          <cell r="L326">
            <v>34000</v>
          </cell>
          <cell r="Q326">
            <v>34000</v>
          </cell>
          <cell r="S326" t="str">
            <v>내선</v>
          </cell>
          <cell r="T326">
            <v>0.39900000000000002</v>
          </cell>
        </row>
        <row r="327">
          <cell r="A327">
            <v>325</v>
          </cell>
          <cell r="B327" t="str">
            <v>등 기 구(SUS)</v>
          </cell>
          <cell r="C327" t="str">
            <v>FL 1/40펜던트</v>
          </cell>
          <cell r="D327" t="str">
            <v>EA</v>
          </cell>
          <cell r="K327" t="str">
            <v>신일조명</v>
          </cell>
          <cell r="L327">
            <v>24500</v>
          </cell>
          <cell r="Q327">
            <v>24500</v>
          </cell>
          <cell r="S327" t="str">
            <v>내선</v>
          </cell>
          <cell r="T327">
            <v>0.29499999999999998</v>
          </cell>
        </row>
        <row r="328">
          <cell r="A328">
            <v>326</v>
          </cell>
          <cell r="B328" t="str">
            <v>램      프</v>
          </cell>
          <cell r="C328" t="str">
            <v>FL 10W  26㎜×330㎜</v>
          </cell>
          <cell r="D328" t="str">
            <v>EA</v>
          </cell>
          <cell r="G328">
            <v>807</v>
          </cell>
          <cell r="H328">
            <v>580</v>
          </cell>
          <cell r="Q328">
            <v>580</v>
          </cell>
        </row>
        <row r="329">
          <cell r="A329">
            <v>327</v>
          </cell>
          <cell r="B329" t="str">
            <v>램      프</v>
          </cell>
          <cell r="C329" t="str">
            <v>FL 20W  28㎜×590㎜</v>
          </cell>
          <cell r="D329" t="str">
            <v>EA</v>
          </cell>
          <cell r="G329">
            <v>807</v>
          </cell>
          <cell r="H329">
            <v>650</v>
          </cell>
          <cell r="Q329">
            <v>650</v>
          </cell>
        </row>
        <row r="330">
          <cell r="A330">
            <v>328</v>
          </cell>
          <cell r="B330" t="str">
            <v>램      프</v>
          </cell>
          <cell r="C330" t="str">
            <v>FL 30W  26㎜×893㎜</v>
          </cell>
          <cell r="D330" t="str">
            <v>EA</v>
          </cell>
          <cell r="G330">
            <v>807</v>
          </cell>
          <cell r="H330">
            <v>1450</v>
          </cell>
          <cell r="Q330">
            <v>1450</v>
          </cell>
        </row>
        <row r="331">
          <cell r="A331">
            <v>329</v>
          </cell>
          <cell r="B331" t="str">
            <v>램      프</v>
          </cell>
          <cell r="C331" t="str">
            <v>FL 40W  28㎜×1198㎜</v>
          </cell>
          <cell r="D331" t="str">
            <v>EA</v>
          </cell>
          <cell r="G331">
            <v>807</v>
          </cell>
          <cell r="H331">
            <v>980</v>
          </cell>
          <cell r="Q331">
            <v>980</v>
          </cell>
        </row>
        <row r="332">
          <cell r="A332">
            <v>330</v>
          </cell>
          <cell r="B332" t="str">
            <v>램      프</v>
          </cell>
          <cell r="C332" t="str">
            <v>FCL22W28.5㎜×216㎜</v>
          </cell>
          <cell r="D332" t="str">
            <v>EA</v>
          </cell>
          <cell r="G332">
            <v>807</v>
          </cell>
          <cell r="H332">
            <v>1300</v>
          </cell>
          <cell r="Q332">
            <v>1300</v>
          </cell>
        </row>
        <row r="333">
          <cell r="A333">
            <v>331</v>
          </cell>
          <cell r="B333" t="str">
            <v>램      프</v>
          </cell>
          <cell r="C333" t="str">
            <v>FCL30W28.5㎜×236㎜</v>
          </cell>
          <cell r="D333" t="str">
            <v>EA</v>
          </cell>
          <cell r="G333">
            <v>807</v>
          </cell>
          <cell r="H333">
            <v>1300</v>
          </cell>
          <cell r="Q333">
            <v>1300</v>
          </cell>
        </row>
        <row r="334">
          <cell r="A334">
            <v>332</v>
          </cell>
          <cell r="B334" t="str">
            <v>램      프</v>
          </cell>
          <cell r="C334" t="str">
            <v>FCL32W28.5㎜×312㎜</v>
          </cell>
          <cell r="D334" t="str">
            <v>EA</v>
          </cell>
          <cell r="G334">
            <v>807</v>
          </cell>
          <cell r="H334">
            <v>1800</v>
          </cell>
          <cell r="Q334">
            <v>1800</v>
          </cell>
        </row>
        <row r="335">
          <cell r="A335">
            <v>333</v>
          </cell>
          <cell r="B335" t="str">
            <v>램      프</v>
          </cell>
          <cell r="C335" t="str">
            <v>FCL40W28.5㎜×386㎜</v>
          </cell>
          <cell r="D335" t="str">
            <v>EA</v>
          </cell>
          <cell r="G335">
            <v>807</v>
          </cell>
          <cell r="H335">
            <v>2700</v>
          </cell>
          <cell r="Q335">
            <v>2700</v>
          </cell>
        </row>
        <row r="336">
          <cell r="A336">
            <v>334</v>
          </cell>
          <cell r="Q336" t="str">
            <v/>
          </cell>
        </row>
        <row r="337">
          <cell r="A337">
            <v>335</v>
          </cell>
          <cell r="Q337" t="str">
            <v/>
          </cell>
        </row>
        <row r="338">
          <cell r="A338">
            <v>336</v>
          </cell>
          <cell r="Q338" t="str">
            <v/>
          </cell>
        </row>
        <row r="339">
          <cell r="A339">
            <v>337</v>
          </cell>
          <cell r="B339" t="str">
            <v>램      프</v>
          </cell>
          <cell r="C339" t="str">
            <v>220V  IL 60W</v>
          </cell>
          <cell r="D339" t="str">
            <v>EA</v>
          </cell>
          <cell r="G339">
            <v>808</v>
          </cell>
          <cell r="H339">
            <v>220</v>
          </cell>
          <cell r="Q339">
            <v>220</v>
          </cell>
        </row>
        <row r="340">
          <cell r="A340">
            <v>338</v>
          </cell>
          <cell r="B340" t="str">
            <v>램      프</v>
          </cell>
          <cell r="C340" t="str">
            <v>220V  IL 100W</v>
          </cell>
          <cell r="D340" t="str">
            <v>EA</v>
          </cell>
          <cell r="G340">
            <v>808</v>
          </cell>
          <cell r="H340">
            <v>230</v>
          </cell>
          <cell r="Q340">
            <v>230</v>
          </cell>
        </row>
        <row r="341">
          <cell r="A341">
            <v>339</v>
          </cell>
          <cell r="B341" t="str">
            <v>램      프</v>
          </cell>
          <cell r="C341" t="str">
            <v>220V  IL 200W</v>
          </cell>
          <cell r="D341" t="str">
            <v>EA</v>
          </cell>
          <cell r="G341">
            <v>808</v>
          </cell>
          <cell r="H341">
            <v>380</v>
          </cell>
          <cell r="Q341">
            <v>380</v>
          </cell>
        </row>
        <row r="342">
          <cell r="A342">
            <v>340</v>
          </cell>
          <cell r="Q342" t="str">
            <v/>
          </cell>
        </row>
        <row r="343">
          <cell r="A343">
            <v>341</v>
          </cell>
          <cell r="Q343" t="str">
            <v/>
          </cell>
        </row>
        <row r="344">
          <cell r="A344">
            <v>342</v>
          </cell>
          <cell r="B344" t="str">
            <v>등 기 구</v>
          </cell>
          <cell r="C344" t="str">
            <v>MH 250W천정형</v>
          </cell>
          <cell r="D344" t="str">
            <v>EA</v>
          </cell>
          <cell r="G344">
            <v>810</v>
          </cell>
          <cell r="H344">
            <v>44000</v>
          </cell>
          <cell r="Q344">
            <v>44000</v>
          </cell>
          <cell r="S344" t="str">
            <v>내선</v>
          </cell>
          <cell r="T344">
            <v>0.495</v>
          </cell>
        </row>
        <row r="345">
          <cell r="A345">
            <v>343</v>
          </cell>
          <cell r="B345" t="str">
            <v>등 기 구</v>
          </cell>
          <cell r="C345" t="str">
            <v>MH 175W천정형</v>
          </cell>
          <cell r="D345" t="str">
            <v>EA</v>
          </cell>
          <cell r="G345">
            <v>810</v>
          </cell>
          <cell r="H345">
            <v>44000</v>
          </cell>
          <cell r="Q345">
            <v>44000</v>
          </cell>
          <cell r="S345" t="str">
            <v>내선</v>
          </cell>
          <cell r="T345">
            <v>0.44</v>
          </cell>
        </row>
        <row r="346">
          <cell r="A346">
            <v>344</v>
          </cell>
          <cell r="B346" t="str">
            <v>등 기 구</v>
          </cell>
          <cell r="C346" t="str">
            <v>MH 175W벽부형</v>
          </cell>
          <cell r="D346" t="str">
            <v>EA</v>
          </cell>
          <cell r="G346">
            <v>810</v>
          </cell>
          <cell r="H346">
            <v>45000</v>
          </cell>
          <cell r="Q346">
            <v>45000</v>
          </cell>
          <cell r="S346" t="str">
            <v>내선</v>
          </cell>
          <cell r="T346">
            <v>0.44</v>
          </cell>
        </row>
        <row r="347">
          <cell r="A347">
            <v>345</v>
          </cell>
          <cell r="Q347" t="str">
            <v/>
          </cell>
        </row>
        <row r="348">
          <cell r="A348">
            <v>346</v>
          </cell>
          <cell r="Q348" t="str">
            <v/>
          </cell>
        </row>
        <row r="349">
          <cell r="A349">
            <v>347</v>
          </cell>
          <cell r="Q349" t="str">
            <v/>
          </cell>
        </row>
        <row r="350">
          <cell r="A350">
            <v>348</v>
          </cell>
          <cell r="Q350" t="str">
            <v/>
          </cell>
        </row>
        <row r="351">
          <cell r="A351">
            <v>349</v>
          </cell>
          <cell r="B351" t="str">
            <v>메탈할라이드 램프</v>
          </cell>
          <cell r="C351" t="str">
            <v>MH 175W</v>
          </cell>
          <cell r="D351" t="str">
            <v>EA</v>
          </cell>
          <cell r="G351">
            <v>813</v>
          </cell>
          <cell r="H351">
            <v>15000</v>
          </cell>
          <cell r="Q351">
            <v>15000</v>
          </cell>
        </row>
        <row r="352">
          <cell r="A352">
            <v>350</v>
          </cell>
          <cell r="B352" t="str">
            <v>메탈할라이드 램프</v>
          </cell>
          <cell r="C352" t="str">
            <v>MH 250W</v>
          </cell>
          <cell r="D352" t="str">
            <v>EA</v>
          </cell>
          <cell r="G352">
            <v>813</v>
          </cell>
          <cell r="H352">
            <v>16000</v>
          </cell>
          <cell r="Q352">
            <v>16000</v>
          </cell>
        </row>
        <row r="353">
          <cell r="A353">
            <v>351</v>
          </cell>
          <cell r="Q353" t="str">
            <v/>
          </cell>
        </row>
        <row r="354">
          <cell r="A354">
            <v>352</v>
          </cell>
          <cell r="Q354" t="str">
            <v/>
          </cell>
        </row>
        <row r="355">
          <cell r="A355">
            <v>353</v>
          </cell>
          <cell r="Q355" t="str">
            <v/>
          </cell>
        </row>
        <row r="356">
          <cell r="A356">
            <v>354</v>
          </cell>
          <cell r="B356" t="str">
            <v>메탈할라이드 안정기</v>
          </cell>
          <cell r="C356" t="str">
            <v>220V/175W</v>
          </cell>
          <cell r="D356" t="str">
            <v>EA</v>
          </cell>
          <cell r="G356">
            <v>813</v>
          </cell>
          <cell r="H356">
            <v>22000</v>
          </cell>
          <cell r="Q356">
            <v>22000</v>
          </cell>
        </row>
        <row r="357">
          <cell r="A357">
            <v>355</v>
          </cell>
          <cell r="B357" t="str">
            <v>메탈할라이드 안정기</v>
          </cell>
          <cell r="C357" t="str">
            <v>220V/250W</v>
          </cell>
          <cell r="D357" t="str">
            <v>EA</v>
          </cell>
          <cell r="G357">
            <v>813</v>
          </cell>
          <cell r="H357">
            <v>25000</v>
          </cell>
          <cell r="Q357">
            <v>25000</v>
          </cell>
        </row>
        <row r="358">
          <cell r="A358">
            <v>356</v>
          </cell>
          <cell r="Q358" t="str">
            <v/>
          </cell>
        </row>
        <row r="359">
          <cell r="A359">
            <v>357</v>
          </cell>
          <cell r="Q359" t="str">
            <v/>
          </cell>
        </row>
        <row r="360">
          <cell r="A360">
            <v>358</v>
          </cell>
          <cell r="B360" t="str">
            <v>판넬</v>
          </cell>
          <cell r="D360" t="str">
            <v>면</v>
          </cell>
          <cell r="Q360">
            <v>0</v>
          </cell>
          <cell r="S360" t="str">
            <v>프전</v>
          </cell>
          <cell r="T360">
            <v>5.8</v>
          </cell>
          <cell r="U360" t="str">
            <v>보인</v>
          </cell>
          <cell r="V360">
            <v>1.9</v>
          </cell>
        </row>
        <row r="361">
          <cell r="A361">
            <v>359</v>
          </cell>
          <cell r="Q361" t="str">
            <v/>
          </cell>
        </row>
        <row r="362">
          <cell r="A362">
            <v>360</v>
          </cell>
          <cell r="B362" t="str">
            <v>전극식레벨</v>
          </cell>
          <cell r="C362" t="str">
            <v>3선 3극</v>
          </cell>
          <cell r="D362" t="str">
            <v>set</v>
          </cell>
          <cell r="G362">
            <v>794</v>
          </cell>
          <cell r="H362">
            <v>40000</v>
          </cell>
          <cell r="Q362">
            <v>40000</v>
          </cell>
          <cell r="S362" t="str">
            <v>내선</v>
          </cell>
          <cell r="T362">
            <v>0.8</v>
          </cell>
          <cell r="Y362" t="str">
            <v>공율은 전극봉지지기</v>
          </cell>
        </row>
        <row r="363">
          <cell r="A363">
            <v>361</v>
          </cell>
          <cell r="B363" t="str">
            <v>전극식레벨</v>
          </cell>
          <cell r="C363" t="str">
            <v>4선 4극</v>
          </cell>
          <cell r="D363" t="str">
            <v>set</v>
          </cell>
          <cell r="G363">
            <v>794</v>
          </cell>
          <cell r="H363">
            <v>85000</v>
          </cell>
          <cell r="Q363">
            <v>85000</v>
          </cell>
          <cell r="S363" t="str">
            <v>내선</v>
          </cell>
          <cell r="T363">
            <v>0.85</v>
          </cell>
          <cell r="Y363" t="str">
            <v>공율은 전극봉지지기</v>
          </cell>
        </row>
        <row r="364">
          <cell r="A364">
            <v>362</v>
          </cell>
          <cell r="B364" t="str">
            <v>전극식레벨</v>
          </cell>
          <cell r="C364" t="str">
            <v>5선 5극</v>
          </cell>
          <cell r="D364" t="str">
            <v>set</v>
          </cell>
          <cell r="G364">
            <v>794</v>
          </cell>
          <cell r="H364">
            <v>100000</v>
          </cell>
          <cell r="Q364">
            <v>100000</v>
          </cell>
          <cell r="S364" t="str">
            <v>내선</v>
          </cell>
          <cell r="T364">
            <v>1.1000000000000001</v>
          </cell>
          <cell r="Y364" t="str">
            <v>공율은 전극봉지지기</v>
          </cell>
        </row>
        <row r="365">
          <cell r="A365">
            <v>363</v>
          </cell>
          <cell r="Q365" t="str">
            <v/>
          </cell>
        </row>
        <row r="366">
          <cell r="A366">
            <v>364</v>
          </cell>
          <cell r="Q366" t="str">
            <v/>
          </cell>
        </row>
        <row r="367">
          <cell r="A367">
            <v>365</v>
          </cell>
          <cell r="B367" t="str">
            <v>AMP</v>
          </cell>
          <cell r="D367" t="str">
            <v>면</v>
          </cell>
          <cell r="Q367">
            <v>0</v>
          </cell>
          <cell r="S367" t="str">
            <v>통내</v>
          </cell>
          <cell r="T367">
            <v>9</v>
          </cell>
        </row>
        <row r="368">
          <cell r="A368">
            <v>366</v>
          </cell>
          <cell r="B368" t="str">
            <v>스피커</v>
          </cell>
          <cell r="C368" t="str">
            <v>3W  천정형</v>
          </cell>
          <cell r="D368" t="str">
            <v>EA</v>
          </cell>
          <cell r="G368">
            <v>838</v>
          </cell>
          <cell r="H368">
            <v>12000</v>
          </cell>
          <cell r="Q368">
            <v>12000</v>
          </cell>
          <cell r="S368" t="str">
            <v>통내</v>
          </cell>
          <cell r="T368">
            <v>0.45</v>
          </cell>
        </row>
        <row r="369">
          <cell r="A369">
            <v>367</v>
          </cell>
          <cell r="B369" t="str">
            <v>스피커</v>
          </cell>
          <cell r="C369" t="str">
            <v>3W 벽부형</v>
          </cell>
          <cell r="D369" t="str">
            <v>EA</v>
          </cell>
          <cell r="G369">
            <v>838</v>
          </cell>
          <cell r="H369">
            <v>12000</v>
          </cell>
          <cell r="Q369">
            <v>12000</v>
          </cell>
          <cell r="S369" t="str">
            <v>통내</v>
          </cell>
          <cell r="T369">
            <v>0.45</v>
          </cell>
        </row>
        <row r="370">
          <cell r="A370">
            <v>368</v>
          </cell>
          <cell r="B370" t="str">
            <v>스피커</v>
          </cell>
          <cell r="C370" t="str">
            <v>20W옥외칼럼형</v>
          </cell>
          <cell r="D370" t="str">
            <v>EA</v>
          </cell>
          <cell r="G370">
            <v>838</v>
          </cell>
          <cell r="H370">
            <v>40000</v>
          </cell>
          <cell r="Q370">
            <v>40000</v>
          </cell>
          <cell r="S370" t="str">
            <v>통내</v>
          </cell>
          <cell r="T370">
            <v>1</v>
          </cell>
        </row>
        <row r="371">
          <cell r="A371">
            <v>369</v>
          </cell>
          <cell r="B371" t="str">
            <v>스피커</v>
          </cell>
          <cell r="C371" t="str">
            <v xml:space="preserve">HORN형 10W  </v>
          </cell>
          <cell r="D371" t="str">
            <v>EA</v>
          </cell>
          <cell r="G371">
            <v>835</v>
          </cell>
          <cell r="H371">
            <v>35200</v>
          </cell>
          <cell r="Q371">
            <v>35200</v>
          </cell>
          <cell r="S371" t="str">
            <v>통내</v>
          </cell>
          <cell r="T371">
            <v>0.6</v>
          </cell>
        </row>
        <row r="372">
          <cell r="A372">
            <v>370</v>
          </cell>
          <cell r="B372" t="str">
            <v>스피커</v>
          </cell>
          <cell r="C372" t="str">
            <v xml:space="preserve">HORN형 30W  </v>
          </cell>
          <cell r="D372" t="str">
            <v>EA</v>
          </cell>
          <cell r="G372">
            <v>835</v>
          </cell>
          <cell r="H372">
            <v>46200</v>
          </cell>
          <cell r="Q372">
            <v>46200</v>
          </cell>
          <cell r="S372" t="str">
            <v>통내</v>
          </cell>
          <cell r="T372">
            <v>1</v>
          </cell>
        </row>
        <row r="373">
          <cell r="A373">
            <v>371</v>
          </cell>
          <cell r="Q373" t="str">
            <v/>
          </cell>
        </row>
        <row r="374">
          <cell r="A374">
            <v>372</v>
          </cell>
          <cell r="Q374" t="str">
            <v/>
          </cell>
        </row>
        <row r="375">
          <cell r="A375">
            <v>373</v>
          </cell>
          <cell r="B375" t="str">
            <v>인터폰</v>
          </cell>
          <cell r="C375" t="str">
            <v>전자연립식20회로</v>
          </cell>
          <cell r="D375" t="str">
            <v>EA</v>
          </cell>
          <cell r="G375">
            <v>861</v>
          </cell>
          <cell r="H375">
            <v>36000</v>
          </cell>
          <cell r="Q375">
            <v>36000</v>
          </cell>
          <cell r="S375" t="str">
            <v>통내</v>
          </cell>
          <cell r="T375">
            <v>1</v>
          </cell>
          <cell r="U375" t="str">
            <v>통설</v>
          </cell>
          <cell r="V375">
            <v>2</v>
          </cell>
        </row>
        <row r="376">
          <cell r="A376">
            <v>374</v>
          </cell>
          <cell r="Q376" t="str">
            <v/>
          </cell>
        </row>
        <row r="377">
          <cell r="A377">
            <v>375</v>
          </cell>
          <cell r="Q377" t="str">
            <v/>
          </cell>
        </row>
        <row r="378">
          <cell r="A378">
            <v>376</v>
          </cell>
          <cell r="B378" t="str">
            <v>차동식 스포트감지기</v>
          </cell>
          <cell r="C378" t="str">
            <v>2종</v>
          </cell>
          <cell r="D378" t="str">
            <v>EA</v>
          </cell>
          <cell r="G378">
            <v>650</v>
          </cell>
          <cell r="H378">
            <v>5000</v>
          </cell>
          <cell r="Q378">
            <v>5000</v>
          </cell>
          <cell r="S378" t="str">
            <v>내선</v>
          </cell>
          <cell r="T378">
            <v>0.14300000000000002</v>
          </cell>
        </row>
        <row r="379">
          <cell r="A379">
            <v>377</v>
          </cell>
          <cell r="B379" t="str">
            <v>광전식 연감지기</v>
          </cell>
          <cell r="C379" t="str">
            <v>비축적형</v>
          </cell>
          <cell r="D379" t="str">
            <v>EA</v>
          </cell>
          <cell r="G379">
            <v>650</v>
          </cell>
          <cell r="H379">
            <v>20000</v>
          </cell>
          <cell r="Q379">
            <v>20000</v>
          </cell>
          <cell r="S379" t="str">
            <v>내선</v>
          </cell>
          <cell r="T379">
            <v>0.14300000000000002</v>
          </cell>
        </row>
        <row r="380">
          <cell r="A380">
            <v>378</v>
          </cell>
          <cell r="B380" t="str">
            <v>정온식감지기</v>
          </cell>
          <cell r="C380" t="str">
            <v>1종</v>
          </cell>
          <cell r="D380" t="str">
            <v>EA</v>
          </cell>
          <cell r="G380">
            <v>650</v>
          </cell>
          <cell r="H380">
            <v>5000</v>
          </cell>
          <cell r="Q380">
            <v>5000</v>
          </cell>
          <cell r="S380" t="str">
            <v>내선</v>
          </cell>
          <cell r="T380">
            <v>0.14300000000000002</v>
          </cell>
        </row>
        <row r="381">
          <cell r="A381">
            <v>379</v>
          </cell>
          <cell r="B381" t="str">
            <v>유도등</v>
          </cell>
          <cell r="C381" t="str">
            <v>통로유도등</v>
          </cell>
          <cell r="D381" t="str">
            <v>EA</v>
          </cell>
          <cell r="G381">
            <v>650</v>
          </cell>
          <cell r="H381">
            <v>27000</v>
          </cell>
          <cell r="Q381">
            <v>27000</v>
          </cell>
          <cell r="S381" t="str">
            <v>내선</v>
          </cell>
          <cell r="T381">
            <v>0.79500000000000004</v>
          </cell>
        </row>
        <row r="382">
          <cell r="A382">
            <v>380</v>
          </cell>
          <cell r="B382" t="str">
            <v>유도등</v>
          </cell>
          <cell r="C382" t="str">
            <v>피난구유도등</v>
          </cell>
          <cell r="D382" t="str">
            <v>EA</v>
          </cell>
          <cell r="G382">
            <v>650</v>
          </cell>
          <cell r="H382">
            <v>25000</v>
          </cell>
          <cell r="Q382">
            <v>25000</v>
          </cell>
          <cell r="S382" t="str">
            <v>내선</v>
          </cell>
          <cell r="T382">
            <v>0.13500000000000001</v>
          </cell>
        </row>
        <row r="383">
          <cell r="A383">
            <v>381</v>
          </cell>
          <cell r="B383" t="str">
            <v>수동발신기</v>
          </cell>
          <cell r="D383" t="str">
            <v>EA</v>
          </cell>
          <cell r="G383">
            <v>650</v>
          </cell>
          <cell r="H383">
            <v>3500</v>
          </cell>
          <cell r="Q383">
            <v>3500</v>
          </cell>
          <cell r="S383" t="str">
            <v>내선</v>
          </cell>
          <cell r="T383">
            <v>0.3</v>
          </cell>
        </row>
        <row r="384">
          <cell r="A384">
            <v>382</v>
          </cell>
          <cell r="B384" t="str">
            <v>경종</v>
          </cell>
          <cell r="D384" t="str">
            <v>EA</v>
          </cell>
          <cell r="G384">
            <v>650</v>
          </cell>
          <cell r="H384">
            <v>5500</v>
          </cell>
          <cell r="Q384">
            <v>5500</v>
          </cell>
          <cell r="S384" t="str">
            <v>내선</v>
          </cell>
          <cell r="T384">
            <v>0.15</v>
          </cell>
        </row>
        <row r="385">
          <cell r="A385">
            <v>383</v>
          </cell>
          <cell r="B385" t="str">
            <v>표시등</v>
          </cell>
          <cell r="D385" t="str">
            <v>EA</v>
          </cell>
          <cell r="G385">
            <v>650</v>
          </cell>
          <cell r="H385">
            <v>1200</v>
          </cell>
          <cell r="Q385">
            <v>1200</v>
          </cell>
          <cell r="S385" t="str">
            <v>내선</v>
          </cell>
          <cell r="T385">
            <v>0.2</v>
          </cell>
        </row>
        <row r="386">
          <cell r="A386">
            <v>384</v>
          </cell>
          <cell r="B386" t="str">
            <v>속보세트 함</v>
          </cell>
          <cell r="D386" t="str">
            <v>EA</v>
          </cell>
          <cell r="K386" t="str">
            <v>동방전자</v>
          </cell>
          <cell r="L386">
            <v>6000</v>
          </cell>
          <cell r="Q386">
            <v>6000</v>
          </cell>
          <cell r="S386" t="str">
            <v>내선</v>
          </cell>
          <cell r="T386">
            <v>0.66</v>
          </cell>
        </row>
        <row r="387">
          <cell r="A387">
            <v>385</v>
          </cell>
          <cell r="Q387" t="str">
            <v/>
          </cell>
        </row>
        <row r="388">
          <cell r="A388">
            <v>386</v>
          </cell>
          <cell r="Q388" t="str">
            <v/>
          </cell>
        </row>
        <row r="389">
          <cell r="A389">
            <v>387</v>
          </cell>
          <cell r="B389" t="str">
            <v>수신기</v>
          </cell>
          <cell r="C389" t="str">
            <v>P형1급   10회로용</v>
          </cell>
          <cell r="D389" t="str">
            <v>set</v>
          </cell>
          <cell r="K389" t="str">
            <v>대우소방</v>
          </cell>
          <cell r="L389">
            <v>280000</v>
          </cell>
          <cell r="M389" t="str">
            <v>대일소방</v>
          </cell>
          <cell r="N389">
            <v>315000</v>
          </cell>
          <cell r="O389" t="str">
            <v>국민소방설비</v>
          </cell>
          <cell r="P389">
            <v>318000</v>
          </cell>
          <cell r="Q389">
            <v>280000</v>
          </cell>
          <cell r="S389" t="str">
            <v>내선</v>
          </cell>
          <cell r="T389">
            <v>9</v>
          </cell>
        </row>
        <row r="390">
          <cell r="A390">
            <v>388</v>
          </cell>
          <cell r="B390" t="str">
            <v>부표시기</v>
          </cell>
          <cell r="C390" t="str">
            <v xml:space="preserve"> 10회로용</v>
          </cell>
          <cell r="D390" t="str">
            <v>대</v>
          </cell>
          <cell r="G390">
            <v>650</v>
          </cell>
          <cell r="H390">
            <v>255000</v>
          </cell>
          <cell r="Q390">
            <v>255000</v>
          </cell>
          <cell r="S390" t="str">
            <v>내선</v>
          </cell>
          <cell r="T390">
            <v>4</v>
          </cell>
        </row>
        <row r="391">
          <cell r="A391">
            <v>389</v>
          </cell>
          <cell r="B391" t="str">
            <v>스프링쿨러수동조작함</v>
          </cell>
          <cell r="D391" t="str">
            <v>EA</v>
          </cell>
          <cell r="G391">
            <v>650</v>
          </cell>
          <cell r="H391">
            <v>30000</v>
          </cell>
          <cell r="Q391">
            <v>30000</v>
          </cell>
          <cell r="S391" t="str">
            <v>내선</v>
          </cell>
          <cell r="T391">
            <v>0.66</v>
          </cell>
        </row>
        <row r="392">
          <cell r="A392">
            <v>390</v>
          </cell>
          <cell r="B392" t="str">
            <v>전자 싸이렌</v>
          </cell>
          <cell r="D392" t="str">
            <v>EA</v>
          </cell>
          <cell r="G392">
            <v>650</v>
          </cell>
          <cell r="H392">
            <v>30000</v>
          </cell>
          <cell r="Q392">
            <v>30000</v>
          </cell>
          <cell r="S392" t="str">
            <v>통내</v>
          </cell>
          <cell r="T392">
            <v>1.6</v>
          </cell>
        </row>
        <row r="393">
          <cell r="A393">
            <v>391</v>
          </cell>
          <cell r="Q393" t="str">
            <v/>
          </cell>
        </row>
        <row r="394">
          <cell r="A394">
            <v>392</v>
          </cell>
          <cell r="Q394" t="str">
            <v/>
          </cell>
        </row>
        <row r="395">
          <cell r="A395">
            <v>393</v>
          </cell>
          <cell r="Q395" t="str">
            <v/>
          </cell>
        </row>
        <row r="396">
          <cell r="A396">
            <v>394</v>
          </cell>
          <cell r="B396" t="str">
            <v>가로등점멸기</v>
          </cell>
          <cell r="C396" t="str">
            <v>상시/격등</v>
          </cell>
          <cell r="D396" t="str">
            <v>대</v>
          </cell>
          <cell r="G396">
            <v>821</v>
          </cell>
          <cell r="H396">
            <v>3280000</v>
          </cell>
          <cell r="Q396">
            <v>3280000</v>
          </cell>
          <cell r="S396" t="str">
            <v>프전</v>
          </cell>
          <cell r="T396">
            <v>5.8</v>
          </cell>
          <cell r="U396" t="str">
            <v>보인</v>
          </cell>
          <cell r="V396">
            <v>1.9</v>
          </cell>
        </row>
        <row r="397">
          <cell r="A397">
            <v>395</v>
          </cell>
          <cell r="B397" t="str">
            <v>차광막</v>
          </cell>
          <cell r="D397" t="str">
            <v>대</v>
          </cell>
          <cell r="G397">
            <v>821</v>
          </cell>
          <cell r="H397">
            <v>150000</v>
          </cell>
          <cell r="Q397">
            <v>150000</v>
          </cell>
        </row>
        <row r="398">
          <cell r="A398">
            <v>396</v>
          </cell>
          <cell r="Q398" t="str">
            <v/>
          </cell>
        </row>
        <row r="399">
          <cell r="A399">
            <v>397</v>
          </cell>
          <cell r="B399" t="str">
            <v>가로등주</v>
          </cell>
          <cell r="C399" t="str">
            <v>8각테퍼7m폴1등용</v>
          </cell>
          <cell r="D399" t="str">
            <v>본</v>
          </cell>
          <cell r="G399">
            <v>825</v>
          </cell>
          <cell r="H399">
            <v>143000</v>
          </cell>
          <cell r="Q399">
            <v>143000</v>
          </cell>
          <cell r="S399" t="str">
            <v>내선</v>
          </cell>
          <cell r="T399">
            <v>2.52</v>
          </cell>
        </row>
        <row r="400">
          <cell r="A400">
            <v>398</v>
          </cell>
          <cell r="B400" t="str">
            <v>가로등주</v>
          </cell>
          <cell r="C400" t="str">
            <v>8각테퍼7m폴2등용</v>
          </cell>
          <cell r="D400" t="str">
            <v>본</v>
          </cell>
          <cell r="Q400">
            <v>0</v>
          </cell>
          <cell r="S400" t="str">
            <v>내선</v>
          </cell>
          <cell r="T400">
            <v>2.9</v>
          </cell>
        </row>
        <row r="401">
          <cell r="A401">
            <v>399</v>
          </cell>
          <cell r="B401" t="str">
            <v>가로등주</v>
          </cell>
          <cell r="C401" t="str">
            <v>8각테퍼8m폴1등용</v>
          </cell>
          <cell r="D401" t="str">
            <v>본</v>
          </cell>
          <cell r="G401">
            <v>825</v>
          </cell>
          <cell r="H401">
            <v>152000</v>
          </cell>
          <cell r="Q401">
            <v>152000</v>
          </cell>
          <cell r="S401" t="str">
            <v>내선</v>
          </cell>
          <cell r="T401">
            <v>2.76</v>
          </cell>
        </row>
        <row r="402">
          <cell r="A402">
            <v>400</v>
          </cell>
          <cell r="B402" t="str">
            <v>가로등주</v>
          </cell>
          <cell r="C402" t="str">
            <v>8각테퍼8m폴2등용</v>
          </cell>
          <cell r="D402" t="str">
            <v>본</v>
          </cell>
          <cell r="Q402">
            <v>0</v>
          </cell>
          <cell r="S402" t="str">
            <v>내선</v>
          </cell>
          <cell r="T402">
            <v>3.08</v>
          </cell>
        </row>
        <row r="403">
          <cell r="A403">
            <v>401</v>
          </cell>
          <cell r="B403" t="str">
            <v>가로등주</v>
          </cell>
          <cell r="C403" t="str">
            <v>8각테퍼8.5m폴1등용</v>
          </cell>
          <cell r="D403" t="str">
            <v>본</v>
          </cell>
          <cell r="G403">
            <v>825</v>
          </cell>
          <cell r="H403">
            <v>157000</v>
          </cell>
          <cell r="K403" t="str">
            <v>조일조명(10/28)</v>
          </cell>
          <cell r="L403">
            <v>195000</v>
          </cell>
          <cell r="Q403">
            <v>157000</v>
          </cell>
          <cell r="S403" t="str">
            <v>내선</v>
          </cell>
          <cell r="T403">
            <v>3.13</v>
          </cell>
        </row>
        <row r="404">
          <cell r="A404">
            <v>402</v>
          </cell>
          <cell r="B404" t="str">
            <v>가로등주</v>
          </cell>
          <cell r="C404" t="str">
            <v>8각테퍼8.5m폴2등용</v>
          </cell>
          <cell r="D404" t="str">
            <v>본</v>
          </cell>
          <cell r="Q404">
            <v>0</v>
          </cell>
          <cell r="S404" t="str">
            <v>내선</v>
          </cell>
          <cell r="T404">
            <v>3.37</v>
          </cell>
        </row>
        <row r="405">
          <cell r="A405">
            <v>403</v>
          </cell>
          <cell r="B405" t="str">
            <v>가로등주</v>
          </cell>
          <cell r="C405" t="str">
            <v>8각테퍼9m폴1등용</v>
          </cell>
          <cell r="D405" t="str">
            <v>본</v>
          </cell>
          <cell r="G405">
            <v>825</v>
          </cell>
          <cell r="H405">
            <v>200000</v>
          </cell>
          <cell r="Q405">
            <v>200000</v>
          </cell>
          <cell r="S405" t="str">
            <v>내선</v>
          </cell>
          <cell r="T405">
            <v>3.13</v>
          </cell>
        </row>
        <row r="406">
          <cell r="A406">
            <v>404</v>
          </cell>
          <cell r="B406" t="str">
            <v>가로등주</v>
          </cell>
          <cell r="C406" t="str">
            <v>8각테퍼9m폴2등용</v>
          </cell>
          <cell r="D406" t="str">
            <v>본</v>
          </cell>
          <cell r="Q406">
            <v>0</v>
          </cell>
          <cell r="S406" t="str">
            <v>내선</v>
          </cell>
          <cell r="T406">
            <v>3.37</v>
          </cell>
        </row>
        <row r="407">
          <cell r="A407">
            <v>405</v>
          </cell>
          <cell r="B407" t="str">
            <v>가로등주</v>
          </cell>
          <cell r="C407" t="str">
            <v>8각테퍼10m폴1등용</v>
          </cell>
          <cell r="D407" t="str">
            <v>본</v>
          </cell>
          <cell r="G407">
            <v>825</v>
          </cell>
          <cell r="H407">
            <v>211000</v>
          </cell>
          <cell r="Q407">
            <v>211000</v>
          </cell>
          <cell r="S407" t="str">
            <v>내선</v>
          </cell>
          <cell r="T407">
            <v>3.49</v>
          </cell>
        </row>
        <row r="408">
          <cell r="A408">
            <v>406</v>
          </cell>
          <cell r="B408" t="str">
            <v>가로등주</v>
          </cell>
          <cell r="C408" t="str">
            <v>8각테퍼10m폴2등용</v>
          </cell>
          <cell r="D408" t="str">
            <v>본</v>
          </cell>
          <cell r="Q408">
            <v>0</v>
          </cell>
          <cell r="S408" t="str">
            <v>내선</v>
          </cell>
          <cell r="T408">
            <v>3.7</v>
          </cell>
        </row>
        <row r="409">
          <cell r="A409">
            <v>407</v>
          </cell>
          <cell r="B409" t="str">
            <v>가로등주</v>
          </cell>
          <cell r="C409" t="str">
            <v>8각테퍼11m폴1등용</v>
          </cell>
          <cell r="D409" t="str">
            <v>본</v>
          </cell>
          <cell r="G409">
            <v>825</v>
          </cell>
          <cell r="H409">
            <v>225000</v>
          </cell>
          <cell r="Q409">
            <v>225000</v>
          </cell>
          <cell r="S409" t="str">
            <v>내선</v>
          </cell>
          <cell r="T409">
            <v>4.1900000000000004</v>
          </cell>
        </row>
        <row r="410">
          <cell r="A410">
            <v>408</v>
          </cell>
          <cell r="B410" t="str">
            <v>가로등주</v>
          </cell>
          <cell r="C410" t="str">
            <v>8각테퍼11m폴2등용</v>
          </cell>
          <cell r="D410" t="str">
            <v>본</v>
          </cell>
          <cell r="Q410">
            <v>0</v>
          </cell>
          <cell r="S410" t="str">
            <v>내선</v>
          </cell>
          <cell r="T410">
            <v>4.4000000000000004</v>
          </cell>
        </row>
        <row r="411">
          <cell r="A411">
            <v>409</v>
          </cell>
          <cell r="B411" t="str">
            <v>가로등주</v>
          </cell>
          <cell r="C411" t="str">
            <v>주철 10m폴2등용</v>
          </cell>
          <cell r="D411" t="str">
            <v>본</v>
          </cell>
          <cell r="K411" t="str">
            <v>(주) 보명</v>
          </cell>
          <cell r="L411">
            <v>1284000</v>
          </cell>
          <cell r="Q411">
            <v>1284000</v>
          </cell>
          <cell r="S411" t="str">
            <v>내선</v>
          </cell>
          <cell r="T411">
            <v>3.7</v>
          </cell>
        </row>
        <row r="412">
          <cell r="A412">
            <v>410</v>
          </cell>
          <cell r="B412" t="str">
            <v>가로등 NH등기구</v>
          </cell>
          <cell r="C412" t="str">
            <v>세종로대형</v>
          </cell>
          <cell r="D412" t="str">
            <v>EA</v>
          </cell>
          <cell r="G412">
            <v>810</v>
          </cell>
          <cell r="H412">
            <v>63000</v>
          </cell>
          <cell r="Q412">
            <v>63000</v>
          </cell>
        </row>
        <row r="413">
          <cell r="A413">
            <v>411</v>
          </cell>
          <cell r="B413" t="str">
            <v>가로등 NH등기구</v>
          </cell>
          <cell r="C413" t="str">
            <v>세종로소형</v>
          </cell>
          <cell r="D413" t="str">
            <v>EA</v>
          </cell>
          <cell r="G413">
            <v>810</v>
          </cell>
          <cell r="H413">
            <v>54000</v>
          </cell>
          <cell r="Q413">
            <v>54000</v>
          </cell>
        </row>
        <row r="414">
          <cell r="A414">
            <v>412</v>
          </cell>
          <cell r="B414" t="str">
            <v>고압나트륨등기구</v>
          </cell>
          <cell r="C414" t="str">
            <v xml:space="preserve">NH250W  </v>
          </cell>
          <cell r="D414" t="str">
            <v>EA</v>
          </cell>
          <cell r="G414">
            <v>810</v>
          </cell>
          <cell r="H414">
            <v>63000</v>
          </cell>
          <cell r="Q414">
            <v>63000</v>
          </cell>
          <cell r="S414" t="str">
            <v>내선</v>
          </cell>
          <cell r="T414">
            <v>0.495</v>
          </cell>
        </row>
        <row r="415">
          <cell r="A415">
            <v>413</v>
          </cell>
          <cell r="B415" t="str">
            <v>고압나트륨등기구</v>
          </cell>
          <cell r="C415" t="str">
            <v>NH400W</v>
          </cell>
          <cell r="D415" t="str">
            <v>EA</v>
          </cell>
          <cell r="G415">
            <v>810</v>
          </cell>
          <cell r="H415">
            <v>63000</v>
          </cell>
          <cell r="Q415">
            <v>63000</v>
          </cell>
          <cell r="S415" t="str">
            <v>내선</v>
          </cell>
          <cell r="T415">
            <v>0.53</v>
          </cell>
        </row>
        <row r="416">
          <cell r="A416">
            <v>414</v>
          </cell>
          <cell r="B416" t="str">
            <v>터널등기구(AL판)</v>
          </cell>
          <cell r="C416" t="str">
            <v>NXT 35W</v>
          </cell>
          <cell r="D416" t="str">
            <v>EA</v>
          </cell>
          <cell r="G416">
            <v>810</v>
          </cell>
          <cell r="H416">
            <v>67500</v>
          </cell>
          <cell r="Q416">
            <v>67500</v>
          </cell>
          <cell r="S416" t="str">
            <v>내선</v>
          </cell>
          <cell r="T416">
            <v>0.38</v>
          </cell>
        </row>
        <row r="417">
          <cell r="A417">
            <v>415</v>
          </cell>
          <cell r="B417" t="str">
            <v>터널등기구(AL판)</v>
          </cell>
          <cell r="C417" t="str">
            <v>NXT 90W</v>
          </cell>
          <cell r="D417" t="str">
            <v>EA</v>
          </cell>
          <cell r="G417">
            <v>810</v>
          </cell>
          <cell r="H417">
            <v>88000</v>
          </cell>
          <cell r="Q417">
            <v>88000</v>
          </cell>
          <cell r="S417" t="str">
            <v>내선</v>
          </cell>
          <cell r="T417">
            <v>0.38</v>
          </cell>
        </row>
        <row r="418">
          <cell r="A418">
            <v>416</v>
          </cell>
          <cell r="B418" t="str">
            <v>터널등기구(AL판)</v>
          </cell>
          <cell r="C418" t="str">
            <v>NXT 135W</v>
          </cell>
          <cell r="D418" t="str">
            <v>EA</v>
          </cell>
          <cell r="G418">
            <v>810</v>
          </cell>
          <cell r="H418">
            <v>113000</v>
          </cell>
          <cell r="Q418">
            <v>113000</v>
          </cell>
          <cell r="S418" t="str">
            <v>내선</v>
          </cell>
          <cell r="T418">
            <v>0.44</v>
          </cell>
        </row>
        <row r="419">
          <cell r="A419">
            <v>417</v>
          </cell>
          <cell r="B419" t="str">
            <v>터널등기구(AL판)</v>
          </cell>
          <cell r="C419" t="str">
            <v>NXT 180W</v>
          </cell>
          <cell r="D419" t="str">
            <v>EA</v>
          </cell>
          <cell r="G419">
            <v>810</v>
          </cell>
          <cell r="H419">
            <v>135000</v>
          </cell>
          <cell r="Q419">
            <v>135000</v>
          </cell>
          <cell r="S419" t="str">
            <v>내선</v>
          </cell>
          <cell r="T419">
            <v>0.44</v>
          </cell>
        </row>
        <row r="420">
          <cell r="A420">
            <v>418</v>
          </cell>
          <cell r="B420" t="str">
            <v>내압방폭백열등</v>
          </cell>
          <cell r="C420" t="str">
            <v>IL 220V/200W</v>
          </cell>
          <cell r="D420" t="str">
            <v>EA</v>
          </cell>
          <cell r="G420">
            <v>818</v>
          </cell>
          <cell r="H420">
            <v>90450</v>
          </cell>
          <cell r="Q420">
            <v>90450</v>
          </cell>
          <cell r="S420" t="str">
            <v>내선</v>
          </cell>
          <cell r="T420">
            <v>0.38</v>
          </cell>
        </row>
        <row r="421">
          <cell r="A421">
            <v>419</v>
          </cell>
          <cell r="Q421" t="str">
            <v/>
          </cell>
        </row>
        <row r="422">
          <cell r="A422">
            <v>420</v>
          </cell>
          <cell r="Q422" t="str">
            <v/>
          </cell>
        </row>
        <row r="423">
          <cell r="A423">
            <v>421</v>
          </cell>
          <cell r="B423" t="str">
            <v>고압나트륨램프</v>
          </cell>
          <cell r="C423" t="str">
            <v>NH  150W</v>
          </cell>
          <cell r="D423" t="str">
            <v>EA</v>
          </cell>
          <cell r="G423">
            <v>814</v>
          </cell>
          <cell r="H423">
            <v>12000</v>
          </cell>
          <cell r="Q423">
            <v>12000</v>
          </cell>
        </row>
        <row r="424">
          <cell r="A424">
            <v>422</v>
          </cell>
          <cell r="B424" t="str">
            <v>고압나트륨램프</v>
          </cell>
          <cell r="C424" t="str">
            <v>NH  250W</v>
          </cell>
          <cell r="D424" t="str">
            <v>EA</v>
          </cell>
          <cell r="G424">
            <v>814</v>
          </cell>
          <cell r="H424">
            <v>12500</v>
          </cell>
          <cell r="Q424">
            <v>12500</v>
          </cell>
        </row>
        <row r="425">
          <cell r="A425">
            <v>423</v>
          </cell>
          <cell r="B425" t="str">
            <v>고압나트륨램프</v>
          </cell>
          <cell r="C425" t="str">
            <v>NH  400W</v>
          </cell>
          <cell r="D425" t="str">
            <v>EA</v>
          </cell>
          <cell r="G425">
            <v>814</v>
          </cell>
          <cell r="H425">
            <v>16000</v>
          </cell>
          <cell r="Q425">
            <v>16000</v>
          </cell>
        </row>
        <row r="426">
          <cell r="A426">
            <v>424</v>
          </cell>
          <cell r="Q426" t="str">
            <v/>
          </cell>
        </row>
        <row r="427">
          <cell r="A427">
            <v>425</v>
          </cell>
          <cell r="Q427" t="str">
            <v/>
          </cell>
        </row>
        <row r="428">
          <cell r="A428">
            <v>426</v>
          </cell>
          <cell r="B428" t="str">
            <v>고압나트륨안정기</v>
          </cell>
          <cell r="C428" t="str">
            <v>220V/150W</v>
          </cell>
          <cell r="D428" t="str">
            <v>EA</v>
          </cell>
          <cell r="G428">
            <v>814</v>
          </cell>
          <cell r="H428">
            <v>18000</v>
          </cell>
          <cell r="Q428">
            <v>18000</v>
          </cell>
        </row>
        <row r="429">
          <cell r="A429">
            <v>427</v>
          </cell>
          <cell r="B429" t="str">
            <v>고압나트륨안정기</v>
          </cell>
          <cell r="C429" t="str">
            <v>220V/250W</v>
          </cell>
          <cell r="D429" t="str">
            <v>EA</v>
          </cell>
          <cell r="G429">
            <v>814</v>
          </cell>
          <cell r="H429">
            <v>22000</v>
          </cell>
          <cell r="Q429">
            <v>22000</v>
          </cell>
        </row>
        <row r="430">
          <cell r="A430">
            <v>428</v>
          </cell>
          <cell r="B430" t="str">
            <v>고압나트륨안정기</v>
          </cell>
          <cell r="C430" t="str">
            <v>220V/400W</v>
          </cell>
          <cell r="D430" t="str">
            <v>EA</v>
          </cell>
          <cell r="G430">
            <v>814</v>
          </cell>
          <cell r="H430">
            <v>24000</v>
          </cell>
          <cell r="Q430">
            <v>24000</v>
          </cell>
        </row>
        <row r="431">
          <cell r="A431">
            <v>429</v>
          </cell>
          <cell r="Q431" t="str">
            <v/>
          </cell>
        </row>
        <row r="432">
          <cell r="A432">
            <v>430</v>
          </cell>
          <cell r="Q432" t="str">
            <v/>
          </cell>
        </row>
        <row r="433">
          <cell r="A433">
            <v>431</v>
          </cell>
          <cell r="B433" t="str">
            <v>저압나트륨램프</v>
          </cell>
          <cell r="C433" t="str">
            <v>NXT 36W</v>
          </cell>
          <cell r="D433" t="str">
            <v>EA</v>
          </cell>
          <cell r="G433">
            <v>814</v>
          </cell>
          <cell r="H433">
            <v>28000</v>
          </cell>
          <cell r="Q433">
            <v>28000</v>
          </cell>
        </row>
        <row r="434">
          <cell r="A434">
            <v>432</v>
          </cell>
          <cell r="B434" t="str">
            <v>저압나트륨램프</v>
          </cell>
          <cell r="C434" t="str">
            <v>NXT 66W</v>
          </cell>
          <cell r="D434" t="str">
            <v>EA</v>
          </cell>
          <cell r="G434">
            <v>814</v>
          </cell>
          <cell r="H434">
            <v>32000</v>
          </cell>
          <cell r="Q434">
            <v>32000</v>
          </cell>
        </row>
        <row r="435">
          <cell r="A435">
            <v>433</v>
          </cell>
          <cell r="B435" t="str">
            <v>저압나트륨램프</v>
          </cell>
          <cell r="C435" t="str">
            <v>NXT 91W</v>
          </cell>
          <cell r="D435" t="str">
            <v>EA</v>
          </cell>
          <cell r="G435">
            <v>814</v>
          </cell>
          <cell r="H435">
            <v>38000</v>
          </cell>
          <cell r="Q435">
            <v>38000</v>
          </cell>
        </row>
        <row r="436">
          <cell r="A436">
            <v>434</v>
          </cell>
          <cell r="B436" t="str">
            <v>저압나트륨램프</v>
          </cell>
          <cell r="C436" t="str">
            <v>NXT 131W</v>
          </cell>
          <cell r="D436" t="str">
            <v>EA</v>
          </cell>
          <cell r="G436">
            <v>814</v>
          </cell>
          <cell r="H436">
            <v>50000</v>
          </cell>
          <cell r="Q436">
            <v>50000</v>
          </cell>
        </row>
        <row r="437">
          <cell r="A437">
            <v>435</v>
          </cell>
          <cell r="Q437" t="str">
            <v/>
          </cell>
        </row>
        <row r="438">
          <cell r="A438">
            <v>436</v>
          </cell>
          <cell r="Q438" t="str">
            <v/>
          </cell>
        </row>
        <row r="439">
          <cell r="A439">
            <v>437</v>
          </cell>
          <cell r="B439" t="str">
            <v>저압나트륨안정기</v>
          </cell>
          <cell r="C439" t="str">
            <v>NXT 36W</v>
          </cell>
          <cell r="D439" t="str">
            <v>EA</v>
          </cell>
          <cell r="G439">
            <v>814</v>
          </cell>
          <cell r="H439">
            <v>29000</v>
          </cell>
          <cell r="Q439">
            <v>29000</v>
          </cell>
        </row>
        <row r="440">
          <cell r="A440">
            <v>438</v>
          </cell>
          <cell r="B440" t="str">
            <v>저압나트륨안정기</v>
          </cell>
          <cell r="C440" t="str">
            <v>NXT 66W</v>
          </cell>
          <cell r="D440" t="str">
            <v>EA</v>
          </cell>
          <cell r="G440">
            <v>814</v>
          </cell>
          <cell r="H440">
            <v>32000</v>
          </cell>
          <cell r="Q440">
            <v>32000</v>
          </cell>
        </row>
        <row r="441">
          <cell r="A441">
            <v>439</v>
          </cell>
          <cell r="B441" t="str">
            <v>저압나트륨안정기</v>
          </cell>
          <cell r="C441" t="str">
            <v>NXT 91W</v>
          </cell>
          <cell r="D441" t="str">
            <v>EA</v>
          </cell>
          <cell r="G441">
            <v>814</v>
          </cell>
          <cell r="H441">
            <v>35000</v>
          </cell>
          <cell r="Q441">
            <v>35000</v>
          </cell>
        </row>
        <row r="442">
          <cell r="A442">
            <v>440</v>
          </cell>
          <cell r="B442" t="str">
            <v>저압나트륨안정기</v>
          </cell>
          <cell r="C442" t="str">
            <v>NXT 131W</v>
          </cell>
          <cell r="D442" t="str">
            <v>EA</v>
          </cell>
          <cell r="G442">
            <v>814</v>
          </cell>
          <cell r="H442">
            <v>38000</v>
          </cell>
          <cell r="Q442">
            <v>38000</v>
          </cell>
        </row>
        <row r="443">
          <cell r="A443">
            <v>441</v>
          </cell>
          <cell r="Q443" t="str">
            <v/>
          </cell>
        </row>
        <row r="444">
          <cell r="A444">
            <v>442</v>
          </cell>
          <cell r="Q444" t="str">
            <v/>
          </cell>
        </row>
        <row r="445">
          <cell r="A445">
            <v>443</v>
          </cell>
          <cell r="Q445" t="str">
            <v/>
          </cell>
        </row>
        <row r="446">
          <cell r="A446">
            <v>444</v>
          </cell>
          <cell r="B446" t="str">
            <v>STRAIGHT TRAY(H.D.G)</v>
          </cell>
          <cell r="C446" t="str">
            <v>150W×100H</v>
          </cell>
          <cell r="D446" t="str">
            <v>m</v>
          </cell>
          <cell r="G446">
            <v>753</v>
          </cell>
          <cell r="H446">
            <v>8700</v>
          </cell>
          <cell r="Q446">
            <v>8700</v>
          </cell>
          <cell r="S446" t="str">
            <v>내선</v>
          </cell>
          <cell r="T446">
            <v>0.22500000000000001</v>
          </cell>
          <cell r="Y446" t="str">
            <v>4m이상: 20%증</v>
          </cell>
        </row>
        <row r="447">
          <cell r="A447">
            <v>445</v>
          </cell>
          <cell r="B447" t="str">
            <v>STRAIGHT TRAY(H.D.G)</v>
          </cell>
          <cell r="C447" t="str">
            <v>150W×150H</v>
          </cell>
          <cell r="D447" t="str">
            <v>m</v>
          </cell>
          <cell r="G447">
            <v>753</v>
          </cell>
          <cell r="H447">
            <v>11600</v>
          </cell>
          <cell r="Q447">
            <v>11600</v>
          </cell>
          <cell r="S447" t="str">
            <v>내선</v>
          </cell>
          <cell r="T447">
            <v>0.22500000000000001</v>
          </cell>
        </row>
        <row r="448">
          <cell r="A448">
            <v>446</v>
          </cell>
          <cell r="B448" t="str">
            <v>STRAIGHT TRAY(H.D.G)</v>
          </cell>
          <cell r="C448" t="str">
            <v>200W×100H</v>
          </cell>
          <cell r="D448" t="str">
            <v>m</v>
          </cell>
          <cell r="G448">
            <v>753</v>
          </cell>
          <cell r="H448">
            <v>9000</v>
          </cell>
          <cell r="Q448">
            <v>9000</v>
          </cell>
          <cell r="S448" t="str">
            <v>내선</v>
          </cell>
          <cell r="T448">
            <v>0.22500000000000001</v>
          </cell>
        </row>
        <row r="449">
          <cell r="A449">
            <v>447</v>
          </cell>
          <cell r="B449" t="str">
            <v>STRAIGHT TRAY(H.D.G)</v>
          </cell>
          <cell r="C449" t="str">
            <v>200W×150H</v>
          </cell>
          <cell r="D449" t="str">
            <v>m</v>
          </cell>
          <cell r="G449">
            <v>753</v>
          </cell>
          <cell r="H449">
            <v>11900</v>
          </cell>
          <cell r="Q449">
            <v>11900</v>
          </cell>
          <cell r="S449" t="str">
            <v>내선</v>
          </cell>
          <cell r="T449">
            <v>0.22500000000000001</v>
          </cell>
        </row>
        <row r="450">
          <cell r="A450">
            <v>448</v>
          </cell>
          <cell r="B450" t="str">
            <v>STRAIGHT TRAY(H.D.G)</v>
          </cell>
          <cell r="C450" t="str">
            <v>300W×100H</v>
          </cell>
          <cell r="D450" t="str">
            <v>m</v>
          </cell>
          <cell r="G450">
            <v>753</v>
          </cell>
          <cell r="H450">
            <v>9600</v>
          </cell>
          <cell r="Q450">
            <v>9600</v>
          </cell>
          <cell r="S450" t="str">
            <v>내선</v>
          </cell>
          <cell r="T450">
            <v>0.28499999999999998</v>
          </cell>
        </row>
        <row r="451">
          <cell r="A451">
            <v>449</v>
          </cell>
          <cell r="B451" t="str">
            <v>STRAIGHT TRAY(H.D.G)</v>
          </cell>
          <cell r="C451" t="str">
            <v>300W×150H</v>
          </cell>
          <cell r="D451" t="str">
            <v>m</v>
          </cell>
          <cell r="G451">
            <v>753</v>
          </cell>
          <cell r="H451">
            <v>12600</v>
          </cell>
          <cell r="Q451">
            <v>12600</v>
          </cell>
          <cell r="S451" t="str">
            <v>내선</v>
          </cell>
          <cell r="T451">
            <v>0.28499999999999998</v>
          </cell>
        </row>
        <row r="452">
          <cell r="A452">
            <v>450</v>
          </cell>
          <cell r="B452" t="str">
            <v>STRAIGHT TRAY(H.D.G)</v>
          </cell>
          <cell r="C452" t="str">
            <v>400W×100H</v>
          </cell>
          <cell r="D452" t="str">
            <v>m</v>
          </cell>
          <cell r="G452">
            <v>753</v>
          </cell>
          <cell r="H452">
            <v>10200</v>
          </cell>
          <cell r="Q452">
            <v>10200</v>
          </cell>
          <cell r="S452" t="str">
            <v>내선</v>
          </cell>
          <cell r="T452">
            <v>0.33500000000000002</v>
          </cell>
        </row>
        <row r="453">
          <cell r="A453">
            <v>451</v>
          </cell>
          <cell r="B453" t="str">
            <v>STRAIGHT TRAY(H.D.G)</v>
          </cell>
          <cell r="C453" t="str">
            <v>400W×150H</v>
          </cell>
          <cell r="D453" t="str">
            <v>m</v>
          </cell>
          <cell r="G453">
            <v>753</v>
          </cell>
          <cell r="H453">
            <v>13200</v>
          </cell>
          <cell r="Q453">
            <v>13200</v>
          </cell>
          <cell r="S453" t="str">
            <v>내선</v>
          </cell>
          <cell r="T453">
            <v>0.33500000000000002</v>
          </cell>
        </row>
        <row r="454">
          <cell r="A454">
            <v>452</v>
          </cell>
          <cell r="B454" t="str">
            <v>STRAIGHT TRAY(H.D.G)</v>
          </cell>
          <cell r="C454" t="str">
            <v>500W×100H</v>
          </cell>
          <cell r="D454" t="str">
            <v>m</v>
          </cell>
          <cell r="G454">
            <v>753</v>
          </cell>
          <cell r="H454">
            <v>10800</v>
          </cell>
          <cell r="Q454">
            <v>10800</v>
          </cell>
          <cell r="S454" t="str">
            <v>내선</v>
          </cell>
          <cell r="T454">
            <v>0.44500000000000001</v>
          </cell>
        </row>
        <row r="455">
          <cell r="A455">
            <v>453</v>
          </cell>
          <cell r="B455" t="str">
            <v>STRAIGHT TRAY(H.D.G)</v>
          </cell>
          <cell r="C455" t="str">
            <v>500W×150H</v>
          </cell>
          <cell r="D455" t="str">
            <v>m</v>
          </cell>
          <cell r="G455">
            <v>753</v>
          </cell>
          <cell r="H455">
            <v>13800</v>
          </cell>
          <cell r="Q455">
            <v>13800</v>
          </cell>
          <cell r="S455" t="str">
            <v>내선</v>
          </cell>
          <cell r="T455">
            <v>0.44500000000000001</v>
          </cell>
        </row>
        <row r="456">
          <cell r="A456">
            <v>454</v>
          </cell>
          <cell r="B456" t="str">
            <v>STRAIGHT TRAY(H.D.G)</v>
          </cell>
          <cell r="C456" t="str">
            <v>600W×100H</v>
          </cell>
          <cell r="D456" t="str">
            <v>m</v>
          </cell>
          <cell r="G456">
            <v>753</v>
          </cell>
          <cell r="H456">
            <v>11500</v>
          </cell>
          <cell r="Q456">
            <v>11500</v>
          </cell>
          <cell r="S456" t="str">
            <v>내선</v>
          </cell>
          <cell r="T456">
            <v>0.52</v>
          </cell>
        </row>
        <row r="457">
          <cell r="A457">
            <v>455</v>
          </cell>
          <cell r="B457" t="str">
            <v>STRAIGHT TRAY(H.D.G)</v>
          </cell>
          <cell r="C457" t="str">
            <v>600W×150H</v>
          </cell>
          <cell r="D457" t="str">
            <v>m</v>
          </cell>
          <cell r="G457">
            <v>753</v>
          </cell>
          <cell r="H457">
            <v>14400</v>
          </cell>
          <cell r="Q457">
            <v>14400</v>
          </cell>
          <cell r="S457" t="str">
            <v>내선</v>
          </cell>
          <cell r="T457">
            <v>0.52</v>
          </cell>
        </row>
        <row r="458">
          <cell r="A458">
            <v>456</v>
          </cell>
          <cell r="Q458" t="str">
            <v/>
          </cell>
        </row>
        <row r="459">
          <cell r="A459">
            <v>457</v>
          </cell>
          <cell r="B459" t="str">
            <v>HOR-ELBOW (H.D.G)</v>
          </cell>
          <cell r="C459" t="str">
            <v>150W×100H</v>
          </cell>
          <cell r="D459" t="str">
            <v>EA</v>
          </cell>
          <cell r="G459">
            <v>753</v>
          </cell>
          <cell r="H459">
            <v>10300</v>
          </cell>
          <cell r="Q459">
            <v>10300</v>
          </cell>
          <cell r="S459" t="str">
            <v>내선</v>
          </cell>
          <cell r="T459">
            <v>0.22500000000000001</v>
          </cell>
        </row>
        <row r="460">
          <cell r="A460">
            <v>458</v>
          </cell>
          <cell r="B460" t="str">
            <v>HOR-ELBOW (H.D.G)</v>
          </cell>
          <cell r="C460" t="str">
            <v>150W×150H</v>
          </cell>
          <cell r="D460" t="str">
            <v>EA</v>
          </cell>
          <cell r="G460">
            <v>753</v>
          </cell>
          <cell r="H460">
            <v>13700</v>
          </cell>
          <cell r="Q460">
            <v>13700</v>
          </cell>
          <cell r="S460" t="str">
            <v>내선</v>
          </cell>
          <cell r="T460">
            <v>0.22500000000000001</v>
          </cell>
        </row>
        <row r="461">
          <cell r="A461">
            <v>459</v>
          </cell>
          <cell r="B461" t="str">
            <v>HOR-ELBOW (H.D.G)</v>
          </cell>
          <cell r="C461" t="str">
            <v>200W×100H</v>
          </cell>
          <cell r="D461" t="str">
            <v>EA</v>
          </cell>
          <cell r="G461">
            <v>753</v>
          </cell>
          <cell r="H461">
            <v>11100</v>
          </cell>
          <cell r="Q461">
            <v>11100</v>
          </cell>
          <cell r="S461" t="str">
            <v>내선</v>
          </cell>
          <cell r="T461">
            <v>0.22500000000000001</v>
          </cell>
        </row>
        <row r="462">
          <cell r="A462">
            <v>460</v>
          </cell>
          <cell r="B462" t="str">
            <v>HOR-ELBOW (H.D.G)</v>
          </cell>
          <cell r="C462" t="str">
            <v>200W×150H</v>
          </cell>
          <cell r="D462" t="str">
            <v>EA</v>
          </cell>
          <cell r="G462">
            <v>753</v>
          </cell>
          <cell r="H462">
            <v>14700</v>
          </cell>
          <cell r="Q462">
            <v>14700</v>
          </cell>
          <cell r="S462" t="str">
            <v>내선</v>
          </cell>
          <cell r="T462">
            <v>0.22500000000000001</v>
          </cell>
        </row>
        <row r="463">
          <cell r="A463">
            <v>461</v>
          </cell>
          <cell r="B463" t="str">
            <v>HOR-ELBOW (H.D.G)</v>
          </cell>
          <cell r="C463" t="str">
            <v>300W×100H</v>
          </cell>
          <cell r="D463" t="str">
            <v>EA</v>
          </cell>
          <cell r="G463">
            <v>753</v>
          </cell>
          <cell r="H463">
            <v>12800</v>
          </cell>
          <cell r="Q463">
            <v>12800</v>
          </cell>
          <cell r="S463" t="str">
            <v>내선</v>
          </cell>
          <cell r="T463">
            <v>0.28499999999999998</v>
          </cell>
        </row>
        <row r="464">
          <cell r="A464">
            <v>462</v>
          </cell>
          <cell r="B464" t="str">
            <v>HOR-ELBOW (H.D.G)</v>
          </cell>
          <cell r="C464" t="str">
            <v>300W×150H</v>
          </cell>
          <cell r="D464" t="str">
            <v>EA</v>
          </cell>
          <cell r="G464">
            <v>753</v>
          </cell>
          <cell r="H464">
            <v>16800</v>
          </cell>
          <cell r="Q464">
            <v>16800</v>
          </cell>
          <cell r="S464" t="str">
            <v>내선</v>
          </cell>
          <cell r="T464">
            <v>0.28499999999999998</v>
          </cell>
        </row>
        <row r="465">
          <cell r="A465">
            <v>463</v>
          </cell>
          <cell r="B465" t="str">
            <v>HOR-ELBOW (H.D.G)</v>
          </cell>
          <cell r="C465" t="str">
            <v>400W×100H</v>
          </cell>
          <cell r="D465" t="str">
            <v>EA</v>
          </cell>
          <cell r="G465">
            <v>753</v>
          </cell>
          <cell r="H465">
            <v>14500</v>
          </cell>
          <cell r="Q465">
            <v>14500</v>
          </cell>
          <cell r="S465" t="str">
            <v>내선</v>
          </cell>
          <cell r="T465">
            <v>0.33500000000000002</v>
          </cell>
        </row>
        <row r="466">
          <cell r="A466">
            <v>464</v>
          </cell>
          <cell r="B466" t="str">
            <v>HOR-ELBOW (H.D.G)</v>
          </cell>
          <cell r="C466" t="str">
            <v>400W×150H</v>
          </cell>
          <cell r="D466" t="str">
            <v>EA</v>
          </cell>
          <cell r="G466">
            <v>753</v>
          </cell>
          <cell r="H466">
            <v>18800</v>
          </cell>
          <cell r="Q466">
            <v>18800</v>
          </cell>
          <cell r="S466" t="str">
            <v>내선</v>
          </cell>
          <cell r="T466">
            <v>0.33500000000000002</v>
          </cell>
        </row>
        <row r="467">
          <cell r="A467">
            <v>465</v>
          </cell>
          <cell r="B467" t="str">
            <v>HOR-ELBOW (H.D.G)</v>
          </cell>
          <cell r="C467" t="str">
            <v>500W×100H</v>
          </cell>
          <cell r="D467" t="str">
            <v>EA</v>
          </cell>
          <cell r="G467">
            <v>753</v>
          </cell>
          <cell r="H467">
            <v>16200</v>
          </cell>
          <cell r="Q467">
            <v>16200</v>
          </cell>
          <cell r="S467" t="str">
            <v>내선</v>
          </cell>
          <cell r="T467">
            <v>0.44500000000000001</v>
          </cell>
        </row>
        <row r="468">
          <cell r="A468">
            <v>466</v>
          </cell>
          <cell r="B468" t="str">
            <v>HOR-ELBOW (H.D.G)</v>
          </cell>
          <cell r="C468" t="str">
            <v>500W×150H</v>
          </cell>
          <cell r="D468" t="str">
            <v>EA</v>
          </cell>
          <cell r="G468">
            <v>753</v>
          </cell>
          <cell r="H468">
            <v>20800</v>
          </cell>
          <cell r="Q468">
            <v>20800</v>
          </cell>
          <cell r="S468" t="str">
            <v>내선</v>
          </cell>
          <cell r="T468">
            <v>0.44500000000000001</v>
          </cell>
        </row>
        <row r="469">
          <cell r="A469">
            <v>467</v>
          </cell>
          <cell r="B469" t="str">
            <v>HOR-ELBOW (H.D.G)</v>
          </cell>
          <cell r="C469" t="str">
            <v>600W×100H</v>
          </cell>
          <cell r="D469" t="str">
            <v>EA</v>
          </cell>
          <cell r="G469">
            <v>753</v>
          </cell>
          <cell r="H469">
            <v>17900</v>
          </cell>
          <cell r="Q469">
            <v>17900</v>
          </cell>
          <cell r="S469" t="str">
            <v>내선</v>
          </cell>
          <cell r="T469">
            <v>0.52</v>
          </cell>
        </row>
        <row r="470">
          <cell r="A470">
            <v>468</v>
          </cell>
          <cell r="B470" t="str">
            <v>HOR-ELBOW (H.D.G)</v>
          </cell>
          <cell r="C470" t="str">
            <v>600W×150H</v>
          </cell>
          <cell r="D470" t="str">
            <v>EA</v>
          </cell>
          <cell r="G470">
            <v>753</v>
          </cell>
          <cell r="H470">
            <v>22800</v>
          </cell>
          <cell r="Q470">
            <v>22800</v>
          </cell>
          <cell r="S470" t="str">
            <v>내선</v>
          </cell>
          <cell r="T470">
            <v>0.52</v>
          </cell>
        </row>
        <row r="471">
          <cell r="A471">
            <v>469</v>
          </cell>
          <cell r="Q471" t="str">
            <v/>
          </cell>
        </row>
        <row r="472">
          <cell r="A472">
            <v>470</v>
          </cell>
          <cell r="B472" t="str">
            <v>VER-ELBOW (H.D.G)</v>
          </cell>
          <cell r="C472" t="str">
            <v>150W×100H</v>
          </cell>
          <cell r="D472" t="str">
            <v>EA</v>
          </cell>
          <cell r="G472">
            <v>753</v>
          </cell>
          <cell r="H472">
            <v>10700</v>
          </cell>
          <cell r="Q472">
            <v>10700</v>
          </cell>
          <cell r="S472" t="str">
            <v>내선</v>
          </cell>
          <cell r="T472">
            <v>0.22500000000000001</v>
          </cell>
        </row>
        <row r="473">
          <cell r="A473">
            <v>471</v>
          </cell>
          <cell r="B473" t="str">
            <v>VER-ELBOW (H.D.G)</v>
          </cell>
          <cell r="C473" t="str">
            <v>150W×150H</v>
          </cell>
          <cell r="D473" t="str">
            <v>EA</v>
          </cell>
          <cell r="G473">
            <v>753</v>
          </cell>
          <cell r="H473">
            <v>15500</v>
          </cell>
          <cell r="Q473">
            <v>15500</v>
          </cell>
          <cell r="S473" t="str">
            <v>내선</v>
          </cell>
          <cell r="T473">
            <v>0.22500000000000001</v>
          </cell>
        </row>
        <row r="474">
          <cell r="A474">
            <v>472</v>
          </cell>
          <cell r="B474" t="str">
            <v>VER-ELBOW (H.D.G)</v>
          </cell>
          <cell r="C474" t="str">
            <v>200W×100H</v>
          </cell>
          <cell r="D474" t="str">
            <v>EA</v>
          </cell>
          <cell r="G474">
            <v>753</v>
          </cell>
          <cell r="H474">
            <v>11100</v>
          </cell>
          <cell r="Q474">
            <v>11100</v>
          </cell>
          <cell r="S474" t="str">
            <v>내선</v>
          </cell>
          <cell r="T474">
            <v>0.22500000000000001</v>
          </cell>
        </row>
        <row r="475">
          <cell r="A475">
            <v>473</v>
          </cell>
          <cell r="B475" t="str">
            <v>VER-ELBOW (H.D.G)</v>
          </cell>
          <cell r="C475" t="str">
            <v>200W×150H</v>
          </cell>
          <cell r="D475" t="str">
            <v>EA</v>
          </cell>
          <cell r="G475">
            <v>753</v>
          </cell>
          <cell r="H475">
            <v>15900</v>
          </cell>
          <cell r="Q475">
            <v>15900</v>
          </cell>
          <cell r="S475" t="str">
            <v>내선</v>
          </cell>
          <cell r="T475">
            <v>0.22500000000000001</v>
          </cell>
        </row>
        <row r="476">
          <cell r="A476">
            <v>474</v>
          </cell>
          <cell r="B476" t="str">
            <v>VER-ELBOW (H.D.G)</v>
          </cell>
          <cell r="C476" t="str">
            <v>300W×100H</v>
          </cell>
          <cell r="D476" t="str">
            <v>EA</v>
          </cell>
          <cell r="G476">
            <v>753</v>
          </cell>
          <cell r="H476">
            <v>12000</v>
          </cell>
          <cell r="Q476">
            <v>12000</v>
          </cell>
          <cell r="S476" t="str">
            <v>내선</v>
          </cell>
          <cell r="T476">
            <v>0.28499999999999998</v>
          </cell>
        </row>
        <row r="477">
          <cell r="A477">
            <v>475</v>
          </cell>
          <cell r="B477" t="str">
            <v>VER-ELBOW (H.D.G)</v>
          </cell>
          <cell r="C477" t="str">
            <v>300W×150H</v>
          </cell>
          <cell r="D477" t="str">
            <v>EA</v>
          </cell>
          <cell r="G477">
            <v>753</v>
          </cell>
          <cell r="H477">
            <v>16800</v>
          </cell>
          <cell r="Q477">
            <v>16800</v>
          </cell>
          <cell r="S477" t="str">
            <v>내선</v>
          </cell>
          <cell r="T477">
            <v>0.28499999999999998</v>
          </cell>
        </row>
        <row r="478">
          <cell r="A478">
            <v>476</v>
          </cell>
          <cell r="B478" t="str">
            <v>VER-ELBOW (H.D.G)</v>
          </cell>
          <cell r="C478" t="str">
            <v>400W×100H</v>
          </cell>
          <cell r="D478" t="str">
            <v>EA</v>
          </cell>
          <cell r="G478">
            <v>753</v>
          </cell>
          <cell r="H478">
            <v>12900</v>
          </cell>
          <cell r="Q478">
            <v>12900</v>
          </cell>
          <cell r="S478" t="str">
            <v>내선</v>
          </cell>
          <cell r="T478">
            <v>0.33500000000000002</v>
          </cell>
        </row>
        <row r="479">
          <cell r="A479">
            <v>477</v>
          </cell>
          <cell r="B479" t="str">
            <v>VER-ELBOW (H.D.G)</v>
          </cell>
          <cell r="C479" t="str">
            <v>400W×150H</v>
          </cell>
          <cell r="D479" t="str">
            <v>EA</v>
          </cell>
          <cell r="G479">
            <v>753</v>
          </cell>
          <cell r="H479">
            <v>17600</v>
          </cell>
          <cell r="Q479">
            <v>17600</v>
          </cell>
          <cell r="S479" t="str">
            <v>내선</v>
          </cell>
          <cell r="T479">
            <v>0.33500000000000002</v>
          </cell>
        </row>
        <row r="480">
          <cell r="A480">
            <v>478</v>
          </cell>
          <cell r="B480" t="str">
            <v>VER-ELBOW (H.D.G)</v>
          </cell>
          <cell r="C480" t="str">
            <v>500W×100H</v>
          </cell>
          <cell r="D480" t="str">
            <v>EA</v>
          </cell>
          <cell r="G480">
            <v>753</v>
          </cell>
          <cell r="H480">
            <v>13700</v>
          </cell>
          <cell r="Q480">
            <v>13700</v>
          </cell>
          <cell r="S480" t="str">
            <v>내선</v>
          </cell>
          <cell r="T480">
            <v>0.44500000000000001</v>
          </cell>
        </row>
        <row r="481">
          <cell r="A481">
            <v>479</v>
          </cell>
          <cell r="B481" t="str">
            <v>VER-ELBOW (H.D.G)</v>
          </cell>
          <cell r="C481" t="str">
            <v>500W×150H</v>
          </cell>
          <cell r="D481" t="str">
            <v>EA</v>
          </cell>
          <cell r="G481">
            <v>753</v>
          </cell>
          <cell r="H481">
            <v>18500</v>
          </cell>
          <cell r="Q481">
            <v>18500</v>
          </cell>
          <cell r="S481" t="str">
            <v>내선</v>
          </cell>
          <cell r="T481">
            <v>0.44500000000000001</v>
          </cell>
        </row>
        <row r="482">
          <cell r="A482">
            <v>480</v>
          </cell>
          <cell r="B482" t="str">
            <v>VER-ELBOW (H.D.G)</v>
          </cell>
          <cell r="C482" t="str">
            <v>600W×100H</v>
          </cell>
          <cell r="D482" t="str">
            <v>EA</v>
          </cell>
          <cell r="G482">
            <v>753</v>
          </cell>
          <cell r="H482">
            <v>14600</v>
          </cell>
          <cell r="Q482">
            <v>14600</v>
          </cell>
          <cell r="S482" t="str">
            <v>내선</v>
          </cell>
          <cell r="T482">
            <v>0.52</v>
          </cell>
        </row>
        <row r="483">
          <cell r="A483">
            <v>481</v>
          </cell>
          <cell r="B483" t="str">
            <v>VER-ELBOW (H.D.G)</v>
          </cell>
          <cell r="C483" t="str">
            <v>600W×150H</v>
          </cell>
          <cell r="D483" t="str">
            <v>EA</v>
          </cell>
          <cell r="G483">
            <v>753</v>
          </cell>
          <cell r="H483">
            <v>19300</v>
          </cell>
          <cell r="Q483">
            <v>19300</v>
          </cell>
          <cell r="S483" t="str">
            <v>내선</v>
          </cell>
          <cell r="T483">
            <v>0.52</v>
          </cell>
        </row>
        <row r="484">
          <cell r="A484">
            <v>482</v>
          </cell>
          <cell r="Q484" t="str">
            <v/>
          </cell>
        </row>
        <row r="485">
          <cell r="A485">
            <v>483</v>
          </cell>
          <cell r="B485" t="str">
            <v>HOR-TEE (H.D.G)</v>
          </cell>
          <cell r="C485" t="str">
            <v>150W×100H</v>
          </cell>
          <cell r="D485" t="str">
            <v>EA</v>
          </cell>
          <cell r="G485">
            <v>753</v>
          </cell>
          <cell r="H485">
            <v>17500</v>
          </cell>
          <cell r="Q485">
            <v>17500</v>
          </cell>
          <cell r="S485" t="str">
            <v>내선</v>
          </cell>
          <cell r="T485">
            <v>0.22500000000000001</v>
          </cell>
        </row>
        <row r="486">
          <cell r="A486">
            <v>484</v>
          </cell>
          <cell r="B486" t="str">
            <v>HOR-TEE (H.D.G)</v>
          </cell>
          <cell r="C486" t="str">
            <v>150W×150H</v>
          </cell>
          <cell r="D486" t="str">
            <v>EA</v>
          </cell>
          <cell r="G486">
            <v>753</v>
          </cell>
          <cell r="H486">
            <v>22600</v>
          </cell>
          <cell r="Q486">
            <v>22600</v>
          </cell>
          <cell r="S486" t="str">
            <v>내선</v>
          </cell>
          <cell r="T486">
            <v>0.22500000000000001</v>
          </cell>
        </row>
        <row r="487">
          <cell r="A487">
            <v>485</v>
          </cell>
          <cell r="B487" t="str">
            <v>HOR-TEE (H.D.G)</v>
          </cell>
          <cell r="C487" t="str">
            <v>200W×100H</v>
          </cell>
          <cell r="D487" t="str">
            <v>EA</v>
          </cell>
          <cell r="G487">
            <v>753</v>
          </cell>
          <cell r="H487">
            <v>18500</v>
          </cell>
          <cell r="Q487">
            <v>18500</v>
          </cell>
          <cell r="S487" t="str">
            <v>내선</v>
          </cell>
          <cell r="T487">
            <v>0.22500000000000001</v>
          </cell>
        </row>
        <row r="488">
          <cell r="A488">
            <v>486</v>
          </cell>
          <cell r="B488" t="str">
            <v>HOR-TEE (H.D.G)</v>
          </cell>
          <cell r="C488" t="str">
            <v>200W×150H</v>
          </cell>
          <cell r="D488" t="str">
            <v>EA</v>
          </cell>
          <cell r="G488">
            <v>753</v>
          </cell>
          <cell r="H488">
            <v>23600</v>
          </cell>
          <cell r="Q488">
            <v>23600</v>
          </cell>
          <cell r="S488" t="str">
            <v>내선</v>
          </cell>
          <cell r="T488">
            <v>0.22500000000000001</v>
          </cell>
        </row>
        <row r="489">
          <cell r="A489">
            <v>487</v>
          </cell>
          <cell r="B489" t="str">
            <v>HOR-TEE (H.D.G)</v>
          </cell>
          <cell r="C489" t="str">
            <v>300W×100H</v>
          </cell>
          <cell r="D489" t="str">
            <v>EA</v>
          </cell>
          <cell r="G489">
            <v>753</v>
          </cell>
          <cell r="H489">
            <v>20300</v>
          </cell>
          <cell r="Q489">
            <v>20300</v>
          </cell>
          <cell r="S489" t="str">
            <v>내선</v>
          </cell>
          <cell r="T489">
            <v>0.28499999999999998</v>
          </cell>
        </row>
        <row r="490">
          <cell r="A490">
            <v>488</v>
          </cell>
          <cell r="B490" t="str">
            <v>HOR-TEE (H.D.G)</v>
          </cell>
          <cell r="C490" t="str">
            <v>300W×150H</v>
          </cell>
          <cell r="D490" t="str">
            <v>EA</v>
          </cell>
          <cell r="G490">
            <v>753</v>
          </cell>
          <cell r="H490">
            <v>25600</v>
          </cell>
          <cell r="Q490">
            <v>25600</v>
          </cell>
          <cell r="S490" t="str">
            <v>내선</v>
          </cell>
          <cell r="T490">
            <v>0.28499999999999998</v>
          </cell>
        </row>
        <row r="491">
          <cell r="A491">
            <v>489</v>
          </cell>
          <cell r="B491" t="str">
            <v>HOR-TEE (H.D.G)</v>
          </cell>
          <cell r="C491" t="str">
            <v>400W×100H</v>
          </cell>
          <cell r="D491" t="str">
            <v>EA</v>
          </cell>
          <cell r="G491">
            <v>753</v>
          </cell>
          <cell r="H491">
            <v>23000</v>
          </cell>
          <cell r="Q491">
            <v>23000</v>
          </cell>
          <cell r="S491" t="str">
            <v>내선</v>
          </cell>
          <cell r="T491">
            <v>0.33500000000000002</v>
          </cell>
        </row>
        <row r="492">
          <cell r="A492">
            <v>490</v>
          </cell>
          <cell r="B492" t="str">
            <v>HOR-TEE (H.D.G)</v>
          </cell>
          <cell r="C492" t="str">
            <v>400W×150H</v>
          </cell>
          <cell r="D492" t="str">
            <v>EA</v>
          </cell>
          <cell r="G492">
            <v>753</v>
          </cell>
          <cell r="H492">
            <v>28500</v>
          </cell>
          <cell r="Q492">
            <v>28500</v>
          </cell>
          <cell r="S492" t="str">
            <v>내선</v>
          </cell>
          <cell r="T492">
            <v>0.33500000000000002</v>
          </cell>
        </row>
        <row r="493">
          <cell r="A493">
            <v>491</v>
          </cell>
          <cell r="B493" t="str">
            <v>HOR-TEE (H.D.G)</v>
          </cell>
          <cell r="C493" t="str">
            <v>500W×100H</v>
          </cell>
          <cell r="D493" t="str">
            <v>EA</v>
          </cell>
          <cell r="G493">
            <v>753</v>
          </cell>
          <cell r="H493">
            <v>25000</v>
          </cell>
          <cell r="Q493">
            <v>25000</v>
          </cell>
          <cell r="S493" t="str">
            <v>내선</v>
          </cell>
          <cell r="T493">
            <v>0.44500000000000001</v>
          </cell>
        </row>
        <row r="494">
          <cell r="A494">
            <v>492</v>
          </cell>
          <cell r="B494" t="str">
            <v>HOR-TEE (H.D.G)</v>
          </cell>
          <cell r="C494" t="str">
            <v>500W×150H</v>
          </cell>
          <cell r="D494" t="str">
            <v>EA</v>
          </cell>
          <cell r="G494">
            <v>753</v>
          </cell>
          <cell r="H494">
            <v>30800</v>
          </cell>
          <cell r="Q494">
            <v>30800</v>
          </cell>
          <cell r="S494" t="str">
            <v>내선</v>
          </cell>
          <cell r="T494">
            <v>0.44500000000000001</v>
          </cell>
        </row>
        <row r="495">
          <cell r="A495">
            <v>493</v>
          </cell>
          <cell r="B495" t="str">
            <v>HOR-TEE (H.D.G)</v>
          </cell>
          <cell r="C495" t="str">
            <v>600W×100H</v>
          </cell>
          <cell r="D495" t="str">
            <v>EA</v>
          </cell>
          <cell r="G495">
            <v>753</v>
          </cell>
          <cell r="H495">
            <v>27000</v>
          </cell>
          <cell r="Q495">
            <v>27000</v>
          </cell>
          <cell r="S495" t="str">
            <v>내선</v>
          </cell>
          <cell r="T495">
            <v>0.52</v>
          </cell>
        </row>
        <row r="496">
          <cell r="A496">
            <v>494</v>
          </cell>
          <cell r="B496" t="str">
            <v>HOR-TEE (H.D.G)</v>
          </cell>
          <cell r="C496" t="str">
            <v>600W×150H</v>
          </cell>
          <cell r="D496" t="str">
            <v>EA</v>
          </cell>
          <cell r="G496">
            <v>753</v>
          </cell>
          <cell r="H496">
            <v>33100</v>
          </cell>
          <cell r="Q496">
            <v>33100</v>
          </cell>
          <cell r="S496" t="str">
            <v>내선</v>
          </cell>
          <cell r="T496">
            <v>0.52</v>
          </cell>
        </row>
        <row r="497">
          <cell r="A497">
            <v>495</v>
          </cell>
          <cell r="Q497" t="str">
            <v/>
          </cell>
        </row>
        <row r="498">
          <cell r="A498">
            <v>496</v>
          </cell>
          <cell r="B498" t="str">
            <v>HOR-CROSS (H.D.G)</v>
          </cell>
          <cell r="C498" t="str">
            <v>150W×100H</v>
          </cell>
          <cell r="D498" t="str">
            <v>EA</v>
          </cell>
          <cell r="G498">
            <v>753</v>
          </cell>
          <cell r="H498">
            <v>23200</v>
          </cell>
          <cell r="Q498">
            <v>23200</v>
          </cell>
          <cell r="S498" t="str">
            <v>내선</v>
          </cell>
          <cell r="T498">
            <v>0.22500000000000001</v>
          </cell>
        </row>
        <row r="499">
          <cell r="A499">
            <v>497</v>
          </cell>
          <cell r="B499" t="str">
            <v>HOR-CROSS (H.D.G)</v>
          </cell>
          <cell r="C499" t="str">
            <v>150W×150H</v>
          </cell>
          <cell r="D499" t="str">
            <v>EA</v>
          </cell>
          <cell r="G499">
            <v>753</v>
          </cell>
          <cell r="H499">
            <v>29100</v>
          </cell>
          <cell r="Q499">
            <v>29100</v>
          </cell>
          <cell r="S499" t="str">
            <v>내선</v>
          </cell>
          <cell r="T499">
            <v>0.22500000000000001</v>
          </cell>
        </row>
        <row r="500">
          <cell r="A500">
            <v>498</v>
          </cell>
          <cell r="B500" t="str">
            <v>HOR-CROSS (H.D.G)</v>
          </cell>
          <cell r="C500" t="str">
            <v>200W×100H</v>
          </cell>
          <cell r="D500" t="str">
            <v>EA</v>
          </cell>
          <cell r="G500">
            <v>753</v>
          </cell>
          <cell r="H500">
            <v>24000</v>
          </cell>
          <cell r="Q500">
            <v>24000</v>
          </cell>
          <cell r="S500" t="str">
            <v>내선</v>
          </cell>
          <cell r="T500">
            <v>0.22500000000000001</v>
          </cell>
        </row>
        <row r="501">
          <cell r="A501">
            <v>499</v>
          </cell>
          <cell r="B501" t="str">
            <v>HOR-CROSS (H.D.G)</v>
          </cell>
          <cell r="C501" t="str">
            <v>200W×150H</v>
          </cell>
          <cell r="D501" t="str">
            <v>EA</v>
          </cell>
          <cell r="G501">
            <v>753</v>
          </cell>
          <cell r="H501">
            <v>30000</v>
          </cell>
          <cell r="Q501">
            <v>30000</v>
          </cell>
          <cell r="S501" t="str">
            <v>내선</v>
          </cell>
          <cell r="T501">
            <v>0.22500000000000001</v>
          </cell>
        </row>
        <row r="502">
          <cell r="A502">
            <v>500</v>
          </cell>
          <cell r="B502" t="str">
            <v>HOR-CROSS (H.D.G)</v>
          </cell>
          <cell r="C502" t="str">
            <v>300W×100H</v>
          </cell>
          <cell r="D502" t="str">
            <v>EA</v>
          </cell>
          <cell r="G502">
            <v>753</v>
          </cell>
          <cell r="H502">
            <v>25700</v>
          </cell>
          <cell r="Q502">
            <v>25700</v>
          </cell>
          <cell r="S502" t="str">
            <v>내선</v>
          </cell>
          <cell r="T502">
            <v>0.28499999999999998</v>
          </cell>
        </row>
        <row r="503">
          <cell r="A503">
            <v>501</v>
          </cell>
          <cell r="B503" t="str">
            <v>HOR-CROSS (H.D.G)</v>
          </cell>
          <cell r="C503" t="str">
            <v>300W×150H</v>
          </cell>
          <cell r="D503" t="str">
            <v>EA</v>
          </cell>
          <cell r="G503">
            <v>753</v>
          </cell>
          <cell r="H503">
            <v>31700</v>
          </cell>
          <cell r="Q503">
            <v>31700</v>
          </cell>
          <cell r="S503" t="str">
            <v>내선</v>
          </cell>
          <cell r="T503">
            <v>0.28499999999999998</v>
          </cell>
        </row>
        <row r="504">
          <cell r="A504">
            <v>502</v>
          </cell>
          <cell r="B504" t="str">
            <v>HOR-CROSS (H.D.G)</v>
          </cell>
          <cell r="C504" t="str">
            <v>400W×100H</v>
          </cell>
          <cell r="D504" t="str">
            <v>EA</v>
          </cell>
          <cell r="G504">
            <v>753</v>
          </cell>
          <cell r="H504">
            <v>27000</v>
          </cell>
          <cell r="Q504">
            <v>27000</v>
          </cell>
          <cell r="S504" t="str">
            <v>내선</v>
          </cell>
          <cell r="T504">
            <v>0.33500000000000002</v>
          </cell>
        </row>
        <row r="505">
          <cell r="A505">
            <v>503</v>
          </cell>
          <cell r="B505" t="str">
            <v>HOR-CROSS (H.D.G)</v>
          </cell>
          <cell r="C505" t="str">
            <v>400W×150H</v>
          </cell>
          <cell r="D505" t="str">
            <v>EA</v>
          </cell>
          <cell r="G505">
            <v>753</v>
          </cell>
          <cell r="H505">
            <v>34300</v>
          </cell>
          <cell r="Q505">
            <v>34300</v>
          </cell>
          <cell r="S505" t="str">
            <v>내선</v>
          </cell>
          <cell r="T505">
            <v>0.33500000000000002</v>
          </cell>
        </row>
        <row r="506">
          <cell r="A506">
            <v>504</v>
          </cell>
          <cell r="B506" t="str">
            <v>HOR-CROSS (H.D.G)</v>
          </cell>
          <cell r="C506" t="str">
            <v>500W×100H</v>
          </cell>
          <cell r="D506" t="str">
            <v>EA</v>
          </cell>
          <cell r="G506">
            <v>753</v>
          </cell>
          <cell r="H506">
            <v>30300</v>
          </cell>
          <cell r="Q506">
            <v>30300</v>
          </cell>
          <cell r="S506" t="str">
            <v>내선</v>
          </cell>
          <cell r="T506">
            <v>0.44500000000000001</v>
          </cell>
        </row>
        <row r="507">
          <cell r="A507">
            <v>505</v>
          </cell>
          <cell r="B507" t="str">
            <v>HOR-CROSS (H.D.G)</v>
          </cell>
          <cell r="C507" t="str">
            <v>500W×150H</v>
          </cell>
          <cell r="D507" t="str">
            <v>EA</v>
          </cell>
          <cell r="G507">
            <v>753</v>
          </cell>
          <cell r="H507">
            <v>36200</v>
          </cell>
          <cell r="Q507">
            <v>36200</v>
          </cell>
          <cell r="S507" t="str">
            <v>내선</v>
          </cell>
          <cell r="T507">
            <v>0.44500000000000001</v>
          </cell>
        </row>
        <row r="508">
          <cell r="A508">
            <v>506</v>
          </cell>
          <cell r="B508" t="str">
            <v>HOR-CROSS (H.D.G)</v>
          </cell>
          <cell r="C508" t="str">
            <v>600W×100H</v>
          </cell>
          <cell r="D508" t="str">
            <v>EA</v>
          </cell>
          <cell r="G508">
            <v>753</v>
          </cell>
          <cell r="H508">
            <v>32200</v>
          </cell>
          <cell r="Q508">
            <v>32200</v>
          </cell>
          <cell r="S508" t="str">
            <v>내선</v>
          </cell>
          <cell r="T508">
            <v>0.52</v>
          </cell>
        </row>
        <row r="509">
          <cell r="A509">
            <v>507</v>
          </cell>
          <cell r="B509" t="str">
            <v>HOR-CROSS (H.D.G)</v>
          </cell>
          <cell r="C509" t="str">
            <v>600W×150H</v>
          </cell>
          <cell r="D509" t="str">
            <v>EA</v>
          </cell>
          <cell r="G509">
            <v>753</v>
          </cell>
          <cell r="H509">
            <v>38200</v>
          </cell>
          <cell r="Q509">
            <v>38200</v>
          </cell>
          <cell r="S509" t="str">
            <v>내선</v>
          </cell>
          <cell r="T509">
            <v>0.52</v>
          </cell>
        </row>
        <row r="510">
          <cell r="A510">
            <v>508</v>
          </cell>
          <cell r="Q510" t="str">
            <v/>
          </cell>
        </row>
        <row r="511">
          <cell r="A511">
            <v>509</v>
          </cell>
          <cell r="B511" t="str">
            <v>REDUCER (H.D.G)</v>
          </cell>
          <cell r="C511" t="str">
            <v>600×500W×100H</v>
          </cell>
          <cell r="D511" t="str">
            <v>EA</v>
          </cell>
          <cell r="G511">
            <v>753</v>
          </cell>
          <cell r="H511">
            <v>7900</v>
          </cell>
          <cell r="Q511">
            <v>7900</v>
          </cell>
          <cell r="S511" t="str">
            <v>내선</v>
          </cell>
          <cell r="T511">
            <v>0.22500000000000001</v>
          </cell>
        </row>
        <row r="512">
          <cell r="A512">
            <v>510</v>
          </cell>
          <cell r="B512" t="str">
            <v>REDUCER (H.D.G)</v>
          </cell>
          <cell r="C512" t="str">
            <v>600×500W×150H</v>
          </cell>
          <cell r="D512" t="str">
            <v>EA</v>
          </cell>
          <cell r="G512">
            <v>753</v>
          </cell>
          <cell r="H512">
            <v>10100</v>
          </cell>
          <cell r="Q512">
            <v>10100</v>
          </cell>
          <cell r="S512" t="str">
            <v>내선</v>
          </cell>
          <cell r="T512">
            <v>0.22500000000000001</v>
          </cell>
        </row>
        <row r="513">
          <cell r="A513">
            <v>511</v>
          </cell>
          <cell r="B513" t="str">
            <v>REDUCER (H.D.G)</v>
          </cell>
          <cell r="C513" t="str">
            <v>600×400W×100H</v>
          </cell>
          <cell r="D513" t="str">
            <v>EA</v>
          </cell>
          <cell r="G513">
            <v>753</v>
          </cell>
          <cell r="H513">
            <v>7900</v>
          </cell>
          <cell r="Q513">
            <v>7900</v>
          </cell>
          <cell r="S513" t="str">
            <v>내선</v>
          </cell>
          <cell r="T513">
            <v>0.22500000000000001</v>
          </cell>
        </row>
        <row r="514">
          <cell r="A514">
            <v>512</v>
          </cell>
          <cell r="B514" t="str">
            <v>REDUCER (H.D.G)</v>
          </cell>
          <cell r="C514" t="str">
            <v>600×400W×150H</v>
          </cell>
          <cell r="D514" t="str">
            <v>EA</v>
          </cell>
          <cell r="G514">
            <v>753</v>
          </cell>
          <cell r="H514">
            <v>10100</v>
          </cell>
          <cell r="Q514">
            <v>10100</v>
          </cell>
          <cell r="S514" t="str">
            <v>내선</v>
          </cell>
          <cell r="T514">
            <v>0.22500000000000001</v>
          </cell>
        </row>
        <row r="515">
          <cell r="A515">
            <v>513</v>
          </cell>
          <cell r="B515" t="str">
            <v>REDUCER (H.D.G)</v>
          </cell>
          <cell r="C515" t="str">
            <v>600×300W×100H</v>
          </cell>
          <cell r="D515" t="str">
            <v>EA</v>
          </cell>
          <cell r="G515">
            <v>753</v>
          </cell>
          <cell r="H515">
            <v>8000</v>
          </cell>
          <cell r="Q515">
            <v>8000</v>
          </cell>
          <cell r="S515" t="str">
            <v>내선</v>
          </cell>
          <cell r="T515">
            <v>0.28499999999999998</v>
          </cell>
        </row>
        <row r="516">
          <cell r="A516">
            <v>514</v>
          </cell>
          <cell r="B516" t="str">
            <v>REDUCER (H.D.G)</v>
          </cell>
          <cell r="C516" t="str">
            <v>600×300W×150H</v>
          </cell>
          <cell r="D516" t="str">
            <v>EA</v>
          </cell>
          <cell r="G516">
            <v>753</v>
          </cell>
          <cell r="H516">
            <v>10400</v>
          </cell>
          <cell r="Q516">
            <v>10400</v>
          </cell>
          <cell r="S516" t="str">
            <v>내선</v>
          </cell>
          <cell r="T516">
            <v>0.28499999999999998</v>
          </cell>
        </row>
        <row r="517">
          <cell r="A517">
            <v>515</v>
          </cell>
          <cell r="B517" t="str">
            <v>REDUCER (H.D.G)</v>
          </cell>
          <cell r="C517" t="str">
            <v>600×200W×100H</v>
          </cell>
          <cell r="D517" t="str">
            <v>EA</v>
          </cell>
          <cell r="G517">
            <v>753</v>
          </cell>
          <cell r="H517">
            <v>8100</v>
          </cell>
          <cell r="Q517">
            <v>8100</v>
          </cell>
          <cell r="S517" t="str">
            <v>내선</v>
          </cell>
          <cell r="T517">
            <v>0.33500000000000002</v>
          </cell>
        </row>
        <row r="518">
          <cell r="A518">
            <v>516</v>
          </cell>
          <cell r="B518" t="str">
            <v>REDUCER (H.D.G)</v>
          </cell>
          <cell r="C518" t="str">
            <v>600×200W×150H</v>
          </cell>
          <cell r="D518" t="str">
            <v>EA</v>
          </cell>
          <cell r="G518">
            <v>753</v>
          </cell>
          <cell r="H518">
            <v>10600</v>
          </cell>
          <cell r="Q518">
            <v>10600</v>
          </cell>
          <cell r="S518" t="str">
            <v>내선</v>
          </cell>
          <cell r="T518">
            <v>0.33500000000000002</v>
          </cell>
        </row>
        <row r="519">
          <cell r="A519">
            <v>517</v>
          </cell>
          <cell r="B519" t="str">
            <v>REDUCER (H.D.G)</v>
          </cell>
          <cell r="C519" t="str">
            <v>600×150W×100H</v>
          </cell>
          <cell r="D519" t="str">
            <v>EA</v>
          </cell>
          <cell r="G519">
            <v>753</v>
          </cell>
          <cell r="H519">
            <v>8600</v>
          </cell>
          <cell r="Q519">
            <v>8600</v>
          </cell>
          <cell r="S519" t="str">
            <v>내선</v>
          </cell>
          <cell r="T519">
            <v>0.44500000000000001</v>
          </cell>
        </row>
        <row r="520">
          <cell r="A520">
            <v>518</v>
          </cell>
          <cell r="B520" t="str">
            <v>REDUCER (H.D.G)</v>
          </cell>
          <cell r="C520" t="str">
            <v>600×150W×150H</v>
          </cell>
          <cell r="D520" t="str">
            <v>EA</v>
          </cell>
          <cell r="G520">
            <v>753</v>
          </cell>
          <cell r="H520">
            <v>11100</v>
          </cell>
          <cell r="Q520">
            <v>11100</v>
          </cell>
          <cell r="S520" t="str">
            <v>내선</v>
          </cell>
          <cell r="T520">
            <v>0.44500000000000001</v>
          </cell>
        </row>
        <row r="521">
          <cell r="A521">
            <v>519</v>
          </cell>
          <cell r="B521" t="str">
            <v>REDUCER (H.D.G)</v>
          </cell>
          <cell r="C521" t="str">
            <v>300×150W×100H</v>
          </cell>
          <cell r="D521" t="str">
            <v>EA</v>
          </cell>
          <cell r="G521">
            <v>753</v>
          </cell>
          <cell r="H521">
            <v>6500</v>
          </cell>
          <cell r="Q521">
            <v>6500</v>
          </cell>
          <cell r="S521" t="str">
            <v>내선</v>
          </cell>
          <cell r="T521">
            <v>0.52</v>
          </cell>
        </row>
        <row r="522">
          <cell r="A522">
            <v>520</v>
          </cell>
          <cell r="B522" t="str">
            <v>REDUCER (H.D.G)</v>
          </cell>
          <cell r="C522" t="str">
            <v>300×150W×150H</v>
          </cell>
          <cell r="D522" t="str">
            <v>EA</v>
          </cell>
          <cell r="G522">
            <v>753</v>
          </cell>
          <cell r="H522">
            <v>8700</v>
          </cell>
          <cell r="Q522">
            <v>8700</v>
          </cell>
          <cell r="S522" t="str">
            <v>내선</v>
          </cell>
          <cell r="T522">
            <v>0.52</v>
          </cell>
        </row>
        <row r="523">
          <cell r="A523">
            <v>521</v>
          </cell>
          <cell r="Q523" t="str">
            <v/>
          </cell>
        </row>
        <row r="524">
          <cell r="A524">
            <v>522</v>
          </cell>
          <cell r="B524" t="str">
            <v>STRAIGHT-COV.(H.D.G)</v>
          </cell>
          <cell r="C524" t="str">
            <v>150W</v>
          </cell>
          <cell r="D524" t="str">
            <v>EA</v>
          </cell>
          <cell r="G524">
            <v>753</v>
          </cell>
          <cell r="H524">
            <v>4000</v>
          </cell>
          <cell r="Q524">
            <v>4000</v>
          </cell>
        </row>
        <row r="525">
          <cell r="A525">
            <v>523</v>
          </cell>
          <cell r="B525" t="str">
            <v>STRAIGHT-COV.(H.D.G)</v>
          </cell>
          <cell r="C525" t="str">
            <v>200W</v>
          </cell>
          <cell r="D525" t="str">
            <v>EA</v>
          </cell>
          <cell r="G525">
            <v>753</v>
          </cell>
          <cell r="H525">
            <v>5000</v>
          </cell>
          <cell r="Q525">
            <v>5000</v>
          </cell>
        </row>
        <row r="526">
          <cell r="A526">
            <v>524</v>
          </cell>
          <cell r="B526" t="str">
            <v>STRAIGHT-COV.(H.D.G)</v>
          </cell>
          <cell r="C526" t="str">
            <v>300W</v>
          </cell>
          <cell r="D526" t="str">
            <v>EA</v>
          </cell>
          <cell r="G526">
            <v>753</v>
          </cell>
          <cell r="H526">
            <v>7100</v>
          </cell>
          <cell r="Q526">
            <v>7100</v>
          </cell>
        </row>
        <row r="527">
          <cell r="A527">
            <v>525</v>
          </cell>
          <cell r="B527" t="str">
            <v>STRAIGHT-COV.(H.D.G)</v>
          </cell>
          <cell r="C527" t="str">
            <v>400W</v>
          </cell>
          <cell r="D527" t="str">
            <v>EA</v>
          </cell>
          <cell r="G527">
            <v>753</v>
          </cell>
          <cell r="H527">
            <v>9100</v>
          </cell>
          <cell r="Q527">
            <v>9100</v>
          </cell>
        </row>
        <row r="528">
          <cell r="A528">
            <v>526</v>
          </cell>
          <cell r="B528" t="str">
            <v>STRAIGHT-COV.(H.D.G)</v>
          </cell>
          <cell r="C528" t="str">
            <v>500W</v>
          </cell>
          <cell r="D528" t="str">
            <v>EA</v>
          </cell>
          <cell r="G528">
            <v>753</v>
          </cell>
          <cell r="H528">
            <v>11200</v>
          </cell>
          <cell r="Q528">
            <v>11200</v>
          </cell>
        </row>
        <row r="529">
          <cell r="A529">
            <v>527</v>
          </cell>
          <cell r="B529" t="str">
            <v>STRAIGHT-COV.(H.D.G)</v>
          </cell>
          <cell r="C529" t="str">
            <v>600W</v>
          </cell>
          <cell r="D529" t="str">
            <v>EA</v>
          </cell>
          <cell r="G529">
            <v>753</v>
          </cell>
          <cell r="H529">
            <v>13200</v>
          </cell>
          <cell r="Q529">
            <v>13200</v>
          </cell>
        </row>
        <row r="530">
          <cell r="A530">
            <v>528</v>
          </cell>
          <cell r="Q530" t="str">
            <v/>
          </cell>
        </row>
        <row r="531">
          <cell r="A531">
            <v>529</v>
          </cell>
          <cell r="B531" t="str">
            <v>JOINT CONN.</v>
          </cell>
          <cell r="C531" t="str">
            <v>100H</v>
          </cell>
          <cell r="D531" t="str">
            <v>EA</v>
          </cell>
          <cell r="G531">
            <v>753</v>
          </cell>
          <cell r="H531">
            <v>900</v>
          </cell>
          <cell r="Q531">
            <v>900</v>
          </cell>
        </row>
        <row r="532">
          <cell r="A532">
            <v>530</v>
          </cell>
          <cell r="B532" t="str">
            <v>JOINT CONN.</v>
          </cell>
          <cell r="C532" t="str">
            <v>150H</v>
          </cell>
          <cell r="D532" t="str">
            <v>EA</v>
          </cell>
          <cell r="G532">
            <v>753</v>
          </cell>
          <cell r="H532">
            <v>1050</v>
          </cell>
          <cell r="Q532">
            <v>1050</v>
          </cell>
        </row>
        <row r="533">
          <cell r="A533">
            <v>531</v>
          </cell>
          <cell r="Q533" t="str">
            <v/>
          </cell>
        </row>
        <row r="534">
          <cell r="A534">
            <v>532</v>
          </cell>
          <cell r="B534" t="str">
            <v>SHANK BOLT&amp;NOT</v>
          </cell>
          <cell r="C534" t="str">
            <v>3/8inch×19L</v>
          </cell>
          <cell r="D534" t="str">
            <v>set</v>
          </cell>
          <cell r="G534">
            <v>753</v>
          </cell>
          <cell r="H534">
            <v>120</v>
          </cell>
          <cell r="Q534">
            <v>120</v>
          </cell>
        </row>
        <row r="535">
          <cell r="A535">
            <v>533</v>
          </cell>
          <cell r="B535" t="str">
            <v>그라운딩 본딩 점퍼</v>
          </cell>
          <cell r="C535" t="str">
            <v>14sq</v>
          </cell>
          <cell r="D535" t="str">
            <v>EA</v>
          </cell>
          <cell r="G535">
            <v>753</v>
          </cell>
          <cell r="H535">
            <v>1300</v>
          </cell>
          <cell r="Q535">
            <v>1300</v>
          </cell>
        </row>
        <row r="536">
          <cell r="A536">
            <v>534</v>
          </cell>
          <cell r="B536" t="str">
            <v>그라운딩 본딩 점퍼</v>
          </cell>
          <cell r="C536" t="str">
            <v>38sq</v>
          </cell>
          <cell r="D536" t="str">
            <v>EA</v>
          </cell>
          <cell r="G536">
            <v>753</v>
          </cell>
          <cell r="H536">
            <v>2800</v>
          </cell>
          <cell r="Q536">
            <v>2800</v>
          </cell>
        </row>
        <row r="537">
          <cell r="A537">
            <v>535</v>
          </cell>
          <cell r="B537" t="str">
            <v>홀드다운 크램프</v>
          </cell>
          <cell r="D537" t="str">
            <v>EA</v>
          </cell>
          <cell r="G537">
            <v>753</v>
          </cell>
          <cell r="H537">
            <v>300</v>
          </cell>
          <cell r="Q537">
            <v>300</v>
          </cell>
        </row>
        <row r="538">
          <cell r="A538">
            <v>536</v>
          </cell>
          <cell r="B538" t="str">
            <v>SPRING NUT</v>
          </cell>
          <cell r="C538" t="str">
            <v>3/8inch 1/2inch</v>
          </cell>
          <cell r="D538" t="str">
            <v>EA</v>
          </cell>
          <cell r="G538">
            <v>753</v>
          </cell>
          <cell r="H538">
            <v>400</v>
          </cell>
          <cell r="Q538">
            <v>400</v>
          </cell>
        </row>
        <row r="539">
          <cell r="A539">
            <v>537</v>
          </cell>
          <cell r="Q539" t="str">
            <v/>
          </cell>
        </row>
        <row r="540">
          <cell r="A540">
            <v>538</v>
          </cell>
          <cell r="Q540" t="str">
            <v/>
          </cell>
        </row>
        <row r="541">
          <cell r="A541">
            <v>539</v>
          </cell>
          <cell r="B541" t="str">
            <v>RACE WAY BODY</v>
          </cell>
          <cell r="C541" t="str">
            <v>40×40</v>
          </cell>
          <cell r="D541" t="str">
            <v>m</v>
          </cell>
          <cell r="G541">
            <v>750</v>
          </cell>
          <cell r="H541">
            <v>1950</v>
          </cell>
          <cell r="Q541">
            <v>1950</v>
          </cell>
          <cell r="S541" t="str">
            <v>내선</v>
          </cell>
          <cell r="T541">
            <v>0.15</v>
          </cell>
        </row>
        <row r="542">
          <cell r="A542">
            <v>540</v>
          </cell>
          <cell r="B542" t="str">
            <v>RACE WAY BODY</v>
          </cell>
          <cell r="C542" t="str">
            <v>70×40</v>
          </cell>
          <cell r="D542" t="str">
            <v>m</v>
          </cell>
          <cell r="G542">
            <v>750</v>
          </cell>
          <cell r="H542">
            <v>2450</v>
          </cell>
          <cell r="Q542">
            <v>2450</v>
          </cell>
          <cell r="S542" t="str">
            <v>내선</v>
          </cell>
          <cell r="T542">
            <v>0.2</v>
          </cell>
        </row>
        <row r="543">
          <cell r="A543">
            <v>541</v>
          </cell>
          <cell r="Q543" t="str">
            <v/>
          </cell>
        </row>
        <row r="544">
          <cell r="A544">
            <v>542</v>
          </cell>
          <cell r="B544" t="str">
            <v>RACE WAY COVER</v>
          </cell>
          <cell r="C544" t="str">
            <v>40×40</v>
          </cell>
          <cell r="D544" t="str">
            <v>m</v>
          </cell>
          <cell r="G544">
            <v>750</v>
          </cell>
          <cell r="H544">
            <v>850</v>
          </cell>
          <cell r="Q544">
            <v>850</v>
          </cell>
        </row>
        <row r="545">
          <cell r="A545">
            <v>543</v>
          </cell>
          <cell r="B545" t="str">
            <v>RACE WAY COVER</v>
          </cell>
          <cell r="C545" t="str">
            <v>70×40</v>
          </cell>
          <cell r="D545" t="str">
            <v>m</v>
          </cell>
          <cell r="G545">
            <v>750</v>
          </cell>
          <cell r="H545">
            <v>1100</v>
          </cell>
          <cell r="Q545">
            <v>1100</v>
          </cell>
        </row>
        <row r="546">
          <cell r="A546">
            <v>544</v>
          </cell>
          <cell r="Q546" t="str">
            <v/>
          </cell>
        </row>
        <row r="547">
          <cell r="A547">
            <v>545</v>
          </cell>
          <cell r="B547" t="str">
            <v>RACE WAY JOIVER</v>
          </cell>
          <cell r="C547" t="str">
            <v>40×40</v>
          </cell>
          <cell r="D547" t="str">
            <v>EA</v>
          </cell>
          <cell r="G547">
            <v>750</v>
          </cell>
          <cell r="H547">
            <v>850</v>
          </cell>
          <cell r="Q547">
            <v>850</v>
          </cell>
        </row>
        <row r="548">
          <cell r="A548">
            <v>546</v>
          </cell>
          <cell r="B548" t="str">
            <v>RACE WAY JOIVER</v>
          </cell>
          <cell r="C548" t="str">
            <v>70×40</v>
          </cell>
          <cell r="D548" t="str">
            <v>EA</v>
          </cell>
          <cell r="G548">
            <v>750</v>
          </cell>
          <cell r="H548">
            <v>1300</v>
          </cell>
          <cell r="Q548">
            <v>1300</v>
          </cell>
        </row>
        <row r="549">
          <cell r="A549">
            <v>547</v>
          </cell>
          <cell r="Q549" t="str">
            <v/>
          </cell>
        </row>
        <row r="550">
          <cell r="A550">
            <v>548</v>
          </cell>
          <cell r="B550" t="str">
            <v>RACE WAY HANGER</v>
          </cell>
          <cell r="C550" t="str">
            <v>40×40</v>
          </cell>
          <cell r="D550" t="str">
            <v>EA</v>
          </cell>
          <cell r="G550">
            <v>750</v>
          </cell>
          <cell r="H550">
            <v>850</v>
          </cell>
          <cell r="Q550">
            <v>850</v>
          </cell>
        </row>
        <row r="551">
          <cell r="A551">
            <v>549</v>
          </cell>
          <cell r="B551" t="str">
            <v>RACE WAY HANGER</v>
          </cell>
          <cell r="C551" t="str">
            <v>70×40</v>
          </cell>
          <cell r="D551" t="str">
            <v>EA</v>
          </cell>
          <cell r="G551">
            <v>750</v>
          </cell>
          <cell r="H551">
            <v>1300</v>
          </cell>
          <cell r="Q551">
            <v>1300</v>
          </cell>
        </row>
        <row r="552">
          <cell r="A552">
            <v>550</v>
          </cell>
          <cell r="Q552" t="str">
            <v/>
          </cell>
        </row>
        <row r="553">
          <cell r="A553">
            <v>551</v>
          </cell>
          <cell r="B553" t="str">
            <v>RACE WAY END CAP</v>
          </cell>
          <cell r="C553" t="str">
            <v>40×40</v>
          </cell>
          <cell r="D553" t="str">
            <v>EA</v>
          </cell>
          <cell r="G553">
            <v>750</v>
          </cell>
          <cell r="H553">
            <v>650</v>
          </cell>
          <cell r="Q553">
            <v>650</v>
          </cell>
        </row>
        <row r="554">
          <cell r="A554">
            <v>552</v>
          </cell>
          <cell r="B554" t="str">
            <v>RACE WAY END CAP</v>
          </cell>
          <cell r="C554" t="str">
            <v>70×40</v>
          </cell>
          <cell r="D554" t="str">
            <v>EA</v>
          </cell>
          <cell r="G554">
            <v>750</v>
          </cell>
          <cell r="H554">
            <v>1050</v>
          </cell>
          <cell r="Q554">
            <v>1050</v>
          </cell>
        </row>
        <row r="555">
          <cell r="A555">
            <v>553</v>
          </cell>
          <cell r="Q555" t="str">
            <v/>
          </cell>
        </row>
        <row r="556">
          <cell r="A556">
            <v>554</v>
          </cell>
          <cell r="B556" t="str">
            <v>RACE WAY H,V/ELBOW</v>
          </cell>
          <cell r="C556" t="str">
            <v>40×40</v>
          </cell>
          <cell r="D556" t="str">
            <v>EA</v>
          </cell>
          <cell r="G556">
            <v>750</v>
          </cell>
          <cell r="H556">
            <v>1850</v>
          </cell>
          <cell r="Q556">
            <v>1850</v>
          </cell>
        </row>
        <row r="557">
          <cell r="A557">
            <v>555</v>
          </cell>
          <cell r="B557" t="str">
            <v>RACE WAY H,V/ELBOW</v>
          </cell>
          <cell r="C557" t="str">
            <v>70×40</v>
          </cell>
          <cell r="D557" t="str">
            <v>EA</v>
          </cell>
          <cell r="G557">
            <v>750</v>
          </cell>
          <cell r="H557">
            <v>2450</v>
          </cell>
          <cell r="Q557">
            <v>2450</v>
          </cell>
        </row>
        <row r="558">
          <cell r="A558">
            <v>556</v>
          </cell>
          <cell r="Q558" t="str">
            <v/>
          </cell>
        </row>
        <row r="559">
          <cell r="A559">
            <v>557</v>
          </cell>
          <cell r="B559" t="str">
            <v>RACE WAY BOX CONN.</v>
          </cell>
          <cell r="C559" t="str">
            <v>40×40</v>
          </cell>
          <cell r="D559" t="str">
            <v>EA</v>
          </cell>
          <cell r="G559">
            <v>750</v>
          </cell>
          <cell r="H559">
            <v>1050</v>
          </cell>
          <cell r="Q559">
            <v>1050</v>
          </cell>
        </row>
        <row r="560">
          <cell r="A560">
            <v>558</v>
          </cell>
          <cell r="Q560" t="str">
            <v/>
          </cell>
        </row>
        <row r="561">
          <cell r="A561">
            <v>559</v>
          </cell>
          <cell r="Q561" t="str">
            <v/>
          </cell>
        </row>
        <row r="562">
          <cell r="A562">
            <v>560</v>
          </cell>
          <cell r="B562" t="str">
            <v>교통신호제어기(일반)</v>
          </cell>
          <cell r="C562" t="str">
            <v>교차로연동(검사품)</v>
          </cell>
          <cell r="D562" t="str">
            <v>대</v>
          </cell>
          <cell r="G562">
            <v>834</v>
          </cell>
          <cell r="H562">
            <v>4500000</v>
          </cell>
          <cell r="Q562">
            <v>4500000</v>
          </cell>
          <cell r="S562" t="str">
            <v>프전</v>
          </cell>
          <cell r="T562">
            <v>4.5999999999999996</v>
          </cell>
          <cell r="U562" t="str">
            <v>보인</v>
          </cell>
          <cell r="V562">
            <v>1.5</v>
          </cell>
        </row>
        <row r="563">
          <cell r="A563">
            <v>561</v>
          </cell>
          <cell r="B563" t="str">
            <v>차량신호등</v>
          </cell>
          <cell r="C563" t="str">
            <v>1면 4색</v>
          </cell>
          <cell r="D563" t="str">
            <v>대</v>
          </cell>
          <cell r="G563">
            <v>834</v>
          </cell>
          <cell r="H563">
            <v>280000</v>
          </cell>
          <cell r="Q563">
            <v>280000</v>
          </cell>
          <cell r="S563" t="str">
            <v>신호</v>
          </cell>
          <cell r="T563">
            <v>2.4</v>
          </cell>
          <cell r="U563" t="str">
            <v>보인</v>
          </cell>
          <cell r="V563">
            <v>1</v>
          </cell>
        </row>
        <row r="564">
          <cell r="A564">
            <v>562</v>
          </cell>
          <cell r="B564" t="str">
            <v>차량신호등</v>
          </cell>
          <cell r="C564" t="str">
            <v>1면 3색</v>
          </cell>
          <cell r="D564" t="str">
            <v>대</v>
          </cell>
          <cell r="G564">
            <v>834</v>
          </cell>
          <cell r="H564">
            <v>240000</v>
          </cell>
          <cell r="Q564">
            <v>240000</v>
          </cell>
          <cell r="S564" t="str">
            <v>신호</v>
          </cell>
          <cell r="T564">
            <v>2.4</v>
          </cell>
          <cell r="U564" t="str">
            <v>보인</v>
          </cell>
          <cell r="V564">
            <v>1</v>
          </cell>
        </row>
        <row r="565">
          <cell r="A565">
            <v>563</v>
          </cell>
          <cell r="B565" t="str">
            <v>보행신호등</v>
          </cell>
          <cell r="C565" t="str">
            <v>1면 2색</v>
          </cell>
          <cell r="D565" t="str">
            <v>대</v>
          </cell>
          <cell r="G565">
            <v>834</v>
          </cell>
          <cell r="H565">
            <v>160000</v>
          </cell>
          <cell r="Q565">
            <v>160000</v>
          </cell>
        </row>
        <row r="566">
          <cell r="A566">
            <v>564</v>
          </cell>
          <cell r="Q566" t="str">
            <v/>
          </cell>
        </row>
        <row r="567">
          <cell r="A567">
            <v>565</v>
          </cell>
          <cell r="B567" t="str">
            <v>차량등철주</v>
          </cell>
          <cell r="C567" t="str">
            <v>250φ×9m(용융도금)</v>
          </cell>
          <cell r="D567" t="str">
            <v>EA</v>
          </cell>
          <cell r="G567">
            <v>834</v>
          </cell>
          <cell r="H567">
            <v>645270</v>
          </cell>
          <cell r="Q567">
            <v>645270</v>
          </cell>
          <cell r="S567" t="str">
            <v>신호</v>
          </cell>
          <cell r="T567">
            <v>1.7</v>
          </cell>
          <cell r="U567" t="str">
            <v>보인</v>
          </cell>
          <cell r="V567">
            <v>1</v>
          </cell>
        </row>
        <row r="568">
          <cell r="A568">
            <v>566</v>
          </cell>
          <cell r="B568" t="str">
            <v>차량등철주</v>
          </cell>
          <cell r="C568" t="str">
            <v>250φ×8m(용융도금)</v>
          </cell>
          <cell r="D568" t="str">
            <v>EA</v>
          </cell>
          <cell r="G568">
            <v>834</v>
          </cell>
          <cell r="H568">
            <v>620400</v>
          </cell>
          <cell r="Q568">
            <v>620400</v>
          </cell>
          <cell r="S568" t="str">
            <v>신호</v>
          </cell>
          <cell r="T568">
            <v>1.7</v>
          </cell>
          <cell r="U568" t="str">
            <v>보인</v>
          </cell>
          <cell r="V568">
            <v>1</v>
          </cell>
        </row>
        <row r="569">
          <cell r="A569">
            <v>567</v>
          </cell>
          <cell r="B569" t="str">
            <v>차량등철주</v>
          </cell>
          <cell r="C569" t="str">
            <v>200φ×8m(용융도금)</v>
          </cell>
          <cell r="D569" t="str">
            <v>EA</v>
          </cell>
          <cell r="G569">
            <v>834</v>
          </cell>
          <cell r="H569">
            <v>460800</v>
          </cell>
          <cell r="Q569">
            <v>460800</v>
          </cell>
          <cell r="S569" t="str">
            <v>신호</v>
          </cell>
          <cell r="T569">
            <v>1.7</v>
          </cell>
          <cell r="U569" t="str">
            <v>보인</v>
          </cell>
          <cell r="V569">
            <v>1</v>
          </cell>
        </row>
        <row r="570">
          <cell r="A570">
            <v>568</v>
          </cell>
          <cell r="B570" t="str">
            <v>차량등철주</v>
          </cell>
          <cell r="C570" t="str">
            <v>150φ×8m(용융도금)</v>
          </cell>
          <cell r="D570" t="str">
            <v>EA</v>
          </cell>
          <cell r="G570">
            <v>834</v>
          </cell>
          <cell r="H570">
            <v>277200</v>
          </cell>
          <cell r="Q570">
            <v>277200</v>
          </cell>
          <cell r="S570" t="str">
            <v>신호</v>
          </cell>
          <cell r="T570">
            <v>1.7</v>
          </cell>
          <cell r="U570" t="str">
            <v>보인</v>
          </cell>
          <cell r="V570">
            <v>1</v>
          </cell>
        </row>
        <row r="571">
          <cell r="A571">
            <v>569</v>
          </cell>
          <cell r="B571" t="str">
            <v>보행등철주</v>
          </cell>
          <cell r="C571" t="str">
            <v>125φ×4m(용융도금)</v>
          </cell>
          <cell r="D571" t="str">
            <v>EA</v>
          </cell>
          <cell r="G571">
            <v>834</v>
          </cell>
          <cell r="H571">
            <v>110400</v>
          </cell>
          <cell r="Q571">
            <v>110400</v>
          </cell>
          <cell r="S571" t="str">
            <v>신호</v>
          </cell>
          <cell r="T571">
            <v>1.3</v>
          </cell>
          <cell r="U571" t="str">
            <v>보인</v>
          </cell>
          <cell r="V571">
            <v>1</v>
          </cell>
        </row>
        <row r="572">
          <cell r="A572">
            <v>570</v>
          </cell>
          <cell r="Q572" t="str">
            <v/>
          </cell>
        </row>
        <row r="573">
          <cell r="A573">
            <v>571</v>
          </cell>
          <cell r="B573" t="str">
            <v>부착대</v>
          </cell>
          <cell r="C573" t="str">
            <v>9m 용융도금</v>
          </cell>
          <cell r="D573" t="str">
            <v>EA</v>
          </cell>
          <cell r="G573">
            <v>834</v>
          </cell>
          <cell r="H573">
            <v>146400</v>
          </cell>
          <cell r="Q573">
            <v>146400</v>
          </cell>
          <cell r="S573" t="str">
            <v>신호</v>
          </cell>
          <cell r="T573">
            <v>1.7</v>
          </cell>
          <cell r="U573" t="str">
            <v>보인</v>
          </cell>
          <cell r="V573">
            <v>1</v>
          </cell>
        </row>
        <row r="574">
          <cell r="A574">
            <v>572</v>
          </cell>
          <cell r="B574" t="str">
            <v>부착대</v>
          </cell>
          <cell r="C574" t="str">
            <v>8m 용융도금</v>
          </cell>
          <cell r="D574" t="str">
            <v>EA</v>
          </cell>
          <cell r="G574">
            <v>834</v>
          </cell>
          <cell r="H574">
            <v>136800</v>
          </cell>
          <cell r="Q574">
            <v>136800</v>
          </cell>
          <cell r="S574" t="str">
            <v>신호</v>
          </cell>
          <cell r="T574">
            <v>1.7</v>
          </cell>
          <cell r="U574" t="str">
            <v>보인</v>
          </cell>
          <cell r="V574">
            <v>1</v>
          </cell>
        </row>
        <row r="575">
          <cell r="A575">
            <v>573</v>
          </cell>
          <cell r="B575" t="str">
            <v>부착대</v>
          </cell>
          <cell r="C575" t="str">
            <v>7m 용융도금</v>
          </cell>
          <cell r="D575" t="str">
            <v>EA</v>
          </cell>
          <cell r="G575">
            <v>834</v>
          </cell>
          <cell r="H575">
            <v>124800</v>
          </cell>
          <cell r="Q575">
            <v>124800</v>
          </cell>
          <cell r="S575" t="str">
            <v>신호</v>
          </cell>
          <cell r="T575">
            <v>1.3</v>
          </cell>
          <cell r="U575" t="str">
            <v>보인</v>
          </cell>
          <cell r="V575">
            <v>1</v>
          </cell>
        </row>
        <row r="576">
          <cell r="A576">
            <v>574</v>
          </cell>
          <cell r="Q576" t="str">
            <v/>
          </cell>
        </row>
        <row r="577">
          <cell r="A577">
            <v>575</v>
          </cell>
          <cell r="Q577" t="str">
            <v/>
          </cell>
        </row>
        <row r="578">
          <cell r="A578">
            <v>576</v>
          </cell>
          <cell r="B578" t="str">
            <v>제어기보호막</v>
          </cell>
          <cell r="C578" t="str">
            <v>F.R.P</v>
          </cell>
          <cell r="D578" t="str">
            <v>EA</v>
          </cell>
          <cell r="G578">
            <v>834</v>
          </cell>
          <cell r="H578">
            <v>150000</v>
          </cell>
          <cell r="Q578">
            <v>150000</v>
          </cell>
        </row>
        <row r="579">
          <cell r="A579">
            <v>577</v>
          </cell>
          <cell r="Q579" t="str">
            <v/>
          </cell>
        </row>
        <row r="580">
          <cell r="A580">
            <v>578</v>
          </cell>
          <cell r="B580" t="str">
            <v>기초앙카</v>
          </cell>
          <cell r="C580" t="str">
            <v>φ125 식</v>
          </cell>
          <cell r="D580" t="str">
            <v>EA</v>
          </cell>
          <cell r="G580" t="str">
            <v>834 (95/01)</v>
          </cell>
          <cell r="H580">
            <v>12000</v>
          </cell>
        </row>
        <row r="581">
          <cell r="A581">
            <v>579</v>
          </cell>
          <cell r="B581" t="str">
            <v>기초앙카</v>
          </cell>
          <cell r="C581" t="str">
            <v>φ150×1.2m가공품</v>
          </cell>
          <cell r="D581" t="str">
            <v>EA</v>
          </cell>
          <cell r="G581">
            <v>834</v>
          </cell>
          <cell r="H581">
            <v>79200</v>
          </cell>
          <cell r="Q581">
            <v>79200</v>
          </cell>
          <cell r="S581" t="str">
            <v>용접</v>
          </cell>
          <cell r="T581">
            <v>0.8</v>
          </cell>
          <cell r="U581" t="str">
            <v>특인</v>
          </cell>
          <cell r="V581">
            <v>0.8</v>
          </cell>
        </row>
        <row r="582">
          <cell r="A582">
            <v>580</v>
          </cell>
          <cell r="B582" t="str">
            <v>기초앙카</v>
          </cell>
          <cell r="C582" t="str">
            <v>φ200×1.5m가공품</v>
          </cell>
          <cell r="D582" t="str">
            <v>EA</v>
          </cell>
          <cell r="G582">
            <v>834</v>
          </cell>
          <cell r="H582">
            <v>158400</v>
          </cell>
          <cell r="Q582">
            <v>158400</v>
          </cell>
          <cell r="S582" t="str">
            <v>용접</v>
          </cell>
          <cell r="T582">
            <v>1.5</v>
          </cell>
          <cell r="U582" t="str">
            <v>특인</v>
          </cell>
          <cell r="V582">
            <v>1.5</v>
          </cell>
        </row>
        <row r="583">
          <cell r="A583">
            <v>581</v>
          </cell>
          <cell r="B583" t="str">
            <v>기초앙카</v>
          </cell>
          <cell r="C583" t="str">
            <v>φ250×1.8m가공품</v>
          </cell>
          <cell r="D583" t="str">
            <v>EA</v>
          </cell>
          <cell r="G583">
            <v>834</v>
          </cell>
          <cell r="H583">
            <v>186000</v>
          </cell>
          <cell r="Q583">
            <v>186000</v>
          </cell>
          <cell r="S583" t="str">
            <v>용접</v>
          </cell>
          <cell r="T583">
            <v>1.5</v>
          </cell>
          <cell r="U583" t="str">
            <v>특인</v>
          </cell>
          <cell r="V583">
            <v>1.5</v>
          </cell>
        </row>
        <row r="584">
          <cell r="A584">
            <v>582</v>
          </cell>
          <cell r="Q584" t="str">
            <v/>
          </cell>
        </row>
        <row r="585">
          <cell r="A585">
            <v>583</v>
          </cell>
          <cell r="B585" t="str">
            <v>보호금구</v>
          </cell>
          <cell r="C585" t="str">
            <v>φ35×1.1m (가공품)</v>
          </cell>
          <cell r="D585" t="str">
            <v>조</v>
          </cell>
          <cell r="G585">
            <v>834</v>
          </cell>
          <cell r="H585">
            <v>20000</v>
          </cell>
          <cell r="Q585">
            <v>20000</v>
          </cell>
        </row>
        <row r="586">
          <cell r="A586">
            <v>584</v>
          </cell>
          <cell r="B586" t="str">
            <v>맨홀 (뚜껑포함)</v>
          </cell>
          <cell r="C586" t="str">
            <v>600×600×600  F.R.P</v>
          </cell>
          <cell r="D586" t="str">
            <v>EA</v>
          </cell>
          <cell r="G586">
            <v>834</v>
          </cell>
          <cell r="H586">
            <v>65000</v>
          </cell>
          <cell r="Q586">
            <v>65000</v>
          </cell>
          <cell r="S586" t="str">
            <v>미장</v>
          </cell>
          <cell r="T586">
            <v>0.6</v>
          </cell>
          <cell r="U586" t="str">
            <v>보인</v>
          </cell>
          <cell r="V586">
            <v>0.3</v>
          </cell>
        </row>
        <row r="587">
          <cell r="A587">
            <v>585</v>
          </cell>
          <cell r="Q587" t="str">
            <v/>
          </cell>
        </row>
        <row r="588">
          <cell r="A588">
            <v>586</v>
          </cell>
          <cell r="B588" t="str">
            <v>사다리조립비</v>
          </cell>
          <cell r="C588" t="str">
            <v>7m 이상</v>
          </cell>
          <cell r="D588" t="str">
            <v>조</v>
          </cell>
          <cell r="Q588">
            <v>0</v>
          </cell>
          <cell r="S588" t="str">
            <v>신호</v>
          </cell>
          <cell r="T588">
            <v>0.4</v>
          </cell>
          <cell r="U588" t="str">
            <v>보인</v>
          </cell>
          <cell r="V588">
            <v>0.56000000000000005</v>
          </cell>
        </row>
        <row r="589">
          <cell r="A589">
            <v>587</v>
          </cell>
          <cell r="B589" t="str">
            <v>사다리조립비</v>
          </cell>
          <cell r="C589" t="str">
            <v>7m 이하</v>
          </cell>
          <cell r="D589" t="str">
            <v>조</v>
          </cell>
          <cell r="Q589">
            <v>0</v>
          </cell>
          <cell r="S589" t="str">
            <v>신호</v>
          </cell>
          <cell r="T589">
            <v>0.3</v>
          </cell>
          <cell r="U589" t="str">
            <v>보인</v>
          </cell>
          <cell r="V589">
            <v>0.44</v>
          </cell>
        </row>
        <row r="590">
          <cell r="A590">
            <v>588</v>
          </cell>
          <cell r="Q590" t="str">
            <v/>
          </cell>
        </row>
        <row r="591">
          <cell r="A591">
            <v>589</v>
          </cell>
          <cell r="B591" t="str">
            <v>전원선</v>
          </cell>
          <cell r="C591" t="str">
            <v>EV 5.5sq/2C</v>
          </cell>
          <cell r="D591" t="str">
            <v>m</v>
          </cell>
          <cell r="G591" t="str">
            <v>818(95/03)</v>
          </cell>
          <cell r="H591">
            <v>600</v>
          </cell>
          <cell r="Q591">
            <v>600</v>
          </cell>
          <cell r="R591">
            <v>0.05</v>
          </cell>
          <cell r="S591" t="str">
            <v>저케</v>
          </cell>
          <cell r="T591">
            <v>1.7999999999999999E-2</v>
          </cell>
        </row>
        <row r="592">
          <cell r="A592">
            <v>590</v>
          </cell>
          <cell r="Q592" t="str">
            <v/>
          </cell>
        </row>
        <row r="593">
          <cell r="A593">
            <v>591</v>
          </cell>
          <cell r="B593" t="str">
            <v>신호케이블</v>
          </cell>
          <cell r="C593" t="str">
            <v>CVS 2.0sq/5C</v>
          </cell>
          <cell r="D593" t="str">
            <v>m</v>
          </cell>
          <cell r="G593" t="str">
            <v>818(95/03)</v>
          </cell>
          <cell r="H593">
            <v>900</v>
          </cell>
          <cell r="Q593">
            <v>900</v>
          </cell>
          <cell r="R593">
            <v>0.05</v>
          </cell>
          <cell r="S593" t="str">
            <v>신호</v>
          </cell>
          <cell r="T593">
            <v>3.2000000000000001E-2</v>
          </cell>
        </row>
        <row r="594">
          <cell r="A594">
            <v>592</v>
          </cell>
          <cell r="Q594" t="str">
            <v/>
          </cell>
        </row>
        <row r="595">
          <cell r="A595">
            <v>593</v>
          </cell>
          <cell r="Q595" t="str">
            <v/>
          </cell>
        </row>
        <row r="596">
          <cell r="A596">
            <v>594</v>
          </cell>
          <cell r="Q596" t="str">
            <v/>
          </cell>
        </row>
        <row r="597">
          <cell r="A597">
            <v>595</v>
          </cell>
          <cell r="Q597" t="str">
            <v/>
          </cell>
        </row>
        <row r="598">
          <cell r="A598">
            <v>596</v>
          </cell>
          <cell r="Q598" t="str">
            <v/>
          </cell>
        </row>
        <row r="599">
          <cell r="A599">
            <v>597</v>
          </cell>
          <cell r="Q599" t="str">
            <v/>
          </cell>
        </row>
        <row r="600">
          <cell r="A600">
            <v>598</v>
          </cell>
          <cell r="Q600" t="str">
            <v/>
          </cell>
        </row>
        <row r="601">
          <cell r="A601">
            <v>599</v>
          </cell>
          <cell r="Q601" t="str">
            <v/>
          </cell>
        </row>
        <row r="602">
          <cell r="A602">
            <v>600</v>
          </cell>
          <cell r="Q602" t="str">
            <v/>
          </cell>
        </row>
        <row r="603">
          <cell r="A603">
            <v>601</v>
          </cell>
          <cell r="C603" t="str">
            <v>내선전공</v>
          </cell>
          <cell r="D603" t="str">
            <v>인</v>
          </cell>
          <cell r="F603">
            <v>43600</v>
          </cell>
          <cell r="Q603">
            <v>43600</v>
          </cell>
        </row>
        <row r="604">
          <cell r="A604">
            <v>602</v>
          </cell>
          <cell r="C604" t="str">
            <v>저압케이블공</v>
          </cell>
          <cell r="D604" t="str">
            <v>인</v>
          </cell>
          <cell r="F604">
            <v>52900</v>
          </cell>
          <cell r="Q604">
            <v>52900</v>
          </cell>
        </row>
        <row r="605">
          <cell r="A605">
            <v>603</v>
          </cell>
          <cell r="C605" t="str">
            <v>배전전공</v>
          </cell>
          <cell r="D605" t="str">
            <v>인</v>
          </cell>
          <cell r="F605">
            <v>94200</v>
          </cell>
          <cell r="Q605">
            <v>94200</v>
          </cell>
        </row>
        <row r="606">
          <cell r="A606">
            <v>604</v>
          </cell>
          <cell r="C606" t="str">
            <v>프랜트전공</v>
          </cell>
          <cell r="D606" t="str">
            <v>인</v>
          </cell>
          <cell r="F606">
            <v>48400</v>
          </cell>
          <cell r="Q606">
            <v>48400</v>
          </cell>
        </row>
        <row r="607">
          <cell r="A607">
            <v>605</v>
          </cell>
          <cell r="C607" t="str">
            <v>보통인부</v>
          </cell>
          <cell r="D607" t="str">
            <v>인</v>
          </cell>
          <cell r="F607">
            <v>27200</v>
          </cell>
          <cell r="Q607">
            <v>27200</v>
          </cell>
        </row>
        <row r="608">
          <cell r="A608">
            <v>606</v>
          </cell>
          <cell r="C608" t="str">
            <v>고압케이블공</v>
          </cell>
          <cell r="D608" t="str">
            <v>인</v>
          </cell>
          <cell r="F608">
            <v>53700</v>
          </cell>
          <cell r="Q608">
            <v>53700</v>
          </cell>
        </row>
        <row r="609">
          <cell r="A609">
            <v>607</v>
          </cell>
          <cell r="C609" t="str">
            <v>특고압케이블공</v>
          </cell>
          <cell r="D609" t="str">
            <v>인</v>
          </cell>
          <cell r="F609">
            <v>79800</v>
          </cell>
          <cell r="Q609">
            <v>79800</v>
          </cell>
        </row>
        <row r="610">
          <cell r="A610">
            <v>608</v>
          </cell>
          <cell r="C610" t="str">
            <v>통신설비공</v>
          </cell>
          <cell r="D610" t="str">
            <v>인</v>
          </cell>
          <cell r="F610">
            <v>52700</v>
          </cell>
          <cell r="Q610">
            <v>52700</v>
          </cell>
        </row>
        <row r="611">
          <cell r="A611">
            <v>609</v>
          </cell>
          <cell r="C611" t="str">
            <v>통신내선공</v>
          </cell>
          <cell r="D611" t="str">
            <v>인</v>
          </cell>
          <cell r="F611">
            <v>45500</v>
          </cell>
          <cell r="Q611">
            <v>45500</v>
          </cell>
        </row>
        <row r="612">
          <cell r="A612">
            <v>610</v>
          </cell>
          <cell r="C612" t="str">
            <v>통신케이블공</v>
          </cell>
          <cell r="D612" t="str">
            <v>인</v>
          </cell>
          <cell r="F612">
            <v>58100</v>
          </cell>
          <cell r="Q612">
            <v>58100</v>
          </cell>
        </row>
        <row r="613">
          <cell r="A613">
            <v>611</v>
          </cell>
          <cell r="C613" t="str">
            <v>신호공</v>
          </cell>
          <cell r="D613" t="str">
            <v>인</v>
          </cell>
          <cell r="F613">
            <v>62300</v>
          </cell>
          <cell r="Q613">
            <v>62300</v>
          </cell>
        </row>
        <row r="614">
          <cell r="A614">
            <v>612</v>
          </cell>
          <cell r="C614" t="str">
            <v>특별인부</v>
          </cell>
          <cell r="D614" t="str">
            <v>인</v>
          </cell>
          <cell r="F614">
            <v>38500</v>
          </cell>
          <cell r="Q614">
            <v>38500</v>
          </cell>
        </row>
        <row r="615">
          <cell r="A615">
            <v>613</v>
          </cell>
          <cell r="C615" t="str">
            <v>계장공</v>
          </cell>
          <cell r="D615" t="str">
            <v>인</v>
          </cell>
          <cell r="F615">
            <v>42500</v>
          </cell>
          <cell r="Q615">
            <v>42500</v>
          </cell>
        </row>
        <row r="616">
          <cell r="A616">
            <v>614</v>
          </cell>
          <cell r="C616" t="str">
            <v>미장공</v>
          </cell>
          <cell r="D616" t="str">
            <v>인</v>
          </cell>
          <cell r="F616">
            <v>52800</v>
          </cell>
          <cell r="Q616">
            <v>52800</v>
          </cell>
        </row>
        <row r="617">
          <cell r="A617">
            <v>615</v>
          </cell>
          <cell r="C617" t="str">
            <v>용접공(일반)</v>
          </cell>
          <cell r="D617" t="str">
            <v>인</v>
          </cell>
          <cell r="F617">
            <v>48800</v>
          </cell>
          <cell r="Q617">
            <v>48800</v>
          </cell>
        </row>
        <row r="618">
          <cell r="A618">
            <v>616</v>
          </cell>
          <cell r="C618" t="str">
            <v>도장공</v>
          </cell>
          <cell r="D618" t="str">
            <v>인</v>
          </cell>
          <cell r="F618">
            <v>47200</v>
          </cell>
          <cell r="Q618">
            <v>47200</v>
          </cell>
        </row>
        <row r="619">
          <cell r="A619">
            <v>617</v>
          </cell>
          <cell r="C619" t="str">
            <v>배관공</v>
          </cell>
          <cell r="D619" t="str">
            <v>인</v>
          </cell>
          <cell r="F619">
            <v>42000</v>
          </cell>
          <cell r="Q619">
            <v>42000</v>
          </cell>
        </row>
        <row r="620">
          <cell r="A620">
            <v>618</v>
          </cell>
          <cell r="C620" t="str">
            <v>콘크리트공</v>
          </cell>
          <cell r="D620" t="str">
            <v>인</v>
          </cell>
          <cell r="F620">
            <v>47600</v>
          </cell>
          <cell r="Q620">
            <v>47600</v>
          </cell>
        </row>
        <row r="621">
          <cell r="A621">
            <v>619</v>
          </cell>
          <cell r="C621" t="str">
            <v>형틀목공</v>
          </cell>
          <cell r="D621" t="str">
            <v>인</v>
          </cell>
          <cell r="F621">
            <v>52900</v>
          </cell>
          <cell r="Q621">
            <v>52900</v>
          </cell>
        </row>
        <row r="622">
          <cell r="A622">
            <v>620</v>
          </cell>
          <cell r="C622" t="str">
            <v>철근공</v>
          </cell>
          <cell r="D622" t="str">
            <v>인</v>
          </cell>
          <cell r="F622">
            <v>50500</v>
          </cell>
          <cell r="Q622">
            <v>50500</v>
          </cell>
        </row>
        <row r="623">
          <cell r="A623">
            <v>621</v>
          </cell>
          <cell r="C623" t="str">
            <v>철판공</v>
          </cell>
          <cell r="D623" t="str">
            <v>인</v>
          </cell>
          <cell r="F623">
            <v>43700</v>
          </cell>
          <cell r="Q623">
            <v>43700</v>
          </cell>
        </row>
        <row r="624">
          <cell r="A624">
            <v>622</v>
          </cell>
          <cell r="C624" t="str">
            <v>방수공</v>
          </cell>
          <cell r="D624" t="str">
            <v>인</v>
          </cell>
          <cell r="F624">
            <v>45100</v>
          </cell>
          <cell r="Q624">
            <v>45100</v>
          </cell>
        </row>
        <row r="625">
          <cell r="A625">
            <v>623</v>
          </cell>
          <cell r="B625" t="str">
            <v>STRAIGHT TRAY(H.D.G)</v>
          </cell>
          <cell r="C625" t="str">
            <v>450W×100H</v>
          </cell>
          <cell r="D625" t="str">
            <v>m</v>
          </cell>
          <cell r="K625" t="str">
            <v>(주)동명 ENG.</v>
          </cell>
          <cell r="L625">
            <v>10500</v>
          </cell>
          <cell r="Q625">
            <v>10500</v>
          </cell>
          <cell r="S625" t="str">
            <v>내선</v>
          </cell>
          <cell r="T625">
            <v>0.44500000000000001</v>
          </cell>
        </row>
        <row r="626">
          <cell r="A626">
            <v>624</v>
          </cell>
          <cell r="B626" t="str">
            <v>STRAIGHT TRAY(H.D.G)</v>
          </cell>
          <cell r="C626" t="str">
            <v>450W×150H</v>
          </cell>
          <cell r="D626" t="str">
            <v>m</v>
          </cell>
          <cell r="K626" t="str">
            <v>(주)동명 ENG.</v>
          </cell>
          <cell r="L626">
            <v>13500</v>
          </cell>
          <cell r="Q626">
            <v>13500</v>
          </cell>
          <cell r="S626" t="str">
            <v>내선</v>
          </cell>
          <cell r="T626">
            <v>0.44500000000000001</v>
          </cell>
        </row>
        <row r="627">
          <cell r="A627">
            <v>625</v>
          </cell>
          <cell r="B627" t="str">
            <v>HDR-TEE (H.D.G)</v>
          </cell>
          <cell r="C627" t="str">
            <v>450W×100H</v>
          </cell>
          <cell r="D627" t="str">
            <v>m</v>
          </cell>
          <cell r="K627" t="str">
            <v>(주)동명 ENG.</v>
          </cell>
          <cell r="L627">
            <v>24000</v>
          </cell>
          <cell r="Q627">
            <v>24000</v>
          </cell>
          <cell r="S627" t="str">
            <v>내선</v>
          </cell>
          <cell r="T627">
            <v>0.44500000000000001</v>
          </cell>
        </row>
        <row r="628">
          <cell r="A628">
            <v>626</v>
          </cell>
          <cell r="B628" t="str">
            <v>전선관부속품</v>
          </cell>
          <cell r="C628" t="str">
            <v>배관자재비의 15%</v>
          </cell>
          <cell r="D628" t="str">
            <v>식</v>
          </cell>
          <cell r="Q628">
            <v>0</v>
          </cell>
        </row>
        <row r="629">
          <cell r="A629">
            <v>627</v>
          </cell>
          <cell r="B629" t="str">
            <v>잡자재및소모품비</v>
          </cell>
          <cell r="C629" t="str">
            <v>배관배선자재비의 2%</v>
          </cell>
          <cell r="D629" t="str">
            <v>식</v>
          </cell>
          <cell r="Q629">
            <v>0</v>
          </cell>
        </row>
        <row r="630">
          <cell r="A630">
            <v>628</v>
          </cell>
          <cell r="B630" t="str">
            <v>U-CHANEL</v>
          </cell>
          <cell r="C630" t="str">
            <v>41×41×2.6 t</v>
          </cell>
          <cell r="D630" t="str">
            <v>m</v>
          </cell>
          <cell r="K630" t="str">
            <v>(주)동명 ENG.</v>
          </cell>
          <cell r="L630">
            <v>3300</v>
          </cell>
          <cell r="Q630">
            <v>3300</v>
          </cell>
        </row>
        <row r="631">
          <cell r="A631">
            <v>629</v>
          </cell>
          <cell r="B631" t="str">
            <v>가로등주(도금후도장)</v>
          </cell>
          <cell r="C631" t="str">
            <v>8각테퍼8.5m폴1.5m1등용</v>
          </cell>
          <cell r="D631" t="str">
            <v>본</v>
          </cell>
          <cell r="K631" t="str">
            <v>조일조명</v>
          </cell>
          <cell r="L631">
            <v>195000</v>
          </cell>
          <cell r="Q631">
            <v>195000</v>
          </cell>
          <cell r="S631" t="str">
            <v>내선</v>
          </cell>
          <cell r="T631">
            <v>3.13</v>
          </cell>
        </row>
        <row r="632">
          <cell r="A632">
            <v>630</v>
          </cell>
          <cell r="B632" t="str">
            <v>저압케이블</v>
          </cell>
          <cell r="C632" t="str">
            <v>600V CV5.5sq/3C</v>
          </cell>
          <cell r="D632" t="str">
            <v>m</v>
          </cell>
          <cell r="G632">
            <v>718</v>
          </cell>
          <cell r="H632">
            <v>952</v>
          </cell>
          <cell r="Q632">
            <v>952</v>
          </cell>
          <cell r="R632">
            <v>0.05</v>
          </cell>
          <cell r="S632" t="str">
            <v>저케</v>
          </cell>
          <cell r="T632">
            <v>2.5999999999999999E-2</v>
          </cell>
        </row>
        <row r="633">
          <cell r="A633">
            <v>631</v>
          </cell>
          <cell r="B633" t="str">
            <v>저압케이블</v>
          </cell>
          <cell r="C633" t="str">
            <v>600V CV14sq/4C</v>
          </cell>
          <cell r="D633" t="str">
            <v>m</v>
          </cell>
          <cell r="G633">
            <v>718</v>
          </cell>
          <cell r="H633">
            <v>2174</v>
          </cell>
          <cell r="Q633">
            <v>2174</v>
          </cell>
          <cell r="R633">
            <v>0.05</v>
          </cell>
          <cell r="S633" t="str">
            <v>저케</v>
          </cell>
          <cell r="T633">
            <v>5.2000000000000005E-2</v>
          </cell>
        </row>
        <row r="634">
          <cell r="A634">
            <v>632</v>
          </cell>
          <cell r="B634" t="str">
            <v>저압케이블</v>
          </cell>
          <cell r="C634" t="str">
            <v>600V CV5.5sq/4C</v>
          </cell>
          <cell r="D634" t="str">
            <v>m</v>
          </cell>
          <cell r="G634">
            <v>718</v>
          </cell>
          <cell r="H634">
            <v>1175</v>
          </cell>
          <cell r="Q634">
            <v>1175</v>
          </cell>
          <cell r="R634">
            <v>0.05</v>
          </cell>
          <cell r="S634" t="str">
            <v>저케</v>
          </cell>
          <cell r="T634">
            <v>3.4000000000000002E-2</v>
          </cell>
        </row>
        <row r="635">
          <cell r="A635">
            <v>633</v>
          </cell>
          <cell r="B635" t="str">
            <v>저압케이블</v>
          </cell>
          <cell r="C635" t="str">
            <v>600V CV22sq/4C</v>
          </cell>
          <cell r="D635" t="str">
            <v>m</v>
          </cell>
          <cell r="G635">
            <v>718</v>
          </cell>
          <cell r="H635">
            <v>3711</v>
          </cell>
          <cell r="Q635">
            <v>3711</v>
          </cell>
          <cell r="R635">
            <v>0.05</v>
          </cell>
          <cell r="S635" t="str">
            <v>저케</v>
          </cell>
          <cell r="T635">
            <v>6.7599999999999993E-2</v>
          </cell>
        </row>
        <row r="636">
          <cell r="A636">
            <v>634</v>
          </cell>
          <cell r="B636" t="str">
            <v>저압케이블</v>
          </cell>
          <cell r="C636" t="str">
            <v>600V CV38sq/2C</v>
          </cell>
          <cell r="D636" t="str">
            <v>m</v>
          </cell>
          <cell r="G636">
            <v>718</v>
          </cell>
          <cell r="H636">
            <v>3327</v>
          </cell>
          <cell r="Q636">
            <v>3327</v>
          </cell>
          <cell r="R636">
            <v>0.05</v>
          </cell>
          <cell r="S636" t="str">
            <v>저케</v>
          </cell>
          <cell r="T636">
            <v>5.0399999999999993E-2</v>
          </cell>
        </row>
        <row r="637">
          <cell r="A637">
            <v>635</v>
          </cell>
          <cell r="B637" t="str">
            <v>가로등제어반</v>
          </cell>
          <cell r="C637" t="str">
            <v>상시/격등</v>
          </cell>
          <cell r="D637" t="str">
            <v>대</v>
          </cell>
          <cell r="G637">
            <v>821</v>
          </cell>
          <cell r="H637">
            <v>1366200</v>
          </cell>
          <cell r="Q637">
            <v>1366200</v>
          </cell>
          <cell r="S637" t="str">
            <v>프전</v>
          </cell>
          <cell r="T637">
            <v>4.5999999999999996</v>
          </cell>
          <cell r="U637" t="str">
            <v>보인</v>
          </cell>
          <cell r="V637">
            <v>1.5</v>
          </cell>
        </row>
        <row r="638">
          <cell r="A638">
            <v>636</v>
          </cell>
          <cell r="B638" t="str">
            <v>강교용 L-PANEL</v>
          </cell>
          <cell r="C638" t="str">
            <v>계량기 부착형</v>
          </cell>
          <cell r="D638" t="str">
            <v>면</v>
          </cell>
          <cell r="K638" t="str">
            <v>삼화진흥</v>
          </cell>
          <cell r="L638">
            <v>829900</v>
          </cell>
          <cell r="Q638">
            <v>829900</v>
          </cell>
          <cell r="S638" t="str">
            <v>프전</v>
          </cell>
          <cell r="T638">
            <v>4.5999999999999996</v>
          </cell>
          <cell r="U638" t="str">
            <v>보인</v>
          </cell>
          <cell r="V638">
            <v>1.5</v>
          </cell>
        </row>
        <row r="639">
          <cell r="A639">
            <v>637</v>
          </cell>
          <cell r="B639" t="str">
            <v>강교용 LOP-PANEL</v>
          </cell>
          <cell r="C639" t="str">
            <v>250×350×150</v>
          </cell>
          <cell r="D639" t="str">
            <v>면</v>
          </cell>
          <cell r="K639" t="str">
            <v>삼화진흥</v>
          </cell>
          <cell r="L639">
            <v>124800</v>
          </cell>
          <cell r="Q639">
            <v>124800</v>
          </cell>
          <cell r="S639" t="str">
            <v>내선</v>
          </cell>
          <cell r="T639">
            <v>0.48099999999999998</v>
          </cell>
        </row>
        <row r="640">
          <cell r="A640">
            <v>638</v>
          </cell>
          <cell r="Q640" t="str">
            <v/>
          </cell>
        </row>
        <row r="641">
          <cell r="A641">
            <v>639</v>
          </cell>
          <cell r="B641" t="str">
            <v>저압케이블</v>
          </cell>
          <cell r="C641" t="str">
            <v>600V EV38sq/2C</v>
          </cell>
          <cell r="D641" t="str">
            <v>m</v>
          </cell>
          <cell r="G641">
            <v>727</v>
          </cell>
          <cell r="H641">
            <v>2675</v>
          </cell>
          <cell r="Q641">
            <v>2675</v>
          </cell>
          <cell r="R641">
            <v>0.05</v>
          </cell>
          <cell r="S641" t="str">
            <v>저케</v>
          </cell>
          <cell r="T641">
            <v>5.0399999999999993E-2</v>
          </cell>
        </row>
        <row r="642">
          <cell r="A642">
            <v>640</v>
          </cell>
          <cell r="B642" t="str">
            <v>저압케이블</v>
          </cell>
          <cell r="C642" t="str">
            <v>600V EV60sq/2C</v>
          </cell>
          <cell r="D642" t="str">
            <v>m</v>
          </cell>
          <cell r="G642">
            <v>727</v>
          </cell>
          <cell r="H642">
            <v>4364</v>
          </cell>
          <cell r="Q642">
            <v>4364</v>
          </cell>
          <cell r="R642">
            <v>0.05</v>
          </cell>
          <cell r="S642" t="str">
            <v>저케</v>
          </cell>
          <cell r="T642">
            <v>6.8599999999999994E-2</v>
          </cell>
        </row>
        <row r="643">
          <cell r="A643">
            <v>641</v>
          </cell>
          <cell r="B643" t="str">
            <v>관로굴착</v>
          </cell>
          <cell r="C643" t="str">
            <v>0.6M</v>
          </cell>
          <cell r="D643" t="str">
            <v>m</v>
          </cell>
          <cell r="Q643">
            <v>0</v>
          </cell>
        </row>
        <row r="644">
          <cell r="A644">
            <v>642</v>
          </cell>
          <cell r="B644" t="str">
            <v>관로굴착</v>
          </cell>
          <cell r="C644" t="str">
            <v>1.2M</v>
          </cell>
          <cell r="D644" t="str">
            <v>m</v>
          </cell>
          <cell r="Q644">
            <v>0</v>
          </cell>
        </row>
        <row r="645">
          <cell r="A645">
            <v>643</v>
          </cell>
          <cell r="B645" t="str">
            <v>DATA WAY</v>
          </cell>
          <cell r="D645" t="str">
            <v>m</v>
          </cell>
          <cell r="Q645">
            <v>0</v>
          </cell>
          <cell r="R645">
            <v>0.05</v>
          </cell>
        </row>
        <row r="646">
          <cell r="A646">
            <v>644</v>
          </cell>
          <cell r="Q646" t="str">
            <v/>
          </cell>
        </row>
        <row r="647">
          <cell r="A647">
            <v>645</v>
          </cell>
          <cell r="Q647" t="str">
            <v/>
          </cell>
        </row>
        <row r="648">
          <cell r="A648">
            <v>646</v>
          </cell>
          <cell r="B648" t="str">
            <v>AUDIO CABLE</v>
          </cell>
          <cell r="C648" t="str">
            <v>MW-3100</v>
          </cell>
          <cell r="D648" t="str">
            <v>m</v>
          </cell>
          <cell r="K648" t="str">
            <v>(주)경일기업</v>
          </cell>
          <cell r="L648">
            <v>550</v>
          </cell>
          <cell r="Q648">
            <v>550</v>
          </cell>
          <cell r="R648">
            <v>0.05</v>
          </cell>
          <cell r="S648" t="str">
            <v>저케</v>
          </cell>
          <cell r="T648">
            <v>1.6E-2</v>
          </cell>
        </row>
        <row r="649">
          <cell r="A649">
            <v>647</v>
          </cell>
          <cell r="B649" t="str">
            <v>저압케이블</v>
          </cell>
          <cell r="C649" t="str">
            <v>CVV-SB 3.5sq/2C</v>
          </cell>
          <cell r="D649" t="str">
            <v>m</v>
          </cell>
          <cell r="G649">
            <v>717</v>
          </cell>
          <cell r="H649">
            <v>951</v>
          </cell>
          <cell r="Q649">
            <v>951</v>
          </cell>
          <cell r="R649">
            <v>0.05</v>
          </cell>
          <cell r="S649" t="str">
            <v>저케</v>
          </cell>
          <cell r="T649">
            <v>1.6E-2</v>
          </cell>
        </row>
        <row r="650">
          <cell r="A650">
            <v>648</v>
          </cell>
          <cell r="B650" t="str">
            <v>저압케이블</v>
          </cell>
          <cell r="C650" t="str">
            <v>CVV-SB 3.5sq/4C</v>
          </cell>
          <cell r="D650" t="str">
            <v>m</v>
          </cell>
          <cell r="G650">
            <v>717</v>
          </cell>
          <cell r="H650">
            <v>1287</v>
          </cell>
          <cell r="Q650">
            <v>1287</v>
          </cell>
          <cell r="R650">
            <v>0.05</v>
          </cell>
          <cell r="S650" t="str">
            <v>저케</v>
          </cell>
          <cell r="T650">
            <v>2.9000000000000001E-2</v>
          </cell>
        </row>
        <row r="651">
          <cell r="A651">
            <v>649</v>
          </cell>
          <cell r="B651" t="str">
            <v>저압케이블</v>
          </cell>
          <cell r="C651" t="str">
            <v>600V EV 3.5sq/2C</v>
          </cell>
          <cell r="D651" t="str">
            <v>m</v>
          </cell>
          <cell r="G651">
            <v>727</v>
          </cell>
          <cell r="H651">
            <v>455</v>
          </cell>
          <cell r="Q651">
            <v>455</v>
          </cell>
          <cell r="R651">
            <v>0.05</v>
          </cell>
          <cell r="S651" t="str">
            <v>저케</v>
          </cell>
          <cell r="T651">
            <v>1.6E-2</v>
          </cell>
        </row>
        <row r="652">
          <cell r="A652">
            <v>650</v>
          </cell>
          <cell r="B652" t="str">
            <v>저압케이블</v>
          </cell>
          <cell r="C652" t="str">
            <v>600V CV 3.5sq/3C</v>
          </cell>
          <cell r="D652" t="str">
            <v>m</v>
          </cell>
          <cell r="G652">
            <v>718</v>
          </cell>
          <cell r="H652">
            <v>685</v>
          </cell>
          <cell r="Q652">
            <v>685</v>
          </cell>
          <cell r="R652">
            <v>0.05</v>
          </cell>
          <cell r="S652" t="str">
            <v>저케</v>
          </cell>
          <cell r="T652">
            <v>2.1999999999999999E-2</v>
          </cell>
        </row>
        <row r="653">
          <cell r="A653">
            <v>651</v>
          </cell>
          <cell r="B653" t="str">
            <v>저압케이블</v>
          </cell>
          <cell r="C653" t="str">
            <v>600V CV 8sq/4C</v>
          </cell>
          <cell r="D653" t="str">
            <v>m</v>
          </cell>
          <cell r="G653">
            <v>718</v>
          </cell>
          <cell r="H653">
            <v>1530</v>
          </cell>
          <cell r="Q653">
            <v>1530</v>
          </cell>
          <cell r="R653">
            <v>0.05</v>
          </cell>
          <cell r="S653" t="str">
            <v>저케</v>
          </cell>
          <cell r="T653">
            <v>3.9E-2</v>
          </cell>
        </row>
        <row r="654">
          <cell r="A654">
            <v>652</v>
          </cell>
          <cell r="B654" t="str">
            <v>저압케이블</v>
          </cell>
          <cell r="C654" t="str">
            <v>600V CV 38sq/4C</v>
          </cell>
          <cell r="D654" t="str">
            <v>m</v>
          </cell>
          <cell r="G654">
            <v>718</v>
          </cell>
          <cell r="H654">
            <v>6040</v>
          </cell>
          <cell r="Q654">
            <v>6040</v>
          </cell>
          <cell r="R654">
            <v>0.05</v>
          </cell>
          <cell r="S654" t="str">
            <v>저케</v>
          </cell>
          <cell r="T654">
            <v>3.9600000000000003E-2</v>
          </cell>
        </row>
        <row r="655">
          <cell r="A655">
            <v>653</v>
          </cell>
          <cell r="B655" t="str">
            <v>HOR-ELBOW (H.D.G)</v>
          </cell>
          <cell r="C655" t="str">
            <v>450W×100H</v>
          </cell>
          <cell r="D655" t="str">
            <v>EA</v>
          </cell>
          <cell r="K655" t="str">
            <v>(주)동명 ENG.</v>
          </cell>
          <cell r="L655">
            <v>15300</v>
          </cell>
          <cell r="Q655">
            <v>15300</v>
          </cell>
          <cell r="S655" t="str">
            <v>내선</v>
          </cell>
          <cell r="T655">
            <v>0.44500000000000001</v>
          </cell>
        </row>
        <row r="656">
          <cell r="A656">
            <v>654</v>
          </cell>
          <cell r="B656" t="str">
            <v>HOR-ELBOW (H.D.G)</v>
          </cell>
          <cell r="C656" t="str">
            <v>450W×500H</v>
          </cell>
          <cell r="D656" t="str">
            <v>EA</v>
          </cell>
          <cell r="K656" t="str">
            <v>(주)동명 ENG.</v>
          </cell>
          <cell r="L656">
            <v>19800</v>
          </cell>
          <cell r="Q656">
            <v>19800</v>
          </cell>
          <cell r="S656" t="str">
            <v>내선</v>
          </cell>
          <cell r="T656">
            <v>0.44500000000000001</v>
          </cell>
        </row>
        <row r="657">
          <cell r="A657">
            <v>655</v>
          </cell>
          <cell r="B657" t="str">
            <v>CHANEL BRACKET</v>
          </cell>
          <cell r="C657" t="str">
            <v>42×42×470L</v>
          </cell>
          <cell r="D657" t="str">
            <v>EA</v>
          </cell>
          <cell r="K657" t="str">
            <v>(주)동명 ENG.</v>
          </cell>
          <cell r="L657">
            <v>3500</v>
          </cell>
          <cell r="Q657">
            <v>3500</v>
          </cell>
        </row>
        <row r="658">
          <cell r="A658">
            <v>656</v>
          </cell>
          <cell r="B658" t="str">
            <v>SHANK BOLT &amp; NUT</v>
          </cell>
          <cell r="C658" t="str">
            <v>3/8"×19L</v>
          </cell>
          <cell r="D658" t="str">
            <v>EA</v>
          </cell>
          <cell r="K658" t="str">
            <v>(주)동명 ENG.</v>
          </cell>
          <cell r="L658">
            <v>100</v>
          </cell>
          <cell r="Q658">
            <v>100</v>
          </cell>
        </row>
        <row r="659">
          <cell r="A659">
            <v>657</v>
          </cell>
          <cell r="B659" t="str">
            <v>SPRING NUT</v>
          </cell>
          <cell r="C659" t="str">
            <v>W/BOLT,WASHER 3/8"</v>
          </cell>
          <cell r="D659" t="str">
            <v>EA</v>
          </cell>
          <cell r="K659" t="str">
            <v>(주)동명 ENG.</v>
          </cell>
          <cell r="L659">
            <v>450</v>
          </cell>
          <cell r="Q659">
            <v>450</v>
          </cell>
        </row>
        <row r="660">
          <cell r="A660">
            <v>658</v>
          </cell>
          <cell r="B660" t="str">
            <v>SPRING NUT</v>
          </cell>
          <cell r="C660" t="str">
            <v>W/BOLT,WASHER 1/2"</v>
          </cell>
          <cell r="D660" t="str">
            <v>EA</v>
          </cell>
          <cell r="K660" t="str">
            <v>(주)동명 ENG.</v>
          </cell>
          <cell r="L660">
            <v>500</v>
          </cell>
          <cell r="Q660">
            <v>500</v>
          </cell>
        </row>
        <row r="661">
          <cell r="A661">
            <v>659</v>
          </cell>
          <cell r="B661" t="str">
            <v>SET ANCHOR</v>
          </cell>
          <cell r="C661" t="str">
            <v>3/8"</v>
          </cell>
          <cell r="D661" t="str">
            <v>EA</v>
          </cell>
          <cell r="K661" t="str">
            <v>(주)동명 ENG.</v>
          </cell>
          <cell r="L661">
            <v>170</v>
          </cell>
          <cell r="Q661">
            <v>170</v>
          </cell>
        </row>
        <row r="662">
          <cell r="A662">
            <v>660</v>
          </cell>
          <cell r="B662" t="str">
            <v>STRONG ANCHOR</v>
          </cell>
          <cell r="C662" t="str">
            <v>3/8"</v>
          </cell>
          <cell r="D662" t="str">
            <v>EA</v>
          </cell>
          <cell r="K662" t="str">
            <v>(주)동명 ENG.</v>
          </cell>
          <cell r="L662">
            <v>120</v>
          </cell>
          <cell r="Q662">
            <v>120</v>
          </cell>
        </row>
        <row r="663">
          <cell r="A663">
            <v>661</v>
          </cell>
          <cell r="B663" t="str">
            <v>THREAD ROD</v>
          </cell>
          <cell r="C663" t="str">
            <v>3/8"</v>
          </cell>
          <cell r="D663" t="str">
            <v>m</v>
          </cell>
          <cell r="K663" t="str">
            <v>(주)동명 ENG.</v>
          </cell>
          <cell r="L663">
            <v>500</v>
          </cell>
          <cell r="Q663">
            <v>500</v>
          </cell>
        </row>
        <row r="664">
          <cell r="A664">
            <v>662</v>
          </cell>
          <cell r="B664" t="str">
            <v>SQUARE WASHER</v>
          </cell>
          <cell r="C664" t="str">
            <v>φ 11</v>
          </cell>
          <cell r="D664" t="str">
            <v>EA</v>
          </cell>
          <cell r="K664" t="str">
            <v>(주)동명 ENG.</v>
          </cell>
          <cell r="L664">
            <v>200</v>
          </cell>
          <cell r="Q664">
            <v>200</v>
          </cell>
        </row>
        <row r="665">
          <cell r="A665">
            <v>663</v>
          </cell>
          <cell r="B665" t="str">
            <v>HEX H.B/NUT</v>
          </cell>
          <cell r="C665" t="str">
            <v>W/WASHER 3/8"</v>
          </cell>
          <cell r="D665" t="str">
            <v>SET</v>
          </cell>
          <cell r="K665" t="str">
            <v>(주)동명 ENG.</v>
          </cell>
          <cell r="L665">
            <v>60</v>
          </cell>
          <cell r="Q665">
            <v>60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데이타입력"/>
      <sheetName val="에너지요금"/>
      <sheetName val="보일러입력"/>
      <sheetName val="ESCO입력"/>
      <sheetName val="종합"/>
      <sheetName val="최초입력"/>
      <sheetName val="사업개요(일반전력(갑)용"/>
      <sheetName val="사업개요(일반전력(을)用)"/>
      <sheetName val="사업개요(심야전력(갑)용"/>
      <sheetName val="자금환수표"/>
      <sheetName val="자금운용계획(8%)"/>
      <sheetName val="자금운용계획(11%)"/>
      <sheetName val="참조자료"/>
      <sheetName val="지원제도"/>
      <sheetName val="교회일정표"/>
      <sheetName val="교회빙축설계"/>
      <sheetName val="빙축열설계서"/>
      <sheetName val="운전전략"/>
      <sheetName val="왕복동"/>
      <sheetName val="터보"/>
      <sheetName val="장비가격"/>
      <sheetName val="ESCO제안"/>
      <sheetName val="중온수"/>
      <sheetName val="이중효용"/>
      <sheetName val="냉온수"/>
      <sheetName val="빙축열"/>
      <sheetName val="경제성검토"/>
      <sheetName val="2방식비교"/>
      <sheetName val="3방식비교"/>
      <sheetName val="한전지원금"/>
      <sheetName val="견적서"/>
      <sheetName val="연결임시"/>
      <sheetName val="ESCO"/>
    </sheetNames>
    <definedNames>
      <definedName name="굵기"/>
      <definedName name="돌아가_교통"/>
      <definedName name="돌아가기"/>
      <definedName name="등가도움"/>
      <definedName name="연접도움말"/>
      <definedName name="전선_관"/>
      <definedName name="전압강하가기"/>
      <definedName name="터파기계산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집계"/>
      <sheetName val="정산내역"/>
      <sheetName val="data"/>
      <sheetName val="중기조종사 단위단가"/>
      <sheetName val="에너지요금"/>
      <sheetName val="철거공사1"/>
      <sheetName val="9501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을지"/>
      <sheetName val="갑지"/>
      <sheetName val="지입(신)"/>
      <sheetName val="지입(배)"/>
      <sheetName val="지시서"/>
      <sheetName val="평가서"/>
      <sheetName val="이동통고"/>
      <sheetName val="수익적"/>
      <sheetName val="정산조서"/>
      <sheetName val="TR보고서"/>
      <sheetName val="Sheet11"/>
      <sheetName val="Sheet12"/>
      <sheetName val="Sheet13"/>
      <sheetName val="Sheet14"/>
      <sheetName val="Sheet15"/>
      <sheetName val="Sheet16"/>
      <sheetName val="data"/>
      <sheetName val="에너지요금"/>
      <sheetName val="설계(안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대비"/>
      <sheetName val="토공"/>
      <sheetName val="을지"/>
      <sheetName val="전기"/>
      <sheetName val="9811"/>
      <sheetName val="data"/>
      <sheetName val="선로정수계산"/>
      <sheetName val="정산변경입력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cover예산"/>
      <sheetName val="cover설계서"/>
      <sheetName val="예산서갑지"/>
      <sheetName val="원가계산"/>
      <sheetName val="원가근거 "/>
      <sheetName val="관급자재집계"/>
      <sheetName val="내역서집계"/>
      <sheetName val="내역서(1. 옥외전력 및 수변전설비)"/>
      <sheetName val="내역서(2. 접지 및 피뢰침 설비)"/>
      <sheetName val="내역서(3. CABLE TRAY)"/>
      <sheetName val="내역서(4. 가압장 동력)"/>
      <sheetName val="내역서(5. 약품투입동,응집침전지 동력)"/>
      <sheetName val="내역서(6. 여과지 동력)"/>
      <sheetName val="내역서(7. 농축조,농축분배조 동력)"/>
      <sheetName val="내역서(8. 조정농축조,조정농축분배조 동력)"/>
      <sheetName val="내역서(9. 탈리액농축조,탈리액농축분배조 동력)"/>
      <sheetName val="내역서(10. 탈수기동,회수펌프동 동력)"/>
      <sheetName val="내역서(11. 식당 및 창고 전력간선,전열)"/>
      <sheetName val="내역서(12. 식당 및 창고 전등)"/>
      <sheetName val="내역서(13. 가압장 전력간선,전열)"/>
      <sheetName val="내역서(14. 가압장 전등)"/>
      <sheetName val="내역서(15. 여과지 전력간선,전열)"/>
      <sheetName val="내역서(16. 여과지 전등)"/>
      <sheetName val="내역서(17. 각 농축분배조 전등.전열)"/>
      <sheetName val="내역서(18. 옥외 약전 및 방송)"/>
      <sheetName val="내역서(19. 각동 약전 및 방송)"/>
      <sheetName val="부대설비"/>
      <sheetName val="대가갑지"/>
      <sheetName val="일위대가"/>
      <sheetName val="분전반설치비 일위대가"/>
      <sheetName val="그림갑지"/>
      <sheetName val="가로등기초"/>
      <sheetName val="잡철물제작"/>
      <sheetName val="관로굴착"/>
      <sheetName val="단가갑지"/>
      <sheetName val="단가비교표"/>
      <sheetName val="산출서갑지"/>
      <sheetName val="공량갑지"/>
      <sheetName val="공량(1. 옥외전력 및 수변전, 외등설비)"/>
      <sheetName val="공량(2. 접지 및 피뢰침 설비)"/>
      <sheetName val="공량(3. CABLE TRAY)"/>
      <sheetName val="공량(4. 가압장 동력)"/>
      <sheetName val="공량(5. 약품투입동,응집침전지 동력)"/>
      <sheetName val="공량(6. 여과지 동력)"/>
      <sheetName val="공량(7. 농축조,농축분배조 동력)"/>
      <sheetName val="공량(8. 조정농축조,조정농축분배조 동력)"/>
      <sheetName val="공량(9. 탈리액농축조,탈리액농축분배조 동력)"/>
      <sheetName val="공량(10. 탈수기동,회수펌프동 동력)"/>
      <sheetName val="공량(11. 식당 및 창고 전력간선,전열)"/>
      <sheetName val="공량(12. 식당 및 창고 전등)"/>
      <sheetName val="공량(13. 가압장 전력간선,전열)"/>
      <sheetName val="공량(14. 가압장 전등)"/>
      <sheetName val="공량(15. 여과지 전력간선,전열)"/>
      <sheetName val="공량(16. 여과지 전등)"/>
      <sheetName val="공량(17. 각 농축분배조 전등.전열)"/>
      <sheetName val="공량(18. 옥외 약전 및 방송)"/>
      <sheetName val="공량(19. 각동 약전 및 방송"/>
      <sheetName val="산출조서갑지"/>
      <sheetName val="산출조서(1.옥외전력 및 수변전, 외등설비)"/>
      <sheetName val="산출조서(2. 접지 및 피뢰침 설비)"/>
      <sheetName val="산출조서(3. CABLE TRAY)"/>
      <sheetName val="산출조서(4. 가압장 동력)"/>
      <sheetName val="산출조서(5. 약품투입동,응집침전지 동력)"/>
      <sheetName val="산출조서(6. 여과지 동력)"/>
      <sheetName val="산출조서(7. 농축조,농축분배조 동력)"/>
      <sheetName val="산출조서(8. 조정농축조,조정농축분배조 동력)"/>
      <sheetName val="산출조서(9. 탈리액농축조,탈리액농축분배조 동력)"/>
      <sheetName val="산출조서(10. 탈수기동,회수펌프동 동력)"/>
      <sheetName val="산출조서(11. 식당 및 창고 전력간선,전열)"/>
      <sheetName val="산출조서(12. 식당 및 창고 전등)"/>
      <sheetName val="산출조서(13. 가압장 전력간선,전열)"/>
      <sheetName val="산출조서(L1. 관리동 전등)"/>
      <sheetName val="산출조서(L2. 침사지 전등,전열)"/>
      <sheetName val="산출조서(15. 여과지 전력간선,전열)"/>
      <sheetName val="산출조서(16. 여과지 전등)"/>
      <sheetName val="산출조서(17. 각 농축분배조 전등.전열)"/>
      <sheetName val="산출조서(18. 옥외 약전 및 방송)"/>
      <sheetName val="산출조서(19. 각동 약전 및 방송)"/>
      <sheetName val="견적갑지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5"/>
      <sheetName val="한전 수탁비 계산 내역"/>
      <sheetName val="CUBICLE설치비 일위대가 "/>
      <sheetName val="9811"/>
      <sheetName val="NFB"/>
      <sheetName val="원가계산서 "/>
      <sheetName val="고용보험료"/>
      <sheetName val="예산내역서"/>
      <sheetName val="9509"/>
      <sheetName val="집계표"/>
      <sheetName val="여과지동"/>
      <sheetName val="기초자료"/>
      <sheetName val="갑지"/>
      <sheetName val="부표총괄"/>
      <sheetName val="이름정의"/>
      <sheetName val="대로근거"/>
      <sheetName val="중로근거"/>
      <sheetName val="접속도로1"/>
      <sheetName val="가도공"/>
      <sheetName val="설계 갑지"/>
      <sheetName val="투찰금액"/>
      <sheetName val="직재"/>
      <sheetName val="SORCE1"/>
      <sheetName val="선로정수계산"/>
      <sheetName val="납부서"/>
      <sheetName val="Sheet1"/>
      <sheetName val="_x0000__x0000__x0000__x0004__x0000_"/>
      <sheetName val="관급"/>
      <sheetName val="기초일위"/>
      <sheetName val="시설일위"/>
      <sheetName val="조명일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연습"/>
      <sheetName val="FIRST"/>
      <sheetName val="LETTER"/>
      <sheetName val="아셈 거푸집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현설(토.철)"/>
      <sheetName val="토공견적서"/>
      <sheetName val="철콘견적서"/>
      <sheetName val="예산"/>
      <sheetName val="대비"/>
      <sheetName val="을지"/>
      <sheetName val="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실행예산총괄표"/>
      <sheetName val="실행예산총괄표-시설물"/>
      <sheetName val="실행예산총괄표-식재"/>
      <sheetName val="실행내역 "/>
      <sheetName val="수목실행총괄"/>
      <sheetName val="수목실행세부"/>
      <sheetName val="시설물총괄"/>
      <sheetName val="시설물세부"/>
      <sheetName val="Sheet1"/>
      <sheetName val="Sheet2"/>
      <sheetName val="Sheet3"/>
      <sheetName val="일위대가표"/>
      <sheetName val="ABUT수량-A1"/>
      <sheetName val="토사(PE)"/>
      <sheetName val="실행내역"/>
      <sheetName val="수목데이타 "/>
      <sheetName val="부분별수량산출(조합기초)"/>
      <sheetName val="몰탈재료산출"/>
      <sheetName val="조명시설"/>
      <sheetName val="공주-교대(A1)"/>
      <sheetName val="지급자재"/>
      <sheetName val="집계표"/>
      <sheetName val="토목"/>
      <sheetName val="관급"/>
      <sheetName val="9811"/>
      <sheetName val="연습"/>
      <sheetName val="DATE"/>
      <sheetName val="총괄내역서"/>
      <sheetName val="법면"/>
      <sheetName val="부대공"/>
      <sheetName val="구조물공"/>
      <sheetName val="중기일위대가"/>
      <sheetName val="포장공"/>
      <sheetName val="토공"/>
      <sheetName val="배수공1"/>
      <sheetName val="9509"/>
      <sheetName val="보도공제면적"/>
      <sheetName val="경산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제목 (3)"/>
      <sheetName val="제목 (2)"/>
      <sheetName val="제목"/>
      <sheetName val="내역서"/>
      <sheetName val="내역서 (2)"/>
      <sheetName val="내역서 (3)"/>
      <sheetName val="전기관급"/>
      <sheetName val="총괄내역단가"/>
      <sheetName val="수목데이타 "/>
      <sheetName val="갑지"/>
      <sheetName val="집계표"/>
      <sheetName val="설비"/>
    </sheetNames>
    <definedNames>
      <definedName name="Macro10"/>
    </defined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ITEM"/>
      <sheetName val="포장복구집계"/>
      <sheetName val="COPING"/>
      <sheetName val="INPUT"/>
      <sheetName val="전기"/>
      <sheetName val="MOTOR"/>
      <sheetName val="전선"/>
      <sheetName val="KMT물량"/>
      <sheetName val="설계조건"/>
      <sheetName val="내역"/>
      <sheetName val="기별(종합)"/>
      <sheetName val="공통가설"/>
      <sheetName val="조도계산서"/>
      <sheetName val="전차선로 물량표"/>
      <sheetName val="COST"/>
      <sheetName val="자재단가비교표"/>
      <sheetName val="Macro(전선)"/>
      <sheetName val="과천MAIN"/>
      <sheetName val="11.1 단면hwp"/>
      <sheetName val="11.자재단가"/>
      <sheetName val="부하계산서"/>
      <sheetName val="단가 및 재료비"/>
      <sheetName val="중기사용료산출근거"/>
      <sheetName val="Sheet1"/>
      <sheetName val="표지 (2)"/>
      <sheetName val="CABLE SIZE-3"/>
      <sheetName val="건축내역"/>
      <sheetName val="설계변경원가계산총괄표"/>
      <sheetName val="SLAB&quot;1&quot;"/>
      <sheetName val="정부노임단가"/>
      <sheetName val="공사비예산서(토목분)"/>
      <sheetName val="손익분석"/>
      <sheetName val="단가비교표"/>
      <sheetName val="INPUT(덕도방향-시점)"/>
      <sheetName val="조건표"/>
      <sheetName val="11.우각부 보강"/>
      <sheetName val="9GNG운반"/>
      <sheetName val="동원(3)"/>
      <sheetName val="예정(3)"/>
      <sheetName val="교량전기"/>
      <sheetName val="당초수량"/>
      <sheetName val="직공비"/>
      <sheetName val="DATE"/>
      <sheetName val="송라터널총괄"/>
      <sheetName val="CODE"/>
      <sheetName val="단면 (2)"/>
      <sheetName val="견적"/>
      <sheetName val="말뚝물량"/>
      <sheetName val="공량산출서"/>
      <sheetName val="비용"/>
      <sheetName val="표지"/>
      <sheetName val="내역서"/>
      <sheetName val="성남여성복지내역"/>
      <sheetName val="단면가정"/>
      <sheetName val="실행철강하도"/>
      <sheetName val="TB-내역서"/>
      <sheetName val="간선계산"/>
      <sheetName val="CAT_5"/>
      <sheetName val="자판실행"/>
      <sheetName val="북방3터널"/>
      <sheetName val="입출재고현황 (2)"/>
      <sheetName val="단가산출"/>
      <sheetName val="3련 BOX"/>
      <sheetName val="#REF"/>
      <sheetName val="Sheet1 (2)"/>
      <sheetName val="CIVIL"/>
      <sheetName val="일위대가(계측기설치)"/>
      <sheetName val="sum1 (2)"/>
      <sheetName val="3.일반설비"/>
      <sheetName val="예산서"/>
      <sheetName val="노임단가"/>
      <sheetName val="Macro(차단기)"/>
      <sheetName val="工완성공사율"/>
      <sheetName val="BASIC (2)"/>
      <sheetName val="단가"/>
      <sheetName val="001"/>
      <sheetName val="방송일위대가"/>
      <sheetName val="내촌육교방음벽수량집계표"/>
      <sheetName val="guard(mac)"/>
      <sheetName val="3CHBDC"/>
      <sheetName val="전단면보수"/>
      <sheetName val="반단면보수"/>
      <sheetName val="콘크리트패칭"/>
      <sheetName val="아스.노면팻칭"/>
      <sheetName val="아스.노면절삭"/>
      <sheetName val="현장관리비"/>
      <sheetName val="Sheet5"/>
      <sheetName val="노임"/>
      <sheetName val="BID"/>
      <sheetName val="Sheet3"/>
      <sheetName val="설 계"/>
      <sheetName val=" 견적서"/>
      <sheetName val="2000년1차"/>
      <sheetName val="입찰안"/>
      <sheetName val="순공사비산출내역"/>
      <sheetName val="일위대가표1"/>
      <sheetName val="단가산출서 "/>
      <sheetName val="기본DATA"/>
      <sheetName val="제품"/>
      <sheetName val="배수장공사비"/>
      <sheetName val="WORK"/>
      <sheetName val="물가자료"/>
      <sheetName val="교각계산"/>
      <sheetName val="인건-측정"/>
      <sheetName val="작성기준"/>
      <sheetName val="교각1"/>
      <sheetName val="수안보-MBR1"/>
      <sheetName val="__MAIN"/>
      <sheetName val="수량산출"/>
      <sheetName val="PART_DISCOUNT"/>
      <sheetName val="1"/>
      <sheetName val="간접비내역-1"/>
      <sheetName val="차도조도계산"/>
      <sheetName val="사급자재"/>
      <sheetName val="플랜트 설치"/>
      <sheetName val="원가계산서"/>
      <sheetName val="일위대가(목록)"/>
      <sheetName val="재료비"/>
      <sheetName val="단면치수"/>
      <sheetName val="LIST"/>
      <sheetName val="ABUT수량-A1"/>
      <sheetName val="케이블및전선관규격표"/>
      <sheetName val="TEST1"/>
      <sheetName val="1-1"/>
      <sheetName val="01"/>
      <sheetName val="선로정수계산"/>
      <sheetName val="기둥(하중)"/>
      <sheetName val="인건비"/>
      <sheetName val="단가대비"/>
      <sheetName val="중기일위대가"/>
      <sheetName val="단가표"/>
      <sheetName val="MAIN"/>
      <sheetName val="대전노은1차_조적_집계표"/>
      <sheetName val="JUCK"/>
      <sheetName val="품목"/>
      <sheetName val="설비"/>
      <sheetName val="점수계산1-2"/>
      <sheetName val="재료집계"/>
      <sheetName val="기계내역"/>
      <sheetName val="일반전기"/>
      <sheetName val="부표총괄"/>
      <sheetName val="품셈1-17"/>
      <sheetName val="원가입력"/>
      <sheetName val="CTDG"/>
      <sheetName val="THVT"/>
      <sheetName val="산출근거"/>
      <sheetName val="식생블럭단위수량"/>
      <sheetName val="사용성검토"/>
      <sheetName val="眞비상(진주)"/>
      <sheetName val="역T형"/>
      <sheetName val="일위대가시트"/>
      <sheetName val="날개벽(시점좌측)"/>
      <sheetName val="동관마찰손실표"/>
      <sheetName val="안정검토"/>
      <sheetName val="단면설계"/>
      <sheetName val="FORM-0"/>
      <sheetName val="적용률"/>
      <sheetName val="집수정"/>
      <sheetName val="단가조사서"/>
      <sheetName val="(포장)BOQ-실적공사"/>
      <sheetName val="1.설계조건"/>
      <sheetName val="입력DATA"/>
      <sheetName val="수원역(전체분)설계서"/>
      <sheetName val="갑지1"/>
      <sheetName val="GAEYO"/>
      <sheetName val="SILICATE"/>
      <sheetName val="토목내역서"/>
      <sheetName val="공정코드"/>
      <sheetName val="EACT10"/>
      <sheetName val="설계"/>
      <sheetName val="MCC제원"/>
      <sheetName val="70%"/>
      <sheetName val="대로근거"/>
      <sheetName val="중로근거"/>
      <sheetName val="공사개요"/>
      <sheetName val="양산물금"/>
      <sheetName val="PARAMETER"/>
      <sheetName val="LEGEND"/>
      <sheetName val="1월"/>
      <sheetName val="Total"/>
      <sheetName val="백암비스타내역"/>
      <sheetName val="MAT"/>
      <sheetName val="삼성전기"/>
      <sheetName val="PS-2A구조물방수"/>
      <sheetName val="제수"/>
      <sheetName val="공기"/>
      <sheetName val="bearing"/>
      <sheetName val="증감대비"/>
      <sheetName val="gvl"/>
      <sheetName val="옹벽기초자료"/>
      <sheetName val="현황산출서"/>
      <sheetName val="가점"/>
      <sheetName val="index"/>
      <sheetName val="etc"/>
      <sheetName val="시추주상도"/>
      <sheetName val="실행비교"/>
      <sheetName val="일반공사"/>
      <sheetName val="개요"/>
      <sheetName val="LABTOTAL"/>
      <sheetName val="Manual Valve List"/>
      <sheetName val="BQ(실행)"/>
      <sheetName val="조명시설"/>
      <sheetName val="DAN"/>
      <sheetName val="일위대가"/>
      <sheetName val="홈통받이수량"/>
      <sheetName val="현황CODE"/>
      <sheetName val="손익현황"/>
      <sheetName val="주방환기"/>
      <sheetName val="원가"/>
      <sheetName val="General Data"/>
      <sheetName val="가시설흙막이"/>
      <sheetName val="Dae_Jiju"/>
      <sheetName val="Sikje_ingun"/>
      <sheetName val="TREE_D"/>
      <sheetName val="내역표지"/>
      <sheetName val="I一般比"/>
      <sheetName val="하중계산"/>
      <sheetName val="sw1"/>
      <sheetName val="NOMUBI"/>
      <sheetName val="연부97-1"/>
      <sheetName val="소비자가"/>
      <sheetName val="각종양식"/>
      <sheetName val="지중자재단가"/>
      <sheetName val="MANUFACTORY"/>
      <sheetName val="말뚝설계"/>
      <sheetName val="부하(성남)"/>
      <sheetName val="FOOTING단면력"/>
      <sheetName val="간접비"/>
      <sheetName val="광로3 - 48m"/>
      <sheetName val="건축집계"/>
      <sheetName val="품목납기"/>
      <sheetName val="일위대가목록"/>
      <sheetName val="원형1호맨홀토공수량"/>
      <sheetName val="관기성공.내"/>
      <sheetName val="횡배수관토공수량"/>
      <sheetName val="취수탑"/>
      <sheetName val="노무비"/>
      <sheetName val="청산공사"/>
      <sheetName val="회로내역(승인)"/>
      <sheetName val="우석문틀"/>
      <sheetName val="산업"/>
      <sheetName val="조경일람"/>
      <sheetName val="통합"/>
      <sheetName val="하중"/>
      <sheetName val="원가계산(총괄)"/>
      <sheetName val="copy"/>
      <sheetName val="서식"/>
      <sheetName val="단가조서"/>
      <sheetName val="자압"/>
      <sheetName val="1.취수장"/>
      <sheetName val="우각부보강"/>
      <sheetName val="배수장공사비명세서"/>
      <sheetName val="Data&amp;Result"/>
      <sheetName val="견적990322"/>
      <sheetName val="ilch"/>
      <sheetName val="96정변2"/>
      <sheetName val="기본 상수"/>
      <sheetName val="1공구 건정토건 토공"/>
      <sheetName val="신규(07년01월)"/>
      <sheetName val="A-4"/>
      <sheetName val="열린교실"/>
      <sheetName val="BSD (2)"/>
      <sheetName val="투찰"/>
      <sheetName val="부속동"/>
      <sheetName val="Y-WORK"/>
      <sheetName val="전계가"/>
      <sheetName val="LS re sales"/>
      <sheetName val="MixBed"/>
      <sheetName val="CondPol"/>
      <sheetName val="Menu"/>
      <sheetName val="타공종이기"/>
      <sheetName val="Cost bd-&quot;A&quot;"/>
      <sheetName val="POOM_MOTO"/>
      <sheetName val="POOM_MOTO2"/>
      <sheetName val="AILC004"/>
      <sheetName val="Sheet7"/>
      <sheetName val="견적기준"/>
      <sheetName val="PIPE"/>
      <sheetName val="FLANGE"/>
      <sheetName val="VALVE"/>
      <sheetName val="일대목차"/>
      <sheetName val="UNIT"/>
      <sheetName val="매원개착터널총괄"/>
      <sheetName val="4 &amp; 10-inch, CO2 Combo &amp; Sweep"/>
      <sheetName val="계산근거"/>
      <sheetName val="현장관리비 산출내역"/>
      <sheetName val="명세서"/>
      <sheetName val="현장관리비집계표"/>
      <sheetName val="기둥"/>
      <sheetName val="저판(버림100)"/>
      <sheetName val="기둥(원형)"/>
      <sheetName val="SPEC"/>
      <sheetName val="시멘트"/>
      <sheetName val="유기공정"/>
      <sheetName val="주형"/>
      <sheetName val="산1"/>
      <sheetName val="결재판"/>
      <sheetName val="표준건축비"/>
      <sheetName val="경비"/>
      <sheetName val="DANGA"/>
      <sheetName val="공사비 내역"/>
      <sheetName val="4)유동표"/>
      <sheetName val="기초단가"/>
      <sheetName val="실행자재"/>
      <sheetName val="남양시작동자105노65기1.3화1.2"/>
      <sheetName val="관람석제출"/>
      <sheetName val="예가표"/>
      <sheetName val="L_RPTB02_01"/>
      <sheetName val="포장직선구간"/>
      <sheetName val="CLAUSE"/>
      <sheetName val="CATCH BASIN"/>
      <sheetName val="배수공"/>
      <sheetName val="진주방향"/>
      <sheetName val="공사비집계"/>
      <sheetName val="봉양~조차장간고하개명(신설)"/>
      <sheetName val="수습"/>
      <sheetName val="내역총괄"/>
      <sheetName val="내역총괄2"/>
      <sheetName val="내역총괄3"/>
      <sheetName val="단중표"/>
      <sheetName val="매입부가세율(동림)"/>
      <sheetName val="수량3"/>
      <sheetName val="출근부"/>
      <sheetName val="대전월평내역"/>
      <sheetName val="보할공정"/>
      <sheetName val="C1ㅇ"/>
      <sheetName val="기준"/>
      <sheetName val="Sheet4"/>
      <sheetName val="기본"/>
      <sheetName val="도급예산내역서총괄표"/>
      <sheetName val="PW3"/>
      <sheetName val="PW4"/>
      <sheetName val="SC1"/>
      <sheetName val="PE"/>
      <sheetName val="PM"/>
      <sheetName val="TR"/>
      <sheetName val="품셈기준"/>
      <sheetName val="내역(을)"/>
      <sheetName val="데이타"/>
      <sheetName val="COVER"/>
      <sheetName val="L형 옹벽"/>
      <sheetName val="일위(철거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estm_mech"/>
      <sheetName val="산5-7"/>
      <sheetName val="인건비 "/>
      <sheetName val="조도계산서 (도서)"/>
      <sheetName val="일위대가목차"/>
      <sheetName val="일위대가집계표"/>
      <sheetName val="종합기별"/>
      <sheetName val="노무비명세서"/>
      <sheetName val="소요자재명세서"/>
      <sheetName val="MATRLDATA"/>
      <sheetName val="소상 &quot;1&quot;"/>
      <sheetName val="RE9604"/>
      <sheetName val="집행(2-1)"/>
      <sheetName val="신내택지내역서"/>
      <sheetName val="견적시담(송포2공구)"/>
      <sheetName val="실행내역서 "/>
      <sheetName val="98수문일위"/>
      <sheetName val="금액내역서"/>
      <sheetName val="6PILE  (돌출)"/>
      <sheetName val="ACDIM6D"/>
      <sheetName val="장비부하"/>
      <sheetName val="일위대가 "/>
      <sheetName val="약품공급2"/>
      <sheetName val="부대내역"/>
      <sheetName val="가공비"/>
      <sheetName val="철거산출근거"/>
      <sheetName val="견적대비"/>
      <sheetName val="케이블"/>
      <sheetName val="기준자료"/>
      <sheetName val="공종구간"/>
      <sheetName val="설계명세서"/>
      <sheetName val="기초자료입력"/>
      <sheetName val="조명율데이타"/>
      <sheetName val="노무비 근거"/>
      <sheetName val="단위수량"/>
      <sheetName val="현황"/>
      <sheetName val="맨홀수량집계"/>
      <sheetName val="3BL공동구 수량"/>
      <sheetName val="단위중량"/>
      <sheetName val="산근"/>
      <sheetName val="총괄표"/>
      <sheetName val="예산M11A"/>
      <sheetName val="참조"/>
      <sheetName val="5.모델링"/>
      <sheetName val="내역변"/>
      <sheetName val="1SPAN"/>
      <sheetName val="Summary Sheets"/>
      <sheetName val="COA-17"/>
      <sheetName val="C-18"/>
      <sheetName val="토목"/>
      <sheetName val="콤보박스와 리스트박스의 연결"/>
      <sheetName val="견적조건"/>
      <sheetName val="98연계표"/>
      <sheetName val="일위"/>
      <sheetName val="목차"/>
      <sheetName val="물량산출 (전력간선,전열)"/>
      <sheetName val="물량산출 (전등)"/>
      <sheetName val="CPM챠트"/>
      <sheetName val="YANG"/>
      <sheetName val="당초"/>
      <sheetName val="민감도분석"/>
      <sheetName val="ROI"/>
      <sheetName val="工관리비율"/>
      <sheetName val="PROCESS"/>
      <sheetName val="PROJECT BRIEF(EX.NEW)"/>
      <sheetName val="토공A"/>
      <sheetName val="지급자재"/>
      <sheetName val="날개벽수량표"/>
      <sheetName val="물가시세"/>
      <sheetName val="토공산출(주차장)"/>
      <sheetName val="배선DATA"/>
      <sheetName val="구의33고"/>
      <sheetName val="깨기"/>
      <sheetName val="Inputs"/>
      <sheetName val="Cost Inputs"/>
      <sheetName val="CALCULATION"/>
      <sheetName val="현금"/>
      <sheetName val="CF"/>
      <sheetName val="SG"/>
      <sheetName val="산출내역서집계표"/>
      <sheetName val="기초공"/>
      <sheetName val="추원 상가(1)"/>
      <sheetName val="프랜트면허"/>
      <sheetName val="Sat tron"/>
      <sheetName val="뚝토공"/>
      <sheetName val="LOPCALC"/>
      <sheetName val="2.가정단면"/>
      <sheetName val="No-&gt;Code"/>
      <sheetName val="견적서"/>
      <sheetName val="COPING설계"/>
      <sheetName val="154TW"/>
      <sheetName val="_15_0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2공구원가계산"/>
      <sheetName val="2공구산출내역"/>
      <sheetName val="2______"/>
      <sheetName val="내역"/>
      <sheetName val="일위대가"/>
      <sheetName val="2차1차"/>
      <sheetName val="일위대가표"/>
      <sheetName val="대목"/>
      <sheetName val="104동"/>
      <sheetName val="데이타"/>
      <sheetName val="기자재비"/>
      <sheetName val="식재일위대가"/>
      <sheetName val="기초일위대가"/>
      <sheetName val="단가대비표"/>
      <sheetName val="단가표"/>
      <sheetName val="예산내역"/>
      <sheetName val="총괄수지표"/>
      <sheetName val="을"/>
      <sheetName val="10월"/>
      <sheetName val="골조시행"/>
      <sheetName val="담장산출"/>
      <sheetName val="토공사"/>
      <sheetName val="덤프트럭계수"/>
      <sheetName val="수목표준대가"/>
      <sheetName val="70%"/>
      <sheetName val="건축내역"/>
      <sheetName val="1차설계변경내역"/>
      <sheetName val="내역서2안"/>
      <sheetName val="b_balju"/>
      <sheetName val="공통가설"/>
      <sheetName val="자료"/>
      <sheetName val="견적서"/>
      <sheetName val="내역서"/>
      <sheetName val="Mc1"/>
      <sheetName val="b_balju-단가단가단가"/>
      <sheetName val="단가"/>
      <sheetName val="식재인부"/>
      <sheetName val="노임단가"/>
      <sheetName val="표지"/>
      <sheetName val="공문"/>
      <sheetName val="대비"/>
      <sheetName val="1"/>
      <sheetName val="2"/>
      <sheetName val="기성"/>
      <sheetName val="변경"/>
      <sheetName val="사진설명"/>
      <sheetName val="범례 (2)"/>
      <sheetName val="목차"/>
      <sheetName val="Sheet2"/>
      <sheetName val="사진대지"/>
      <sheetName val="Macro1"/>
      <sheetName val="견적시담(송포2공구)"/>
      <sheetName val="적격점수&lt;300억미만&gt;"/>
      <sheetName val="일위대가목차"/>
      <sheetName val="설비2차"/>
      <sheetName val="9811"/>
      <sheetName val="FB25JN"/>
      <sheetName val="노원열병합  건축공사기성내역서"/>
      <sheetName val="일위대가(건축)"/>
      <sheetName val="sheet1"/>
      <sheetName val="내역5"/>
      <sheetName val="백암비스타내역"/>
      <sheetName val="기성내역"/>
      <sheetName val="Y-WORK"/>
      <sheetName val="data2"/>
      <sheetName val="Data&amp;Result"/>
      <sheetName val="환율"/>
      <sheetName val="일위목록"/>
      <sheetName val="QandAJunior"/>
      <sheetName val="b_balju_cho"/>
      <sheetName val="Sheet5"/>
      <sheetName val="공통가설공사"/>
      <sheetName val="건축공사실행"/>
      <sheetName val="노임"/>
      <sheetName val="집계표"/>
      <sheetName val="단가비교표"/>
      <sheetName val="단가일람"/>
      <sheetName val="단위량당중기"/>
      <sheetName val="EACT10"/>
      <sheetName val="중기사용료산출근거"/>
      <sheetName val="단가 및 재료비"/>
      <sheetName val="직노"/>
      <sheetName val="제직재"/>
      <sheetName val="설직재-1"/>
      <sheetName val="개요"/>
      <sheetName val="자재단가"/>
      <sheetName val="관리자"/>
      <sheetName val="일용노임단가"/>
      <sheetName val="DT"/>
      <sheetName val="롤러"/>
      <sheetName val="BH"/>
      <sheetName val="조경유지관리"/>
      <sheetName val="조경식재굴취"/>
      <sheetName val="식재단가"/>
      <sheetName val="인력터파기품"/>
      <sheetName val="2005년임금"/>
      <sheetName val="컨테이너"/>
      <sheetName val="펌프차타설"/>
      <sheetName val="COVER"/>
      <sheetName val="수량산출"/>
      <sheetName val="일위대가목록"/>
      <sheetName val="회사정보"/>
      <sheetName val="DATA1"/>
      <sheetName val="BID"/>
      <sheetName val="★도급내역"/>
      <sheetName val="물가대비표"/>
      <sheetName val="요율"/>
      <sheetName val="건축"/>
      <sheetName val="공종목록표"/>
      <sheetName val="대가10%"/>
      <sheetName val="설계"/>
      <sheetName val="실행철강하도"/>
      <sheetName val="투찰추정"/>
      <sheetName val="Sheet10"/>
      <sheetName val="unit 4"/>
      <sheetName val="기본단가"/>
      <sheetName val="인건비단가"/>
      <sheetName val="보할공정"/>
      <sheetName val="증감대비"/>
      <sheetName val="여과지동"/>
      <sheetName val="CON'C"/>
      <sheetName val="단가표 (2)"/>
      <sheetName val="단가(1)"/>
      <sheetName val="국별인원"/>
      <sheetName val="원가계산서"/>
      <sheetName val="월간관리비"/>
      <sheetName val="산출근거"/>
      <sheetName val="재료단가"/>
      <sheetName val="임금단가"/>
      <sheetName val="장비목록표"/>
      <sheetName val="장비운전경비"/>
      <sheetName val="장비손료"/>
      <sheetName val="장비"/>
      <sheetName val="산근1"/>
      <sheetName val="노무"/>
      <sheetName val="자재"/>
      <sheetName val="일 위 대 가 표"/>
      <sheetName val="#REF"/>
      <sheetName val="회사기초자료"/>
      <sheetName val="단가조사서"/>
      <sheetName val="경비"/>
      <sheetName val="에너지요금"/>
      <sheetName val="단가조사"/>
      <sheetName val="웅진교-S2"/>
      <sheetName val=" 갑지"/>
      <sheetName val="입력"/>
      <sheetName val="제출내역"/>
      <sheetName val="공사비대비표B(토공)"/>
      <sheetName val="소비자가"/>
      <sheetName val="시설물기초"/>
      <sheetName val="Total"/>
      <sheetName val="결재판"/>
      <sheetName val="1,2공구원가계산서"/>
      <sheetName val="1공구산출내역서"/>
      <sheetName val="ABUT수량-A1"/>
      <sheetName val="변수값"/>
      <sheetName val="중기상차"/>
      <sheetName val="AS복구"/>
      <sheetName val="중기터파기"/>
      <sheetName val="도급"/>
      <sheetName val="공장동 지하1층"/>
      <sheetName val="용역동 및 154KV"/>
      <sheetName val="공장동 3층"/>
      <sheetName val="공장동 1층"/>
      <sheetName val="DATA"/>
      <sheetName val="조명율표"/>
      <sheetName val="금액"/>
      <sheetName val="을지"/>
      <sheetName val="선금급신청서"/>
      <sheetName val="기계경비(시간당)"/>
      <sheetName val="터파기및재료"/>
      <sheetName val="기초단가"/>
      <sheetName val="출력은 금물"/>
      <sheetName val="안양동교 1안"/>
      <sheetName val="실행(1)"/>
      <sheetName val="연결임시"/>
      <sheetName val="공통단가"/>
      <sheetName val="운반비"/>
      <sheetName val="2000양배"/>
      <sheetName val="대가"/>
      <sheetName val="작업금지"/>
      <sheetName val="일위_파일"/>
      <sheetName val="몰탈재료산출"/>
      <sheetName val="기초내역"/>
      <sheetName val="할증 "/>
      <sheetName val="중기사용료"/>
      <sheetName val="단가산출"/>
      <sheetName val="광양 3기 유입수"/>
      <sheetName val="요약&amp;결과"/>
      <sheetName val="물가시세표"/>
      <sheetName val="단산목록"/>
      <sheetName val="전체"/>
      <sheetName val="A-4"/>
      <sheetName val="저수조"/>
      <sheetName val="수목데이타 "/>
      <sheetName val="BS"/>
      <sheetName val="실행내역"/>
      <sheetName val="수지예산"/>
      <sheetName val="등록업체(031124)"/>
      <sheetName val="중기조종사 단위단가"/>
      <sheetName val="코드표"/>
      <sheetName val="범례_(2)"/>
      <sheetName val="노원열병합__건축공사기성내역서"/>
      <sheetName val="단가_및_재료비"/>
      <sheetName val="일_위_대_가_표"/>
      <sheetName val="unit_4"/>
      <sheetName val="_갑지"/>
      <sheetName val="출력은_금물"/>
      <sheetName val="안양동교_1안"/>
      <sheetName val="단가표_(2)"/>
      <sheetName val="할증_"/>
      <sheetName val="광양_3기_유입수"/>
      <sheetName val="수목데이타_"/>
      <sheetName val="중기조종사_단위단가"/>
      <sheetName val="위치조서"/>
      <sheetName val="4.일위대가목차"/>
      <sheetName val="일위대가(가설)"/>
      <sheetName val="일위대가(출입)"/>
      <sheetName val="기초입력 DATA"/>
      <sheetName val="전기품산출"/>
      <sheetName val="원하대비"/>
      <sheetName val="원도급"/>
      <sheetName val="하도급"/>
      <sheetName val="대비2"/>
      <sheetName val="건축공사"/>
      <sheetName val="96노임기준"/>
      <sheetName val="집계표_식재"/>
      <sheetName val="장비종합부표"/>
      <sheetName val="부표"/>
      <sheetName val="식재가격"/>
      <sheetName val="식재총괄"/>
      <sheetName val="sheet1 (2)"/>
      <sheetName val="단청공사"/>
      <sheetName val="설계예산서"/>
      <sheetName val="예산내역서"/>
      <sheetName val="장비사양"/>
      <sheetName val="기계경비일람"/>
      <sheetName val="내부마감"/>
      <sheetName val="01"/>
      <sheetName val="대한주택보증(수보)"/>
      <sheetName val="대한주택보증(입보)"/>
      <sheetName val="DANGA"/>
      <sheetName val="BSD _2_"/>
      <sheetName val="제2호단위수량"/>
      <sheetName val="현장경비"/>
      <sheetName val="공사개요"/>
      <sheetName val="급여대장"/>
      <sheetName val="직원 인적급여 카드"/>
      <sheetName val="EJ"/>
      <sheetName val="인건비"/>
      <sheetName val="일위대가 "/>
      <sheetName val="Macro2"/>
      <sheetName val="교사기준면적(초등)"/>
      <sheetName val="단가산출2"/>
      <sheetName val="노임단가표"/>
      <sheetName val="단가비교"/>
      <sheetName val="관로내역원"/>
      <sheetName val="상각비"/>
      <sheetName val="보도공제면적"/>
      <sheetName val="코드목록(시스템담당용)"/>
      <sheetName val="대,유,램"/>
      <sheetName val="품셈TABLE"/>
      <sheetName val="기준액"/>
      <sheetName val="기본단가표"/>
      <sheetName val="재료"/>
      <sheetName val="공구"/>
      <sheetName val="하부철근수량"/>
      <sheetName val="FAX"/>
      <sheetName val="내역-2"/>
      <sheetName val="조명일위"/>
      <sheetName val="000000"/>
      <sheetName val="2000년1차"/>
      <sheetName val="별제권_정리담보권"/>
      <sheetName val="수목데이타"/>
      <sheetName val="계약내역(2)"/>
      <sheetName val="2.냉난방설비공사"/>
      <sheetName val="7.자동제어공사"/>
      <sheetName val="DATE"/>
      <sheetName val="화재 탐지 설비"/>
      <sheetName val="냉천부속동"/>
      <sheetName val="신규일위"/>
      <sheetName val="실행"/>
      <sheetName val="자단"/>
      <sheetName val="포장복구집계"/>
      <sheetName val="북방3터널"/>
      <sheetName val="공정집계_국별"/>
      <sheetName val="AV시스템"/>
      <sheetName val="견적"/>
      <sheetName val="4.공사별"/>
      <sheetName val="갑지"/>
      <sheetName val="기본입력"/>
      <sheetName val="주소록"/>
      <sheetName val="금액내역서"/>
      <sheetName val="재노경"/>
      <sheetName val="도급내역5+800"/>
      <sheetName val="도급내역"/>
      <sheetName val="3련 BOX"/>
      <sheetName val="경산"/>
      <sheetName val="입찰안"/>
      <sheetName val="재료집계표빽업"/>
      <sheetName val="암거수리계산서"/>
      <sheetName val="◀암거수리계산조서"/>
      <sheetName val="◀암거위치"/>
      <sheetName val="최종단면▶"/>
      <sheetName val="◀평균높이▶"/>
      <sheetName val="광주전남"/>
      <sheetName val="준검 내역서"/>
      <sheetName val="물가시세"/>
      <sheetName val="기계경비"/>
      <sheetName val="전력"/>
      <sheetName val="설계내역서"/>
      <sheetName val="이토변실(A3-LINE)"/>
      <sheetName val="기본1"/>
      <sheetName val="수정일위대가"/>
      <sheetName val="굴화내역"/>
      <sheetName val="도급FORM"/>
      <sheetName val="내 역 서(총괄)"/>
      <sheetName val="중기집계"/>
      <sheetName val="부대공"/>
      <sheetName val="배수공"/>
      <sheetName val="토공"/>
      <sheetName val="포장공"/>
      <sheetName val="단가기준"/>
      <sheetName val="강병규"/>
      <sheetName val="I一般比"/>
      <sheetName val="N賃率-職"/>
      <sheetName val="J直材4"/>
      <sheetName val="(전남)시범지구 운영실적 및 결과분석(8월까지)"/>
      <sheetName val="비전경영계획"/>
      <sheetName val="철콘공사"/>
      <sheetName val="계산서(곡선부)"/>
      <sheetName val="포장재료집계표"/>
      <sheetName val="단가산출(총괄)"/>
      <sheetName val="일위총괄"/>
      <sheetName val="우석문틀"/>
      <sheetName val="1안"/>
      <sheetName val="Sheet4"/>
      <sheetName val="10월 (2)"/>
      <sheetName val="종합-임현"/>
      <sheetName val="const."/>
      <sheetName val="구의33고"/>
      <sheetName val="6-1. 관개량조서"/>
      <sheetName val="기초입력_DATA"/>
      <sheetName val="토량1-1"/>
      <sheetName val="조경일람"/>
      <sheetName val="총공사비집계표"/>
      <sheetName val="당사실시1"/>
      <sheetName val="자료입력"/>
      <sheetName val="CABLE SIZE-1"/>
      <sheetName val="일위대가 목록표"/>
      <sheetName val="수량산출서"/>
      <sheetName val=" 견적서"/>
      <sheetName val="총괄내역서"/>
      <sheetName val="견적단가"/>
      <sheetName val="비탈면보호공수량산출"/>
      <sheetName val="일위대가표(DEEP)"/>
      <sheetName val="가정조건"/>
      <sheetName val="공통"/>
      <sheetName val="현장관리비"/>
      <sheetName val="단위수량"/>
      <sheetName val="노무비"/>
      <sheetName val="원가"/>
      <sheetName val="계약서"/>
      <sheetName val="간접비 총괄표"/>
      <sheetName val="2.1  노무비 평균단가산출"/>
      <sheetName val="pier(각형)"/>
      <sheetName val="전차선로 물량표"/>
      <sheetName val="한강운반비"/>
      <sheetName val="공통(20-91)"/>
      <sheetName val="잡비"/>
      <sheetName val="예산명세서"/>
      <sheetName val="설계명세서"/>
      <sheetName val="자동제어"/>
      <sheetName val="원가계산서(남측)"/>
      <sheetName val="단가산출-기,교"/>
      <sheetName val="일위목록-기"/>
      <sheetName val="기초자료"/>
      <sheetName val="1.우편집중내역서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6"/>
      <sheetName val="7"/>
      <sheetName val="8"/>
      <sheetName val="9"/>
      <sheetName val="유원장"/>
      <sheetName val="놀이광장"/>
      <sheetName val="다목적광장"/>
      <sheetName val="조건"/>
      <sheetName val="사업성"/>
      <sheetName val="단"/>
      <sheetName val="종배수관면벽신"/>
      <sheetName val="피벗테이블데이터분석"/>
      <sheetName val="덤프운반거리산출(토)"/>
      <sheetName val="덤프운반거리산출(풍)"/>
      <sheetName val="덤프운반거리산출(연)"/>
      <sheetName val="교각1"/>
      <sheetName val="-치수표(곡선부)"/>
      <sheetName val="통장출금액"/>
      <sheetName val="의왕내역"/>
      <sheetName val="가동비율"/>
      <sheetName val="반포2차"/>
      <sheetName val="부대공Ⅱ"/>
      <sheetName val="분당임차변경"/>
      <sheetName val="형틀공사"/>
      <sheetName val="투찰내역"/>
      <sheetName val="16-1"/>
      <sheetName val="9-1차이내역"/>
      <sheetName val="JUCKEYK"/>
      <sheetName val="공내역"/>
      <sheetName val="ⴭⴭⴭⴭⴭ"/>
      <sheetName val="중기손료"/>
      <sheetName val="기능공인적사항"/>
      <sheetName val="3.하중산정4.지지력"/>
      <sheetName val="단가산출서"/>
      <sheetName val="대가단최종"/>
      <sheetName val="시멘트"/>
      <sheetName val="내역서(전기)"/>
      <sheetName val="토사(PE)"/>
      <sheetName val="재료비"/>
      <sheetName val="DATA 입력란"/>
      <sheetName val="기초일위"/>
      <sheetName val="시설일위"/>
      <sheetName val="말뚝지지력산정"/>
      <sheetName val="표준항목"/>
      <sheetName val="보고"/>
      <sheetName val="식재일위"/>
      <sheetName val="(A)내역서"/>
      <sheetName val="원가data"/>
      <sheetName val="1공구원가계산서"/>
      <sheetName val="변압기 및 발전기 용량"/>
      <sheetName val="L_RPTB~1"/>
      <sheetName val="시작4"/>
      <sheetName val="내역표지"/>
      <sheetName val="Baby일위대가"/>
      <sheetName val="남대문빌딩"/>
      <sheetName val="을 1"/>
      <sheetName val="을 2"/>
      <sheetName val="변경내역"/>
      <sheetName val="옥외등신설"/>
      <sheetName val="저케CV22신설"/>
      <sheetName val="저케CV38신설"/>
      <sheetName val="저케CV8신설"/>
      <sheetName val="접지3종"/>
      <sheetName val="중기단가"/>
      <sheetName val="단가및재료비"/>
      <sheetName val="램머"/>
      <sheetName val="작업일보"/>
      <sheetName val="괴목육교"/>
      <sheetName val="장비경비"/>
      <sheetName val="빗물받이(910-510-410)"/>
      <sheetName val="금융비용"/>
      <sheetName val="2000,9월 일위"/>
      <sheetName val="노무비 근거"/>
      <sheetName val="청천내"/>
      <sheetName val="사업수지"/>
      <sheetName val="중기작업량"/>
      <sheetName val="철거산출근거"/>
      <sheetName val="식재"/>
      <sheetName val="시설물"/>
      <sheetName val="식재출력용"/>
      <sheetName val="유지관리"/>
      <sheetName val="수량집계표(舊)"/>
      <sheetName val="유림골조"/>
      <sheetName val="조도계산서 (도서)"/>
      <sheetName val="전선 및 전선관"/>
      <sheetName val="기초대가"/>
      <sheetName val="시설대가"/>
      <sheetName val="수목대가"/>
      <sheetName val="인공대가"/>
      <sheetName val="신고조서"/>
      <sheetName val="설명서 "/>
      <sheetName val="토목"/>
      <sheetName val="VOR"/>
      <sheetName val="횡배수관"/>
      <sheetName val="일위대가집계"/>
      <sheetName val="적산산출"/>
      <sheetName val="자재비산출"/>
      <sheetName val="운용비산출"/>
      <sheetName val="S&amp;R"/>
      <sheetName val="인원계획-미화"/>
      <sheetName val="Quality"/>
      <sheetName val="People"/>
      <sheetName val="Risk"/>
      <sheetName val="Training"/>
      <sheetName val="General"/>
      <sheetName val="Instructions"/>
      <sheetName val="1. 설계조건 2.단면가정 3. 하중계산"/>
      <sheetName val="세부내역서(소방)"/>
      <sheetName val="DAN"/>
      <sheetName val="백호우계수"/>
      <sheetName val="버스운행안내"/>
      <sheetName val="노견단위수량"/>
      <sheetName val="단중표"/>
      <sheetName val="실행내역 "/>
      <sheetName val="달대"/>
      <sheetName val="원가서"/>
      <sheetName val="실행대비"/>
      <sheetName val="구간별현황"/>
      <sheetName val="기본계획"/>
      <sheetName val="조견표"/>
      <sheetName val="청주(철골발주의뢰서)"/>
      <sheetName val="공조기"/>
      <sheetName val="구간재료"/>
      <sheetName val="단  가  대  비  표"/>
      <sheetName val="일  위  대  가  목  록"/>
      <sheetName val="2.대외공문"/>
      <sheetName val="설비내역서"/>
      <sheetName val="건축내역서"/>
      <sheetName val="전기내역서"/>
      <sheetName val="예총"/>
      <sheetName val="광주운남을"/>
      <sheetName val="TRE TABLE"/>
      <sheetName val="수입"/>
      <sheetName val="3단계"/>
      <sheetName val="장비가동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자판실행"/>
      <sheetName val="국민연금표"/>
      <sheetName val="간공설계서"/>
      <sheetName val="일위대가(4층원격)"/>
      <sheetName val="사각1,특1호"/>
      <sheetName val="파일의이용"/>
      <sheetName val="단 box"/>
      <sheetName val="수량집계"/>
      <sheetName val="총 괄 표"/>
      <sheetName val="지급자재"/>
      <sheetName val="소방"/>
      <sheetName val="이식운반"/>
      <sheetName val="용역비내역-진짜"/>
      <sheetName val="기준FACTOR"/>
      <sheetName val="납부서"/>
      <sheetName val="교통대책내역"/>
      <sheetName val="개인명세서"/>
      <sheetName val="토적단위"/>
      <sheetName val="단가견적조사표"/>
      <sheetName val="계정code"/>
      <sheetName val="정의"/>
      <sheetName val="투입비"/>
      <sheetName val="옥외외등집계표"/>
      <sheetName val="실행기초"/>
      <sheetName val="배수량"/>
      <sheetName val="WORK"/>
      <sheetName val="개요입력"/>
      <sheetName val="수량기준"/>
      <sheetName val="APT내역"/>
      <sheetName val="부대시설"/>
      <sheetName val="일용노임단가2001상"/>
      <sheetName val="참조자료"/>
      <sheetName val="A갑지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06 일위대가목록"/>
      <sheetName val="정산명세서"/>
      <sheetName val="동문건설"/>
      <sheetName val="토건"/>
      <sheetName val="간접비"/>
      <sheetName val="sub"/>
      <sheetName val="근로자"/>
      <sheetName val="총괄표"/>
      <sheetName val="인공산출"/>
      <sheetName val="산출기초"/>
      <sheetName val="공사비산출서"/>
      <sheetName val="단가_1_"/>
      <sheetName val="접속슬라브"/>
      <sheetName val="세금자료"/>
      <sheetName val="내역_FILE"/>
      <sheetName val="규준틀"/>
      <sheetName val="배수내역"/>
      <sheetName val="부표총괄"/>
      <sheetName val="패널"/>
      <sheetName val="일 위 목 록 표"/>
      <sheetName val="001"/>
      <sheetName val="관접합및부설"/>
      <sheetName val="건축공사 집계표"/>
      <sheetName val="골조"/>
      <sheetName val="BOJUNGGM"/>
      <sheetName val="MCC제원"/>
      <sheetName val="제경비율"/>
      <sheetName val="주공 갑지"/>
      <sheetName val="자재목록"/>
      <sheetName val="단가목록"/>
      <sheetName val="중기목록"/>
      <sheetName val="노임이"/>
      <sheetName val="토목공사"/>
      <sheetName val="22단가"/>
      <sheetName val="22인공"/>
      <sheetName val="유역면적"/>
      <sheetName val="front"/>
      <sheetName val="날개벽수량표"/>
      <sheetName val="배수장토목공사비"/>
      <sheetName val="기본일위"/>
      <sheetName val="목록"/>
      <sheetName val="견적 (2)"/>
      <sheetName val="실행간접비"/>
      <sheetName val="1차 내역서"/>
      <sheetName val="손익계산서"/>
      <sheetName val="발주처담당자"/>
      <sheetName val="공정표"/>
      <sheetName val="도급원가"/>
      <sheetName val="갑지(추정)"/>
      <sheetName val="본사인상전"/>
      <sheetName val="일반부표"/>
      <sheetName val="기타 정보통신공사"/>
      <sheetName val="일위대가(1)"/>
      <sheetName val="CODE"/>
      <sheetName val="철근콘크리트 (5)"/>
      <sheetName val="안전장치"/>
      <sheetName val="일반공사"/>
      <sheetName val="적용단위길이"/>
      <sheetName val="특수기호강도거푸집"/>
      <sheetName val="종배수관(신)"/>
      <sheetName val="포스코실행"/>
      <sheetName val="조명시설"/>
      <sheetName val="NEW DB"/>
      <sheetName val="2003상반기노임기준"/>
      <sheetName val="도곡동APT"/>
      <sheetName val="신대방교수"/>
      <sheetName val="단가 "/>
      <sheetName val="경율산정.XLS"/>
      <sheetName val="실행예산"/>
      <sheetName val="개화1교"/>
      <sheetName val="TYPE-1"/>
      <sheetName val="수목단가"/>
      <sheetName val="시설수량표"/>
      <sheetName val="식재수량표"/>
      <sheetName val="1.설계기준 "/>
      <sheetName val="G.R300경비"/>
      <sheetName val="1단계총괄내역서"/>
      <sheetName val="단가일람 (2)"/>
      <sheetName val="값"/>
      <sheetName val="기초목"/>
      <sheetName val="11-2.아파트내역"/>
      <sheetName val="아파트"/>
      <sheetName val="진주방향"/>
      <sheetName val="범례_(2)1"/>
      <sheetName val="단가_및_재료비1"/>
      <sheetName val="노원열병합__건축공사기성내역서1"/>
      <sheetName val="일_위_대_가_표1"/>
      <sheetName val="출력은_금물1"/>
      <sheetName val="unit_41"/>
      <sheetName val="_갑지1"/>
      <sheetName val="단가표_(2)1"/>
      <sheetName val="광양_3기_유입수1"/>
      <sheetName val="BSD__2_"/>
      <sheetName val="안양동교_1안1"/>
      <sheetName val="할증_1"/>
      <sheetName val="중기조종사_단위단가1"/>
      <sheetName val="수목데이타_1"/>
      <sheetName val="직원_인적급여_카드"/>
      <sheetName val="sheet1_(2)"/>
      <sheetName val="4_일위대가목차"/>
      <sheetName val="일위대가_"/>
      <sheetName val="2_냉난방설비공사"/>
      <sheetName val="7_자동제어공사"/>
      <sheetName val="화재_탐지_설비"/>
      <sheetName val="4_공사별"/>
      <sheetName val="(전남)시범지구_운영실적_및_결과분석(8월까지)"/>
      <sheetName val="준검_내역서"/>
      <sheetName val="3련_BOX"/>
      <sheetName val="공장동_지하1층"/>
      <sheetName val="용역동_및_154KV"/>
      <sheetName val="공장동_3층"/>
      <sheetName val="공장동_1층"/>
      <sheetName val="이름교환"/>
      <sheetName val="시설물일위"/>
      <sheetName val="공내역서"/>
      <sheetName val="전기일위목록"/>
      <sheetName val="직접비"/>
      <sheetName val="바닥판"/>
      <sheetName val="입력DATA"/>
      <sheetName val="판"/>
      <sheetName val="대덕토공총"/>
      <sheetName val="문학간접"/>
      <sheetName val="심사물량"/>
      <sheetName val="도로정위치부표"/>
      <sheetName val="심사계산"/>
      <sheetName val="DB구축"/>
      <sheetName val="도로조사부표"/>
      <sheetName val="재정비내역"/>
      <sheetName val="입력변수"/>
      <sheetName val="지적고시내역"/>
      <sheetName val="골막이(야매)"/>
      <sheetName val="전기"/>
      <sheetName val="단가대비표 (3)"/>
      <sheetName val="품셈표"/>
      <sheetName val="안전난간대원가"/>
      <sheetName val="간접1"/>
      <sheetName val="구입단가"/>
      <sheetName val="2F 회의실견적(5_14 일대)"/>
      <sheetName val="5직접"/>
      <sheetName val="장비단가"/>
      <sheetName val="4.2.1 마루높이 검토"/>
      <sheetName val="제경비"/>
      <sheetName val="내역1"/>
      <sheetName val="단가 (2)"/>
      <sheetName val="비용"/>
      <sheetName val="Ekog10"/>
      <sheetName val="집계"/>
      <sheetName val="단위단가"/>
      <sheetName val="자재테이블"/>
      <sheetName val="※참고자료※"/>
      <sheetName val="대치판정"/>
      <sheetName val="산출내역서집계표"/>
      <sheetName val="도급기성"/>
      <sheetName val="관급자재"/>
      <sheetName val="건축일위"/>
      <sheetName val="그라우팅일위"/>
      <sheetName val="일반건축물통신회선수"/>
      <sheetName val="?????"/>
      <sheetName val="Proposal"/>
      <sheetName val="노임 단가"/>
      <sheetName val="자  재"/>
      <sheetName val="건축외주"/>
      <sheetName val="일위산출"/>
      <sheetName val="설비"/>
      <sheetName val="예가표"/>
      <sheetName val="archi(본사)"/>
      <sheetName val="일위대가-1"/>
      <sheetName val="서식"/>
      <sheetName val="재료표"/>
      <sheetName val="설계예산서(흙막이)"/>
      <sheetName val="물량내역"/>
      <sheetName val="건설기계사용기준"/>
      <sheetName val="노무단가"/>
      <sheetName val="기계"/>
      <sheetName val="정화조"/>
      <sheetName val="조경"/>
      <sheetName val="교량하부공"/>
      <sheetName val="실행내역서"/>
      <sheetName val="부대내역"/>
      <sheetName val="比較表"/>
      <sheetName val="편집1"/>
      <sheetName val="경남"/>
      <sheetName val="경북"/>
      <sheetName val="중부"/>
      <sheetName val="예산편성"/>
      <sheetName val="참고자료"/>
      <sheetName val="ITEM"/>
      <sheetName val="공사비증감"/>
      <sheetName val="원가계산서 "/>
      <sheetName val="설계명세서 (장비)"/>
      <sheetName val="기"/>
      <sheetName val="전선(총)"/>
      <sheetName val="물가자료"/>
      <sheetName val="장비집계"/>
      <sheetName val="산출기준자료"/>
      <sheetName val="단면가정"/>
      <sheetName val="설계변경총괄표(계산식)"/>
      <sheetName val="정부노임단가"/>
      <sheetName val="미드수량"/>
      <sheetName val="용산1(해보)"/>
      <sheetName val="유류대관리"/>
      <sheetName val="적용기준"/>
      <sheetName val="고내분기~한림"/>
      <sheetName val="광령~경마장"/>
      <sheetName val="세기~광령"/>
      <sheetName val="물건개요"/>
      <sheetName val="빌딩경영보고서"/>
      <sheetName val="리스료"/>
      <sheetName val="BQ(실행)"/>
      <sheetName val="대로근거"/>
      <sheetName val="6공구(당초)"/>
      <sheetName val="구리토평1전기"/>
      <sheetName val="소화실적"/>
      <sheetName val="Sheet3"/>
      <sheetName val="소총괄표1"/>
      <sheetName val="wall"/>
      <sheetName val="규격"/>
      <sheetName val="코드"/>
      <sheetName val="연결관암거"/>
      <sheetName val="PAINT"/>
      <sheetName val="약품공급2"/>
      <sheetName val="3.고급화검토"/>
      <sheetName val="2.2.10.샤시등"/>
      <sheetName val="입면고급화단가표"/>
      <sheetName val="공사비산출내역"/>
      <sheetName val="COST"/>
      <sheetName val="설계내역2"/>
      <sheetName val="횡배수관수량집계"/>
      <sheetName val="하조서"/>
      <sheetName val="실행(ALT1)"/>
      <sheetName val="퍼스트"/>
      <sheetName val="점수계산1-2"/>
      <sheetName val="관급"/>
      <sheetName val="96작생능"/>
      <sheetName val="내2"/>
      <sheetName val="원가계산"/>
      <sheetName val="확약서"/>
      <sheetName val="6호기"/>
      <sheetName val="36단가"/>
      <sheetName val="적현로"/>
      <sheetName val="기계설비"/>
      <sheetName val="총괄"/>
      <sheetName val="품셈 "/>
      <sheetName val="고시단가"/>
      <sheetName val="가격조사서"/>
      <sheetName val="설계예시"/>
      <sheetName val="기초자료입력"/>
      <sheetName val="우수공,맨홀,집수정"/>
      <sheetName val="출력X"/>
      <sheetName val="주beam"/>
      <sheetName val="98태백"/>
      <sheetName val="출자한도"/>
      <sheetName val="우수받이"/>
      <sheetName val="유림총괄"/>
      <sheetName val="파이프류"/>
      <sheetName val="4.직접인건비"/>
      <sheetName val="직접인건비"/>
      <sheetName val="실행내역서 "/>
      <sheetName val="교각별철근수량집계표"/>
      <sheetName val="단위목록"/>
      <sheetName val="기계경비목록"/>
      <sheetName val="2.고용보험료산출근거"/>
      <sheetName val="단가조정"/>
      <sheetName val="대표명단"/>
      <sheetName val="터널조도"/>
      <sheetName val="토적표"/>
      <sheetName val="단관데이터"/>
      <sheetName val="이형관데이터"/>
      <sheetName val="주요항목별"/>
      <sheetName val="매매"/>
      <sheetName val="토공사(흙막이)"/>
      <sheetName val="안양1공구_건축"/>
      <sheetName val="투찰금액"/>
      <sheetName val="공동"/>
      <sheetName val="원가계산(2)"/>
      <sheetName val="48단가"/>
      <sheetName val="테이블"/>
      <sheetName val="실행對比"/>
      <sheetName val="시화점실행"/>
      <sheetName val="가시설수량"/>
      <sheetName val="시운전연료비"/>
      <sheetName val="단가1"/>
      <sheetName val="품셈"/>
      <sheetName val="설계표지"/>
      <sheetName val="인부노임"/>
      <sheetName val="7월11일"/>
      <sheetName val="참조 (2)"/>
      <sheetName val="단면별연장"/>
      <sheetName val="원내역"/>
      <sheetName val="기초데이타"/>
      <sheetName val="지주토목내역서"/>
      <sheetName val="전등설비"/>
      <sheetName val="연습"/>
      <sheetName val="출력용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VXXX"/>
      <sheetName val="원가계산서"/>
      <sheetName val="총괄표"/>
      <sheetName val="내역서"/>
      <sheetName val="무대전기내역"/>
      <sheetName val="공량산출서"/>
      <sheetName val="대가목록"/>
      <sheetName val="대가내역"/>
      <sheetName val="공통대가공량"/>
      <sheetName val="분전반대가"/>
      <sheetName val="분전반공량"/>
      <sheetName val="단가최종"/>
      <sheetName val="인건비"/>
      <sheetName val="노임단가"/>
      <sheetName val="자재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무선통신"/>
      <sheetName val="자탐.유도등"/>
      <sheetName val="통신접지"/>
      <sheetName val="전기내역서"/>
      <sheetName val="전기일위대가"/>
      <sheetName val="Sheet1"/>
      <sheetName val="단가"/>
      <sheetName val="말뚝지지력산정"/>
      <sheetName val="FRP내역서"/>
      <sheetName val="공사원가계산서"/>
      <sheetName val="단락전류-A"/>
      <sheetName val="DATA"/>
      <sheetName val="Y-WORK"/>
      <sheetName val="계산근거"/>
      <sheetName val="CAT_5"/>
      <sheetName val="단위중기"/>
      <sheetName val="모델링"/>
      <sheetName val="하중계산"/>
      <sheetName val="경북전기"/>
      <sheetName val="원형맨홀수량"/>
      <sheetName val="총괄표"/>
      <sheetName val="대전21토목내역서"/>
      <sheetName val="전기"/>
      <sheetName val="견적서"/>
      <sheetName val="본체"/>
      <sheetName val="옥내아파트(전기)"/>
      <sheetName val="터파기및재료"/>
      <sheetName val="설직재_1"/>
      <sheetName val="1.설계조건"/>
      <sheetName val="철근단면적"/>
      <sheetName val="수량산출"/>
      <sheetName val="Sheet2"/>
      <sheetName val="부하계산서"/>
      <sheetName val="토공"/>
      <sheetName val="주경기-오배수"/>
      <sheetName val="제직재"/>
      <sheetName val="설직재-1"/>
      <sheetName val="제-노임"/>
      <sheetName val="FB25JN"/>
      <sheetName val="철거산출근거"/>
      <sheetName val="대비"/>
      <sheetName val="WORK"/>
      <sheetName val="102역사"/>
      <sheetName val="단가산출"/>
      <sheetName val="예산내역서"/>
      <sheetName val="설계예산서"/>
      <sheetName val="신우"/>
      <sheetName val="지장물C"/>
      <sheetName val="조명시설"/>
      <sheetName val="별표 "/>
      <sheetName val="기본DATA"/>
      <sheetName val="Apt내역"/>
      <sheetName val="부대시설"/>
      <sheetName val="단가비교표 (계측제어)"/>
      <sheetName val="기계시공"/>
      <sheetName val="E01-02(EV-1-LBS)"/>
      <sheetName val="신당동집계표"/>
      <sheetName val="전차선로 물량표"/>
      <sheetName val="#REF"/>
      <sheetName val="EKOG10건축"/>
      <sheetName val="내역서"/>
      <sheetName val="견적대비 견적서"/>
      <sheetName val="일위"/>
      <sheetName val="총계"/>
      <sheetName val="I一般比"/>
      <sheetName val="직재"/>
      <sheetName val="일위목록"/>
      <sheetName val="정보매체A동"/>
      <sheetName val="공통가설"/>
      <sheetName val="심사계산"/>
      <sheetName val="심사물량"/>
      <sheetName val="11.자재단가"/>
      <sheetName val="Total"/>
      <sheetName val="견적"/>
      <sheetName val="b_yesan"/>
      <sheetName val="단가표"/>
      <sheetName val="기계내역"/>
      <sheetName val="일집"/>
      <sheetName val="Imp-Data"/>
      <sheetName val="단가비교표"/>
      <sheetName val="CABLE SIZE-3"/>
      <sheetName val="dte"/>
      <sheetName val="노임"/>
      <sheetName val="현장관리비집계표"/>
      <sheetName val="입찰안"/>
      <sheetName val="FILE1"/>
      <sheetName val="건축공사"/>
      <sheetName val="내역"/>
      <sheetName val="개요"/>
      <sheetName val="부속동"/>
      <sheetName val="BSD (2)"/>
      <sheetName val="CODE"/>
      <sheetName val="plan&amp;section of foundation"/>
      <sheetName val="단가조사"/>
      <sheetName val="표지 (2)"/>
      <sheetName val="인건-측정"/>
      <sheetName val="6PILE  (돌출)"/>
      <sheetName val="REINF."/>
      <sheetName val="SKETCH"/>
      <sheetName val="LOADS"/>
      <sheetName val="기초(1)"/>
      <sheetName val="SLAB&quot;1&quot;"/>
      <sheetName val="갑지(추정)"/>
      <sheetName val="일위대가"/>
      <sheetName val="정부노임단가"/>
      <sheetName val="IMPEADENCE MAP 취수장"/>
      <sheetName val="Sheet10"/>
      <sheetName val="장비내역(프리카튜브 제외)"/>
      <sheetName val="현장지지물물량"/>
      <sheetName val="AP1"/>
      <sheetName val="3.공통공사대비"/>
      <sheetName val="소비자가"/>
      <sheetName val="소업1교"/>
      <sheetName val="MCC제원"/>
      <sheetName val="허용전류-IEC DATA"/>
      <sheetName val="분석"/>
      <sheetName val="DATA (2)"/>
      <sheetName val="자료입력"/>
      <sheetName val="간선계산"/>
      <sheetName val="hvac(제어동)"/>
      <sheetName val="기둥(원형)"/>
      <sheetName val="총괄-1"/>
      <sheetName val="2000년하반기"/>
      <sheetName val="인건비 "/>
      <sheetName val="교대(A1)"/>
      <sheetName val="토적"/>
      <sheetName val="dt0301"/>
      <sheetName val="dtt0301"/>
      <sheetName val="N賃率-職"/>
      <sheetName val="공종구간"/>
      <sheetName val="견적990322"/>
      <sheetName val="수량산출서"/>
      <sheetName val="LOAD-46"/>
      <sheetName val="현장관리비내역서"/>
      <sheetName val="ABUT수량-A1"/>
      <sheetName val="하도금액분계"/>
      <sheetName val="단면가정"/>
      <sheetName val="예산변경사항"/>
      <sheetName val="99총공사내역서"/>
      <sheetName val="대로근거"/>
      <sheetName val="중로근거"/>
      <sheetName val="6-2차"/>
      <sheetName val="내력서"/>
      <sheetName val="crude.SLAB RE-bar"/>
      <sheetName val="토목"/>
      <sheetName val="남양내역"/>
      <sheetName val="품셈표"/>
      <sheetName val="품셈TABLE"/>
      <sheetName val="조경"/>
      <sheetName val="명일작업계획 (3)"/>
      <sheetName val="쌍송교"/>
      <sheetName val="ETC"/>
      <sheetName val="재료"/>
      <sheetName val="변경후-SHEET"/>
      <sheetName val="Macro(전선)"/>
      <sheetName val="2002상반기노임기준"/>
      <sheetName val="단"/>
      <sheetName val="TONG HOP VL-NC TT"/>
      <sheetName val="CHITIET VL-NC-TT -1p"/>
      <sheetName val="TDTKP1"/>
      <sheetName val="KPVC-BD "/>
      <sheetName val="계약내역서(을지)"/>
      <sheetName val="DATA1"/>
      <sheetName val="danga"/>
      <sheetName val="ilch"/>
      <sheetName val="자재단가"/>
      <sheetName val="공사착공계"/>
      <sheetName val="직노"/>
      <sheetName val="골재산출"/>
      <sheetName val="단면 (2)"/>
      <sheetName val="내역(전체)"/>
      <sheetName val="플랜트 설치"/>
      <sheetName val="지주목시비량산출서"/>
      <sheetName val="밸브설치"/>
      <sheetName val="기별수량산출서"/>
      <sheetName val="CRUDE RE-bar"/>
      <sheetName val="원형1호맨홀토공수량"/>
      <sheetName val="을"/>
      <sheetName val="guard(mac)"/>
      <sheetName val="AV시스템"/>
      <sheetName val="참고 1"/>
      <sheetName val="96정변2"/>
      <sheetName val="수입"/>
      <sheetName val="구조물공"/>
      <sheetName val="버스운행안내"/>
      <sheetName val="예방접종계획"/>
      <sheetName val="근태계획서"/>
      <sheetName val="터널조도"/>
      <sheetName val="조작대(1연)"/>
      <sheetName val="을지"/>
      <sheetName val="참조"/>
      <sheetName val="예산서 "/>
      <sheetName val="조명율표"/>
      <sheetName val="Page 1A - Proposal Strategy "/>
      <sheetName val="Read Me"/>
      <sheetName val="손익분석"/>
      <sheetName val="부대공Ⅱ"/>
      <sheetName val="DATE"/>
      <sheetName val="A-4"/>
      <sheetName val="ASP"/>
      <sheetName val="CABLE"/>
      <sheetName val="배선DATA"/>
      <sheetName val="설계내역서"/>
      <sheetName val="wall"/>
      <sheetName val="허용전류-IEC"/>
      <sheetName val="Macro(전동기)"/>
      <sheetName val="200"/>
      <sheetName val="PIPE"/>
      <sheetName val="사급자재"/>
      <sheetName val="woo(mac)"/>
      <sheetName val="각종장비전압강하계산"/>
      <sheetName val="EP0618"/>
      <sheetName val="포장공"/>
      <sheetName val="암거"/>
      <sheetName val="CHECK1"/>
      <sheetName val="방송일위대가"/>
      <sheetName val="base"/>
      <sheetName val="빙설"/>
      <sheetName val="첨부1-1"/>
      <sheetName val="날개벽(시점좌측)"/>
      <sheetName val="단가 및 재료비"/>
      <sheetName val="분전함신설"/>
      <sheetName val="접지1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데이타"/>
      <sheetName val="data2"/>
      <sheetName val="조도계산(가로등NEW)"/>
      <sheetName val="조명율데이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VXXXXX"/>
      <sheetName val="적용대가"/>
      <sheetName val="지수내역"/>
      <sheetName val="노(97.1,97.9,98.1)"/>
      <sheetName val="노임단가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일위대가"/>
      <sheetName val="일위대가목록"/>
      <sheetName val="내역서2안"/>
      <sheetName val="Sheet1"/>
      <sheetName val="일위_파일"/>
      <sheetName val="Baby일위대가"/>
      <sheetName val="철거산출근거"/>
      <sheetName val="저"/>
      <sheetName val="소비자가"/>
      <sheetName val="간접비"/>
      <sheetName val="2공구산출내역"/>
      <sheetName val="견적서"/>
      <sheetName val="출력은 금물"/>
      <sheetName val="일위대가(건축)"/>
      <sheetName val=" 냉각수펌프"/>
      <sheetName val="경산"/>
      <sheetName val="단가 "/>
      <sheetName val="표지"/>
      <sheetName val="KKK"/>
      <sheetName val="내역서(삼호)"/>
      <sheetName val="도급내역"/>
      <sheetName val="단가조사"/>
      <sheetName val="Sheet3"/>
      <sheetName val="도급내역서"/>
      <sheetName val="부분별수량산출(조합기초)"/>
      <sheetName val="데리네이타현황"/>
      <sheetName val="ilch"/>
      <sheetName val="COVER"/>
      <sheetName val="직재"/>
      <sheetName val="#REF"/>
      <sheetName val="수량산출"/>
      <sheetName val="일위대가(출입)"/>
      <sheetName val="EJ"/>
      <sheetName val="손익분석"/>
      <sheetName val="식재일위대가"/>
      <sheetName val="J直材4"/>
      <sheetName val="일위대가(4층원격)"/>
      <sheetName val="대,유,램"/>
      <sheetName val="국별인원"/>
      <sheetName val="금액내역서"/>
      <sheetName val="적용건축"/>
      <sheetName val="Sheet2"/>
      <sheetName val="기초일위대가"/>
      <sheetName val="단가대비표"/>
      <sheetName val="산출기초"/>
      <sheetName val="연결관암거"/>
      <sheetName val="내역서"/>
      <sheetName val="기자재비"/>
      <sheetName val="물가자료"/>
      <sheetName val="차액보증"/>
      <sheetName val="단위중량"/>
      <sheetName val="3BL공동구 수량"/>
      <sheetName val="Base"/>
      <sheetName val="사업부배부A"/>
      <sheetName val="현장관리비 산출내역"/>
      <sheetName val="전담운영PM"/>
      <sheetName val="중기사용료"/>
      <sheetName val="부대내역"/>
      <sheetName val="공량(1월22일)"/>
      <sheetName val="원내역"/>
      <sheetName val="설계기준"/>
      <sheetName val="일위대가표"/>
      <sheetName val="sst,stl창호"/>
      <sheetName val="산출내역서"/>
      <sheetName val="예산총괄표"/>
      <sheetName val="기계경비(시간당)"/>
      <sheetName val="램머"/>
      <sheetName val="설계예시"/>
      <sheetName val="수공기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단가산출"/>
      <sheetName val="터파기및재료"/>
      <sheetName val="기계내역"/>
      <sheetName val="Y-WORK"/>
      <sheetName val="9GNG운반"/>
      <sheetName val="전기일위대가"/>
      <sheetName val="시설물기초"/>
      <sheetName val="1안"/>
      <sheetName val="BOQ(전체)"/>
      <sheetName val="1구간BOQ"/>
      <sheetName val="공주-교대(A1)"/>
      <sheetName val="노(97_1,97_9,98_1)"/>
      <sheetName val="출력은_금물"/>
      <sheetName val="_냉각수펌프"/>
      <sheetName val="단가_"/>
      <sheetName val="아파트건축"/>
      <sheetName val="원가계산"/>
      <sheetName val="수정내역"/>
      <sheetName val="실행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예산M11A"/>
      <sheetName val="건축내역"/>
      <sheetName val="101동"/>
      <sheetName val="2000년1차"/>
      <sheetName val="2000전체분"/>
      <sheetName val="출자한도"/>
      <sheetName val="교통대책내역"/>
      <sheetName val="일대-1"/>
      <sheetName val="공사개요(서광주)"/>
      <sheetName val="백암비스타내역"/>
      <sheetName val="MAIN_TABLE"/>
      <sheetName val="기본일위"/>
      <sheetName val="I一般比"/>
      <sheetName val="기초자료"/>
      <sheetName val="Sheet5"/>
      <sheetName val="정부노임단가"/>
      <sheetName val="일반전기C"/>
      <sheetName val="토목내역서 (도급단가)"/>
      <sheetName val="기둥(원형)"/>
      <sheetName val="기초공"/>
      <sheetName val="쌍송교"/>
      <sheetName val="공통(20-91)"/>
      <sheetName val="Sheet1 (2)"/>
      <sheetName val="소방"/>
      <sheetName val="COL"/>
      <sheetName val="2F 회의실견적(5_14 일대)"/>
      <sheetName val="N賃率-職"/>
      <sheetName val="Macro1"/>
      <sheetName val="단가조사서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Sheet38"/>
      <sheetName val="부속동"/>
      <sheetName val="일위목록"/>
      <sheetName val="설직재-1"/>
      <sheetName val="부대공"/>
      <sheetName val="포장공"/>
      <sheetName val="토공"/>
      <sheetName val="을"/>
      <sheetName val="DATA"/>
      <sheetName val="데이타"/>
      <sheetName val="골조시행"/>
      <sheetName val="기계설비표선정수장"/>
      <sheetName val="용산1(해보)"/>
      <sheetName val="tggwan(mac)"/>
      <sheetName val="인건비"/>
      <sheetName val="주소"/>
      <sheetName val="공조기휀"/>
      <sheetName val="AHU집계"/>
      <sheetName val="일위대가목차"/>
      <sheetName val="샘플표지"/>
      <sheetName val="대보~세기"/>
      <sheetName val="대운반(철재)"/>
      <sheetName val="수지예산"/>
      <sheetName val="일위"/>
      <sheetName val="산출-설비"/>
      <sheetName val="일위대가내역"/>
      <sheetName val="목록"/>
      <sheetName val="ESCO개보수공사"/>
      <sheetName val="흥양2교토공집계표"/>
      <sheetName val="C3"/>
      <sheetName val="납부서"/>
      <sheetName val="건축원가"/>
      <sheetName val="을지"/>
      <sheetName val="대목"/>
      <sheetName val="WORK"/>
      <sheetName val="1차 내역서"/>
      <sheetName val="가로등내역서"/>
      <sheetName val="외주비"/>
      <sheetName val="일반공사"/>
      <sheetName val="공사미수"/>
      <sheetName val="대공종"/>
      <sheetName val="말뚝지지력산정"/>
      <sheetName val="Mc1"/>
      <sheetName val="ELECTRIC"/>
      <sheetName val="내역(100%)"/>
      <sheetName val="사업수지"/>
      <sheetName val="표지1"/>
      <sheetName val="단"/>
      <sheetName val="산출근거(단청공사)"/>
      <sheetName val="갑지(추정)"/>
      <sheetName val="WEIGHT LIST"/>
      <sheetName val="POL6차-PIPING"/>
      <sheetName val="물량"/>
      <sheetName val="산#2-1 (2)"/>
      <sheetName val="산#3-1"/>
      <sheetName val="패널"/>
      <sheetName val="TANK견적대지"/>
      <sheetName val="DAN"/>
      <sheetName val="백호우계수"/>
      <sheetName val="공사비"/>
      <sheetName val="1공구내역"/>
      <sheetName val="별표"/>
      <sheetName val="건축공사실행"/>
      <sheetName val="공량산출서"/>
      <sheetName val="중기일위대가"/>
      <sheetName val="재집"/>
      <sheetName val="실행철강하도"/>
      <sheetName val="일위목록-기"/>
      <sheetName val="BOX전기내역"/>
      <sheetName val="원가계산서"/>
      <sheetName val="골재산출"/>
      <sheetName val="5공철탑검토표"/>
      <sheetName val="4공철탑검토"/>
      <sheetName val="조명율표"/>
      <sheetName val="CTEMCOST"/>
      <sheetName val="공사비총괄표"/>
      <sheetName val="재료"/>
      <sheetName val="식재수량표"/>
      <sheetName val="길어깨(현황)"/>
      <sheetName val="MOTOR"/>
      <sheetName val="60명당사(총괄)"/>
      <sheetName val="성곽내역서"/>
      <sheetName val="기본단가표"/>
      <sheetName val="식재인부"/>
      <sheetName val="영창26"/>
      <sheetName val="요율"/>
      <sheetName val="본공사"/>
      <sheetName val="적용토목"/>
      <sheetName val="갑지"/>
      <sheetName val="기초내역서"/>
      <sheetName val="대가목록표"/>
      <sheetName val="내역서중"/>
      <sheetName val="일위(PANEL)"/>
      <sheetName val="대로근거"/>
      <sheetName val="관로토공"/>
      <sheetName val="우수관"/>
      <sheetName val="토사(PE)"/>
      <sheetName val="실행"/>
      <sheetName val="설계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본체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공종별내역서"/>
      <sheetName val="공통가설공사"/>
      <sheetName val="공통가설"/>
      <sheetName val="SG"/>
      <sheetName val="합천내역"/>
      <sheetName val="BID"/>
      <sheetName val="INPUT"/>
      <sheetName val="인사자료총집계"/>
      <sheetName val="70%"/>
      <sheetName val="단위단가"/>
      <sheetName val="요약&amp;결과"/>
      <sheetName val="일위목록데이타"/>
      <sheetName val="(4-2)열관류값-2"/>
      <sheetName val="금융"/>
      <sheetName val="전기"/>
      <sheetName val="전기단가조사서"/>
      <sheetName val="화전내"/>
      <sheetName val="현장관리비데이타"/>
      <sheetName val="공내역"/>
      <sheetName val="소각장스케줄"/>
      <sheetName val="공사예산하조서(O.K)"/>
      <sheetName val="danga"/>
      <sheetName val="TEMP"/>
      <sheetName val="JA"/>
      <sheetName val="도로정위치부표"/>
      <sheetName val="도로조사부표"/>
      <sheetName val="내역1"/>
      <sheetName val="Sheet1_(2)"/>
      <sheetName val="2F_회의실견적(5_14_일대)"/>
      <sheetName val="냉천부속동"/>
      <sheetName val="ITEM"/>
      <sheetName val="TABLE"/>
      <sheetName val="RAHMEN"/>
      <sheetName val="6PILE  (돌출)"/>
      <sheetName val="asd"/>
      <sheetName val="산출근거"/>
      <sheetName val="지하"/>
      <sheetName val="당초"/>
      <sheetName val="교각별철근수량집계표"/>
      <sheetName val="지질조사"/>
      <sheetName val="NYS"/>
      <sheetName val="단중표"/>
      <sheetName val="코드표"/>
      <sheetName val="재료비노무비"/>
      <sheetName val="토공(우물통,기타) "/>
      <sheetName val="교수설계"/>
      <sheetName val="LF자재단가"/>
      <sheetName val="자재단가"/>
      <sheetName val="도급기성"/>
      <sheetName val="설비단가표"/>
      <sheetName val="LEGEND"/>
      <sheetName val="기술부대조건"/>
      <sheetName val="오수공수량집계표"/>
      <sheetName val="Sheet6"/>
      <sheetName val="48전력선로일위"/>
      <sheetName val="단가표"/>
      <sheetName val="식생블럭단위수량"/>
      <sheetName val="RE9604"/>
      <sheetName val="공사직종별노임"/>
      <sheetName val="당진1,2호기전선관설치및접지4차공사내역서-을지"/>
      <sheetName val="본체철근표"/>
      <sheetName val="입찰안"/>
      <sheetName val=" HIT-&gt;HMC 견적(3900)"/>
      <sheetName val="노임,재료비"/>
      <sheetName val="토공 total"/>
      <sheetName val="6호기"/>
      <sheetName val="역공종"/>
      <sheetName val="특외대"/>
      <sheetName val="제-노임"/>
      <sheetName val="제직재"/>
      <sheetName val="1.설계조건"/>
      <sheetName val="중기"/>
      <sheetName val="ELEC"/>
      <sheetName val="율촌법률사무소2내역"/>
      <sheetName val="내역서(중수)"/>
      <sheetName val="CAT_5"/>
      <sheetName val="단가비교표_공통1"/>
      <sheetName val="CIVIL4"/>
      <sheetName val="시멘트"/>
      <sheetName val="N賃率_職"/>
      <sheetName val="102역사"/>
      <sheetName val="금액집계"/>
      <sheetName val="96정변2"/>
      <sheetName val="전기일위목록"/>
      <sheetName val="노무,재료"/>
      <sheetName val="견적"/>
      <sheetName val="사다리"/>
      <sheetName val="내역(원안-대안)"/>
      <sheetName val="수주추정"/>
      <sheetName val="조명시설"/>
      <sheetName val="내역서 "/>
      <sheetName val="식재가격"/>
      <sheetName val="식재총괄"/>
      <sheetName val="AV시스템"/>
      <sheetName val="20관리비율"/>
      <sheetName val="민속촌메뉴"/>
      <sheetName val="2F 회의실견적_5_14 일대_"/>
      <sheetName val="97"/>
      <sheetName val="일위대가목록 "/>
      <sheetName val="001"/>
      <sheetName val="단위내역서"/>
      <sheetName val="공사개요"/>
      <sheetName val="노무비"/>
      <sheetName val="조경일람"/>
      <sheetName val="guard(mac)"/>
      <sheetName val="설_(3)"/>
      <sheetName val="설_(2)"/>
      <sheetName val="3BL공동구_수량"/>
      <sheetName val="대치판정"/>
      <sheetName val="원가서"/>
      <sheetName val="주beam"/>
      <sheetName val="도급견적가"/>
      <sheetName val="부대공Ⅱ"/>
      <sheetName val="간접1"/>
      <sheetName val="장비가동"/>
      <sheetName val="내역관리1"/>
      <sheetName val="총수량집계표"/>
      <sheetName val="제작비추산총괄표"/>
      <sheetName val="갑"/>
      <sheetName val="갑지1"/>
      <sheetName val="전선 및 전선관"/>
      <sheetName val="내역(설계)"/>
      <sheetName val="백룡교차로"/>
      <sheetName val="산정교차로"/>
      <sheetName val="신영교차로"/>
      <sheetName val="물량입력"/>
      <sheetName val="일위(철거)"/>
      <sheetName val="E총15"/>
      <sheetName val="약품공급2"/>
      <sheetName val="카메라"/>
      <sheetName val="내역서(기성청구)"/>
      <sheetName val="(1)본선수량집계"/>
      <sheetName val="3.2제조설비"/>
      <sheetName val="노 무 비"/>
      <sheetName val="01상노임"/>
      <sheetName val="DATE"/>
      <sheetName val="200"/>
      <sheetName val="기계공사비집계(원안)"/>
      <sheetName val="내역표지"/>
      <sheetName val="청주(철골발주의뢰서)"/>
      <sheetName val="유기공정"/>
      <sheetName val="원본"/>
      <sheetName val="Sheet7(ㅅ)"/>
      <sheetName val="물량표"/>
      <sheetName val="첨부1"/>
      <sheetName val="토공집계표"/>
      <sheetName val="국내"/>
      <sheetName val="내역서 제출"/>
      <sheetName val="부하자료"/>
      <sheetName val="일위대가1"/>
      <sheetName val="현장관리비"/>
      <sheetName val="터널조도"/>
      <sheetName val="단위수량"/>
      <sheetName val="원형1호맨홀토공수량"/>
      <sheetName val="ABUT수량-A1"/>
      <sheetName val="설계조건"/>
      <sheetName val="견적업체"/>
      <sheetName val="계수시트"/>
      <sheetName val="효성CB 1P기초"/>
      <sheetName val="교사기준면적(초등)"/>
      <sheetName val="일위대가 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민감도"/>
      <sheetName val="공사착공계"/>
      <sheetName val="배수내역"/>
      <sheetName val="기흥하도용"/>
      <sheetName val="중기손료"/>
      <sheetName val="기초단가"/>
      <sheetName val="연결관단위"/>
      <sheetName val="설계서을"/>
      <sheetName val="파일의이용"/>
      <sheetName val="Inst."/>
      <sheetName val="폐토수익화 "/>
      <sheetName val="단1"/>
      <sheetName val="익산"/>
      <sheetName val="교각1"/>
      <sheetName val="수량집계"/>
      <sheetName val="잡비계산"/>
      <sheetName val="품셈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단가조사"/>
      <sheetName val="전선 및 전선관"/>
      <sheetName val="단가산출"/>
      <sheetName val="N賃率-職"/>
      <sheetName val="쌍송교"/>
      <sheetName val="단가"/>
      <sheetName val="분당전기"/>
      <sheetName val="전차선로 물량표"/>
      <sheetName val="배관배선 단가조사"/>
      <sheetName val="옥외 전력간선공사"/>
      <sheetName val="입찰안"/>
      <sheetName val="터파기및재료"/>
      <sheetName val="INPUT"/>
      <sheetName val="원가계산서 "/>
      <sheetName val="MOTOR"/>
      <sheetName val="램머"/>
      <sheetName val="기계경비(시간당)"/>
      <sheetName val="부대공"/>
      <sheetName val="포장공"/>
      <sheetName val="토공"/>
      <sheetName val="부대내역"/>
      <sheetName val="예비"/>
      <sheetName val="수량산출(강변)"/>
      <sheetName val="수량산출(검수고)"/>
      <sheetName val="수량산출(공항)"/>
      <sheetName val="수량산출(구봉)"/>
      <sheetName val="수량산출(기지내)"/>
      <sheetName val="수량산출(대사)"/>
      <sheetName val="수량산출(도서관앞)"/>
      <sheetName val="수량산출(모타카고)"/>
      <sheetName val="수량산출(변전소)"/>
      <sheetName val="수량산출(본선설비)"/>
      <sheetName val="수량산출(봉황)"/>
      <sheetName val="수량산출(부원)"/>
      <sheetName val="수량산출(사상)"/>
      <sheetName val="수량산출(서연정)"/>
      <sheetName val="수량산출(수위실)"/>
      <sheetName val="수량산출(신명)"/>
      <sheetName val="수량산출(안동)"/>
      <sheetName val="수량산출(연지)"/>
      <sheetName val="수량산출(자재창고1)"/>
      <sheetName val="수량산출(자재창고2)"/>
      <sheetName val="수량산출(종합관리동)"/>
      <sheetName val="공량산출서"/>
      <sheetName val="일위산출"/>
      <sheetName val="DATA"/>
      <sheetName val="데이타"/>
      <sheetName val="정산"/>
      <sheetName val="전기일위대가"/>
      <sheetName val="수량산출"/>
      <sheetName val="49일위"/>
      <sheetName val="48일위"/>
      <sheetName val="건물"/>
      <sheetName val="1안"/>
      <sheetName val="1차 내역서"/>
      <sheetName val="노임단가"/>
      <sheetName val="간선계산"/>
      <sheetName val="교각1"/>
      <sheetName val="용수개거 내역수량집계표"/>
      <sheetName val="3.내역서"/>
      <sheetName val="가로등내역서"/>
      <sheetName val="내역서"/>
      <sheetName val="자재표"/>
      <sheetName val="수로단위수량"/>
      <sheetName val="산출"/>
      <sheetName val="내역"/>
      <sheetName val="ELECTRIC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BEND LOSS"/>
      <sheetName val="일위대가(출입)"/>
      <sheetName val="건축공사 집계표"/>
      <sheetName val="골조"/>
      <sheetName val="LIST"/>
      <sheetName val="2000시행총괄"/>
      <sheetName val="패널"/>
      <sheetName val="설계조건"/>
      <sheetName val="프랜트면허"/>
      <sheetName val="토목주소"/>
      <sheetName val="수목표준대가"/>
      <sheetName val="전국현황"/>
      <sheetName val="BOX전기내역"/>
      <sheetName val="집계표"/>
      <sheetName val="자재단가"/>
      <sheetName val="98지급계획"/>
      <sheetName val="1.설계기준"/>
      <sheetName val="工관리비율"/>
      <sheetName val="工완성공사율"/>
      <sheetName val="중기사용료산출근거"/>
      <sheetName val="단가 및 재료비"/>
      <sheetName val="명일작업계획 (3)"/>
      <sheetName val="SAMPLE"/>
      <sheetName val="2공구산출내역"/>
      <sheetName val="guard(mac)"/>
      <sheetName val="토목"/>
      <sheetName val="일위대가"/>
      <sheetName val="wall"/>
      <sheetName val="ABUT수량-A1"/>
      <sheetName val="설비2차"/>
      <sheetName val="손익분석"/>
      <sheetName val="말뚝물량"/>
      <sheetName val="CTEMCOST"/>
      <sheetName val="덤프트럭계수"/>
      <sheetName val="이식운반"/>
      <sheetName val="단가대비표"/>
      <sheetName val="Baby일위대가"/>
      <sheetName val="200"/>
      <sheetName val="Sheet1"/>
      <sheetName val="J直材4"/>
      <sheetName val="Macro1"/>
      <sheetName val="설계명세서"/>
      <sheetName val="공리공제"/>
      <sheetName val="공문"/>
      <sheetName val="직노"/>
      <sheetName val="갑지"/>
      <sheetName val="금액내역서"/>
      <sheetName val="주소"/>
      <sheetName val="재집"/>
      <sheetName val="직재"/>
      <sheetName val="빌딩 안내"/>
      <sheetName val="연부97-1"/>
      <sheetName val="갑지1"/>
      <sheetName val="당사"/>
      <sheetName val="문학간접"/>
      <sheetName val="물가대비표"/>
      <sheetName val="요율"/>
      <sheetName val="#REF"/>
      <sheetName val="설비"/>
      <sheetName val="자재목록"/>
      <sheetName val="고압큐비클"/>
    </sheetNames>
    <definedNames>
      <definedName name="Macro12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노임정보 (2)"/>
      <sheetName val="공사비예산서"/>
      <sheetName val="공사비내역서"/>
      <sheetName val="면적수량산출서"/>
      <sheetName val="공사총괄내역표"/>
      <sheetName val="기별재료명세서"/>
      <sheetName val="기별재료명세서1(현장작업완료기준)"/>
      <sheetName val="지상기기변압기 외함면적"/>
      <sheetName val="준공사진"/>
      <sheetName val="수정작업완료기별재료명세서"/>
      <sheetName val="조사사진대장"/>
      <sheetName val="Sheet3"/>
      <sheetName val="문화관광부 변합기보호 도색사진대장"/>
      <sheetName val="일반도색품셈자료"/>
      <sheetName val="표지제목"/>
      <sheetName val="도개폐기(데드형)8.29"/>
      <sheetName val="도개폐기(스틱형)9.2"/>
      <sheetName val="분전함5.54"/>
      <sheetName val="6.6KV,22KV단상(30,50,75,100)4.2"/>
      <sheetName val="22KV단상(150,200)5.24"/>
      <sheetName val="6.6KV,22KV(단-75,100,150)8.5"/>
      <sheetName val="6.6KV삼상(200)8.28"/>
      <sheetName val="6.6KV삼상(300)8.48"/>
      <sheetName val="6.6KV삼상(275그외)8.11"/>
      <sheetName val="22KV삼상(200)8.93"/>
      <sheetName val="22KV삼상(300)9.58"/>
      <sheetName val="주요노임"/>
      <sheetName val="기계경비"/>
      <sheetName val="가공"/>
      <sheetName val="무정전"/>
      <sheetName val="ABC"/>
      <sheetName val="지중"/>
      <sheetName val="내선계기"/>
      <sheetName val="단가조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견적서2"/>
      <sheetName val="견적서1"/>
      <sheetName val="인건비"/>
      <sheetName val="노임단가"/>
      <sheetName val="일위대가"/>
      <sheetName val="수량산출"/>
      <sheetName val="램머"/>
      <sheetName val="단가조사"/>
      <sheetName val="내역서"/>
      <sheetName val="98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보도"/>
      <sheetName val="사리"/>
      <sheetName val="AS(0.12)"/>
      <sheetName val="AS(0.2)"/>
      <sheetName val="AS(0.12) (2)"/>
      <sheetName val="AS(0.2) (2)"/>
      <sheetName val="AS(0.2) (3)"/>
      <sheetName val="보도2단"/>
      <sheetName val="AS(0.2,0.13)"/>
      <sheetName val="직노"/>
      <sheetName val="Baby일위대가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단위단가"/>
      <sheetName val="이식대상수목현황"/>
      <sheetName val="이식피벗테이블"/>
      <sheetName val="이식장비상차비"/>
      <sheetName val="이식장비하차비"/>
      <sheetName val="자연석장비상차비"/>
      <sheetName val="자연석운반비"/>
      <sheetName val="굴삭기(사질토보통)"/>
      <sheetName val="굴삭기(점성토보통)"/>
      <sheetName val="중기단가산출근거"/>
      <sheetName val="토사운반비"/>
      <sheetName val="운반거리"/>
      <sheetName val="자연석장비하차비"/>
      <sheetName val="자연석장비놓기"/>
      <sheetName val="자연석장비쌓기"/>
      <sheetName val="자연석장비하차및놓기"/>
      <sheetName val="자연석장비하차및쌓기"/>
      <sheetName val="장비사용식재비"/>
      <sheetName val="불도우저터파기"/>
      <sheetName val="불도우저포설 및 정지"/>
      <sheetName val="불도우저운반"/>
      <sheetName val="다짐기계"/>
      <sheetName val="그레이더(평방당)설계적용"/>
      <sheetName val="살수차"/>
      <sheetName val="그레이더(평방당)"/>
      <sheetName val="그레이더(입방당)"/>
      <sheetName val="트랙터"/>
      <sheetName val="장비사용설계적용식재비"/>
      <sheetName val="이식수목인력상하차비"/>
      <sheetName val="이식수목상차지인력운반비"/>
      <sheetName val="이식수목하차지인력운반비"/>
      <sheetName val="이식목차량운반비"/>
      <sheetName val="자연석운반차량"/>
      <sheetName val="이식목운반차량"/>
      <sheetName val="수목중량산출"/>
      <sheetName val="야생수목뿌리분보호재료비"/>
      <sheetName val="야생수목굴취단가표"/>
      <sheetName val="이식수목"/>
      <sheetName val="000000"/>
      <sheetName val="000001"/>
      <sheetName val="000002"/>
      <sheetName val="000003"/>
      <sheetName val="산출내역서"/>
      <sheetName val="원가계산서(1)"/>
      <sheetName val="원가계산서(2)"/>
      <sheetName val="일위대가 목록표"/>
      <sheetName val="일위대가표"/>
      <sheetName val="단가산출서"/>
      <sheetName val="기계경비목록표"/>
      <sheetName val="기계경비(2)"/>
      <sheetName val="뿌리보호재료및비료산출"/>
      <sheetName val="중2 "/>
      <sheetName val="수목중량"/>
      <sheetName val="기계상차"/>
      <sheetName val="기계하차 "/>
      <sheetName val="인력상하차"/>
      <sheetName val="운반(정식)"/>
      <sheetName val="단가대비표"/>
      <sheetName val="정수장 수목수량"/>
      <sheetName val="수목수량"/>
      <sheetName val="지주수량집계"/>
      <sheetName val="시비량"/>
      <sheetName val="비료수량집계"/>
      <sheetName val="포장수량"/>
      <sheetName val="시설물수량"/>
      <sheetName val="씨앗(지족)"/>
      <sheetName val="SEED"/>
      <sheetName val="씨앗(정수장)"/>
      <sheetName val="잔디면적"/>
      <sheetName val="토공"/>
      <sheetName val="노임"/>
      <sheetName val="직노"/>
      <sheetName val="장비공사"/>
      <sheetName val="9"/>
      <sheetName val="2공구산출내역"/>
      <sheetName val="단위수량"/>
      <sheetName val="guard(mac)"/>
      <sheetName val="교대(A1)"/>
      <sheetName val="기본단가표"/>
      <sheetName val="unit 4"/>
      <sheetName val="도근좌표"/>
      <sheetName val="본체"/>
      <sheetName val="피벗테이블데이터분석"/>
      <sheetName val="평균높이산출근거"/>
      <sheetName val="횡배수관위치조서"/>
      <sheetName val="내역"/>
      <sheetName val="시설물기초"/>
      <sheetName val="일반공사"/>
      <sheetName val="맨홀수량산출"/>
      <sheetName val="단가"/>
      <sheetName val="내역(2000년)"/>
      <sheetName val="일위대가(가설)"/>
      <sheetName val="단가조사표"/>
      <sheetName val="일위대가"/>
      <sheetName val="전신환매도율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2"/>
  <sheetViews>
    <sheetView view="pageBreakPreview" zoomScale="124" zoomScaleSheetLayoutView="124" workbookViewId="0">
      <selection activeCell="C8" sqref="C8"/>
    </sheetView>
  </sheetViews>
  <sheetFormatPr defaultRowHeight="13.5"/>
  <cols>
    <col min="1" max="1" width="12.875" style="31" customWidth="1"/>
    <col min="2" max="256" width="9" style="31"/>
    <col min="257" max="257" width="12.875" style="31" customWidth="1"/>
    <col min="258" max="512" width="9" style="31"/>
    <col min="513" max="513" width="12.875" style="31" customWidth="1"/>
    <col min="514" max="768" width="9" style="31"/>
    <col min="769" max="769" width="12.875" style="31" customWidth="1"/>
    <col min="770" max="1024" width="9" style="31"/>
    <col min="1025" max="1025" width="12.875" style="31" customWidth="1"/>
    <col min="1026" max="1280" width="9" style="31"/>
    <col min="1281" max="1281" width="12.875" style="31" customWidth="1"/>
    <col min="1282" max="1536" width="9" style="31"/>
    <col min="1537" max="1537" width="12.875" style="31" customWidth="1"/>
    <col min="1538" max="1792" width="9" style="31"/>
    <col min="1793" max="1793" width="12.875" style="31" customWidth="1"/>
    <col min="1794" max="2048" width="9" style="31"/>
    <col min="2049" max="2049" width="12.875" style="31" customWidth="1"/>
    <col min="2050" max="2304" width="9" style="31"/>
    <col min="2305" max="2305" width="12.875" style="31" customWidth="1"/>
    <col min="2306" max="2560" width="9" style="31"/>
    <col min="2561" max="2561" width="12.875" style="31" customWidth="1"/>
    <col min="2562" max="2816" width="9" style="31"/>
    <col min="2817" max="2817" width="12.875" style="31" customWidth="1"/>
    <col min="2818" max="3072" width="9" style="31"/>
    <col min="3073" max="3073" width="12.875" style="31" customWidth="1"/>
    <col min="3074" max="3328" width="9" style="31"/>
    <col min="3329" max="3329" width="12.875" style="31" customWidth="1"/>
    <col min="3330" max="3584" width="9" style="31"/>
    <col min="3585" max="3585" width="12.875" style="31" customWidth="1"/>
    <col min="3586" max="3840" width="9" style="31"/>
    <col min="3841" max="3841" width="12.875" style="31" customWidth="1"/>
    <col min="3842" max="4096" width="9" style="31"/>
    <col min="4097" max="4097" width="12.875" style="31" customWidth="1"/>
    <col min="4098" max="4352" width="9" style="31"/>
    <col min="4353" max="4353" width="12.875" style="31" customWidth="1"/>
    <col min="4354" max="4608" width="9" style="31"/>
    <col min="4609" max="4609" width="12.875" style="31" customWidth="1"/>
    <col min="4610" max="4864" width="9" style="31"/>
    <col min="4865" max="4865" width="12.875" style="31" customWidth="1"/>
    <col min="4866" max="5120" width="9" style="31"/>
    <col min="5121" max="5121" width="12.875" style="31" customWidth="1"/>
    <col min="5122" max="5376" width="9" style="31"/>
    <col min="5377" max="5377" width="12.875" style="31" customWidth="1"/>
    <col min="5378" max="5632" width="9" style="31"/>
    <col min="5633" max="5633" width="12.875" style="31" customWidth="1"/>
    <col min="5634" max="5888" width="9" style="31"/>
    <col min="5889" max="5889" width="12.875" style="31" customWidth="1"/>
    <col min="5890" max="6144" width="9" style="31"/>
    <col min="6145" max="6145" width="12.875" style="31" customWidth="1"/>
    <col min="6146" max="6400" width="9" style="31"/>
    <col min="6401" max="6401" width="12.875" style="31" customWidth="1"/>
    <col min="6402" max="6656" width="9" style="31"/>
    <col min="6657" max="6657" width="12.875" style="31" customWidth="1"/>
    <col min="6658" max="6912" width="9" style="31"/>
    <col min="6913" max="6913" width="12.875" style="31" customWidth="1"/>
    <col min="6914" max="7168" width="9" style="31"/>
    <col min="7169" max="7169" width="12.875" style="31" customWidth="1"/>
    <col min="7170" max="7424" width="9" style="31"/>
    <col min="7425" max="7425" width="12.875" style="31" customWidth="1"/>
    <col min="7426" max="7680" width="9" style="31"/>
    <col min="7681" max="7681" width="12.875" style="31" customWidth="1"/>
    <col min="7682" max="7936" width="9" style="31"/>
    <col min="7937" max="7937" width="12.875" style="31" customWidth="1"/>
    <col min="7938" max="8192" width="9" style="31"/>
    <col min="8193" max="8193" width="12.875" style="31" customWidth="1"/>
    <col min="8194" max="8448" width="9" style="31"/>
    <col min="8449" max="8449" width="12.875" style="31" customWidth="1"/>
    <col min="8450" max="8704" width="9" style="31"/>
    <col min="8705" max="8705" width="12.875" style="31" customWidth="1"/>
    <col min="8706" max="8960" width="9" style="31"/>
    <col min="8961" max="8961" width="12.875" style="31" customWidth="1"/>
    <col min="8962" max="9216" width="9" style="31"/>
    <col min="9217" max="9217" width="12.875" style="31" customWidth="1"/>
    <col min="9218" max="9472" width="9" style="31"/>
    <col min="9473" max="9473" width="12.875" style="31" customWidth="1"/>
    <col min="9474" max="9728" width="9" style="31"/>
    <col min="9729" max="9729" width="12.875" style="31" customWidth="1"/>
    <col min="9730" max="9984" width="9" style="31"/>
    <col min="9985" max="9985" width="12.875" style="31" customWidth="1"/>
    <col min="9986" max="10240" width="9" style="31"/>
    <col min="10241" max="10241" width="12.875" style="31" customWidth="1"/>
    <col min="10242" max="10496" width="9" style="31"/>
    <col min="10497" max="10497" width="12.875" style="31" customWidth="1"/>
    <col min="10498" max="10752" width="9" style="31"/>
    <col min="10753" max="10753" width="12.875" style="31" customWidth="1"/>
    <col min="10754" max="11008" width="9" style="31"/>
    <col min="11009" max="11009" width="12.875" style="31" customWidth="1"/>
    <col min="11010" max="11264" width="9" style="31"/>
    <col min="11265" max="11265" width="12.875" style="31" customWidth="1"/>
    <col min="11266" max="11520" width="9" style="31"/>
    <col min="11521" max="11521" width="12.875" style="31" customWidth="1"/>
    <col min="11522" max="11776" width="9" style="31"/>
    <col min="11777" max="11777" width="12.875" style="31" customWidth="1"/>
    <col min="11778" max="12032" width="9" style="31"/>
    <col min="12033" max="12033" width="12.875" style="31" customWidth="1"/>
    <col min="12034" max="12288" width="9" style="31"/>
    <col min="12289" max="12289" width="12.875" style="31" customWidth="1"/>
    <col min="12290" max="12544" width="9" style="31"/>
    <col min="12545" max="12545" width="12.875" style="31" customWidth="1"/>
    <col min="12546" max="12800" width="9" style="31"/>
    <col min="12801" max="12801" width="12.875" style="31" customWidth="1"/>
    <col min="12802" max="13056" width="9" style="31"/>
    <col min="13057" max="13057" width="12.875" style="31" customWidth="1"/>
    <col min="13058" max="13312" width="9" style="31"/>
    <col min="13313" max="13313" width="12.875" style="31" customWidth="1"/>
    <col min="13314" max="13568" width="9" style="31"/>
    <col min="13569" max="13569" width="12.875" style="31" customWidth="1"/>
    <col min="13570" max="13824" width="9" style="31"/>
    <col min="13825" max="13825" width="12.875" style="31" customWidth="1"/>
    <col min="13826" max="14080" width="9" style="31"/>
    <col min="14081" max="14081" width="12.875" style="31" customWidth="1"/>
    <col min="14082" max="14336" width="9" style="31"/>
    <col min="14337" max="14337" width="12.875" style="31" customWidth="1"/>
    <col min="14338" max="14592" width="9" style="31"/>
    <col min="14593" max="14593" width="12.875" style="31" customWidth="1"/>
    <col min="14594" max="14848" width="9" style="31"/>
    <col min="14849" max="14849" width="12.875" style="31" customWidth="1"/>
    <col min="14850" max="15104" width="9" style="31"/>
    <col min="15105" max="15105" width="12.875" style="31" customWidth="1"/>
    <col min="15106" max="15360" width="9" style="31"/>
    <col min="15361" max="15361" width="12.875" style="31" customWidth="1"/>
    <col min="15362" max="15616" width="9" style="31"/>
    <col min="15617" max="15617" width="12.875" style="31" customWidth="1"/>
    <col min="15618" max="15872" width="9" style="31"/>
    <col min="15873" max="15873" width="12.875" style="31" customWidth="1"/>
    <col min="15874" max="16128" width="9" style="31"/>
    <col min="16129" max="16129" width="12.875" style="31" customWidth="1"/>
    <col min="16130" max="16384" width="9" style="31"/>
  </cols>
  <sheetData>
    <row r="1" spans="1:17" ht="46.5" customHeight="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</row>
    <row r="2" spans="1:17" s="36" customFormat="1" ht="34.5" customHeight="1">
      <c r="A2" s="39" t="s">
        <v>2575</v>
      </c>
      <c r="B2" s="38" t="s">
        <v>3682</v>
      </c>
      <c r="C2" s="38"/>
      <c r="D2" s="38"/>
      <c r="E2" s="38"/>
      <c r="F2" s="37"/>
      <c r="G2" s="37"/>
      <c r="H2" s="37"/>
      <c r="I2" s="37"/>
      <c r="J2" s="37"/>
      <c r="K2" s="37"/>
      <c r="L2" s="37"/>
    </row>
    <row r="3" spans="1:17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</row>
    <row r="4" spans="1:17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</row>
    <row r="5" spans="1:17">
      <c r="A5" s="1306" t="s">
        <v>2574</v>
      </c>
      <c r="B5" s="1306"/>
      <c r="C5" s="1306"/>
      <c r="D5" s="1306"/>
      <c r="E5" s="1306"/>
      <c r="F5" s="1306"/>
      <c r="G5" s="1306"/>
      <c r="H5" s="1306"/>
      <c r="I5" s="1306"/>
      <c r="J5" s="1306"/>
      <c r="K5" s="1306"/>
      <c r="L5" s="1306"/>
    </row>
    <row r="6" spans="1:17">
      <c r="A6" s="1306"/>
      <c r="B6" s="1306"/>
      <c r="C6" s="1306"/>
      <c r="D6" s="1306"/>
      <c r="E6" s="1306"/>
      <c r="F6" s="1306"/>
      <c r="G6" s="1306"/>
      <c r="H6" s="1306"/>
      <c r="I6" s="1306"/>
      <c r="J6" s="1306"/>
      <c r="K6" s="1306"/>
      <c r="L6" s="1306"/>
    </row>
    <row r="7" spans="1:17">
      <c r="A7" s="1306"/>
      <c r="B7" s="1306"/>
      <c r="C7" s="1306"/>
      <c r="D7" s="1306"/>
      <c r="E7" s="1306"/>
      <c r="F7" s="1306"/>
      <c r="G7" s="1306"/>
      <c r="H7" s="1306"/>
      <c r="I7" s="1306"/>
      <c r="J7" s="1306"/>
      <c r="K7" s="1306"/>
      <c r="L7" s="1306"/>
    </row>
    <row r="8" spans="1:17">
      <c r="A8" s="34"/>
      <c r="B8" s="34"/>
      <c r="C8" s="34"/>
      <c r="D8" s="34"/>
      <c r="E8" s="1307"/>
      <c r="F8" s="1307"/>
      <c r="G8" s="1307"/>
      <c r="H8" s="1307"/>
      <c r="I8" s="34"/>
      <c r="J8" s="34"/>
      <c r="K8" s="34"/>
      <c r="L8" s="34"/>
    </row>
    <row r="9" spans="1:17">
      <c r="A9" s="34"/>
      <c r="B9" s="34"/>
      <c r="C9" s="34"/>
      <c r="D9" s="34"/>
      <c r="E9" s="1307"/>
      <c r="F9" s="1307"/>
      <c r="G9" s="1307"/>
      <c r="H9" s="1307"/>
      <c r="I9" s="34"/>
      <c r="J9" s="34"/>
      <c r="K9" s="34"/>
      <c r="L9" s="34"/>
    </row>
    <row r="10" spans="1:17" ht="31.5">
      <c r="A10" s="34"/>
      <c r="B10" s="34"/>
      <c r="C10" s="34"/>
      <c r="D10" s="34"/>
      <c r="E10" s="34"/>
      <c r="F10" s="35"/>
      <c r="G10" s="35"/>
      <c r="H10" s="34"/>
      <c r="I10" s="34"/>
      <c r="J10" s="34"/>
      <c r="K10" s="34"/>
      <c r="L10" s="34"/>
      <c r="N10" s="16" t="s">
        <v>2573</v>
      </c>
      <c r="O10" s="16"/>
      <c r="P10" s="16"/>
      <c r="Q10" s="16"/>
    </row>
    <row r="11" spans="1:17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</row>
    <row r="12" spans="1:17">
      <c r="A12" s="33"/>
      <c r="F12" s="33"/>
      <c r="G12" s="33"/>
      <c r="H12" s="33"/>
      <c r="I12" s="33"/>
      <c r="J12" s="33"/>
      <c r="K12" s="33"/>
      <c r="L12" s="33"/>
    </row>
    <row r="13" spans="1:17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</row>
    <row r="14" spans="1:17" ht="20.25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</row>
    <row r="15" spans="1:17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</row>
    <row r="16" spans="1:17" ht="20.25">
      <c r="A16" s="1308" t="s">
        <v>3681</v>
      </c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</row>
    <row r="17" spans="1:12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</row>
    <row r="18" spans="1:1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1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12" ht="22.5">
      <c r="A20" s="1305" t="s">
        <v>2572</v>
      </c>
      <c r="B20" s="1305"/>
      <c r="C20" s="1305"/>
      <c r="D20" s="1305"/>
      <c r="E20" s="1305"/>
      <c r="F20" s="1305"/>
      <c r="G20" s="1305"/>
      <c r="H20" s="1305"/>
      <c r="I20" s="1305"/>
      <c r="J20" s="1305"/>
      <c r="K20" s="1305"/>
      <c r="L20" s="1305"/>
    </row>
    <row r="21" spans="1:12" ht="22.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</row>
    <row r="22" spans="1:12" ht="22.5">
      <c r="A22" s="1305"/>
      <c r="B22" s="1305"/>
      <c r="C22" s="1305"/>
      <c r="D22" s="1305"/>
      <c r="E22" s="1305"/>
      <c r="F22" s="1305"/>
      <c r="G22" s="1305"/>
      <c r="H22" s="1305"/>
      <c r="I22" s="1305"/>
      <c r="J22" s="1305"/>
      <c r="K22" s="1305"/>
      <c r="L22" s="1305"/>
    </row>
  </sheetData>
  <mergeCells count="6">
    <mergeCell ref="A22:L22"/>
    <mergeCell ref="A5:L7"/>
    <mergeCell ref="E8:H9"/>
    <mergeCell ref="A14:L14"/>
    <mergeCell ref="A16:L16"/>
    <mergeCell ref="A20:L20"/>
  </mergeCells>
  <phoneticPr fontId="1" type="noConversion"/>
  <pageMargins left="1.1023622047244095" right="0.70866141732283472" top="0.74803149606299213" bottom="0.74803149606299213" header="0.31496062992125984" footer="0.31496062992125984"/>
  <pageSetup paperSize="9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434"/>
  <sheetViews>
    <sheetView view="pageBreakPreview" zoomScale="106" zoomScaleNormal="142" zoomScaleSheetLayoutView="106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F9" sqref="F9"/>
    </sheetView>
  </sheetViews>
  <sheetFormatPr defaultRowHeight="11.25"/>
  <cols>
    <col min="1" max="1" width="6" style="57" customWidth="1"/>
    <col min="2" max="2" width="15.25" style="57" customWidth="1"/>
    <col min="3" max="3" width="11.5" style="57" customWidth="1"/>
    <col min="4" max="4" width="5.875" style="57" customWidth="1"/>
    <col min="5" max="5" width="11.125" style="57" customWidth="1"/>
    <col min="6" max="6" width="42.25" style="56" customWidth="1"/>
    <col min="7" max="7" width="10.5" style="56" customWidth="1"/>
    <col min="8" max="8" width="13.75" style="176" customWidth="1"/>
    <col min="9" max="9" width="10.875" style="57" customWidth="1"/>
    <col min="10" max="16384" width="9" style="57"/>
  </cols>
  <sheetData>
    <row r="1" spans="1:9" ht="26.25" customHeight="1">
      <c r="A1" s="1411" t="s">
        <v>2957</v>
      </c>
      <c r="B1" s="1411"/>
      <c r="C1" s="1411"/>
      <c r="D1" s="1411"/>
      <c r="E1" s="1411"/>
      <c r="F1" s="1411"/>
      <c r="G1" s="1411"/>
      <c r="H1" s="1411"/>
      <c r="I1" s="1411"/>
    </row>
    <row r="2" spans="1:9" s="89" customFormat="1" ht="19.5" customHeight="1">
      <c r="A2" s="90" t="s">
        <v>2956</v>
      </c>
      <c r="B2" s="90"/>
      <c r="E2" s="88"/>
      <c r="F2" s="87"/>
      <c r="G2" s="86"/>
      <c r="H2" s="87"/>
      <c r="I2" s="85"/>
    </row>
    <row r="3" spans="1:9" s="89" customFormat="1" ht="20.100000000000001" customHeight="1">
      <c r="A3" s="73" t="s">
        <v>2955</v>
      </c>
      <c r="B3" s="73" t="s">
        <v>2954</v>
      </c>
      <c r="C3" s="73" t="s">
        <v>2953</v>
      </c>
      <c r="D3" s="73" t="s">
        <v>2952</v>
      </c>
      <c r="E3" s="73" t="s">
        <v>2951</v>
      </c>
      <c r="F3" s="84" t="s">
        <v>2950</v>
      </c>
      <c r="G3" s="83" t="s">
        <v>2949</v>
      </c>
      <c r="H3" s="83" t="s">
        <v>2948</v>
      </c>
      <c r="I3" s="73" t="s">
        <v>2947</v>
      </c>
    </row>
    <row r="4" spans="1:9" ht="20.100000000000001" customHeight="1">
      <c r="A4" s="61" t="s">
        <v>2946</v>
      </c>
      <c r="B4" s="68" t="s">
        <v>2945</v>
      </c>
      <c r="C4" s="65"/>
      <c r="D4" s="65"/>
      <c r="E4" s="65"/>
      <c r="F4" s="58"/>
      <c r="G4" s="58"/>
      <c r="H4" s="60"/>
      <c r="I4" s="65"/>
    </row>
    <row r="5" spans="1:9" ht="20.100000000000001" customHeight="1">
      <c r="A5" s="65"/>
      <c r="B5" s="62" t="s">
        <v>2944</v>
      </c>
      <c r="C5" s="65"/>
      <c r="D5" s="63" t="s">
        <v>2365</v>
      </c>
      <c r="E5" s="65"/>
      <c r="F5" s="58" t="s">
        <v>2939</v>
      </c>
      <c r="G5" s="58">
        <f>231.5+19.8+1128.2+37.7+140.7+22.2+21.7</f>
        <v>1601.8000000000002</v>
      </c>
      <c r="H5" s="180">
        <f>G5</f>
        <v>1601.8000000000002</v>
      </c>
      <c r="I5" s="74" t="s">
        <v>2709</v>
      </c>
    </row>
    <row r="6" spans="1:9" ht="22.5">
      <c r="A6" s="65"/>
      <c r="B6" s="62" t="s">
        <v>3170</v>
      </c>
      <c r="C6" s="74" t="s">
        <v>2943</v>
      </c>
      <c r="D6" s="65" t="s">
        <v>2942</v>
      </c>
      <c r="E6" s="65"/>
      <c r="F6" s="58" t="s">
        <v>2941</v>
      </c>
      <c r="G6" s="58">
        <f>1600/100*2</f>
        <v>32</v>
      </c>
      <c r="H6" s="180">
        <f>G6</f>
        <v>32</v>
      </c>
      <c r="I6" s="65"/>
    </row>
    <row r="7" spans="1:9" ht="20.100000000000001" customHeight="1">
      <c r="A7" s="65"/>
      <c r="B7" s="64" t="s">
        <v>2937</v>
      </c>
      <c r="C7" s="127" t="s">
        <v>4825</v>
      </c>
      <c r="D7" s="63" t="s">
        <v>2365</v>
      </c>
      <c r="E7" s="65" t="s">
        <v>2676</v>
      </c>
      <c r="F7" s="58" t="s">
        <v>2938</v>
      </c>
      <c r="G7" s="58">
        <f>(8.5+2)*4.5</f>
        <v>47.25</v>
      </c>
      <c r="H7" s="180"/>
      <c r="I7" s="65"/>
    </row>
    <row r="8" spans="1:9" ht="20.100000000000001" customHeight="1">
      <c r="A8" s="65"/>
      <c r="B8" s="64" t="s">
        <v>2937</v>
      </c>
      <c r="C8" s="127" t="s">
        <v>4825</v>
      </c>
      <c r="D8" s="65"/>
      <c r="E8" s="65" t="s">
        <v>2814</v>
      </c>
      <c r="F8" s="58" t="s">
        <v>2936</v>
      </c>
      <c r="G8" s="58">
        <f>6.5*4.2</f>
        <v>27.3</v>
      </c>
      <c r="H8" s="180">
        <f>SUM(G7:G8)</f>
        <v>74.55</v>
      </c>
      <c r="I8" s="65"/>
    </row>
    <row r="9" spans="1:9" ht="20.100000000000001" customHeight="1">
      <c r="A9" s="65"/>
      <c r="B9" s="62" t="s">
        <v>2940</v>
      </c>
      <c r="C9" s="65"/>
      <c r="D9" s="63" t="s">
        <v>2365</v>
      </c>
      <c r="E9" s="65"/>
      <c r="F9" s="58" t="s">
        <v>2939</v>
      </c>
      <c r="G9" s="58">
        <f>231.5+19.8+1128.2+37.7+140.7+22.2+21.7</f>
        <v>1601.8000000000002</v>
      </c>
      <c r="H9" s="180">
        <f>G9</f>
        <v>1601.8000000000002</v>
      </c>
      <c r="I9" s="74" t="s">
        <v>2709</v>
      </c>
    </row>
    <row r="10" spans="1:9" ht="20.100000000000001" customHeight="1">
      <c r="A10" s="65"/>
      <c r="B10" s="62" t="s">
        <v>76</v>
      </c>
      <c r="C10" s="65"/>
      <c r="D10" s="63" t="s">
        <v>2365</v>
      </c>
      <c r="E10" s="65"/>
      <c r="F10" s="58" t="s">
        <v>2939</v>
      </c>
      <c r="G10" s="58">
        <f>231.5+19.8+1128.2+37.7+140.7+22.2+21.7</f>
        <v>1601.8000000000002</v>
      </c>
      <c r="H10" s="180">
        <f>G10</f>
        <v>1601.8000000000002</v>
      </c>
      <c r="I10" s="74" t="s">
        <v>2709</v>
      </c>
    </row>
    <row r="11" spans="1:9" ht="20.100000000000001" customHeight="1">
      <c r="A11" s="65"/>
      <c r="B11" s="64" t="s">
        <v>3171</v>
      </c>
      <c r="C11" s="65" t="s">
        <v>3172</v>
      </c>
      <c r="D11" s="63" t="s">
        <v>3173</v>
      </c>
      <c r="E11" s="65"/>
      <c r="F11" s="58"/>
      <c r="G11" s="58"/>
      <c r="H11" s="180">
        <f>G12</f>
        <v>54.17</v>
      </c>
      <c r="I11" s="65"/>
    </row>
    <row r="12" spans="1:9" ht="26.25" customHeight="1">
      <c r="A12" s="59"/>
      <c r="B12" s="64" t="s">
        <v>3171</v>
      </c>
      <c r="C12" s="64" t="s">
        <v>3718</v>
      </c>
      <c r="D12" s="63" t="s">
        <v>2365</v>
      </c>
      <c r="E12" s="65" t="s">
        <v>3725</v>
      </c>
      <c r="F12" s="72" t="s">
        <v>3458</v>
      </c>
      <c r="G12" s="72">
        <f>(13.1*2.5)+(240*0.072)+(9.2*0.45)</f>
        <v>54.17</v>
      </c>
      <c r="H12" s="180"/>
      <c r="I12" s="65"/>
    </row>
    <row r="13" spans="1:9" ht="20.100000000000001" customHeight="1">
      <c r="A13" s="65"/>
      <c r="B13" s="64"/>
      <c r="C13" s="65"/>
      <c r="D13" s="63"/>
      <c r="E13" s="65"/>
      <c r="F13" s="58"/>
      <c r="G13" s="58"/>
      <c r="H13" s="180"/>
      <c r="I13" s="65"/>
    </row>
    <row r="14" spans="1:9" ht="20.100000000000001" customHeight="1">
      <c r="A14" s="65"/>
      <c r="B14" s="64"/>
      <c r="C14" s="65"/>
      <c r="D14" s="63"/>
      <c r="E14" s="65"/>
      <c r="F14" s="58"/>
      <c r="G14" s="58"/>
      <c r="H14" s="180"/>
      <c r="I14" s="65"/>
    </row>
    <row r="15" spans="1:9" ht="20.100000000000001" customHeight="1">
      <c r="A15" s="65"/>
      <c r="B15" s="64"/>
      <c r="C15" s="65"/>
      <c r="D15" s="63"/>
      <c r="E15" s="65"/>
      <c r="F15" s="58"/>
      <c r="G15" s="58"/>
      <c r="H15" s="180"/>
      <c r="I15" s="65"/>
    </row>
    <row r="16" spans="1:9" ht="20.100000000000001" customHeight="1">
      <c r="A16" s="65"/>
      <c r="B16" s="64"/>
      <c r="C16" s="65"/>
      <c r="D16" s="63"/>
      <c r="E16" s="65"/>
      <c r="F16" s="58"/>
      <c r="G16" s="58"/>
      <c r="H16" s="180"/>
      <c r="I16" s="65"/>
    </row>
    <row r="17" spans="1:9" ht="20.100000000000001" customHeight="1">
      <c r="A17" s="65"/>
      <c r="B17" s="64"/>
      <c r="C17" s="65"/>
      <c r="D17" s="63"/>
      <c r="E17" s="65"/>
      <c r="F17" s="58"/>
      <c r="G17" s="58"/>
      <c r="H17" s="180"/>
      <c r="I17" s="65"/>
    </row>
    <row r="18" spans="1:9" ht="20.100000000000001" customHeight="1">
      <c r="A18" s="65"/>
      <c r="B18" s="64"/>
      <c r="C18" s="65"/>
      <c r="D18" s="63"/>
      <c r="E18" s="65"/>
      <c r="F18" s="58"/>
      <c r="G18" s="58"/>
      <c r="H18" s="180"/>
      <c r="I18" s="65"/>
    </row>
    <row r="19" spans="1:9" ht="20.100000000000001" customHeight="1">
      <c r="A19" s="65"/>
      <c r="B19" s="64"/>
      <c r="C19" s="65"/>
      <c r="D19" s="63"/>
      <c r="E19" s="65"/>
      <c r="F19" s="58"/>
      <c r="G19" s="58"/>
      <c r="H19" s="180"/>
      <c r="I19" s="65"/>
    </row>
    <row r="20" spans="1:9" ht="20.100000000000001" customHeight="1">
      <c r="A20" s="65"/>
      <c r="B20" s="64"/>
      <c r="C20" s="65"/>
      <c r="D20" s="63"/>
      <c r="E20" s="65"/>
      <c r="F20" s="58"/>
      <c r="G20" s="58"/>
      <c r="H20" s="180"/>
      <c r="I20" s="65"/>
    </row>
    <row r="21" spans="1:9" ht="20.100000000000001" customHeight="1">
      <c r="A21" s="65"/>
      <c r="B21" s="64"/>
      <c r="C21" s="65"/>
      <c r="D21" s="63"/>
      <c r="E21" s="65"/>
      <c r="F21" s="58"/>
      <c r="G21" s="58"/>
      <c r="H21" s="180"/>
      <c r="I21" s="65"/>
    </row>
    <row r="22" spans="1:9" ht="20.100000000000001" customHeight="1">
      <c r="A22" s="65"/>
      <c r="B22" s="64"/>
      <c r="C22" s="65"/>
      <c r="D22" s="65"/>
      <c r="E22" s="65"/>
      <c r="F22" s="58"/>
      <c r="G22" s="58"/>
      <c r="H22" s="180"/>
      <c r="I22" s="65"/>
    </row>
    <row r="23" spans="1:9" ht="20.100000000000001" customHeight="1">
      <c r="A23" s="68" t="s">
        <v>2935</v>
      </c>
      <c r="B23" s="65"/>
      <c r="C23" s="65"/>
      <c r="D23" s="65"/>
      <c r="E23" s="65"/>
      <c r="F23" s="58"/>
      <c r="G23" s="58"/>
      <c r="H23" s="180"/>
      <c r="I23" s="65"/>
    </row>
    <row r="24" spans="1:9" ht="20.100000000000001" customHeight="1">
      <c r="A24" s="61" t="s">
        <v>2934</v>
      </c>
      <c r="B24" s="68" t="s">
        <v>2933</v>
      </c>
      <c r="C24" s="74"/>
      <c r="D24" s="63"/>
      <c r="E24" s="65"/>
      <c r="F24" s="58"/>
      <c r="G24" s="58"/>
      <c r="H24" s="180"/>
      <c r="I24" s="65"/>
    </row>
    <row r="25" spans="1:9" ht="20.100000000000001" customHeight="1">
      <c r="A25" s="69" t="s">
        <v>2932</v>
      </c>
      <c r="B25" s="82" t="s">
        <v>2931</v>
      </c>
      <c r="C25" s="80"/>
      <c r="D25" s="63"/>
      <c r="E25" s="65"/>
      <c r="F25" s="58"/>
      <c r="G25" s="58"/>
      <c r="H25" s="180"/>
      <c r="I25" s="65"/>
    </row>
    <row r="26" spans="1:9" ht="20.100000000000001" customHeight="1">
      <c r="A26" s="81"/>
      <c r="B26" s="80" t="s">
        <v>2930</v>
      </c>
      <c r="C26" s="80" t="s">
        <v>2929</v>
      </c>
      <c r="D26" s="63" t="s">
        <v>2365</v>
      </c>
      <c r="E26" s="65" t="s">
        <v>2676</v>
      </c>
      <c r="F26" s="58" t="s">
        <v>3221</v>
      </c>
      <c r="G26" s="58">
        <f>235.1*30%</f>
        <v>70.53</v>
      </c>
      <c r="H26" s="180"/>
      <c r="I26" s="65"/>
    </row>
    <row r="27" spans="1:9" ht="20.100000000000001" customHeight="1">
      <c r="A27" s="59"/>
      <c r="B27" s="80" t="s">
        <v>2930</v>
      </c>
      <c r="C27" s="80" t="s">
        <v>2929</v>
      </c>
      <c r="D27" s="63" t="s">
        <v>2365</v>
      </c>
      <c r="E27" s="65" t="s">
        <v>2814</v>
      </c>
      <c r="F27" s="58" t="s">
        <v>2813</v>
      </c>
      <c r="G27" s="58">
        <f>11.5*16.2</f>
        <v>186.29999999999998</v>
      </c>
      <c r="H27" s="180"/>
      <c r="I27" s="65"/>
    </row>
    <row r="28" spans="1:9" ht="20.100000000000001" customHeight="1">
      <c r="A28" s="59"/>
      <c r="B28" s="80" t="s">
        <v>2930</v>
      </c>
      <c r="C28" s="80" t="s">
        <v>2929</v>
      </c>
      <c r="D28" s="63" t="s">
        <v>2365</v>
      </c>
      <c r="E28" s="65" t="s">
        <v>2818</v>
      </c>
      <c r="F28" s="58" t="s">
        <v>2817</v>
      </c>
      <c r="G28" s="58">
        <f>14.5*21.5</f>
        <v>311.75</v>
      </c>
      <c r="H28" s="180"/>
      <c r="I28" s="65"/>
    </row>
    <row r="29" spans="1:9" ht="20.100000000000001" customHeight="1">
      <c r="A29" s="59"/>
      <c r="B29" s="80" t="s">
        <v>2930</v>
      </c>
      <c r="C29" s="80" t="s">
        <v>2929</v>
      </c>
      <c r="D29" s="63" t="s">
        <v>2365</v>
      </c>
      <c r="E29" s="65" t="s">
        <v>2601</v>
      </c>
      <c r="F29" s="58">
        <v>195</v>
      </c>
      <c r="G29" s="58">
        <f>F29</f>
        <v>195</v>
      </c>
      <c r="H29" s="180"/>
      <c r="I29" s="74"/>
    </row>
    <row r="30" spans="1:9" ht="20.100000000000001" customHeight="1">
      <c r="A30" s="59"/>
      <c r="B30" s="80" t="s">
        <v>2930</v>
      </c>
      <c r="C30" s="80" t="s">
        <v>2929</v>
      </c>
      <c r="D30" s="63" t="s">
        <v>2365</v>
      </c>
      <c r="E30" s="65" t="s">
        <v>2928</v>
      </c>
      <c r="F30" s="58" t="s">
        <v>2927</v>
      </c>
      <c r="G30" s="58">
        <f>18*28</f>
        <v>504</v>
      </c>
      <c r="H30" s="180">
        <f>SUM(G26:G30)</f>
        <v>1267.58</v>
      </c>
      <c r="I30" s="74" t="s">
        <v>2709</v>
      </c>
    </row>
    <row r="31" spans="1:9" ht="20.100000000000001" customHeight="1">
      <c r="A31" s="59"/>
      <c r="B31" s="64"/>
      <c r="C31" s="65"/>
      <c r="D31" s="63"/>
      <c r="E31" s="65"/>
      <c r="F31" s="58"/>
      <c r="G31" s="58"/>
      <c r="H31" s="180"/>
      <c r="I31" s="65"/>
    </row>
    <row r="32" spans="1:9" ht="20.100000000000001" customHeight="1">
      <c r="A32" s="59"/>
      <c r="B32" s="64" t="s">
        <v>2920</v>
      </c>
      <c r="C32" s="65"/>
      <c r="D32" s="63" t="s">
        <v>2365</v>
      </c>
      <c r="E32" s="65" t="s">
        <v>2676</v>
      </c>
      <c r="F32" s="58" t="s">
        <v>2921</v>
      </c>
      <c r="G32" s="58">
        <f>(21*4.2)+(15*1.8)</f>
        <v>115.2</v>
      </c>
      <c r="H32" s="180"/>
      <c r="I32" s="65"/>
    </row>
    <row r="33" spans="1:9" ht="20.100000000000001" customHeight="1">
      <c r="A33" s="59"/>
      <c r="B33" s="64" t="s">
        <v>2920</v>
      </c>
      <c r="C33" s="65"/>
      <c r="D33" s="63" t="s">
        <v>2365</v>
      </c>
      <c r="E33" s="65" t="s">
        <v>2774</v>
      </c>
      <c r="F33" s="58" t="s">
        <v>2919</v>
      </c>
      <c r="G33" s="58">
        <f>16.4*6*2</f>
        <v>196.79999999999998</v>
      </c>
      <c r="H33" s="180">
        <f>SUM(G32:G33)</f>
        <v>312</v>
      </c>
      <c r="I33" s="65"/>
    </row>
    <row r="34" spans="1:9" ht="20.100000000000001" customHeight="1">
      <c r="A34" s="59"/>
      <c r="B34" s="64"/>
      <c r="C34" s="65"/>
      <c r="D34" s="63"/>
      <c r="E34" s="65"/>
      <c r="F34" s="58"/>
      <c r="G34" s="58"/>
      <c r="H34" s="180"/>
      <c r="I34" s="65"/>
    </row>
    <row r="35" spans="1:9" ht="20.100000000000001" customHeight="1">
      <c r="A35" s="59"/>
      <c r="B35" s="64" t="s">
        <v>2924</v>
      </c>
      <c r="C35" s="65"/>
      <c r="D35" s="63" t="s">
        <v>2365</v>
      </c>
      <c r="E35" s="65" t="s">
        <v>2926</v>
      </c>
      <c r="F35" s="58" t="s">
        <v>2925</v>
      </c>
      <c r="G35" s="58">
        <f>96.7*1.2</f>
        <v>116.03999999999999</v>
      </c>
      <c r="H35" s="180"/>
      <c r="I35" s="65"/>
    </row>
    <row r="36" spans="1:9" ht="20.100000000000001" customHeight="1">
      <c r="A36" s="59"/>
      <c r="B36" s="64" t="s">
        <v>2924</v>
      </c>
      <c r="C36" s="65"/>
      <c r="D36" s="63" t="s">
        <v>2365</v>
      </c>
      <c r="E36" s="65" t="s">
        <v>2923</v>
      </c>
      <c r="F36" s="58" t="s">
        <v>2922</v>
      </c>
      <c r="G36" s="58">
        <f>(24+6)*1.2</f>
        <v>36</v>
      </c>
      <c r="H36" s="180">
        <f>SUM(G35:G36)</f>
        <v>152.04</v>
      </c>
      <c r="I36" s="65"/>
    </row>
    <row r="37" spans="1:9" ht="20.100000000000001" customHeight="1">
      <c r="A37" s="59"/>
      <c r="B37" s="64"/>
      <c r="C37" s="65"/>
      <c r="D37" s="63"/>
      <c r="E37" s="65"/>
      <c r="F37" s="58"/>
      <c r="G37" s="58"/>
      <c r="H37" s="180"/>
      <c r="I37" s="65"/>
    </row>
    <row r="38" spans="1:9" ht="20.100000000000001" customHeight="1">
      <c r="A38" s="59"/>
      <c r="B38" s="64" t="s">
        <v>2846</v>
      </c>
      <c r="C38" s="74" t="s">
        <v>2918</v>
      </c>
      <c r="D38" s="63" t="s">
        <v>2365</v>
      </c>
      <c r="E38" s="65" t="s">
        <v>2676</v>
      </c>
      <c r="F38" s="58" t="s">
        <v>3221</v>
      </c>
      <c r="G38" s="58">
        <f>235.1*30%</f>
        <v>70.53</v>
      </c>
      <c r="H38" s="180"/>
      <c r="I38" s="74" t="s">
        <v>2709</v>
      </c>
    </row>
    <row r="39" spans="1:9" ht="20.100000000000001" customHeight="1">
      <c r="A39" s="59"/>
      <c r="B39" s="64" t="s">
        <v>2846</v>
      </c>
      <c r="C39" s="74" t="s">
        <v>2918</v>
      </c>
      <c r="D39" s="63" t="s">
        <v>2365</v>
      </c>
      <c r="E39" s="65" t="s">
        <v>2814</v>
      </c>
      <c r="F39" s="58" t="s">
        <v>2813</v>
      </c>
      <c r="G39" s="58">
        <f>11.5*16.2</f>
        <v>186.29999999999998</v>
      </c>
      <c r="H39" s="180"/>
      <c r="I39" s="65"/>
    </row>
    <row r="40" spans="1:9" ht="20.100000000000001" customHeight="1">
      <c r="A40" s="59"/>
      <c r="B40" s="64" t="s">
        <v>2846</v>
      </c>
      <c r="C40" s="74" t="s">
        <v>2918</v>
      </c>
      <c r="D40" s="63" t="s">
        <v>2365</v>
      </c>
      <c r="E40" s="65" t="s">
        <v>2818</v>
      </c>
      <c r="F40" s="58" t="s">
        <v>2817</v>
      </c>
      <c r="G40" s="58">
        <f>14.5*21.5</f>
        <v>311.75</v>
      </c>
      <c r="H40" s="180"/>
      <c r="I40" s="65"/>
    </row>
    <row r="41" spans="1:9" ht="20.100000000000001" customHeight="1">
      <c r="A41" s="59"/>
      <c r="B41" s="64" t="s">
        <v>2846</v>
      </c>
      <c r="C41" s="74" t="s">
        <v>2918</v>
      </c>
      <c r="D41" s="63" t="s">
        <v>2365</v>
      </c>
      <c r="E41" s="65" t="s">
        <v>2917</v>
      </c>
      <c r="F41" s="58">
        <v>195</v>
      </c>
      <c r="G41" s="58">
        <f>F41</f>
        <v>195</v>
      </c>
      <c r="H41" s="180">
        <f>SUM(G38:G41)</f>
        <v>763.57999999999993</v>
      </c>
      <c r="I41" s="65"/>
    </row>
    <row r="42" spans="1:9" ht="20.100000000000001" customHeight="1">
      <c r="A42" s="59"/>
      <c r="B42" s="64"/>
      <c r="C42" s="74"/>
      <c r="D42" s="63"/>
      <c r="E42" s="65"/>
      <c r="F42" s="58"/>
      <c r="G42" s="58"/>
      <c r="H42" s="180"/>
      <c r="I42" s="74"/>
    </row>
    <row r="43" spans="1:9" ht="20.100000000000001" customHeight="1">
      <c r="A43" s="59"/>
      <c r="B43" s="64" t="s">
        <v>2916</v>
      </c>
      <c r="C43" s="65"/>
      <c r="D43" s="63" t="s">
        <v>2915</v>
      </c>
      <c r="E43" s="65" t="s">
        <v>2818</v>
      </c>
      <c r="F43" s="58" t="s">
        <v>2914</v>
      </c>
      <c r="G43" s="58">
        <f>5.4+12+5.4+12</f>
        <v>34.799999999999997</v>
      </c>
      <c r="H43" s="180">
        <f>SUM(G43)</f>
        <v>34.799999999999997</v>
      </c>
      <c r="I43" s="65"/>
    </row>
    <row r="44" spans="1:9" ht="20.100000000000001" customHeight="1">
      <c r="A44" s="59"/>
      <c r="B44" s="64"/>
      <c r="C44" s="65"/>
      <c r="D44" s="63"/>
      <c r="E44" s="65"/>
      <c r="F44" s="58"/>
      <c r="G44" s="58"/>
      <c r="H44" s="180"/>
      <c r="I44" s="65"/>
    </row>
    <row r="45" spans="1:9" ht="20.100000000000001" customHeight="1">
      <c r="A45" s="69" t="s">
        <v>2913</v>
      </c>
      <c r="B45" s="82" t="s">
        <v>2912</v>
      </c>
      <c r="C45" s="80"/>
      <c r="D45" s="63"/>
      <c r="E45" s="65"/>
      <c r="F45" s="58"/>
      <c r="G45" s="58"/>
      <c r="H45" s="180"/>
      <c r="I45" s="65"/>
    </row>
    <row r="46" spans="1:9" ht="20.100000000000001" customHeight="1">
      <c r="A46" s="81"/>
      <c r="B46" s="64" t="s">
        <v>2905</v>
      </c>
      <c r="C46" s="65" t="s">
        <v>2902</v>
      </c>
      <c r="D46" s="63" t="s">
        <v>2365</v>
      </c>
      <c r="E46" s="65" t="s">
        <v>2814</v>
      </c>
      <c r="F46" s="58" t="s">
        <v>2906</v>
      </c>
      <c r="G46" s="58">
        <f>(2.2+4.3+2.2+4+16.5+13.6+3.8+1.8+14.5)*4</f>
        <v>251.59999999999997</v>
      </c>
      <c r="H46" s="180"/>
      <c r="I46" s="65"/>
    </row>
    <row r="47" spans="1:9" ht="20.100000000000001" customHeight="1">
      <c r="A47" s="81"/>
      <c r="B47" s="64" t="s">
        <v>2905</v>
      </c>
      <c r="C47" s="65" t="s">
        <v>2902</v>
      </c>
      <c r="D47" s="63" t="s">
        <v>2365</v>
      </c>
      <c r="E47" s="65" t="s">
        <v>2904</v>
      </c>
      <c r="F47" s="58" t="s">
        <v>2856</v>
      </c>
      <c r="G47" s="58">
        <f>(11.4+4.9+0.4+4.8+14.3+2+3.6+13.7+18+4+0.4+4.2)*4</f>
        <v>326.8</v>
      </c>
      <c r="H47" s="180"/>
      <c r="I47" s="65"/>
    </row>
    <row r="48" spans="1:9" ht="20.100000000000001" customHeight="1">
      <c r="A48" s="81"/>
      <c r="B48" s="64" t="s">
        <v>2903</v>
      </c>
      <c r="C48" s="65" t="s">
        <v>2902</v>
      </c>
      <c r="D48" s="63" t="s">
        <v>2365</v>
      </c>
      <c r="E48" s="65" t="s">
        <v>2901</v>
      </c>
      <c r="F48" s="58" t="s">
        <v>2900</v>
      </c>
      <c r="G48" s="58">
        <f>(8.5+3+3.8+4.1+18.5+28+8.7)*4.1</f>
        <v>305.86</v>
      </c>
      <c r="H48" s="180">
        <f>SUM(G46:G48)</f>
        <v>884.26</v>
      </c>
      <c r="I48" s="65"/>
    </row>
    <row r="49" spans="1:9" ht="20.100000000000001" customHeight="1">
      <c r="A49" s="69"/>
      <c r="B49" s="82"/>
      <c r="C49" s="80"/>
      <c r="D49" s="63"/>
      <c r="E49" s="65"/>
      <c r="F49" s="58"/>
      <c r="G49" s="58"/>
      <c r="H49" s="180"/>
      <c r="I49" s="65"/>
    </row>
    <row r="50" spans="1:9" ht="20.100000000000001" customHeight="1">
      <c r="A50" s="81"/>
      <c r="B50" s="80" t="s">
        <v>2911</v>
      </c>
      <c r="C50" s="80"/>
      <c r="D50" s="63" t="s">
        <v>2365</v>
      </c>
      <c r="E50" s="65" t="s">
        <v>2910</v>
      </c>
      <c r="F50" s="58" t="s">
        <v>3410</v>
      </c>
      <c r="G50" s="58">
        <f>(3.6+4+3.6+14.5)*5.4</f>
        <v>138.78</v>
      </c>
      <c r="H50" s="180"/>
      <c r="I50" s="65"/>
    </row>
    <row r="51" spans="1:9" ht="20.100000000000001" customHeight="1">
      <c r="A51" s="81"/>
      <c r="B51" s="80" t="s">
        <v>2911</v>
      </c>
      <c r="C51" s="80"/>
      <c r="D51" s="63" t="s">
        <v>2365</v>
      </c>
      <c r="E51" s="65" t="s">
        <v>2910</v>
      </c>
      <c r="F51" s="58" t="s">
        <v>2909</v>
      </c>
      <c r="G51" s="58">
        <f>1.8*2.5</f>
        <v>4.5</v>
      </c>
      <c r="H51" s="180">
        <f>SUM(G50:G51)</f>
        <v>143.28</v>
      </c>
      <c r="I51" s="65"/>
    </row>
    <row r="52" spans="1:9" ht="20.100000000000001" customHeight="1">
      <c r="A52" s="81"/>
      <c r="B52" s="80"/>
      <c r="C52" s="80"/>
      <c r="D52" s="63"/>
      <c r="E52" s="65"/>
      <c r="F52" s="58"/>
      <c r="G52" s="58"/>
      <c r="H52" s="180"/>
      <c r="I52" s="65"/>
    </row>
    <row r="53" spans="1:9" ht="20.100000000000001" customHeight="1">
      <c r="A53" s="81"/>
      <c r="B53" s="80" t="s">
        <v>2908</v>
      </c>
      <c r="C53" s="80"/>
      <c r="D53" s="63" t="s">
        <v>2365</v>
      </c>
      <c r="E53" s="65" t="s">
        <v>2907</v>
      </c>
      <c r="F53" s="58" t="s">
        <v>2695</v>
      </c>
      <c r="G53" s="58">
        <f>29*9</f>
        <v>261</v>
      </c>
      <c r="H53" s="180">
        <f>SUM(G53)</f>
        <v>261</v>
      </c>
      <c r="I53" s="65"/>
    </row>
    <row r="54" spans="1:9" ht="20.100000000000001" customHeight="1">
      <c r="A54" s="81"/>
      <c r="B54" s="80"/>
      <c r="C54" s="80"/>
      <c r="D54" s="63"/>
      <c r="E54" s="65"/>
      <c r="F54" s="58"/>
      <c r="G54" s="58"/>
      <c r="H54" s="180"/>
      <c r="I54" s="65"/>
    </row>
    <row r="55" spans="1:9" ht="24.75" customHeight="1">
      <c r="A55" s="59"/>
      <c r="B55" s="64" t="s">
        <v>2899</v>
      </c>
      <c r="C55" s="65" t="s">
        <v>2875</v>
      </c>
      <c r="D55" s="63" t="s">
        <v>2365</v>
      </c>
      <c r="E55" s="65" t="s">
        <v>2868</v>
      </c>
      <c r="F55" s="70" t="s">
        <v>2898</v>
      </c>
      <c r="G55" s="72">
        <f>(8.9+0.8+3.7+0.8+11.8+(0.8*5)+8.9+(0.8*2)+(0.8*7)+7.5+5.5+12.4)*2.5</f>
        <v>178.75000000000003</v>
      </c>
      <c r="H55" s="180"/>
      <c r="I55" s="65"/>
    </row>
    <row r="56" spans="1:9" ht="20.100000000000001" customHeight="1">
      <c r="A56" s="59"/>
      <c r="B56" s="64" t="s">
        <v>2876</v>
      </c>
      <c r="C56" s="65" t="s">
        <v>2875</v>
      </c>
      <c r="D56" s="63" t="s">
        <v>2365</v>
      </c>
      <c r="E56" s="65" t="s">
        <v>2868</v>
      </c>
      <c r="F56" s="58" t="s">
        <v>2897</v>
      </c>
      <c r="G56" s="58">
        <f>((15.1+15.1)+(0.3*34*2))*2.2</f>
        <v>111.32</v>
      </c>
      <c r="H56" s="180"/>
      <c r="I56" s="65" t="s">
        <v>2870</v>
      </c>
    </row>
    <row r="57" spans="1:9" ht="20.100000000000001" customHeight="1">
      <c r="A57" s="59"/>
      <c r="B57" s="64" t="s">
        <v>2876</v>
      </c>
      <c r="C57" s="65" t="s">
        <v>2896</v>
      </c>
      <c r="D57" s="63" t="s">
        <v>2365</v>
      </c>
      <c r="E57" s="65" t="s">
        <v>2868</v>
      </c>
      <c r="F57" s="58" t="s">
        <v>2895</v>
      </c>
      <c r="G57" s="58">
        <f>(8.9+2.2+0.9+0.7+0.7+5.7+8.9+7.5+3+3)*0.8</f>
        <v>33.200000000000003</v>
      </c>
      <c r="H57" s="180"/>
      <c r="I57" s="65" t="s">
        <v>2881</v>
      </c>
    </row>
    <row r="58" spans="1:9" ht="20.100000000000001" customHeight="1">
      <c r="A58" s="59"/>
      <c r="B58" s="64" t="s">
        <v>2876</v>
      </c>
      <c r="C58" s="65" t="s">
        <v>2892</v>
      </c>
      <c r="D58" s="63" t="s">
        <v>2365</v>
      </c>
      <c r="E58" s="65" t="s">
        <v>2868</v>
      </c>
      <c r="F58" s="58" t="s">
        <v>2895</v>
      </c>
      <c r="G58" s="58">
        <f>(8.9+2.2+0.9+0.7+0.7+5.7+8.9+7.5+3+3)*0.8</f>
        <v>33.200000000000003</v>
      </c>
      <c r="H58" s="180"/>
      <c r="I58" s="65" t="s">
        <v>2878</v>
      </c>
    </row>
    <row r="59" spans="1:9" ht="20.100000000000001" customHeight="1">
      <c r="A59" s="59"/>
      <c r="B59" s="64" t="s">
        <v>2876</v>
      </c>
      <c r="C59" s="65" t="s">
        <v>2875</v>
      </c>
      <c r="D59" s="63" t="s">
        <v>2365</v>
      </c>
      <c r="E59" s="65" t="s">
        <v>2894</v>
      </c>
      <c r="F59" s="58" t="s">
        <v>2863</v>
      </c>
      <c r="G59" s="58">
        <f>(9.5+2.6+5.3+5.3+9.5+9.5+5.1+11.6+1.9+9.8)*3</f>
        <v>210.3</v>
      </c>
      <c r="H59" s="180"/>
      <c r="I59" s="65"/>
    </row>
    <row r="60" spans="1:9" ht="20.100000000000001" customHeight="1">
      <c r="A60" s="59"/>
      <c r="B60" s="64" t="s">
        <v>2893</v>
      </c>
      <c r="C60" s="65" t="s">
        <v>2892</v>
      </c>
      <c r="D60" s="63" t="s">
        <v>2365</v>
      </c>
      <c r="E60" s="65" t="s">
        <v>2891</v>
      </c>
      <c r="F60" s="58" t="s">
        <v>2890</v>
      </c>
      <c r="G60" s="58">
        <f>(4.5+0.8+0.8+0.8+15.4+1.3+1.3+1.3+1.3+0.9+0.9+0.9)*4</f>
        <v>120.8</v>
      </c>
      <c r="H60" s="180"/>
      <c r="I60" s="65"/>
    </row>
    <row r="61" spans="1:9" ht="20.100000000000001" customHeight="1">
      <c r="A61" s="59"/>
      <c r="B61" s="64" t="s">
        <v>2876</v>
      </c>
      <c r="C61" s="65" t="s">
        <v>2875</v>
      </c>
      <c r="D61" s="63" t="s">
        <v>2365</v>
      </c>
      <c r="E61" s="65" t="s">
        <v>2885</v>
      </c>
      <c r="F61" s="58" t="s">
        <v>2889</v>
      </c>
      <c r="G61" s="58">
        <f>(11.4+1.3+1.3+1.3+1.3+21.3+1.3)*4</f>
        <v>156.80000000000001</v>
      </c>
      <c r="H61" s="180"/>
      <c r="I61" s="65"/>
    </row>
    <row r="62" spans="1:9" ht="20.100000000000001" customHeight="1">
      <c r="A62" s="59"/>
      <c r="B62" s="64" t="s">
        <v>2876</v>
      </c>
      <c r="C62" s="65" t="s">
        <v>2875</v>
      </c>
      <c r="D62" s="63" t="s">
        <v>2365</v>
      </c>
      <c r="E62" s="65" t="s">
        <v>2885</v>
      </c>
      <c r="F62" s="58" t="s">
        <v>2888</v>
      </c>
      <c r="G62" s="58">
        <f>(10.5+2.4+0.9+0.9+1.3+1.6+1.3)*4</f>
        <v>75.600000000000009</v>
      </c>
      <c r="H62" s="180"/>
      <c r="I62" s="65"/>
    </row>
    <row r="63" spans="1:9" ht="20.100000000000001" customHeight="1">
      <c r="A63" s="59"/>
      <c r="B63" s="64" t="s">
        <v>2876</v>
      </c>
      <c r="C63" s="65" t="s">
        <v>2875</v>
      </c>
      <c r="D63" s="63" t="s">
        <v>2365</v>
      </c>
      <c r="E63" s="65" t="s">
        <v>2885</v>
      </c>
      <c r="F63" s="58" t="s">
        <v>2887</v>
      </c>
      <c r="G63" s="58">
        <f>(4+4)*2.4*2</f>
        <v>38.4</v>
      </c>
      <c r="H63" s="180"/>
      <c r="I63" s="65" t="s">
        <v>2870</v>
      </c>
    </row>
    <row r="64" spans="1:9" ht="25.5" customHeight="1">
      <c r="A64" s="59"/>
      <c r="B64" s="64" t="s">
        <v>2876</v>
      </c>
      <c r="C64" s="65" t="s">
        <v>2875</v>
      </c>
      <c r="D64" s="63" t="s">
        <v>2365</v>
      </c>
      <c r="E64" s="65" t="s">
        <v>2885</v>
      </c>
      <c r="F64" s="72" t="s">
        <v>2886</v>
      </c>
      <c r="G64" s="72">
        <f>(2.4*0.8)+(4.4*1.3*2)+(2.4*0.9)+(3.5*1.3*2)+(2.1*1.3)+(2*0.9)+(4*1.3)+(2.3*1.3)</f>
        <v>37.340000000000003</v>
      </c>
      <c r="H64" s="180"/>
      <c r="I64" s="65" t="s">
        <v>2881</v>
      </c>
    </row>
    <row r="65" spans="1:9" ht="20.100000000000001" customHeight="1">
      <c r="A65" s="59"/>
      <c r="B65" s="64" t="s">
        <v>2876</v>
      </c>
      <c r="C65" s="65" t="s">
        <v>2875</v>
      </c>
      <c r="D65" s="63" t="s">
        <v>2365</v>
      </c>
      <c r="E65" s="65" t="s">
        <v>2885</v>
      </c>
      <c r="F65" s="72" t="s">
        <v>2886</v>
      </c>
      <c r="G65" s="72">
        <f>(2.4*0.8)+(4.4*1.3*2)+(2.4*0.9)+(3.5*1.3*2)+(2.1*1.3)+(2*0.9)+(4*1.3)+(2.3*1.3)</f>
        <v>37.340000000000003</v>
      </c>
      <c r="H65" s="180"/>
      <c r="I65" s="65" t="s">
        <v>2878</v>
      </c>
    </row>
    <row r="66" spans="1:9" ht="20.100000000000001" customHeight="1">
      <c r="A66" s="59"/>
      <c r="B66" s="64" t="s">
        <v>2876</v>
      </c>
      <c r="C66" s="65" t="s">
        <v>2875</v>
      </c>
      <c r="D66" s="63" t="s">
        <v>2365</v>
      </c>
      <c r="E66" s="65" t="s">
        <v>2885</v>
      </c>
      <c r="F66" s="58" t="s">
        <v>2884</v>
      </c>
      <c r="G66" s="58">
        <f>4*4</f>
        <v>16</v>
      </c>
      <c r="H66" s="180"/>
      <c r="I66" s="65" t="s">
        <v>2870</v>
      </c>
    </row>
    <row r="67" spans="1:9" ht="28.5" customHeight="1">
      <c r="A67" s="59"/>
      <c r="B67" s="64" t="s">
        <v>2876</v>
      </c>
      <c r="C67" s="65" t="s">
        <v>2875</v>
      </c>
      <c r="D67" s="63" t="s">
        <v>2365</v>
      </c>
      <c r="E67" s="65" t="s">
        <v>2880</v>
      </c>
      <c r="F67" s="72" t="s">
        <v>2883</v>
      </c>
      <c r="G67" s="72">
        <f>(((1.6+13.2+(1*6))+((13+1.5+1.5)+(15.9+0.9+0.9+0.9+0.9+0.9))*4))</f>
        <v>166.39999999999998</v>
      </c>
      <c r="H67" s="180"/>
      <c r="I67" s="65"/>
    </row>
    <row r="68" spans="1:9" ht="29.25" customHeight="1">
      <c r="A68" s="59"/>
      <c r="B68" s="64" t="s">
        <v>2876</v>
      </c>
      <c r="C68" s="65" t="s">
        <v>2875</v>
      </c>
      <c r="D68" s="63" t="s">
        <v>2365</v>
      </c>
      <c r="E68" s="65" t="s">
        <v>2880</v>
      </c>
      <c r="F68" s="72" t="s">
        <v>2882</v>
      </c>
      <c r="G68" s="72">
        <f>(3.4+4+4+0.7+0.7+5.2+1+1+1.4+1.462+6.2+0.6+2.9+0.6+0.6)*2.7</f>
        <v>91.15740000000001</v>
      </c>
      <c r="H68" s="180"/>
      <c r="I68" s="65" t="s">
        <v>2870</v>
      </c>
    </row>
    <row r="69" spans="1:9" ht="27" customHeight="1">
      <c r="A69" s="59"/>
      <c r="B69" s="64" t="s">
        <v>2876</v>
      </c>
      <c r="C69" s="65" t="s">
        <v>2875</v>
      </c>
      <c r="D69" s="63" t="s">
        <v>2365</v>
      </c>
      <c r="E69" s="65" t="s">
        <v>2880</v>
      </c>
      <c r="F69" s="72" t="s">
        <v>2879</v>
      </c>
      <c r="G69" s="72">
        <f>((4.1+4.5+4.4+4.5+1.9+1.2)*1)+(10.5*1.5)+((4+1.5+1.5+5.1+1.8+1.8+0.9+0.9+4)*0.6)</f>
        <v>49.249999999999993</v>
      </c>
      <c r="H69" s="180"/>
      <c r="I69" s="65" t="s">
        <v>2881</v>
      </c>
    </row>
    <row r="70" spans="1:9" ht="27.75" customHeight="1">
      <c r="A70" s="59"/>
      <c r="B70" s="64" t="s">
        <v>2876</v>
      </c>
      <c r="C70" s="65" t="s">
        <v>2875</v>
      </c>
      <c r="D70" s="63" t="s">
        <v>2365</v>
      </c>
      <c r="E70" s="65" t="s">
        <v>2880</v>
      </c>
      <c r="F70" s="72" t="s">
        <v>2879</v>
      </c>
      <c r="G70" s="72">
        <f>((4.1+4.5+4.4+4.5+1.9+1.2)*1)+(10.5*1.5)+((4+1.5+1.5+5.1+1.8+1.8+0.9+0.9+4)*0.6)</f>
        <v>49.249999999999993</v>
      </c>
      <c r="H70" s="180"/>
      <c r="I70" s="65" t="s">
        <v>2878</v>
      </c>
    </row>
    <row r="71" spans="1:9" ht="20.100000000000001" customHeight="1">
      <c r="A71" s="59"/>
      <c r="B71" s="64" t="s">
        <v>2876</v>
      </c>
      <c r="C71" s="65" t="s">
        <v>2875</v>
      </c>
      <c r="D71" s="63" t="s">
        <v>2365</v>
      </c>
      <c r="E71" s="65" t="s">
        <v>2872</v>
      </c>
      <c r="F71" s="58" t="s">
        <v>2877</v>
      </c>
      <c r="G71" s="58">
        <f>(8.1*1.2)+((11.2+6+7.1+0.6+3.1+2.3)*4.1)</f>
        <v>133.94999999999999</v>
      </c>
      <c r="H71" s="180"/>
      <c r="I71" s="65"/>
    </row>
    <row r="72" spans="1:9" ht="30.75" customHeight="1">
      <c r="A72" s="59"/>
      <c r="B72" s="64" t="s">
        <v>2876</v>
      </c>
      <c r="C72" s="65" t="s">
        <v>2875</v>
      </c>
      <c r="D72" s="63" t="s">
        <v>2365</v>
      </c>
      <c r="E72" s="65" t="s">
        <v>2872</v>
      </c>
      <c r="F72" s="72" t="s">
        <v>2874</v>
      </c>
      <c r="G72" s="72">
        <f>((18.6+18.6+0.5+0.5)*2.1)+(6.6*4.1)+(6*2.5)+((11+3+7.9+7.9+9.4)*4.1)</f>
        <v>283</v>
      </c>
      <c r="H72" s="180">
        <f>SUM(G55:G72)</f>
        <v>1822.0573999999999</v>
      </c>
      <c r="I72" s="65"/>
    </row>
    <row r="73" spans="1:9" ht="20.100000000000001" customHeight="1">
      <c r="A73" s="59"/>
      <c r="B73" s="64"/>
      <c r="C73" s="65"/>
      <c r="D73" s="63"/>
      <c r="E73" s="65"/>
      <c r="F73" s="58"/>
      <c r="G73" s="58"/>
      <c r="H73" s="180"/>
      <c r="I73" s="65"/>
    </row>
    <row r="74" spans="1:9" ht="20.100000000000001" customHeight="1">
      <c r="A74" s="59"/>
      <c r="B74" s="64" t="s">
        <v>2873</v>
      </c>
      <c r="C74" s="65"/>
      <c r="D74" s="63" t="s">
        <v>2365</v>
      </c>
      <c r="E74" s="65" t="s">
        <v>2872</v>
      </c>
      <c r="F74" s="58" t="s">
        <v>2871</v>
      </c>
      <c r="G74" s="58">
        <f>(16*4*2.4)+(14.3*2.4*2)</f>
        <v>222.24</v>
      </c>
      <c r="H74" s="180">
        <f>G74</f>
        <v>222.24</v>
      </c>
      <c r="I74" s="65" t="s">
        <v>2870</v>
      </c>
    </row>
    <row r="75" spans="1:9" ht="20.100000000000001" customHeight="1">
      <c r="A75" s="59"/>
      <c r="B75" s="64"/>
      <c r="C75" s="65"/>
      <c r="D75" s="63"/>
      <c r="E75" s="65"/>
      <c r="F75" s="58"/>
      <c r="G75" s="58"/>
      <c r="H75" s="180"/>
      <c r="I75" s="65"/>
    </row>
    <row r="76" spans="1:9" ht="27.75" customHeight="1">
      <c r="A76" s="59"/>
      <c r="B76" s="64" t="s">
        <v>2869</v>
      </c>
      <c r="C76" s="74" t="s">
        <v>2852</v>
      </c>
      <c r="D76" s="63" t="s">
        <v>2365</v>
      </c>
      <c r="E76" s="65" t="s">
        <v>2868</v>
      </c>
      <c r="F76" s="70" t="s">
        <v>2867</v>
      </c>
      <c r="G76" s="72">
        <f>(8.9+0.8+3.7+0.8+11.8+(0.8*5)+8.9+(0.8*2)+(0.8*7)+7.5+5.5+12.4)*2.5</f>
        <v>178.75000000000003</v>
      </c>
      <c r="H76" s="180"/>
      <c r="I76" s="65"/>
    </row>
    <row r="77" spans="1:9" ht="20.100000000000001" customHeight="1">
      <c r="A77" s="59"/>
      <c r="B77" s="64" t="s">
        <v>2846</v>
      </c>
      <c r="C77" s="74" t="s">
        <v>2845</v>
      </c>
      <c r="D77" s="63" t="s">
        <v>2365</v>
      </c>
      <c r="E77" s="65" t="s">
        <v>2676</v>
      </c>
      <c r="F77" s="58" t="s">
        <v>2866</v>
      </c>
      <c r="G77" s="58">
        <f>((15.1+15.1)+(0.3*34*2))*2.2</f>
        <v>111.32</v>
      </c>
      <c r="H77" s="180"/>
      <c r="I77" s="65" t="s">
        <v>2853</v>
      </c>
    </row>
    <row r="78" spans="1:9" ht="20.100000000000001" customHeight="1">
      <c r="A78" s="59"/>
      <c r="B78" s="64" t="s">
        <v>2846</v>
      </c>
      <c r="C78" s="74" t="s">
        <v>2845</v>
      </c>
      <c r="D78" s="63" t="s">
        <v>2365</v>
      </c>
      <c r="E78" s="65" t="s">
        <v>2676</v>
      </c>
      <c r="F78" s="58" t="s">
        <v>2865</v>
      </c>
      <c r="G78" s="58">
        <f>(8.9+2.2+0.9+0.7+0.7+5.7+8.9+7.5+3+3)*0.8</f>
        <v>33.200000000000003</v>
      </c>
      <c r="H78" s="180"/>
      <c r="I78" s="65" t="s">
        <v>2851</v>
      </c>
    </row>
    <row r="79" spans="1:9" ht="20.100000000000001" customHeight="1">
      <c r="A79" s="59"/>
      <c r="B79" s="64" t="s">
        <v>2846</v>
      </c>
      <c r="C79" s="74" t="s">
        <v>2845</v>
      </c>
      <c r="D79" s="63" t="s">
        <v>2365</v>
      </c>
      <c r="E79" s="65" t="s">
        <v>2676</v>
      </c>
      <c r="F79" s="58" t="s">
        <v>2865</v>
      </c>
      <c r="G79" s="58">
        <f>(8.9+2.2+0.9+0.7+0.7+5.7+8.9+7.5+3+3)*0.8</f>
        <v>33.200000000000003</v>
      </c>
      <c r="H79" s="180"/>
      <c r="I79" s="65" t="s">
        <v>2849</v>
      </c>
    </row>
    <row r="80" spans="1:9" ht="20.100000000000001" customHeight="1">
      <c r="A80" s="59"/>
      <c r="B80" s="64" t="s">
        <v>2846</v>
      </c>
      <c r="C80" s="74" t="s">
        <v>2845</v>
      </c>
      <c r="D80" s="63" t="s">
        <v>2365</v>
      </c>
      <c r="E80" s="65" t="s">
        <v>2864</v>
      </c>
      <c r="F80" s="58" t="s">
        <v>2863</v>
      </c>
      <c r="G80" s="58">
        <f>(9.5+2.6+5.3+5.3+9.5+9.5+5.1+11.6+1.9+9.8)*3</f>
        <v>210.3</v>
      </c>
      <c r="H80" s="180"/>
      <c r="I80" s="65"/>
    </row>
    <row r="81" spans="1:9" ht="20.100000000000001" customHeight="1">
      <c r="A81" s="59"/>
      <c r="B81" s="64" t="s">
        <v>2846</v>
      </c>
      <c r="C81" s="74" t="s">
        <v>2845</v>
      </c>
      <c r="D81" s="63" t="s">
        <v>2365</v>
      </c>
      <c r="E81" s="65" t="s">
        <v>2814</v>
      </c>
      <c r="F81" s="58" t="s">
        <v>2862</v>
      </c>
      <c r="G81" s="58">
        <f>(2.2+4.3+2.2+4+16.5+13.6+3.8+1.8+14.5)*4</f>
        <v>251.59999999999997</v>
      </c>
      <c r="H81" s="180"/>
      <c r="I81" s="65"/>
    </row>
    <row r="82" spans="1:9" ht="20.100000000000001" customHeight="1">
      <c r="A82" s="59"/>
      <c r="B82" s="64" t="s">
        <v>2846</v>
      </c>
      <c r="C82" s="74" t="s">
        <v>2845</v>
      </c>
      <c r="D82" s="63" t="s">
        <v>2365</v>
      </c>
      <c r="E82" s="65" t="s">
        <v>2814</v>
      </c>
      <c r="F82" s="58" t="s">
        <v>2861</v>
      </c>
      <c r="G82" s="58">
        <f>(11.4+1.3+1.3+1.3+1.3+21.3+1.3)*4</f>
        <v>156.80000000000001</v>
      </c>
      <c r="H82" s="180"/>
      <c r="I82" s="65"/>
    </row>
    <row r="83" spans="1:9" ht="20.100000000000001" customHeight="1">
      <c r="A83" s="59"/>
      <c r="B83" s="64" t="s">
        <v>2846</v>
      </c>
      <c r="C83" s="74" t="s">
        <v>2845</v>
      </c>
      <c r="D83" s="63" t="s">
        <v>2365</v>
      </c>
      <c r="E83" s="65" t="s">
        <v>2814</v>
      </c>
      <c r="F83" s="58" t="s">
        <v>2860</v>
      </c>
      <c r="G83" s="58">
        <f>(10.5+2.4+0.9+0.9+1.3+1.6+1.3)*4</f>
        <v>75.600000000000009</v>
      </c>
      <c r="H83" s="180"/>
      <c r="I83" s="65"/>
    </row>
    <row r="84" spans="1:9" ht="20.100000000000001" customHeight="1">
      <c r="A84" s="59"/>
      <c r="B84" s="64" t="s">
        <v>2846</v>
      </c>
      <c r="C84" s="74" t="s">
        <v>2845</v>
      </c>
      <c r="D84" s="63" t="s">
        <v>2365</v>
      </c>
      <c r="E84" s="65" t="s">
        <v>2814</v>
      </c>
      <c r="F84" s="58" t="s">
        <v>2859</v>
      </c>
      <c r="G84" s="58">
        <f>(4+4)*2.4*2</f>
        <v>38.4</v>
      </c>
      <c r="H84" s="180"/>
      <c r="I84" s="65" t="s">
        <v>2853</v>
      </c>
    </row>
    <row r="85" spans="1:9" ht="20.100000000000001" customHeight="1">
      <c r="A85" s="59"/>
      <c r="B85" s="64" t="s">
        <v>2846</v>
      </c>
      <c r="C85" s="74" t="s">
        <v>2845</v>
      </c>
      <c r="D85" s="63" t="s">
        <v>2365</v>
      </c>
      <c r="E85" s="65" t="s">
        <v>2814</v>
      </c>
      <c r="F85" s="72" t="s">
        <v>2858</v>
      </c>
      <c r="G85" s="72">
        <f>(2.4*0.8)+(4.4*1.3*2)+(2.4*0.9)+(3.5*1.3*2)+(2.1*1.3)+(2*0.9)+(4*1.3)+(2.3*1.3)</f>
        <v>37.340000000000003</v>
      </c>
      <c r="H85" s="180"/>
      <c r="I85" s="65" t="s">
        <v>2851</v>
      </c>
    </row>
    <row r="86" spans="1:9" ht="20.100000000000001" customHeight="1">
      <c r="A86" s="59"/>
      <c r="B86" s="64" t="s">
        <v>2846</v>
      </c>
      <c r="C86" s="74" t="s">
        <v>2845</v>
      </c>
      <c r="D86" s="63" t="s">
        <v>2365</v>
      </c>
      <c r="E86" s="65" t="s">
        <v>2814</v>
      </c>
      <c r="F86" s="72" t="s">
        <v>2858</v>
      </c>
      <c r="G86" s="72">
        <f>(2.4*0.8)+(4.4*1.3*2)+(2.4*0.9)+(3.5*1.3*2)+(2.1*1.3)+(2*0.9)+(4*1.3)+(2.3*1.3)</f>
        <v>37.340000000000003</v>
      </c>
      <c r="H86" s="180"/>
      <c r="I86" s="65" t="s">
        <v>2849</v>
      </c>
    </row>
    <row r="87" spans="1:9" ht="20.100000000000001" customHeight="1">
      <c r="A87" s="59"/>
      <c r="B87" s="64" t="s">
        <v>2846</v>
      </c>
      <c r="C87" s="74" t="s">
        <v>2845</v>
      </c>
      <c r="D87" s="63" t="s">
        <v>2365</v>
      </c>
      <c r="E87" s="65" t="s">
        <v>2814</v>
      </c>
      <c r="F87" s="58" t="s">
        <v>2857</v>
      </c>
      <c r="G87" s="58">
        <f>4*4</f>
        <v>16</v>
      </c>
      <c r="H87" s="180"/>
      <c r="I87" s="65" t="s">
        <v>2853</v>
      </c>
    </row>
    <row r="88" spans="1:9" ht="20.100000000000001" customHeight="1">
      <c r="A88" s="59"/>
      <c r="B88" s="64" t="s">
        <v>2846</v>
      </c>
      <c r="C88" s="74" t="s">
        <v>2845</v>
      </c>
      <c r="D88" s="63" t="s">
        <v>2365</v>
      </c>
      <c r="E88" s="65" t="s">
        <v>2818</v>
      </c>
      <c r="F88" s="58" t="s">
        <v>2856</v>
      </c>
      <c r="G88" s="58">
        <f>(11.4+4.9+0.4+4.8+14.3+2+3.6+13.7+18+4+0.4+4.2)*4</f>
        <v>326.8</v>
      </c>
      <c r="H88" s="180"/>
      <c r="I88" s="65"/>
    </row>
    <row r="89" spans="1:9" ht="32.25" customHeight="1">
      <c r="A89" s="59"/>
      <c r="B89" s="64" t="s">
        <v>2846</v>
      </c>
      <c r="C89" s="74" t="s">
        <v>2845</v>
      </c>
      <c r="D89" s="63" t="s">
        <v>2365</v>
      </c>
      <c r="E89" s="65" t="s">
        <v>2818</v>
      </c>
      <c r="F89" s="72" t="s">
        <v>2855</v>
      </c>
      <c r="G89" s="72">
        <f>(((1.6+13.2+(1*6))+((13+1.5+1.5)+(15.9+0.9+0.9+0.9+0.9+0.9))*4))</f>
        <v>166.39999999999998</v>
      </c>
      <c r="H89" s="180"/>
      <c r="I89" s="65"/>
    </row>
    <row r="90" spans="1:9" ht="32.25" customHeight="1">
      <c r="A90" s="59"/>
      <c r="B90" s="64" t="s">
        <v>2846</v>
      </c>
      <c r="C90" s="74" t="s">
        <v>2845</v>
      </c>
      <c r="D90" s="63" t="s">
        <v>2365</v>
      </c>
      <c r="E90" s="65" t="s">
        <v>2818</v>
      </c>
      <c r="F90" s="72" t="s">
        <v>2854</v>
      </c>
      <c r="G90" s="72">
        <f>(3.4+4+4+0.7+0.7+5.2+1+1+1.4+1.462+6.2+0.6+2.9+0.6+0.6)*2.7</f>
        <v>91.15740000000001</v>
      </c>
      <c r="H90" s="180"/>
      <c r="I90" s="65" t="s">
        <v>2853</v>
      </c>
    </row>
    <row r="91" spans="1:9" ht="32.25" customHeight="1">
      <c r="A91" s="59"/>
      <c r="B91" s="64" t="s">
        <v>2846</v>
      </c>
      <c r="C91" s="74" t="s">
        <v>2852</v>
      </c>
      <c r="D91" s="63" t="s">
        <v>2365</v>
      </c>
      <c r="E91" s="65" t="s">
        <v>2818</v>
      </c>
      <c r="F91" s="72" t="s">
        <v>2850</v>
      </c>
      <c r="G91" s="72">
        <f>((4.1+4.5+4.4+4.5+1.9+1.2)*1)+(10.5*1.5)+((4+1.5+1.5+5.1+1.8+1.8+0.9+0.9+4)*0.6)</f>
        <v>49.249999999999993</v>
      </c>
      <c r="H91" s="180"/>
      <c r="I91" s="65" t="s">
        <v>2851</v>
      </c>
    </row>
    <row r="92" spans="1:9" ht="32.25" customHeight="1">
      <c r="A92" s="59"/>
      <c r="B92" s="64" t="s">
        <v>2846</v>
      </c>
      <c r="C92" s="74" t="s">
        <v>2845</v>
      </c>
      <c r="D92" s="63" t="s">
        <v>2365</v>
      </c>
      <c r="E92" s="65" t="s">
        <v>2818</v>
      </c>
      <c r="F92" s="72" t="s">
        <v>2850</v>
      </c>
      <c r="G92" s="72">
        <f>((4.1+4.5+4.4+4.5+1.9+1.2)*1)+(10.5*1.5)+((4+1.5+1.5+5.1+1.8+1.8+0.9+0.9+4)*0.6)</f>
        <v>49.249999999999993</v>
      </c>
      <c r="H92" s="180"/>
      <c r="I92" s="65" t="s">
        <v>2849</v>
      </c>
    </row>
    <row r="93" spans="1:9" ht="20.100000000000001" customHeight="1">
      <c r="A93" s="59"/>
      <c r="B93" s="64" t="s">
        <v>2846</v>
      </c>
      <c r="C93" s="74" t="s">
        <v>2845</v>
      </c>
      <c r="D93" s="63" t="s">
        <v>2365</v>
      </c>
      <c r="E93" s="65" t="s">
        <v>2774</v>
      </c>
      <c r="F93" s="58" t="s">
        <v>2848</v>
      </c>
      <c r="G93" s="58">
        <f>(8.5+3+3.8+4.1+18.5+28+8.7)*4.1</f>
        <v>305.86</v>
      </c>
      <c r="H93" s="180"/>
      <c r="I93" s="65"/>
    </row>
    <row r="94" spans="1:9" ht="20.100000000000001" customHeight="1">
      <c r="A94" s="59"/>
      <c r="B94" s="64" t="s">
        <v>2846</v>
      </c>
      <c r="C94" s="74" t="s">
        <v>2845</v>
      </c>
      <c r="D94" s="63" t="s">
        <v>2365</v>
      </c>
      <c r="E94" s="65" t="s">
        <v>2774</v>
      </c>
      <c r="F94" s="58" t="s">
        <v>2847</v>
      </c>
      <c r="G94" s="58">
        <f>(8.1*1.2)+((11.2+6+7.1+0.6+3.1+2.3)*4.1)</f>
        <v>133.94999999999999</v>
      </c>
      <c r="H94" s="180"/>
      <c r="I94" s="65"/>
    </row>
    <row r="95" spans="1:9" ht="27.75" customHeight="1">
      <c r="A95" s="59"/>
      <c r="B95" s="64" t="s">
        <v>2846</v>
      </c>
      <c r="C95" s="74" t="s">
        <v>2845</v>
      </c>
      <c r="D95" s="63" t="s">
        <v>2365</v>
      </c>
      <c r="E95" s="65" t="s">
        <v>2774</v>
      </c>
      <c r="F95" s="72" t="s">
        <v>2844</v>
      </c>
      <c r="G95" s="72">
        <f>((18.6+18.6+0.5+0.5)*2.1)+(6.6*4.1)+(6*2.5)+((11+3+7.9+7.9+9.4)*4.1)</f>
        <v>283</v>
      </c>
      <c r="H95" s="180">
        <f>SUM(G76:G95)</f>
        <v>2585.5173999999997</v>
      </c>
      <c r="I95" s="65"/>
    </row>
    <row r="96" spans="1:9" ht="20.100000000000001" customHeight="1">
      <c r="A96" s="59"/>
      <c r="B96" s="64"/>
      <c r="C96" s="74"/>
      <c r="D96" s="63"/>
      <c r="E96" s="65"/>
      <c r="F96" s="58"/>
      <c r="G96" s="58"/>
      <c r="H96" s="180"/>
      <c r="I96" s="65"/>
    </row>
    <row r="97" spans="1:9" ht="20.100000000000001" customHeight="1">
      <c r="A97" s="59"/>
      <c r="B97" s="64" t="s">
        <v>2837</v>
      </c>
      <c r="C97" s="64"/>
      <c r="D97" s="63" t="s">
        <v>2365</v>
      </c>
      <c r="E97" s="65" t="s">
        <v>2814</v>
      </c>
      <c r="F97" s="58" t="s">
        <v>2843</v>
      </c>
      <c r="G97" s="58">
        <f>(0.6+0.6)*2.4</f>
        <v>2.88</v>
      </c>
      <c r="H97" s="180"/>
      <c r="I97" s="65"/>
    </row>
    <row r="98" spans="1:9" ht="20.100000000000001" customHeight="1">
      <c r="A98" s="59"/>
      <c r="B98" s="64" t="s">
        <v>2837</v>
      </c>
      <c r="C98" s="64"/>
      <c r="D98" s="63" t="s">
        <v>2365</v>
      </c>
      <c r="E98" s="65" t="s">
        <v>2818</v>
      </c>
      <c r="F98" s="58" t="s">
        <v>2842</v>
      </c>
      <c r="G98" s="58">
        <f>(0.6*3.9)</f>
        <v>2.34</v>
      </c>
      <c r="H98" s="180"/>
      <c r="I98" s="65"/>
    </row>
    <row r="99" spans="1:9" ht="20.100000000000001" customHeight="1">
      <c r="A99" s="59"/>
      <c r="B99" s="64" t="s">
        <v>2837</v>
      </c>
      <c r="C99" s="64"/>
      <c r="D99" s="63" t="s">
        <v>2365</v>
      </c>
      <c r="E99" s="65" t="s">
        <v>2774</v>
      </c>
      <c r="F99" s="58" t="s">
        <v>2841</v>
      </c>
      <c r="G99" s="58">
        <f>((6.2+2+2.8)*2.2)+(6.2*2.2)</f>
        <v>37.840000000000003</v>
      </c>
      <c r="H99" s="180"/>
      <c r="I99" s="65" t="s">
        <v>2840</v>
      </c>
    </row>
    <row r="100" spans="1:9" ht="20.100000000000001" customHeight="1">
      <c r="A100" s="59"/>
      <c r="B100" s="64" t="s">
        <v>2837</v>
      </c>
      <c r="C100" s="64"/>
      <c r="D100" s="63" t="s">
        <v>2365</v>
      </c>
      <c r="E100" s="65" t="s">
        <v>2774</v>
      </c>
      <c r="F100" s="58" t="s">
        <v>2839</v>
      </c>
      <c r="G100" s="58">
        <f>((1.5+4.4)*2.4)+(1.5*4.4)</f>
        <v>20.76</v>
      </c>
      <c r="H100" s="180"/>
      <c r="I100" s="65" t="s">
        <v>2838</v>
      </c>
    </row>
    <row r="101" spans="1:9" ht="20.100000000000001" customHeight="1">
      <c r="A101" s="59"/>
      <c r="B101" s="64" t="s">
        <v>2837</v>
      </c>
      <c r="C101" s="64"/>
      <c r="D101" s="63" t="s">
        <v>2365</v>
      </c>
      <c r="E101" s="65" t="s">
        <v>2774</v>
      </c>
      <c r="F101" s="58" t="s">
        <v>2836</v>
      </c>
      <c r="G101" s="58">
        <f>0.9*3.14*4</f>
        <v>11.304</v>
      </c>
      <c r="H101" s="180">
        <f>SUM(G97:G101)</f>
        <v>75.124000000000009</v>
      </c>
      <c r="I101" s="65" t="s">
        <v>2835</v>
      </c>
    </row>
    <row r="102" spans="1:9" ht="20.100000000000001" customHeight="1">
      <c r="A102" s="59"/>
      <c r="B102" s="64"/>
      <c r="C102" s="74"/>
      <c r="D102" s="63"/>
      <c r="E102" s="65"/>
      <c r="F102" s="58"/>
      <c r="G102" s="58"/>
      <c r="H102" s="180"/>
      <c r="I102" s="65"/>
    </row>
    <row r="103" spans="1:9" ht="29.25" customHeight="1">
      <c r="A103" s="59"/>
      <c r="B103" s="64" t="s">
        <v>2831</v>
      </c>
      <c r="C103" s="64" t="s">
        <v>2828</v>
      </c>
      <c r="D103" s="63" t="s">
        <v>2365</v>
      </c>
      <c r="E103" s="65" t="s">
        <v>2676</v>
      </c>
      <c r="F103" s="72" t="s">
        <v>2834</v>
      </c>
      <c r="G103" s="72">
        <f>((8.9+5.7+2.5+0.7+1.8+0.7+3+2.5)*1.2)+(((2.2+0.9+0.7+0.7+0.7+3+3.4)*(1.9)+(3.6*2.2)))</f>
        <v>60.92</v>
      </c>
      <c r="H103" s="180"/>
      <c r="I103" s="65"/>
    </row>
    <row r="104" spans="1:9" ht="20.100000000000001" customHeight="1">
      <c r="A104" s="59"/>
      <c r="B104" s="64" t="s">
        <v>2831</v>
      </c>
      <c r="C104" s="64" t="s">
        <v>2828</v>
      </c>
      <c r="D104" s="63" t="s">
        <v>2365</v>
      </c>
      <c r="E104" s="65" t="s">
        <v>2814</v>
      </c>
      <c r="F104" s="58" t="s">
        <v>2833</v>
      </c>
      <c r="G104" s="58">
        <f>(0.9*1.5*2)+((4.2+4.1+3.5+2.1+3.2+4+2.3)*2.2)+(0.9*1.5*4)</f>
        <v>59.580000000000013</v>
      </c>
      <c r="H104" s="180"/>
      <c r="I104" s="65"/>
    </row>
    <row r="105" spans="1:9" ht="27" customHeight="1">
      <c r="A105" s="59"/>
      <c r="B105" s="64" t="s">
        <v>2831</v>
      </c>
      <c r="C105" s="64" t="s">
        <v>2828</v>
      </c>
      <c r="D105" s="63" t="s">
        <v>2365</v>
      </c>
      <c r="E105" s="65" t="s">
        <v>2818</v>
      </c>
      <c r="F105" s="72" t="s">
        <v>2832</v>
      </c>
      <c r="G105" s="72">
        <f>((4.1+4.5+1.9+1.2+4.4+4.5+4+3+5.1+1.8+0.9+1.8+4)*2)+(10.5*2.4)</f>
        <v>107.6</v>
      </c>
      <c r="H105" s="180"/>
      <c r="I105" s="65"/>
    </row>
    <row r="106" spans="1:9" ht="20.100000000000001" customHeight="1">
      <c r="A106" s="59"/>
      <c r="B106" s="64" t="s">
        <v>2831</v>
      </c>
      <c r="C106" s="64" t="s">
        <v>2828</v>
      </c>
      <c r="D106" s="63" t="s">
        <v>2365</v>
      </c>
      <c r="E106" s="65" t="s">
        <v>2774</v>
      </c>
      <c r="F106" s="58" t="s">
        <v>2830</v>
      </c>
      <c r="G106" s="58">
        <f>((1.4+8.7+1.4)*1.5)+((2.4+1.2)*2*2.4*2)+(0.6*2.4*2)</f>
        <v>54.69</v>
      </c>
      <c r="H106" s="180">
        <f>SUM(G103:G106)</f>
        <v>282.79000000000002</v>
      </c>
      <c r="I106" s="65"/>
    </row>
    <row r="107" spans="1:9" ht="20.100000000000001" customHeight="1">
      <c r="A107" s="59"/>
      <c r="B107" s="64" t="s">
        <v>2828</v>
      </c>
      <c r="C107" s="65" t="s">
        <v>2829</v>
      </c>
      <c r="D107" s="63" t="s">
        <v>2826</v>
      </c>
      <c r="E107" s="65" t="s">
        <v>2676</v>
      </c>
      <c r="F107" s="58">
        <v>9</v>
      </c>
      <c r="G107" s="58">
        <v>9</v>
      </c>
      <c r="H107" s="180">
        <f>G107</f>
        <v>9</v>
      </c>
      <c r="I107" s="65"/>
    </row>
    <row r="108" spans="1:9" ht="20.100000000000001" customHeight="1">
      <c r="A108" s="59"/>
      <c r="B108" s="64" t="s">
        <v>2828</v>
      </c>
      <c r="C108" s="65" t="s">
        <v>2827</v>
      </c>
      <c r="D108" s="63" t="s">
        <v>2826</v>
      </c>
      <c r="E108" s="65" t="s">
        <v>2774</v>
      </c>
      <c r="F108" s="58">
        <v>4</v>
      </c>
      <c r="G108" s="58">
        <f>F108</f>
        <v>4</v>
      </c>
      <c r="H108" s="180">
        <f>G108</f>
        <v>4</v>
      </c>
      <c r="I108" s="65"/>
    </row>
    <row r="109" spans="1:9" ht="20.100000000000001" customHeight="1">
      <c r="A109" s="59"/>
      <c r="B109" s="64"/>
      <c r="C109" s="65"/>
      <c r="D109" s="63"/>
      <c r="E109" s="65"/>
      <c r="F109" s="58"/>
      <c r="G109" s="58"/>
      <c r="H109" s="180"/>
      <c r="I109" s="65"/>
    </row>
    <row r="110" spans="1:9" ht="20.100000000000001" customHeight="1">
      <c r="A110" s="69" t="s">
        <v>2825</v>
      </c>
      <c r="B110" s="82" t="s">
        <v>2824</v>
      </c>
      <c r="C110" s="80"/>
      <c r="D110" s="63"/>
      <c r="E110" s="65"/>
      <c r="F110" s="58"/>
      <c r="G110" s="58"/>
      <c r="H110" s="180"/>
      <c r="I110" s="65"/>
    </row>
    <row r="111" spans="1:9" ht="20.100000000000001" customHeight="1">
      <c r="A111" s="59"/>
      <c r="B111" s="64" t="s">
        <v>2823</v>
      </c>
      <c r="C111" s="74" t="s">
        <v>2717</v>
      </c>
      <c r="D111" s="63" t="s">
        <v>2365</v>
      </c>
      <c r="E111" s="65" t="s">
        <v>2814</v>
      </c>
      <c r="F111" s="58" t="s">
        <v>3411</v>
      </c>
      <c r="G111" s="58">
        <f>(5.2*2.9)+(2.2*2.9)</f>
        <v>21.46</v>
      </c>
      <c r="H111" s="180"/>
      <c r="I111" s="65"/>
    </row>
    <row r="112" spans="1:9" ht="20.100000000000001" customHeight="1">
      <c r="A112" s="59"/>
      <c r="B112" s="64" t="s">
        <v>2823</v>
      </c>
      <c r="C112" s="74" t="s">
        <v>2717</v>
      </c>
      <c r="D112" s="63" t="s">
        <v>2365</v>
      </c>
      <c r="E112" s="65" t="s">
        <v>2774</v>
      </c>
      <c r="F112" s="58" t="s">
        <v>2822</v>
      </c>
      <c r="G112" s="58">
        <f>2.5*3</f>
        <v>7.5</v>
      </c>
      <c r="H112" s="180">
        <f>SUM(G111:G112)</f>
        <v>28.96</v>
      </c>
      <c r="I112" s="65"/>
    </row>
    <row r="113" spans="1:9" ht="20.100000000000001" customHeight="1">
      <c r="A113" s="59"/>
      <c r="B113" s="64" t="s">
        <v>2821</v>
      </c>
      <c r="C113" s="74" t="s">
        <v>2717</v>
      </c>
      <c r="D113" s="63" t="s">
        <v>2365</v>
      </c>
      <c r="E113" s="65" t="s">
        <v>2676</v>
      </c>
      <c r="F113" s="58" t="s">
        <v>2787</v>
      </c>
      <c r="G113" s="58">
        <f>15.1*1.5</f>
        <v>22.65</v>
      </c>
      <c r="H113" s="180"/>
      <c r="I113" s="65"/>
    </row>
    <row r="114" spans="1:9" ht="20.100000000000001" customHeight="1">
      <c r="A114" s="59"/>
      <c r="B114" s="64" t="s">
        <v>2821</v>
      </c>
      <c r="C114" s="74" t="s">
        <v>2717</v>
      </c>
      <c r="D114" s="63" t="s">
        <v>2365</v>
      </c>
      <c r="E114" s="65" t="s">
        <v>2818</v>
      </c>
      <c r="F114" s="58" t="s">
        <v>3412</v>
      </c>
      <c r="G114" s="58">
        <f>(3.6+3.6+4+14.6)*2</f>
        <v>51.599999999999994</v>
      </c>
      <c r="H114" s="180"/>
      <c r="I114" s="65"/>
    </row>
    <row r="115" spans="1:9" ht="20.100000000000001" customHeight="1">
      <c r="A115" s="59"/>
      <c r="B115" s="64" t="s">
        <v>2821</v>
      </c>
      <c r="C115" s="74" t="s">
        <v>2717</v>
      </c>
      <c r="D115" s="63" t="s">
        <v>2365</v>
      </c>
      <c r="E115" s="65" t="s">
        <v>2774</v>
      </c>
      <c r="F115" s="58" t="s">
        <v>2719</v>
      </c>
      <c r="G115" s="58">
        <f>((4.2+18.2)*2)</f>
        <v>44.8</v>
      </c>
      <c r="H115" s="180"/>
      <c r="I115" s="65"/>
    </row>
    <row r="116" spans="1:9" ht="20.100000000000001" customHeight="1">
      <c r="A116" s="59"/>
      <c r="B116" s="64" t="s">
        <v>2821</v>
      </c>
      <c r="C116" s="74" t="s">
        <v>2717</v>
      </c>
      <c r="D116" s="63" t="s">
        <v>2365</v>
      </c>
      <c r="E116" s="65" t="s">
        <v>2774</v>
      </c>
      <c r="F116" s="58" t="s">
        <v>2715</v>
      </c>
      <c r="G116" s="58">
        <f>3.3*9.4</f>
        <v>31.02</v>
      </c>
      <c r="H116" s="180">
        <f>SUM(G113:G116)</f>
        <v>150.07</v>
      </c>
      <c r="I116" s="65"/>
    </row>
    <row r="117" spans="1:9" ht="20.100000000000001" customHeight="1">
      <c r="A117" s="59"/>
      <c r="B117" s="64"/>
      <c r="C117" s="74"/>
      <c r="D117" s="63"/>
      <c r="E117" s="65"/>
      <c r="F117" s="58"/>
      <c r="G117" s="58"/>
      <c r="H117" s="180"/>
      <c r="I117" s="65"/>
    </row>
    <row r="118" spans="1:9" ht="20.100000000000001" customHeight="1">
      <c r="A118" s="81"/>
      <c r="B118" s="80" t="s">
        <v>2820</v>
      </c>
      <c r="C118" s="80"/>
      <c r="D118" s="63" t="s">
        <v>2365</v>
      </c>
      <c r="E118" s="65" t="s">
        <v>2676</v>
      </c>
      <c r="F118" s="58" t="s">
        <v>2819</v>
      </c>
      <c r="G118" s="58">
        <f>250-(4.9+4.9)</f>
        <v>240.2</v>
      </c>
      <c r="H118" s="180">
        <f>G118</f>
        <v>240.2</v>
      </c>
      <c r="I118" s="74" t="s">
        <v>2709</v>
      </c>
    </row>
    <row r="119" spans="1:9" ht="20.100000000000001" customHeight="1">
      <c r="A119" s="81"/>
      <c r="B119" s="80"/>
      <c r="C119" s="80"/>
      <c r="D119" s="63"/>
      <c r="E119" s="65"/>
      <c r="F119" s="58"/>
      <c r="G119" s="58"/>
      <c r="H119" s="180"/>
      <c r="I119" s="74"/>
    </row>
    <row r="120" spans="1:9" ht="20.100000000000001" customHeight="1">
      <c r="A120" s="81"/>
      <c r="B120" s="80" t="s">
        <v>2816</v>
      </c>
      <c r="C120" s="80"/>
      <c r="D120" s="63" t="s">
        <v>2365</v>
      </c>
      <c r="E120" s="65" t="s">
        <v>2818</v>
      </c>
      <c r="F120" s="58" t="s">
        <v>2817</v>
      </c>
      <c r="G120" s="58">
        <f>14.5*21.5</f>
        <v>311.75</v>
      </c>
      <c r="H120" s="180"/>
      <c r="I120" s="74"/>
    </row>
    <row r="121" spans="1:9" ht="20.100000000000001" customHeight="1">
      <c r="A121" s="81"/>
      <c r="B121" s="80" t="s">
        <v>2816</v>
      </c>
      <c r="C121" s="80"/>
      <c r="D121" s="63" t="s">
        <v>2365</v>
      </c>
      <c r="E121" s="65" t="s">
        <v>2774</v>
      </c>
      <c r="F121" s="58">
        <v>555.1</v>
      </c>
      <c r="G121" s="58">
        <v>555.1</v>
      </c>
      <c r="H121" s="180">
        <f>SUM(G120:G121)</f>
        <v>866.85</v>
      </c>
      <c r="I121" s="74" t="s">
        <v>2709</v>
      </c>
    </row>
    <row r="122" spans="1:9" ht="20.100000000000001" customHeight="1">
      <c r="A122" s="81"/>
      <c r="B122" s="80"/>
      <c r="C122" s="80"/>
      <c r="D122" s="63"/>
      <c r="E122" s="65"/>
      <c r="F122" s="58"/>
      <c r="G122" s="58"/>
      <c r="H122" s="180"/>
      <c r="I122" s="74"/>
    </row>
    <row r="123" spans="1:9" ht="20.100000000000001" customHeight="1">
      <c r="A123" s="81"/>
      <c r="B123" s="80" t="s">
        <v>2815</v>
      </c>
      <c r="C123" s="80"/>
      <c r="D123" s="63" t="s">
        <v>2365</v>
      </c>
      <c r="E123" s="65" t="s">
        <v>2814</v>
      </c>
      <c r="F123" s="58" t="s">
        <v>2813</v>
      </c>
      <c r="G123" s="58">
        <f>11.5*16.2</f>
        <v>186.29999999999998</v>
      </c>
      <c r="H123" s="180">
        <f>G123</f>
        <v>186.29999999999998</v>
      </c>
      <c r="I123" s="74"/>
    </row>
    <row r="124" spans="1:9" ht="20.100000000000001" customHeight="1">
      <c r="A124" s="81"/>
      <c r="B124" s="80" t="s">
        <v>2812</v>
      </c>
      <c r="C124" s="80"/>
      <c r="D124" s="63" t="s">
        <v>2365</v>
      </c>
      <c r="E124" s="65" t="s">
        <v>2774</v>
      </c>
      <c r="F124" s="58">
        <v>18.399999999999999</v>
      </c>
      <c r="G124" s="58">
        <v>18.399999999999999</v>
      </c>
      <c r="H124" s="180">
        <f>G124</f>
        <v>18.399999999999999</v>
      </c>
      <c r="I124" s="74"/>
    </row>
    <row r="125" spans="1:9" ht="20.100000000000001" customHeight="1">
      <c r="A125" s="81"/>
      <c r="B125" s="80"/>
      <c r="C125" s="80"/>
      <c r="D125" s="63"/>
      <c r="E125" s="65"/>
      <c r="F125" s="58"/>
      <c r="G125" s="58"/>
      <c r="H125" s="180"/>
      <c r="I125" s="74"/>
    </row>
    <row r="126" spans="1:9" ht="20.100000000000001" customHeight="1">
      <c r="A126" s="59"/>
      <c r="B126" s="64"/>
      <c r="C126" s="65"/>
      <c r="D126" s="63"/>
      <c r="E126" s="65"/>
      <c r="F126" s="58"/>
      <c r="G126" s="58"/>
      <c r="H126" s="180"/>
      <c r="I126" s="65"/>
    </row>
    <row r="127" spans="1:9" s="89" customFormat="1" ht="20.100000000000001" customHeight="1">
      <c r="A127" s="61" t="s">
        <v>2811</v>
      </c>
      <c r="B127" s="61" t="s">
        <v>2810</v>
      </c>
      <c r="C127" s="75"/>
      <c r="D127" s="73"/>
      <c r="E127" s="75"/>
      <c r="F127" s="60"/>
      <c r="G127" s="60"/>
      <c r="H127" s="180"/>
      <c r="I127" s="75"/>
    </row>
    <row r="128" spans="1:9" s="89" customFormat="1" ht="20.100000000000001" customHeight="1">
      <c r="A128" s="61" t="s">
        <v>2809</v>
      </c>
      <c r="B128" s="77" t="s">
        <v>2770</v>
      </c>
      <c r="C128" s="75"/>
      <c r="D128" s="73"/>
      <c r="E128" s="75"/>
      <c r="F128" s="76"/>
      <c r="G128" s="60"/>
      <c r="H128" s="180"/>
      <c r="I128" s="75"/>
    </row>
    <row r="129" spans="1:9" ht="20.100000000000001" customHeight="1">
      <c r="A129" s="65"/>
      <c r="B129" s="141" t="s">
        <v>629</v>
      </c>
      <c r="C129" s="141" t="s">
        <v>3416</v>
      </c>
      <c r="D129" s="63" t="s">
        <v>2365</v>
      </c>
      <c r="E129" s="63"/>
      <c r="F129" s="58" t="s">
        <v>3221</v>
      </c>
      <c r="G129" s="58">
        <f>231.5+19.8</f>
        <v>251.3</v>
      </c>
      <c r="H129" s="180">
        <f t="shared" ref="H129:H132" si="0">G129</f>
        <v>251.3</v>
      </c>
      <c r="I129" s="74" t="s">
        <v>2709</v>
      </c>
    </row>
    <row r="130" spans="1:9" ht="20.100000000000001" customHeight="1">
      <c r="A130" s="59"/>
      <c r="B130" s="141" t="s">
        <v>3417</v>
      </c>
      <c r="C130" s="65" t="s">
        <v>3418</v>
      </c>
      <c r="D130" s="63" t="s">
        <v>2365</v>
      </c>
      <c r="E130" s="63"/>
      <c r="F130" s="58" t="s">
        <v>3221</v>
      </c>
      <c r="G130" s="58">
        <f>231.5+19.8</f>
        <v>251.3</v>
      </c>
      <c r="H130" s="180">
        <f t="shared" si="0"/>
        <v>251.3</v>
      </c>
      <c r="I130" s="74" t="s">
        <v>2709</v>
      </c>
    </row>
    <row r="131" spans="1:9" ht="20.100000000000001" customHeight="1">
      <c r="A131" s="59"/>
      <c r="B131" s="141" t="s">
        <v>3419</v>
      </c>
      <c r="C131" s="141"/>
      <c r="D131" s="63" t="s">
        <v>2365</v>
      </c>
      <c r="E131" s="63"/>
      <c r="F131" s="58">
        <v>235.1</v>
      </c>
      <c r="G131" s="58">
        <f>((0.6*4)*8.9)+((0.4*4)*25)</f>
        <v>61.36</v>
      </c>
      <c r="H131" s="180">
        <f t="shared" si="0"/>
        <v>61.36</v>
      </c>
      <c r="I131" s="74" t="s">
        <v>2709</v>
      </c>
    </row>
    <row r="132" spans="1:9" ht="20.100000000000001" customHeight="1">
      <c r="A132" s="59"/>
      <c r="B132" s="141" t="s">
        <v>3420</v>
      </c>
      <c r="C132" s="141" t="s">
        <v>3421</v>
      </c>
      <c r="D132" s="63" t="s">
        <v>3422</v>
      </c>
      <c r="E132" s="63"/>
      <c r="F132" s="58">
        <v>2</v>
      </c>
      <c r="G132" s="58">
        <v>2</v>
      </c>
      <c r="H132" s="180">
        <f t="shared" si="0"/>
        <v>2</v>
      </c>
      <c r="I132" s="74"/>
    </row>
    <row r="133" spans="1:9" ht="20.100000000000001" customHeight="1">
      <c r="A133" s="69"/>
      <c r="B133" s="67"/>
      <c r="C133" s="67"/>
      <c r="D133" s="63"/>
      <c r="E133" s="63"/>
      <c r="F133" s="58"/>
      <c r="G133" s="58"/>
      <c r="H133" s="180"/>
      <c r="I133" s="65"/>
    </row>
    <row r="134" spans="1:9" s="89" customFormat="1" ht="20.100000000000001" customHeight="1">
      <c r="A134" s="61" t="s">
        <v>2808</v>
      </c>
      <c r="B134" s="142" t="s">
        <v>2704</v>
      </c>
      <c r="C134" s="142"/>
      <c r="D134" s="73"/>
      <c r="E134" s="73"/>
      <c r="F134" s="76"/>
      <c r="G134" s="76"/>
      <c r="H134" s="180"/>
      <c r="I134" s="75"/>
    </row>
    <row r="135" spans="1:9" ht="25.5" customHeight="1">
      <c r="A135" s="59"/>
      <c r="B135" s="64" t="s">
        <v>2703</v>
      </c>
      <c r="C135" s="65" t="s">
        <v>2702</v>
      </c>
      <c r="D135" s="63" t="s">
        <v>2365</v>
      </c>
      <c r="E135" s="63" t="s">
        <v>3423</v>
      </c>
      <c r="F135" s="72" t="s">
        <v>3425</v>
      </c>
      <c r="G135" s="72">
        <f>((9.3+1.5+1.5+9.3)*4.5)-(0.9*2.1)</f>
        <v>95.31</v>
      </c>
      <c r="H135" s="180"/>
      <c r="I135" s="65"/>
    </row>
    <row r="136" spans="1:9" ht="25.5" customHeight="1">
      <c r="A136" s="59"/>
      <c r="B136" s="64" t="s">
        <v>2703</v>
      </c>
      <c r="C136" s="65" t="s">
        <v>2702</v>
      </c>
      <c r="D136" s="63" t="s">
        <v>2365</v>
      </c>
      <c r="E136" s="63" t="s">
        <v>2742</v>
      </c>
      <c r="F136" s="72" t="s">
        <v>2796</v>
      </c>
      <c r="G136" s="72">
        <f>0.9*3.6*4</f>
        <v>12.96</v>
      </c>
      <c r="H136" s="180"/>
      <c r="I136" s="65"/>
    </row>
    <row r="137" spans="1:9" ht="20.100000000000001" customHeight="1">
      <c r="A137" s="59"/>
      <c r="B137" s="64" t="s">
        <v>2703</v>
      </c>
      <c r="C137" s="65" t="s">
        <v>2702</v>
      </c>
      <c r="D137" s="63" t="s">
        <v>2365</v>
      </c>
      <c r="E137" s="63" t="s">
        <v>2794</v>
      </c>
      <c r="F137" s="79" t="s">
        <v>2807</v>
      </c>
      <c r="G137" s="78">
        <f>(8.2+4)*3.6</f>
        <v>43.92</v>
      </c>
      <c r="H137" s="180">
        <f>SUM(G135:G137)</f>
        <v>152.19</v>
      </c>
      <c r="I137" s="65"/>
    </row>
    <row r="138" spans="1:9" ht="20.100000000000001" customHeight="1">
      <c r="A138" s="59"/>
      <c r="B138" s="64"/>
      <c r="C138" s="65"/>
      <c r="D138" s="63"/>
      <c r="E138" s="65"/>
      <c r="F138" s="79"/>
      <c r="G138" s="78"/>
      <c r="H138" s="180"/>
      <c r="I138" s="65"/>
    </row>
    <row r="139" spans="1:9" ht="20.100000000000001" customHeight="1">
      <c r="A139" s="59"/>
      <c r="B139" s="64" t="s">
        <v>2701</v>
      </c>
      <c r="C139" s="65" t="s">
        <v>2750</v>
      </c>
      <c r="D139" s="63" t="s">
        <v>2365</v>
      </c>
      <c r="E139" s="65"/>
      <c r="F139" s="72" t="s">
        <v>3424</v>
      </c>
      <c r="G139" s="72">
        <f t="shared" ref="G139" si="1">((9.3+1.5+1.5)*4.5)</f>
        <v>55.35</v>
      </c>
      <c r="H139" s="180"/>
      <c r="I139" s="65"/>
    </row>
    <row r="140" spans="1:9" ht="20.100000000000001" customHeight="1">
      <c r="A140" s="59"/>
      <c r="B140" s="64" t="s">
        <v>2806</v>
      </c>
      <c r="C140" s="65" t="s">
        <v>191</v>
      </c>
      <c r="D140" s="63" t="s">
        <v>2365</v>
      </c>
      <c r="E140" s="63" t="s">
        <v>2805</v>
      </c>
      <c r="F140" s="79" t="s">
        <v>2793</v>
      </c>
      <c r="G140" s="78">
        <f>(8.2+2.5+4+4)*3.6</f>
        <v>67.319999999999993</v>
      </c>
      <c r="H140" s="180">
        <f>SUM(G139:G140)</f>
        <v>122.66999999999999</v>
      </c>
      <c r="I140" s="65"/>
    </row>
    <row r="141" spans="1:9" ht="20.100000000000001" customHeight="1">
      <c r="A141" s="59"/>
      <c r="B141" s="64" t="s">
        <v>2748</v>
      </c>
      <c r="C141" s="65" t="s">
        <v>2747</v>
      </c>
      <c r="D141" s="63" t="s">
        <v>2365</v>
      </c>
      <c r="E141" s="65" t="s">
        <v>2804</v>
      </c>
      <c r="F141" s="72" t="s">
        <v>3426</v>
      </c>
      <c r="G141" s="72">
        <f>(9.3*4.5*2)-(0.9*2.1*2)</f>
        <v>79.92</v>
      </c>
      <c r="H141" s="180">
        <f>G141</f>
        <v>79.92</v>
      </c>
      <c r="I141" s="65"/>
    </row>
    <row r="142" spans="1:9" ht="20.100000000000001" customHeight="1">
      <c r="A142" s="59"/>
      <c r="B142" s="64"/>
      <c r="C142" s="65"/>
      <c r="D142" s="63"/>
      <c r="E142" s="65"/>
      <c r="F142" s="72"/>
      <c r="G142" s="72"/>
      <c r="H142" s="180"/>
      <c r="I142" s="65"/>
    </row>
    <row r="143" spans="1:9" ht="19.5" customHeight="1">
      <c r="A143" s="59"/>
      <c r="B143" s="64" t="s">
        <v>2803</v>
      </c>
      <c r="C143" s="65" t="s">
        <v>2699</v>
      </c>
      <c r="D143" s="63" t="s">
        <v>2365</v>
      </c>
      <c r="E143" s="63" t="s">
        <v>2742</v>
      </c>
      <c r="F143" s="72" t="s">
        <v>2796</v>
      </c>
      <c r="G143" s="72">
        <f>0.9*3.6*4</f>
        <v>12.96</v>
      </c>
      <c r="H143" s="180">
        <f>G143</f>
        <v>12.96</v>
      </c>
      <c r="I143" s="65"/>
    </row>
    <row r="144" spans="1:9" ht="20.100000000000001" customHeight="1">
      <c r="A144" s="59"/>
      <c r="B144" s="64" t="s">
        <v>2701</v>
      </c>
      <c r="C144" s="65" t="s">
        <v>2699</v>
      </c>
      <c r="D144" s="63" t="s">
        <v>2365</v>
      </c>
      <c r="E144" s="63" t="s">
        <v>2742</v>
      </c>
      <c r="F144" s="72" t="s">
        <v>2796</v>
      </c>
      <c r="G144" s="72">
        <f>0.9*3.6*4</f>
        <v>12.96</v>
      </c>
      <c r="H144" s="180">
        <f>G144</f>
        <v>12.96</v>
      </c>
      <c r="I144" s="65"/>
    </row>
    <row r="145" spans="1:9" ht="20.100000000000001" customHeight="1">
      <c r="A145" s="59"/>
      <c r="B145" s="64"/>
      <c r="C145" s="65"/>
      <c r="D145" s="63"/>
      <c r="E145" s="65"/>
      <c r="F145" s="58"/>
      <c r="G145" s="58"/>
      <c r="H145" s="180"/>
      <c r="I145" s="65"/>
    </row>
    <row r="146" spans="1:9" ht="20.100000000000001" customHeight="1">
      <c r="A146" s="59"/>
      <c r="B146" s="64" t="s">
        <v>2740</v>
      </c>
      <c r="C146" s="65" t="s">
        <v>2739</v>
      </c>
      <c r="D146" s="63" t="s">
        <v>2646</v>
      </c>
      <c r="E146" s="65"/>
      <c r="F146" s="72" t="s">
        <v>3427</v>
      </c>
      <c r="G146" s="72">
        <f>(0.9*4)+9.3</f>
        <v>12.9</v>
      </c>
      <c r="H146" s="180">
        <f>G146</f>
        <v>12.9</v>
      </c>
      <c r="I146" s="65"/>
    </row>
    <row r="147" spans="1:9" ht="20.100000000000001" customHeight="1">
      <c r="A147" s="59"/>
      <c r="B147" s="64"/>
      <c r="C147" s="65"/>
      <c r="D147" s="63"/>
      <c r="E147" s="65"/>
      <c r="F147" s="79"/>
      <c r="G147" s="78"/>
      <c r="H147" s="180"/>
      <c r="I147" s="65"/>
    </row>
    <row r="148" spans="1:9" ht="20.100000000000001" customHeight="1">
      <c r="A148" s="59"/>
      <c r="B148" s="64" t="s">
        <v>2802</v>
      </c>
      <c r="C148" s="65"/>
      <c r="D148" s="63" t="s">
        <v>2365</v>
      </c>
      <c r="E148" s="65" t="s">
        <v>2798</v>
      </c>
      <c r="F148" s="72" t="s">
        <v>2800</v>
      </c>
      <c r="G148" s="72">
        <f>7*1.4</f>
        <v>9.7999999999999989</v>
      </c>
      <c r="H148" s="180">
        <f>G148</f>
        <v>9.7999999999999989</v>
      </c>
      <c r="I148" s="65"/>
    </row>
    <row r="149" spans="1:9" ht="20.100000000000001" customHeight="1">
      <c r="A149" s="59"/>
      <c r="B149" s="64" t="s">
        <v>2801</v>
      </c>
      <c r="C149" s="65" t="s">
        <v>2750</v>
      </c>
      <c r="D149" s="63" t="s">
        <v>2365</v>
      </c>
      <c r="E149" s="65" t="s">
        <v>2798</v>
      </c>
      <c r="F149" s="72" t="s">
        <v>2800</v>
      </c>
      <c r="G149" s="72">
        <f>7*1.4</f>
        <v>9.7999999999999989</v>
      </c>
      <c r="H149" s="180">
        <f>G149</f>
        <v>9.7999999999999989</v>
      </c>
      <c r="I149" s="65"/>
    </row>
    <row r="150" spans="1:9" ht="20.100000000000001" customHeight="1">
      <c r="A150" s="59"/>
      <c r="B150" s="64" t="s">
        <v>3429</v>
      </c>
      <c r="C150" s="65" t="s">
        <v>2799</v>
      </c>
      <c r="D150" s="63" t="s">
        <v>2646</v>
      </c>
      <c r="E150" s="65" t="s">
        <v>2798</v>
      </c>
      <c r="F150" s="72" t="s">
        <v>2797</v>
      </c>
      <c r="G150" s="72">
        <f>7*11</f>
        <v>77</v>
      </c>
      <c r="H150" s="180">
        <f>G150</f>
        <v>77</v>
      </c>
      <c r="I150" s="65"/>
    </row>
    <row r="151" spans="1:9" ht="20.100000000000001" customHeight="1">
      <c r="A151" s="59"/>
      <c r="B151" s="64"/>
      <c r="C151" s="65"/>
      <c r="D151" s="63"/>
      <c r="E151" s="65"/>
      <c r="F151" s="72"/>
      <c r="G151" s="72"/>
      <c r="H151" s="180"/>
      <c r="I151" s="65"/>
    </row>
    <row r="152" spans="1:9" ht="29.25" customHeight="1">
      <c r="A152" s="59"/>
      <c r="B152" s="64" t="s">
        <v>2737</v>
      </c>
      <c r="C152" s="65"/>
      <c r="D152" s="63" t="s">
        <v>2365</v>
      </c>
      <c r="E152" s="63" t="s">
        <v>2744</v>
      </c>
      <c r="F152" s="70" t="s">
        <v>3430</v>
      </c>
      <c r="G152" s="72">
        <f>((8.9+7+1.6+5.1+1.1+13.2+9.3+9.3+9.3+7.9+1.1+5+1.4+12.6)*4.5)-((2.9*2.5)+((4.5+5+5)*3.3))</f>
        <v>362.5</v>
      </c>
      <c r="H152" s="180"/>
      <c r="I152" s="65"/>
    </row>
    <row r="153" spans="1:9" ht="20.100000000000001" customHeight="1">
      <c r="A153" s="59"/>
      <c r="B153" s="64" t="s">
        <v>2737</v>
      </c>
      <c r="C153" s="65"/>
      <c r="D153" s="63" t="s">
        <v>2365</v>
      </c>
      <c r="E153" s="63" t="s">
        <v>2742</v>
      </c>
      <c r="F153" s="72" t="s">
        <v>2796</v>
      </c>
      <c r="G153" s="72">
        <f>0.9*3.6*4</f>
        <v>12.96</v>
      </c>
      <c r="H153" s="180"/>
      <c r="I153" s="65"/>
    </row>
    <row r="154" spans="1:9" ht="20.100000000000001" customHeight="1">
      <c r="A154" s="59"/>
      <c r="B154" s="64" t="s">
        <v>2737</v>
      </c>
      <c r="C154" s="65"/>
      <c r="D154" s="63" t="s">
        <v>2365</v>
      </c>
      <c r="E154" s="63" t="s">
        <v>2794</v>
      </c>
      <c r="F154" s="79" t="s">
        <v>2795</v>
      </c>
      <c r="G154" s="78">
        <f>(6.2+1.8+2.2+2.1+4.9+2.2+5.6)*3.6</f>
        <v>90</v>
      </c>
      <c r="H154" s="180"/>
      <c r="I154" s="65"/>
    </row>
    <row r="155" spans="1:9" ht="20.100000000000001" customHeight="1">
      <c r="A155" s="59"/>
      <c r="B155" s="64" t="s">
        <v>2737</v>
      </c>
      <c r="C155" s="65"/>
      <c r="D155" s="63" t="s">
        <v>2365</v>
      </c>
      <c r="E155" s="63" t="s">
        <v>2794</v>
      </c>
      <c r="F155" s="79" t="s">
        <v>2793</v>
      </c>
      <c r="G155" s="78">
        <f>(8.2+2.5+4+4)*3.6</f>
        <v>67.319999999999993</v>
      </c>
      <c r="H155" s="180">
        <f>SUM(G152:G155)</f>
        <v>532.78</v>
      </c>
      <c r="I155" s="65"/>
    </row>
    <row r="156" spans="1:9" ht="20.100000000000001" customHeight="1">
      <c r="A156" s="59"/>
      <c r="B156" s="64"/>
      <c r="C156" s="65"/>
      <c r="D156" s="63"/>
      <c r="E156" s="65"/>
      <c r="F156" s="72"/>
      <c r="G156" s="72"/>
      <c r="H156" s="180"/>
      <c r="I156" s="65"/>
    </row>
    <row r="157" spans="1:9" ht="20.100000000000001" customHeight="1">
      <c r="A157" s="59"/>
      <c r="B157" s="64" t="s">
        <v>2734</v>
      </c>
      <c r="C157" s="65" t="s">
        <v>2732</v>
      </c>
      <c r="D157" s="63" t="s">
        <v>2365</v>
      </c>
      <c r="E157" s="63" t="s">
        <v>2744</v>
      </c>
      <c r="F157" s="70" t="s">
        <v>3430</v>
      </c>
      <c r="G157" s="72">
        <f>((8.9+7+1.6+5.1+1.1+13.2+9.3+9.3+9.3+7.9+1.1+5+1.4+12.6)*4.5)-((2.9*2.5)+((4.5+5+5)*3.3))</f>
        <v>362.5</v>
      </c>
      <c r="H157" s="180"/>
      <c r="I157" s="65"/>
    </row>
    <row r="158" spans="1:9" ht="20.100000000000001" customHeight="1">
      <c r="A158" s="59"/>
      <c r="B158" s="64" t="s">
        <v>2734</v>
      </c>
      <c r="C158" s="65" t="s">
        <v>2732</v>
      </c>
      <c r="D158" s="63" t="s">
        <v>2365</v>
      </c>
      <c r="E158" s="63" t="s">
        <v>2742</v>
      </c>
      <c r="F158" s="72" t="s">
        <v>2796</v>
      </c>
      <c r="G158" s="72">
        <f>0.9*3.6*4</f>
        <v>12.96</v>
      </c>
      <c r="H158" s="180"/>
      <c r="I158" s="65"/>
    </row>
    <row r="159" spans="1:9" ht="20.100000000000001" customHeight="1">
      <c r="A159" s="59"/>
      <c r="B159" s="64" t="s">
        <v>2733</v>
      </c>
      <c r="C159" s="65" t="s">
        <v>2731</v>
      </c>
      <c r="D159" s="63" t="s">
        <v>2365</v>
      </c>
      <c r="E159" s="63" t="s">
        <v>2794</v>
      </c>
      <c r="F159" s="79" t="s">
        <v>2795</v>
      </c>
      <c r="G159" s="78">
        <f>(6.2+1.8+2.2+2.1+4.9+2.2+5.6)*3.6</f>
        <v>90</v>
      </c>
      <c r="H159" s="180"/>
      <c r="I159" s="65"/>
    </row>
    <row r="160" spans="1:9" ht="20.100000000000001" customHeight="1">
      <c r="A160" s="59"/>
      <c r="B160" s="64" t="s">
        <v>2734</v>
      </c>
      <c r="C160" s="65" t="s">
        <v>2732</v>
      </c>
      <c r="D160" s="63" t="s">
        <v>2365</v>
      </c>
      <c r="E160" s="63" t="s">
        <v>2794</v>
      </c>
      <c r="F160" s="79" t="s">
        <v>2793</v>
      </c>
      <c r="G160" s="78">
        <f>(8.2+2.5+4+4)*3.6</f>
        <v>67.319999999999993</v>
      </c>
      <c r="H160" s="180">
        <f>SUM(G157:G160)</f>
        <v>532.78</v>
      </c>
      <c r="I160" s="65"/>
    </row>
    <row r="161" spans="1:9" ht="20.100000000000001" customHeight="1">
      <c r="A161" s="59"/>
      <c r="B161" s="64"/>
      <c r="C161" s="65"/>
      <c r="D161" s="63"/>
      <c r="E161" s="65"/>
      <c r="F161" s="58"/>
      <c r="G161" s="58"/>
      <c r="H161" s="180"/>
      <c r="I161" s="65"/>
    </row>
    <row r="162" spans="1:9" ht="20.100000000000001" customHeight="1">
      <c r="A162" s="59"/>
      <c r="B162" s="64" t="s">
        <v>3719</v>
      </c>
      <c r="C162" s="65" t="s">
        <v>3431</v>
      </c>
      <c r="D162" s="63" t="s">
        <v>2365</v>
      </c>
      <c r="E162" s="65" t="s">
        <v>3429</v>
      </c>
      <c r="F162" s="72" t="s">
        <v>2792</v>
      </c>
      <c r="G162" s="72">
        <f>77*0.09</f>
        <v>6.93</v>
      </c>
      <c r="H162" s="180">
        <f>G162</f>
        <v>6.93</v>
      </c>
      <c r="I162" s="65"/>
    </row>
    <row r="163" spans="1:9" ht="20.100000000000001" customHeight="1">
      <c r="A163" s="59"/>
      <c r="B163" s="64" t="s">
        <v>2791</v>
      </c>
      <c r="C163" s="65" t="s">
        <v>3803</v>
      </c>
      <c r="D163" s="63" t="s">
        <v>2365</v>
      </c>
      <c r="E163" s="65" t="s">
        <v>2790</v>
      </c>
      <c r="F163" s="72" t="s">
        <v>2789</v>
      </c>
      <c r="G163" s="72">
        <f>2.9*2.5*2.7</f>
        <v>19.575000000000003</v>
      </c>
      <c r="H163" s="180">
        <f>G163</f>
        <v>19.575000000000003</v>
      </c>
      <c r="I163" s="65"/>
    </row>
    <row r="164" spans="1:9" ht="20.100000000000001" customHeight="1">
      <c r="A164" s="59"/>
      <c r="B164" s="64"/>
      <c r="C164" s="65"/>
      <c r="D164" s="63"/>
      <c r="E164" s="65"/>
      <c r="F164" s="58"/>
      <c r="G164" s="58"/>
      <c r="H164" s="180"/>
      <c r="I164" s="65"/>
    </row>
    <row r="165" spans="1:9" s="89" customFormat="1" ht="20.100000000000001" customHeight="1">
      <c r="A165" s="61" t="s">
        <v>2788</v>
      </c>
      <c r="B165" s="142" t="s">
        <v>2693</v>
      </c>
      <c r="C165" s="75"/>
      <c r="D165" s="73"/>
      <c r="E165" s="75"/>
      <c r="F165" s="60"/>
      <c r="G165" s="60"/>
      <c r="H165" s="180"/>
      <c r="I165" s="75"/>
    </row>
    <row r="166" spans="1:9" ht="26.25" customHeight="1">
      <c r="A166" s="59"/>
      <c r="B166" s="64" t="s">
        <v>2718</v>
      </c>
      <c r="C166" s="74" t="s">
        <v>2717</v>
      </c>
      <c r="D166" s="63" t="s">
        <v>2365</v>
      </c>
      <c r="E166" s="65" t="s">
        <v>2716</v>
      </c>
      <c r="F166" s="65" t="s">
        <v>2787</v>
      </c>
      <c r="G166" s="58">
        <f>15.1*1.5</f>
        <v>22.65</v>
      </c>
      <c r="H166" s="180">
        <f>G166</f>
        <v>22.65</v>
      </c>
      <c r="I166" s="65"/>
    </row>
    <row r="167" spans="1:9" ht="20.100000000000001" customHeight="1">
      <c r="A167" s="59"/>
      <c r="B167" s="62" t="s">
        <v>2714</v>
      </c>
      <c r="C167" s="65" t="s">
        <v>2713</v>
      </c>
      <c r="D167" s="63" t="s">
        <v>2365</v>
      </c>
      <c r="E167" s="65"/>
      <c r="F167" s="58">
        <v>235.1</v>
      </c>
      <c r="G167" s="58">
        <v>235.1</v>
      </c>
      <c r="H167" s="180">
        <f>G167</f>
        <v>235.1</v>
      </c>
      <c r="I167" s="74" t="s">
        <v>2709</v>
      </c>
    </row>
    <row r="168" spans="1:9" ht="20.100000000000001" customHeight="1">
      <c r="A168" s="59"/>
      <c r="B168" s="64" t="s">
        <v>2712</v>
      </c>
      <c r="C168" s="65" t="s">
        <v>2711</v>
      </c>
      <c r="D168" s="63" t="s">
        <v>2365</v>
      </c>
      <c r="E168" s="65"/>
      <c r="F168" s="58">
        <v>235.1</v>
      </c>
      <c r="G168" s="58">
        <v>235.1</v>
      </c>
      <c r="H168" s="180">
        <f>G168</f>
        <v>235.1</v>
      </c>
      <c r="I168" s="74" t="s">
        <v>2709</v>
      </c>
    </row>
    <row r="169" spans="1:9" ht="20.100000000000001" customHeight="1">
      <c r="A169" s="59"/>
      <c r="B169" s="64" t="s">
        <v>2708</v>
      </c>
      <c r="C169" s="65"/>
      <c r="D169" s="63" t="s">
        <v>2579</v>
      </c>
      <c r="E169" s="65"/>
      <c r="F169" s="58">
        <v>2.9</v>
      </c>
      <c r="G169" s="58">
        <f>F169</f>
        <v>2.9</v>
      </c>
      <c r="H169" s="180">
        <f>G169</f>
        <v>2.9</v>
      </c>
      <c r="I169" s="74"/>
    </row>
    <row r="170" spans="1:9" ht="20.100000000000001" customHeight="1">
      <c r="A170" s="59"/>
      <c r="B170" s="64"/>
      <c r="C170" s="65"/>
      <c r="D170" s="63"/>
      <c r="E170" s="65"/>
      <c r="F170" s="58"/>
      <c r="G170" s="58"/>
      <c r="H170" s="180"/>
      <c r="I170" s="65"/>
    </row>
    <row r="171" spans="1:9" s="89" customFormat="1" ht="20.100000000000001" customHeight="1">
      <c r="A171" s="61" t="s">
        <v>2786</v>
      </c>
      <c r="B171" s="68" t="s">
        <v>2676</v>
      </c>
      <c r="C171" s="75"/>
      <c r="D171" s="73"/>
      <c r="E171" s="75"/>
      <c r="F171" s="60"/>
      <c r="G171" s="60"/>
      <c r="H171" s="180"/>
      <c r="I171" s="75"/>
    </row>
    <row r="172" spans="1:9" s="89" customFormat="1" ht="20.100000000000001" customHeight="1">
      <c r="A172" s="61" t="s">
        <v>2785</v>
      </c>
      <c r="B172" s="77" t="s">
        <v>2770</v>
      </c>
      <c r="C172" s="75"/>
      <c r="D172" s="73"/>
      <c r="E172" s="75"/>
      <c r="F172" s="76"/>
      <c r="G172" s="60"/>
      <c r="H172" s="180"/>
      <c r="I172" s="75"/>
    </row>
    <row r="173" spans="1:9" ht="20.100000000000001" customHeight="1">
      <c r="A173" s="65"/>
      <c r="B173" s="67" t="s">
        <v>170</v>
      </c>
      <c r="C173" s="67" t="s">
        <v>171</v>
      </c>
      <c r="D173" s="63" t="s">
        <v>2365</v>
      </c>
      <c r="E173" s="63" t="s">
        <v>2769</v>
      </c>
      <c r="F173" s="58">
        <v>562</v>
      </c>
      <c r="G173" s="58">
        <v>562</v>
      </c>
      <c r="H173" s="180"/>
      <c r="I173" s="74" t="s">
        <v>2709</v>
      </c>
    </row>
    <row r="174" spans="1:9" ht="20.100000000000001" customHeight="1">
      <c r="A174" s="59"/>
      <c r="B174" s="67" t="s">
        <v>170</v>
      </c>
      <c r="C174" s="67" t="s">
        <v>2768</v>
      </c>
      <c r="D174" s="63" t="s">
        <v>2365</v>
      </c>
      <c r="E174" s="63" t="s">
        <v>2767</v>
      </c>
      <c r="F174" s="58" t="s">
        <v>2784</v>
      </c>
      <c r="G174" s="58">
        <f>562*30%</f>
        <v>168.6</v>
      </c>
      <c r="H174" s="180"/>
      <c r="I174" s="65"/>
    </row>
    <row r="175" spans="1:9" ht="20.100000000000001" customHeight="1">
      <c r="A175" s="59"/>
      <c r="B175" s="67" t="s">
        <v>170</v>
      </c>
      <c r="C175" s="67" t="s">
        <v>2765</v>
      </c>
      <c r="D175" s="63" t="s">
        <v>2365</v>
      </c>
      <c r="E175" s="63" t="s">
        <v>2764</v>
      </c>
      <c r="F175" s="58" t="s">
        <v>2783</v>
      </c>
      <c r="G175" s="58">
        <f>((0.6*10)*20)+((0.4*14*2)*13.2)</f>
        <v>267.84000000000003</v>
      </c>
      <c r="H175" s="180">
        <f>SUM(G173:G175)</f>
        <v>998.44</v>
      </c>
      <c r="I175" s="65"/>
    </row>
    <row r="176" spans="1:9" ht="20.100000000000001" customHeight="1">
      <c r="A176" s="59"/>
      <c r="B176" s="64"/>
      <c r="C176" s="65"/>
      <c r="D176" s="63"/>
      <c r="E176" s="65"/>
      <c r="F176" s="72"/>
      <c r="G176" s="72"/>
      <c r="H176" s="180"/>
      <c r="I176" s="65"/>
    </row>
    <row r="177" spans="1:9" s="89" customFormat="1" ht="20.100000000000001" customHeight="1">
      <c r="A177" s="61" t="s">
        <v>2782</v>
      </c>
      <c r="B177" s="142" t="s">
        <v>2704</v>
      </c>
      <c r="C177" s="142"/>
      <c r="D177" s="73"/>
      <c r="E177" s="73"/>
      <c r="F177" s="76"/>
      <c r="G177" s="76"/>
      <c r="H177" s="180"/>
      <c r="I177" s="75"/>
    </row>
    <row r="178" spans="1:9" ht="25.5" customHeight="1">
      <c r="A178" s="59"/>
      <c r="B178" s="64" t="s">
        <v>2703</v>
      </c>
      <c r="C178" s="65" t="s">
        <v>2702</v>
      </c>
      <c r="D178" s="63" t="s">
        <v>2365</v>
      </c>
      <c r="E178" s="63" t="s">
        <v>2744</v>
      </c>
      <c r="F178" s="70" t="s">
        <v>3432</v>
      </c>
      <c r="G178" s="72">
        <f>(16+0.4+4.2+7.3+15.5+30.7+15.4+4.2+4.2+4.5+4.5+2+(0.7*4*3))*5.8</f>
        <v>680.34</v>
      </c>
      <c r="H178" s="180"/>
      <c r="I178" s="65"/>
    </row>
    <row r="179" spans="1:9" ht="25.5" customHeight="1">
      <c r="A179" s="59"/>
      <c r="B179" s="64" t="s">
        <v>2703</v>
      </c>
      <c r="C179" s="65" t="s">
        <v>2702</v>
      </c>
      <c r="D179" s="63" t="s">
        <v>2365</v>
      </c>
      <c r="E179" s="63" t="s">
        <v>2742</v>
      </c>
      <c r="F179" s="72" t="s">
        <v>2777</v>
      </c>
      <c r="G179" s="72">
        <f>(1.2+1.2+1.2+1.2+0.7+0.9+0.9+0.9+1.5)*3.6</f>
        <v>34.92</v>
      </c>
      <c r="H179" s="180">
        <f>SUM(G178:G179)</f>
        <v>715.26</v>
      </c>
      <c r="I179" s="65"/>
    </row>
    <row r="180" spans="1:9" ht="19.5" customHeight="1">
      <c r="A180" s="59"/>
      <c r="B180" s="64" t="s">
        <v>2803</v>
      </c>
      <c r="C180" s="65" t="s">
        <v>2699</v>
      </c>
      <c r="D180" s="63" t="s">
        <v>2365</v>
      </c>
      <c r="E180" s="63" t="s">
        <v>2742</v>
      </c>
      <c r="F180" s="72" t="s">
        <v>2777</v>
      </c>
      <c r="G180" s="72">
        <f t="shared" ref="G180:G181" si="2">(1.2+1.2+1.2+1.2+0.7+0.9+0.9+0.9+1.5)*3.6</f>
        <v>34.92</v>
      </c>
      <c r="H180" s="180">
        <f>G180</f>
        <v>34.92</v>
      </c>
      <c r="I180" s="65"/>
    </row>
    <row r="181" spans="1:9" ht="20.100000000000001" customHeight="1">
      <c r="A181" s="59"/>
      <c r="B181" s="64" t="s">
        <v>2701</v>
      </c>
      <c r="C181" s="65" t="s">
        <v>2699</v>
      </c>
      <c r="D181" s="63" t="s">
        <v>2365</v>
      </c>
      <c r="E181" s="63" t="s">
        <v>2742</v>
      </c>
      <c r="F181" s="72" t="s">
        <v>2777</v>
      </c>
      <c r="G181" s="72">
        <f t="shared" si="2"/>
        <v>34.92</v>
      </c>
      <c r="H181" s="180">
        <f>G181</f>
        <v>34.92</v>
      </c>
      <c r="I181" s="65"/>
    </row>
    <row r="182" spans="1:9" ht="20.100000000000001" customHeight="1">
      <c r="A182" s="59"/>
      <c r="B182" s="64" t="s">
        <v>2701</v>
      </c>
      <c r="C182" s="65" t="s">
        <v>191</v>
      </c>
      <c r="D182" s="63" t="s">
        <v>2365</v>
      </c>
      <c r="E182" s="65"/>
      <c r="F182" s="72" t="s">
        <v>2781</v>
      </c>
      <c r="G182" s="72">
        <f>30.7*5.8</f>
        <v>178.06</v>
      </c>
      <c r="H182" s="180"/>
      <c r="I182" s="65"/>
    </row>
    <row r="183" spans="1:9" ht="25.5" customHeight="1">
      <c r="A183" s="59"/>
      <c r="B183" s="64" t="s">
        <v>2701</v>
      </c>
      <c r="C183" s="65" t="s">
        <v>191</v>
      </c>
      <c r="D183" s="63" t="s">
        <v>2365</v>
      </c>
      <c r="E183" s="63" t="s">
        <v>2744</v>
      </c>
      <c r="F183" s="70" t="s">
        <v>3433</v>
      </c>
      <c r="G183" s="72">
        <f>(16+0.4+4.2+7.3+15.5+15.4+4.2+4.2+4.5+4.5+2+(0.7*4*3))*5.8</f>
        <v>502.28</v>
      </c>
      <c r="H183" s="180">
        <f>SUM(G182:G183)</f>
        <v>680.33999999999992</v>
      </c>
      <c r="I183" s="65"/>
    </row>
    <row r="184" spans="1:9" ht="25.5" customHeight="1">
      <c r="A184" s="59"/>
      <c r="B184" s="64"/>
      <c r="C184" s="65"/>
      <c r="D184" s="63"/>
      <c r="E184" s="63"/>
      <c r="F184" s="72"/>
      <c r="G184" s="72"/>
      <c r="H184" s="180"/>
      <c r="I184" s="65"/>
    </row>
    <row r="185" spans="1:9" ht="25.5" customHeight="1">
      <c r="A185" s="59"/>
      <c r="B185" s="64" t="s">
        <v>2740</v>
      </c>
      <c r="C185" s="65" t="s">
        <v>2739</v>
      </c>
      <c r="D185" s="63" t="s">
        <v>2646</v>
      </c>
      <c r="E185" s="63"/>
      <c r="F185" s="70" t="s">
        <v>3434</v>
      </c>
      <c r="G185" s="72">
        <f>(16+0.4+4.2+7.3+15.5+30.7+15.4+4.2+4.2+4.5+4.5+2+(0.7*4*3))</f>
        <v>117.30000000000001</v>
      </c>
      <c r="H185" s="180"/>
      <c r="I185" s="65"/>
    </row>
    <row r="186" spans="1:9" ht="20.100000000000001" customHeight="1">
      <c r="A186" s="59"/>
      <c r="B186" s="64" t="s">
        <v>2740</v>
      </c>
      <c r="C186" s="65" t="s">
        <v>2779</v>
      </c>
      <c r="D186" s="63" t="s">
        <v>2646</v>
      </c>
      <c r="E186" s="65"/>
      <c r="F186" s="72" t="s">
        <v>2778</v>
      </c>
      <c r="G186" s="72">
        <f>(1.2+1.2+1.2+1.2+0.7+0.9+0.9+0.9+1.5)</f>
        <v>9.7000000000000011</v>
      </c>
      <c r="H186" s="180">
        <f>SUM(G185:G186)</f>
        <v>127.00000000000001</v>
      </c>
      <c r="I186" s="65"/>
    </row>
    <row r="187" spans="1:9" ht="20.100000000000001" customHeight="1">
      <c r="A187" s="59"/>
      <c r="B187" s="64"/>
      <c r="C187" s="65"/>
      <c r="D187" s="63"/>
      <c r="E187" s="65"/>
      <c r="F187" s="72"/>
      <c r="G187" s="72"/>
      <c r="H187" s="180"/>
      <c r="I187" s="65"/>
    </row>
    <row r="188" spans="1:9" ht="27.75" customHeight="1">
      <c r="A188" s="59"/>
      <c r="B188" s="64" t="s">
        <v>2737</v>
      </c>
      <c r="C188" s="65"/>
      <c r="D188" s="63" t="s">
        <v>2365</v>
      </c>
      <c r="E188" s="63" t="s">
        <v>2744</v>
      </c>
      <c r="F188" s="70" t="s">
        <v>3432</v>
      </c>
      <c r="G188" s="72">
        <f>(16+0.4+4.2+7.3+15.5+30.7+15.4+4.2+4.2+4.5+4.5+2+(0.7*4*3))*5.8</f>
        <v>680.34</v>
      </c>
      <c r="H188" s="180"/>
      <c r="I188" s="65"/>
    </row>
    <row r="189" spans="1:9" ht="25.5" customHeight="1">
      <c r="A189" s="59"/>
      <c r="B189" s="64" t="s">
        <v>2737</v>
      </c>
      <c r="C189" s="65"/>
      <c r="D189" s="63" t="s">
        <v>2365</v>
      </c>
      <c r="E189" s="63" t="s">
        <v>2742</v>
      </c>
      <c r="F189" s="72" t="s">
        <v>2777</v>
      </c>
      <c r="G189" s="72">
        <f>(1.2+1.2+1.2+1.2+0.7+0.9+0.9+0.9+1.5)*3.6</f>
        <v>34.92</v>
      </c>
      <c r="H189" s="180">
        <f>SUM(G188:G189)</f>
        <v>715.26</v>
      </c>
      <c r="I189" s="65"/>
    </row>
    <row r="190" spans="1:9" ht="20.100000000000001" customHeight="1">
      <c r="A190" s="59"/>
      <c r="B190" s="64"/>
      <c r="C190" s="65"/>
      <c r="D190" s="63"/>
      <c r="E190" s="65"/>
      <c r="F190" s="58"/>
      <c r="G190" s="58"/>
      <c r="H190" s="180"/>
      <c r="I190" s="65"/>
    </row>
    <row r="191" spans="1:9" ht="35.25" customHeight="1">
      <c r="A191" s="59"/>
      <c r="B191" s="64" t="s">
        <v>2734</v>
      </c>
      <c r="C191" s="65" t="s">
        <v>2732</v>
      </c>
      <c r="D191" s="63" t="s">
        <v>2365</v>
      </c>
      <c r="E191" s="63" t="s">
        <v>2744</v>
      </c>
      <c r="F191" s="70" t="s">
        <v>3432</v>
      </c>
      <c r="G191" s="72">
        <f>(16+0.4+4.2+7.3+15.5+30.7+15.4+4.2+4.2+4.5+4.5+2+(0.7*4*3))*5.8</f>
        <v>680.34</v>
      </c>
      <c r="H191" s="180"/>
      <c r="I191" s="65"/>
    </row>
    <row r="192" spans="1:9" ht="20.100000000000001" customHeight="1">
      <c r="A192" s="59"/>
      <c r="B192" s="64" t="s">
        <v>2734</v>
      </c>
      <c r="C192" s="65" t="s">
        <v>2732</v>
      </c>
      <c r="D192" s="63" t="s">
        <v>2365</v>
      </c>
      <c r="E192" s="63" t="s">
        <v>2742</v>
      </c>
      <c r="F192" s="72" t="s">
        <v>2777</v>
      </c>
      <c r="G192" s="72">
        <f>(1.2+1.2+1.2+1.2+0.7+0.9+0.9+0.9+1.5)*3.6</f>
        <v>34.92</v>
      </c>
      <c r="H192" s="180">
        <f>SUM(G191:G192)</f>
        <v>715.26</v>
      </c>
      <c r="I192" s="65"/>
    </row>
    <row r="193" spans="1:9" ht="20.100000000000001" customHeight="1">
      <c r="A193" s="59"/>
      <c r="B193" s="64" t="s">
        <v>2791</v>
      </c>
      <c r="C193" s="65" t="s">
        <v>3803</v>
      </c>
      <c r="D193" s="63" t="s">
        <v>2365</v>
      </c>
      <c r="E193" s="65" t="s">
        <v>2790</v>
      </c>
      <c r="F193" s="72" t="s">
        <v>2789</v>
      </c>
      <c r="G193" s="72">
        <f>2.9*2.5*2.7</f>
        <v>19.575000000000003</v>
      </c>
      <c r="H193" s="180">
        <f>G193</f>
        <v>19.575000000000003</v>
      </c>
      <c r="I193" s="65"/>
    </row>
    <row r="194" spans="1:9" ht="20.100000000000001" customHeight="1">
      <c r="A194" s="59"/>
      <c r="B194" s="64"/>
      <c r="C194" s="65"/>
      <c r="D194" s="63"/>
      <c r="E194" s="65"/>
      <c r="F194" s="58"/>
      <c r="G194" s="58"/>
      <c r="H194" s="180"/>
      <c r="I194" s="65"/>
    </row>
    <row r="195" spans="1:9" s="89" customFormat="1" ht="20.100000000000001" customHeight="1">
      <c r="A195" s="61" t="s">
        <v>2776</v>
      </c>
      <c r="B195" s="142" t="s">
        <v>2693</v>
      </c>
      <c r="C195" s="75"/>
      <c r="D195" s="73"/>
      <c r="E195" s="75"/>
      <c r="F195" s="60"/>
      <c r="G195" s="60"/>
      <c r="H195" s="180"/>
      <c r="I195" s="75"/>
    </row>
    <row r="196" spans="1:9" ht="26.25" customHeight="1">
      <c r="A196" s="59"/>
      <c r="B196" s="64" t="s">
        <v>2718</v>
      </c>
      <c r="C196" s="74" t="s">
        <v>2717</v>
      </c>
      <c r="D196" s="63" t="s">
        <v>2365</v>
      </c>
      <c r="E196" s="65" t="s">
        <v>2716</v>
      </c>
      <c r="F196" s="58" t="s">
        <v>2775</v>
      </c>
      <c r="G196" s="58">
        <f>4.3*2</f>
        <v>8.6</v>
      </c>
      <c r="H196" s="183"/>
      <c r="I196" s="65"/>
    </row>
    <row r="197" spans="1:9" ht="26.25" customHeight="1">
      <c r="A197" s="59"/>
      <c r="B197" s="64" t="s">
        <v>2718</v>
      </c>
      <c r="C197" s="74" t="s">
        <v>2717</v>
      </c>
      <c r="D197" s="63" t="s">
        <v>2365</v>
      </c>
      <c r="E197" s="65" t="s">
        <v>2716</v>
      </c>
      <c r="F197" s="58" t="s">
        <v>3435</v>
      </c>
      <c r="G197" s="58">
        <f>(3.6+3.6+4+14.6)*2</f>
        <v>51.599999999999994</v>
      </c>
      <c r="H197" s="180">
        <f>SUM(G196:G197)</f>
        <v>60.199999999999996</v>
      </c>
      <c r="I197" s="65"/>
    </row>
    <row r="198" spans="1:9" ht="20.100000000000001" customHeight="1">
      <c r="A198" s="59"/>
      <c r="B198" s="62" t="s">
        <v>2714</v>
      </c>
      <c r="C198" s="65" t="s">
        <v>2713</v>
      </c>
      <c r="D198" s="63" t="s">
        <v>2365</v>
      </c>
      <c r="E198" s="65"/>
      <c r="F198" s="58">
        <v>562</v>
      </c>
      <c r="G198" s="58">
        <v>562</v>
      </c>
      <c r="H198" s="180">
        <f>G198</f>
        <v>562</v>
      </c>
      <c r="I198" s="74" t="s">
        <v>2709</v>
      </c>
    </row>
    <row r="199" spans="1:9" ht="20.100000000000001" customHeight="1">
      <c r="A199" s="59"/>
      <c r="B199" s="64" t="s">
        <v>2712</v>
      </c>
      <c r="C199" s="65" t="s">
        <v>2711</v>
      </c>
      <c r="D199" s="63" t="s">
        <v>2365</v>
      </c>
      <c r="E199" s="65"/>
      <c r="F199" s="58">
        <v>562</v>
      </c>
      <c r="G199" s="58">
        <v>562</v>
      </c>
      <c r="H199" s="180">
        <f>G199</f>
        <v>562</v>
      </c>
      <c r="I199" s="74" t="s">
        <v>2709</v>
      </c>
    </row>
    <row r="200" spans="1:9" ht="20.100000000000001" customHeight="1">
      <c r="A200" s="59"/>
      <c r="B200" s="64" t="s">
        <v>2708</v>
      </c>
      <c r="C200" s="65"/>
      <c r="D200" s="63" t="s">
        <v>2579</v>
      </c>
      <c r="E200" s="65"/>
      <c r="F200" s="58">
        <v>3.2</v>
      </c>
      <c r="G200" s="58">
        <f>F200</f>
        <v>3.2</v>
      </c>
      <c r="H200" s="180">
        <f>G200</f>
        <v>3.2</v>
      </c>
      <c r="I200" s="74"/>
    </row>
    <row r="201" spans="1:9" ht="20.100000000000001" customHeight="1">
      <c r="A201" s="59"/>
      <c r="B201" s="64"/>
      <c r="C201" s="65"/>
      <c r="D201" s="63"/>
      <c r="E201" s="65"/>
      <c r="F201" s="58"/>
      <c r="G201" s="58"/>
      <c r="H201" s="180"/>
      <c r="I201" s="65"/>
    </row>
    <row r="202" spans="1:9" s="89" customFormat="1" ht="20.100000000000001" customHeight="1">
      <c r="A202" s="61" t="s">
        <v>2773</v>
      </c>
      <c r="B202" s="68" t="s">
        <v>2772</v>
      </c>
      <c r="C202" s="75"/>
      <c r="D202" s="73"/>
      <c r="E202" s="75"/>
      <c r="F202" s="60"/>
      <c r="G202" s="60"/>
      <c r="H202" s="180"/>
      <c r="I202" s="75"/>
    </row>
    <row r="203" spans="1:9" s="89" customFormat="1" ht="20.100000000000001" customHeight="1">
      <c r="A203" s="61" t="s">
        <v>2771</v>
      </c>
      <c r="B203" s="77" t="s">
        <v>2770</v>
      </c>
      <c r="C203" s="75"/>
      <c r="D203" s="73"/>
      <c r="E203" s="75"/>
      <c r="F203" s="76"/>
      <c r="G203" s="60"/>
      <c r="H203" s="180"/>
      <c r="I203" s="75"/>
    </row>
    <row r="204" spans="1:9" ht="20.100000000000001" customHeight="1">
      <c r="A204" s="65"/>
      <c r="B204" s="67" t="s">
        <v>170</v>
      </c>
      <c r="C204" s="67" t="s">
        <v>171</v>
      </c>
      <c r="D204" s="63" t="s">
        <v>2365</v>
      </c>
      <c r="E204" s="63" t="s">
        <v>2769</v>
      </c>
      <c r="F204" s="58" t="s">
        <v>2710</v>
      </c>
      <c r="G204" s="58">
        <f>(1128.2+37.7+21.7+22.2)-562</f>
        <v>647.80000000000018</v>
      </c>
      <c r="H204" s="180"/>
      <c r="I204" s="74" t="s">
        <v>2709</v>
      </c>
    </row>
    <row r="205" spans="1:9" ht="20.100000000000001" customHeight="1">
      <c r="A205" s="59"/>
      <c r="B205" s="67" t="s">
        <v>170</v>
      </c>
      <c r="C205" s="67" t="s">
        <v>2768</v>
      </c>
      <c r="D205" s="63" t="s">
        <v>2365</v>
      </c>
      <c r="E205" s="63" t="s">
        <v>2767</v>
      </c>
      <c r="F205" s="58" t="s">
        <v>2766</v>
      </c>
      <c r="G205" s="58">
        <f>647.8*30%</f>
        <v>194.33999999999997</v>
      </c>
      <c r="H205" s="180"/>
      <c r="I205" s="65"/>
    </row>
    <row r="206" spans="1:9" ht="20.100000000000001" customHeight="1">
      <c r="A206" s="59"/>
      <c r="B206" s="67" t="s">
        <v>170</v>
      </c>
      <c r="C206" s="67" t="s">
        <v>2765</v>
      </c>
      <c r="D206" s="63" t="s">
        <v>2365</v>
      </c>
      <c r="E206" s="63" t="s">
        <v>2764</v>
      </c>
      <c r="F206" s="58" t="s">
        <v>2763</v>
      </c>
      <c r="G206" s="58">
        <f>((0.6*10)*25)+((0.4*14)*20)</f>
        <v>262</v>
      </c>
      <c r="H206" s="180">
        <f>SUM(G204:G206)</f>
        <v>1104.1400000000001</v>
      </c>
      <c r="I206" s="65"/>
    </row>
    <row r="207" spans="1:9" ht="20.100000000000001" customHeight="1">
      <c r="A207" s="59"/>
      <c r="B207" s="141" t="s">
        <v>629</v>
      </c>
      <c r="C207" s="141" t="s">
        <v>630</v>
      </c>
      <c r="D207" s="63" t="s">
        <v>2365</v>
      </c>
      <c r="E207" s="65" t="s">
        <v>3441</v>
      </c>
      <c r="F207" s="143">
        <v>504</v>
      </c>
      <c r="G207" s="58">
        <f t="shared" ref="G207:H207" si="3">F207</f>
        <v>504</v>
      </c>
      <c r="H207" s="180">
        <f t="shared" si="3"/>
        <v>504</v>
      </c>
      <c r="I207" s="144" t="s">
        <v>3443</v>
      </c>
    </row>
    <row r="208" spans="1:9" ht="20.100000000000001" customHeight="1">
      <c r="A208" s="59"/>
      <c r="B208" s="141" t="s">
        <v>3413</v>
      </c>
      <c r="C208" s="141" t="s">
        <v>3414</v>
      </c>
      <c r="D208" s="63" t="s">
        <v>2365</v>
      </c>
      <c r="E208" s="65" t="s">
        <v>3441</v>
      </c>
      <c r="F208" s="143">
        <v>504</v>
      </c>
      <c r="G208" s="58">
        <f t="shared" ref="G208:H208" si="4">F208</f>
        <v>504</v>
      </c>
      <c r="H208" s="180">
        <f t="shared" si="4"/>
        <v>504</v>
      </c>
      <c r="I208" s="144" t="s">
        <v>3443</v>
      </c>
    </row>
    <row r="209" spans="1:9" ht="20.100000000000001" customHeight="1">
      <c r="A209" s="59"/>
      <c r="B209" s="141" t="s">
        <v>3415</v>
      </c>
      <c r="C209" s="141" t="s">
        <v>98</v>
      </c>
      <c r="D209" s="63" t="s">
        <v>2365</v>
      </c>
      <c r="E209" s="65" t="s">
        <v>3442</v>
      </c>
      <c r="F209" s="143">
        <v>152</v>
      </c>
      <c r="G209" s="58">
        <f t="shared" ref="G209:H209" si="5">F209</f>
        <v>152</v>
      </c>
      <c r="H209" s="180">
        <f t="shared" si="5"/>
        <v>152</v>
      </c>
      <c r="I209" s="144" t="s">
        <v>3443</v>
      </c>
    </row>
    <row r="210" spans="1:9" ht="20.100000000000001" customHeight="1">
      <c r="A210" s="59"/>
      <c r="B210" s="64"/>
      <c r="C210" s="65"/>
      <c r="D210" s="63"/>
      <c r="E210" s="65"/>
      <c r="F210" s="72"/>
      <c r="G210" s="72"/>
      <c r="H210" s="180"/>
      <c r="I210" s="65"/>
    </row>
    <row r="211" spans="1:9" s="89" customFormat="1" ht="20.100000000000001" customHeight="1">
      <c r="A211" s="61" t="s">
        <v>2762</v>
      </c>
      <c r="B211" s="142" t="s">
        <v>2704</v>
      </c>
      <c r="C211" s="142"/>
      <c r="D211" s="73"/>
      <c r="E211" s="73"/>
      <c r="F211" s="76"/>
      <c r="G211" s="76"/>
      <c r="H211" s="180"/>
      <c r="I211" s="75"/>
    </row>
    <row r="212" spans="1:9" ht="25.5" customHeight="1">
      <c r="A212" s="59"/>
      <c r="B212" s="64" t="s">
        <v>2703</v>
      </c>
      <c r="C212" s="65" t="s">
        <v>2702</v>
      </c>
      <c r="D212" s="63" t="s">
        <v>2365</v>
      </c>
      <c r="E212" s="63" t="s">
        <v>2744</v>
      </c>
      <c r="F212" s="72" t="s">
        <v>2761</v>
      </c>
      <c r="G212" s="72">
        <f>((1.4*2.5)+((4.1+24+(0.6*8)+7.1+7.6+5.2)*5.8)-((4.4*3.6)+(4.9*2.9*2)+(0.9*2.1*2)))</f>
        <v>261.7</v>
      </c>
      <c r="H212" s="180"/>
      <c r="I212" s="65"/>
    </row>
    <row r="213" spans="1:9" ht="25.5" customHeight="1">
      <c r="A213" s="59"/>
      <c r="B213" s="64" t="s">
        <v>2703</v>
      </c>
      <c r="C213" s="65" t="s">
        <v>2702</v>
      </c>
      <c r="D213" s="63" t="s">
        <v>2365</v>
      </c>
      <c r="E213" s="63" t="s">
        <v>2744</v>
      </c>
      <c r="F213" s="72" t="s">
        <v>2760</v>
      </c>
      <c r="G213" s="72">
        <f>23*7.5</f>
        <v>172.5</v>
      </c>
      <c r="H213" s="184"/>
      <c r="I213" s="65"/>
    </row>
    <row r="214" spans="1:9" ht="25.5" customHeight="1">
      <c r="A214" s="59"/>
      <c r="B214" s="64" t="s">
        <v>2703</v>
      </c>
      <c r="C214" s="65" t="s">
        <v>2702</v>
      </c>
      <c r="D214" s="63" t="s">
        <v>2365</v>
      </c>
      <c r="E214" s="63" t="s">
        <v>2759</v>
      </c>
      <c r="F214" s="72" t="s">
        <v>3438</v>
      </c>
      <c r="G214" s="72">
        <f>9.6*2.2</f>
        <v>21.12</v>
      </c>
      <c r="H214" s="180">
        <f>SUM(G212:G214)</f>
        <v>455.32</v>
      </c>
      <c r="I214" s="65"/>
    </row>
    <row r="215" spans="1:9" ht="25.5" customHeight="1">
      <c r="A215" s="59"/>
      <c r="B215" s="64"/>
      <c r="C215" s="65"/>
      <c r="D215" s="63"/>
      <c r="E215" s="63"/>
      <c r="F215" s="72"/>
      <c r="G215" s="72"/>
      <c r="H215" s="180"/>
      <c r="I215" s="65"/>
    </row>
    <row r="216" spans="1:9" ht="33.75" customHeight="1">
      <c r="A216" s="59"/>
      <c r="B216" s="64" t="s">
        <v>2756</v>
      </c>
      <c r="C216" s="65" t="s">
        <v>2755</v>
      </c>
      <c r="D216" s="63" t="s">
        <v>2365</v>
      </c>
      <c r="E216" s="63" t="s">
        <v>2726</v>
      </c>
      <c r="F216" s="72" t="s">
        <v>2758</v>
      </c>
      <c r="G216" s="70">
        <f>(15.5*3.6)+(5*0.8*2)+(0.9*0.8*2)+(2.9*0.8*2)+(0.9*0.8*2)+(1.7*0.8*8)+(2.2*0.5*2)+(0.7*0.5*2)</f>
        <v>85.100000000000009</v>
      </c>
      <c r="H216" s="180"/>
      <c r="I216" s="65"/>
    </row>
    <row r="217" spans="1:9" ht="25.5" customHeight="1">
      <c r="A217" s="59"/>
      <c r="B217" s="64" t="s">
        <v>2756</v>
      </c>
      <c r="C217" s="65" t="s">
        <v>2755</v>
      </c>
      <c r="D217" s="63" t="s">
        <v>2365</v>
      </c>
      <c r="E217" s="63" t="s">
        <v>2636</v>
      </c>
      <c r="F217" s="70" t="s">
        <v>2757</v>
      </c>
      <c r="G217" s="70">
        <f>(23*7.5)+(2.2*0.7*4)+(2.2*1*4)+(2.2*0.5*2)+(2*0.5*4)</f>
        <v>193.66</v>
      </c>
      <c r="H217" s="180"/>
      <c r="I217" s="65"/>
    </row>
    <row r="218" spans="1:9" ht="25.5" customHeight="1">
      <c r="A218" s="59"/>
      <c r="B218" s="64" t="s">
        <v>2756</v>
      </c>
      <c r="C218" s="65" t="s">
        <v>2755</v>
      </c>
      <c r="D218" s="63" t="s">
        <v>2365</v>
      </c>
      <c r="E218" s="63" t="s">
        <v>3436</v>
      </c>
      <c r="F218" s="72" t="s">
        <v>3437</v>
      </c>
      <c r="G218" s="72">
        <f>(11*1.4)+((1.4+11+1.4)*0.8)+((0.9*0.5*4*2))</f>
        <v>30.04</v>
      </c>
      <c r="H218" s="180"/>
      <c r="I218" s="65"/>
    </row>
    <row r="219" spans="1:9" ht="25.5" customHeight="1">
      <c r="A219" s="59"/>
      <c r="B219" s="64" t="s">
        <v>2756</v>
      </c>
      <c r="C219" s="65" t="s">
        <v>2755</v>
      </c>
      <c r="D219" s="63" t="s">
        <v>2365</v>
      </c>
      <c r="E219" s="63" t="s">
        <v>2722</v>
      </c>
      <c r="F219" s="72" t="s">
        <v>2721</v>
      </c>
      <c r="G219" s="72">
        <f>(3.3*3.7)+(3.3*1.9)+((0.9+3.3+1.9)*0.9)+(1.8*0.4)</f>
        <v>24.689999999999998</v>
      </c>
      <c r="H219" s="180">
        <f>SUM(G216:G219)</f>
        <v>333.49</v>
      </c>
      <c r="I219" s="65"/>
    </row>
    <row r="220" spans="1:9" ht="20.100000000000001" customHeight="1">
      <c r="A220" s="59"/>
      <c r="B220" s="64"/>
      <c r="C220" s="65"/>
      <c r="D220" s="63"/>
      <c r="E220" s="63"/>
      <c r="F220" s="72"/>
      <c r="G220" s="72"/>
      <c r="H220" s="180"/>
      <c r="I220" s="65"/>
    </row>
    <row r="221" spans="1:9" ht="20.100000000000001" customHeight="1">
      <c r="A221" s="59"/>
      <c r="B221" s="64" t="s">
        <v>2754</v>
      </c>
      <c r="C221" s="65" t="s">
        <v>2753</v>
      </c>
      <c r="D221" s="63" t="s">
        <v>2365</v>
      </c>
      <c r="E221" s="63" t="s">
        <v>2726</v>
      </c>
      <c r="F221" s="72" t="s">
        <v>2728</v>
      </c>
      <c r="G221" s="72">
        <f>(2.2*0.5*2)+(0.7*0.5*2)</f>
        <v>2.9000000000000004</v>
      </c>
      <c r="H221" s="180"/>
      <c r="I221" s="65"/>
    </row>
    <row r="222" spans="1:9" ht="25.5" customHeight="1">
      <c r="A222" s="59"/>
      <c r="B222" s="64" t="s">
        <v>2754</v>
      </c>
      <c r="C222" s="65" t="s">
        <v>2753</v>
      </c>
      <c r="D222" s="63" t="s">
        <v>2365</v>
      </c>
      <c r="E222" s="63" t="s">
        <v>2636</v>
      </c>
      <c r="F222" s="70" t="s">
        <v>2727</v>
      </c>
      <c r="G222" s="70">
        <f>(23*3)+(2.2*0.7*4)+(2.2*1*4)+(2.2*0.5*2)+(2*0.5*4)</f>
        <v>90.16</v>
      </c>
      <c r="H222" s="180">
        <f>SUM(G221:G222)</f>
        <v>93.06</v>
      </c>
      <c r="I222" s="65"/>
    </row>
    <row r="223" spans="1:9" ht="20.100000000000001" customHeight="1">
      <c r="A223" s="59"/>
      <c r="B223" s="64"/>
      <c r="C223" s="65"/>
      <c r="D223" s="63"/>
      <c r="E223" s="63"/>
      <c r="F223" s="72"/>
      <c r="G223" s="72"/>
      <c r="H223" s="180"/>
      <c r="I223" s="65"/>
    </row>
    <row r="224" spans="1:9" ht="20.100000000000001" customHeight="1">
      <c r="A224" s="59"/>
      <c r="B224" s="64" t="s">
        <v>2689</v>
      </c>
      <c r="C224" s="65" t="s">
        <v>2780</v>
      </c>
      <c r="D224" s="63" t="s">
        <v>2365</v>
      </c>
      <c r="E224" s="63" t="s">
        <v>2726</v>
      </c>
      <c r="F224" s="70" t="s">
        <v>2725</v>
      </c>
      <c r="G224" s="70">
        <f>(15.5*3.6)+(5*0.8*2)+(0.9*0.8*2)+(2.9*0.8*2)+(0.9*0.8*2)+(1.7*0.8*8)</f>
        <v>82.2</v>
      </c>
      <c r="H224" s="180"/>
      <c r="I224" s="65"/>
    </row>
    <row r="225" spans="1:9" ht="20.100000000000001" customHeight="1">
      <c r="A225" s="59"/>
      <c r="B225" s="64" t="s">
        <v>2689</v>
      </c>
      <c r="C225" s="65" t="s">
        <v>2780</v>
      </c>
      <c r="D225" s="63" t="s">
        <v>2365</v>
      </c>
      <c r="E225" s="63" t="s">
        <v>2724</v>
      </c>
      <c r="F225" s="72" t="s">
        <v>2723</v>
      </c>
      <c r="G225" s="72">
        <f>(16.3*1.2)+((1.2+11.1)*0.7)+(1.2*3.6)+(2.4*1.2*4)</f>
        <v>44.009999999999991</v>
      </c>
      <c r="H225" s="180"/>
      <c r="I225" s="65"/>
    </row>
    <row r="226" spans="1:9" ht="20.100000000000001" customHeight="1">
      <c r="A226" s="59"/>
      <c r="B226" s="64" t="s">
        <v>2689</v>
      </c>
      <c r="C226" s="65" t="s">
        <v>2780</v>
      </c>
      <c r="D226" s="63" t="s">
        <v>2365</v>
      </c>
      <c r="E226" s="63" t="s">
        <v>3436</v>
      </c>
      <c r="F226" s="72" t="s">
        <v>3437</v>
      </c>
      <c r="G226" s="72">
        <f>(11*1.4)+((1.4+11+1.4)*0.8)+((0.9*0.5*4*2))</f>
        <v>30.04</v>
      </c>
      <c r="H226" s="180"/>
      <c r="I226" s="65"/>
    </row>
    <row r="227" spans="1:9" ht="20.100000000000001" customHeight="1">
      <c r="A227" s="59"/>
      <c r="B227" s="64" t="s">
        <v>2689</v>
      </c>
      <c r="C227" s="65" t="s">
        <v>2780</v>
      </c>
      <c r="D227" s="63" t="s">
        <v>2365</v>
      </c>
      <c r="E227" s="63" t="s">
        <v>2722</v>
      </c>
      <c r="F227" s="72" t="s">
        <v>2721</v>
      </c>
      <c r="G227" s="72">
        <f>(3.3*3.7)+(3.3*1.9)+((0.9+3.3+1.9)*0.9)+(1.8*0.4)</f>
        <v>24.689999999999998</v>
      </c>
      <c r="H227" s="180">
        <f>SUM(G224:G227)</f>
        <v>180.94</v>
      </c>
      <c r="I227" s="65"/>
    </row>
    <row r="228" spans="1:9" ht="20.100000000000001" customHeight="1">
      <c r="A228" s="59"/>
      <c r="B228" s="64"/>
      <c r="C228" s="65"/>
      <c r="D228" s="63"/>
      <c r="E228" s="63"/>
      <c r="F228" s="72"/>
      <c r="G228" s="72"/>
      <c r="H228" s="180"/>
      <c r="I228" s="65"/>
    </row>
    <row r="229" spans="1:9" ht="20.100000000000001" customHeight="1">
      <c r="A229" s="59"/>
      <c r="B229" s="64" t="s">
        <v>2689</v>
      </c>
      <c r="C229" s="65" t="s">
        <v>2752</v>
      </c>
      <c r="D229" s="63" t="s">
        <v>2365</v>
      </c>
      <c r="E229" s="63" t="s">
        <v>2636</v>
      </c>
      <c r="F229" s="72" t="s">
        <v>2751</v>
      </c>
      <c r="G229" s="72">
        <f>23*4.5</f>
        <v>103.5</v>
      </c>
      <c r="H229" s="180">
        <f>G229</f>
        <v>103.5</v>
      </c>
      <c r="I229" s="65"/>
    </row>
    <row r="230" spans="1:9" ht="20.100000000000001" customHeight="1">
      <c r="A230" s="59"/>
      <c r="B230" s="64" t="s">
        <v>2748</v>
      </c>
      <c r="C230" s="65" t="s">
        <v>2747</v>
      </c>
      <c r="D230" s="63" t="s">
        <v>2365</v>
      </c>
      <c r="E230" s="65" t="s">
        <v>2746</v>
      </c>
      <c r="F230" s="72" t="s">
        <v>2745</v>
      </c>
      <c r="G230" s="72">
        <f>((7.1+5.2+5.2)*5.8*2)+(1.4*2.5*2)-(0.9*2.1*4)</f>
        <v>202.44</v>
      </c>
      <c r="H230" s="180">
        <f>G230</f>
        <v>202.44</v>
      </c>
      <c r="I230" s="65"/>
    </row>
    <row r="231" spans="1:9" ht="20.100000000000001" customHeight="1">
      <c r="A231" s="59"/>
      <c r="B231" s="64"/>
      <c r="C231" s="65"/>
      <c r="D231" s="63"/>
      <c r="E231" s="63"/>
      <c r="F231" s="72"/>
      <c r="G231" s="72"/>
      <c r="H231" s="180"/>
      <c r="I231" s="65"/>
    </row>
    <row r="232" spans="1:9" ht="20.100000000000001" customHeight="1">
      <c r="A232" s="59"/>
      <c r="B232" s="64" t="s">
        <v>2701</v>
      </c>
      <c r="C232" s="65" t="s">
        <v>191</v>
      </c>
      <c r="D232" s="63" t="s">
        <v>2365</v>
      </c>
      <c r="E232" s="65"/>
      <c r="F232" s="72" t="s">
        <v>2749</v>
      </c>
      <c r="G232" s="72">
        <f>(23*7.5)+(7.6*5.8)</f>
        <v>216.57999999999998</v>
      </c>
      <c r="H232" s="180"/>
      <c r="I232" s="65"/>
    </row>
    <row r="233" spans="1:9" ht="25.5" customHeight="1">
      <c r="A233" s="59"/>
      <c r="B233" s="64" t="s">
        <v>2701</v>
      </c>
      <c r="C233" s="65" t="s">
        <v>191</v>
      </c>
      <c r="D233" s="63" t="s">
        <v>2365</v>
      </c>
      <c r="E233" s="63" t="s">
        <v>2744</v>
      </c>
      <c r="F233" s="72" t="s">
        <v>2743</v>
      </c>
      <c r="G233" s="72">
        <f>((4.1+19+(0.6*8))*5.8*2)-((4.4*3.6)+(4.9*2.9*2))</f>
        <v>279.38000000000005</v>
      </c>
      <c r="H233" s="180"/>
      <c r="I233" s="65"/>
    </row>
    <row r="234" spans="1:9" ht="25.5" customHeight="1">
      <c r="A234" s="59"/>
      <c r="B234" s="64" t="s">
        <v>2701</v>
      </c>
      <c r="C234" s="65" t="s">
        <v>191</v>
      </c>
      <c r="D234" s="63" t="s">
        <v>2365</v>
      </c>
      <c r="E234" s="63" t="s">
        <v>2744</v>
      </c>
      <c r="F234" s="72" t="s">
        <v>2741</v>
      </c>
      <c r="G234" s="72">
        <f>(15.5*5.8)</f>
        <v>89.899999999999991</v>
      </c>
      <c r="H234" s="180">
        <f>SUM(G232:G234)</f>
        <v>585.86</v>
      </c>
      <c r="I234" s="65"/>
    </row>
    <row r="235" spans="1:9" ht="25.5" customHeight="1">
      <c r="A235" s="59"/>
      <c r="B235" s="64" t="s">
        <v>2740</v>
      </c>
      <c r="C235" s="65" t="s">
        <v>2739</v>
      </c>
      <c r="D235" s="63" t="s">
        <v>2646</v>
      </c>
      <c r="E235" s="63"/>
      <c r="F235" s="72" t="s">
        <v>2738</v>
      </c>
      <c r="G235" s="72">
        <f>((4.1+19+(0.6*8)+7.1)*2)+15.5</f>
        <v>85.5</v>
      </c>
      <c r="H235" s="180">
        <f>SUM(G235:G235)</f>
        <v>85.5</v>
      </c>
      <c r="I235" s="65"/>
    </row>
    <row r="236" spans="1:9" ht="27.75" customHeight="1">
      <c r="A236" s="59"/>
      <c r="B236" s="64" t="s">
        <v>2737</v>
      </c>
      <c r="C236" s="65"/>
      <c r="D236" s="63" t="s">
        <v>2365</v>
      </c>
      <c r="E236" s="63" t="s">
        <v>2736</v>
      </c>
      <c r="F236" s="70" t="s">
        <v>2735</v>
      </c>
      <c r="G236" s="70">
        <f>(7.6+7.1+(5.2*4)+(7.1+16+5.2+16)*5.8)+(9.6*2.2*2)-((0.9*2.1*4)+(4.4*3.6)+(4.9*2.9*2))</f>
        <v>282.86</v>
      </c>
      <c r="H236" s="180"/>
      <c r="I236" s="65"/>
    </row>
    <row r="237" spans="1:9" ht="25.5" customHeight="1">
      <c r="A237" s="59"/>
      <c r="B237" s="64" t="s">
        <v>2737</v>
      </c>
      <c r="C237" s="65"/>
      <c r="D237" s="63" t="s">
        <v>2365</v>
      </c>
      <c r="E237" s="63" t="s">
        <v>2730</v>
      </c>
      <c r="F237" s="72" t="s">
        <v>2729</v>
      </c>
      <c r="G237" s="72">
        <f>((43.3+6)*5.8)+(20.8*2.5)+(0.6*7*2.5)</f>
        <v>348.44</v>
      </c>
      <c r="H237" s="180"/>
      <c r="I237" s="65"/>
    </row>
    <row r="238" spans="1:9" ht="20.100000000000001" customHeight="1">
      <c r="A238" s="59"/>
      <c r="B238" s="64" t="s">
        <v>2737</v>
      </c>
      <c r="C238" s="65"/>
      <c r="D238" s="63" t="s">
        <v>2365</v>
      </c>
      <c r="E238" s="63" t="s">
        <v>2726</v>
      </c>
      <c r="F238" s="72" t="s">
        <v>2758</v>
      </c>
      <c r="G238" s="70">
        <f>(15.5*3.6)+(5*0.8*2)+(0.9*0.8*2)+(2.9*0.8*2)+(0.9*0.8*2)+(1.7*0.8*8)+(2.2*0.5*2)+(0.7*0.5*2)</f>
        <v>85.100000000000009</v>
      </c>
      <c r="H238" s="180"/>
      <c r="I238" s="65"/>
    </row>
    <row r="239" spans="1:9" ht="25.5" customHeight="1">
      <c r="A239" s="59"/>
      <c r="B239" s="64" t="s">
        <v>2737</v>
      </c>
      <c r="C239" s="65"/>
      <c r="D239" s="63" t="s">
        <v>2365</v>
      </c>
      <c r="E239" s="63" t="s">
        <v>2636</v>
      </c>
      <c r="F239" s="70" t="s">
        <v>2757</v>
      </c>
      <c r="G239" s="70">
        <f>(23*7.5)+(2.2*0.7*4)+(2.2*1*4)+(2.2*0.5*2)+(2*0.5*4)</f>
        <v>193.66</v>
      </c>
      <c r="H239" s="180"/>
      <c r="I239" s="65"/>
    </row>
    <row r="240" spans="1:9" ht="27.75" customHeight="1">
      <c r="A240" s="59"/>
      <c r="B240" s="64" t="s">
        <v>2737</v>
      </c>
      <c r="C240" s="65"/>
      <c r="D240" s="63" t="s">
        <v>2365</v>
      </c>
      <c r="E240" s="63" t="s">
        <v>3436</v>
      </c>
      <c r="F240" s="72" t="s">
        <v>3437</v>
      </c>
      <c r="G240" s="72">
        <f>(11*1.4)+((1.4+11+1.4)*0.8)+((0.9*0.5*4*2))</f>
        <v>30.04</v>
      </c>
      <c r="H240" s="180"/>
      <c r="I240" s="65"/>
    </row>
    <row r="241" spans="1:9" ht="20.100000000000001" customHeight="1">
      <c r="A241" s="59"/>
      <c r="B241" s="64" t="s">
        <v>2737</v>
      </c>
      <c r="C241" s="65"/>
      <c r="D241" s="63" t="s">
        <v>2365</v>
      </c>
      <c r="E241" s="63" t="s">
        <v>2722</v>
      </c>
      <c r="F241" s="72" t="s">
        <v>2721</v>
      </c>
      <c r="G241" s="72">
        <f>(3.3*3.7)+(3.3*1.9)+((0.9+3.3+1.9)*0.9)+(1.8*0.4)</f>
        <v>24.689999999999998</v>
      </c>
      <c r="H241" s="180">
        <f>SUM(G236:G241)</f>
        <v>964.79</v>
      </c>
      <c r="I241" s="65"/>
    </row>
    <row r="242" spans="1:9" ht="25.5" customHeight="1">
      <c r="A242" s="59"/>
      <c r="B242" s="64"/>
      <c r="C242" s="65"/>
      <c r="D242" s="63"/>
      <c r="E242" s="63"/>
      <c r="F242" s="72"/>
      <c r="G242" s="72"/>
      <c r="H242" s="180"/>
      <c r="I242" s="65"/>
    </row>
    <row r="243" spans="1:9" ht="35.25" customHeight="1">
      <c r="A243" s="59"/>
      <c r="B243" s="64" t="s">
        <v>2734</v>
      </c>
      <c r="C243" s="65" t="s">
        <v>2732</v>
      </c>
      <c r="D243" s="63" t="s">
        <v>2365</v>
      </c>
      <c r="E243" s="63" t="s">
        <v>2736</v>
      </c>
      <c r="F243" s="70" t="s">
        <v>2735</v>
      </c>
      <c r="G243" s="70">
        <f>(7.6+7.1+(5.2*4)+(7.1+16+5.2+16)*5.8)+(9.6*2.2*2)-((0.9*2.1*4)+(4.4*3.6)+(4.9*2.9*2))</f>
        <v>282.86</v>
      </c>
      <c r="H243" s="180"/>
      <c r="I243" s="65"/>
    </row>
    <row r="244" spans="1:9" ht="35.25" customHeight="1">
      <c r="A244" s="59"/>
      <c r="B244" s="64" t="s">
        <v>2733</v>
      </c>
      <c r="C244" s="65" t="s">
        <v>2731</v>
      </c>
      <c r="D244" s="63" t="s">
        <v>2365</v>
      </c>
      <c r="E244" s="63" t="s">
        <v>2730</v>
      </c>
      <c r="F244" s="72" t="s">
        <v>2729</v>
      </c>
      <c r="G244" s="72">
        <f>((43.3+6)*5.8)+(20.8*2.5)+(0.6*7*2.5)</f>
        <v>348.44</v>
      </c>
      <c r="H244" s="180"/>
      <c r="I244" s="65"/>
    </row>
    <row r="245" spans="1:9" ht="35.25" customHeight="1">
      <c r="A245" s="59"/>
      <c r="B245" s="64" t="s">
        <v>2733</v>
      </c>
      <c r="C245" s="65" t="s">
        <v>2731</v>
      </c>
      <c r="D245" s="63" t="s">
        <v>2365</v>
      </c>
      <c r="E245" s="63" t="s">
        <v>2726</v>
      </c>
      <c r="F245" s="72" t="s">
        <v>2758</v>
      </c>
      <c r="G245" s="70">
        <f>(15.5*3.6)+(5*0.8*2)+(0.9*0.8*2)+(2.9*0.8*2)+(0.9*0.8*2)+(1.7*0.8*8)+(2.2*0.5*2)+(0.7*0.5*2)</f>
        <v>85.100000000000009</v>
      </c>
      <c r="H245" s="180"/>
      <c r="I245" s="65"/>
    </row>
    <row r="246" spans="1:9" ht="35.25" customHeight="1">
      <c r="A246" s="59"/>
      <c r="B246" s="64" t="s">
        <v>2733</v>
      </c>
      <c r="C246" s="65" t="s">
        <v>2731</v>
      </c>
      <c r="D246" s="63" t="s">
        <v>2365</v>
      </c>
      <c r="E246" s="63" t="s">
        <v>2636</v>
      </c>
      <c r="F246" s="70" t="s">
        <v>2757</v>
      </c>
      <c r="G246" s="70">
        <f>(23*7.5)+(2.2*0.7*4)+(2.2*1*4)+(2.2*0.5*2)+(2*0.5*4)</f>
        <v>193.66</v>
      </c>
      <c r="H246" s="180"/>
      <c r="I246" s="65"/>
    </row>
    <row r="247" spans="1:9" ht="35.25" customHeight="1">
      <c r="A247" s="59"/>
      <c r="B247" s="64" t="s">
        <v>2733</v>
      </c>
      <c r="C247" s="65" t="s">
        <v>2731</v>
      </c>
      <c r="D247" s="63" t="s">
        <v>2365</v>
      </c>
      <c r="E247" s="63" t="s">
        <v>3436</v>
      </c>
      <c r="F247" s="72" t="s">
        <v>3437</v>
      </c>
      <c r="G247" s="72">
        <f>(11*1.4)+((1.4+11+1.4)*0.8)+((0.9*0.5*4*2))</f>
        <v>30.04</v>
      </c>
      <c r="H247" s="180"/>
      <c r="I247" s="65"/>
    </row>
    <row r="248" spans="1:9" ht="35.25" customHeight="1">
      <c r="A248" s="59"/>
      <c r="B248" s="64" t="s">
        <v>2733</v>
      </c>
      <c r="C248" s="65" t="s">
        <v>2731</v>
      </c>
      <c r="D248" s="63" t="s">
        <v>2365</v>
      </c>
      <c r="E248" s="63" t="s">
        <v>2722</v>
      </c>
      <c r="F248" s="72" t="s">
        <v>2721</v>
      </c>
      <c r="G248" s="72">
        <f>(3.3*3.7)+(3.3*1.9)+((0.9+3.3+1.9)*0.9)+(1.8*0.4)</f>
        <v>24.689999999999998</v>
      </c>
      <c r="H248" s="180">
        <f>SUM(G243:G248)</f>
        <v>964.79</v>
      </c>
      <c r="I248" s="65"/>
    </row>
    <row r="249" spans="1:9" ht="20.100000000000001" customHeight="1">
      <c r="A249" s="59"/>
      <c r="B249" s="64" t="s">
        <v>3439</v>
      </c>
      <c r="C249" s="65" t="s">
        <v>2613</v>
      </c>
      <c r="D249" s="63" t="s">
        <v>2365</v>
      </c>
      <c r="E249" s="63" t="s">
        <v>2726</v>
      </c>
      <c r="F249" s="72" t="s">
        <v>2758</v>
      </c>
      <c r="G249" s="72">
        <f>(15.5*3.6)+(5*0.8*2)+(0.9*0.8*2)+(2.9*0.8*2)+(0.9*0.8*2)+(1.7*0.8*8)+(2.2*0.5*2)+(0.7*0.5*2)</f>
        <v>85.100000000000009</v>
      </c>
      <c r="H249" s="180"/>
      <c r="I249" s="65"/>
    </row>
    <row r="250" spans="1:9" ht="25.5" customHeight="1">
      <c r="A250" s="59"/>
      <c r="B250" s="64" t="s">
        <v>3439</v>
      </c>
      <c r="C250" s="65" t="s">
        <v>2613</v>
      </c>
      <c r="D250" s="63" t="s">
        <v>2365</v>
      </c>
      <c r="E250" s="63" t="s">
        <v>2636</v>
      </c>
      <c r="F250" s="70" t="s">
        <v>2727</v>
      </c>
      <c r="G250" s="72">
        <f>(23*3)+(2.2*0.7*4)+(2.2*1*4)+(2.2*0.5*2)+(2*0.5*4)</f>
        <v>90.16</v>
      </c>
      <c r="H250" s="180"/>
      <c r="I250" s="65"/>
    </row>
    <row r="251" spans="1:9" ht="27.75" customHeight="1">
      <c r="A251" s="59"/>
      <c r="B251" s="64" t="s">
        <v>3439</v>
      </c>
      <c r="C251" s="65" t="s">
        <v>2613</v>
      </c>
      <c r="D251" s="63" t="s">
        <v>2365</v>
      </c>
      <c r="E251" s="63" t="s">
        <v>3436</v>
      </c>
      <c r="F251" s="72" t="s">
        <v>3437</v>
      </c>
      <c r="G251" s="72">
        <f>(11*1.4)+((1.4+11+1.4)*0.8)+((0.9*0.5*4*2))</f>
        <v>30.04</v>
      </c>
      <c r="H251" s="180"/>
      <c r="I251" s="65"/>
    </row>
    <row r="252" spans="1:9" ht="20.100000000000001" customHeight="1">
      <c r="A252" s="59"/>
      <c r="B252" s="64" t="s">
        <v>3439</v>
      </c>
      <c r="C252" s="65" t="s">
        <v>2613</v>
      </c>
      <c r="D252" s="63" t="s">
        <v>2365</v>
      </c>
      <c r="E252" s="63" t="s">
        <v>2722</v>
      </c>
      <c r="F252" s="72" t="s">
        <v>2721</v>
      </c>
      <c r="G252" s="72">
        <f>(3.3*3.7)+(3.3*1.9)+((0.9+3.3+1.9)*0.9)+(1.8*0.4)</f>
        <v>24.689999999999998</v>
      </c>
      <c r="H252" s="180">
        <f>SUM(G249:G252)</f>
        <v>229.98999999999998</v>
      </c>
      <c r="I252" s="65"/>
    </row>
    <row r="253" spans="1:9" ht="20.100000000000001" customHeight="1">
      <c r="A253" s="59"/>
      <c r="B253" s="64"/>
      <c r="C253" s="65"/>
      <c r="D253" s="63"/>
      <c r="E253" s="63"/>
      <c r="F253" s="72"/>
      <c r="G253" s="72"/>
      <c r="H253" s="180"/>
      <c r="I253" s="65"/>
    </row>
    <row r="254" spans="1:9" s="89" customFormat="1" ht="20.100000000000001" customHeight="1">
      <c r="A254" s="61" t="s">
        <v>2720</v>
      </c>
      <c r="B254" s="142" t="s">
        <v>2693</v>
      </c>
      <c r="C254" s="75"/>
      <c r="D254" s="73"/>
      <c r="E254" s="75"/>
      <c r="F254" s="60"/>
      <c r="G254" s="60"/>
      <c r="H254" s="180"/>
      <c r="I254" s="75"/>
    </row>
    <row r="255" spans="1:9" ht="26.25" customHeight="1">
      <c r="A255" s="59"/>
      <c r="B255" s="64" t="s">
        <v>2718</v>
      </c>
      <c r="C255" s="74" t="s">
        <v>2717</v>
      </c>
      <c r="D255" s="63" t="s">
        <v>2365</v>
      </c>
      <c r="E255" s="65" t="s">
        <v>2716</v>
      </c>
      <c r="F255" s="58" t="s">
        <v>2719</v>
      </c>
      <c r="G255" s="58">
        <f>((4.2+18.2)*2)</f>
        <v>44.8</v>
      </c>
      <c r="H255" s="183"/>
      <c r="I255" s="65"/>
    </row>
    <row r="256" spans="1:9" ht="26.25" customHeight="1">
      <c r="A256" s="59"/>
      <c r="B256" s="64" t="s">
        <v>2718</v>
      </c>
      <c r="C256" s="74" t="s">
        <v>2717</v>
      </c>
      <c r="D256" s="63" t="s">
        <v>2365</v>
      </c>
      <c r="E256" s="65" t="s">
        <v>2716</v>
      </c>
      <c r="F256" s="58" t="s">
        <v>2715</v>
      </c>
      <c r="G256" s="58">
        <f>3.3*9.4</f>
        <v>31.02</v>
      </c>
      <c r="H256" s="180">
        <f>SUM(G255:G256)</f>
        <v>75.819999999999993</v>
      </c>
      <c r="I256" s="65"/>
    </row>
    <row r="257" spans="1:9" ht="20.100000000000001" customHeight="1">
      <c r="A257" s="59"/>
      <c r="B257" s="62" t="s">
        <v>2714</v>
      </c>
      <c r="C257" s="65" t="s">
        <v>2713</v>
      </c>
      <c r="D257" s="63" t="s">
        <v>2365</v>
      </c>
      <c r="E257" s="65"/>
      <c r="F257" s="58" t="s">
        <v>2710</v>
      </c>
      <c r="G257" s="58">
        <f>(1128.2+37.7+21.7+22.2)-562</f>
        <v>647.80000000000018</v>
      </c>
      <c r="H257" s="180">
        <f>G257</f>
        <v>647.80000000000018</v>
      </c>
      <c r="I257" s="74" t="s">
        <v>2709</v>
      </c>
    </row>
    <row r="258" spans="1:9" ht="20.100000000000001" customHeight="1">
      <c r="A258" s="59"/>
      <c r="B258" s="64" t="s">
        <v>2712</v>
      </c>
      <c r="C258" s="65" t="s">
        <v>2711</v>
      </c>
      <c r="D258" s="63" t="s">
        <v>2365</v>
      </c>
      <c r="E258" s="65"/>
      <c r="F258" s="58" t="s">
        <v>2710</v>
      </c>
      <c r="G258" s="58">
        <f>(1128.2+37.7+21.7+22.2)-562</f>
        <v>647.80000000000018</v>
      </c>
      <c r="H258" s="180">
        <f>G258</f>
        <v>647.80000000000018</v>
      </c>
      <c r="I258" s="74" t="s">
        <v>2709</v>
      </c>
    </row>
    <row r="259" spans="1:9" ht="20.100000000000001" customHeight="1">
      <c r="A259" s="59"/>
      <c r="B259" s="64" t="s">
        <v>2708</v>
      </c>
      <c r="C259" s="65"/>
      <c r="D259" s="63" t="s">
        <v>2579</v>
      </c>
      <c r="E259" s="65"/>
      <c r="F259" s="58">
        <v>4.0999999999999996</v>
      </c>
      <c r="G259" s="58">
        <f>F259</f>
        <v>4.0999999999999996</v>
      </c>
      <c r="H259" s="180">
        <f>G259</f>
        <v>4.0999999999999996</v>
      </c>
      <c r="I259" s="74"/>
    </row>
    <row r="260" spans="1:9" ht="20.100000000000001" customHeight="1">
      <c r="A260" s="59"/>
      <c r="B260" s="64"/>
      <c r="C260" s="65"/>
      <c r="D260" s="63"/>
      <c r="E260" s="65"/>
      <c r="F260" s="58"/>
      <c r="G260" s="58"/>
      <c r="H260" s="180"/>
      <c r="I260" s="65"/>
    </row>
    <row r="261" spans="1:9" ht="20.100000000000001" customHeight="1">
      <c r="A261" s="61" t="s">
        <v>2707</v>
      </c>
      <c r="B261" s="68" t="s">
        <v>2706</v>
      </c>
      <c r="C261" s="65"/>
      <c r="D261" s="63"/>
      <c r="E261" s="65"/>
      <c r="F261" s="58"/>
      <c r="G261" s="58"/>
      <c r="H261" s="180"/>
      <c r="I261" s="65"/>
    </row>
    <row r="262" spans="1:9" ht="26.25" customHeight="1">
      <c r="A262" s="61" t="s">
        <v>2705</v>
      </c>
      <c r="B262" s="142" t="s">
        <v>2704</v>
      </c>
      <c r="C262" s="142"/>
      <c r="D262" s="73"/>
      <c r="E262" s="73"/>
      <c r="F262" s="58"/>
      <c r="G262" s="58"/>
      <c r="H262" s="180"/>
      <c r="I262" s="65"/>
    </row>
    <row r="263" spans="1:9" ht="20.100000000000001" customHeight="1">
      <c r="A263" s="59"/>
      <c r="B263" s="64" t="s">
        <v>2703</v>
      </c>
      <c r="C263" s="65" t="s">
        <v>2702</v>
      </c>
      <c r="D263" s="63" t="s">
        <v>2365</v>
      </c>
      <c r="E263" s="63" t="s">
        <v>3449</v>
      </c>
      <c r="F263" s="58" t="s">
        <v>2698</v>
      </c>
      <c r="G263" s="58">
        <f>2*2.5</f>
        <v>5</v>
      </c>
      <c r="H263" s="180">
        <f>G263</f>
        <v>5</v>
      </c>
      <c r="I263" s="65"/>
    </row>
    <row r="264" spans="1:9" s="145" customFormat="1" ht="25.5" customHeight="1">
      <c r="A264" s="138"/>
      <c r="B264" s="64" t="s">
        <v>2756</v>
      </c>
      <c r="C264" s="62" t="s">
        <v>2755</v>
      </c>
      <c r="D264" s="63" t="s">
        <v>2365</v>
      </c>
      <c r="E264" s="63"/>
      <c r="F264" s="139" t="s">
        <v>3446</v>
      </c>
      <c r="G264" s="139">
        <f>9.2*1.2*2</f>
        <v>22.08</v>
      </c>
      <c r="H264" s="180">
        <f t="shared" ref="H264:H266" si="6">G264</f>
        <v>22.08</v>
      </c>
      <c r="I264" s="62"/>
    </row>
    <row r="265" spans="1:9" ht="20.100000000000001" customHeight="1">
      <c r="A265" s="59"/>
      <c r="B265" s="64" t="s">
        <v>2689</v>
      </c>
      <c r="C265" s="65" t="s">
        <v>3447</v>
      </c>
      <c r="D265" s="63" t="s">
        <v>2365</v>
      </c>
      <c r="E265" s="63" t="s">
        <v>3448</v>
      </c>
      <c r="F265" s="139" t="s">
        <v>3451</v>
      </c>
      <c r="G265" s="139">
        <f>(9.2+0.4)*1.2</f>
        <v>11.52</v>
      </c>
      <c r="H265" s="180">
        <f t="shared" si="6"/>
        <v>11.52</v>
      </c>
      <c r="I265" s="65"/>
    </row>
    <row r="266" spans="1:9" ht="26.25" customHeight="1">
      <c r="A266" s="59"/>
      <c r="B266" s="64" t="s">
        <v>2701</v>
      </c>
      <c r="C266" s="65" t="s">
        <v>191</v>
      </c>
      <c r="D266" s="63" t="s">
        <v>2365</v>
      </c>
      <c r="E266" s="63" t="s">
        <v>3449</v>
      </c>
      <c r="F266" s="58" t="s">
        <v>2698</v>
      </c>
      <c r="G266" s="58">
        <f>2*2.5</f>
        <v>5</v>
      </c>
      <c r="H266" s="180">
        <f t="shared" si="6"/>
        <v>5</v>
      </c>
      <c r="I266" s="65"/>
    </row>
    <row r="267" spans="1:9" ht="26.25" customHeight="1">
      <c r="A267" s="59"/>
      <c r="B267" s="64" t="s">
        <v>2700</v>
      </c>
      <c r="C267" s="65" t="s">
        <v>2699</v>
      </c>
      <c r="D267" s="63" t="s">
        <v>2365</v>
      </c>
      <c r="E267" s="63" t="s">
        <v>3449</v>
      </c>
      <c r="F267" s="58" t="s">
        <v>2698</v>
      </c>
      <c r="G267" s="58">
        <f>2*2.5</f>
        <v>5</v>
      </c>
      <c r="H267" s="180">
        <f t="shared" ref="H267:H274" si="7">G267</f>
        <v>5</v>
      </c>
      <c r="I267" s="65"/>
    </row>
    <row r="268" spans="1:9" ht="20.100000000000001" customHeight="1">
      <c r="A268" s="59"/>
      <c r="B268" s="64" t="s">
        <v>2733</v>
      </c>
      <c r="C268" s="65" t="s">
        <v>2731</v>
      </c>
      <c r="D268" s="63" t="s">
        <v>2365</v>
      </c>
      <c r="E268" s="63" t="s">
        <v>3448</v>
      </c>
      <c r="F268" s="139" t="s">
        <v>3450</v>
      </c>
      <c r="G268" s="139">
        <f>9.2*1.2</f>
        <v>11.04</v>
      </c>
      <c r="H268" s="180">
        <f t="shared" si="7"/>
        <v>11.04</v>
      </c>
      <c r="I268" s="65"/>
    </row>
    <row r="269" spans="1:9" ht="26.25" customHeight="1">
      <c r="A269" s="59"/>
      <c r="B269" s="64" t="s">
        <v>3718</v>
      </c>
      <c r="C269" s="65"/>
      <c r="D269" s="63" t="s">
        <v>2365</v>
      </c>
      <c r="E269" s="65"/>
      <c r="F269" s="72" t="s">
        <v>3458</v>
      </c>
      <c r="G269" s="72">
        <f>(13.1*2.5)+(240*0.072)+(9.2*0.45)</f>
        <v>54.17</v>
      </c>
      <c r="H269" s="180">
        <f t="shared" si="7"/>
        <v>54.17</v>
      </c>
      <c r="I269" s="65"/>
    </row>
    <row r="270" spans="1:9" ht="24" customHeight="1">
      <c r="A270" s="59"/>
      <c r="B270" s="64" t="s">
        <v>3038</v>
      </c>
      <c r="C270" s="65" t="s">
        <v>3037</v>
      </c>
      <c r="D270" s="63" t="s">
        <v>2344</v>
      </c>
      <c r="E270" s="63" t="s">
        <v>3448</v>
      </c>
      <c r="F270" s="97" t="s">
        <v>3452</v>
      </c>
      <c r="G270" s="97">
        <f>(9.6/0.048)*1.2</f>
        <v>240</v>
      </c>
      <c r="H270" s="180">
        <f t="shared" si="7"/>
        <v>240</v>
      </c>
      <c r="I270" s="65"/>
    </row>
    <row r="271" spans="1:9" ht="20.100000000000001" customHeight="1">
      <c r="A271" s="59"/>
      <c r="B271" s="64" t="s">
        <v>3013</v>
      </c>
      <c r="C271" s="65" t="s">
        <v>3012</v>
      </c>
      <c r="D271" s="63" t="s">
        <v>2365</v>
      </c>
      <c r="E271" s="63"/>
      <c r="F271" s="139" t="s">
        <v>3453</v>
      </c>
      <c r="G271" s="139">
        <f>9.2*1.2</f>
        <v>11.04</v>
      </c>
      <c r="H271" s="180">
        <f t="shared" si="7"/>
        <v>11.04</v>
      </c>
      <c r="I271" s="65"/>
    </row>
    <row r="272" spans="1:9" ht="20.100000000000001" customHeight="1">
      <c r="A272" s="59"/>
      <c r="B272" s="64" t="s">
        <v>3454</v>
      </c>
      <c r="C272" s="65" t="s">
        <v>3455</v>
      </c>
      <c r="D272" s="63" t="s">
        <v>2344</v>
      </c>
      <c r="E272" s="63"/>
      <c r="F272" s="139">
        <v>4.2</v>
      </c>
      <c r="G272" s="139">
        <f>F272</f>
        <v>4.2</v>
      </c>
      <c r="H272" s="180">
        <f t="shared" si="7"/>
        <v>4.2</v>
      </c>
      <c r="I272" s="65"/>
    </row>
    <row r="273" spans="1:9" ht="20.100000000000001" customHeight="1">
      <c r="A273" s="59"/>
      <c r="B273" s="64" t="s">
        <v>3457</v>
      </c>
      <c r="C273" s="65" t="s">
        <v>3456</v>
      </c>
      <c r="D273" s="63" t="s">
        <v>2344</v>
      </c>
      <c r="E273" s="63"/>
      <c r="F273" s="139">
        <v>9.1999999999999993</v>
      </c>
      <c r="G273" s="139">
        <f>F273</f>
        <v>9.1999999999999993</v>
      </c>
      <c r="H273" s="180">
        <f t="shared" si="7"/>
        <v>9.1999999999999993</v>
      </c>
      <c r="I273" s="65"/>
    </row>
    <row r="274" spans="1:9" ht="26.25" customHeight="1">
      <c r="A274" s="59"/>
      <c r="B274" s="64" t="s">
        <v>2696</v>
      </c>
      <c r="C274" s="65"/>
      <c r="D274" s="63" t="s">
        <v>2365</v>
      </c>
      <c r="E274" s="65" t="s">
        <v>3440</v>
      </c>
      <c r="F274" s="72" t="s">
        <v>2695</v>
      </c>
      <c r="G274" s="72">
        <f>29*9</f>
        <v>261</v>
      </c>
      <c r="H274" s="180">
        <f t="shared" si="7"/>
        <v>261</v>
      </c>
      <c r="I274" s="65"/>
    </row>
    <row r="275" spans="1:9" ht="26.25" customHeight="1">
      <c r="A275" s="59"/>
      <c r="B275" s="64"/>
      <c r="C275" s="65"/>
      <c r="D275" s="63"/>
      <c r="E275" s="65"/>
      <c r="F275" s="72"/>
      <c r="G275" s="72"/>
      <c r="H275" s="180"/>
      <c r="I275" s="65"/>
    </row>
    <row r="276" spans="1:9" ht="26.25" customHeight="1">
      <c r="A276" s="61" t="s">
        <v>2694</v>
      </c>
      <c r="B276" s="142" t="s">
        <v>2693</v>
      </c>
      <c r="C276" s="65"/>
      <c r="D276" s="63"/>
      <c r="E276" s="65"/>
      <c r="F276" s="72"/>
      <c r="G276" s="72"/>
      <c r="H276" s="180"/>
      <c r="I276" s="65"/>
    </row>
    <row r="277" spans="1:9" ht="26.25" customHeight="1">
      <c r="A277" s="59"/>
      <c r="B277" s="64" t="s">
        <v>2692</v>
      </c>
      <c r="C277" s="65" t="s">
        <v>2691</v>
      </c>
      <c r="D277" s="63" t="s">
        <v>2365</v>
      </c>
      <c r="E277" s="65"/>
      <c r="F277" s="58" t="s">
        <v>2690</v>
      </c>
      <c r="G277" s="58">
        <f>(8.1*3.8)+(3.5*16.5)</f>
        <v>88.53</v>
      </c>
      <c r="H277" s="180">
        <f>G277</f>
        <v>88.53</v>
      </c>
      <c r="I277" s="65"/>
    </row>
    <row r="278" spans="1:9" ht="26.25" customHeight="1">
      <c r="A278" s="59"/>
      <c r="B278" s="64" t="s">
        <v>2689</v>
      </c>
      <c r="C278" s="65" t="s">
        <v>2750</v>
      </c>
      <c r="D278" s="63" t="s">
        <v>2365</v>
      </c>
      <c r="E278" s="65"/>
      <c r="F278" s="58" t="s">
        <v>2688</v>
      </c>
      <c r="G278" s="58">
        <f>(8.1*3.8)+(3.5*16.5)</f>
        <v>88.53</v>
      </c>
      <c r="H278" s="180">
        <f>G278</f>
        <v>88.53</v>
      </c>
      <c r="I278" s="65"/>
    </row>
    <row r="279" spans="1:9" ht="26.25" customHeight="1">
      <c r="A279" s="59"/>
      <c r="B279" s="64" t="s">
        <v>3445</v>
      </c>
      <c r="C279" s="65" t="s">
        <v>3444</v>
      </c>
      <c r="D279" s="63" t="s">
        <v>2365</v>
      </c>
      <c r="E279" s="65"/>
      <c r="F279" s="58" t="s">
        <v>2688</v>
      </c>
      <c r="G279" s="58">
        <f>(8.1*3.8)+(3.5*16.5)</f>
        <v>88.53</v>
      </c>
      <c r="H279" s="180">
        <f>G279</f>
        <v>88.53</v>
      </c>
      <c r="I279" s="65"/>
    </row>
    <row r="280" spans="1:9" ht="26.25" customHeight="1">
      <c r="A280" s="59"/>
      <c r="B280" s="64" t="s">
        <v>2697</v>
      </c>
      <c r="C280" s="65"/>
      <c r="D280" s="63" t="s">
        <v>2365</v>
      </c>
      <c r="E280" s="65"/>
      <c r="F280" s="58" t="s">
        <v>2688</v>
      </c>
      <c r="G280" s="58">
        <f>(8.1*3.8)+(3.5*16.5)</f>
        <v>88.53</v>
      </c>
      <c r="H280" s="180">
        <f>G280</f>
        <v>88.53</v>
      </c>
      <c r="I280" s="65"/>
    </row>
    <row r="281" spans="1:9" ht="20.100000000000001" customHeight="1">
      <c r="A281" s="59"/>
      <c r="B281" s="64"/>
      <c r="C281" s="65"/>
      <c r="D281" s="63"/>
      <c r="E281" s="65"/>
      <c r="F281" s="58"/>
      <c r="G281" s="58"/>
      <c r="H281" s="180"/>
      <c r="I281" s="65"/>
    </row>
    <row r="282" spans="1:9" ht="20.100000000000001" customHeight="1">
      <c r="A282" s="71" t="s">
        <v>2687</v>
      </c>
      <c r="B282" s="68" t="s">
        <v>2686</v>
      </c>
      <c r="C282" s="65"/>
      <c r="D282" s="63"/>
      <c r="E282" s="65"/>
      <c r="F282" s="58"/>
      <c r="G282" s="58"/>
      <c r="H282" s="180"/>
      <c r="I282" s="65"/>
    </row>
    <row r="283" spans="1:9" ht="20.100000000000001" customHeight="1">
      <c r="A283" s="59" t="s">
        <v>2685</v>
      </c>
      <c r="B283" s="64" t="s">
        <v>2684</v>
      </c>
      <c r="C283" s="65" t="s">
        <v>2677</v>
      </c>
      <c r="D283" s="63" t="s">
        <v>2577</v>
      </c>
      <c r="E283" s="65" t="s">
        <v>2676</v>
      </c>
      <c r="F283" s="58">
        <v>1</v>
      </c>
      <c r="G283" s="58">
        <f>F283</f>
        <v>1</v>
      </c>
      <c r="H283" s="180">
        <f t="shared" ref="H283:H301" si="8">G283</f>
        <v>1</v>
      </c>
      <c r="I283" s="65" t="s">
        <v>2679</v>
      </c>
    </row>
    <row r="284" spans="1:9" ht="20.100000000000001" customHeight="1">
      <c r="A284" s="59"/>
      <c r="B284" s="64" t="s">
        <v>324</v>
      </c>
      <c r="C284" s="65" t="s">
        <v>2683</v>
      </c>
      <c r="D284" s="63" t="s">
        <v>2577</v>
      </c>
      <c r="E284" s="65" t="s">
        <v>2681</v>
      </c>
      <c r="F284" s="58">
        <v>1</v>
      </c>
      <c r="G284" s="58">
        <f t="shared" ref="G284:G298" si="9">F284</f>
        <v>1</v>
      </c>
      <c r="H284" s="180">
        <f t="shared" si="8"/>
        <v>1</v>
      </c>
      <c r="I284" s="65" t="s">
        <v>2679</v>
      </c>
    </row>
    <row r="285" spans="1:9" ht="20.100000000000001" customHeight="1">
      <c r="A285" s="59"/>
      <c r="B285" s="64" t="s">
        <v>328</v>
      </c>
      <c r="C285" s="65" t="s">
        <v>2682</v>
      </c>
      <c r="D285" s="63" t="s">
        <v>2577</v>
      </c>
      <c r="E285" s="65" t="s">
        <v>2681</v>
      </c>
      <c r="F285" s="58">
        <v>1</v>
      </c>
      <c r="G285" s="58">
        <f t="shared" si="9"/>
        <v>1</v>
      </c>
      <c r="H285" s="180">
        <f t="shared" si="8"/>
        <v>1</v>
      </c>
      <c r="I285" s="65" t="s">
        <v>2679</v>
      </c>
    </row>
    <row r="286" spans="1:9" ht="20.100000000000001" customHeight="1">
      <c r="A286" s="59"/>
      <c r="B286" s="64" t="s">
        <v>332</v>
      </c>
      <c r="C286" s="65" t="s">
        <v>2674</v>
      </c>
      <c r="D286" s="63" t="s">
        <v>2577</v>
      </c>
      <c r="E286" s="65" t="s">
        <v>2680</v>
      </c>
      <c r="F286" s="58">
        <v>1</v>
      </c>
      <c r="G286" s="58">
        <f t="shared" si="9"/>
        <v>1</v>
      </c>
      <c r="H286" s="180">
        <f t="shared" si="8"/>
        <v>1</v>
      </c>
      <c r="I286" s="65" t="s">
        <v>2679</v>
      </c>
    </row>
    <row r="287" spans="1:9" ht="20.100000000000001" customHeight="1">
      <c r="A287" s="59"/>
      <c r="B287" s="64" t="s">
        <v>2678</v>
      </c>
      <c r="C287" s="65" t="s">
        <v>2677</v>
      </c>
      <c r="D287" s="63" t="s">
        <v>2577</v>
      </c>
      <c r="E287" s="65" t="s">
        <v>2676</v>
      </c>
      <c r="F287" s="58">
        <v>1</v>
      </c>
      <c r="G287" s="58">
        <f t="shared" si="9"/>
        <v>1</v>
      </c>
      <c r="H287" s="180">
        <f t="shared" si="8"/>
        <v>1</v>
      </c>
      <c r="I287" s="65" t="s">
        <v>2675</v>
      </c>
    </row>
    <row r="288" spans="1:9" ht="20.100000000000001" customHeight="1">
      <c r="A288" s="59"/>
      <c r="B288" s="64" t="s">
        <v>339</v>
      </c>
      <c r="C288" s="65" t="s">
        <v>2674</v>
      </c>
      <c r="D288" s="63" t="s">
        <v>2577</v>
      </c>
      <c r="E288" s="65" t="s">
        <v>2673</v>
      </c>
      <c r="F288" s="58">
        <v>1</v>
      </c>
      <c r="G288" s="58">
        <f t="shared" si="9"/>
        <v>1</v>
      </c>
      <c r="H288" s="180">
        <f t="shared" si="8"/>
        <v>1</v>
      </c>
      <c r="I288" s="65" t="s">
        <v>2672</v>
      </c>
    </row>
    <row r="289" spans="1:9" ht="20.100000000000001" customHeight="1">
      <c r="A289" s="59"/>
      <c r="B289" s="64" t="s">
        <v>2669</v>
      </c>
      <c r="C289" s="65" t="s">
        <v>2665</v>
      </c>
      <c r="D289" s="63" t="s">
        <v>2577</v>
      </c>
      <c r="E289" s="65" t="s">
        <v>2668</v>
      </c>
      <c r="F289" s="58">
        <v>3</v>
      </c>
      <c r="G289" s="58">
        <f t="shared" si="9"/>
        <v>3</v>
      </c>
      <c r="H289" s="180">
        <f t="shared" si="8"/>
        <v>3</v>
      </c>
      <c r="I289" s="65" t="s">
        <v>2667</v>
      </c>
    </row>
    <row r="290" spans="1:9" ht="20.100000000000001" customHeight="1">
      <c r="A290" s="59"/>
      <c r="B290" s="64" t="s">
        <v>2666</v>
      </c>
      <c r="C290" s="65" t="s">
        <v>2665</v>
      </c>
      <c r="D290" s="63" t="s">
        <v>2577</v>
      </c>
      <c r="E290" s="65" t="s">
        <v>2664</v>
      </c>
      <c r="F290" s="58">
        <v>2</v>
      </c>
      <c r="G290" s="58">
        <f t="shared" si="9"/>
        <v>2</v>
      </c>
      <c r="H290" s="180">
        <f t="shared" si="8"/>
        <v>2</v>
      </c>
      <c r="I290" s="65" t="s">
        <v>2662</v>
      </c>
    </row>
    <row r="291" spans="1:9" ht="20.100000000000001" customHeight="1">
      <c r="A291" s="59"/>
      <c r="B291" s="64" t="s">
        <v>349</v>
      </c>
      <c r="C291" s="65" t="s">
        <v>3462</v>
      </c>
      <c r="D291" s="63" t="s">
        <v>2578</v>
      </c>
      <c r="E291" s="65" t="s">
        <v>2663</v>
      </c>
      <c r="F291" s="58">
        <v>1</v>
      </c>
      <c r="G291" s="58">
        <f t="shared" si="9"/>
        <v>1</v>
      </c>
      <c r="H291" s="180">
        <f t="shared" si="8"/>
        <v>1</v>
      </c>
      <c r="I291" s="65" t="s">
        <v>2662</v>
      </c>
    </row>
    <row r="292" spans="1:9" ht="20.100000000000001" customHeight="1">
      <c r="A292" s="59"/>
      <c r="B292" s="64" t="s">
        <v>3459</v>
      </c>
      <c r="C292" s="65" t="s">
        <v>2665</v>
      </c>
      <c r="D292" s="63" t="s">
        <v>2568</v>
      </c>
      <c r="E292" s="65" t="s">
        <v>2668</v>
      </c>
      <c r="F292" s="58">
        <v>1</v>
      </c>
      <c r="G292" s="58">
        <f>F292</f>
        <v>1</v>
      </c>
      <c r="H292" s="180">
        <f>G292</f>
        <v>1</v>
      </c>
      <c r="I292" s="65"/>
    </row>
    <row r="293" spans="1:9" ht="20.100000000000001" customHeight="1">
      <c r="A293" s="59"/>
      <c r="B293" s="64" t="s">
        <v>3460</v>
      </c>
      <c r="C293" s="65" t="s">
        <v>3463</v>
      </c>
      <c r="D293" s="63" t="s">
        <v>2568</v>
      </c>
      <c r="E293" s="65" t="s">
        <v>3461</v>
      </c>
      <c r="F293" s="58">
        <v>2</v>
      </c>
      <c r="G293" s="58">
        <f>F293</f>
        <v>2</v>
      </c>
      <c r="H293" s="180">
        <f t="shared" ref="H293" si="10">G293</f>
        <v>2</v>
      </c>
      <c r="I293" s="65"/>
    </row>
    <row r="294" spans="1:9" ht="20.100000000000001" customHeight="1">
      <c r="A294" s="59"/>
      <c r="B294" s="64" t="s">
        <v>2649</v>
      </c>
      <c r="C294" s="65" t="s">
        <v>3464</v>
      </c>
      <c r="D294" s="63" t="s">
        <v>2577</v>
      </c>
      <c r="E294" s="65" t="s">
        <v>2601</v>
      </c>
      <c r="F294" s="58">
        <v>2</v>
      </c>
      <c r="G294" s="58">
        <f t="shared" si="9"/>
        <v>2</v>
      </c>
      <c r="H294" s="180">
        <f t="shared" si="8"/>
        <v>2</v>
      </c>
      <c r="I294" s="65"/>
    </row>
    <row r="295" spans="1:9" ht="20.100000000000001" customHeight="1">
      <c r="A295" s="59"/>
      <c r="B295" s="64" t="s">
        <v>2648</v>
      </c>
      <c r="C295" s="65" t="s">
        <v>3465</v>
      </c>
      <c r="D295" s="63" t="s">
        <v>2577</v>
      </c>
      <c r="E295" s="65" t="s">
        <v>2620</v>
      </c>
      <c r="F295" s="58">
        <v>1</v>
      </c>
      <c r="G295" s="58">
        <f t="shared" si="9"/>
        <v>1</v>
      </c>
      <c r="H295" s="180">
        <f t="shared" si="8"/>
        <v>1</v>
      </c>
      <c r="I295" s="65"/>
    </row>
    <row r="296" spans="1:9" ht="20.100000000000001" customHeight="1">
      <c r="A296" s="59"/>
      <c r="B296" s="64" t="s">
        <v>2647</v>
      </c>
      <c r="C296" s="65" t="s">
        <v>2661</v>
      </c>
      <c r="D296" s="63" t="s">
        <v>2577</v>
      </c>
      <c r="E296" s="65" t="s">
        <v>2601</v>
      </c>
      <c r="F296" s="58">
        <v>4</v>
      </c>
      <c r="G296" s="58">
        <f t="shared" si="9"/>
        <v>4</v>
      </c>
      <c r="H296" s="180">
        <f t="shared" si="8"/>
        <v>4</v>
      </c>
      <c r="I296" s="65"/>
    </row>
    <row r="297" spans="1:9" ht="20.100000000000001" customHeight="1">
      <c r="A297" s="59"/>
      <c r="B297" s="64" t="s">
        <v>2650</v>
      </c>
      <c r="C297" s="65" t="s">
        <v>2671</v>
      </c>
      <c r="D297" s="63" t="s">
        <v>2568</v>
      </c>
      <c r="E297" s="65" t="s">
        <v>2620</v>
      </c>
      <c r="F297" s="58">
        <v>1</v>
      </c>
      <c r="G297" s="58">
        <f t="shared" si="9"/>
        <v>1</v>
      </c>
      <c r="H297" s="180">
        <f t="shared" si="8"/>
        <v>1</v>
      </c>
      <c r="I297" s="65" t="s">
        <v>2670</v>
      </c>
    </row>
    <row r="298" spans="1:9" ht="20.100000000000001" customHeight="1">
      <c r="A298" s="59"/>
      <c r="B298" s="64" t="s">
        <v>2660</v>
      </c>
      <c r="C298" s="65" t="s">
        <v>2659</v>
      </c>
      <c r="D298" s="63" t="s">
        <v>2577</v>
      </c>
      <c r="E298" s="65"/>
      <c r="F298" s="58">
        <v>3</v>
      </c>
      <c r="G298" s="58">
        <f t="shared" si="9"/>
        <v>3</v>
      </c>
      <c r="H298" s="180">
        <f t="shared" si="8"/>
        <v>3</v>
      </c>
      <c r="I298" s="65"/>
    </row>
    <row r="299" spans="1:9" ht="20.100000000000001" customHeight="1">
      <c r="A299" s="59"/>
      <c r="B299" s="64" t="s">
        <v>2658</v>
      </c>
      <c r="C299" s="65"/>
      <c r="D299" s="63" t="s">
        <v>2578</v>
      </c>
      <c r="E299" s="64" t="s">
        <v>2648</v>
      </c>
      <c r="F299" s="58">
        <v>1</v>
      </c>
      <c r="G299" s="58">
        <f>F299</f>
        <v>1</v>
      </c>
      <c r="H299" s="180">
        <f t="shared" si="8"/>
        <v>1</v>
      </c>
      <c r="I299" s="65"/>
    </row>
    <row r="300" spans="1:9" ht="20.100000000000001" customHeight="1">
      <c r="A300" s="59"/>
      <c r="B300" s="64" t="s">
        <v>2657</v>
      </c>
      <c r="C300" s="65" t="s">
        <v>2656</v>
      </c>
      <c r="D300" s="63" t="s">
        <v>2568</v>
      </c>
      <c r="E300" s="64"/>
      <c r="F300" s="58">
        <v>5</v>
      </c>
      <c r="G300" s="58">
        <f>F300</f>
        <v>5</v>
      </c>
      <c r="H300" s="180">
        <f t="shared" ref="H300" si="11">G300</f>
        <v>5</v>
      </c>
      <c r="I300" s="65"/>
    </row>
    <row r="301" spans="1:9" ht="20.100000000000001" customHeight="1">
      <c r="A301" s="59"/>
      <c r="B301" s="64" t="s">
        <v>2657</v>
      </c>
      <c r="C301" s="65" t="s">
        <v>3466</v>
      </c>
      <c r="D301" s="63" t="s">
        <v>2577</v>
      </c>
      <c r="E301" s="64"/>
      <c r="F301" s="58">
        <v>3</v>
      </c>
      <c r="G301" s="58">
        <f>F301</f>
        <v>3</v>
      </c>
      <c r="H301" s="180">
        <f t="shared" si="8"/>
        <v>3</v>
      </c>
      <c r="I301" s="65"/>
    </row>
    <row r="302" spans="1:9" ht="20.100000000000001" customHeight="1">
      <c r="A302" s="59"/>
      <c r="B302" s="64" t="s">
        <v>2655</v>
      </c>
      <c r="C302" s="65" t="s">
        <v>2652</v>
      </c>
      <c r="D302" s="63" t="s">
        <v>2365</v>
      </c>
      <c r="E302" s="64" t="s">
        <v>2650</v>
      </c>
      <c r="F302" s="58" t="s">
        <v>2654</v>
      </c>
      <c r="G302" s="58">
        <f>(4.4*3.6)-(2*3)</f>
        <v>9.8400000000000016</v>
      </c>
      <c r="H302" s="180"/>
      <c r="I302" s="65"/>
    </row>
    <row r="303" spans="1:9" ht="20.100000000000001" customHeight="1">
      <c r="A303" s="59"/>
      <c r="B303" s="64" t="s">
        <v>2653</v>
      </c>
      <c r="C303" s="65" t="s">
        <v>2652</v>
      </c>
      <c r="D303" s="63" t="s">
        <v>2365</v>
      </c>
      <c r="E303" s="64" t="s">
        <v>2649</v>
      </c>
      <c r="F303" s="58" t="s">
        <v>3468</v>
      </c>
      <c r="G303" s="58">
        <f>4.8*2.9*2</f>
        <v>27.84</v>
      </c>
      <c r="H303" s="180"/>
      <c r="I303" s="65"/>
    </row>
    <row r="304" spans="1:9" ht="20.100000000000001" customHeight="1">
      <c r="A304" s="59"/>
      <c r="B304" s="64" t="s">
        <v>2653</v>
      </c>
      <c r="C304" s="65" t="s">
        <v>2652</v>
      </c>
      <c r="D304" s="63" t="s">
        <v>2365</v>
      </c>
      <c r="E304" s="64" t="s">
        <v>2648</v>
      </c>
      <c r="F304" s="58" t="s">
        <v>3467</v>
      </c>
      <c r="G304" s="58">
        <f>(9.6*3.6)-(1*3)</f>
        <v>31.560000000000002</v>
      </c>
      <c r="H304" s="180"/>
      <c r="I304" s="65"/>
    </row>
    <row r="305" spans="1:9" ht="20.100000000000001" customHeight="1">
      <c r="A305" s="59"/>
      <c r="B305" s="64" t="s">
        <v>2653</v>
      </c>
      <c r="C305" s="65" t="s">
        <v>2652</v>
      </c>
      <c r="D305" s="63" t="s">
        <v>2365</v>
      </c>
      <c r="E305" s="64" t="s">
        <v>2647</v>
      </c>
      <c r="F305" s="58" t="s">
        <v>2651</v>
      </c>
      <c r="G305" s="58">
        <f>0.6*1.5*4</f>
        <v>3.5999999999999996</v>
      </c>
      <c r="H305" s="180">
        <f>SUM(G302:G305)</f>
        <v>72.84</v>
      </c>
      <c r="I305" s="65"/>
    </row>
    <row r="306" spans="1:9" ht="20.100000000000001" customHeight="1">
      <c r="A306" s="59"/>
      <c r="B306" s="64"/>
      <c r="C306" s="65"/>
      <c r="D306" s="63"/>
      <c r="E306" s="65"/>
      <c r="F306" s="58"/>
      <c r="G306" s="58"/>
      <c r="H306" s="180"/>
      <c r="I306" s="65"/>
    </row>
    <row r="307" spans="1:9" ht="20.100000000000001" customHeight="1">
      <c r="A307" s="69">
        <v>8</v>
      </c>
      <c r="B307" s="68" t="s">
        <v>2645</v>
      </c>
      <c r="C307" s="65"/>
      <c r="D307" s="63"/>
      <c r="E307" s="65"/>
      <c r="F307" s="58"/>
      <c r="G307" s="58"/>
      <c r="H307" s="180"/>
      <c r="I307" s="65"/>
    </row>
    <row r="308" spans="1:9" ht="20.100000000000001" customHeight="1">
      <c r="A308" s="59"/>
      <c r="B308" s="67" t="s">
        <v>2644</v>
      </c>
      <c r="C308" s="65" t="s">
        <v>2643</v>
      </c>
      <c r="D308" s="65" t="s">
        <v>2628</v>
      </c>
      <c r="E308" s="65" t="s">
        <v>2627</v>
      </c>
      <c r="F308" s="58" t="s">
        <v>2642</v>
      </c>
      <c r="G308" s="66">
        <v>5</v>
      </c>
      <c r="H308" s="180">
        <f>G308</f>
        <v>5</v>
      </c>
      <c r="I308" s="65"/>
    </row>
    <row r="309" spans="1:9" ht="20.100000000000001" customHeight="1">
      <c r="A309" s="59"/>
      <c r="B309" s="65" t="s">
        <v>2638</v>
      </c>
      <c r="C309" s="146" t="s">
        <v>402</v>
      </c>
      <c r="D309" s="65" t="s">
        <v>2577</v>
      </c>
      <c r="E309" s="63" t="s">
        <v>2636</v>
      </c>
      <c r="F309" s="58" t="s">
        <v>2637</v>
      </c>
      <c r="G309" s="58">
        <f>(23/0.15)*4.5</f>
        <v>690</v>
      </c>
      <c r="H309" s="180">
        <f t="shared" ref="H309:H314" si="12">G309</f>
        <v>690</v>
      </c>
      <c r="I309" s="65"/>
    </row>
    <row r="310" spans="1:9" ht="20.100000000000001" customHeight="1">
      <c r="A310" s="59"/>
      <c r="B310" s="65" t="s">
        <v>3174</v>
      </c>
      <c r="C310" s="136" t="s">
        <v>3685</v>
      </c>
      <c r="D310" s="65" t="s">
        <v>2577</v>
      </c>
      <c r="E310" s="63"/>
      <c r="F310" s="58">
        <v>207</v>
      </c>
      <c r="G310" s="58">
        <f t="shared" ref="G310:G314" si="13">F310</f>
        <v>207</v>
      </c>
      <c r="H310" s="180">
        <f t="shared" si="12"/>
        <v>207</v>
      </c>
      <c r="I310" s="65"/>
    </row>
    <row r="311" spans="1:9" ht="20.100000000000001" customHeight="1">
      <c r="A311" s="59"/>
      <c r="B311" s="65" t="s">
        <v>3174</v>
      </c>
      <c r="C311" s="136" t="s">
        <v>3686</v>
      </c>
      <c r="D311" s="65" t="s">
        <v>2568</v>
      </c>
      <c r="E311" s="65"/>
      <c r="F311" s="58">
        <v>38</v>
      </c>
      <c r="G311" s="58">
        <f t="shared" si="13"/>
        <v>38</v>
      </c>
      <c r="H311" s="180">
        <f t="shared" si="12"/>
        <v>38</v>
      </c>
      <c r="I311" s="65"/>
    </row>
    <row r="312" spans="1:9" ht="20.100000000000001" customHeight="1">
      <c r="A312" s="59"/>
      <c r="B312" s="65" t="s">
        <v>3174</v>
      </c>
      <c r="C312" s="136" t="s">
        <v>3687</v>
      </c>
      <c r="D312" s="65" t="s">
        <v>2568</v>
      </c>
      <c r="E312" s="65"/>
      <c r="F312" s="58">
        <v>28</v>
      </c>
      <c r="G312" s="58">
        <f t="shared" si="13"/>
        <v>28</v>
      </c>
      <c r="H312" s="180">
        <f t="shared" si="12"/>
        <v>28</v>
      </c>
      <c r="I312" s="65"/>
    </row>
    <row r="313" spans="1:9" ht="20.100000000000001" customHeight="1">
      <c r="A313" s="59"/>
      <c r="B313" s="65" t="s">
        <v>3174</v>
      </c>
      <c r="C313" s="136" t="s">
        <v>3688</v>
      </c>
      <c r="D313" s="65" t="s">
        <v>2568</v>
      </c>
      <c r="E313" s="65"/>
      <c r="F313" s="58">
        <v>5</v>
      </c>
      <c r="G313" s="58">
        <f t="shared" si="13"/>
        <v>5</v>
      </c>
      <c r="H313" s="180">
        <f t="shared" si="12"/>
        <v>5</v>
      </c>
      <c r="I313" s="65"/>
    </row>
    <row r="314" spans="1:9" ht="20.100000000000001" customHeight="1">
      <c r="A314" s="59"/>
      <c r="B314" s="64" t="s">
        <v>3729</v>
      </c>
      <c r="C314" s="65" t="s">
        <v>3730</v>
      </c>
      <c r="D314" s="65" t="s">
        <v>2568</v>
      </c>
      <c r="E314" s="65"/>
      <c r="F314" s="58">
        <v>4</v>
      </c>
      <c r="G314" s="58">
        <f t="shared" si="13"/>
        <v>4</v>
      </c>
      <c r="H314" s="180">
        <f t="shared" si="12"/>
        <v>4</v>
      </c>
      <c r="I314" s="65"/>
    </row>
    <row r="315" spans="1:9" ht="20.100000000000001" customHeight="1">
      <c r="A315" s="59"/>
      <c r="B315" s="64" t="s">
        <v>2619</v>
      </c>
      <c r="C315" s="65"/>
      <c r="D315" s="65" t="s">
        <v>2577</v>
      </c>
      <c r="E315" s="65" t="s">
        <v>2613</v>
      </c>
      <c r="F315" s="58" t="s">
        <v>2618</v>
      </c>
      <c r="G315" s="58">
        <f>17+15</f>
        <v>32</v>
      </c>
      <c r="H315" s="180">
        <f>G315</f>
        <v>32</v>
      </c>
      <c r="I315" s="65"/>
    </row>
    <row r="316" spans="1:9" ht="20.100000000000001" customHeight="1">
      <c r="A316" s="59"/>
      <c r="B316" s="64" t="s">
        <v>2617</v>
      </c>
      <c r="C316" s="65"/>
      <c r="D316" s="63" t="s">
        <v>2579</v>
      </c>
      <c r="E316" s="65" t="s">
        <v>2613</v>
      </c>
      <c r="F316" s="58" t="s">
        <v>2616</v>
      </c>
      <c r="G316" s="58">
        <f>0.9+2.3+2.3+0.8+1.5+1.5+1.5+2.7+2.7+2.3+2.3+2.6+2.6</f>
        <v>26.000000000000004</v>
      </c>
      <c r="H316" s="180">
        <f>G316</f>
        <v>26.000000000000004</v>
      </c>
      <c r="I316" s="65"/>
    </row>
    <row r="317" spans="1:9" ht="20.100000000000001" customHeight="1">
      <c r="A317" s="59"/>
      <c r="B317" s="64" t="s">
        <v>2615</v>
      </c>
      <c r="C317" s="65" t="s">
        <v>2614</v>
      </c>
      <c r="D317" s="65" t="s">
        <v>2577</v>
      </c>
      <c r="E317" s="65" t="s">
        <v>2613</v>
      </c>
      <c r="F317" s="58">
        <v>13</v>
      </c>
      <c r="G317" s="58">
        <f>13</f>
        <v>13</v>
      </c>
      <c r="H317" s="180">
        <f>G317</f>
        <v>13</v>
      </c>
      <c r="I317" s="65"/>
    </row>
    <row r="318" spans="1:9" ht="20.100000000000001" customHeight="1">
      <c r="A318" s="59"/>
      <c r="B318" s="64" t="s">
        <v>2612</v>
      </c>
      <c r="C318" s="65"/>
      <c r="D318" s="63" t="s">
        <v>2611</v>
      </c>
      <c r="E318" s="65"/>
      <c r="F318" s="58">
        <v>14</v>
      </c>
      <c r="G318" s="58">
        <f>F318</f>
        <v>14</v>
      </c>
      <c r="H318" s="180">
        <f>G318</f>
        <v>14</v>
      </c>
      <c r="I318" s="65"/>
    </row>
    <row r="319" spans="1:9" s="89" customFormat="1" ht="20.100000000000001" customHeight="1">
      <c r="A319" s="61">
        <v>9</v>
      </c>
      <c r="B319" s="75" t="s">
        <v>3175</v>
      </c>
      <c r="C319" s="75"/>
      <c r="D319" s="75"/>
      <c r="E319" s="75"/>
      <c r="F319" s="60"/>
      <c r="G319" s="60"/>
      <c r="H319" s="180"/>
      <c r="I319" s="75"/>
    </row>
    <row r="320" spans="1:9" ht="20.100000000000001" customHeight="1">
      <c r="A320" s="59"/>
      <c r="B320" s="64" t="s">
        <v>2609</v>
      </c>
      <c r="C320" s="64" t="s">
        <v>2610</v>
      </c>
      <c r="D320" s="63" t="s">
        <v>2577</v>
      </c>
      <c r="E320" s="65" t="s">
        <v>2580</v>
      </c>
      <c r="F320" s="147">
        <v>800</v>
      </c>
      <c r="G320" s="58">
        <f t="shared" ref="G320:G328" si="14">F320</f>
        <v>800</v>
      </c>
      <c r="H320" s="180">
        <f t="shared" ref="H320:H328" si="15">G320</f>
        <v>800</v>
      </c>
      <c r="I320" s="65"/>
    </row>
    <row r="321" spans="1:9" ht="20.100000000000001" customHeight="1">
      <c r="A321" s="59"/>
      <c r="B321" s="64" t="s">
        <v>2609</v>
      </c>
      <c r="C321" s="64" t="s">
        <v>2608</v>
      </c>
      <c r="D321" s="63" t="s">
        <v>2577</v>
      </c>
      <c r="E321" s="65"/>
      <c r="F321" s="58">
        <v>104</v>
      </c>
      <c r="G321" s="58">
        <f t="shared" si="14"/>
        <v>104</v>
      </c>
      <c r="H321" s="180">
        <f t="shared" si="15"/>
        <v>104</v>
      </c>
      <c r="I321" s="58"/>
    </row>
    <row r="322" spans="1:9" ht="20.100000000000001" customHeight="1">
      <c r="A322" s="59"/>
      <c r="B322" s="64" t="s">
        <v>3629</v>
      </c>
      <c r="C322" s="64" t="s">
        <v>3601</v>
      </c>
      <c r="D322" s="63" t="s">
        <v>2626</v>
      </c>
      <c r="E322" s="65" t="s">
        <v>3602</v>
      </c>
      <c r="F322" s="58">
        <v>1</v>
      </c>
      <c r="G322" s="58">
        <f t="shared" si="14"/>
        <v>1</v>
      </c>
      <c r="H322" s="180">
        <f t="shared" si="15"/>
        <v>1</v>
      </c>
      <c r="I322" s="58"/>
    </row>
    <row r="323" spans="1:9" ht="20.100000000000001" customHeight="1">
      <c r="A323" s="59"/>
      <c r="B323" s="64" t="s">
        <v>3629</v>
      </c>
      <c r="C323" s="64" t="s">
        <v>3603</v>
      </c>
      <c r="D323" s="63" t="s">
        <v>2626</v>
      </c>
      <c r="E323" s="65" t="s">
        <v>3602</v>
      </c>
      <c r="F323" s="58">
        <v>1</v>
      </c>
      <c r="G323" s="58">
        <f t="shared" si="14"/>
        <v>1</v>
      </c>
      <c r="H323" s="180">
        <f t="shared" si="15"/>
        <v>1</v>
      </c>
      <c r="I323" s="58"/>
    </row>
    <row r="324" spans="1:9" ht="20.100000000000001" customHeight="1">
      <c r="A324" s="59"/>
      <c r="B324" s="64" t="s">
        <v>3629</v>
      </c>
      <c r="C324" s="64" t="s">
        <v>3604</v>
      </c>
      <c r="D324" s="63" t="s">
        <v>2626</v>
      </c>
      <c r="E324" s="65" t="s">
        <v>2673</v>
      </c>
      <c r="F324" s="58">
        <v>1</v>
      </c>
      <c r="G324" s="58">
        <f t="shared" si="14"/>
        <v>1</v>
      </c>
      <c r="H324" s="180">
        <f t="shared" si="15"/>
        <v>1</v>
      </c>
      <c r="I324" s="58"/>
    </row>
    <row r="325" spans="1:9" ht="20.100000000000001" customHeight="1">
      <c r="A325" s="59"/>
      <c r="B325" s="64" t="s">
        <v>3629</v>
      </c>
      <c r="C325" s="64" t="s">
        <v>3605</v>
      </c>
      <c r="D325" s="63" t="s">
        <v>2626</v>
      </c>
      <c r="E325" s="65" t="s">
        <v>3606</v>
      </c>
      <c r="F325" s="58">
        <v>1</v>
      </c>
      <c r="G325" s="58">
        <f t="shared" si="14"/>
        <v>1</v>
      </c>
      <c r="H325" s="180">
        <f t="shared" si="15"/>
        <v>1</v>
      </c>
      <c r="I325" s="58"/>
    </row>
    <row r="326" spans="1:9" ht="20.100000000000001" customHeight="1">
      <c r="A326" s="59"/>
      <c r="B326" s="64" t="s">
        <v>3629</v>
      </c>
      <c r="C326" s="64" t="s">
        <v>3607</v>
      </c>
      <c r="D326" s="63" t="s">
        <v>2626</v>
      </c>
      <c r="E326" s="65" t="s">
        <v>2673</v>
      </c>
      <c r="F326" s="58">
        <v>1</v>
      </c>
      <c r="G326" s="58">
        <f t="shared" si="14"/>
        <v>1</v>
      </c>
      <c r="H326" s="180">
        <f t="shared" si="15"/>
        <v>1</v>
      </c>
      <c r="I326" s="58"/>
    </row>
    <row r="327" spans="1:9" ht="20.100000000000001" customHeight="1">
      <c r="A327" s="59"/>
      <c r="B327" s="64" t="s">
        <v>3629</v>
      </c>
      <c r="C327" s="64" t="s">
        <v>3608</v>
      </c>
      <c r="D327" s="63" t="s">
        <v>2626</v>
      </c>
      <c r="E327" s="65" t="s">
        <v>2673</v>
      </c>
      <c r="F327" s="58">
        <v>1</v>
      </c>
      <c r="G327" s="58">
        <f t="shared" si="14"/>
        <v>1</v>
      </c>
      <c r="H327" s="180">
        <f t="shared" si="15"/>
        <v>1</v>
      </c>
      <c r="I327" s="58"/>
    </row>
    <row r="328" spans="1:9" ht="20.100000000000001" customHeight="1">
      <c r="A328" s="59"/>
      <c r="B328" s="64" t="s">
        <v>3629</v>
      </c>
      <c r="C328" s="64" t="s">
        <v>3609</v>
      </c>
      <c r="D328" s="63" t="s">
        <v>2626</v>
      </c>
      <c r="E328" s="65" t="s">
        <v>2673</v>
      </c>
      <c r="F328" s="58">
        <v>1</v>
      </c>
      <c r="G328" s="58">
        <f t="shared" si="14"/>
        <v>1</v>
      </c>
      <c r="H328" s="180">
        <f t="shared" si="15"/>
        <v>1</v>
      </c>
      <c r="I328" s="58"/>
    </row>
    <row r="329" spans="1:9" ht="20.100000000000001" customHeight="1">
      <c r="A329" s="59"/>
      <c r="B329" s="64" t="s">
        <v>3629</v>
      </c>
      <c r="C329" s="64" t="s">
        <v>3707</v>
      </c>
      <c r="D329" s="63" t="s">
        <v>2626</v>
      </c>
      <c r="E329" s="65" t="s">
        <v>2673</v>
      </c>
      <c r="F329" s="58">
        <v>1</v>
      </c>
      <c r="G329" s="58">
        <f t="shared" ref="G329:G338" si="16">F329</f>
        <v>1</v>
      </c>
      <c r="H329" s="180">
        <f t="shared" ref="H329:H338" si="17">G329</f>
        <v>1</v>
      </c>
      <c r="I329" s="58"/>
    </row>
    <row r="330" spans="1:9" ht="20.100000000000001" customHeight="1">
      <c r="A330" s="59"/>
      <c r="B330" s="64" t="s">
        <v>3629</v>
      </c>
      <c r="C330" s="64" t="s">
        <v>3708</v>
      </c>
      <c r="D330" s="63" t="s">
        <v>2626</v>
      </c>
      <c r="E330" s="65" t="s">
        <v>2673</v>
      </c>
      <c r="F330" s="58">
        <v>1</v>
      </c>
      <c r="G330" s="58">
        <f t="shared" si="16"/>
        <v>1</v>
      </c>
      <c r="H330" s="180">
        <f t="shared" si="17"/>
        <v>1</v>
      </c>
      <c r="I330" s="58"/>
    </row>
    <row r="331" spans="1:9" ht="20.100000000000001" customHeight="1">
      <c r="A331" s="59"/>
      <c r="B331" s="64" t="s">
        <v>3629</v>
      </c>
      <c r="C331" s="64" t="s">
        <v>3709</v>
      </c>
      <c r="D331" s="63" t="s">
        <v>2626</v>
      </c>
      <c r="E331" s="65" t="s">
        <v>2673</v>
      </c>
      <c r="F331" s="58">
        <v>1</v>
      </c>
      <c r="G331" s="58">
        <f t="shared" si="16"/>
        <v>1</v>
      </c>
      <c r="H331" s="180">
        <f t="shared" si="17"/>
        <v>1</v>
      </c>
      <c r="I331" s="58"/>
    </row>
    <row r="332" spans="1:9" ht="20.100000000000001" customHeight="1">
      <c r="A332" s="59"/>
      <c r="B332" s="64" t="s">
        <v>3629</v>
      </c>
      <c r="C332" s="64" t="s">
        <v>3710</v>
      </c>
      <c r="D332" s="63" t="s">
        <v>2626</v>
      </c>
      <c r="E332" s="65" t="s">
        <v>2673</v>
      </c>
      <c r="F332" s="58">
        <v>1</v>
      </c>
      <c r="G332" s="58">
        <f t="shared" si="16"/>
        <v>1</v>
      </c>
      <c r="H332" s="180">
        <f t="shared" si="17"/>
        <v>1</v>
      </c>
      <c r="I332" s="58"/>
    </row>
    <row r="333" spans="1:9" ht="20.100000000000001" customHeight="1">
      <c r="A333" s="59"/>
      <c r="B333" s="64" t="s">
        <v>3629</v>
      </c>
      <c r="C333" s="64" t="s">
        <v>3711</v>
      </c>
      <c r="D333" s="63" t="s">
        <v>2626</v>
      </c>
      <c r="E333" s="65" t="s">
        <v>2673</v>
      </c>
      <c r="F333" s="58">
        <v>1</v>
      </c>
      <c r="G333" s="58">
        <f t="shared" si="16"/>
        <v>1</v>
      </c>
      <c r="H333" s="180">
        <f t="shared" si="17"/>
        <v>1</v>
      </c>
      <c r="I333" s="58"/>
    </row>
    <row r="334" spans="1:9" ht="20.100000000000001" customHeight="1">
      <c r="A334" s="59"/>
      <c r="B334" s="64" t="s">
        <v>3629</v>
      </c>
      <c r="C334" s="64" t="s">
        <v>3712</v>
      </c>
      <c r="D334" s="63" t="s">
        <v>2626</v>
      </c>
      <c r="E334" s="65" t="s">
        <v>2673</v>
      </c>
      <c r="F334" s="58">
        <v>1</v>
      </c>
      <c r="G334" s="58">
        <f t="shared" si="16"/>
        <v>1</v>
      </c>
      <c r="H334" s="180">
        <f t="shared" si="17"/>
        <v>1</v>
      </c>
      <c r="I334" s="58"/>
    </row>
    <row r="335" spans="1:9" ht="20.100000000000001" customHeight="1">
      <c r="A335" s="59"/>
      <c r="B335" s="64" t="s">
        <v>3629</v>
      </c>
      <c r="C335" s="64" t="s">
        <v>3713</v>
      </c>
      <c r="D335" s="63" t="s">
        <v>2626</v>
      </c>
      <c r="E335" s="65" t="s">
        <v>2673</v>
      </c>
      <c r="F335" s="58">
        <v>1</v>
      </c>
      <c r="G335" s="58">
        <f t="shared" si="16"/>
        <v>1</v>
      </c>
      <c r="H335" s="180">
        <f t="shared" si="17"/>
        <v>1</v>
      </c>
      <c r="I335" s="58"/>
    </row>
    <row r="336" spans="1:9" ht="20.100000000000001" customHeight="1">
      <c r="A336" s="59"/>
      <c r="B336" s="64" t="s">
        <v>3629</v>
      </c>
      <c r="C336" s="64" t="s">
        <v>3714</v>
      </c>
      <c r="D336" s="63" t="s">
        <v>2626</v>
      </c>
      <c r="E336" s="65" t="s">
        <v>2673</v>
      </c>
      <c r="F336" s="58">
        <v>1</v>
      </c>
      <c r="G336" s="58">
        <f t="shared" si="16"/>
        <v>1</v>
      </c>
      <c r="H336" s="180">
        <f t="shared" si="17"/>
        <v>1</v>
      </c>
      <c r="I336" s="58"/>
    </row>
    <row r="337" spans="1:9" ht="20.100000000000001" customHeight="1">
      <c r="A337" s="59"/>
      <c r="B337" s="64" t="s">
        <v>3629</v>
      </c>
      <c r="C337" s="64" t="s">
        <v>3715</v>
      </c>
      <c r="D337" s="63" t="s">
        <v>2626</v>
      </c>
      <c r="E337" s="65" t="s">
        <v>2673</v>
      </c>
      <c r="F337" s="58">
        <v>2</v>
      </c>
      <c r="G337" s="58">
        <f t="shared" si="16"/>
        <v>2</v>
      </c>
      <c r="H337" s="180">
        <f t="shared" si="17"/>
        <v>2</v>
      </c>
      <c r="I337" s="58"/>
    </row>
    <row r="338" spans="1:9" ht="20.100000000000001" customHeight="1">
      <c r="A338" s="59"/>
      <c r="B338" s="64" t="s">
        <v>3629</v>
      </c>
      <c r="C338" s="64" t="s">
        <v>3717</v>
      </c>
      <c r="D338" s="63" t="s">
        <v>2626</v>
      </c>
      <c r="E338" s="65"/>
      <c r="F338" s="58">
        <v>1</v>
      </c>
      <c r="G338" s="58">
        <f t="shared" si="16"/>
        <v>1</v>
      </c>
      <c r="H338" s="180">
        <f t="shared" si="17"/>
        <v>1</v>
      </c>
      <c r="I338" s="58"/>
    </row>
    <row r="339" spans="1:9" ht="20.100000000000001" customHeight="1">
      <c r="A339" s="59"/>
      <c r="B339" s="64" t="s">
        <v>2598</v>
      </c>
      <c r="C339" s="64" t="s">
        <v>3731</v>
      </c>
      <c r="D339" s="63" t="s">
        <v>2577</v>
      </c>
      <c r="E339" s="65"/>
      <c r="F339" s="58">
        <v>1</v>
      </c>
      <c r="G339" s="58">
        <f t="shared" ref="G339:H339" si="18">F339</f>
        <v>1</v>
      </c>
      <c r="H339" s="180">
        <f t="shared" si="18"/>
        <v>1</v>
      </c>
      <c r="I339" s="58"/>
    </row>
    <row r="340" spans="1:9" ht="20.100000000000001" customHeight="1">
      <c r="A340" s="59"/>
      <c r="B340" s="64" t="s">
        <v>2598</v>
      </c>
      <c r="C340" s="64" t="s">
        <v>3733</v>
      </c>
      <c r="D340" s="63" t="s">
        <v>2577</v>
      </c>
      <c r="E340" s="65"/>
      <c r="F340" s="58">
        <v>3</v>
      </c>
      <c r="G340" s="58">
        <f t="shared" ref="G340:G345" si="19">F340</f>
        <v>3</v>
      </c>
      <c r="H340" s="180">
        <f t="shared" ref="H340:H345" si="20">G340</f>
        <v>3</v>
      </c>
      <c r="I340" s="58"/>
    </row>
    <row r="341" spans="1:9" ht="20.100000000000001" customHeight="1">
      <c r="A341" s="59"/>
      <c r="B341" s="64" t="s">
        <v>2598</v>
      </c>
      <c r="C341" s="64" t="s">
        <v>2604</v>
      </c>
      <c r="D341" s="63" t="s">
        <v>2577</v>
      </c>
      <c r="E341" s="65"/>
      <c r="F341" s="58">
        <v>6</v>
      </c>
      <c r="G341" s="58">
        <f t="shared" si="19"/>
        <v>6</v>
      </c>
      <c r="H341" s="180">
        <f t="shared" si="20"/>
        <v>6</v>
      </c>
      <c r="I341" s="58"/>
    </row>
    <row r="342" spans="1:9" ht="20.100000000000001" customHeight="1">
      <c r="A342" s="59"/>
      <c r="B342" s="64" t="s">
        <v>2598</v>
      </c>
      <c r="C342" s="64" t="s">
        <v>3734</v>
      </c>
      <c r="D342" s="63" t="s">
        <v>2577</v>
      </c>
      <c r="E342" s="65"/>
      <c r="F342" s="58">
        <v>8</v>
      </c>
      <c r="G342" s="58">
        <f t="shared" si="19"/>
        <v>8</v>
      </c>
      <c r="H342" s="180">
        <f t="shared" si="20"/>
        <v>8</v>
      </c>
      <c r="I342" s="58"/>
    </row>
    <row r="343" spans="1:9" ht="20.100000000000001" customHeight="1">
      <c r="A343" s="59"/>
      <c r="B343" s="64" t="s">
        <v>2598</v>
      </c>
      <c r="C343" s="64" t="s">
        <v>3732</v>
      </c>
      <c r="D343" s="63" t="s">
        <v>2577</v>
      </c>
      <c r="E343" s="65"/>
      <c r="F343" s="58">
        <v>8</v>
      </c>
      <c r="G343" s="58">
        <f t="shared" si="19"/>
        <v>8</v>
      </c>
      <c r="H343" s="180">
        <f t="shared" si="20"/>
        <v>8</v>
      </c>
      <c r="I343" s="58"/>
    </row>
    <row r="344" spans="1:9" ht="20.100000000000001" customHeight="1">
      <c r="A344" s="59"/>
      <c r="B344" s="64" t="s">
        <v>2587</v>
      </c>
      <c r="C344" s="64" t="s">
        <v>2586</v>
      </c>
      <c r="D344" s="63" t="s">
        <v>2578</v>
      </c>
      <c r="E344" s="65"/>
      <c r="F344" s="58">
        <v>1</v>
      </c>
      <c r="G344" s="58">
        <f t="shared" si="19"/>
        <v>1</v>
      </c>
      <c r="H344" s="180">
        <f t="shared" si="20"/>
        <v>1</v>
      </c>
      <c r="I344" s="58"/>
    </row>
    <row r="345" spans="1:9" ht="20.100000000000001" customHeight="1">
      <c r="A345" s="59"/>
      <c r="B345" s="64" t="s">
        <v>2585</v>
      </c>
      <c r="C345" s="64" t="s">
        <v>2584</v>
      </c>
      <c r="D345" s="63" t="s">
        <v>2577</v>
      </c>
      <c r="E345" s="65"/>
      <c r="F345" s="58">
        <v>3</v>
      </c>
      <c r="G345" s="58">
        <f t="shared" si="19"/>
        <v>3</v>
      </c>
      <c r="H345" s="180">
        <f t="shared" si="20"/>
        <v>3</v>
      </c>
      <c r="I345" s="58"/>
    </row>
    <row r="346" spans="1:9" ht="20.100000000000001" customHeight="1">
      <c r="A346" s="59"/>
      <c r="B346" s="64" t="s">
        <v>2585</v>
      </c>
      <c r="C346" s="64" t="s">
        <v>2596</v>
      </c>
      <c r="D346" s="63" t="s">
        <v>2577</v>
      </c>
      <c r="E346" s="65"/>
      <c r="F346" s="58">
        <v>4</v>
      </c>
      <c r="G346" s="58">
        <f t="shared" ref="G346:G355" si="21">F346</f>
        <v>4</v>
      </c>
      <c r="H346" s="180">
        <f t="shared" ref="H346:H355" si="22">G346</f>
        <v>4</v>
      </c>
      <c r="I346" s="58"/>
    </row>
    <row r="347" spans="1:9" ht="20.100000000000001" customHeight="1">
      <c r="A347" s="59"/>
      <c r="B347" s="64" t="s">
        <v>2585</v>
      </c>
      <c r="C347" s="64" t="s">
        <v>2595</v>
      </c>
      <c r="D347" s="63" t="s">
        <v>2577</v>
      </c>
      <c r="E347" s="65"/>
      <c r="F347" s="58">
        <v>1</v>
      </c>
      <c r="G347" s="58">
        <f t="shared" si="21"/>
        <v>1</v>
      </c>
      <c r="H347" s="180">
        <f t="shared" si="22"/>
        <v>1</v>
      </c>
      <c r="I347" s="58"/>
    </row>
    <row r="348" spans="1:9" ht="20.100000000000001" customHeight="1">
      <c r="A348" s="59"/>
      <c r="B348" s="64" t="s">
        <v>2585</v>
      </c>
      <c r="C348" s="64" t="s">
        <v>2594</v>
      </c>
      <c r="D348" s="63" t="s">
        <v>2577</v>
      </c>
      <c r="E348" s="65"/>
      <c r="F348" s="58">
        <v>8</v>
      </c>
      <c r="G348" s="58">
        <f t="shared" si="21"/>
        <v>8</v>
      </c>
      <c r="H348" s="180">
        <f t="shared" si="22"/>
        <v>8</v>
      </c>
      <c r="I348" s="58"/>
    </row>
    <row r="349" spans="1:9" ht="20.100000000000001" customHeight="1">
      <c r="A349" s="59"/>
      <c r="B349" s="64" t="s">
        <v>2585</v>
      </c>
      <c r="C349" s="64" t="s">
        <v>2593</v>
      </c>
      <c r="D349" s="63" t="s">
        <v>2577</v>
      </c>
      <c r="E349" s="65"/>
      <c r="F349" s="58">
        <v>1</v>
      </c>
      <c r="G349" s="58">
        <f t="shared" si="21"/>
        <v>1</v>
      </c>
      <c r="H349" s="180">
        <f t="shared" si="22"/>
        <v>1</v>
      </c>
      <c r="I349" s="58"/>
    </row>
    <row r="350" spans="1:9" ht="20.100000000000001" customHeight="1">
      <c r="A350" s="59"/>
      <c r="B350" s="64" t="s">
        <v>2585</v>
      </c>
      <c r="C350" s="64" t="s">
        <v>2592</v>
      </c>
      <c r="D350" s="63" t="s">
        <v>2577</v>
      </c>
      <c r="E350" s="65"/>
      <c r="F350" s="58">
        <v>1</v>
      </c>
      <c r="G350" s="58">
        <f t="shared" si="21"/>
        <v>1</v>
      </c>
      <c r="H350" s="180">
        <f t="shared" si="22"/>
        <v>1</v>
      </c>
      <c r="I350" s="58"/>
    </row>
    <row r="351" spans="1:9" s="89" customFormat="1" ht="20.100000000000001" customHeight="1">
      <c r="A351" s="59"/>
      <c r="B351" s="64" t="s">
        <v>2585</v>
      </c>
      <c r="C351" s="64" t="s">
        <v>2591</v>
      </c>
      <c r="D351" s="63" t="s">
        <v>2577</v>
      </c>
      <c r="E351" s="65"/>
      <c r="F351" s="58">
        <v>1</v>
      </c>
      <c r="G351" s="58">
        <f t="shared" si="21"/>
        <v>1</v>
      </c>
      <c r="H351" s="180">
        <f t="shared" si="22"/>
        <v>1</v>
      </c>
      <c r="I351" s="58"/>
    </row>
    <row r="352" spans="1:9" ht="20.100000000000001" customHeight="1">
      <c r="A352" s="59"/>
      <c r="B352" s="64" t="s">
        <v>2585</v>
      </c>
      <c r="C352" s="64" t="s">
        <v>2590</v>
      </c>
      <c r="D352" s="63" t="s">
        <v>2577</v>
      </c>
      <c r="E352" s="65"/>
      <c r="F352" s="58">
        <v>7</v>
      </c>
      <c r="G352" s="58">
        <f t="shared" si="21"/>
        <v>7</v>
      </c>
      <c r="H352" s="180">
        <f t="shared" si="22"/>
        <v>7</v>
      </c>
      <c r="I352" s="58"/>
    </row>
    <row r="353" spans="1:9" ht="20.100000000000001" customHeight="1">
      <c r="A353" s="59"/>
      <c r="B353" s="64" t="s">
        <v>2585</v>
      </c>
      <c r="C353" s="64" t="s">
        <v>3735</v>
      </c>
      <c r="D353" s="63" t="s">
        <v>2577</v>
      </c>
      <c r="E353" s="65"/>
      <c r="F353" s="58">
        <v>3</v>
      </c>
      <c r="G353" s="58">
        <f t="shared" si="21"/>
        <v>3</v>
      </c>
      <c r="H353" s="180">
        <f t="shared" si="22"/>
        <v>3</v>
      </c>
      <c r="I353" s="58"/>
    </row>
    <row r="354" spans="1:9" ht="20.100000000000001" customHeight="1">
      <c r="A354" s="59"/>
      <c r="B354" s="64" t="s">
        <v>2585</v>
      </c>
      <c r="C354" s="64" t="s">
        <v>2589</v>
      </c>
      <c r="D354" s="63" t="s">
        <v>2577</v>
      </c>
      <c r="E354" s="65"/>
      <c r="F354" s="58">
        <v>6</v>
      </c>
      <c r="G354" s="58">
        <f t="shared" si="21"/>
        <v>6</v>
      </c>
      <c r="H354" s="180">
        <f t="shared" si="22"/>
        <v>6</v>
      </c>
      <c r="I354" s="58"/>
    </row>
    <row r="355" spans="1:9" ht="20.100000000000001" customHeight="1">
      <c r="A355" s="59"/>
      <c r="B355" s="64" t="s">
        <v>2585</v>
      </c>
      <c r="C355" s="64" t="s">
        <v>2588</v>
      </c>
      <c r="D355" s="63" t="s">
        <v>2577</v>
      </c>
      <c r="E355" s="65"/>
      <c r="F355" s="58">
        <v>1</v>
      </c>
      <c r="G355" s="58">
        <f t="shared" si="21"/>
        <v>1</v>
      </c>
      <c r="H355" s="180">
        <f t="shared" si="22"/>
        <v>1</v>
      </c>
      <c r="I355" s="58"/>
    </row>
    <row r="356" spans="1:9" ht="20.100000000000001" customHeight="1">
      <c r="A356" s="59"/>
      <c r="B356" s="64" t="s">
        <v>3176</v>
      </c>
      <c r="C356" s="64"/>
      <c r="D356" s="63" t="s">
        <v>3177</v>
      </c>
      <c r="E356" s="65"/>
      <c r="F356" s="58">
        <v>45</v>
      </c>
      <c r="G356" s="58">
        <v>45</v>
      </c>
      <c r="H356" s="180">
        <v>45</v>
      </c>
      <c r="I356" s="58"/>
    </row>
    <row r="357" spans="1:9" ht="20.100000000000001" customHeight="1">
      <c r="A357" s="59"/>
      <c r="B357" s="64"/>
      <c r="C357" s="64"/>
      <c r="D357" s="63"/>
      <c r="E357" s="65"/>
      <c r="F357" s="58"/>
      <c r="G357" s="58"/>
      <c r="H357" s="180"/>
      <c r="I357" s="58"/>
    </row>
    <row r="358" spans="1:9" ht="20.100000000000001" customHeight="1">
      <c r="A358" s="61">
        <v>10</v>
      </c>
      <c r="B358" s="68" t="s">
        <v>3178</v>
      </c>
      <c r="C358" s="68"/>
      <c r="D358" s="73"/>
      <c r="E358" s="75"/>
      <c r="F358" s="60"/>
      <c r="G358" s="60"/>
      <c r="H358" s="180"/>
      <c r="I358" s="60"/>
    </row>
    <row r="359" spans="1:9" ht="20.100000000000001" customHeight="1">
      <c r="A359" s="59"/>
      <c r="B359" s="65" t="s">
        <v>3179</v>
      </c>
      <c r="C359" s="65" t="s">
        <v>2641</v>
      </c>
      <c r="D359" s="65" t="s">
        <v>2611</v>
      </c>
      <c r="E359" s="65" t="s">
        <v>2580</v>
      </c>
      <c r="F359" s="58">
        <v>18</v>
      </c>
      <c r="G359" s="58">
        <f t="shared" ref="G359:G428" si="23">F359</f>
        <v>18</v>
      </c>
      <c r="H359" s="180">
        <f t="shared" ref="H359:H388" si="24">G359</f>
        <v>18</v>
      </c>
      <c r="I359" s="65"/>
    </row>
    <row r="360" spans="1:9" ht="20.100000000000001" customHeight="1">
      <c r="A360" s="59"/>
      <c r="B360" s="65" t="s">
        <v>3180</v>
      </c>
      <c r="C360" s="65" t="s">
        <v>2640</v>
      </c>
      <c r="D360" s="65" t="s">
        <v>2577</v>
      </c>
      <c r="E360" s="65" t="s">
        <v>2580</v>
      </c>
      <c r="F360" s="58" t="s">
        <v>2639</v>
      </c>
      <c r="G360" s="58">
        <f>16*3</f>
        <v>48</v>
      </c>
      <c r="H360" s="180">
        <f t="shared" si="24"/>
        <v>48</v>
      </c>
      <c r="I360" s="65"/>
    </row>
    <row r="361" spans="1:9" ht="20.100000000000001" customHeight="1">
      <c r="A361" s="59"/>
      <c r="B361" s="65" t="s">
        <v>2635</v>
      </c>
      <c r="C361" s="65" t="s">
        <v>2634</v>
      </c>
      <c r="D361" s="65" t="s">
        <v>2577</v>
      </c>
      <c r="E361" s="65" t="s">
        <v>2580</v>
      </c>
      <c r="F361" s="58">
        <v>1</v>
      </c>
      <c r="G361" s="58">
        <f t="shared" si="23"/>
        <v>1</v>
      </c>
      <c r="H361" s="180">
        <f t="shared" si="24"/>
        <v>1</v>
      </c>
      <c r="I361" s="65"/>
    </row>
    <row r="362" spans="1:9" ht="20.100000000000001" customHeight="1">
      <c r="A362" s="59"/>
      <c r="B362" s="65" t="s">
        <v>496</v>
      </c>
      <c r="C362" s="65" t="s">
        <v>3224</v>
      </c>
      <c r="D362" s="65" t="s">
        <v>2577</v>
      </c>
      <c r="E362" s="65" t="s">
        <v>2580</v>
      </c>
      <c r="F362" s="58">
        <v>1</v>
      </c>
      <c r="G362" s="58">
        <f t="shared" si="23"/>
        <v>1</v>
      </c>
      <c r="H362" s="180">
        <f t="shared" si="24"/>
        <v>1</v>
      </c>
      <c r="I362" s="65"/>
    </row>
    <row r="363" spans="1:9" ht="20.100000000000001" customHeight="1">
      <c r="A363" s="59"/>
      <c r="B363" s="65" t="s">
        <v>499</v>
      </c>
      <c r="C363" s="65" t="s">
        <v>3225</v>
      </c>
      <c r="D363" s="65" t="s">
        <v>2577</v>
      </c>
      <c r="E363" s="65" t="s">
        <v>2580</v>
      </c>
      <c r="F363" s="58">
        <v>1</v>
      </c>
      <c r="G363" s="58">
        <f t="shared" si="23"/>
        <v>1</v>
      </c>
      <c r="H363" s="180">
        <f t="shared" si="24"/>
        <v>1</v>
      </c>
      <c r="I363" s="65"/>
    </row>
    <row r="364" spans="1:9" ht="20.100000000000001" customHeight="1">
      <c r="A364" s="59"/>
      <c r="B364" s="65" t="s">
        <v>502</v>
      </c>
      <c r="C364" s="65" t="s">
        <v>3226</v>
      </c>
      <c r="D364" s="65" t="s">
        <v>2577</v>
      </c>
      <c r="E364" s="65" t="s">
        <v>2580</v>
      </c>
      <c r="F364" s="58">
        <v>2</v>
      </c>
      <c r="G364" s="58">
        <f t="shared" si="23"/>
        <v>2</v>
      </c>
      <c r="H364" s="180">
        <f t="shared" si="24"/>
        <v>2</v>
      </c>
      <c r="I364" s="65"/>
    </row>
    <row r="365" spans="1:9" ht="20.100000000000001" customHeight="1">
      <c r="A365" s="59"/>
      <c r="B365" s="65" t="s">
        <v>2345</v>
      </c>
      <c r="C365" s="65" t="s">
        <v>3227</v>
      </c>
      <c r="D365" s="65" t="s">
        <v>2577</v>
      </c>
      <c r="E365" s="65" t="s">
        <v>2580</v>
      </c>
      <c r="F365" s="58">
        <v>1</v>
      </c>
      <c r="G365" s="58">
        <f t="shared" si="23"/>
        <v>1</v>
      </c>
      <c r="H365" s="180">
        <f t="shared" si="24"/>
        <v>1</v>
      </c>
      <c r="I365" s="65"/>
    </row>
    <row r="366" spans="1:9" ht="20.100000000000001" customHeight="1">
      <c r="A366" s="59"/>
      <c r="B366" s="65" t="s">
        <v>2346</v>
      </c>
      <c r="C366" s="65" t="s">
        <v>3228</v>
      </c>
      <c r="D366" s="65" t="s">
        <v>2577</v>
      </c>
      <c r="E366" s="65" t="s">
        <v>2580</v>
      </c>
      <c r="F366" s="58">
        <v>1</v>
      </c>
      <c r="G366" s="58">
        <f t="shared" si="23"/>
        <v>1</v>
      </c>
      <c r="H366" s="180">
        <f t="shared" si="24"/>
        <v>1</v>
      </c>
      <c r="I366" s="65"/>
    </row>
    <row r="367" spans="1:9" ht="20.100000000000001" customHeight="1">
      <c r="A367" s="59"/>
      <c r="B367" s="65" t="s">
        <v>3222</v>
      </c>
      <c r="C367" s="65" t="s">
        <v>3229</v>
      </c>
      <c r="D367" s="65" t="s">
        <v>2568</v>
      </c>
      <c r="E367" s="65" t="s">
        <v>2580</v>
      </c>
      <c r="F367" s="58">
        <v>1</v>
      </c>
      <c r="G367" s="58">
        <f t="shared" ref="G367:G368" si="25">F367</f>
        <v>1</v>
      </c>
      <c r="H367" s="180">
        <f t="shared" ref="H367:H368" si="26">G367</f>
        <v>1</v>
      </c>
      <c r="I367" s="65"/>
    </row>
    <row r="368" spans="1:9" ht="20.100000000000001" customHeight="1">
      <c r="A368" s="59"/>
      <c r="B368" s="65" t="s">
        <v>3223</v>
      </c>
      <c r="C368" s="65" t="s">
        <v>2633</v>
      </c>
      <c r="D368" s="65" t="s">
        <v>2568</v>
      </c>
      <c r="E368" s="65" t="s">
        <v>2580</v>
      </c>
      <c r="F368" s="58">
        <v>1</v>
      </c>
      <c r="G368" s="58">
        <f t="shared" si="25"/>
        <v>1</v>
      </c>
      <c r="H368" s="180">
        <f t="shared" si="26"/>
        <v>1</v>
      </c>
      <c r="I368" s="65"/>
    </row>
    <row r="369" spans="1:9" ht="20.100000000000001" customHeight="1">
      <c r="A369" s="59"/>
      <c r="B369" s="65" t="s">
        <v>2632</v>
      </c>
      <c r="C369" s="65" t="s">
        <v>2631</v>
      </c>
      <c r="D369" s="65" t="s">
        <v>2577</v>
      </c>
      <c r="E369" s="65" t="s">
        <v>2627</v>
      </c>
      <c r="F369" s="58">
        <v>2</v>
      </c>
      <c r="G369" s="58">
        <f t="shared" si="23"/>
        <v>2</v>
      </c>
      <c r="H369" s="180">
        <f t="shared" si="24"/>
        <v>2</v>
      </c>
      <c r="I369" s="65"/>
    </row>
    <row r="370" spans="1:9" ht="20.100000000000001" customHeight="1">
      <c r="A370" s="59"/>
      <c r="B370" s="65" t="s">
        <v>3236</v>
      </c>
      <c r="C370" s="65" t="s">
        <v>3237</v>
      </c>
      <c r="D370" s="65" t="s">
        <v>2577</v>
      </c>
      <c r="E370" s="65" t="s">
        <v>2627</v>
      </c>
      <c r="F370" s="58">
        <v>4</v>
      </c>
      <c r="G370" s="58">
        <f t="shared" si="23"/>
        <v>4</v>
      </c>
      <c r="H370" s="180">
        <f t="shared" si="24"/>
        <v>4</v>
      </c>
      <c r="I370" s="65"/>
    </row>
    <row r="371" spans="1:9" ht="20.100000000000001" customHeight="1">
      <c r="A371" s="59"/>
      <c r="B371" s="65" t="s">
        <v>3234</v>
      </c>
      <c r="C371" s="65" t="s">
        <v>3235</v>
      </c>
      <c r="D371" s="65" t="s">
        <v>2578</v>
      </c>
      <c r="E371" s="65" t="s">
        <v>2625</v>
      </c>
      <c r="F371" s="58">
        <v>5</v>
      </c>
      <c r="G371" s="58">
        <f t="shared" si="23"/>
        <v>5</v>
      </c>
      <c r="H371" s="180">
        <f t="shared" si="24"/>
        <v>5</v>
      </c>
      <c r="I371" s="65"/>
    </row>
    <row r="372" spans="1:9" ht="20.100000000000001" customHeight="1">
      <c r="A372" s="59"/>
      <c r="B372" s="65" t="s">
        <v>2350</v>
      </c>
      <c r="C372" s="65" t="s">
        <v>3230</v>
      </c>
      <c r="D372" s="65" t="s">
        <v>2577</v>
      </c>
      <c r="E372" s="65" t="s">
        <v>2627</v>
      </c>
      <c r="F372" s="58">
        <v>1</v>
      </c>
      <c r="G372" s="58">
        <f t="shared" si="23"/>
        <v>1</v>
      </c>
      <c r="H372" s="180">
        <f t="shared" si="24"/>
        <v>1</v>
      </c>
      <c r="I372" s="65"/>
    </row>
    <row r="373" spans="1:9" ht="20.100000000000001" customHeight="1">
      <c r="A373" s="59"/>
      <c r="B373" s="65" t="s">
        <v>2630</v>
      </c>
      <c r="C373" s="65" t="s">
        <v>3231</v>
      </c>
      <c r="D373" s="65" t="s">
        <v>2577</v>
      </c>
      <c r="E373" s="65" t="s">
        <v>2627</v>
      </c>
      <c r="F373" s="58">
        <v>1</v>
      </c>
      <c r="G373" s="58">
        <f t="shared" si="23"/>
        <v>1</v>
      </c>
      <c r="H373" s="180">
        <f t="shared" si="24"/>
        <v>1</v>
      </c>
      <c r="I373" s="65"/>
    </row>
    <row r="374" spans="1:9" ht="20.100000000000001" customHeight="1">
      <c r="A374" s="59"/>
      <c r="B374" s="65" t="s">
        <v>2629</v>
      </c>
      <c r="C374" s="65" t="s">
        <v>3232</v>
      </c>
      <c r="D374" s="65" t="s">
        <v>2577</v>
      </c>
      <c r="E374" s="65" t="s">
        <v>2627</v>
      </c>
      <c r="F374" s="58">
        <v>1</v>
      </c>
      <c r="G374" s="58">
        <f t="shared" si="23"/>
        <v>1</v>
      </c>
      <c r="H374" s="180">
        <f t="shared" si="24"/>
        <v>1</v>
      </c>
      <c r="I374" s="65"/>
    </row>
    <row r="375" spans="1:9" ht="20.100000000000001" customHeight="1">
      <c r="A375" s="59"/>
      <c r="B375" s="65" t="s">
        <v>2351</v>
      </c>
      <c r="C375" s="65" t="s">
        <v>3233</v>
      </c>
      <c r="D375" s="65" t="s">
        <v>2568</v>
      </c>
      <c r="E375" s="65" t="s">
        <v>2627</v>
      </c>
      <c r="F375" s="58">
        <v>1</v>
      </c>
      <c r="G375" s="58">
        <f t="shared" si="23"/>
        <v>1</v>
      </c>
      <c r="H375" s="180">
        <f t="shared" si="24"/>
        <v>1</v>
      </c>
      <c r="I375" s="65"/>
    </row>
    <row r="376" spans="1:9" ht="20.100000000000001" customHeight="1">
      <c r="A376" s="59"/>
      <c r="B376" s="65" t="s">
        <v>2624</v>
      </c>
      <c r="C376" s="65" t="s">
        <v>3736</v>
      </c>
      <c r="D376" s="65" t="s">
        <v>2578</v>
      </c>
      <c r="E376" s="65" t="s">
        <v>2620</v>
      </c>
      <c r="F376" s="58">
        <v>1</v>
      </c>
      <c r="G376" s="66">
        <f t="shared" si="23"/>
        <v>1</v>
      </c>
      <c r="H376" s="180">
        <f t="shared" si="24"/>
        <v>1</v>
      </c>
      <c r="I376" s="65"/>
    </row>
    <row r="377" spans="1:9" ht="20.100000000000001" customHeight="1">
      <c r="A377" s="59"/>
      <c r="B377" s="65" t="s">
        <v>2623</v>
      </c>
      <c r="C377" s="65" t="s">
        <v>2622</v>
      </c>
      <c r="D377" s="65" t="s">
        <v>2577</v>
      </c>
      <c r="E377" s="65" t="s">
        <v>2620</v>
      </c>
      <c r="F377" s="58">
        <v>5</v>
      </c>
      <c r="G377" s="66">
        <f t="shared" si="23"/>
        <v>5</v>
      </c>
      <c r="H377" s="180">
        <f t="shared" si="24"/>
        <v>5</v>
      </c>
      <c r="I377" s="65"/>
    </row>
    <row r="378" spans="1:9" ht="20.100000000000001" customHeight="1">
      <c r="A378" s="59"/>
      <c r="B378" s="65" t="s">
        <v>2621</v>
      </c>
      <c r="C378" s="65"/>
      <c r="D378" s="65" t="s">
        <v>2577</v>
      </c>
      <c r="E378" s="65" t="s">
        <v>2620</v>
      </c>
      <c r="F378" s="58">
        <v>24</v>
      </c>
      <c r="G378" s="66">
        <f t="shared" si="23"/>
        <v>24</v>
      </c>
      <c r="H378" s="180">
        <f>G378</f>
        <v>24</v>
      </c>
      <c r="I378" s="65"/>
    </row>
    <row r="379" spans="1:9" ht="20.100000000000001" customHeight="1">
      <c r="A379" s="59"/>
      <c r="B379" s="65" t="s">
        <v>514</v>
      </c>
      <c r="C379" s="65" t="s">
        <v>535</v>
      </c>
      <c r="D379" s="65" t="s">
        <v>3182</v>
      </c>
      <c r="E379" s="65"/>
      <c r="F379" s="58">
        <v>4</v>
      </c>
      <c r="G379" s="66">
        <f t="shared" si="23"/>
        <v>4</v>
      </c>
      <c r="H379" s="180">
        <f t="shared" si="24"/>
        <v>4</v>
      </c>
      <c r="I379" s="65"/>
    </row>
    <row r="380" spans="1:9" ht="20.100000000000001" customHeight="1">
      <c r="A380" s="59"/>
      <c r="B380" s="65" t="s">
        <v>514</v>
      </c>
      <c r="C380" s="65" t="s">
        <v>541</v>
      </c>
      <c r="D380" s="65" t="s">
        <v>3182</v>
      </c>
      <c r="E380" s="65"/>
      <c r="F380" s="58">
        <v>3</v>
      </c>
      <c r="G380" s="66">
        <f t="shared" si="23"/>
        <v>3</v>
      </c>
      <c r="H380" s="180">
        <f t="shared" si="24"/>
        <v>3</v>
      </c>
      <c r="I380" s="65"/>
    </row>
    <row r="381" spans="1:9" ht="20.100000000000001" customHeight="1">
      <c r="A381" s="59"/>
      <c r="B381" s="65" t="s">
        <v>514</v>
      </c>
      <c r="C381" s="65" t="s">
        <v>532</v>
      </c>
      <c r="D381" s="65" t="s">
        <v>3182</v>
      </c>
      <c r="E381" s="65"/>
      <c r="F381" s="58">
        <v>2</v>
      </c>
      <c r="G381" s="66">
        <f t="shared" si="23"/>
        <v>2</v>
      </c>
      <c r="H381" s="180">
        <f t="shared" si="24"/>
        <v>2</v>
      </c>
      <c r="I381" s="65"/>
    </row>
    <row r="382" spans="1:9" ht="20.100000000000001" customHeight="1">
      <c r="A382" s="59"/>
      <c r="B382" s="65" t="s">
        <v>514</v>
      </c>
      <c r="C382" s="65" t="s">
        <v>517</v>
      </c>
      <c r="D382" s="65" t="s">
        <v>3182</v>
      </c>
      <c r="E382" s="65"/>
      <c r="F382" s="58">
        <v>1</v>
      </c>
      <c r="G382" s="66">
        <f t="shared" si="23"/>
        <v>1</v>
      </c>
      <c r="H382" s="180">
        <f t="shared" si="24"/>
        <v>1</v>
      </c>
      <c r="I382" s="65"/>
    </row>
    <row r="383" spans="1:9" ht="20.100000000000001" customHeight="1">
      <c r="A383" s="59"/>
      <c r="B383" s="65" t="s">
        <v>514</v>
      </c>
      <c r="C383" s="65" t="s">
        <v>526</v>
      </c>
      <c r="D383" s="65" t="s">
        <v>3182</v>
      </c>
      <c r="E383" s="65"/>
      <c r="F383" s="58">
        <v>1</v>
      </c>
      <c r="G383" s="66">
        <f t="shared" si="23"/>
        <v>1</v>
      </c>
      <c r="H383" s="180">
        <f t="shared" si="24"/>
        <v>1</v>
      </c>
      <c r="I383" s="65"/>
    </row>
    <row r="384" spans="1:9" ht="20.100000000000001" customHeight="1">
      <c r="A384" s="59"/>
      <c r="B384" s="65" t="s">
        <v>514</v>
      </c>
      <c r="C384" s="65" t="s">
        <v>538</v>
      </c>
      <c r="D384" s="65" t="s">
        <v>3182</v>
      </c>
      <c r="E384" s="65"/>
      <c r="F384" s="58">
        <v>1</v>
      </c>
      <c r="G384" s="66">
        <f t="shared" si="23"/>
        <v>1</v>
      </c>
      <c r="H384" s="180">
        <f t="shared" si="24"/>
        <v>1</v>
      </c>
      <c r="I384" s="65"/>
    </row>
    <row r="385" spans="1:9" ht="20.100000000000001" customHeight="1">
      <c r="A385" s="59"/>
      <c r="B385" s="65" t="s">
        <v>514</v>
      </c>
      <c r="C385" s="65" t="s">
        <v>529</v>
      </c>
      <c r="D385" s="65" t="s">
        <v>3182</v>
      </c>
      <c r="E385" s="65"/>
      <c r="F385" s="58">
        <v>1</v>
      </c>
      <c r="G385" s="66">
        <f t="shared" si="23"/>
        <v>1</v>
      </c>
      <c r="H385" s="180">
        <f t="shared" si="24"/>
        <v>1</v>
      </c>
      <c r="I385" s="65"/>
    </row>
    <row r="386" spans="1:9" ht="20.100000000000001" customHeight="1">
      <c r="A386" s="59"/>
      <c r="B386" s="65" t="s">
        <v>514</v>
      </c>
      <c r="C386" s="65" t="s">
        <v>523</v>
      </c>
      <c r="D386" s="65" t="s">
        <v>3182</v>
      </c>
      <c r="E386" s="65"/>
      <c r="F386" s="58">
        <v>2</v>
      </c>
      <c r="G386" s="66">
        <f t="shared" si="23"/>
        <v>2</v>
      </c>
      <c r="H386" s="180">
        <f t="shared" si="24"/>
        <v>2</v>
      </c>
      <c r="I386" s="65"/>
    </row>
    <row r="387" spans="1:9" ht="20.100000000000001" customHeight="1">
      <c r="A387" s="59"/>
      <c r="B387" s="65" t="s">
        <v>514</v>
      </c>
      <c r="C387" s="65" t="s">
        <v>520</v>
      </c>
      <c r="D387" s="65" t="s">
        <v>3182</v>
      </c>
      <c r="E387" s="65"/>
      <c r="F387" s="58">
        <v>1</v>
      </c>
      <c r="G387" s="66">
        <f t="shared" si="23"/>
        <v>1</v>
      </c>
      <c r="H387" s="180">
        <f t="shared" si="24"/>
        <v>1</v>
      </c>
      <c r="I387" s="65"/>
    </row>
    <row r="388" spans="1:9" ht="20.100000000000001" customHeight="1">
      <c r="A388" s="59"/>
      <c r="B388" s="65" t="s">
        <v>514</v>
      </c>
      <c r="C388" s="65" t="s">
        <v>515</v>
      </c>
      <c r="D388" s="65" t="s">
        <v>3182</v>
      </c>
      <c r="E388" s="65"/>
      <c r="F388" s="58">
        <v>1</v>
      </c>
      <c r="G388" s="66">
        <f t="shared" si="23"/>
        <v>1</v>
      </c>
      <c r="H388" s="180">
        <f t="shared" si="24"/>
        <v>1</v>
      </c>
      <c r="I388" s="65"/>
    </row>
    <row r="389" spans="1:9" ht="20.100000000000001" customHeight="1">
      <c r="A389" s="59"/>
      <c r="B389" s="65" t="s">
        <v>544</v>
      </c>
      <c r="C389" s="65" t="s">
        <v>3238</v>
      </c>
      <c r="D389" s="65" t="s">
        <v>3182</v>
      </c>
      <c r="E389" s="65"/>
      <c r="F389" s="58">
        <v>1</v>
      </c>
      <c r="G389" s="66">
        <f t="shared" si="23"/>
        <v>1</v>
      </c>
      <c r="H389" s="180">
        <f>G389</f>
        <v>1</v>
      </c>
      <c r="I389" s="65"/>
    </row>
    <row r="390" spans="1:9" ht="20.100000000000001" customHeight="1">
      <c r="A390" s="59"/>
      <c r="B390" s="65" t="s">
        <v>544</v>
      </c>
      <c r="C390" s="65" t="s">
        <v>3239</v>
      </c>
      <c r="D390" s="65" t="s">
        <v>2568</v>
      </c>
      <c r="E390" s="65"/>
      <c r="F390" s="58">
        <v>1</v>
      </c>
      <c r="G390" s="66">
        <f t="shared" si="23"/>
        <v>1</v>
      </c>
      <c r="H390" s="180">
        <f t="shared" ref="H390:H428" si="27">G390</f>
        <v>1</v>
      </c>
      <c r="I390" s="65"/>
    </row>
    <row r="391" spans="1:9" ht="20.100000000000001" customHeight="1">
      <c r="A391" s="59"/>
      <c r="B391" s="65" t="s">
        <v>544</v>
      </c>
      <c r="C391" s="65" t="s">
        <v>3240</v>
      </c>
      <c r="D391" s="65" t="s">
        <v>2568</v>
      </c>
      <c r="E391" s="65"/>
      <c r="F391" s="58">
        <v>1</v>
      </c>
      <c r="G391" s="66">
        <f t="shared" si="23"/>
        <v>1</v>
      </c>
      <c r="H391" s="180">
        <f t="shared" si="27"/>
        <v>1</v>
      </c>
      <c r="I391" s="65"/>
    </row>
    <row r="392" spans="1:9" ht="20.100000000000001" customHeight="1">
      <c r="A392" s="59"/>
      <c r="B392" s="65" t="s">
        <v>544</v>
      </c>
      <c r="C392" s="65" t="s">
        <v>3241</v>
      </c>
      <c r="D392" s="65" t="s">
        <v>2568</v>
      </c>
      <c r="E392" s="65"/>
      <c r="F392" s="58">
        <v>1</v>
      </c>
      <c r="G392" s="66">
        <f t="shared" si="23"/>
        <v>1</v>
      </c>
      <c r="H392" s="180">
        <f t="shared" si="27"/>
        <v>1</v>
      </c>
      <c r="I392" s="65"/>
    </row>
    <row r="393" spans="1:9" ht="20.100000000000001" customHeight="1">
      <c r="A393" s="59"/>
      <c r="B393" s="65" t="s">
        <v>544</v>
      </c>
      <c r="C393" s="65" t="s">
        <v>3242</v>
      </c>
      <c r="D393" s="65" t="s">
        <v>2568</v>
      </c>
      <c r="E393" s="65"/>
      <c r="F393" s="58">
        <v>1</v>
      </c>
      <c r="G393" s="66">
        <f t="shared" si="23"/>
        <v>1</v>
      </c>
      <c r="H393" s="180">
        <f t="shared" si="27"/>
        <v>1</v>
      </c>
      <c r="I393" s="65"/>
    </row>
    <row r="394" spans="1:9" ht="20.100000000000001" customHeight="1">
      <c r="A394" s="59"/>
      <c r="B394" s="65" t="s">
        <v>544</v>
      </c>
      <c r="C394" s="65" t="s">
        <v>3243</v>
      </c>
      <c r="D394" s="65" t="s">
        <v>2568</v>
      </c>
      <c r="E394" s="65"/>
      <c r="F394" s="58">
        <v>1</v>
      </c>
      <c r="G394" s="66">
        <f t="shared" si="23"/>
        <v>1</v>
      </c>
      <c r="H394" s="180">
        <f t="shared" si="27"/>
        <v>1</v>
      </c>
      <c r="I394" s="65"/>
    </row>
    <row r="395" spans="1:9" ht="20.100000000000001" customHeight="1">
      <c r="A395" s="59"/>
      <c r="B395" s="65" t="s">
        <v>544</v>
      </c>
      <c r="C395" s="65" t="s">
        <v>3244</v>
      </c>
      <c r="D395" s="65" t="s">
        <v>2568</v>
      </c>
      <c r="E395" s="65"/>
      <c r="F395" s="58">
        <v>1</v>
      </c>
      <c r="G395" s="66">
        <f t="shared" si="23"/>
        <v>1</v>
      </c>
      <c r="H395" s="180">
        <f t="shared" si="27"/>
        <v>1</v>
      </c>
      <c r="I395" s="65"/>
    </row>
    <row r="396" spans="1:9" ht="20.100000000000001" customHeight="1">
      <c r="A396" s="59"/>
      <c r="B396" s="65" t="s">
        <v>544</v>
      </c>
      <c r="C396" s="65" t="s">
        <v>3245</v>
      </c>
      <c r="D396" s="65" t="s">
        <v>2568</v>
      </c>
      <c r="E396" s="65"/>
      <c r="F396" s="58">
        <v>1</v>
      </c>
      <c r="G396" s="66">
        <f t="shared" si="23"/>
        <v>1</v>
      </c>
      <c r="H396" s="180">
        <f t="shared" si="27"/>
        <v>1</v>
      </c>
      <c r="I396" s="65"/>
    </row>
    <row r="397" spans="1:9" ht="20.100000000000001" customHeight="1">
      <c r="A397" s="59"/>
      <c r="B397" s="65" t="s">
        <v>544</v>
      </c>
      <c r="C397" s="65" t="s">
        <v>3246</v>
      </c>
      <c r="D397" s="65" t="s">
        <v>2568</v>
      </c>
      <c r="E397" s="65"/>
      <c r="F397" s="58">
        <v>6</v>
      </c>
      <c r="G397" s="66">
        <f t="shared" si="23"/>
        <v>6</v>
      </c>
      <c r="H397" s="180">
        <f t="shared" si="27"/>
        <v>6</v>
      </c>
      <c r="I397" s="65"/>
    </row>
    <row r="398" spans="1:9" ht="20.100000000000001" customHeight="1">
      <c r="A398" s="59"/>
      <c r="B398" s="65" t="s">
        <v>544</v>
      </c>
      <c r="C398" s="65" t="s">
        <v>3247</v>
      </c>
      <c r="D398" s="65" t="s">
        <v>2568</v>
      </c>
      <c r="E398" s="65"/>
      <c r="F398" s="58">
        <v>1</v>
      </c>
      <c r="G398" s="66">
        <f t="shared" si="23"/>
        <v>1</v>
      </c>
      <c r="H398" s="180">
        <f t="shared" si="27"/>
        <v>1</v>
      </c>
      <c r="I398" s="65"/>
    </row>
    <row r="399" spans="1:9" ht="20.100000000000001" customHeight="1">
      <c r="A399" s="59"/>
      <c r="B399" s="65" t="s">
        <v>544</v>
      </c>
      <c r="C399" s="65" t="s">
        <v>3248</v>
      </c>
      <c r="D399" s="65" t="s">
        <v>2568</v>
      </c>
      <c r="E399" s="65"/>
      <c r="F399" s="58">
        <v>1</v>
      </c>
      <c r="G399" s="66">
        <f t="shared" si="23"/>
        <v>1</v>
      </c>
      <c r="H399" s="180">
        <f t="shared" si="27"/>
        <v>1</v>
      </c>
      <c r="I399" s="65"/>
    </row>
    <row r="400" spans="1:9" ht="20.100000000000001" customHeight="1">
      <c r="A400" s="59"/>
      <c r="B400" s="65" t="s">
        <v>544</v>
      </c>
      <c r="C400" s="65" t="s">
        <v>3249</v>
      </c>
      <c r="D400" s="65" t="s">
        <v>2568</v>
      </c>
      <c r="E400" s="65"/>
      <c r="F400" s="58">
        <v>2</v>
      </c>
      <c r="G400" s="66">
        <f t="shared" si="23"/>
        <v>2</v>
      </c>
      <c r="H400" s="180">
        <f t="shared" si="27"/>
        <v>2</v>
      </c>
      <c r="I400" s="65"/>
    </row>
    <row r="401" spans="1:9" ht="20.100000000000001" customHeight="1">
      <c r="A401" s="59"/>
      <c r="B401" s="65" t="s">
        <v>547</v>
      </c>
      <c r="C401" s="65" t="s">
        <v>3250</v>
      </c>
      <c r="D401" s="65" t="s">
        <v>3182</v>
      </c>
      <c r="E401" s="65"/>
      <c r="F401" s="58">
        <v>1</v>
      </c>
      <c r="G401" s="66">
        <f t="shared" si="23"/>
        <v>1</v>
      </c>
      <c r="H401" s="180">
        <f t="shared" si="27"/>
        <v>1</v>
      </c>
      <c r="I401" s="65"/>
    </row>
    <row r="402" spans="1:9" ht="20.100000000000001" customHeight="1">
      <c r="A402" s="59"/>
      <c r="B402" s="65" t="s">
        <v>547</v>
      </c>
      <c r="C402" s="65" t="s">
        <v>3251</v>
      </c>
      <c r="D402" s="65" t="s">
        <v>3182</v>
      </c>
      <c r="E402" s="65"/>
      <c r="F402" s="58">
        <v>2</v>
      </c>
      <c r="G402" s="66">
        <f t="shared" si="23"/>
        <v>2</v>
      </c>
      <c r="H402" s="180">
        <f t="shared" si="27"/>
        <v>2</v>
      </c>
      <c r="I402" s="65"/>
    </row>
    <row r="403" spans="1:9" ht="20.100000000000001" customHeight="1">
      <c r="A403" s="59"/>
      <c r="B403" s="65" t="s">
        <v>547</v>
      </c>
      <c r="C403" s="65" t="s">
        <v>3252</v>
      </c>
      <c r="D403" s="65" t="s">
        <v>3182</v>
      </c>
      <c r="E403" s="65"/>
      <c r="F403" s="58">
        <v>2</v>
      </c>
      <c r="G403" s="66">
        <f t="shared" si="23"/>
        <v>2</v>
      </c>
      <c r="H403" s="180">
        <f t="shared" si="27"/>
        <v>2</v>
      </c>
      <c r="I403" s="65"/>
    </row>
    <row r="404" spans="1:9" ht="20.100000000000001" customHeight="1">
      <c r="A404" s="59"/>
      <c r="B404" s="65" t="s">
        <v>547</v>
      </c>
      <c r="C404" s="65" t="s">
        <v>3253</v>
      </c>
      <c r="D404" s="65" t="s">
        <v>3182</v>
      </c>
      <c r="E404" s="65"/>
      <c r="F404" s="58">
        <v>1</v>
      </c>
      <c r="G404" s="66">
        <f t="shared" si="23"/>
        <v>1</v>
      </c>
      <c r="H404" s="180">
        <f t="shared" si="27"/>
        <v>1</v>
      </c>
      <c r="I404" s="65"/>
    </row>
    <row r="405" spans="1:9" ht="20.100000000000001" customHeight="1">
      <c r="A405" s="59"/>
      <c r="B405" s="65" t="s">
        <v>547</v>
      </c>
      <c r="C405" s="65" t="s">
        <v>3254</v>
      </c>
      <c r="D405" s="65" t="s">
        <v>3182</v>
      </c>
      <c r="E405" s="65"/>
      <c r="F405" s="58">
        <v>4</v>
      </c>
      <c r="G405" s="66">
        <f t="shared" si="23"/>
        <v>4</v>
      </c>
      <c r="H405" s="180">
        <f t="shared" si="27"/>
        <v>4</v>
      </c>
      <c r="I405" s="65"/>
    </row>
    <row r="406" spans="1:9" ht="20.100000000000001" customHeight="1">
      <c r="A406" s="59"/>
      <c r="B406" s="65" t="s">
        <v>547</v>
      </c>
      <c r="C406" s="65" t="s">
        <v>3255</v>
      </c>
      <c r="D406" s="65" t="s">
        <v>3182</v>
      </c>
      <c r="E406" s="65"/>
      <c r="F406" s="58">
        <v>1</v>
      </c>
      <c r="G406" s="66">
        <f t="shared" si="23"/>
        <v>1</v>
      </c>
      <c r="H406" s="180">
        <f t="shared" si="27"/>
        <v>1</v>
      </c>
      <c r="I406" s="65"/>
    </row>
    <row r="407" spans="1:9" ht="20.100000000000001" customHeight="1">
      <c r="A407" s="59"/>
      <c r="B407" s="65" t="s">
        <v>547</v>
      </c>
      <c r="C407" s="65" t="s">
        <v>3256</v>
      </c>
      <c r="D407" s="65" t="s">
        <v>3182</v>
      </c>
      <c r="E407" s="65"/>
      <c r="F407" s="58">
        <v>5</v>
      </c>
      <c r="G407" s="66">
        <f t="shared" si="23"/>
        <v>5</v>
      </c>
      <c r="H407" s="180">
        <f t="shared" si="27"/>
        <v>5</v>
      </c>
      <c r="I407" s="65"/>
    </row>
    <row r="408" spans="1:9" ht="20.100000000000001" customHeight="1">
      <c r="A408" s="59"/>
      <c r="B408" s="65" t="s">
        <v>547</v>
      </c>
      <c r="C408" s="65" t="s">
        <v>3257</v>
      </c>
      <c r="D408" s="65" t="s">
        <v>3182</v>
      </c>
      <c r="E408" s="65"/>
      <c r="F408" s="58">
        <v>2</v>
      </c>
      <c r="G408" s="66">
        <f t="shared" si="23"/>
        <v>2</v>
      </c>
      <c r="H408" s="180">
        <f t="shared" si="27"/>
        <v>2</v>
      </c>
      <c r="I408" s="65"/>
    </row>
    <row r="409" spans="1:9" ht="20.100000000000001" customHeight="1">
      <c r="A409" s="59"/>
      <c r="B409" s="65" t="s">
        <v>547</v>
      </c>
      <c r="C409" s="65" t="s">
        <v>3258</v>
      </c>
      <c r="D409" s="65" t="s">
        <v>3182</v>
      </c>
      <c r="E409" s="65"/>
      <c r="F409" s="58">
        <v>6</v>
      </c>
      <c r="G409" s="66">
        <f t="shared" si="23"/>
        <v>6</v>
      </c>
      <c r="H409" s="180">
        <f t="shared" si="27"/>
        <v>6</v>
      </c>
      <c r="I409" s="65"/>
    </row>
    <row r="410" spans="1:9" ht="20.100000000000001" customHeight="1">
      <c r="A410" s="59"/>
      <c r="B410" s="65" t="s">
        <v>3259</v>
      </c>
      <c r="C410" s="65" t="s">
        <v>3260</v>
      </c>
      <c r="D410" s="65" t="s">
        <v>3182</v>
      </c>
      <c r="E410" s="65"/>
      <c r="F410" s="58">
        <v>2</v>
      </c>
      <c r="G410" s="66">
        <f t="shared" si="23"/>
        <v>2</v>
      </c>
      <c r="H410" s="180">
        <f t="shared" si="27"/>
        <v>2</v>
      </c>
      <c r="I410" s="65"/>
    </row>
    <row r="411" spans="1:9" ht="20.100000000000001" customHeight="1">
      <c r="A411" s="59"/>
      <c r="B411" s="65" t="s">
        <v>3259</v>
      </c>
      <c r="C411" s="65" t="s">
        <v>3261</v>
      </c>
      <c r="D411" s="65" t="s">
        <v>3182</v>
      </c>
      <c r="E411" s="65"/>
      <c r="F411" s="58">
        <v>1</v>
      </c>
      <c r="G411" s="66">
        <f t="shared" si="23"/>
        <v>1</v>
      </c>
      <c r="H411" s="180">
        <f t="shared" si="27"/>
        <v>1</v>
      </c>
      <c r="I411" s="65"/>
    </row>
    <row r="412" spans="1:9" ht="20.100000000000001" customHeight="1">
      <c r="A412" s="59"/>
      <c r="B412" s="65" t="s">
        <v>3262</v>
      </c>
      <c r="C412" s="65" t="s">
        <v>3263</v>
      </c>
      <c r="D412" s="65" t="s">
        <v>2568</v>
      </c>
      <c r="E412" s="65"/>
      <c r="F412" s="58">
        <v>1</v>
      </c>
      <c r="G412" s="66">
        <f>F412</f>
        <v>1</v>
      </c>
      <c r="H412" s="180">
        <f>G412</f>
        <v>1</v>
      </c>
      <c r="I412" s="65"/>
    </row>
    <row r="413" spans="1:9" ht="20.100000000000001" customHeight="1">
      <c r="A413" s="59"/>
      <c r="B413" s="65" t="s">
        <v>3262</v>
      </c>
      <c r="C413" s="65" t="s">
        <v>3264</v>
      </c>
      <c r="D413" s="65" t="s">
        <v>2568</v>
      </c>
      <c r="E413" s="65"/>
      <c r="F413" s="58">
        <v>1</v>
      </c>
      <c r="G413" s="66">
        <f t="shared" ref="G413:H413" si="28">F413</f>
        <v>1</v>
      </c>
      <c r="H413" s="180">
        <f t="shared" si="28"/>
        <v>1</v>
      </c>
      <c r="I413" s="65"/>
    </row>
    <row r="414" spans="1:9" ht="20.100000000000001" customHeight="1">
      <c r="A414" s="59"/>
      <c r="B414" s="65" t="s">
        <v>3262</v>
      </c>
      <c r="C414" s="65" t="s">
        <v>3265</v>
      </c>
      <c r="D414" s="65" t="s">
        <v>2568</v>
      </c>
      <c r="E414" s="65"/>
      <c r="F414" s="58">
        <v>1</v>
      </c>
      <c r="G414" s="66">
        <f t="shared" ref="G414:H414" si="29">F414</f>
        <v>1</v>
      </c>
      <c r="H414" s="180">
        <f t="shared" si="29"/>
        <v>1</v>
      </c>
      <c r="I414" s="65"/>
    </row>
    <row r="415" spans="1:9" ht="20.100000000000001" customHeight="1">
      <c r="A415" s="59"/>
      <c r="B415" s="65" t="s">
        <v>3262</v>
      </c>
      <c r="C415" s="65" t="s">
        <v>3266</v>
      </c>
      <c r="D415" s="65" t="s">
        <v>2568</v>
      </c>
      <c r="E415" s="65"/>
      <c r="F415" s="58">
        <v>1</v>
      </c>
      <c r="G415" s="66">
        <f t="shared" ref="G415:H415" si="30">F415</f>
        <v>1</v>
      </c>
      <c r="H415" s="180">
        <f t="shared" si="30"/>
        <v>1</v>
      </c>
      <c r="I415" s="65"/>
    </row>
    <row r="416" spans="1:9" ht="20.100000000000001" customHeight="1">
      <c r="A416" s="59"/>
      <c r="B416" s="65" t="s">
        <v>3262</v>
      </c>
      <c r="C416" s="65" t="s">
        <v>3267</v>
      </c>
      <c r="D416" s="65" t="s">
        <v>2568</v>
      </c>
      <c r="E416" s="65"/>
      <c r="F416" s="58">
        <v>1</v>
      </c>
      <c r="G416" s="66">
        <f t="shared" ref="G416:H416" si="31">F416</f>
        <v>1</v>
      </c>
      <c r="H416" s="180">
        <f t="shared" si="31"/>
        <v>1</v>
      </c>
      <c r="I416" s="65"/>
    </row>
    <row r="417" spans="1:9" ht="20.100000000000001" customHeight="1">
      <c r="A417" s="59"/>
      <c r="B417" s="65" t="s">
        <v>3262</v>
      </c>
      <c r="C417" s="65" t="s">
        <v>3268</v>
      </c>
      <c r="D417" s="65" t="s">
        <v>2568</v>
      </c>
      <c r="E417" s="65"/>
      <c r="F417" s="58">
        <v>4</v>
      </c>
      <c r="G417" s="66">
        <f t="shared" ref="G417:H417" si="32">F417</f>
        <v>4</v>
      </c>
      <c r="H417" s="180">
        <f t="shared" si="32"/>
        <v>4</v>
      </c>
      <c r="I417" s="65"/>
    </row>
    <row r="418" spans="1:9" ht="20.100000000000001" customHeight="1">
      <c r="A418" s="59"/>
      <c r="B418" s="65" t="s">
        <v>3262</v>
      </c>
      <c r="C418" s="65" t="s">
        <v>3269</v>
      </c>
      <c r="D418" s="65" t="s">
        <v>2568</v>
      </c>
      <c r="E418" s="65"/>
      <c r="F418" s="58">
        <v>3</v>
      </c>
      <c r="G418" s="66">
        <f>F418</f>
        <v>3</v>
      </c>
      <c r="H418" s="180">
        <f>G418</f>
        <v>3</v>
      </c>
      <c r="I418" s="65"/>
    </row>
    <row r="419" spans="1:9" ht="20.100000000000001" customHeight="1">
      <c r="A419" s="59"/>
      <c r="B419" s="65" t="s">
        <v>3262</v>
      </c>
      <c r="C419" s="65" t="s">
        <v>3270</v>
      </c>
      <c r="D419" s="65" t="s">
        <v>2568</v>
      </c>
      <c r="E419" s="65"/>
      <c r="F419" s="58">
        <v>2</v>
      </c>
      <c r="G419" s="66">
        <f>F419</f>
        <v>2</v>
      </c>
      <c r="H419" s="180">
        <f>G419</f>
        <v>2</v>
      </c>
      <c r="I419" s="65"/>
    </row>
    <row r="420" spans="1:9" ht="20.100000000000001" customHeight="1">
      <c r="A420" s="59"/>
      <c r="B420" s="65" t="s">
        <v>3262</v>
      </c>
      <c r="C420" s="65" t="s">
        <v>3271</v>
      </c>
      <c r="D420" s="65" t="s">
        <v>3182</v>
      </c>
      <c r="E420" s="65"/>
      <c r="F420" s="58">
        <v>1</v>
      </c>
      <c r="G420" s="66">
        <f t="shared" si="23"/>
        <v>1</v>
      </c>
      <c r="H420" s="180">
        <f t="shared" si="27"/>
        <v>1</v>
      </c>
      <c r="I420" s="65"/>
    </row>
    <row r="421" spans="1:9" ht="20.100000000000001" customHeight="1">
      <c r="A421" s="59"/>
      <c r="B421" s="136" t="s">
        <v>3272</v>
      </c>
      <c r="C421" s="65" t="s">
        <v>3274</v>
      </c>
      <c r="D421" s="65" t="s">
        <v>3182</v>
      </c>
      <c r="E421" s="65"/>
      <c r="F421" s="58">
        <v>1</v>
      </c>
      <c r="G421" s="66">
        <f t="shared" si="23"/>
        <v>1</v>
      </c>
      <c r="H421" s="180">
        <f t="shared" si="27"/>
        <v>1</v>
      </c>
      <c r="I421" s="65"/>
    </row>
    <row r="422" spans="1:9" s="89" customFormat="1" ht="20.100000000000001" customHeight="1">
      <c r="A422" s="59"/>
      <c r="B422" s="136" t="s">
        <v>3272</v>
      </c>
      <c r="C422" s="65" t="s">
        <v>3275</v>
      </c>
      <c r="D422" s="65" t="s">
        <v>3182</v>
      </c>
      <c r="E422" s="65"/>
      <c r="F422" s="58">
        <v>1</v>
      </c>
      <c r="G422" s="66">
        <f t="shared" si="23"/>
        <v>1</v>
      </c>
      <c r="H422" s="180">
        <f t="shared" si="27"/>
        <v>1</v>
      </c>
      <c r="I422" s="65"/>
    </row>
    <row r="423" spans="1:9" ht="20.100000000000001" customHeight="1">
      <c r="A423" s="59"/>
      <c r="B423" s="136" t="s">
        <v>3273</v>
      </c>
      <c r="C423" s="65" t="s">
        <v>3276</v>
      </c>
      <c r="D423" s="65" t="s">
        <v>2568</v>
      </c>
      <c r="E423" s="65"/>
      <c r="F423" s="58">
        <v>6</v>
      </c>
      <c r="G423" s="66">
        <f t="shared" ref="G423" si="33">F423</f>
        <v>6</v>
      </c>
      <c r="H423" s="180">
        <f t="shared" si="27"/>
        <v>6</v>
      </c>
      <c r="I423" s="65"/>
    </row>
    <row r="424" spans="1:9" ht="20.100000000000001" customHeight="1">
      <c r="A424" s="59"/>
      <c r="B424" s="136" t="s">
        <v>3273</v>
      </c>
      <c r="C424" s="65" t="s">
        <v>3277</v>
      </c>
      <c r="D424" s="65" t="s">
        <v>2568</v>
      </c>
      <c r="E424" s="65"/>
      <c r="F424" s="58">
        <v>5</v>
      </c>
      <c r="G424" s="66">
        <f t="shared" ref="G424:G427" si="34">F424</f>
        <v>5</v>
      </c>
      <c r="H424" s="180">
        <f t="shared" si="27"/>
        <v>5</v>
      </c>
      <c r="I424" s="65"/>
    </row>
    <row r="425" spans="1:9" ht="20.100000000000001" customHeight="1">
      <c r="A425" s="59"/>
      <c r="B425" s="136" t="s">
        <v>3273</v>
      </c>
      <c r="C425" s="65" t="s">
        <v>3278</v>
      </c>
      <c r="D425" s="65" t="s">
        <v>2568</v>
      </c>
      <c r="E425" s="65"/>
      <c r="F425" s="58">
        <v>2</v>
      </c>
      <c r="G425" s="66">
        <f t="shared" si="34"/>
        <v>2</v>
      </c>
      <c r="H425" s="180">
        <f t="shared" si="27"/>
        <v>2</v>
      </c>
      <c r="I425" s="65"/>
    </row>
    <row r="426" spans="1:9" ht="20.100000000000001" customHeight="1">
      <c r="A426" s="59"/>
      <c r="B426" s="136" t="s">
        <v>3273</v>
      </c>
      <c r="C426" s="65" t="s">
        <v>3279</v>
      </c>
      <c r="D426" s="65" t="s">
        <v>2568</v>
      </c>
      <c r="E426" s="65"/>
      <c r="F426" s="58">
        <v>3</v>
      </c>
      <c r="G426" s="66">
        <f t="shared" si="34"/>
        <v>3</v>
      </c>
      <c r="H426" s="180">
        <f t="shared" si="27"/>
        <v>3</v>
      </c>
      <c r="I426" s="65"/>
    </row>
    <row r="427" spans="1:9" ht="20.100000000000001" customHeight="1">
      <c r="A427" s="59"/>
      <c r="B427" s="65" t="s">
        <v>3280</v>
      </c>
      <c r="C427" s="65" t="s">
        <v>3281</v>
      </c>
      <c r="D427" s="65" t="s">
        <v>2568</v>
      </c>
      <c r="E427" s="65"/>
      <c r="F427" s="58">
        <v>9</v>
      </c>
      <c r="G427" s="66">
        <f t="shared" si="34"/>
        <v>9</v>
      </c>
      <c r="H427" s="180">
        <f t="shared" si="27"/>
        <v>9</v>
      </c>
      <c r="I427" s="65"/>
    </row>
    <row r="428" spans="1:9" s="89" customFormat="1" ht="20.100000000000001" customHeight="1">
      <c r="A428" s="59"/>
      <c r="B428" s="65"/>
      <c r="C428" s="65"/>
      <c r="D428" s="65"/>
      <c r="E428" s="65"/>
      <c r="F428" s="58"/>
      <c r="G428" s="66">
        <f t="shared" si="23"/>
        <v>0</v>
      </c>
      <c r="H428" s="180">
        <f t="shared" si="27"/>
        <v>0</v>
      </c>
      <c r="I428" s="65"/>
    </row>
    <row r="429" spans="1:9" s="145" customFormat="1" ht="20.100000000000001" customHeight="1">
      <c r="A429" s="61">
        <v>11</v>
      </c>
      <c r="B429" s="68" t="s">
        <v>3183</v>
      </c>
      <c r="C429" s="68"/>
      <c r="D429" s="73"/>
      <c r="E429" s="75"/>
      <c r="F429" s="60"/>
      <c r="G429" s="66">
        <f t="shared" ref="G429:G434" si="35">F429</f>
        <v>0</v>
      </c>
      <c r="H429" s="180"/>
      <c r="I429" s="60"/>
    </row>
    <row r="430" spans="1:9" s="145" customFormat="1" ht="20.100000000000001" customHeight="1">
      <c r="A430" s="59"/>
      <c r="B430" s="64" t="s">
        <v>2582</v>
      </c>
      <c r="C430" s="64" t="s">
        <v>2583</v>
      </c>
      <c r="D430" s="63" t="s">
        <v>2577</v>
      </c>
      <c r="E430" s="65"/>
      <c r="F430" s="58">
        <v>16</v>
      </c>
      <c r="G430" s="66">
        <f t="shared" si="35"/>
        <v>16</v>
      </c>
      <c r="H430" s="180">
        <v>18</v>
      </c>
      <c r="I430" s="58"/>
    </row>
    <row r="431" spans="1:9" s="145" customFormat="1" ht="20.100000000000001" customHeight="1">
      <c r="A431" s="59"/>
      <c r="B431" s="64" t="s">
        <v>2582</v>
      </c>
      <c r="C431" s="64" t="s">
        <v>2581</v>
      </c>
      <c r="D431" s="63" t="s">
        <v>2577</v>
      </c>
      <c r="E431" s="65"/>
      <c r="F431" s="58">
        <v>2</v>
      </c>
      <c r="G431" s="66">
        <f t="shared" si="35"/>
        <v>2</v>
      </c>
      <c r="H431" s="180">
        <f t="shared" ref="H431" si="36">G431</f>
        <v>2</v>
      </c>
      <c r="I431" s="58"/>
    </row>
    <row r="432" spans="1:9" s="145" customFormat="1" ht="20.100000000000001" customHeight="1">
      <c r="A432" s="59"/>
      <c r="B432" s="64" t="s">
        <v>3184</v>
      </c>
      <c r="C432" s="64" t="s">
        <v>3185</v>
      </c>
      <c r="D432" s="63" t="s">
        <v>3182</v>
      </c>
      <c r="E432" s="65">
        <v>4</v>
      </c>
      <c r="F432" s="58">
        <v>8</v>
      </c>
      <c r="G432" s="66">
        <f t="shared" si="35"/>
        <v>8</v>
      </c>
      <c r="H432" s="180">
        <v>4</v>
      </c>
      <c r="I432" s="58"/>
    </row>
    <row r="433" spans="1:9" s="145" customFormat="1" ht="20.100000000000001" customHeight="1">
      <c r="A433" s="59"/>
      <c r="B433" s="64" t="s">
        <v>3186</v>
      </c>
      <c r="C433" s="64" t="s">
        <v>3187</v>
      </c>
      <c r="D433" s="63" t="s">
        <v>3181</v>
      </c>
      <c r="E433" s="65">
        <v>20</v>
      </c>
      <c r="F433" s="58">
        <v>18</v>
      </c>
      <c r="G433" s="66">
        <f t="shared" si="35"/>
        <v>18</v>
      </c>
      <c r="H433" s="180">
        <v>20</v>
      </c>
      <c r="I433" s="58"/>
    </row>
    <row r="434" spans="1:9" s="145" customFormat="1" ht="20.100000000000001" customHeight="1">
      <c r="A434" s="59"/>
      <c r="B434" s="64"/>
      <c r="C434" s="64"/>
      <c r="D434" s="63"/>
      <c r="E434" s="65"/>
      <c r="F434" s="58"/>
      <c r="G434" s="66">
        <f t="shared" si="35"/>
        <v>0</v>
      </c>
      <c r="H434" s="180"/>
      <c r="I434" s="58"/>
    </row>
  </sheetData>
  <sortState ref="B373:E382">
    <sortCondition ref="C373:C382"/>
  </sortState>
  <mergeCells count="1">
    <mergeCell ref="A1:I1"/>
  </mergeCells>
  <phoneticPr fontId="1" type="noConversion"/>
  <pageMargins left="0.39370078740157483" right="0.11811023622047245" top="0.74803149606299213" bottom="0.74803149606299213" header="0.31496062992125984" footer="0.31496062992125984"/>
  <pageSetup paperSize="9" orientation="landscape" horizontalDpi="4294967293" verticalDpi="4294967293" r:id="rId1"/>
  <headerFooter>
    <oddFooter>&amp;C&amp;P&amp;R1층 수량산출서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I491"/>
  <sheetViews>
    <sheetView view="pageBreakPreview" zoomScale="106" zoomScaleNormal="142" zoomScaleSheetLayoutView="106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H7" sqref="H7"/>
    </sheetView>
  </sheetViews>
  <sheetFormatPr defaultRowHeight="11.25"/>
  <cols>
    <col min="1" max="1" width="6" style="91" customWidth="1"/>
    <col min="2" max="2" width="16.875" style="91" customWidth="1"/>
    <col min="3" max="3" width="11.5" style="91" customWidth="1"/>
    <col min="4" max="4" width="5.875" style="91" customWidth="1"/>
    <col min="5" max="5" width="11.125" style="91" customWidth="1"/>
    <col min="6" max="6" width="41.5" style="91" customWidth="1"/>
    <col min="7" max="7" width="11.375" style="91" customWidth="1"/>
    <col min="8" max="8" width="13.75" style="176" customWidth="1"/>
    <col min="9" max="9" width="10.5" style="91" customWidth="1"/>
    <col min="10" max="16384" width="9" style="91"/>
  </cols>
  <sheetData>
    <row r="1" spans="1:9" ht="26.25" customHeight="1">
      <c r="A1" s="1412" t="s">
        <v>3169</v>
      </c>
      <c r="B1" s="1412"/>
      <c r="C1" s="1412"/>
      <c r="D1" s="1412"/>
      <c r="E1" s="1412"/>
      <c r="F1" s="1412"/>
      <c r="G1" s="1412"/>
      <c r="H1" s="1412"/>
      <c r="I1" s="1412"/>
    </row>
    <row r="2" spans="1:9" s="132" customFormat="1" ht="19.5" customHeight="1">
      <c r="A2" s="177" t="s">
        <v>3168</v>
      </c>
      <c r="B2" s="177"/>
      <c r="C2" s="177"/>
      <c r="D2" s="177"/>
      <c r="E2" s="125"/>
      <c r="F2" s="126"/>
      <c r="G2" s="125"/>
      <c r="H2" s="87"/>
      <c r="I2" s="124"/>
    </row>
    <row r="3" spans="1:9" s="132" customFormat="1" ht="20.100000000000001" customHeight="1">
      <c r="A3" s="123" t="s">
        <v>3167</v>
      </c>
      <c r="B3" s="120" t="s">
        <v>3166</v>
      </c>
      <c r="C3" s="120" t="s">
        <v>3165</v>
      </c>
      <c r="D3" s="120" t="s">
        <v>3164</v>
      </c>
      <c r="E3" s="121" t="s">
        <v>3163</v>
      </c>
      <c r="F3" s="122" t="s">
        <v>3162</v>
      </c>
      <c r="G3" s="121" t="s">
        <v>3161</v>
      </c>
      <c r="H3" s="83" t="s">
        <v>3160</v>
      </c>
      <c r="I3" s="120" t="s">
        <v>3159</v>
      </c>
    </row>
    <row r="4" spans="1:9" ht="20.100000000000001" customHeight="1">
      <c r="A4" s="117" t="s">
        <v>3158</v>
      </c>
      <c r="B4" s="101" t="s">
        <v>3157</v>
      </c>
      <c r="C4" s="92"/>
      <c r="D4" s="92"/>
      <c r="E4" s="92"/>
      <c r="F4" s="92"/>
      <c r="G4" s="92"/>
      <c r="H4" s="180"/>
      <c r="I4" s="92"/>
    </row>
    <row r="5" spans="1:9" ht="20.100000000000001" customHeight="1">
      <c r="A5" s="117"/>
      <c r="B5" s="62" t="s">
        <v>3190</v>
      </c>
      <c r="C5" s="65"/>
      <c r="D5" s="63" t="s">
        <v>2365</v>
      </c>
      <c r="E5" s="65"/>
      <c r="F5" s="92" t="s">
        <v>3152</v>
      </c>
      <c r="G5" s="92">
        <f>1446.3+28.3+99+111.5</f>
        <v>1685.1</v>
      </c>
      <c r="H5" s="180">
        <f>G5</f>
        <v>1685.1</v>
      </c>
      <c r="I5" s="74" t="s">
        <v>3151</v>
      </c>
    </row>
    <row r="6" spans="1:9" s="171" customFormat="1" ht="20.100000000000001" customHeight="1">
      <c r="A6" s="148"/>
      <c r="B6" s="149" t="s">
        <v>3480</v>
      </c>
      <c r="C6" s="148"/>
      <c r="D6" s="150" t="s">
        <v>3478</v>
      </c>
      <c r="E6" s="148"/>
      <c r="F6" s="148" t="s">
        <v>3684</v>
      </c>
      <c r="G6" s="148">
        <f>75*4.5*1.3</f>
        <v>438.75</v>
      </c>
      <c r="H6" s="181">
        <f t="shared" ref="H6" si="0">G6</f>
        <v>438.75</v>
      </c>
      <c r="I6" s="148" t="s">
        <v>3479</v>
      </c>
    </row>
    <row r="7" spans="1:9" ht="20.100000000000001" customHeight="1">
      <c r="A7" s="92"/>
      <c r="B7" s="119" t="s">
        <v>3170</v>
      </c>
      <c r="C7" s="114" t="s">
        <v>3156</v>
      </c>
      <c r="D7" s="92"/>
      <c r="E7" s="92"/>
      <c r="F7" s="92">
        <v>32</v>
      </c>
      <c r="G7" s="92">
        <v>32</v>
      </c>
      <c r="H7" s="180">
        <f>G7</f>
        <v>32</v>
      </c>
      <c r="I7" s="92"/>
    </row>
    <row r="8" spans="1:9" ht="20.100000000000001" customHeight="1">
      <c r="A8" s="92"/>
      <c r="B8" s="96" t="s">
        <v>3150</v>
      </c>
      <c r="C8" s="92" t="s">
        <v>4826</v>
      </c>
      <c r="D8" s="92"/>
      <c r="E8" s="92"/>
      <c r="F8" s="92" t="s">
        <v>3149</v>
      </c>
      <c r="G8" s="92">
        <f>((7.2+1.5)*4.2)</f>
        <v>36.54</v>
      </c>
      <c r="H8" s="180">
        <f>G8</f>
        <v>36.54</v>
      </c>
      <c r="I8" s="92"/>
    </row>
    <row r="9" spans="1:9" ht="20.100000000000001" customHeight="1">
      <c r="A9" s="92"/>
      <c r="B9" s="118" t="s">
        <v>76</v>
      </c>
      <c r="C9" s="92"/>
      <c r="D9" s="92"/>
      <c r="E9" s="92"/>
      <c r="F9" s="92" t="s">
        <v>3155</v>
      </c>
      <c r="G9" s="92">
        <f>1446.3+28.3+99+111.5</f>
        <v>1685.1</v>
      </c>
      <c r="H9" s="180">
        <f>G9</f>
        <v>1685.1</v>
      </c>
      <c r="I9" s="111" t="s">
        <v>3154</v>
      </c>
    </row>
    <row r="10" spans="1:9" ht="20.100000000000001" customHeight="1">
      <c r="A10" s="92"/>
      <c r="B10" s="118" t="s">
        <v>3153</v>
      </c>
      <c r="C10" s="92"/>
      <c r="D10" s="92"/>
      <c r="E10" s="92"/>
      <c r="F10" s="92" t="s">
        <v>3152</v>
      </c>
      <c r="G10" s="92">
        <f>1446.3+28.3+99+111.5</f>
        <v>1685.1</v>
      </c>
      <c r="H10" s="180">
        <f>G10</f>
        <v>1685.1</v>
      </c>
      <c r="I10" s="111" t="s">
        <v>3151</v>
      </c>
    </row>
    <row r="11" spans="1:9" s="57" customFormat="1" ht="20.100000000000001" customHeight="1">
      <c r="A11" s="65"/>
      <c r="B11" s="64" t="s">
        <v>3171</v>
      </c>
      <c r="C11" s="65" t="s">
        <v>3172</v>
      </c>
      <c r="D11" s="63" t="s">
        <v>2602</v>
      </c>
      <c r="E11" s="65"/>
      <c r="F11" s="58"/>
      <c r="G11" s="58"/>
      <c r="H11" s="180">
        <f>SUM(G12:G16)</f>
        <v>843.71399999999994</v>
      </c>
      <c r="I11" s="65"/>
    </row>
    <row r="12" spans="1:9" s="57" customFormat="1" ht="39" customHeight="1">
      <c r="A12" s="59"/>
      <c r="B12" s="64" t="s">
        <v>3171</v>
      </c>
      <c r="C12" s="65"/>
      <c r="D12" s="63" t="s">
        <v>2365</v>
      </c>
      <c r="E12" s="63" t="s">
        <v>3727</v>
      </c>
      <c r="F12" s="70" t="s">
        <v>3481</v>
      </c>
      <c r="G12" s="72">
        <f>((20+1.5+15+4.7+5.6+5.6+5.6+5.6+1.2+2.5+2.4+7.8)*3)+(3*0.7*2)+(3*0.6*2)+(0.6*0.7)+(0.3*3*2)+(2.4*0.7)+(0.7*-3)</f>
        <v>242.10000000000005</v>
      </c>
      <c r="H12" s="180"/>
      <c r="I12" s="65"/>
    </row>
    <row r="13" spans="1:9" s="57" customFormat="1" ht="39" customHeight="1">
      <c r="A13" s="59"/>
      <c r="B13" s="64" t="s">
        <v>3171</v>
      </c>
      <c r="C13" s="65"/>
      <c r="D13" s="63" t="s">
        <v>2365</v>
      </c>
      <c r="E13" s="63" t="s">
        <v>3727</v>
      </c>
      <c r="F13" s="72" t="s">
        <v>2822</v>
      </c>
      <c r="G13" s="72">
        <f>2.5*3</f>
        <v>7.5</v>
      </c>
      <c r="H13" s="180"/>
      <c r="I13" s="65"/>
    </row>
    <row r="14" spans="1:9" s="57" customFormat="1" ht="100.5" customHeight="1">
      <c r="A14" s="59"/>
      <c r="B14" s="64" t="s">
        <v>3171</v>
      </c>
      <c r="C14" s="65"/>
      <c r="D14" s="63" t="s">
        <v>2365</v>
      </c>
      <c r="E14" s="63" t="s">
        <v>3727</v>
      </c>
      <c r="F14" s="152" t="s">
        <v>3482</v>
      </c>
      <c r="G14" s="152">
        <f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f>
        <v>45.410000000000011</v>
      </c>
      <c r="H14" s="180"/>
      <c r="I14" s="65"/>
    </row>
    <row r="15" spans="1:9" s="57" customFormat="1" ht="87.95" customHeight="1">
      <c r="A15" s="59"/>
      <c r="B15" s="64" t="s">
        <v>3171</v>
      </c>
      <c r="C15" s="65"/>
      <c r="D15" s="63" t="s">
        <v>2365</v>
      </c>
      <c r="E15" s="63" t="s">
        <v>3727</v>
      </c>
      <c r="F15" s="152" t="s">
        <v>3483</v>
      </c>
      <c r="G15" s="152">
        <f>((1.1+0.5)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*0.5</f>
        <v>83.800000000000011</v>
      </c>
      <c r="H15" s="180"/>
      <c r="I15" s="65"/>
    </row>
    <row r="16" spans="1:9" s="57" customFormat="1" ht="20.100000000000001" customHeight="1">
      <c r="A16" s="59"/>
      <c r="B16" s="64" t="s">
        <v>3171</v>
      </c>
      <c r="C16" s="65"/>
      <c r="D16" s="63" t="s">
        <v>2365</v>
      </c>
      <c r="E16" s="65" t="s">
        <v>3728</v>
      </c>
      <c r="F16" s="72" t="s">
        <v>3034</v>
      </c>
      <c r="G16" s="72">
        <f>6457*0.072</f>
        <v>464.90399999999994</v>
      </c>
      <c r="H16" s="180"/>
      <c r="I16" s="65"/>
    </row>
    <row r="17" spans="1:9" ht="20.100000000000001" customHeight="1">
      <c r="A17" s="92"/>
      <c r="B17" s="92"/>
      <c r="C17" s="92"/>
      <c r="D17" s="92"/>
      <c r="E17" s="92"/>
      <c r="F17" s="92"/>
      <c r="G17" s="92"/>
      <c r="H17" s="180"/>
      <c r="I17" s="92"/>
    </row>
    <row r="18" spans="1:9" ht="20.100000000000001" customHeight="1">
      <c r="A18" s="117" t="s">
        <v>3148</v>
      </c>
      <c r="B18" s="101" t="s">
        <v>2933</v>
      </c>
      <c r="C18" s="114"/>
      <c r="D18" s="93"/>
      <c r="E18" s="92"/>
      <c r="F18" s="92"/>
      <c r="G18" s="92"/>
      <c r="H18" s="180"/>
      <c r="I18" s="92"/>
    </row>
    <row r="19" spans="1:9" ht="20.100000000000001" customHeight="1">
      <c r="A19" s="102" t="s">
        <v>2934</v>
      </c>
      <c r="B19" s="116" t="s">
        <v>2931</v>
      </c>
      <c r="C19" s="115"/>
      <c r="D19" s="93"/>
      <c r="E19" s="92"/>
      <c r="F19" s="92"/>
      <c r="G19" s="92"/>
      <c r="H19" s="180"/>
      <c r="I19" s="92"/>
    </row>
    <row r="20" spans="1:9" ht="20.100000000000001" customHeight="1">
      <c r="A20" s="94"/>
      <c r="B20" s="112" t="s">
        <v>2930</v>
      </c>
      <c r="C20" s="115" t="s">
        <v>2929</v>
      </c>
      <c r="D20" s="93" t="s">
        <v>2365</v>
      </c>
      <c r="E20" s="92" t="s">
        <v>3108</v>
      </c>
      <c r="F20" s="92" t="s">
        <v>3146</v>
      </c>
      <c r="G20" s="92">
        <f>(13.5*25.4)+(13.5*21.4)</f>
        <v>631.79999999999995</v>
      </c>
      <c r="H20" s="180"/>
      <c r="I20" s="92"/>
    </row>
    <row r="21" spans="1:9" ht="20.100000000000001" customHeight="1">
      <c r="A21" s="94"/>
      <c r="B21" s="112" t="s">
        <v>2930</v>
      </c>
      <c r="C21" s="115" t="s">
        <v>2929</v>
      </c>
      <c r="D21" s="93" t="s">
        <v>2365</v>
      </c>
      <c r="E21" s="92" t="s">
        <v>3105</v>
      </c>
      <c r="F21" s="92" t="s">
        <v>3145</v>
      </c>
      <c r="G21" s="92">
        <f>(13.5*21.4)</f>
        <v>288.89999999999998</v>
      </c>
      <c r="H21" s="180"/>
      <c r="I21" s="92"/>
    </row>
    <row r="22" spans="1:9" ht="20.100000000000001" customHeight="1">
      <c r="A22" s="94"/>
      <c r="B22" s="112" t="s">
        <v>2930</v>
      </c>
      <c r="C22" s="115" t="s">
        <v>2929</v>
      </c>
      <c r="D22" s="93" t="s">
        <v>2365</v>
      </c>
      <c r="E22" s="92" t="s">
        <v>3144</v>
      </c>
      <c r="F22" s="92" t="s">
        <v>3143</v>
      </c>
      <c r="G22" s="92">
        <f>(10.5*9.2)+(11*6)+(4*9.2)</f>
        <v>199.39999999999998</v>
      </c>
      <c r="H22" s="180">
        <f>SUM(G20:G22)</f>
        <v>1120.0999999999999</v>
      </c>
      <c r="I22" s="92"/>
    </row>
    <row r="23" spans="1:9" ht="20.100000000000001" customHeight="1">
      <c r="A23" s="94"/>
      <c r="B23" s="96"/>
      <c r="C23" s="92"/>
      <c r="D23" s="93"/>
      <c r="E23" s="92"/>
      <c r="F23" s="92"/>
      <c r="G23" s="92"/>
      <c r="H23" s="180"/>
      <c r="I23" s="92"/>
    </row>
    <row r="24" spans="1:9" ht="20.100000000000001" customHeight="1">
      <c r="A24" s="94"/>
      <c r="B24" s="96" t="s">
        <v>2920</v>
      </c>
      <c r="C24" s="92"/>
      <c r="D24" s="93" t="s">
        <v>2365</v>
      </c>
      <c r="E24" s="92" t="s">
        <v>3110</v>
      </c>
      <c r="F24" s="92" t="s">
        <v>3147</v>
      </c>
      <c r="G24" s="92">
        <f>6.8*9</f>
        <v>61.199999999999996</v>
      </c>
      <c r="H24" s="180">
        <f>G24</f>
        <v>61.199999999999996</v>
      </c>
      <c r="I24" s="92"/>
    </row>
    <row r="25" spans="1:9" ht="20.100000000000001" customHeight="1">
      <c r="A25" s="94"/>
      <c r="B25" s="96"/>
      <c r="C25" s="92"/>
      <c r="D25" s="93"/>
      <c r="E25" s="92"/>
      <c r="F25" s="92"/>
      <c r="G25" s="92"/>
      <c r="H25" s="180"/>
      <c r="I25" s="92"/>
    </row>
    <row r="26" spans="1:9" ht="20.100000000000001" customHeight="1">
      <c r="A26" s="94"/>
      <c r="B26" s="96" t="s">
        <v>2846</v>
      </c>
      <c r="C26" s="114" t="s">
        <v>2918</v>
      </c>
      <c r="D26" s="93" t="s">
        <v>2365</v>
      </c>
      <c r="E26" s="92" t="s">
        <v>3108</v>
      </c>
      <c r="F26" s="92" t="s">
        <v>3146</v>
      </c>
      <c r="G26" s="92">
        <f>(13.5*25.4)+(13.5*21.4)</f>
        <v>631.79999999999995</v>
      </c>
      <c r="H26" s="180"/>
      <c r="I26" s="92"/>
    </row>
    <row r="27" spans="1:9" ht="20.100000000000001" customHeight="1">
      <c r="A27" s="94"/>
      <c r="B27" s="96" t="s">
        <v>2846</v>
      </c>
      <c r="C27" s="114" t="s">
        <v>2918</v>
      </c>
      <c r="D27" s="93" t="s">
        <v>2365</v>
      </c>
      <c r="E27" s="92" t="s">
        <v>3105</v>
      </c>
      <c r="F27" s="92" t="s">
        <v>3145</v>
      </c>
      <c r="G27" s="92">
        <f>(13.5*21.4)</f>
        <v>288.89999999999998</v>
      </c>
      <c r="H27" s="180"/>
      <c r="I27" s="92"/>
    </row>
    <row r="28" spans="1:9" ht="20.100000000000001" customHeight="1">
      <c r="A28" s="94"/>
      <c r="B28" s="96" t="s">
        <v>2846</v>
      </c>
      <c r="C28" s="114" t="s">
        <v>2918</v>
      </c>
      <c r="D28" s="93" t="s">
        <v>2365</v>
      </c>
      <c r="E28" s="92" t="s">
        <v>3144</v>
      </c>
      <c r="F28" s="92" t="s">
        <v>3143</v>
      </c>
      <c r="G28" s="92">
        <f>(10.5*9.2)+(11*6)+(4*9.2)</f>
        <v>199.39999999999998</v>
      </c>
      <c r="H28" s="180">
        <f>SUM(G26:G28)</f>
        <v>1120.0999999999999</v>
      </c>
      <c r="I28" s="111"/>
    </row>
    <row r="29" spans="1:9" ht="20.100000000000001" customHeight="1">
      <c r="A29" s="94"/>
      <c r="B29" s="96"/>
      <c r="C29" s="114"/>
      <c r="D29" s="93"/>
      <c r="E29" s="92"/>
      <c r="F29" s="92"/>
      <c r="G29" s="92"/>
      <c r="H29" s="180"/>
      <c r="I29" s="111"/>
    </row>
    <row r="30" spans="1:9" ht="20.100000000000001" customHeight="1">
      <c r="A30" s="94"/>
      <c r="B30" s="96" t="s">
        <v>3141</v>
      </c>
      <c r="C30" s="92"/>
      <c r="D30" s="93" t="s">
        <v>2915</v>
      </c>
      <c r="E30" s="92" t="s">
        <v>3140</v>
      </c>
      <c r="F30" s="92" t="s">
        <v>3142</v>
      </c>
      <c r="G30" s="92">
        <f>(5.6+13+9+13)*3</f>
        <v>121.80000000000001</v>
      </c>
      <c r="H30" s="182"/>
      <c r="I30" s="92"/>
    </row>
    <row r="31" spans="1:9" ht="20.100000000000001" customHeight="1">
      <c r="A31" s="94"/>
      <c r="B31" s="96" t="s">
        <v>3141</v>
      </c>
      <c r="C31" s="92"/>
      <c r="D31" s="93" t="s">
        <v>2915</v>
      </c>
      <c r="E31" s="92" t="s">
        <v>3140</v>
      </c>
      <c r="F31" s="92" t="s">
        <v>3139</v>
      </c>
      <c r="G31" s="92">
        <f>(1.5*3.14)+(3.3*3.14)</f>
        <v>15.071999999999999</v>
      </c>
      <c r="H31" s="180">
        <f>SUM(G30:G31)</f>
        <v>136.87200000000001</v>
      </c>
      <c r="I31" s="92"/>
    </row>
    <row r="32" spans="1:9" ht="20.100000000000001" customHeight="1">
      <c r="A32" s="94"/>
      <c r="B32" s="96"/>
      <c r="C32" s="92"/>
      <c r="D32" s="93"/>
      <c r="E32" s="92"/>
      <c r="F32" s="92"/>
      <c r="G32" s="92"/>
      <c r="H32" s="180"/>
      <c r="I32" s="92"/>
    </row>
    <row r="33" spans="1:9" ht="27.75" customHeight="1">
      <c r="A33" s="102" t="s">
        <v>3138</v>
      </c>
      <c r="B33" s="116" t="s">
        <v>2912</v>
      </c>
      <c r="C33" s="115"/>
      <c r="D33" s="93"/>
      <c r="E33" s="92"/>
      <c r="F33" s="92"/>
      <c r="G33" s="92"/>
      <c r="H33" s="180"/>
      <c r="I33" s="92"/>
    </row>
    <row r="34" spans="1:9" ht="20.100000000000001" customHeight="1">
      <c r="A34" s="113"/>
      <c r="B34" s="112" t="s">
        <v>2911</v>
      </c>
      <c r="C34" s="115"/>
      <c r="D34" s="93" t="s">
        <v>2365</v>
      </c>
      <c r="E34" s="92" t="s">
        <v>3137</v>
      </c>
      <c r="F34" s="97" t="s">
        <v>3136</v>
      </c>
      <c r="G34" s="97">
        <f>((4.7+2+14.5+2+3.4+3.6+3.8+3.6+3.6+1.5+3.6+0.8+1.6+1+3.4+4.8)*5.4)+(2.2*1.1)</f>
        <v>315.08000000000004</v>
      </c>
      <c r="H34" s="180">
        <f>SUM(G34)</f>
        <v>315.08000000000004</v>
      </c>
      <c r="I34" s="92"/>
    </row>
    <row r="35" spans="1:9" ht="20.100000000000001" customHeight="1">
      <c r="A35" s="113"/>
      <c r="B35" s="112"/>
      <c r="C35" s="115"/>
      <c r="D35" s="93"/>
      <c r="E35" s="92"/>
      <c r="F35" s="92"/>
      <c r="G35" s="92"/>
      <c r="H35" s="180"/>
      <c r="I35" s="92"/>
    </row>
    <row r="36" spans="1:9" ht="26.25" customHeight="1">
      <c r="A36" s="113"/>
      <c r="B36" s="151" t="s">
        <v>3135</v>
      </c>
      <c r="C36" s="92" t="s">
        <v>2902</v>
      </c>
      <c r="D36" s="93" t="s">
        <v>2365</v>
      </c>
      <c r="E36" s="92" t="s">
        <v>3110</v>
      </c>
      <c r="F36" s="92" t="s">
        <v>3132</v>
      </c>
      <c r="G36" s="92">
        <f>(3+16.2+15.1+16.2+4.6)*4.5</f>
        <v>247.95000000000002</v>
      </c>
      <c r="H36" s="180"/>
      <c r="I36" s="92"/>
    </row>
    <row r="37" spans="1:9" ht="20.100000000000001" customHeight="1">
      <c r="A37" s="113"/>
      <c r="B37" s="151" t="s">
        <v>3135</v>
      </c>
      <c r="C37" s="92" t="s">
        <v>2902</v>
      </c>
      <c r="D37" s="93" t="s">
        <v>2365</v>
      </c>
      <c r="E37" s="92" t="s">
        <v>3108</v>
      </c>
      <c r="F37" s="97" t="s">
        <v>3131</v>
      </c>
      <c r="G37" s="97">
        <f>(10.5+8.6+0.2+0.2+14.3+1.9+3.6+12.5+3.6+4.2+3.6+12.5+3.6+3.6)*4</f>
        <v>331.59999999999997</v>
      </c>
      <c r="H37" s="180"/>
      <c r="I37" s="92"/>
    </row>
    <row r="38" spans="1:9" ht="20.100000000000001" customHeight="1">
      <c r="A38" s="113"/>
      <c r="B38" s="151" t="s">
        <v>3135</v>
      </c>
      <c r="C38" s="92" t="s">
        <v>2902</v>
      </c>
      <c r="D38" s="93" t="s">
        <v>2365</v>
      </c>
      <c r="E38" s="92" t="s">
        <v>3105</v>
      </c>
      <c r="F38" s="92" t="s">
        <v>3129</v>
      </c>
      <c r="G38" s="92">
        <f>(3.6+12.6+6+1.8+12.5+10.5)*4</f>
        <v>188</v>
      </c>
      <c r="H38" s="180"/>
      <c r="I38" s="92"/>
    </row>
    <row r="39" spans="1:9" ht="20.100000000000001" customHeight="1">
      <c r="A39" s="113"/>
      <c r="B39" s="151" t="s">
        <v>3135</v>
      </c>
      <c r="C39" s="92" t="s">
        <v>2902</v>
      </c>
      <c r="D39" s="93" t="s">
        <v>2365</v>
      </c>
      <c r="E39" s="92" t="s">
        <v>3102</v>
      </c>
      <c r="F39" s="92" t="s">
        <v>3128</v>
      </c>
      <c r="G39" s="92">
        <f>(1.1+10.9+15.3+2+1.8+3.6+33.8+19.8+6.8+4.8)*4.5</f>
        <v>449.54999999999995</v>
      </c>
      <c r="H39" s="180">
        <f>SUM(G36:G39)</f>
        <v>1217.0999999999999</v>
      </c>
      <c r="I39" s="92"/>
    </row>
    <row r="40" spans="1:9" ht="24.75" customHeight="1">
      <c r="A40" s="113"/>
      <c r="B40" s="151"/>
      <c r="C40" s="92"/>
      <c r="D40" s="93"/>
      <c r="E40" s="92"/>
      <c r="F40" s="92"/>
      <c r="G40" s="92"/>
      <c r="H40" s="180"/>
      <c r="I40" s="92"/>
    </row>
    <row r="41" spans="1:9" ht="42" customHeight="1">
      <c r="A41" s="94"/>
      <c r="B41" s="151" t="s">
        <v>2899</v>
      </c>
      <c r="C41" s="92" t="s">
        <v>2896</v>
      </c>
      <c r="D41" s="93" t="s">
        <v>2365</v>
      </c>
      <c r="E41" s="92" t="s">
        <v>3110</v>
      </c>
      <c r="F41" s="97" t="s">
        <v>3127</v>
      </c>
      <c r="G41" s="92">
        <f>((3+13.6+4.1+0.5+11.3+0.5+3.7+13.6+4.6)*4.5)+(11.8*4.2)</f>
        <v>296.61</v>
      </c>
      <c r="H41" s="180"/>
      <c r="I41" s="92"/>
    </row>
    <row r="42" spans="1:9" ht="33" customHeight="1">
      <c r="A42" s="94"/>
      <c r="B42" s="151" t="s">
        <v>2899</v>
      </c>
      <c r="C42" s="92" t="s">
        <v>2896</v>
      </c>
      <c r="D42" s="93" t="s">
        <v>2365</v>
      </c>
      <c r="E42" s="92" t="s">
        <v>3108</v>
      </c>
      <c r="F42" s="97" t="s">
        <v>3126</v>
      </c>
      <c r="G42" s="97">
        <f>(1.2+1.9+1.9+1.2+0.3+0.6+2.5+3+1+2+0.9+0.9+2+2+1.2+9.6+1.2+1.8+1.1+1.8+6.5+1.7+0.2+1.2+1.1+1.1+1.1+1.1+1.1+5.5+6.7+1.5+0.9+9.5+1.2+3.2+3.2+2+2.9+2.9+2+0.7+0.7+1.8+1.8)*4</f>
        <v>398.80000000000013</v>
      </c>
      <c r="H42" s="180"/>
      <c r="I42" s="92"/>
    </row>
    <row r="43" spans="1:9" ht="31.5" customHeight="1">
      <c r="A43" s="94"/>
      <c r="B43" s="151" t="s">
        <v>2899</v>
      </c>
      <c r="C43" s="92" t="s">
        <v>2896</v>
      </c>
      <c r="D43" s="93" t="s">
        <v>2365</v>
      </c>
      <c r="E43" s="92" t="s">
        <v>3108</v>
      </c>
      <c r="F43" s="97" t="s">
        <v>3125</v>
      </c>
      <c r="G43" s="97">
        <f>((11.8+9.9)*15)+((9.6+6.4+4.2+6.8)*1.5)+((3.3+3.3+3.2+3.2+4.1+2.7)*1.5)+(18.5*0.9)</f>
        <v>412.35</v>
      </c>
      <c r="H43" s="180"/>
      <c r="I43" s="92" t="s">
        <v>3118</v>
      </c>
    </row>
    <row r="44" spans="1:9" ht="32.25" customHeight="1">
      <c r="A44" s="94"/>
      <c r="B44" s="151" t="s">
        <v>2899</v>
      </c>
      <c r="C44" s="92" t="s">
        <v>2896</v>
      </c>
      <c r="D44" s="93" t="s">
        <v>2365</v>
      </c>
      <c r="E44" s="92" t="s">
        <v>3108</v>
      </c>
      <c r="F44" s="97" t="s">
        <v>3124</v>
      </c>
      <c r="G44" s="104">
        <f>(11.8*1.9)+(9.9*2.5)+(9.6*1.2)+(1.8*6.5)+((2.7+3.2+3.2+3.3+3.3)*0.7)+(4.1*1.1)+(4*2)+(3.3*5)</f>
        <v>110.39</v>
      </c>
      <c r="H44" s="180"/>
      <c r="I44" s="92" t="s">
        <v>2851</v>
      </c>
    </row>
    <row r="45" spans="1:9" ht="20.100000000000001" customHeight="1">
      <c r="A45" s="94"/>
      <c r="B45" s="151" t="s">
        <v>2899</v>
      </c>
      <c r="C45" s="92" t="s">
        <v>2896</v>
      </c>
      <c r="D45" s="93" t="s">
        <v>2365</v>
      </c>
      <c r="E45" s="92" t="s">
        <v>3108</v>
      </c>
      <c r="F45" s="97" t="s">
        <v>3124</v>
      </c>
      <c r="G45" s="104">
        <f>(11.8*1.9)+(9.9*2.5)+(9.6*1.2)+(1.8*6.5)+((2.7+3.2+3.2+3.3+3.3)*0.7)+(4.1*1.1)+(4*2)+(3.3*5)</f>
        <v>110.39</v>
      </c>
      <c r="H45" s="180"/>
      <c r="I45" s="92" t="s">
        <v>2849</v>
      </c>
    </row>
    <row r="46" spans="1:9" ht="27.75" customHeight="1">
      <c r="A46" s="94"/>
      <c r="B46" s="151" t="s">
        <v>2899</v>
      </c>
      <c r="C46" s="92" t="s">
        <v>2896</v>
      </c>
      <c r="D46" s="93" t="s">
        <v>2365</v>
      </c>
      <c r="E46" s="92" t="s">
        <v>3108</v>
      </c>
      <c r="F46" s="92" t="s">
        <v>3123</v>
      </c>
      <c r="G46" s="103">
        <f>(1*3.14*1.8*9)</f>
        <v>50.868000000000002</v>
      </c>
      <c r="H46" s="180"/>
      <c r="I46" s="92" t="s">
        <v>3122</v>
      </c>
    </row>
    <row r="47" spans="1:9" ht="27.75" customHeight="1">
      <c r="A47" s="94"/>
      <c r="B47" s="151" t="s">
        <v>2899</v>
      </c>
      <c r="C47" s="92" t="s">
        <v>2896</v>
      </c>
      <c r="D47" s="93" t="s">
        <v>2365</v>
      </c>
      <c r="E47" s="92" t="s">
        <v>3105</v>
      </c>
      <c r="F47" s="97" t="s">
        <v>3120</v>
      </c>
      <c r="G47" s="97">
        <f>((3.4+1.1+1.1+1.1+4.6+4.1+2.3+2.3+4.1+4.6+1.8+1.9+12.2+1.9+1.2)*4)</f>
        <v>190.80000000000004</v>
      </c>
      <c r="H47" s="180"/>
      <c r="I47" s="92"/>
    </row>
    <row r="48" spans="1:9" ht="20.100000000000001" customHeight="1">
      <c r="A48" s="94"/>
      <c r="B48" s="151" t="s">
        <v>2899</v>
      </c>
      <c r="C48" s="92" t="s">
        <v>2896</v>
      </c>
      <c r="D48" s="93" t="s">
        <v>2365</v>
      </c>
      <c r="E48" s="92" t="s">
        <v>3105</v>
      </c>
      <c r="F48" s="97" t="s">
        <v>3121</v>
      </c>
      <c r="G48" s="97">
        <f>(2.4*2.4*2)+(0.6*2.4*2)+(1.2*1.2*2)</f>
        <v>17.279999999999998</v>
      </c>
      <c r="H48" s="180"/>
      <c r="I48" s="92"/>
    </row>
    <row r="49" spans="1:9" ht="25.5" customHeight="1">
      <c r="A49" s="94"/>
      <c r="B49" s="151" t="s">
        <v>2899</v>
      </c>
      <c r="C49" s="92" t="s">
        <v>2896</v>
      </c>
      <c r="D49" s="93" t="s">
        <v>2365</v>
      </c>
      <c r="E49" s="92" t="s">
        <v>3105</v>
      </c>
      <c r="F49" s="97" t="s">
        <v>3119</v>
      </c>
      <c r="G49" s="97">
        <f>((9.5+10.4+4.1+2.7)*1.5)+((1.7+5)*1.5)</f>
        <v>50.099999999999994</v>
      </c>
      <c r="H49" s="180"/>
      <c r="I49" s="92" t="s">
        <v>3118</v>
      </c>
    </row>
    <row r="50" spans="1:9" ht="20.100000000000001" customHeight="1">
      <c r="A50" s="94"/>
      <c r="B50" s="151" t="s">
        <v>2899</v>
      </c>
      <c r="C50" s="92" t="s">
        <v>2896</v>
      </c>
      <c r="D50" s="93" t="s">
        <v>2365</v>
      </c>
      <c r="E50" s="92" t="s">
        <v>3105</v>
      </c>
      <c r="F50" s="97" t="s">
        <v>3117</v>
      </c>
      <c r="G50" s="97">
        <f>(4.1*1.1)+(0.9*2.7)+(1.7*5)+(9.5*1.9)+(11.4*1.2)</f>
        <v>47.17</v>
      </c>
      <c r="H50" s="180"/>
      <c r="I50" s="92" t="s">
        <v>2851</v>
      </c>
    </row>
    <row r="51" spans="1:9" ht="25.5" customHeight="1">
      <c r="A51" s="94"/>
      <c r="B51" s="151" t="s">
        <v>2899</v>
      </c>
      <c r="C51" s="92" t="s">
        <v>2896</v>
      </c>
      <c r="D51" s="93" t="s">
        <v>2365</v>
      </c>
      <c r="E51" s="92" t="s">
        <v>3105</v>
      </c>
      <c r="F51" s="97" t="s">
        <v>3117</v>
      </c>
      <c r="G51" s="97">
        <f>(4.1*1.1)+(0.9*2.7)+(1.7*5)+(9.5*1.9)+(11.4*1.2)</f>
        <v>47.17</v>
      </c>
      <c r="H51" s="180"/>
      <c r="I51" s="92" t="s">
        <v>2849</v>
      </c>
    </row>
    <row r="52" spans="1:9" ht="20.100000000000001" customHeight="1">
      <c r="A52" s="94"/>
      <c r="B52" s="151" t="s">
        <v>2899</v>
      </c>
      <c r="C52" s="92" t="s">
        <v>2896</v>
      </c>
      <c r="D52" s="93" t="s">
        <v>2365</v>
      </c>
      <c r="E52" s="92" t="s">
        <v>3102</v>
      </c>
      <c r="F52" s="97" t="s">
        <v>3116</v>
      </c>
      <c r="G52" s="92">
        <f>(14.6*3.8)+((9.9+0.9+0.9+10+0.9+10+0.9+0.8+0.8+3.2+2+3.1)*3.1)</f>
        <v>190.01999999999998</v>
      </c>
      <c r="H52" s="180"/>
      <c r="I52" s="92"/>
    </row>
    <row r="53" spans="1:9" ht="30.75" customHeight="1">
      <c r="A53" s="94"/>
      <c r="B53" s="151" t="s">
        <v>2899</v>
      </c>
      <c r="C53" s="92" t="s">
        <v>2896</v>
      </c>
      <c r="D53" s="93" t="s">
        <v>2365</v>
      </c>
      <c r="E53" s="92" t="s">
        <v>3102</v>
      </c>
      <c r="F53" s="92" t="s">
        <v>3115</v>
      </c>
      <c r="G53" s="92">
        <f>((9.9+9+9+1.7)*0.6)+(9.9*0.9*6)+(1.5*1.8*2)</f>
        <v>76.62</v>
      </c>
      <c r="H53" s="180"/>
      <c r="I53" s="92"/>
    </row>
    <row r="54" spans="1:9" ht="20.100000000000001" customHeight="1">
      <c r="A54" s="94"/>
      <c r="B54" s="151" t="s">
        <v>2899</v>
      </c>
      <c r="C54" s="92" t="s">
        <v>2896</v>
      </c>
      <c r="D54" s="93" t="s">
        <v>2365</v>
      </c>
      <c r="E54" s="92" t="s">
        <v>3102</v>
      </c>
      <c r="F54" s="92" t="s">
        <v>3114</v>
      </c>
      <c r="G54" s="92">
        <f>(1*0.8*24*2)+((0.8+1)*2*24)</f>
        <v>124.80000000000001</v>
      </c>
      <c r="H54" s="180">
        <f>SUM(G41:G54)</f>
        <v>2123.3680000000004</v>
      </c>
      <c r="I54" s="92"/>
    </row>
    <row r="55" spans="1:9" ht="20.100000000000001" customHeight="1">
      <c r="A55" s="94"/>
      <c r="B55" s="96"/>
      <c r="C55" s="92"/>
      <c r="D55" s="93"/>
      <c r="E55" s="92"/>
      <c r="F55" s="92"/>
      <c r="G55" s="92"/>
      <c r="H55" s="180"/>
      <c r="I55" s="92"/>
    </row>
    <row r="56" spans="1:9" ht="20.100000000000001" customHeight="1">
      <c r="A56" s="94"/>
      <c r="B56" s="96" t="s">
        <v>2846</v>
      </c>
      <c r="C56" s="110" t="s">
        <v>2845</v>
      </c>
      <c r="D56" s="93" t="s">
        <v>2365</v>
      </c>
      <c r="E56" s="92" t="s">
        <v>3110</v>
      </c>
      <c r="F56" s="92" t="s">
        <v>3132</v>
      </c>
      <c r="G56" s="92">
        <f>(3+16.2+15.1+16.2+4.6)*4.5</f>
        <v>247.95000000000002</v>
      </c>
      <c r="H56" s="180"/>
      <c r="I56" s="92"/>
    </row>
    <row r="57" spans="1:9" ht="20.100000000000001" customHeight="1">
      <c r="A57" s="94"/>
      <c r="B57" s="96" t="s">
        <v>2846</v>
      </c>
      <c r="C57" s="110" t="s">
        <v>2845</v>
      </c>
      <c r="D57" s="93" t="s">
        <v>2365</v>
      </c>
      <c r="E57" s="92" t="s">
        <v>3108</v>
      </c>
      <c r="F57" s="97" t="s">
        <v>3131</v>
      </c>
      <c r="G57" s="97">
        <f>(10.5+8.6+0.2+0.2+14.3+1.9+3.6+12.5+3.6+4.2+3.6+12.5+3.6+3.6)*4</f>
        <v>331.59999999999997</v>
      </c>
      <c r="H57" s="180"/>
      <c r="I57" s="92"/>
    </row>
    <row r="58" spans="1:9" ht="20.100000000000001" customHeight="1">
      <c r="A58" s="94"/>
      <c r="B58" s="96" t="s">
        <v>3130</v>
      </c>
      <c r="C58" s="110" t="s">
        <v>2845</v>
      </c>
      <c r="D58" s="93" t="s">
        <v>2365</v>
      </c>
      <c r="E58" s="92" t="s">
        <v>3105</v>
      </c>
      <c r="F58" s="92" t="s">
        <v>3129</v>
      </c>
      <c r="G58" s="92">
        <f>(3.6+12.6+6+1.8+12.5+10.5)*4</f>
        <v>188</v>
      </c>
      <c r="H58" s="180"/>
      <c r="I58" s="92"/>
    </row>
    <row r="59" spans="1:9" ht="20.100000000000001" customHeight="1">
      <c r="A59" s="94"/>
      <c r="B59" s="96" t="s">
        <v>2846</v>
      </c>
      <c r="C59" s="110" t="s">
        <v>2845</v>
      </c>
      <c r="D59" s="93" t="s">
        <v>2365</v>
      </c>
      <c r="E59" s="92" t="s">
        <v>3102</v>
      </c>
      <c r="F59" s="92" t="s">
        <v>3128</v>
      </c>
      <c r="G59" s="92">
        <f>(1.1+10.9+15.3+2+1.8+3.6+33.8+19.8+6.8+4.8)*4.5</f>
        <v>449.54999999999995</v>
      </c>
      <c r="H59" s="180"/>
      <c r="I59" s="92"/>
    </row>
    <row r="60" spans="1:9" ht="20.100000000000001" customHeight="1">
      <c r="A60" s="94"/>
      <c r="B60" s="96" t="s">
        <v>2846</v>
      </c>
      <c r="C60" s="110" t="s">
        <v>2845</v>
      </c>
      <c r="D60" s="93" t="s">
        <v>2365</v>
      </c>
      <c r="E60" s="92" t="s">
        <v>3110</v>
      </c>
      <c r="F60" s="92" t="s">
        <v>3127</v>
      </c>
      <c r="G60" s="92">
        <f>((3+13.6+4.1+0.5+11.3+0.5+3.7+13.6+4.6)*4.5)+(11.8*4.2)</f>
        <v>296.61</v>
      </c>
      <c r="H60" s="180"/>
      <c r="I60" s="92"/>
    </row>
    <row r="61" spans="1:9" ht="20.100000000000001" customHeight="1">
      <c r="A61" s="94"/>
      <c r="B61" s="96" t="s">
        <v>2846</v>
      </c>
      <c r="C61" s="110" t="s">
        <v>2845</v>
      </c>
      <c r="D61" s="93" t="s">
        <v>2365</v>
      </c>
      <c r="E61" s="92" t="s">
        <v>3108</v>
      </c>
      <c r="F61" s="97" t="s">
        <v>3126</v>
      </c>
      <c r="G61" s="97">
        <f>(1.2+1.9+1.9+1.2+0.3+0.6+2.5+3+1+2+0.9+0.9+2+2+1.2+9.6+1.2+1.8+1.1+1.8+6.5+1.7+0.2+1.2+1.1+1.1+1.1+1.1+1.1+5.5+6.7+1.5+0.9+9.5+1.2+3.2+3.2+2+2.9+2.9+2+0.7+0.7+1.8+1.8)*4</f>
        <v>398.80000000000013</v>
      </c>
      <c r="H61" s="180"/>
      <c r="I61" s="92"/>
    </row>
    <row r="62" spans="1:9" ht="20.100000000000001" customHeight="1">
      <c r="A62" s="94"/>
      <c r="B62" s="96" t="s">
        <v>2846</v>
      </c>
      <c r="C62" s="110" t="s">
        <v>2845</v>
      </c>
      <c r="D62" s="93" t="s">
        <v>2365</v>
      </c>
      <c r="E62" s="92" t="s">
        <v>3108</v>
      </c>
      <c r="F62" s="97" t="s">
        <v>3125</v>
      </c>
      <c r="G62" s="97">
        <f>((11.8+9.9)*15)+((9.6+6.4+4.2+6.8)*1.5)+((3.3+3.3+3.2+3.2+4.1+2.7)*1.5)+(18.5*0.9)</f>
        <v>412.35</v>
      </c>
      <c r="H62" s="180"/>
      <c r="I62" s="92" t="s">
        <v>3118</v>
      </c>
    </row>
    <row r="63" spans="1:9" ht="20.100000000000001" customHeight="1">
      <c r="A63" s="94"/>
      <c r="B63" s="96" t="s">
        <v>2846</v>
      </c>
      <c r="C63" s="110" t="s">
        <v>2845</v>
      </c>
      <c r="D63" s="93" t="s">
        <v>2365</v>
      </c>
      <c r="E63" s="92" t="s">
        <v>3108</v>
      </c>
      <c r="F63" s="97" t="s">
        <v>3124</v>
      </c>
      <c r="G63" s="104">
        <f>(11.8*1.9)+(9.9*2.5)+(9.6*1.2)+(1.8*6.5)+((2.7+3.2+3.2+3.3+3.3)*0.7)+(4.1*1.1)+(4*2)+(3.3*5)</f>
        <v>110.39</v>
      </c>
      <c r="H63" s="180"/>
      <c r="I63" s="92" t="s">
        <v>2851</v>
      </c>
    </row>
    <row r="64" spans="1:9" ht="20.100000000000001" customHeight="1">
      <c r="A64" s="94"/>
      <c r="B64" s="96" t="s">
        <v>2846</v>
      </c>
      <c r="C64" s="110" t="s">
        <v>2845</v>
      </c>
      <c r="D64" s="93" t="s">
        <v>2365</v>
      </c>
      <c r="E64" s="92" t="s">
        <v>3108</v>
      </c>
      <c r="F64" s="97" t="s">
        <v>3124</v>
      </c>
      <c r="G64" s="104">
        <f>(11.8*1.9)+(9.9*2.5)+(9.6*1.2)+(1.8*6.5)+((2.7+3.2+3.2+3.3+3.3)*0.7)+(4.1*1.1)+(4*2)+(3.3*5)</f>
        <v>110.39</v>
      </c>
      <c r="H64" s="180"/>
      <c r="I64" s="92" t="s">
        <v>2849</v>
      </c>
    </row>
    <row r="65" spans="1:9" ht="27.75" customHeight="1">
      <c r="A65" s="94"/>
      <c r="B65" s="96" t="s">
        <v>2846</v>
      </c>
      <c r="C65" s="110" t="s">
        <v>2845</v>
      </c>
      <c r="D65" s="93" t="s">
        <v>2365</v>
      </c>
      <c r="E65" s="92" t="s">
        <v>3108</v>
      </c>
      <c r="F65" s="92" t="s">
        <v>3123</v>
      </c>
      <c r="G65" s="103">
        <f>(1*3.14*1.8*9)</f>
        <v>50.868000000000002</v>
      </c>
      <c r="H65" s="180"/>
      <c r="I65" s="92" t="s">
        <v>3122</v>
      </c>
    </row>
    <row r="66" spans="1:9" ht="20.100000000000001" customHeight="1">
      <c r="A66" s="94"/>
      <c r="B66" s="96" t="s">
        <v>2846</v>
      </c>
      <c r="C66" s="110" t="s">
        <v>2845</v>
      </c>
      <c r="D66" s="93" t="s">
        <v>2365</v>
      </c>
      <c r="E66" s="92" t="s">
        <v>3105</v>
      </c>
      <c r="F66" s="97" t="s">
        <v>3121</v>
      </c>
      <c r="G66" s="97">
        <f>(2.4*2.4*2)+(0.6*2.4*2)+(1.2*1.2*2)</f>
        <v>17.279999999999998</v>
      </c>
      <c r="H66" s="180"/>
      <c r="I66" s="92"/>
    </row>
    <row r="67" spans="1:9" ht="20.100000000000001" customHeight="1">
      <c r="A67" s="94"/>
      <c r="B67" s="96" t="s">
        <v>2846</v>
      </c>
      <c r="C67" s="110" t="s">
        <v>2845</v>
      </c>
      <c r="D67" s="93" t="s">
        <v>2365</v>
      </c>
      <c r="E67" s="92" t="s">
        <v>3105</v>
      </c>
      <c r="F67" s="97" t="s">
        <v>3120</v>
      </c>
      <c r="G67" s="97">
        <f>((3.4+1.1+1.1+1.1+4.6+4.1+2.3+2.3+4.1+4.6+1.8+1.9+12.2+1.9+1.2)*4)</f>
        <v>190.80000000000004</v>
      </c>
      <c r="H67" s="180"/>
      <c r="I67" s="92"/>
    </row>
    <row r="68" spans="1:9" ht="20.100000000000001" customHeight="1">
      <c r="A68" s="94"/>
      <c r="B68" s="96" t="s">
        <v>2846</v>
      </c>
      <c r="C68" s="110" t="s">
        <v>2845</v>
      </c>
      <c r="D68" s="93" t="s">
        <v>2365</v>
      </c>
      <c r="E68" s="92" t="s">
        <v>3105</v>
      </c>
      <c r="F68" s="97" t="s">
        <v>3119</v>
      </c>
      <c r="G68" s="97">
        <f>((9.5+10.4+4.1+2.7)*1.5)+((1.7+5)*1.5)</f>
        <v>50.099999999999994</v>
      </c>
      <c r="H68" s="180"/>
      <c r="I68" s="92" t="s">
        <v>3118</v>
      </c>
    </row>
    <row r="69" spans="1:9" ht="20.100000000000001" customHeight="1">
      <c r="A69" s="94"/>
      <c r="B69" s="96" t="s">
        <v>2846</v>
      </c>
      <c r="C69" s="110" t="s">
        <v>2845</v>
      </c>
      <c r="D69" s="93" t="s">
        <v>2365</v>
      </c>
      <c r="E69" s="92" t="s">
        <v>3105</v>
      </c>
      <c r="F69" s="97" t="s">
        <v>3117</v>
      </c>
      <c r="G69" s="97">
        <f>(4.1*1.1)+(0.9*2.7)+(1.7*5)+(9.5*1.9)+(11.4*1.2)</f>
        <v>47.17</v>
      </c>
      <c r="H69" s="180"/>
      <c r="I69" s="92" t="s">
        <v>2851</v>
      </c>
    </row>
    <row r="70" spans="1:9" ht="20.100000000000001" customHeight="1">
      <c r="A70" s="94"/>
      <c r="B70" s="96" t="s">
        <v>2846</v>
      </c>
      <c r="C70" s="110" t="s">
        <v>2845</v>
      </c>
      <c r="D70" s="93" t="s">
        <v>2365</v>
      </c>
      <c r="E70" s="92" t="s">
        <v>3105</v>
      </c>
      <c r="F70" s="97" t="s">
        <v>3117</v>
      </c>
      <c r="G70" s="97">
        <f>(4.1*1.1)+(0.9*2.7)+(1.7*5)+(9.5*1.9)+(11.4*1.2)</f>
        <v>47.17</v>
      </c>
      <c r="H70" s="180"/>
      <c r="I70" s="92" t="s">
        <v>2849</v>
      </c>
    </row>
    <row r="71" spans="1:9" ht="20.100000000000001" customHeight="1">
      <c r="A71" s="94"/>
      <c r="B71" s="96" t="s">
        <v>2846</v>
      </c>
      <c r="C71" s="110" t="s">
        <v>2845</v>
      </c>
      <c r="D71" s="93" t="s">
        <v>2365</v>
      </c>
      <c r="E71" s="92" t="s">
        <v>3102</v>
      </c>
      <c r="F71" s="97" t="s">
        <v>3116</v>
      </c>
      <c r="G71" s="92">
        <f>(14.6*3.8)+((9.9+0.9+0.9+10+0.9+10+0.9+0.8+0.8+3.2+2+3.1)*3.1)</f>
        <v>190.01999999999998</v>
      </c>
      <c r="H71" s="180"/>
      <c r="I71" s="92"/>
    </row>
    <row r="72" spans="1:9" ht="27.75" customHeight="1">
      <c r="A72" s="94"/>
      <c r="B72" s="96" t="s">
        <v>2846</v>
      </c>
      <c r="C72" s="110" t="s">
        <v>2845</v>
      </c>
      <c r="D72" s="93" t="s">
        <v>2365</v>
      </c>
      <c r="E72" s="92" t="s">
        <v>3102</v>
      </c>
      <c r="F72" s="92" t="s">
        <v>3115</v>
      </c>
      <c r="G72" s="92">
        <f>((9.9+9+9+1.7)*0.6)+(9.9*0.9*6)+(1.5*1.8*2)</f>
        <v>76.62</v>
      </c>
      <c r="H72" s="180"/>
      <c r="I72" s="92"/>
    </row>
    <row r="73" spans="1:9" ht="20.100000000000001" customHeight="1">
      <c r="A73" s="94"/>
      <c r="B73" s="96" t="s">
        <v>2846</v>
      </c>
      <c r="C73" s="110" t="s">
        <v>2845</v>
      </c>
      <c r="D73" s="93" t="s">
        <v>2365</v>
      </c>
      <c r="E73" s="92" t="s">
        <v>3102</v>
      </c>
      <c r="F73" s="92" t="s">
        <v>3114</v>
      </c>
      <c r="G73" s="92">
        <f>(1*0.8*24*2)+((0.8+1)*2*24)</f>
        <v>124.80000000000001</v>
      </c>
      <c r="H73" s="180">
        <f>SUM(G56:G73)</f>
        <v>3340.4680000000003</v>
      </c>
      <c r="I73" s="92"/>
    </row>
    <row r="74" spans="1:9" ht="20.100000000000001" customHeight="1">
      <c r="A74" s="94"/>
      <c r="B74" s="96"/>
      <c r="C74" s="110"/>
      <c r="D74" s="93"/>
      <c r="E74" s="92"/>
      <c r="F74" s="92"/>
      <c r="G74" s="92"/>
      <c r="H74" s="180"/>
      <c r="I74" s="92"/>
    </row>
    <row r="75" spans="1:9" ht="20.100000000000001" customHeight="1">
      <c r="A75" s="94"/>
      <c r="B75" s="96" t="s">
        <v>3134</v>
      </c>
      <c r="C75" s="92"/>
      <c r="D75" s="93" t="s">
        <v>2365</v>
      </c>
      <c r="E75" s="92" t="s">
        <v>3110</v>
      </c>
      <c r="F75" s="92" t="s">
        <v>3133</v>
      </c>
      <c r="G75" s="92">
        <f>(3+13.6+4.1+0.5+11.3+0.5+3.7+13.6+4.6)*4.5</f>
        <v>247.05</v>
      </c>
      <c r="H75" s="180">
        <f>G75</f>
        <v>247.05</v>
      </c>
      <c r="I75" s="92"/>
    </row>
    <row r="76" spans="1:9" ht="20.100000000000001" customHeight="1">
      <c r="A76" s="94"/>
      <c r="B76" s="96"/>
      <c r="C76" s="110"/>
      <c r="D76" s="93"/>
      <c r="E76" s="92"/>
      <c r="F76" s="92"/>
      <c r="G76" s="92"/>
      <c r="H76" s="180"/>
      <c r="I76" s="92"/>
    </row>
    <row r="77" spans="1:9" ht="20.100000000000001" customHeight="1">
      <c r="A77" s="94"/>
      <c r="B77" s="96" t="s">
        <v>2837</v>
      </c>
      <c r="C77" s="96"/>
      <c r="D77" s="93" t="s">
        <v>2365</v>
      </c>
      <c r="E77" s="92" t="s">
        <v>3113</v>
      </c>
      <c r="F77" s="92" t="s">
        <v>3112</v>
      </c>
      <c r="G77" s="92">
        <f>0.6*4.2*3</f>
        <v>7.5600000000000005</v>
      </c>
      <c r="H77" s="180"/>
      <c r="I77" s="92"/>
    </row>
    <row r="78" spans="1:9" ht="20.100000000000001" customHeight="1">
      <c r="A78" s="94"/>
      <c r="B78" s="96" t="s">
        <v>2837</v>
      </c>
      <c r="C78" s="96"/>
      <c r="D78" s="93" t="s">
        <v>2365</v>
      </c>
      <c r="E78" s="92" t="s">
        <v>3108</v>
      </c>
      <c r="F78" s="92" t="s">
        <v>3111</v>
      </c>
      <c r="G78" s="103">
        <f>0.45*3.14*3*4</f>
        <v>16.956</v>
      </c>
      <c r="H78" s="180">
        <f>SUM(G77:G78)</f>
        <v>24.515999999999998</v>
      </c>
      <c r="I78" s="92"/>
    </row>
    <row r="79" spans="1:9" ht="18.75" customHeight="1">
      <c r="A79" s="94"/>
      <c r="B79" s="96"/>
      <c r="C79" s="110"/>
      <c r="D79" s="93"/>
      <c r="E79" s="92"/>
      <c r="F79" s="92"/>
      <c r="G79" s="92"/>
      <c r="H79" s="180"/>
      <c r="I79" s="92"/>
    </row>
    <row r="80" spans="1:9" ht="26.25" customHeight="1">
      <c r="A80" s="94"/>
      <c r="B80" s="96" t="s">
        <v>2831</v>
      </c>
      <c r="C80" s="96" t="s">
        <v>2828</v>
      </c>
      <c r="D80" s="93" t="s">
        <v>2365</v>
      </c>
      <c r="E80" s="92" t="s">
        <v>3110</v>
      </c>
      <c r="F80" s="97" t="s">
        <v>3109</v>
      </c>
      <c r="G80" s="97">
        <f>2.5*2*2.5</f>
        <v>12.5</v>
      </c>
      <c r="H80" s="180"/>
      <c r="I80" s="92"/>
    </row>
    <row r="81" spans="1:9" ht="27" customHeight="1">
      <c r="A81" s="94"/>
      <c r="B81" s="96" t="s">
        <v>2831</v>
      </c>
      <c r="C81" s="96" t="s">
        <v>2828</v>
      </c>
      <c r="D81" s="93" t="s">
        <v>2365</v>
      </c>
      <c r="E81" s="92" t="s">
        <v>3108</v>
      </c>
      <c r="F81" s="97" t="s">
        <v>3107</v>
      </c>
      <c r="G81" s="97">
        <f>((11.8+9.9)*1.1)+((9.6+6.4+4.2+6.8)*2)+((3.3+3.3+3.2+3.2+4.1+2.7)*2)+(18.5*0.9)</f>
        <v>134.12</v>
      </c>
      <c r="H81" s="180"/>
      <c r="I81" s="92"/>
    </row>
    <row r="82" spans="1:9" ht="27" customHeight="1">
      <c r="A82" s="94"/>
      <c r="B82" s="96" t="s">
        <v>2831</v>
      </c>
      <c r="C82" s="96" t="s">
        <v>2828</v>
      </c>
      <c r="D82" s="93" t="s">
        <v>2365</v>
      </c>
      <c r="E82" s="92" t="s">
        <v>3105</v>
      </c>
      <c r="F82" s="97" t="s">
        <v>3106</v>
      </c>
      <c r="G82" s="97">
        <f>((9.5+10.4+4.1+2.7)*2)+((1.7+5)*1.2)</f>
        <v>61.44</v>
      </c>
      <c r="H82" s="180"/>
      <c r="I82" s="92"/>
    </row>
    <row r="83" spans="1:9" ht="20.100000000000001" customHeight="1">
      <c r="A83" s="94"/>
      <c r="B83" s="96" t="s">
        <v>2831</v>
      </c>
      <c r="C83" s="96" t="s">
        <v>2828</v>
      </c>
      <c r="D83" s="93" t="s">
        <v>2365</v>
      </c>
      <c r="E83" s="92" t="s">
        <v>3105</v>
      </c>
      <c r="F83" s="97" t="s">
        <v>3104</v>
      </c>
      <c r="G83" s="97">
        <f>(0.6*2.4*2)+((0.6+0.6+2.4)*2*2.4)</f>
        <v>20.159999999999997</v>
      </c>
      <c r="H83" s="180"/>
      <c r="I83" s="92"/>
    </row>
    <row r="84" spans="1:9" ht="20.100000000000001" customHeight="1">
      <c r="A84" s="94"/>
      <c r="B84" s="96" t="s">
        <v>2831</v>
      </c>
      <c r="C84" s="96" t="s">
        <v>2828</v>
      </c>
      <c r="D84" s="93" t="s">
        <v>2365</v>
      </c>
      <c r="E84" s="92" t="s">
        <v>3102</v>
      </c>
      <c r="F84" s="92" t="s">
        <v>3103</v>
      </c>
      <c r="G84" s="109">
        <f>((9.9+9+9+1.7)*2.5)</f>
        <v>74</v>
      </c>
      <c r="H84" s="180"/>
      <c r="I84" s="92"/>
    </row>
    <row r="85" spans="1:9" ht="20.100000000000001" customHeight="1">
      <c r="A85" s="94"/>
      <c r="B85" s="96" t="s">
        <v>2831</v>
      </c>
      <c r="C85" s="96" t="s">
        <v>2828</v>
      </c>
      <c r="D85" s="93" t="s">
        <v>2365</v>
      </c>
      <c r="E85" s="92" t="s">
        <v>3102</v>
      </c>
      <c r="F85" s="92" t="s">
        <v>3101</v>
      </c>
      <c r="G85" s="92">
        <f>(2*1)+(4*1)+(2*0.7*2)</f>
        <v>8.8000000000000007</v>
      </c>
      <c r="H85" s="182"/>
      <c r="I85" s="92"/>
    </row>
    <row r="86" spans="1:9" ht="20.100000000000001" customHeight="1">
      <c r="A86" s="94"/>
      <c r="B86" s="96" t="s">
        <v>2831</v>
      </c>
      <c r="C86" s="92"/>
      <c r="D86" s="93" t="s">
        <v>2365</v>
      </c>
      <c r="E86" s="96" t="s">
        <v>2907</v>
      </c>
      <c r="F86" s="92" t="s">
        <v>2977</v>
      </c>
      <c r="G86" s="92">
        <f>11.2*3.2</f>
        <v>35.839999999999996</v>
      </c>
      <c r="H86" s="180">
        <f>SUM(G80:G86)</f>
        <v>346.86</v>
      </c>
      <c r="I86" s="92"/>
    </row>
    <row r="87" spans="1:9" ht="20.100000000000001" customHeight="1">
      <c r="A87" s="94"/>
      <c r="B87" s="96"/>
      <c r="C87" s="92"/>
      <c r="D87" s="93"/>
      <c r="E87" s="92"/>
      <c r="F87" s="92"/>
      <c r="G87" s="92"/>
      <c r="H87" s="180"/>
      <c r="I87" s="92"/>
    </row>
    <row r="88" spans="1:9" ht="20.100000000000001" customHeight="1">
      <c r="A88" s="102" t="s">
        <v>3100</v>
      </c>
      <c r="B88" s="116" t="s">
        <v>2824</v>
      </c>
      <c r="C88" s="115"/>
      <c r="D88" s="93"/>
      <c r="E88" s="92"/>
      <c r="F88" s="92"/>
      <c r="G88" s="92"/>
      <c r="H88" s="180"/>
      <c r="I88" s="92"/>
    </row>
    <row r="89" spans="1:9" ht="20.100000000000001" customHeight="1">
      <c r="A89" s="94"/>
      <c r="B89" s="96" t="s">
        <v>3097</v>
      </c>
      <c r="C89" s="114" t="s">
        <v>3099</v>
      </c>
      <c r="D89" s="93" t="s">
        <v>2365</v>
      </c>
      <c r="E89" s="92"/>
      <c r="F89" s="92" t="s">
        <v>3098</v>
      </c>
      <c r="G89" s="92">
        <f>(8.5*7)+(3.2*2.4*2)</f>
        <v>74.86</v>
      </c>
      <c r="H89" s="180"/>
      <c r="I89" s="92"/>
    </row>
    <row r="90" spans="1:9" ht="20.100000000000001" customHeight="1">
      <c r="A90" s="94"/>
      <c r="B90" s="96" t="s">
        <v>3097</v>
      </c>
      <c r="C90" s="114" t="s">
        <v>3096</v>
      </c>
      <c r="D90" s="93" t="s">
        <v>2365</v>
      </c>
      <c r="E90" s="92"/>
      <c r="F90" s="92" t="s">
        <v>3095</v>
      </c>
      <c r="G90" s="92">
        <f>(5.5*15.5)+(2.8*2.2)+(3.5*3.8)+(1.2*3.3)</f>
        <v>108.66999999999999</v>
      </c>
      <c r="H90" s="180">
        <f>SUM(G89:G90)</f>
        <v>183.52999999999997</v>
      </c>
      <c r="I90" s="92"/>
    </row>
    <row r="91" spans="1:9" ht="20.100000000000001" customHeight="1">
      <c r="A91" s="94"/>
      <c r="B91" s="96"/>
      <c r="C91" s="114"/>
      <c r="D91" s="93"/>
      <c r="E91" s="92"/>
      <c r="F91" s="92"/>
      <c r="G91" s="92"/>
      <c r="H91" s="180"/>
      <c r="I91" s="92"/>
    </row>
    <row r="92" spans="1:9" ht="20.100000000000001" customHeight="1">
      <c r="A92" s="94"/>
      <c r="B92" s="96" t="s">
        <v>2821</v>
      </c>
      <c r="C92" s="114" t="s">
        <v>2717</v>
      </c>
      <c r="D92" s="93" t="s">
        <v>2365</v>
      </c>
      <c r="E92" s="92" t="s">
        <v>3046</v>
      </c>
      <c r="F92" s="97" t="s">
        <v>3045</v>
      </c>
      <c r="G92" s="97">
        <f>(10+3+4.7+2+14.5+2+3.4+3.6+3.8+3.6+2.2+2.2+3.6+1.5+3.6+1.8+1.6+1+3.4+4.8)*2</f>
        <v>152.60000000000002</v>
      </c>
      <c r="H92" s="180">
        <f>G92</f>
        <v>152.60000000000002</v>
      </c>
      <c r="I92" s="92"/>
    </row>
    <row r="93" spans="1:9" ht="20.100000000000001" customHeight="1">
      <c r="A93" s="94"/>
      <c r="B93" s="96"/>
      <c r="C93" s="114"/>
      <c r="D93" s="93"/>
      <c r="E93" s="92"/>
      <c r="F93" s="92"/>
      <c r="G93" s="92"/>
      <c r="H93" s="180"/>
      <c r="I93" s="92"/>
    </row>
    <row r="94" spans="1:9" ht="20.100000000000001" customHeight="1">
      <c r="A94" s="113"/>
      <c r="B94" s="112" t="s">
        <v>2820</v>
      </c>
      <c r="C94" s="115"/>
      <c r="D94" s="93" t="s">
        <v>2365</v>
      </c>
      <c r="E94" s="92" t="s">
        <v>2910</v>
      </c>
      <c r="F94" s="97" t="s">
        <v>3094</v>
      </c>
      <c r="G94" s="97">
        <f>1766.2-(141.1+(8.5*7)+(3.2*2.4*2)+(5.5*15.5)+(2.8*2.2)+(1.2*3.3))</f>
        <v>1454.8700000000001</v>
      </c>
      <c r="H94" s="180">
        <f>G94</f>
        <v>1454.8700000000001</v>
      </c>
      <c r="I94" s="111" t="s">
        <v>2709</v>
      </c>
    </row>
    <row r="95" spans="1:9" ht="20.100000000000001" customHeight="1">
      <c r="A95" s="113"/>
      <c r="B95" s="112"/>
      <c r="C95" s="115"/>
      <c r="D95" s="93"/>
      <c r="E95" s="92"/>
      <c r="F95" s="92"/>
      <c r="G95" s="92"/>
      <c r="H95" s="180"/>
      <c r="I95" s="111"/>
    </row>
    <row r="96" spans="1:9" s="89" customFormat="1" ht="20.100000000000001" customHeight="1">
      <c r="A96" s="61" t="s">
        <v>3093</v>
      </c>
      <c r="B96" s="61" t="s">
        <v>3092</v>
      </c>
      <c r="C96" s="75"/>
      <c r="D96" s="73"/>
      <c r="E96" s="75"/>
      <c r="F96" s="60"/>
      <c r="G96" s="60"/>
      <c r="H96" s="180"/>
      <c r="I96" s="75"/>
    </row>
    <row r="97" spans="1:9" s="89" customFormat="1" ht="20.100000000000001" customHeight="1">
      <c r="A97" s="61" t="s">
        <v>3091</v>
      </c>
      <c r="B97" s="77" t="s">
        <v>3069</v>
      </c>
      <c r="C97" s="75"/>
      <c r="D97" s="73"/>
      <c r="E97" s="75"/>
      <c r="F97" s="76"/>
      <c r="G97" s="60"/>
      <c r="H97" s="180"/>
      <c r="I97" s="75"/>
    </row>
    <row r="98" spans="1:9" s="57" customFormat="1" ht="20.100000000000001" customHeight="1">
      <c r="A98" s="65"/>
      <c r="B98" s="67" t="s">
        <v>3090</v>
      </c>
      <c r="C98" s="67" t="s">
        <v>3089</v>
      </c>
      <c r="D98" s="63" t="s">
        <v>2365</v>
      </c>
      <c r="E98" s="63"/>
      <c r="F98" s="58">
        <v>24.6</v>
      </c>
      <c r="G98" s="58">
        <v>24.6</v>
      </c>
      <c r="H98" s="180">
        <f>SUM(G98)</f>
        <v>24.6</v>
      </c>
      <c r="I98" s="105" t="s">
        <v>3001</v>
      </c>
    </row>
    <row r="99" spans="1:9" s="57" customFormat="1" ht="20.100000000000001" customHeight="1">
      <c r="A99" s="59"/>
      <c r="B99" s="67" t="s">
        <v>3088</v>
      </c>
      <c r="C99" s="65" t="s">
        <v>3087</v>
      </c>
      <c r="D99" s="63" t="s">
        <v>2365</v>
      </c>
      <c r="E99" s="63"/>
      <c r="F99" s="58">
        <v>24.6</v>
      </c>
      <c r="G99" s="58">
        <v>24.6</v>
      </c>
      <c r="H99" s="180">
        <f>SUM(G99)</f>
        <v>24.6</v>
      </c>
      <c r="I99" s="105" t="s">
        <v>2709</v>
      </c>
    </row>
    <row r="100" spans="1:9" s="57" customFormat="1" ht="20.100000000000001" customHeight="1">
      <c r="A100" s="59"/>
      <c r="B100" s="67" t="s">
        <v>3086</v>
      </c>
      <c r="C100" s="67"/>
      <c r="D100" s="63" t="s">
        <v>2365</v>
      </c>
      <c r="E100" s="63"/>
      <c r="F100" s="58">
        <v>24.6</v>
      </c>
      <c r="G100" s="58">
        <v>24.6</v>
      </c>
      <c r="H100" s="180">
        <f>SUM(G100)</f>
        <v>24.6</v>
      </c>
      <c r="I100" s="105" t="s">
        <v>3001</v>
      </c>
    </row>
    <row r="101" spans="1:9" s="57" customFormat="1" ht="20.100000000000001" customHeight="1">
      <c r="A101" s="69"/>
      <c r="B101" s="67"/>
      <c r="C101" s="67"/>
      <c r="D101" s="63"/>
      <c r="E101" s="63"/>
      <c r="F101" s="58"/>
      <c r="G101" s="58"/>
      <c r="H101" s="180"/>
      <c r="I101" s="65"/>
    </row>
    <row r="102" spans="1:9" s="89" customFormat="1" ht="20.100000000000001" customHeight="1">
      <c r="A102" s="61" t="s">
        <v>3085</v>
      </c>
      <c r="B102" s="142" t="s">
        <v>3084</v>
      </c>
      <c r="C102" s="142"/>
      <c r="D102" s="73"/>
      <c r="E102" s="73"/>
      <c r="F102" s="76"/>
      <c r="G102" s="76"/>
      <c r="H102" s="180"/>
      <c r="I102" s="75"/>
    </row>
    <row r="103" spans="1:9" s="57" customFormat="1" ht="25.5" customHeight="1">
      <c r="A103" s="59"/>
      <c r="B103" s="64" t="s">
        <v>3083</v>
      </c>
      <c r="C103" s="65" t="s">
        <v>3082</v>
      </c>
      <c r="D103" s="63" t="s">
        <v>2365</v>
      </c>
      <c r="E103" s="63"/>
      <c r="F103" s="72" t="s">
        <v>3081</v>
      </c>
      <c r="G103" s="72">
        <f>(3.6*5.8)+((2.7+3.3+7)*2.3)</f>
        <v>50.78</v>
      </c>
      <c r="H103" s="180">
        <f>SUM(G103)</f>
        <v>50.78</v>
      </c>
      <c r="I103" s="65"/>
    </row>
    <row r="104" spans="1:9" s="57" customFormat="1" ht="25.5" customHeight="1">
      <c r="A104" s="59"/>
      <c r="B104" s="64" t="s">
        <v>3080</v>
      </c>
      <c r="C104" s="65" t="s">
        <v>191</v>
      </c>
      <c r="D104" s="63" t="s">
        <v>2365</v>
      </c>
      <c r="E104" s="63"/>
      <c r="F104" s="72" t="s">
        <v>3079</v>
      </c>
      <c r="G104" s="72">
        <f>(3.6*5.8)+(7*2.3*2)</f>
        <v>53.08</v>
      </c>
      <c r="H104" s="180">
        <f>SUM(G104)</f>
        <v>53.08</v>
      </c>
      <c r="I104" s="65"/>
    </row>
    <row r="105" spans="1:9" s="57" customFormat="1" ht="20.100000000000001" customHeight="1">
      <c r="A105" s="59"/>
      <c r="B105" s="64" t="s">
        <v>3078</v>
      </c>
      <c r="C105" s="65" t="s">
        <v>3077</v>
      </c>
      <c r="D105" s="63" t="s">
        <v>2365</v>
      </c>
      <c r="E105" s="65"/>
      <c r="F105" s="72" t="s">
        <v>3801</v>
      </c>
      <c r="G105" s="72">
        <f>(2.7+3.3)*2.3*2</f>
        <v>27.599999999999998</v>
      </c>
      <c r="H105" s="180">
        <f>G105</f>
        <v>27.599999999999998</v>
      </c>
      <c r="I105" s="65"/>
    </row>
    <row r="106" spans="1:9" s="57" customFormat="1" ht="25.5" customHeight="1">
      <c r="A106" s="59"/>
      <c r="B106" s="64" t="s">
        <v>2733</v>
      </c>
      <c r="C106" s="65" t="s">
        <v>2732</v>
      </c>
      <c r="D106" s="63" t="s">
        <v>2365</v>
      </c>
      <c r="E106" s="63"/>
      <c r="F106" s="72" t="s">
        <v>3802</v>
      </c>
      <c r="G106" s="72">
        <f>(3.6*5.8)+(7*2.3*2)+((2.7+3.3)*2.3*2)</f>
        <v>80.679999999999993</v>
      </c>
      <c r="H106" s="180">
        <f>SUM(G106)</f>
        <v>80.679999999999993</v>
      </c>
      <c r="I106" s="65"/>
    </row>
    <row r="107" spans="1:9" s="57" customFormat="1" ht="20.100000000000001" customHeight="1">
      <c r="A107" s="59"/>
      <c r="B107" s="64"/>
      <c r="C107" s="65"/>
      <c r="D107" s="63"/>
      <c r="E107" s="65"/>
      <c r="F107" s="58"/>
      <c r="G107" s="58"/>
      <c r="H107" s="180"/>
      <c r="I107" s="65"/>
    </row>
    <row r="108" spans="1:9" s="89" customFormat="1" ht="20.100000000000001" customHeight="1">
      <c r="A108" s="61" t="s">
        <v>3076</v>
      </c>
      <c r="B108" s="142" t="s">
        <v>2693</v>
      </c>
      <c r="C108" s="75"/>
      <c r="D108" s="73"/>
      <c r="E108" s="75"/>
      <c r="F108" s="60"/>
      <c r="G108" s="60"/>
      <c r="H108" s="180"/>
      <c r="I108" s="75"/>
    </row>
    <row r="109" spans="1:9" s="57" customFormat="1" ht="20.100000000000001" customHeight="1">
      <c r="A109" s="59"/>
      <c r="B109" s="64" t="s">
        <v>3008</v>
      </c>
      <c r="C109" s="74" t="s">
        <v>3007</v>
      </c>
      <c r="D109" s="63" t="s">
        <v>2365</v>
      </c>
      <c r="E109" s="65" t="s">
        <v>3075</v>
      </c>
      <c r="F109" s="58">
        <v>24.6</v>
      </c>
      <c r="G109" s="58">
        <v>24.6</v>
      </c>
      <c r="H109" s="180">
        <f>SUM(G109)</f>
        <v>24.6</v>
      </c>
      <c r="I109" s="105" t="s">
        <v>3001</v>
      </c>
    </row>
    <row r="110" spans="1:9" s="57" customFormat="1" ht="20.100000000000001" customHeight="1">
      <c r="A110" s="59"/>
      <c r="B110" s="62" t="s">
        <v>3005</v>
      </c>
      <c r="C110" s="65" t="s">
        <v>3004</v>
      </c>
      <c r="D110" s="63" t="s">
        <v>2365</v>
      </c>
      <c r="E110" s="65"/>
      <c r="F110" s="58">
        <v>24.6</v>
      </c>
      <c r="G110" s="58">
        <v>24.6</v>
      </c>
      <c r="H110" s="180">
        <f>SUM(G110)</f>
        <v>24.6</v>
      </c>
      <c r="I110" s="105" t="s">
        <v>3001</v>
      </c>
    </row>
    <row r="111" spans="1:9" s="57" customFormat="1" ht="20.100000000000001" customHeight="1">
      <c r="A111" s="59"/>
      <c r="B111" s="64" t="s">
        <v>3003</v>
      </c>
      <c r="C111" s="65" t="s">
        <v>3002</v>
      </c>
      <c r="D111" s="63" t="s">
        <v>2365</v>
      </c>
      <c r="E111" s="65"/>
      <c r="F111" s="58">
        <v>24.6</v>
      </c>
      <c r="G111" s="58">
        <v>24.6</v>
      </c>
      <c r="H111" s="180">
        <f>SUM(G111)</f>
        <v>24.6</v>
      </c>
      <c r="I111" s="105" t="s">
        <v>3001</v>
      </c>
    </row>
    <row r="112" spans="1:9" s="57" customFormat="1" ht="20.100000000000001" customHeight="1">
      <c r="A112" s="59"/>
      <c r="B112" s="64" t="s">
        <v>3074</v>
      </c>
      <c r="C112" s="65"/>
      <c r="D112" s="63" t="s">
        <v>2958</v>
      </c>
      <c r="E112" s="65"/>
      <c r="F112" s="58" t="s">
        <v>3073</v>
      </c>
      <c r="G112" s="58">
        <f>2.7+3.3</f>
        <v>6</v>
      </c>
      <c r="H112" s="180">
        <f>G112</f>
        <v>6</v>
      </c>
      <c r="I112" s="74"/>
    </row>
    <row r="113" spans="1:9" s="57" customFormat="1" ht="20.100000000000001" customHeight="1">
      <c r="A113" s="59"/>
      <c r="B113" s="64"/>
      <c r="C113" s="65"/>
      <c r="D113" s="63"/>
      <c r="E113" s="65"/>
      <c r="F113" s="58"/>
      <c r="G113" s="58"/>
      <c r="H113" s="180"/>
      <c r="I113" s="65"/>
    </row>
    <row r="114" spans="1:9" s="89" customFormat="1" ht="20.100000000000001" customHeight="1">
      <c r="A114" s="61" t="s">
        <v>3072</v>
      </c>
      <c r="B114" s="75" t="s">
        <v>3071</v>
      </c>
      <c r="C114" s="75"/>
      <c r="D114" s="73"/>
      <c r="E114" s="75"/>
      <c r="F114" s="60"/>
      <c r="G114" s="60"/>
      <c r="H114" s="180"/>
      <c r="I114" s="75"/>
    </row>
    <row r="115" spans="1:9" s="89" customFormat="1" ht="20.100000000000001" customHeight="1">
      <c r="A115" s="61" t="s">
        <v>3070</v>
      </c>
      <c r="B115" s="77" t="s">
        <v>3069</v>
      </c>
      <c r="C115" s="75"/>
      <c r="D115" s="73"/>
      <c r="E115" s="75"/>
      <c r="F115" s="76"/>
      <c r="G115" s="60"/>
      <c r="H115" s="180"/>
      <c r="I115" s="75"/>
    </row>
    <row r="116" spans="1:9" s="57" customFormat="1" ht="20.100000000000001" customHeight="1">
      <c r="A116" s="65"/>
      <c r="B116" s="67" t="s">
        <v>170</v>
      </c>
      <c r="C116" s="67" t="s">
        <v>171</v>
      </c>
      <c r="D116" s="63" t="s">
        <v>2365</v>
      </c>
      <c r="E116" s="63" t="s">
        <v>3068</v>
      </c>
      <c r="F116" s="58" t="s">
        <v>3067</v>
      </c>
      <c r="G116" s="58">
        <f>1446.3-24.6</f>
        <v>1421.7</v>
      </c>
      <c r="H116" s="180"/>
      <c r="I116" s="105" t="s">
        <v>3001</v>
      </c>
    </row>
    <row r="117" spans="1:9" s="57" customFormat="1" ht="20.100000000000001" customHeight="1">
      <c r="A117" s="59"/>
      <c r="B117" s="67" t="s">
        <v>170</v>
      </c>
      <c r="C117" s="67" t="s">
        <v>3066</v>
      </c>
      <c r="D117" s="63" t="s">
        <v>2365</v>
      </c>
      <c r="E117" s="63" t="s">
        <v>3065</v>
      </c>
      <c r="F117" s="58" t="s">
        <v>3064</v>
      </c>
      <c r="G117" s="58">
        <f>(1446.3-24.6)*30%</f>
        <v>426.51</v>
      </c>
      <c r="H117" s="180"/>
      <c r="I117" s="65"/>
    </row>
    <row r="118" spans="1:9" s="57" customFormat="1" ht="20.100000000000001" customHeight="1">
      <c r="A118" s="59"/>
      <c r="B118" s="67" t="s">
        <v>170</v>
      </c>
      <c r="C118" s="67" t="s">
        <v>2765</v>
      </c>
      <c r="D118" s="63" t="s">
        <v>2365</v>
      </c>
      <c r="E118" s="92" t="s">
        <v>3063</v>
      </c>
      <c r="F118" s="97" t="s">
        <v>3062</v>
      </c>
      <c r="G118" s="97">
        <f>(13*10*2*5*0.6)+(21*9*0.6*2)</f>
        <v>1006.8</v>
      </c>
      <c r="H118" s="180">
        <f>SUM(G116:G118)</f>
        <v>2855.01</v>
      </c>
      <c r="I118" s="65"/>
    </row>
    <row r="119" spans="1:9" s="57" customFormat="1" ht="20.100000000000001" customHeight="1">
      <c r="A119" s="69"/>
      <c r="B119" s="67"/>
      <c r="C119" s="67"/>
      <c r="D119" s="63"/>
      <c r="E119" s="63"/>
      <c r="F119" s="58"/>
      <c r="G119" s="58"/>
      <c r="H119" s="180"/>
      <c r="I119" s="65"/>
    </row>
    <row r="120" spans="1:9" s="89" customFormat="1" ht="20.100000000000001" customHeight="1">
      <c r="A120" s="61" t="s">
        <v>2782</v>
      </c>
      <c r="B120" s="142" t="s">
        <v>2704</v>
      </c>
      <c r="C120" s="142"/>
      <c r="D120" s="73"/>
      <c r="E120" s="73"/>
      <c r="F120" s="76"/>
      <c r="G120" s="76"/>
      <c r="H120" s="180"/>
      <c r="I120" s="75"/>
    </row>
    <row r="121" spans="1:9" s="57" customFormat="1" ht="25.5" customHeight="1">
      <c r="A121" s="59"/>
      <c r="B121" s="64" t="s">
        <v>2703</v>
      </c>
      <c r="C121" s="65" t="s">
        <v>2702</v>
      </c>
      <c r="D121" s="63" t="s">
        <v>2365</v>
      </c>
      <c r="E121" s="63" t="s">
        <v>3052</v>
      </c>
      <c r="F121" s="72" t="s">
        <v>3061</v>
      </c>
      <c r="G121" s="72">
        <f>((1.1+3.2+3.1)*3.6)-(0.9*2.1)</f>
        <v>24.75</v>
      </c>
      <c r="H121" s="180"/>
      <c r="I121" s="65"/>
    </row>
    <row r="122" spans="1:9" s="57" customFormat="1" ht="37.5" customHeight="1">
      <c r="A122" s="59"/>
      <c r="B122" s="64" t="s">
        <v>2703</v>
      </c>
      <c r="C122" s="65" t="s">
        <v>2702</v>
      </c>
      <c r="D122" s="63" t="s">
        <v>2365</v>
      </c>
      <c r="E122" s="63" t="s">
        <v>2744</v>
      </c>
      <c r="F122" s="70" t="s">
        <v>3060</v>
      </c>
      <c r="G122" s="72">
        <f>((1.1+15.2+80.7+14.5+12+1.3+1.3+11.3+15+1.6+2.1+2.1+0.6+12.3+0.6+0.3+2.3+2+0.6+0.6+0.6+2+42.9+6)*5.8)-((3*4.5)+(0.9*2.1))</f>
        <v>1312.81</v>
      </c>
      <c r="H122" s="180"/>
      <c r="I122" s="65"/>
    </row>
    <row r="123" spans="1:9" s="57" customFormat="1" ht="25.5" customHeight="1">
      <c r="A123" s="59"/>
      <c r="B123" s="64" t="s">
        <v>2703</v>
      </c>
      <c r="C123" s="65" t="s">
        <v>2702</v>
      </c>
      <c r="D123" s="63" t="s">
        <v>2365</v>
      </c>
      <c r="E123" s="63" t="s">
        <v>2742</v>
      </c>
      <c r="F123" s="70" t="s">
        <v>3048</v>
      </c>
      <c r="G123" s="70">
        <f>(1+0.9+2.2+1+1.8+2+1.9+2+1.9+1.8+2.5+2.5+0.9+1.5+1+1.5+1+0.9+0.6+0.6+0.7+0.5+0.5)*3.6</f>
        <v>112.32</v>
      </c>
      <c r="H123" s="180"/>
      <c r="I123" s="65"/>
    </row>
    <row r="124" spans="1:9" s="57" customFormat="1" ht="20.100000000000001" customHeight="1">
      <c r="A124" s="59"/>
      <c r="B124" s="64" t="s">
        <v>2703</v>
      </c>
      <c r="C124" s="65" t="s">
        <v>2702</v>
      </c>
      <c r="D124" s="63" t="s">
        <v>2365</v>
      </c>
      <c r="E124" s="63" t="s">
        <v>2835</v>
      </c>
      <c r="F124" s="79" t="s">
        <v>3057</v>
      </c>
      <c r="G124" s="79">
        <f>0.7*4*9*5.8</f>
        <v>146.16</v>
      </c>
      <c r="H124" s="180"/>
      <c r="I124" s="65"/>
    </row>
    <row r="125" spans="1:9" s="57" customFormat="1" ht="34.5" customHeight="1">
      <c r="A125" s="59"/>
      <c r="B125" s="64" t="s">
        <v>2703</v>
      </c>
      <c r="C125" s="65" t="s">
        <v>2702</v>
      </c>
      <c r="D125" s="63" t="s">
        <v>2365</v>
      </c>
      <c r="E125" s="63" t="s">
        <v>2742</v>
      </c>
      <c r="F125" s="70" t="s">
        <v>3481</v>
      </c>
      <c r="G125" s="72">
        <f>((20+1.5+15+4.7+5.6+5.6+5.6+5.6+1.2+2.5+2.4+7.8)*3)+(3*0.7*2)+(3*0.6*2)+(0.6*0.7)+(0.3*3*2)+(2.4*0.7)+(0.7*-3)</f>
        <v>242.10000000000005</v>
      </c>
      <c r="H125" s="180"/>
      <c r="I125" s="65"/>
    </row>
    <row r="126" spans="1:9" ht="130.5" customHeight="1">
      <c r="A126" s="94"/>
      <c r="B126" s="64" t="s">
        <v>2703</v>
      </c>
      <c r="C126" s="65" t="s">
        <v>2702</v>
      </c>
      <c r="D126" s="63" t="s">
        <v>2365</v>
      </c>
      <c r="E126" s="63" t="s">
        <v>2742</v>
      </c>
      <c r="F126" s="152" t="s">
        <v>3482</v>
      </c>
      <c r="G126" s="152">
        <f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f>
        <v>45.410000000000011</v>
      </c>
      <c r="H126" s="180"/>
      <c r="I126" s="92"/>
    </row>
    <row r="127" spans="1:9" ht="87.95" customHeight="1">
      <c r="A127" s="94"/>
      <c r="B127" s="64" t="s">
        <v>2703</v>
      </c>
      <c r="C127" s="65" t="s">
        <v>2702</v>
      </c>
      <c r="D127" s="63" t="s">
        <v>2365</v>
      </c>
      <c r="E127" s="63" t="s">
        <v>2742</v>
      </c>
      <c r="F127" s="152" t="s">
        <v>3483</v>
      </c>
      <c r="G127" s="152">
        <f>((1.1+0.5)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*0.5</f>
        <v>83.800000000000011</v>
      </c>
      <c r="H127" s="180">
        <f>SUM(G121:G127)</f>
        <v>1967.3500000000001</v>
      </c>
      <c r="I127" s="92"/>
    </row>
    <row r="128" spans="1:9" s="57" customFormat="1" ht="30.75" customHeight="1">
      <c r="A128" s="59"/>
      <c r="B128" s="64" t="s">
        <v>2803</v>
      </c>
      <c r="C128" s="65" t="s">
        <v>2699</v>
      </c>
      <c r="D128" s="63" t="s">
        <v>2365</v>
      </c>
      <c r="E128" s="63" t="s">
        <v>2742</v>
      </c>
      <c r="F128" s="70" t="s">
        <v>3481</v>
      </c>
      <c r="G128" s="72">
        <f>((20+1.5+15+4.7+5.6+5.6+5.6+5.6+1.2+2.5+2.4+7.8)*3)+(3*0.7*2)+(3*0.6*2)+(0.6*0.7)+(0.3*3*2)+(2.4*0.7)+(0.7*-3)</f>
        <v>242.10000000000005</v>
      </c>
      <c r="H128" s="180"/>
      <c r="I128" s="65"/>
    </row>
    <row r="129" spans="1:9" s="57" customFormat="1" ht="87.95" customHeight="1">
      <c r="A129" s="59"/>
      <c r="B129" s="64" t="s">
        <v>2803</v>
      </c>
      <c r="C129" s="65" t="s">
        <v>2699</v>
      </c>
      <c r="D129" s="63" t="s">
        <v>2365</v>
      </c>
      <c r="E129" s="63" t="s">
        <v>2742</v>
      </c>
      <c r="F129" s="152" t="s">
        <v>3482</v>
      </c>
      <c r="G129" s="152">
        <f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f>
        <v>45.410000000000011</v>
      </c>
      <c r="H129" s="180"/>
      <c r="I129" s="65"/>
    </row>
    <row r="130" spans="1:9" s="57" customFormat="1" ht="87.95" customHeight="1">
      <c r="A130" s="59"/>
      <c r="B130" s="64" t="s">
        <v>2803</v>
      </c>
      <c r="C130" s="65" t="s">
        <v>2699</v>
      </c>
      <c r="D130" s="63" t="s">
        <v>2365</v>
      </c>
      <c r="E130" s="63" t="s">
        <v>2742</v>
      </c>
      <c r="F130" s="152" t="s">
        <v>3483</v>
      </c>
      <c r="G130" s="152">
        <f>((1.1+0.5)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*0.5</f>
        <v>83.800000000000011</v>
      </c>
      <c r="H130" s="180"/>
      <c r="I130" s="65"/>
    </row>
    <row r="131" spans="1:9" s="57" customFormat="1" ht="25.5" customHeight="1">
      <c r="A131" s="59"/>
      <c r="B131" s="64" t="s">
        <v>2803</v>
      </c>
      <c r="C131" s="65" t="s">
        <v>2699</v>
      </c>
      <c r="D131" s="63" t="s">
        <v>2365</v>
      </c>
      <c r="E131" s="63" t="s">
        <v>2742</v>
      </c>
      <c r="F131" s="70" t="s">
        <v>3048</v>
      </c>
      <c r="G131" s="70">
        <f>(1+0.9+2.2+1+1.8+2+1.9+2+1.9+1.8+2.5+2.5+0.9+1.5+1+1.5+1+0.9+0.6+0.6+0.7+0.5+0.5)*3.6</f>
        <v>112.32</v>
      </c>
      <c r="H131" s="180">
        <f>SUM(G128:G131)</f>
        <v>483.63000000000005</v>
      </c>
      <c r="I131" s="65"/>
    </row>
    <row r="132" spans="1:9" s="57" customFormat="1" ht="39" customHeight="1">
      <c r="A132" s="59"/>
      <c r="B132" s="64" t="s">
        <v>3484</v>
      </c>
      <c r="C132" s="65" t="s">
        <v>2699</v>
      </c>
      <c r="D132" s="63" t="s">
        <v>2365</v>
      </c>
      <c r="E132" s="63" t="s">
        <v>2742</v>
      </c>
      <c r="F132" s="70" t="s">
        <v>3481</v>
      </c>
      <c r="G132" s="72">
        <f>((20+1.5+15+4.7+5.6+5.6+5.6+5.6+1.2+2.5+2.4+7.8)*3)+(3*0.7*2)+(3*0.6*2)+(0.6*0.7)+(0.3*3*2)+(2.4*0.7)+(0.7*-3)</f>
        <v>242.10000000000005</v>
      </c>
      <c r="H132" s="180"/>
      <c r="I132" s="65"/>
    </row>
    <row r="133" spans="1:9" s="57" customFormat="1" ht="39" customHeight="1">
      <c r="A133" s="59"/>
      <c r="B133" s="64" t="s">
        <v>3484</v>
      </c>
      <c r="C133" s="65" t="s">
        <v>2699</v>
      </c>
      <c r="D133" s="63" t="s">
        <v>2365</v>
      </c>
      <c r="E133" s="63" t="s">
        <v>2742</v>
      </c>
      <c r="F133" s="72" t="s">
        <v>3485</v>
      </c>
      <c r="G133" s="72">
        <f>2.5*3</f>
        <v>7.5</v>
      </c>
      <c r="H133" s="180"/>
      <c r="I133" s="65"/>
    </row>
    <row r="134" spans="1:9" s="57" customFormat="1" ht="100.5" customHeight="1">
      <c r="A134" s="59"/>
      <c r="B134" s="64" t="s">
        <v>3484</v>
      </c>
      <c r="C134" s="65" t="s">
        <v>2699</v>
      </c>
      <c r="D134" s="63" t="s">
        <v>2365</v>
      </c>
      <c r="E134" s="63" t="s">
        <v>2742</v>
      </c>
      <c r="F134" s="152" t="s">
        <v>3482</v>
      </c>
      <c r="G134" s="152">
        <f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f>
        <v>45.410000000000011</v>
      </c>
      <c r="H134" s="180"/>
      <c r="I134" s="65"/>
    </row>
    <row r="135" spans="1:9" s="57" customFormat="1" ht="107.25" customHeight="1">
      <c r="A135" s="59"/>
      <c r="B135" s="64" t="s">
        <v>3484</v>
      </c>
      <c r="C135" s="65" t="s">
        <v>2699</v>
      </c>
      <c r="D135" s="63" t="s">
        <v>2365</v>
      </c>
      <c r="E135" s="63" t="s">
        <v>2742</v>
      </c>
      <c r="F135" s="152" t="s">
        <v>3483</v>
      </c>
      <c r="G135" s="152">
        <f>((1.1+0.5)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*0.5</f>
        <v>83.800000000000011</v>
      </c>
      <c r="H135" s="180">
        <f>SUM(G132:G135)</f>
        <v>378.81000000000006</v>
      </c>
      <c r="I135" s="65"/>
    </row>
    <row r="136" spans="1:9" s="57" customFormat="1" ht="20.100000000000001" customHeight="1">
      <c r="A136" s="59"/>
      <c r="B136" s="64"/>
      <c r="C136" s="65"/>
      <c r="D136" s="63"/>
      <c r="E136" s="73"/>
      <c r="F136" s="79"/>
      <c r="G136" s="78"/>
      <c r="H136" s="180"/>
      <c r="I136" s="65"/>
    </row>
    <row r="137" spans="1:9" s="57" customFormat="1" ht="25.5" customHeight="1">
      <c r="A137" s="59"/>
      <c r="B137" s="64" t="s">
        <v>2701</v>
      </c>
      <c r="C137" s="65" t="s">
        <v>2699</v>
      </c>
      <c r="D137" s="63" t="s">
        <v>2365</v>
      </c>
      <c r="E137" s="63" t="s">
        <v>2742</v>
      </c>
      <c r="F137" s="70" t="s">
        <v>3048</v>
      </c>
      <c r="G137" s="70">
        <f>(1+0.9+2.2+1+1.8+2+1.9+2+1.9+1.8+2.5+2.5+0.9+1.5+1+1.5+1+0.9+0.6+0.6+0.7+0.5+0.5)*3.6</f>
        <v>112.32</v>
      </c>
      <c r="H137" s="180">
        <f>G137</f>
        <v>112.32</v>
      </c>
      <c r="I137" s="65"/>
    </row>
    <row r="138" spans="1:9" s="57" customFormat="1" ht="20.100000000000001" customHeight="1">
      <c r="A138" s="59"/>
      <c r="B138" s="64" t="s">
        <v>2701</v>
      </c>
      <c r="C138" s="65" t="s">
        <v>191</v>
      </c>
      <c r="D138" s="63" t="s">
        <v>2365</v>
      </c>
      <c r="E138" s="65"/>
      <c r="F138" s="70" t="s">
        <v>3059</v>
      </c>
      <c r="G138" s="70">
        <f>(80.7+14.5+11.3+15+12.3)*5.8</f>
        <v>776.04000000000008</v>
      </c>
      <c r="H138" s="180"/>
      <c r="I138" s="65"/>
    </row>
    <row r="139" spans="1:9" s="57" customFormat="1" ht="25.5" customHeight="1">
      <c r="A139" s="59"/>
      <c r="B139" s="64" t="s">
        <v>2701</v>
      </c>
      <c r="C139" s="65" t="s">
        <v>191</v>
      </c>
      <c r="D139" s="63" t="s">
        <v>2365</v>
      </c>
      <c r="E139" s="63" t="s">
        <v>3052</v>
      </c>
      <c r="F139" s="72" t="s">
        <v>3051</v>
      </c>
      <c r="G139" s="72">
        <f>((1.1+3.2+3.1)*3.6*2)-(0.9*2.1*2)</f>
        <v>49.5</v>
      </c>
      <c r="H139" s="180"/>
      <c r="I139" s="65"/>
    </row>
    <row r="140" spans="1:9" s="57" customFormat="1" ht="25.5" customHeight="1">
      <c r="A140" s="59"/>
      <c r="B140" s="64" t="s">
        <v>2701</v>
      </c>
      <c r="C140" s="65" t="s">
        <v>191</v>
      </c>
      <c r="D140" s="63" t="s">
        <v>2365</v>
      </c>
      <c r="E140" s="63" t="s">
        <v>2744</v>
      </c>
      <c r="F140" s="70" t="s">
        <v>3058</v>
      </c>
      <c r="G140" s="70">
        <f>((1.1+1.3+1.3+1.6+2.1+2.1+0.6+0.6+0.3+2.3+2+0.6+0.6+0.6+2+42.9+6)*5.8)</f>
        <v>394.4</v>
      </c>
      <c r="H140" s="180"/>
      <c r="I140" s="65"/>
    </row>
    <row r="141" spans="1:9" s="57" customFormat="1" ht="20.100000000000001" customHeight="1">
      <c r="A141" s="59"/>
      <c r="B141" s="64" t="s">
        <v>2701</v>
      </c>
      <c r="C141" s="65" t="s">
        <v>191</v>
      </c>
      <c r="D141" s="63" t="s">
        <v>2365</v>
      </c>
      <c r="E141" s="63" t="s">
        <v>2835</v>
      </c>
      <c r="F141" s="79" t="s">
        <v>3057</v>
      </c>
      <c r="G141" s="79">
        <f>0.7*4*9*5.8</f>
        <v>146.16</v>
      </c>
      <c r="H141" s="180">
        <f>SUM(G138:G141)</f>
        <v>1366.1000000000001</v>
      </c>
      <c r="I141" s="65"/>
    </row>
    <row r="142" spans="1:9" s="57" customFormat="1" ht="20.100000000000001" customHeight="1">
      <c r="A142" s="59"/>
      <c r="B142" s="64" t="s">
        <v>2748</v>
      </c>
      <c r="C142" s="65" t="s">
        <v>2747</v>
      </c>
      <c r="D142" s="63" t="s">
        <v>2365</v>
      </c>
      <c r="E142" s="65"/>
      <c r="F142" s="72" t="s">
        <v>3056</v>
      </c>
      <c r="G142" s="72">
        <f>((15.2+12)*5.8)-((0.9*2.1)+(3*4.5))</f>
        <v>142.37</v>
      </c>
      <c r="H142" s="180">
        <f>G142</f>
        <v>142.37</v>
      </c>
      <c r="I142" s="65"/>
    </row>
    <row r="143" spans="1:9" s="57" customFormat="1" ht="20.100000000000001" customHeight="1">
      <c r="A143" s="59"/>
      <c r="B143" s="64"/>
      <c r="C143" s="65"/>
      <c r="D143" s="63"/>
      <c r="E143" s="65"/>
      <c r="F143" s="58"/>
      <c r="G143" s="58"/>
      <c r="H143" s="180"/>
      <c r="I143" s="65"/>
    </row>
    <row r="144" spans="1:9" ht="20.100000000000001" customHeight="1">
      <c r="A144" s="94"/>
      <c r="B144" s="108" t="s">
        <v>2740</v>
      </c>
      <c r="C144" s="92" t="s">
        <v>2779</v>
      </c>
      <c r="D144" s="93" t="s">
        <v>2646</v>
      </c>
      <c r="E144" s="92"/>
      <c r="F144" s="72" t="s">
        <v>3055</v>
      </c>
      <c r="G144" s="72">
        <f>(1.1+3.2+3.1)</f>
        <v>7.4</v>
      </c>
      <c r="H144" s="180"/>
      <c r="I144" s="92"/>
    </row>
    <row r="145" spans="1:9" ht="29.25" customHeight="1">
      <c r="A145" s="94"/>
      <c r="B145" s="108" t="s">
        <v>2740</v>
      </c>
      <c r="C145" s="92" t="s">
        <v>2739</v>
      </c>
      <c r="D145" s="93" t="s">
        <v>2646</v>
      </c>
      <c r="E145" s="92"/>
      <c r="F145" s="70" t="s">
        <v>3054</v>
      </c>
      <c r="G145" s="70">
        <f>(1.1+1.3+1.3+1.6+2.1+2.1+0.6+0.6+0.3+2.3+2+0.6+0.6+0.6+2+42.9+6)</f>
        <v>68</v>
      </c>
      <c r="H145" s="180"/>
      <c r="I145" s="92"/>
    </row>
    <row r="146" spans="1:9" ht="20.100000000000001" customHeight="1">
      <c r="A146" s="94"/>
      <c r="B146" s="108" t="s">
        <v>2740</v>
      </c>
      <c r="C146" s="92" t="s">
        <v>2739</v>
      </c>
      <c r="D146" s="93" t="s">
        <v>2646</v>
      </c>
      <c r="E146" s="92"/>
      <c r="F146" s="79" t="s">
        <v>3053</v>
      </c>
      <c r="G146" s="79">
        <f>0.7*4*9</f>
        <v>25.2</v>
      </c>
      <c r="H146" s="180">
        <f>SUM(G144:G146)</f>
        <v>100.60000000000001</v>
      </c>
      <c r="I146" s="92"/>
    </row>
    <row r="147" spans="1:9" s="57" customFormat="1" ht="20.100000000000001" customHeight="1">
      <c r="A147" s="59"/>
      <c r="B147" s="64"/>
      <c r="C147" s="65"/>
      <c r="D147" s="63"/>
      <c r="E147" s="65"/>
      <c r="F147" s="72"/>
      <c r="G147" s="72"/>
      <c r="H147" s="180"/>
      <c r="I147" s="65"/>
    </row>
    <row r="148" spans="1:9" s="57" customFormat="1" ht="29.25" customHeight="1">
      <c r="A148" s="59"/>
      <c r="B148" s="64" t="s">
        <v>2737</v>
      </c>
      <c r="C148" s="65"/>
      <c r="D148" s="63" t="s">
        <v>2365</v>
      </c>
      <c r="E148" s="63" t="s">
        <v>3052</v>
      </c>
      <c r="F148" s="72" t="s">
        <v>3051</v>
      </c>
      <c r="G148" s="72">
        <f>((1.1+3.2+3.1)*3.6*2)-(0.9*2.1*2)</f>
        <v>49.5</v>
      </c>
      <c r="H148" s="180"/>
      <c r="I148" s="65"/>
    </row>
    <row r="149" spans="1:9" s="57" customFormat="1" ht="39" customHeight="1">
      <c r="A149" s="59"/>
      <c r="B149" s="64" t="s">
        <v>2737</v>
      </c>
      <c r="C149" s="65"/>
      <c r="D149" s="63" t="s">
        <v>2365</v>
      </c>
      <c r="E149" s="63" t="s">
        <v>2742</v>
      </c>
      <c r="F149" s="70" t="s">
        <v>3050</v>
      </c>
      <c r="G149" s="72">
        <f>((1.1+15.2+80.7+14.5+12+1.3+1.3+11.3+0.6+12.3+0.6429+6)*2.4)</f>
        <v>376.66296</v>
      </c>
      <c r="H149" s="180"/>
      <c r="I149" s="65"/>
    </row>
    <row r="150" spans="1:9" s="57" customFormat="1" ht="27" customHeight="1">
      <c r="A150" s="59"/>
      <c r="B150" s="64" t="s">
        <v>2737</v>
      </c>
      <c r="C150" s="65"/>
      <c r="D150" s="63" t="s">
        <v>2365</v>
      </c>
      <c r="E150" s="63" t="s">
        <v>2742</v>
      </c>
      <c r="F150" s="70" t="s">
        <v>3049</v>
      </c>
      <c r="G150" s="72">
        <f>(19*3.4)+((15+1.3+1.3+1.6+2.1+2.1+0.6+0.3+2.3+2+0.6+0.6+0.6+2)*5.8)</f>
        <v>252.52000000000007</v>
      </c>
      <c r="H150" s="180"/>
      <c r="I150" s="65"/>
    </row>
    <row r="151" spans="1:9" s="57" customFormat="1" ht="20.100000000000001" customHeight="1">
      <c r="A151" s="59"/>
      <c r="B151" s="64" t="s">
        <v>2737</v>
      </c>
      <c r="C151" s="65"/>
      <c r="D151" s="63" t="s">
        <v>2365</v>
      </c>
      <c r="E151" s="63" t="s">
        <v>2742</v>
      </c>
      <c r="F151" s="70" t="s">
        <v>3048</v>
      </c>
      <c r="G151" s="70">
        <f>(1+0.9+2.2+1+1.8+2+1.9+2+1.9+1.8+2.5+2.5+0.9+1.5+1+1.5+1+0.9+0.6+0.6+0.7+0.5+0.5)*3.6</f>
        <v>112.32</v>
      </c>
      <c r="H151" s="180"/>
      <c r="I151" s="65"/>
    </row>
    <row r="152" spans="1:9" s="57" customFormat="1" ht="20.100000000000001" customHeight="1">
      <c r="A152" s="59"/>
      <c r="B152" s="64" t="s">
        <v>2737</v>
      </c>
      <c r="C152" s="65"/>
      <c r="D152" s="63" t="s">
        <v>2365</v>
      </c>
      <c r="E152" s="63" t="s">
        <v>2835</v>
      </c>
      <c r="F152" s="79" t="s">
        <v>3047</v>
      </c>
      <c r="G152" s="79">
        <f>0.7*4*9*2.4</f>
        <v>60.48</v>
      </c>
      <c r="H152" s="180">
        <f>SUM(G148:G152)</f>
        <v>851.48296000000005</v>
      </c>
      <c r="I152" s="65"/>
    </row>
    <row r="153" spans="1:9" s="57" customFormat="1" ht="20.100000000000001" customHeight="1">
      <c r="A153" s="59"/>
      <c r="B153" s="64"/>
      <c r="C153" s="65"/>
      <c r="D153" s="63"/>
      <c r="E153" s="65"/>
      <c r="F153" s="70"/>
      <c r="G153" s="72"/>
      <c r="H153" s="180"/>
      <c r="I153" s="65"/>
    </row>
    <row r="154" spans="1:9" s="57" customFormat="1" ht="20.100000000000001" customHeight="1">
      <c r="A154" s="59"/>
      <c r="B154" s="64" t="s">
        <v>2734</v>
      </c>
      <c r="C154" s="65" t="s">
        <v>2732</v>
      </c>
      <c r="D154" s="63" t="s">
        <v>2365</v>
      </c>
      <c r="E154" s="63" t="s">
        <v>3052</v>
      </c>
      <c r="F154" s="72" t="s">
        <v>3051</v>
      </c>
      <c r="G154" s="72">
        <f>((1.1+3.2+3.1)*3.6*2)-(0.9*2.1*2)</f>
        <v>49.5</v>
      </c>
      <c r="H154" s="180"/>
      <c r="I154" s="65"/>
    </row>
    <row r="155" spans="1:9" s="57" customFormat="1" ht="20.100000000000001" customHeight="1">
      <c r="A155" s="59"/>
      <c r="B155" s="64" t="s">
        <v>2734</v>
      </c>
      <c r="C155" s="65" t="s">
        <v>2732</v>
      </c>
      <c r="D155" s="63" t="s">
        <v>2365</v>
      </c>
      <c r="E155" s="63" t="s">
        <v>2742</v>
      </c>
      <c r="F155" s="70" t="s">
        <v>3050</v>
      </c>
      <c r="G155" s="72">
        <f>((1.1+15.2+80.7+14.5+12+1.3+1.3+11.3+0.6+12.3+0.6429+6)*2.4)</f>
        <v>376.66296</v>
      </c>
      <c r="H155" s="180"/>
      <c r="I155" s="65"/>
    </row>
    <row r="156" spans="1:9" s="57" customFormat="1" ht="25.5" customHeight="1">
      <c r="A156" s="59"/>
      <c r="B156" s="64" t="s">
        <v>2734</v>
      </c>
      <c r="C156" s="65" t="s">
        <v>2732</v>
      </c>
      <c r="D156" s="63" t="s">
        <v>2365</v>
      </c>
      <c r="E156" s="63" t="s">
        <v>2742</v>
      </c>
      <c r="F156" s="70" t="s">
        <v>3049</v>
      </c>
      <c r="G156" s="72">
        <f>(19*3.4)+((15+1.3+1.3+1.6+2.1+2.1+0.6+0.3+2.3+2+0.6+0.6+0.6+2)*5.8)</f>
        <v>252.52000000000007</v>
      </c>
      <c r="H156" s="180"/>
      <c r="I156" s="65"/>
    </row>
    <row r="157" spans="1:9" s="57" customFormat="1" ht="20.100000000000001" customHeight="1">
      <c r="A157" s="59"/>
      <c r="B157" s="64" t="s">
        <v>2734</v>
      </c>
      <c r="C157" s="65" t="s">
        <v>2732</v>
      </c>
      <c r="D157" s="63" t="s">
        <v>2365</v>
      </c>
      <c r="E157" s="63" t="s">
        <v>2742</v>
      </c>
      <c r="F157" s="70" t="s">
        <v>3048</v>
      </c>
      <c r="G157" s="70">
        <f>(1+0.9+2.2+1+1.8+2+1.9+2+1.9+1.8+2.5+2.5+0.9+1.5+1+1.5+1+0.9+0.6+0.6+0.7+0.5+0.5)*3.6</f>
        <v>112.32</v>
      </c>
      <c r="H157" s="180"/>
      <c r="I157" s="65"/>
    </row>
    <row r="158" spans="1:9" s="57" customFormat="1" ht="20.100000000000001" customHeight="1">
      <c r="A158" s="59"/>
      <c r="B158" s="64" t="s">
        <v>2734</v>
      </c>
      <c r="C158" s="65" t="s">
        <v>2732</v>
      </c>
      <c r="D158" s="63" t="s">
        <v>2365</v>
      </c>
      <c r="E158" s="63" t="s">
        <v>2835</v>
      </c>
      <c r="F158" s="79" t="s">
        <v>3047</v>
      </c>
      <c r="G158" s="79">
        <f>0.7*4*9*2.4</f>
        <v>60.48</v>
      </c>
      <c r="H158" s="180">
        <f>SUM(G154:G158)</f>
        <v>851.48296000000005</v>
      </c>
      <c r="I158" s="65"/>
    </row>
    <row r="159" spans="1:9" s="57" customFormat="1" ht="39" customHeight="1">
      <c r="A159" s="59"/>
      <c r="B159" s="64" t="s">
        <v>3718</v>
      </c>
      <c r="C159" s="65"/>
      <c r="D159" s="63" t="s">
        <v>2365</v>
      </c>
      <c r="E159" s="63" t="s">
        <v>2742</v>
      </c>
      <c r="F159" s="70" t="s">
        <v>3481</v>
      </c>
      <c r="G159" s="72">
        <f>((20+1.5+15+4.7+5.6+5.6+5.6+5.6+1.2+2.5+2.4+7.8)*3)+(3*0.7*2)+(3*0.6*2)+(0.6*0.7)+(0.3*3*2)+(2.4*0.7)+(0.7*-3)</f>
        <v>242.10000000000005</v>
      </c>
      <c r="H159" s="180"/>
      <c r="I159" s="65"/>
    </row>
    <row r="160" spans="1:9" s="57" customFormat="1" ht="39" customHeight="1">
      <c r="A160" s="59"/>
      <c r="B160" s="64" t="s">
        <v>3718</v>
      </c>
      <c r="C160" s="65"/>
      <c r="D160" s="63" t="s">
        <v>2365</v>
      </c>
      <c r="E160" s="63" t="s">
        <v>2742</v>
      </c>
      <c r="F160" s="72" t="s">
        <v>3485</v>
      </c>
      <c r="G160" s="72">
        <f>2.5*3</f>
        <v>7.5</v>
      </c>
      <c r="H160" s="180"/>
      <c r="I160" s="65"/>
    </row>
    <row r="161" spans="1:9" s="57" customFormat="1" ht="100.5" customHeight="1">
      <c r="A161" s="59"/>
      <c r="B161" s="64" t="s">
        <v>3718</v>
      </c>
      <c r="C161" s="65"/>
      <c r="D161" s="63" t="s">
        <v>2365</v>
      </c>
      <c r="E161" s="63" t="s">
        <v>2742</v>
      </c>
      <c r="F161" s="152" t="s">
        <v>3482</v>
      </c>
      <c r="G161" s="152">
        <f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f>
        <v>45.410000000000011</v>
      </c>
      <c r="H161" s="180"/>
      <c r="I161" s="65"/>
    </row>
    <row r="162" spans="1:9" s="57" customFormat="1" ht="87.95" customHeight="1">
      <c r="A162" s="59"/>
      <c r="B162" s="64" t="s">
        <v>3718</v>
      </c>
      <c r="C162" s="65"/>
      <c r="D162" s="63" t="s">
        <v>2365</v>
      </c>
      <c r="E162" s="63" t="s">
        <v>2742</v>
      </c>
      <c r="F162" s="152" t="s">
        <v>3483</v>
      </c>
      <c r="G162" s="152">
        <f>((1.1+0.5)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*0.5</f>
        <v>83.800000000000011</v>
      </c>
      <c r="H162" s="180">
        <f>SUM(G159:G162)</f>
        <v>378.81000000000006</v>
      </c>
      <c r="I162" s="65"/>
    </row>
    <row r="163" spans="1:9" s="57" customFormat="1" ht="20.100000000000001" customHeight="1">
      <c r="A163" s="59"/>
      <c r="B163" s="64"/>
      <c r="C163" s="65"/>
      <c r="D163" s="63"/>
      <c r="E163" s="63"/>
      <c r="F163" s="79"/>
      <c r="G163" s="79"/>
      <c r="H163" s="180"/>
      <c r="I163" s="65"/>
    </row>
    <row r="164" spans="1:9" s="89" customFormat="1" ht="20.100000000000001" customHeight="1">
      <c r="A164" s="61" t="s">
        <v>2776</v>
      </c>
      <c r="B164" s="142" t="s">
        <v>2693</v>
      </c>
      <c r="C164" s="75"/>
      <c r="D164" s="73"/>
      <c r="E164" s="75"/>
      <c r="F164" s="60"/>
      <c r="G164" s="60"/>
      <c r="H164" s="180"/>
      <c r="I164" s="178"/>
    </row>
    <row r="165" spans="1:9" s="57" customFormat="1" ht="26.25" customHeight="1">
      <c r="A165" s="59"/>
      <c r="B165" s="64" t="s">
        <v>2718</v>
      </c>
      <c r="C165" s="74" t="s">
        <v>2717</v>
      </c>
      <c r="D165" s="63" t="s">
        <v>2365</v>
      </c>
      <c r="E165" s="92" t="s">
        <v>3046</v>
      </c>
      <c r="F165" s="97" t="s">
        <v>3045</v>
      </c>
      <c r="G165" s="97">
        <f>(10+3+4.7+2+14.5+2+3.4+3.6+3.8+3.6+2.2+2.2+3.6+1.5+3.6+1.8+1.6+1+3.4+4.8)*2</f>
        <v>152.60000000000002</v>
      </c>
      <c r="H165" s="180">
        <f>G165</f>
        <v>152.60000000000002</v>
      </c>
      <c r="I165" s="136"/>
    </row>
    <row r="166" spans="1:9" s="57" customFormat="1" ht="20.100000000000001" customHeight="1">
      <c r="A166" s="59"/>
      <c r="B166" s="62" t="s">
        <v>2714</v>
      </c>
      <c r="C166" s="65" t="s">
        <v>2713</v>
      </c>
      <c r="D166" s="63" t="s">
        <v>2365</v>
      </c>
      <c r="E166" s="65"/>
      <c r="F166" s="58" t="s">
        <v>3044</v>
      </c>
      <c r="G166" s="58">
        <f>1446.3-24.6</f>
        <v>1421.7</v>
      </c>
      <c r="H166" s="180">
        <f>G166</f>
        <v>1421.7</v>
      </c>
      <c r="I166" s="105" t="s">
        <v>2709</v>
      </c>
    </row>
    <row r="167" spans="1:9" s="57" customFormat="1" ht="20.100000000000001" customHeight="1">
      <c r="A167" s="59"/>
      <c r="B167" s="64" t="s">
        <v>2712</v>
      </c>
      <c r="C167" s="65" t="s">
        <v>2711</v>
      </c>
      <c r="D167" s="63" t="s">
        <v>2365</v>
      </c>
      <c r="E167" s="65"/>
      <c r="F167" s="58" t="s">
        <v>3044</v>
      </c>
      <c r="G167" s="58">
        <f>1446.3-24.6</f>
        <v>1421.7</v>
      </c>
      <c r="H167" s="180">
        <f>G167</f>
        <v>1421.7</v>
      </c>
      <c r="I167" s="105" t="s">
        <v>2709</v>
      </c>
    </row>
    <row r="168" spans="1:9" s="57" customFormat="1" ht="20.100000000000001" customHeight="1">
      <c r="A168" s="59"/>
      <c r="B168" s="64"/>
      <c r="C168" s="65"/>
      <c r="D168" s="63"/>
      <c r="E168" s="65"/>
      <c r="F168" s="58"/>
      <c r="G168" s="58"/>
      <c r="H168" s="180"/>
      <c r="I168" s="105"/>
    </row>
    <row r="169" spans="1:9" s="89" customFormat="1" ht="20.100000000000001" customHeight="1">
      <c r="A169" s="61" t="s">
        <v>2773</v>
      </c>
      <c r="B169" s="61" t="s">
        <v>2681</v>
      </c>
      <c r="C169" s="75"/>
      <c r="D169" s="73"/>
      <c r="E169" s="75"/>
      <c r="F169" s="60"/>
      <c r="G169" s="60"/>
      <c r="H169" s="180"/>
      <c r="I169" s="178"/>
    </row>
    <row r="170" spans="1:9" s="89" customFormat="1" ht="20.100000000000001" customHeight="1">
      <c r="A170" s="61" t="s">
        <v>2771</v>
      </c>
      <c r="B170" s="77" t="s">
        <v>2770</v>
      </c>
      <c r="C170" s="75"/>
      <c r="D170" s="73"/>
      <c r="E170" s="75"/>
      <c r="F170" s="76"/>
      <c r="G170" s="60"/>
      <c r="H170" s="180"/>
      <c r="I170" s="178"/>
    </row>
    <row r="171" spans="1:9" s="57" customFormat="1" ht="20.100000000000001" customHeight="1">
      <c r="A171" s="65"/>
      <c r="B171" s="67" t="s">
        <v>3043</v>
      </c>
      <c r="C171" s="67" t="s">
        <v>3042</v>
      </c>
      <c r="D171" s="63" t="s">
        <v>2365</v>
      </c>
      <c r="E171" s="63"/>
      <c r="F171" s="58" t="s">
        <v>3041</v>
      </c>
      <c r="G171" s="58">
        <f>37.7+111.5</f>
        <v>149.19999999999999</v>
      </c>
      <c r="H171" s="180">
        <f>G171</f>
        <v>149.19999999999999</v>
      </c>
      <c r="I171" s="105" t="s">
        <v>2709</v>
      </c>
    </row>
    <row r="172" spans="1:9" s="57" customFormat="1" ht="20.100000000000001" customHeight="1">
      <c r="A172" s="69"/>
      <c r="B172" s="67"/>
      <c r="C172" s="67"/>
      <c r="D172" s="63"/>
      <c r="E172" s="63"/>
      <c r="F172" s="58"/>
      <c r="G172" s="58"/>
      <c r="H172" s="180"/>
      <c r="I172" s="136"/>
    </row>
    <row r="173" spans="1:9" s="89" customFormat="1" ht="20.100000000000001" customHeight="1">
      <c r="A173" s="61" t="s">
        <v>2762</v>
      </c>
      <c r="B173" s="142" t="s">
        <v>2704</v>
      </c>
      <c r="C173" s="142"/>
      <c r="D173" s="73"/>
      <c r="E173" s="73"/>
      <c r="F173" s="76"/>
      <c r="G173" s="76"/>
      <c r="H173" s="180"/>
      <c r="I173" s="178"/>
    </row>
    <row r="174" spans="1:9" ht="25.5" customHeight="1">
      <c r="A174" s="94"/>
      <c r="B174" s="96" t="s">
        <v>3488</v>
      </c>
      <c r="C174" s="92" t="s">
        <v>3040</v>
      </c>
      <c r="D174" s="93" t="s">
        <v>2365</v>
      </c>
      <c r="E174" s="92"/>
      <c r="F174" s="97" t="s">
        <v>3039</v>
      </c>
      <c r="G174" s="104">
        <f>(42+9+3+0.3+1+0.3+9+0.3+1+0.3+9+0.3+1+0.3+9+0.3)*8.5*0.5</f>
        <v>365.9249999999999</v>
      </c>
      <c r="H174" s="180">
        <f>SUM(G169:G174)</f>
        <v>515.12499999999989</v>
      </c>
      <c r="I174" s="92"/>
    </row>
    <row r="175" spans="1:9" s="57" customFormat="1" ht="25.5" customHeight="1">
      <c r="A175" s="59"/>
      <c r="B175" s="64" t="s">
        <v>2703</v>
      </c>
      <c r="C175" s="65" t="s">
        <v>2702</v>
      </c>
      <c r="D175" s="63" t="s">
        <v>2365</v>
      </c>
      <c r="E175" s="63"/>
      <c r="F175" s="97" t="s">
        <v>3035</v>
      </c>
      <c r="G175" s="104">
        <f>(42+9+3+0.3+1+0.3+9+0.3+1+0.3+9+0.3+1+0.3+9+0.3)*3.6</f>
        <v>309.95999999999992</v>
      </c>
      <c r="H175" s="180">
        <f>SUM(G170:G175)</f>
        <v>825.08499999999981</v>
      </c>
      <c r="I175" s="65"/>
    </row>
    <row r="176" spans="1:9" s="57" customFormat="1" ht="25.5" customHeight="1">
      <c r="A176" s="59"/>
      <c r="B176" s="64" t="s">
        <v>2701</v>
      </c>
      <c r="C176" s="65" t="s">
        <v>191</v>
      </c>
      <c r="D176" s="63" t="s">
        <v>2365</v>
      </c>
      <c r="E176" s="65"/>
      <c r="F176" s="97" t="s">
        <v>3035</v>
      </c>
      <c r="G176" s="104">
        <f>(42+9+3+0.3+1+0.3+9+0.3+1+0.3+9+0.3+1+0.3+9+0.3)*3.6</f>
        <v>309.95999999999992</v>
      </c>
      <c r="H176" s="180">
        <f>SUM(G171:G176)</f>
        <v>1135.0449999999996</v>
      </c>
      <c r="I176" s="65"/>
    </row>
    <row r="177" spans="1:9" s="57" customFormat="1" ht="20.100000000000001" customHeight="1">
      <c r="A177" s="59"/>
      <c r="B177" s="64"/>
      <c r="C177" s="65"/>
      <c r="D177" s="63" t="s">
        <v>2365</v>
      </c>
      <c r="E177" s="65"/>
      <c r="F177" s="58"/>
      <c r="G177" s="58"/>
      <c r="H177" s="180"/>
      <c r="I177" s="65"/>
    </row>
    <row r="178" spans="1:9" s="57" customFormat="1" ht="24" customHeight="1">
      <c r="A178" s="59"/>
      <c r="B178" s="64" t="s">
        <v>3038</v>
      </c>
      <c r="C178" s="65" t="s">
        <v>3037</v>
      </c>
      <c r="D178" s="63" t="s">
        <v>2579</v>
      </c>
      <c r="E178" s="65"/>
      <c r="F178" s="97" t="s">
        <v>3036</v>
      </c>
      <c r="G178" s="97">
        <f>((42+9+3+0.3+1+0.3+9+0.3+1+0.3+9+0.3+1+0.3+9+0.3)/0.048)*3.6</f>
        <v>6457.4999999999982</v>
      </c>
      <c r="H178" s="180">
        <f>G178</f>
        <v>6457.4999999999982</v>
      </c>
      <c r="I178" s="65"/>
    </row>
    <row r="179" spans="1:9" s="57" customFormat="1" ht="29.25" customHeight="1">
      <c r="A179" s="59"/>
      <c r="B179" s="64" t="s">
        <v>2737</v>
      </c>
      <c r="C179" s="65"/>
      <c r="D179" s="63" t="s">
        <v>2365</v>
      </c>
      <c r="E179" s="63"/>
      <c r="F179" s="97" t="s">
        <v>3035</v>
      </c>
      <c r="G179" s="104">
        <f>(42+9+3+0.3+1+0.3+9+0.3+1+0.3+9+0.3+1+0.3+9+0.3)*3.6</f>
        <v>309.95999999999992</v>
      </c>
      <c r="H179" s="180">
        <f>SUM(G179:G179)</f>
        <v>309.95999999999992</v>
      </c>
      <c r="I179" s="65"/>
    </row>
    <row r="180" spans="1:9" s="57" customFormat="1" ht="20.100000000000001" customHeight="1">
      <c r="A180" s="59"/>
      <c r="B180" s="64"/>
      <c r="C180" s="65"/>
      <c r="D180" s="63"/>
      <c r="E180" s="65"/>
      <c r="F180" s="72"/>
      <c r="G180" s="72"/>
      <c r="H180" s="180"/>
      <c r="I180" s="65"/>
    </row>
    <row r="181" spans="1:9" s="57" customFormat="1" ht="20.100000000000001" customHeight="1">
      <c r="A181" s="59"/>
      <c r="B181" s="64" t="s">
        <v>2734</v>
      </c>
      <c r="C181" s="65" t="s">
        <v>2732</v>
      </c>
      <c r="D181" s="63" t="s">
        <v>2365</v>
      </c>
      <c r="E181" s="63"/>
      <c r="F181" s="97" t="s">
        <v>3035</v>
      </c>
      <c r="G181" s="104">
        <f>(42+9+3+0.3+1+0.3+9+0.3+1+0.3+9+0.3+1+0.3+9+0.3)*3.6</f>
        <v>309.95999999999992</v>
      </c>
      <c r="H181" s="180">
        <f>SUM(G180:G181)</f>
        <v>309.95999999999992</v>
      </c>
      <c r="I181" s="65"/>
    </row>
    <row r="182" spans="1:9" s="57" customFormat="1" ht="20.100000000000001" customHeight="1">
      <c r="A182" s="59"/>
      <c r="B182" s="64" t="s">
        <v>3718</v>
      </c>
      <c r="C182" s="65"/>
      <c r="D182" s="63" t="s">
        <v>2365</v>
      </c>
      <c r="E182" s="65"/>
      <c r="F182" s="72" t="s">
        <v>3034</v>
      </c>
      <c r="G182" s="72">
        <f>6457*0.072</f>
        <v>464.90399999999994</v>
      </c>
      <c r="H182" s="180">
        <f>G182</f>
        <v>464.90399999999994</v>
      </c>
      <c r="I182" s="65"/>
    </row>
    <row r="183" spans="1:9" s="57" customFormat="1" ht="20.100000000000001" customHeight="1">
      <c r="A183" s="59"/>
      <c r="B183" s="64"/>
      <c r="C183" s="65"/>
      <c r="D183" s="63"/>
      <c r="E183" s="65"/>
      <c r="F183" s="58"/>
      <c r="G183" s="58"/>
      <c r="H183" s="180"/>
      <c r="I183" s="65"/>
    </row>
    <row r="184" spans="1:9" s="89" customFormat="1" ht="20.100000000000001" customHeight="1">
      <c r="A184" s="61" t="s">
        <v>2707</v>
      </c>
      <c r="B184" s="107" t="s">
        <v>2736</v>
      </c>
      <c r="C184" s="75"/>
      <c r="D184" s="73"/>
      <c r="E184" s="75"/>
      <c r="F184" s="60"/>
      <c r="G184" s="60"/>
      <c r="H184" s="180"/>
      <c r="I184" s="178"/>
    </row>
    <row r="185" spans="1:9" s="89" customFormat="1" ht="20.100000000000001" customHeight="1">
      <c r="A185" s="61" t="s">
        <v>2705</v>
      </c>
      <c r="B185" s="77" t="s">
        <v>2770</v>
      </c>
      <c r="C185" s="75"/>
      <c r="D185" s="73"/>
      <c r="E185" s="75"/>
      <c r="F185" s="76"/>
      <c r="G185" s="60"/>
      <c r="H185" s="180"/>
      <c r="I185" s="178"/>
    </row>
    <row r="186" spans="1:9" s="57" customFormat="1" ht="20.100000000000001" customHeight="1">
      <c r="A186" s="65"/>
      <c r="B186" s="67" t="s">
        <v>170</v>
      </c>
      <c r="C186" s="67" t="s">
        <v>171</v>
      </c>
      <c r="D186" s="63" t="s">
        <v>2365</v>
      </c>
      <c r="E186" s="63" t="s">
        <v>2769</v>
      </c>
      <c r="F186" s="58">
        <v>28.3</v>
      </c>
      <c r="G186" s="58">
        <v>28.3</v>
      </c>
      <c r="H186" s="180"/>
      <c r="I186" s="105" t="s">
        <v>2709</v>
      </c>
    </row>
    <row r="187" spans="1:9" s="57" customFormat="1" ht="20.100000000000001" customHeight="1">
      <c r="A187" s="59"/>
      <c r="B187" s="67" t="s">
        <v>170</v>
      </c>
      <c r="C187" s="67" t="s">
        <v>2768</v>
      </c>
      <c r="D187" s="63" t="s">
        <v>2365</v>
      </c>
      <c r="E187" s="63" t="s">
        <v>2767</v>
      </c>
      <c r="F187" s="58" t="s">
        <v>3033</v>
      </c>
      <c r="G187" s="58">
        <f>28.3*30%</f>
        <v>8.49</v>
      </c>
      <c r="H187" s="180">
        <f>SUM(G186:G187)</f>
        <v>36.79</v>
      </c>
      <c r="I187" s="65"/>
    </row>
    <row r="188" spans="1:9" s="57" customFormat="1" ht="20.100000000000001" customHeight="1">
      <c r="A188" s="65"/>
      <c r="B188" s="67"/>
      <c r="C188" s="67"/>
      <c r="D188" s="63"/>
      <c r="E188" s="63"/>
      <c r="F188" s="58"/>
      <c r="G188" s="58"/>
      <c r="H188" s="180"/>
      <c r="I188" s="105"/>
    </row>
    <row r="189" spans="1:9" s="89" customFormat="1" ht="20.100000000000001" customHeight="1">
      <c r="A189" s="61" t="s">
        <v>2694</v>
      </c>
      <c r="B189" s="142" t="s">
        <v>2704</v>
      </c>
      <c r="C189" s="142"/>
      <c r="D189" s="73"/>
      <c r="E189" s="73"/>
      <c r="F189" s="76"/>
      <c r="G189" s="76"/>
      <c r="H189" s="180"/>
      <c r="I189" s="178"/>
    </row>
    <row r="190" spans="1:9" s="57" customFormat="1" ht="25.5" customHeight="1">
      <c r="A190" s="59"/>
      <c r="B190" s="64" t="s">
        <v>2703</v>
      </c>
      <c r="C190" s="65" t="s">
        <v>2702</v>
      </c>
      <c r="D190" s="63" t="s">
        <v>2365</v>
      </c>
      <c r="E190" s="63"/>
      <c r="F190" s="97" t="s">
        <v>3032</v>
      </c>
      <c r="G190" s="97">
        <f>((2.2+14.8+3.3+3)*5.8)-(0.9*2.1)</f>
        <v>133.25</v>
      </c>
      <c r="H190" s="180">
        <f>G190</f>
        <v>133.25</v>
      </c>
      <c r="I190" s="65"/>
    </row>
    <row r="191" spans="1:9" s="57" customFormat="1" ht="25.5" customHeight="1">
      <c r="A191" s="59"/>
      <c r="B191" s="64" t="s">
        <v>2701</v>
      </c>
      <c r="C191" s="65" t="s">
        <v>191</v>
      </c>
      <c r="D191" s="63" t="s">
        <v>2365</v>
      </c>
      <c r="E191" s="65"/>
      <c r="F191" s="97" t="s">
        <v>3031</v>
      </c>
      <c r="G191" s="97">
        <f>(2.2+14.8+3.3)*5.8</f>
        <v>117.74</v>
      </c>
      <c r="H191" s="180">
        <f>G191</f>
        <v>117.74</v>
      </c>
      <c r="I191" s="65"/>
    </row>
    <row r="192" spans="1:9" s="57" customFormat="1" ht="20.100000000000001" customHeight="1">
      <c r="A192" s="59"/>
      <c r="B192" s="64" t="s">
        <v>2748</v>
      </c>
      <c r="C192" s="65" t="s">
        <v>2747</v>
      </c>
      <c r="D192" s="63" t="s">
        <v>2365</v>
      </c>
      <c r="E192" s="65"/>
      <c r="F192" s="72" t="s">
        <v>3030</v>
      </c>
      <c r="G192" s="72">
        <f>((3+3+15.4)*5.8)-(0.9*2.1*3)</f>
        <v>118.44999999999999</v>
      </c>
      <c r="H192" s="180">
        <f>G192</f>
        <v>118.44999999999999</v>
      </c>
      <c r="I192" s="65"/>
    </row>
    <row r="193" spans="1:9" s="57" customFormat="1" ht="29.25" customHeight="1">
      <c r="A193" s="59"/>
      <c r="B193" s="64" t="s">
        <v>2737</v>
      </c>
      <c r="C193" s="65"/>
      <c r="D193" s="63" t="s">
        <v>2365</v>
      </c>
      <c r="E193" s="63"/>
      <c r="F193" s="97" t="s">
        <v>3029</v>
      </c>
      <c r="G193" s="97">
        <f>((2.2+14.8+3.3+3+3+15.4)*5.8)-(0.9*2.1*3)</f>
        <v>236.19000000000003</v>
      </c>
      <c r="H193" s="180">
        <f>SUM(G193:G193)</f>
        <v>236.19000000000003</v>
      </c>
      <c r="I193" s="65"/>
    </row>
    <row r="194" spans="1:9" s="57" customFormat="1" ht="20.100000000000001" customHeight="1">
      <c r="A194" s="59"/>
      <c r="B194" s="64" t="s">
        <v>2734</v>
      </c>
      <c r="C194" s="65" t="s">
        <v>2732</v>
      </c>
      <c r="D194" s="63" t="s">
        <v>2365</v>
      </c>
      <c r="E194" s="63"/>
      <c r="F194" s="97" t="s">
        <v>3029</v>
      </c>
      <c r="G194" s="97">
        <f>((2.2+14.8+3.3+3+3+15.4)*5.8)-(0.9*2.1*3)</f>
        <v>236.19000000000003</v>
      </c>
      <c r="H194" s="180">
        <f>SUM(G194:G194)</f>
        <v>236.19000000000003</v>
      </c>
      <c r="I194" s="65"/>
    </row>
    <row r="195" spans="1:9" s="57" customFormat="1" ht="20.100000000000001" customHeight="1">
      <c r="A195" s="59"/>
      <c r="B195" s="64"/>
      <c r="C195" s="65"/>
      <c r="D195" s="63"/>
      <c r="E195" s="65"/>
      <c r="F195" s="58"/>
      <c r="G195" s="58"/>
      <c r="H195" s="180"/>
      <c r="I195" s="65"/>
    </row>
    <row r="196" spans="1:9" s="89" customFormat="1" ht="20.100000000000001" customHeight="1">
      <c r="A196" s="61" t="s">
        <v>3028</v>
      </c>
      <c r="B196" s="142" t="s">
        <v>2693</v>
      </c>
      <c r="C196" s="75"/>
      <c r="D196" s="73"/>
      <c r="E196" s="75"/>
      <c r="F196" s="60"/>
      <c r="G196" s="60"/>
      <c r="H196" s="180"/>
      <c r="I196" s="178"/>
    </row>
    <row r="197" spans="1:9" s="57" customFormat="1" ht="20.100000000000001" customHeight="1">
      <c r="A197" s="59"/>
      <c r="B197" s="62" t="s">
        <v>2714</v>
      </c>
      <c r="C197" s="65" t="s">
        <v>2713</v>
      </c>
      <c r="D197" s="63" t="s">
        <v>2365</v>
      </c>
      <c r="E197" s="65"/>
      <c r="F197" s="58">
        <v>28.3</v>
      </c>
      <c r="G197" s="58">
        <v>28.3</v>
      </c>
      <c r="H197" s="180">
        <f>G197</f>
        <v>28.3</v>
      </c>
      <c r="I197" s="105" t="s">
        <v>2709</v>
      </c>
    </row>
    <row r="198" spans="1:9" s="57" customFormat="1" ht="20.100000000000001" customHeight="1">
      <c r="A198" s="59"/>
      <c r="B198" s="64" t="s">
        <v>2712</v>
      </c>
      <c r="C198" s="65" t="s">
        <v>2711</v>
      </c>
      <c r="D198" s="63" t="s">
        <v>2365</v>
      </c>
      <c r="E198" s="65"/>
      <c r="F198" s="58">
        <v>28.3</v>
      </c>
      <c r="G198" s="58">
        <v>28.3</v>
      </c>
      <c r="H198" s="180">
        <f>G198</f>
        <v>28.3</v>
      </c>
      <c r="I198" s="105" t="s">
        <v>2709</v>
      </c>
    </row>
    <row r="199" spans="1:9" ht="20.100000000000001" customHeight="1">
      <c r="A199" s="94"/>
      <c r="B199" s="96"/>
      <c r="C199" s="92"/>
      <c r="D199" s="93"/>
      <c r="E199" s="92"/>
      <c r="F199" s="97"/>
      <c r="G199" s="104"/>
      <c r="H199" s="180"/>
      <c r="I199" s="92"/>
    </row>
    <row r="200" spans="1:9" s="89" customFormat="1" ht="20.100000000000001" customHeight="1">
      <c r="A200" s="61" t="s">
        <v>2687</v>
      </c>
      <c r="B200" s="61" t="s">
        <v>3027</v>
      </c>
      <c r="C200" s="75"/>
      <c r="D200" s="73"/>
      <c r="E200" s="75"/>
      <c r="F200" s="60"/>
      <c r="G200" s="60"/>
      <c r="H200" s="180"/>
      <c r="I200" s="178"/>
    </row>
    <row r="201" spans="1:9" s="89" customFormat="1" ht="20.100000000000001" customHeight="1">
      <c r="A201" s="61" t="s">
        <v>3026</v>
      </c>
      <c r="B201" s="77" t="s">
        <v>2770</v>
      </c>
      <c r="C201" s="75"/>
      <c r="D201" s="73"/>
      <c r="E201" s="75"/>
      <c r="F201" s="76"/>
      <c r="G201" s="60"/>
      <c r="H201" s="180"/>
      <c r="I201" s="178"/>
    </row>
    <row r="202" spans="1:9" s="57" customFormat="1" ht="20.100000000000001" customHeight="1">
      <c r="A202" s="65"/>
      <c r="B202" s="67" t="s">
        <v>170</v>
      </c>
      <c r="C202" s="179" t="s">
        <v>171</v>
      </c>
      <c r="D202" s="63" t="s">
        <v>2365</v>
      </c>
      <c r="E202" s="63" t="s">
        <v>2769</v>
      </c>
      <c r="F202" s="58">
        <v>72.900000000000006</v>
      </c>
      <c r="G202" s="58">
        <f>F202</f>
        <v>72.900000000000006</v>
      </c>
      <c r="H202" s="180"/>
      <c r="I202" s="105" t="s">
        <v>2709</v>
      </c>
    </row>
    <row r="203" spans="1:9" s="57" customFormat="1" ht="20.100000000000001" customHeight="1">
      <c r="A203" s="59"/>
      <c r="B203" s="67" t="s">
        <v>170</v>
      </c>
      <c r="C203" s="179" t="s">
        <v>2768</v>
      </c>
      <c r="D203" s="63" t="s">
        <v>2365</v>
      </c>
      <c r="E203" s="63" t="s">
        <v>2767</v>
      </c>
      <c r="F203" s="58" t="s">
        <v>3025</v>
      </c>
      <c r="G203" s="58">
        <f>72.9*30%</f>
        <v>21.87</v>
      </c>
      <c r="H203" s="180">
        <f>SUM(G202:G203)</f>
        <v>94.77000000000001</v>
      </c>
      <c r="I203" s="65"/>
    </row>
    <row r="204" spans="1:9" s="57" customFormat="1" ht="20.100000000000001" customHeight="1">
      <c r="A204" s="65"/>
      <c r="B204" s="67"/>
      <c r="C204" s="179"/>
      <c r="D204" s="63"/>
      <c r="E204" s="63"/>
      <c r="F204" s="58"/>
      <c r="G204" s="58"/>
      <c r="H204" s="180"/>
      <c r="I204" s="105"/>
    </row>
    <row r="205" spans="1:9" s="57" customFormat="1" ht="20.100000000000001" customHeight="1">
      <c r="A205" s="69"/>
      <c r="B205" s="67"/>
      <c r="C205" s="67"/>
      <c r="D205" s="63"/>
      <c r="E205" s="63"/>
      <c r="F205" s="58"/>
      <c r="G205" s="58"/>
      <c r="H205" s="180"/>
      <c r="I205" s="136"/>
    </row>
    <row r="206" spans="1:9" s="89" customFormat="1" ht="20.100000000000001" customHeight="1">
      <c r="A206" s="61" t="s">
        <v>3024</v>
      </c>
      <c r="B206" s="142" t="s">
        <v>2704</v>
      </c>
      <c r="C206" s="142"/>
      <c r="D206" s="73"/>
      <c r="E206" s="73"/>
      <c r="F206" s="76"/>
      <c r="G206" s="76"/>
      <c r="H206" s="180"/>
      <c r="I206" s="178"/>
    </row>
    <row r="207" spans="1:9" s="57" customFormat="1" ht="25.5" customHeight="1">
      <c r="A207" s="59"/>
      <c r="B207" s="64" t="s">
        <v>2703</v>
      </c>
      <c r="C207" s="65" t="s">
        <v>2702</v>
      </c>
      <c r="D207" s="63" t="s">
        <v>2365</v>
      </c>
      <c r="E207" s="63"/>
      <c r="F207" s="97" t="s">
        <v>3023</v>
      </c>
      <c r="G207" s="97">
        <f>((1.3+2.1+4.3+4.3+3.2+1.6)*5.8)-(0.9*2.1)</f>
        <v>95.55</v>
      </c>
      <c r="H207" s="180"/>
      <c r="I207" s="65"/>
    </row>
    <row r="208" spans="1:9" s="57" customFormat="1" ht="25.5" customHeight="1">
      <c r="A208" s="59"/>
      <c r="B208" s="64" t="s">
        <v>2703</v>
      </c>
      <c r="C208" s="65" t="s">
        <v>2702</v>
      </c>
      <c r="D208" s="63" t="s">
        <v>2365</v>
      </c>
      <c r="E208" s="63"/>
      <c r="F208" s="97" t="s">
        <v>3022</v>
      </c>
      <c r="G208" s="97">
        <f>3.1*1.3</f>
        <v>4.03</v>
      </c>
      <c r="H208" s="180">
        <f>SUM(G207:G208)</f>
        <v>99.58</v>
      </c>
      <c r="I208" s="65"/>
    </row>
    <row r="209" spans="1:9" s="57" customFormat="1" ht="25.5" customHeight="1">
      <c r="A209" s="59"/>
      <c r="B209" s="64" t="s">
        <v>2701</v>
      </c>
      <c r="C209" s="65" t="s">
        <v>191</v>
      </c>
      <c r="D209" s="63" t="s">
        <v>2365</v>
      </c>
      <c r="E209" s="65"/>
      <c r="F209" s="97" t="s">
        <v>3021</v>
      </c>
      <c r="G209" s="97">
        <f>((1.3+2.1+2.1+1.3+4.3+4.3+4.3+3.2+1.6)*5.8)-(0.9*2.1*2)</f>
        <v>138.32</v>
      </c>
      <c r="H209" s="180">
        <f>G209</f>
        <v>138.32</v>
      </c>
      <c r="I209" s="65"/>
    </row>
    <row r="210" spans="1:9" s="57" customFormat="1" ht="20.100000000000001" customHeight="1">
      <c r="A210" s="59"/>
      <c r="B210" s="64" t="s">
        <v>2748</v>
      </c>
      <c r="C210" s="65" t="s">
        <v>2747</v>
      </c>
      <c r="D210" s="63" t="s">
        <v>2365</v>
      </c>
      <c r="E210" s="65"/>
      <c r="F210" s="97" t="s">
        <v>3020</v>
      </c>
      <c r="G210" s="97">
        <f>(3.1*1.3*2)+((5.2+11)*5.8)-((3+3.2)*4.5)</f>
        <v>74.11999999999999</v>
      </c>
      <c r="H210" s="180">
        <f>G210</f>
        <v>74.11999999999999</v>
      </c>
      <c r="I210" s="65"/>
    </row>
    <row r="211" spans="1:9" s="57" customFormat="1" ht="29.25" customHeight="1">
      <c r="A211" s="59"/>
      <c r="B211" s="64" t="s">
        <v>2737</v>
      </c>
      <c r="C211" s="65"/>
      <c r="D211" s="63" t="s">
        <v>2365</v>
      </c>
      <c r="E211" s="63"/>
      <c r="F211" s="97" t="s">
        <v>3019</v>
      </c>
      <c r="G211" s="97">
        <f>(4.3+3.2)*5.8</f>
        <v>43.5</v>
      </c>
      <c r="H211" s="180"/>
      <c r="I211" s="65"/>
    </row>
    <row r="212" spans="1:9" s="57" customFormat="1" ht="29.25" customHeight="1">
      <c r="A212" s="59"/>
      <c r="B212" s="64" t="s">
        <v>2737</v>
      </c>
      <c r="C212" s="65"/>
      <c r="D212" s="63" t="s">
        <v>2365</v>
      </c>
      <c r="E212" s="63"/>
      <c r="F212" s="97" t="s">
        <v>3017</v>
      </c>
      <c r="G212" s="97">
        <f>(2.2+1.3+2.1+0.2+1.3+4.5+3.5+3.2+1.5+0.4)*1.6</f>
        <v>32.32</v>
      </c>
      <c r="H212" s="180"/>
      <c r="I212" s="65"/>
    </row>
    <row r="213" spans="1:9" s="57" customFormat="1" ht="29.25" customHeight="1">
      <c r="A213" s="59"/>
      <c r="B213" s="64" t="s">
        <v>2737</v>
      </c>
      <c r="C213" s="65"/>
      <c r="D213" s="63" t="s">
        <v>2365</v>
      </c>
      <c r="E213" s="63"/>
      <c r="F213" s="97" t="s">
        <v>3018</v>
      </c>
      <c r="G213" s="97">
        <f>(3.6+2.8+3.2+3.2+1.5)*1.6</f>
        <v>22.880000000000003</v>
      </c>
      <c r="H213" s="180">
        <f>SUM(G211:G213)</f>
        <v>98.699999999999989</v>
      </c>
      <c r="I213" s="65"/>
    </row>
    <row r="214" spans="1:9" s="57" customFormat="1" ht="20.100000000000001" customHeight="1">
      <c r="A214" s="59"/>
      <c r="B214" s="64" t="s">
        <v>2734</v>
      </c>
      <c r="C214" s="65" t="s">
        <v>2732</v>
      </c>
      <c r="D214" s="63" t="s">
        <v>2365</v>
      </c>
      <c r="E214" s="63"/>
      <c r="F214" s="97" t="s">
        <v>3019</v>
      </c>
      <c r="G214" s="106">
        <f>(4.3+3.2)*5.8</f>
        <v>43.5</v>
      </c>
      <c r="H214" s="180"/>
      <c r="I214" s="65"/>
    </row>
    <row r="215" spans="1:9" s="57" customFormat="1" ht="20.100000000000001" customHeight="1">
      <c r="A215" s="59"/>
      <c r="B215" s="64" t="s">
        <v>2734</v>
      </c>
      <c r="C215" s="65" t="s">
        <v>2732</v>
      </c>
      <c r="D215" s="63" t="s">
        <v>2365</v>
      </c>
      <c r="E215" s="63"/>
      <c r="F215" s="97" t="s">
        <v>3017</v>
      </c>
      <c r="G215" s="97">
        <f>(2.2+1.3+2.1+0.2+1.3+4.5+3.5+3.2+1.5+0.4)*1.6</f>
        <v>32.32</v>
      </c>
      <c r="H215" s="180"/>
      <c r="I215" s="65"/>
    </row>
    <row r="216" spans="1:9" s="57" customFormat="1" ht="20.100000000000001" customHeight="1">
      <c r="A216" s="59"/>
      <c r="B216" s="64" t="s">
        <v>3016</v>
      </c>
      <c r="C216" s="65" t="s">
        <v>3015</v>
      </c>
      <c r="D216" s="63" t="s">
        <v>2365</v>
      </c>
      <c r="E216" s="63"/>
      <c r="F216" s="97" t="s">
        <v>3014</v>
      </c>
      <c r="G216" s="97">
        <f>(3.6+2.8+3.2+3.2+1.5)*1.6</f>
        <v>22.880000000000003</v>
      </c>
      <c r="H216" s="180">
        <f>SUM(G214:G216)</f>
        <v>98.699999999999989</v>
      </c>
      <c r="I216" s="65"/>
    </row>
    <row r="217" spans="1:9" s="57" customFormat="1" ht="20.100000000000001" customHeight="1">
      <c r="A217" s="59"/>
      <c r="B217" s="64" t="s">
        <v>3013</v>
      </c>
      <c r="C217" s="65" t="s">
        <v>3012</v>
      </c>
      <c r="D217" s="63" t="s">
        <v>2365</v>
      </c>
      <c r="E217" s="63"/>
      <c r="F217" s="97" t="s">
        <v>3011</v>
      </c>
      <c r="G217" s="97">
        <f>((2.2+1.3+2.1+0.2+1.3+4.5+3.5+1.5+0.4)*4.2)-(0.9*2.1)</f>
        <v>69.510000000000005</v>
      </c>
      <c r="H217" s="180">
        <f>G217</f>
        <v>69.510000000000005</v>
      </c>
      <c r="I217" s="65"/>
    </row>
    <row r="218" spans="1:9" s="57" customFormat="1" ht="20.100000000000001" customHeight="1">
      <c r="A218" s="59"/>
      <c r="B218" s="64"/>
      <c r="C218" s="65"/>
      <c r="D218" s="63"/>
      <c r="E218" s="65"/>
      <c r="F218" s="58"/>
      <c r="G218" s="58"/>
      <c r="H218" s="180"/>
      <c r="I218" s="65"/>
    </row>
    <row r="219" spans="1:9" s="89" customFormat="1" ht="20.100000000000001" customHeight="1">
      <c r="A219" s="61" t="s">
        <v>3010</v>
      </c>
      <c r="B219" s="142" t="s">
        <v>3009</v>
      </c>
      <c r="C219" s="75"/>
      <c r="D219" s="73"/>
      <c r="E219" s="75"/>
      <c r="F219" s="60"/>
      <c r="G219" s="60"/>
      <c r="H219" s="180"/>
      <c r="I219" s="178"/>
    </row>
    <row r="220" spans="1:9" s="57" customFormat="1" ht="26.25" customHeight="1">
      <c r="A220" s="59"/>
      <c r="B220" s="64" t="s">
        <v>3008</v>
      </c>
      <c r="C220" s="74" t="s">
        <v>3007</v>
      </c>
      <c r="D220" s="63" t="s">
        <v>2365</v>
      </c>
      <c r="E220" s="92" t="s">
        <v>3006</v>
      </c>
      <c r="F220" s="97">
        <v>40.9</v>
      </c>
      <c r="G220" s="97">
        <v>40.9</v>
      </c>
      <c r="H220" s="180">
        <f>G220</f>
        <v>40.9</v>
      </c>
      <c r="I220" s="105" t="s">
        <v>3001</v>
      </c>
    </row>
    <row r="221" spans="1:9" s="57" customFormat="1" ht="20.100000000000001" customHeight="1">
      <c r="A221" s="59"/>
      <c r="B221" s="62" t="s">
        <v>3005</v>
      </c>
      <c r="C221" s="65" t="s">
        <v>3004</v>
      </c>
      <c r="D221" s="63" t="s">
        <v>2365</v>
      </c>
      <c r="E221" s="65"/>
      <c r="F221" s="58">
        <v>72.900000000000006</v>
      </c>
      <c r="G221" s="58">
        <f>F221</f>
        <v>72.900000000000006</v>
      </c>
      <c r="H221" s="180">
        <f>G221</f>
        <v>72.900000000000006</v>
      </c>
      <c r="I221" s="105" t="s">
        <v>3001</v>
      </c>
    </row>
    <row r="222" spans="1:9" s="57" customFormat="1" ht="20.100000000000001" customHeight="1">
      <c r="A222" s="59"/>
      <c r="B222" s="64" t="s">
        <v>3003</v>
      </c>
      <c r="C222" s="65" t="s">
        <v>3002</v>
      </c>
      <c r="D222" s="63" t="s">
        <v>2365</v>
      </c>
      <c r="E222" s="65"/>
      <c r="F222" s="58">
        <v>72.900000000000006</v>
      </c>
      <c r="G222" s="58">
        <f>F222</f>
        <v>72.900000000000006</v>
      </c>
      <c r="H222" s="180">
        <f>G222</f>
        <v>72.900000000000006</v>
      </c>
      <c r="I222" s="105" t="s">
        <v>3001</v>
      </c>
    </row>
    <row r="223" spans="1:9" ht="20.100000000000001" customHeight="1">
      <c r="A223" s="94"/>
      <c r="B223" s="96"/>
      <c r="C223" s="92"/>
      <c r="D223" s="93"/>
      <c r="E223" s="92"/>
      <c r="F223" s="92"/>
      <c r="G223" s="92"/>
      <c r="H223" s="180"/>
      <c r="I223" s="92"/>
    </row>
    <row r="224" spans="1:9" ht="20.100000000000001" customHeight="1">
      <c r="A224" s="102" t="s">
        <v>3000</v>
      </c>
      <c r="B224" s="101" t="s">
        <v>2686</v>
      </c>
      <c r="C224" s="92"/>
      <c r="D224" s="93"/>
      <c r="E224" s="92"/>
      <c r="F224" s="92"/>
      <c r="G224" s="92"/>
      <c r="H224" s="180"/>
      <c r="I224" s="92"/>
    </row>
    <row r="225" spans="1:9" ht="20.100000000000001" customHeight="1">
      <c r="A225" s="102"/>
      <c r="B225" s="96" t="s">
        <v>2999</v>
      </c>
      <c r="C225" s="92" t="s">
        <v>2683</v>
      </c>
      <c r="D225" s="93" t="s">
        <v>2577</v>
      </c>
      <c r="E225" s="96" t="s">
        <v>2978</v>
      </c>
      <c r="F225" s="92">
        <v>1</v>
      </c>
      <c r="G225" s="92">
        <f t="shared" ref="G225:H236" si="1">F225</f>
        <v>1</v>
      </c>
      <c r="H225" s="180">
        <f t="shared" si="1"/>
        <v>1</v>
      </c>
      <c r="I225" s="92" t="s">
        <v>2679</v>
      </c>
    </row>
    <row r="226" spans="1:9" ht="20.100000000000001" customHeight="1">
      <c r="A226" s="94"/>
      <c r="B226" s="96" t="s">
        <v>2998</v>
      </c>
      <c r="C226" s="92" t="s">
        <v>2997</v>
      </c>
      <c r="D226" s="93" t="s">
        <v>2577</v>
      </c>
      <c r="E226" s="96" t="s">
        <v>2978</v>
      </c>
      <c r="F226" s="92">
        <v>1</v>
      </c>
      <c r="G226" s="92">
        <f t="shared" si="1"/>
        <v>1</v>
      </c>
      <c r="H226" s="180">
        <f t="shared" si="1"/>
        <v>1</v>
      </c>
      <c r="I226" s="92" t="s">
        <v>2679</v>
      </c>
    </row>
    <row r="227" spans="1:9" ht="20.100000000000001" customHeight="1">
      <c r="A227" s="94"/>
      <c r="B227" s="96" t="s">
        <v>720</v>
      </c>
      <c r="C227" s="92" t="s">
        <v>2993</v>
      </c>
      <c r="D227" s="93" t="s">
        <v>2577</v>
      </c>
      <c r="E227" s="96" t="s">
        <v>2978</v>
      </c>
      <c r="F227" s="92">
        <v>1</v>
      </c>
      <c r="G227" s="92">
        <f t="shared" si="1"/>
        <v>1</v>
      </c>
      <c r="H227" s="180">
        <f t="shared" si="1"/>
        <v>1</v>
      </c>
      <c r="I227" s="92" t="s">
        <v>2679</v>
      </c>
    </row>
    <row r="228" spans="1:9" ht="20.100000000000001" customHeight="1">
      <c r="A228" s="94"/>
      <c r="B228" s="96" t="s">
        <v>723</v>
      </c>
      <c r="C228" s="92" t="s">
        <v>2992</v>
      </c>
      <c r="D228" s="93" t="s">
        <v>2577</v>
      </c>
      <c r="E228" s="96" t="s">
        <v>2978</v>
      </c>
      <c r="F228" s="92">
        <v>1</v>
      </c>
      <c r="G228" s="92">
        <f t="shared" si="1"/>
        <v>1</v>
      </c>
      <c r="H228" s="180">
        <f t="shared" si="1"/>
        <v>1</v>
      </c>
      <c r="I228" s="92" t="s">
        <v>2679</v>
      </c>
    </row>
    <row r="229" spans="1:9" ht="20.100000000000001" customHeight="1">
      <c r="A229" s="94"/>
      <c r="B229" s="96" t="s">
        <v>726</v>
      </c>
      <c r="C229" s="92" t="s">
        <v>2996</v>
      </c>
      <c r="D229" s="93" t="s">
        <v>2577</v>
      </c>
      <c r="E229" s="96" t="s">
        <v>2681</v>
      </c>
      <c r="F229" s="92">
        <v>1</v>
      </c>
      <c r="G229" s="92">
        <f t="shared" si="1"/>
        <v>1</v>
      </c>
      <c r="H229" s="180">
        <f t="shared" si="1"/>
        <v>1</v>
      </c>
      <c r="I229" s="92" t="s">
        <v>2679</v>
      </c>
    </row>
    <row r="230" spans="1:9" ht="20.100000000000001" customHeight="1">
      <c r="A230" s="94"/>
      <c r="B230" s="96" t="s">
        <v>2995</v>
      </c>
      <c r="C230" s="92" t="s">
        <v>2994</v>
      </c>
      <c r="D230" s="93" t="s">
        <v>2577</v>
      </c>
      <c r="E230" s="96" t="s">
        <v>2978</v>
      </c>
      <c r="F230" s="92">
        <v>1</v>
      </c>
      <c r="G230" s="92">
        <f t="shared" si="1"/>
        <v>1</v>
      </c>
      <c r="H230" s="180">
        <f t="shared" si="1"/>
        <v>1</v>
      </c>
      <c r="I230" s="92" t="s">
        <v>2675</v>
      </c>
    </row>
    <row r="231" spans="1:9" ht="20.100000000000001" customHeight="1">
      <c r="A231" s="94"/>
      <c r="B231" s="96" t="s">
        <v>732</v>
      </c>
      <c r="C231" s="92" t="s">
        <v>2993</v>
      </c>
      <c r="D231" s="93" t="s">
        <v>2577</v>
      </c>
      <c r="E231" s="96" t="s">
        <v>2978</v>
      </c>
      <c r="F231" s="92">
        <v>1</v>
      </c>
      <c r="G231" s="92">
        <f t="shared" si="1"/>
        <v>1</v>
      </c>
      <c r="H231" s="180">
        <f t="shared" si="1"/>
        <v>1</v>
      </c>
      <c r="I231" s="92" t="s">
        <v>2675</v>
      </c>
    </row>
    <row r="232" spans="1:9" ht="20.100000000000001" customHeight="1">
      <c r="A232" s="94"/>
      <c r="B232" s="96" t="s">
        <v>735</v>
      </c>
      <c r="C232" s="92" t="s">
        <v>2992</v>
      </c>
      <c r="D232" s="93" t="s">
        <v>2577</v>
      </c>
      <c r="E232" s="96" t="s">
        <v>2978</v>
      </c>
      <c r="F232" s="92">
        <v>1</v>
      </c>
      <c r="G232" s="92">
        <f t="shared" si="1"/>
        <v>1</v>
      </c>
      <c r="H232" s="180">
        <f t="shared" si="1"/>
        <v>1</v>
      </c>
      <c r="I232" s="92" t="s">
        <v>2675</v>
      </c>
    </row>
    <row r="233" spans="1:9" ht="20.100000000000001" customHeight="1">
      <c r="A233" s="94"/>
      <c r="B233" s="96" t="s">
        <v>2669</v>
      </c>
      <c r="C233" s="92" t="s">
        <v>2665</v>
      </c>
      <c r="D233" s="93" t="s">
        <v>2577</v>
      </c>
      <c r="E233" s="92" t="s">
        <v>2991</v>
      </c>
      <c r="F233" s="92">
        <v>1</v>
      </c>
      <c r="G233" s="92">
        <f t="shared" si="1"/>
        <v>1</v>
      </c>
      <c r="H233" s="180">
        <f t="shared" si="1"/>
        <v>1</v>
      </c>
      <c r="I233" s="92" t="s">
        <v>2990</v>
      </c>
    </row>
    <row r="234" spans="1:9" ht="20.100000000000001" customHeight="1">
      <c r="A234" s="94"/>
      <c r="B234" s="96" t="s">
        <v>2666</v>
      </c>
      <c r="C234" s="92" t="s">
        <v>2989</v>
      </c>
      <c r="D234" s="93" t="s">
        <v>2577</v>
      </c>
      <c r="E234" s="92" t="s">
        <v>2664</v>
      </c>
      <c r="F234" s="92">
        <v>4</v>
      </c>
      <c r="G234" s="92">
        <f t="shared" si="1"/>
        <v>4</v>
      </c>
      <c r="H234" s="180">
        <f t="shared" si="1"/>
        <v>4</v>
      </c>
      <c r="I234" s="92" t="s">
        <v>2988</v>
      </c>
    </row>
    <row r="235" spans="1:9" ht="20.100000000000001" customHeight="1">
      <c r="A235" s="94"/>
      <c r="B235" s="96" t="s">
        <v>2987</v>
      </c>
      <c r="C235" s="92" t="s">
        <v>2986</v>
      </c>
      <c r="D235" s="93" t="s">
        <v>2577</v>
      </c>
      <c r="E235" s="96" t="s">
        <v>2681</v>
      </c>
      <c r="F235" s="92">
        <v>2</v>
      </c>
      <c r="G235" s="92">
        <f t="shared" si="1"/>
        <v>2</v>
      </c>
      <c r="H235" s="180">
        <f t="shared" si="1"/>
        <v>2</v>
      </c>
      <c r="I235" s="92"/>
    </row>
    <row r="236" spans="1:9" ht="20.100000000000001" customHeight="1">
      <c r="A236" s="94"/>
      <c r="B236" s="96" t="s">
        <v>2985</v>
      </c>
      <c r="C236" s="92" t="s">
        <v>2984</v>
      </c>
      <c r="D236" s="93" t="s">
        <v>2577</v>
      </c>
      <c r="E236" s="96" t="s">
        <v>2681</v>
      </c>
      <c r="F236" s="92">
        <v>7</v>
      </c>
      <c r="G236" s="92">
        <f t="shared" si="1"/>
        <v>7</v>
      </c>
      <c r="H236" s="180">
        <f t="shared" si="1"/>
        <v>7</v>
      </c>
      <c r="I236" s="92"/>
    </row>
    <row r="237" spans="1:9" ht="20.100000000000001" customHeight="1">
      <c r="A237" s="94"/>
      <c r="B237" s="96" t="s">
        <v>2983</v>
      </c>
      <c r="C237" s="92"/>
      <c r="D237" s="93" t="s">
        <v>2577</v>
      </c>
      <c r="E237" s="96" t="s">
        <v>2613</v>
      </c>
      <c r="F237" s="92">
        <v>45</v>
      </c>
      <c r="G237" s="92">
        <f t="shared" ref="G237:H239" si="2">F237</f>
        <v>45</v>
      </c>
      <c r="H237" s="180">
        <f t="shared" si="2"/>
        <v>45</v>
      </c>
      <c r="I237" s="92"/>
    </row>
    <row r="238" spans="1:9" ht="20.100000000000001" customHeight="1">
      <c r="A238" s="94"/>
      <c r="B238" s="96" t="s">
        <v>2982</v>
      </c>
      <c r="C238" s="92"/>
      <c r="D238" s="93" t="s">
        <v>2577</v>
      </c>
      <c r="E238" s="96" t="s">
        <v>2613</v>
      </c>
      <c r="F238" s="92">
        <v>45</v>
      </c>
      <c r="G238" s="92">
        <f t="shared" si="2"/>
        <v>45</v>
      </c>
      <c r="H238" s="180">
        <f t="shared" si="2"/>
        <v>45</v>
      </c>
      <c r="I238" s="92"/>
    </row>
    <row r="239" spans="1:9" ht="20.100000000000001" customHeight="1">
      <c r="A239" s="94"/>
      <c r="B239" s="96" t="s">
        <v>2657</v>
      </c>
      <c r="C239" s="92" t="s">
        <v>2656</v>
      </c>
      <c r="D239" s="93" t="s">
        <v>2577</v>
      </c>
      <c r="E239" s="96"/>
      <c r="F239" s="92">
        <v>5</v>
      </c>
      <c r="G239" s="92">
        <f t="shared" si="2"/>
        <v>5</v>
      </c>
      <c r="H239" s="180">
        <f t="shared" si="2"/>
        <v>5</v>
      </c>
      <c r="I239" s="92"/>
    </row>
    <row r="240" spans="1:9" ht="20.100000000000001" customHeight="1">
      <c r="A240" s="94"/>
      <c r="B240" s="96" t="s">
        <v>2653</v>
      </c>
      <c r="C240" s="92" t="s">
        <v>2652</v>
      </c>
      <c r="D240" s="93" t="s">
        <v>2365</v>
      </c>
      <c r="E240" s="96" t="s">
        <v>2681</v>
      </c>
      <c r="F240" s="97" t="s">
        <v>2981</v>
      </c>
      <c r="G240" s="97">
        <f>(0.6*1.1*2)+(0.6*0.9*7)</f>
        <v>5.1000000000000005</v>
      </c>
      <c r="H240" s="180">
        <f t="shared" ref="H240:H242" si="3">G240</f>
        <v>5.1000000000000005</v>
      </c>
      <c r="I240" s="92"/>
    </row>
    <row r="241" spans="1:9" s="171" customFormat="1" ht="107.25" customHeight="1">
      <c r="A241" s="169"/>
      <c r="B241" s="149" t="s">
        <v>4120</v>
      </c>
      <c r="C241" s="148" t="s">
        <v>4121</v>
      </c>
      <c r="D241" s="150" t="s">
        <v>2365</v>
      </c>
      <c r="E241" s="149" t="s">
        <v>4122</v>
      </c>
      <c r="F241" s="217" t="s">
        <v>4123</v>
      </c>
      <c r="G241" s="217">
        <f>(1.1*0.5)+(1.1*1.4)+(1.1*0.7)+(1.1*1.1)+(1.1*0.9)+(0.7*0.9)+(0.4*0.4)+(1.4*0.4)+(0.4*1.1)+(0.7*0.9*2)+(1.8*0.7)+(0.4*0.4)+(0.4*0.7)+(0.7*0.5)+(0.7*0.7)+(1.6*0.7)+(0.7*0.9*2)+(0.7*1.7)+(1.4*0.9)+(0.7*0.7)+(1.4*0.7)+(1.1*1.4*2)+(0.9*1.4)+(1.8*0.9)+(1.4*0.7)+(0.9*1.4)+(0.9*1.8)+(1.4*0.7)+(1.8*0.7)+(1.1*0.6)+(0.7*0.4)+(0.7*0.7)+(4.2*1.8)+(0.9*0.9)+(1.1*2.1)+(1.4*1.1)+(1.8*1.1)+(0.7*1.1)</f>
        <v>45.410000000000011</v>
      </c>
      <c r="H241" s="181">
        <f t="shared" si="3"/>
        <v>45.410000000000011</v>
      </c>
      <c r="I241" s="148"/>
    </row>
    <row r="242" spans="1:9" ht="20.100000000000001" customHeight="1">
      <c r="A242" s="94"/>
      <c r="B242" s="96" t="s">
        <v>2980</v>
      </c>
      <c r="C242" s="92" t="s">
        <v>2979</v>
      </c>
      <c r="D242" s="93" t="s">
        <v>2365</v>
      </c>
      <c r="E242" s="96" t="s">
        <v>2978</v>
      </c>
      <c r="F242" s="92" t="s">
        <v>2977</v>
      </c>
      <c r="G242" s="103">
        <f>11.2*3.2</f>
        <v>35.839999999999996</v>
      </c>
      <c r="H242" s="180">
        <f t="shared" si="3"/>
        <v>35.839999999999996</v>
      </c>
      <c r="I242" s="92"/>
    </row>
    <row r="243" spans="1:9" ht="20.100000000000001" customHeight="1">
      <c r="A243" s="94"/>
      <c r="B243" s="96"/>
      <c r="C243" s="92"/>
      <c r="D243" s="93"/>
      <c r="E243" s="96"/>
      <c r="F243" s="92"/>
      <c r="G243" s="103"/>
      <c r="H243" s="180"/>
      <c r="I243" s="92"/>
    </row>
    <row r="244" spans="1:9" s="132" customFormat="1" ht="20.100000000000001" customHeight="1">
      <c r="A244" s="117" t="s">
        <v>3191</v>
      </c>
      <c r="B244" s="101" t="s">
        <v>3192</v>
      </c>
      <c r="C244" s="128"/>
      <c r="D244" s="129"/>
      <c r="E244" s="101"/>
      <c r="F244" s="128"/>
      <c r="G244" s="130"/>
      <c r="H244" s="180"/>
      <c r="I244" s="128"/>
    </row>
    <row r="245" spans="1:9" ht="20.100000000000001" customHeight="1">
      <c r="A245" s="94"/>
      <c r="B245" s="95" t="s">
        <v>2609</v>
      </c>
      <c r="C245" s="95" t="s">
        <v>2608</v>
      </c>
      <c r="D245" s="93" t="s">
        <v>2577</v>
      </c>
      <c r="E245" s="92"/>
      <c r="F245" s="92">
        <v>288</v>
      </c>
      <c r="G245" s="58">
        <f t="shared" ref="G245:G277" si="4">F245</f>
        <v>288</v>
      </c>
      <c r="H245" s="180">
        <f t="shared" ref="G245:H341" si="5">G245</f>
        <v>288</v>
      </c>
      <c r="I245" s="92"/>
    </row>
    <row r="246" spans="1:9" ht="20.100000000000001" customHeight="1">
      <c r="A246" s="94"/>
      <c r="B246" s="95" t="s">
        <v>2609</v>
      </c>
      <c r="C246" s="95" t="s">
        <v>3409</v>
      </c>
      <c r="D246" s="93" t="s">
        <v>2577</v>
      </c>
      <c r="E246" s="92"/>
      <c r="F246" s="92">
        <v>114</v>
      </c>
      <c r="G246" s="58">
        <f t="shared" si="4"/>
        <v>114</v>
      </c>
      <c r="H246" s="180">
        <f t="shared" si="5"/>
        <v>114</v>
      </c>
      <c r="I246" s="92"/>
    </row>
    <row r="247" spans="1:9" ht="20.100000000000001" customHeight="1">
      <c r="A247" s="59"/>
      <c r="B247" s="64" t="s">
        <v>3610</v>
      </c>
      <c r="C247" s="64" t="s">
        <v>3611</v>
      </c>
      <c r="D247" s="63" t="s">
        <v>3612</v>
      </c>
      <c r="E247" s="65" t="s">
        <v>3606</v>
      </c>
      <c r="F247" s="58">
        <v>1</v>
      </c>
      <c r="G247" s="58">
        <f t="shared" si="4"/>
        <v>1</v>
      </c>
      <c r="H247" s="180">
        <f t="shared" si="5"/>
        <v>1</v>
      </c>
      <c r="I247" s="58"/>
    </row>
    <row r="248" spans="1:9" ht="20.100000000000001" customHeight="1">
      <c r="A248" s="59"/>
      <c r="B248" s="64" t="s">
        <v>3610</v>
      </c>
      <c r="C248" s="64" t="s">
        <v>3613</v>
      </c>
      <c r="D248" s="63" t="s">
        <v>3612</v>
      </c>
      <c r="E248" s="65" t="s">
        <v>3606</v>
      </c>
      <c r="F248" s="58">
        <v>1</v>
      </c>
      <c r="G248" s="58">
        <f t="shared" si="4"/>
        <v>1</v>
      </c>
      <c r="H248" s="180">
        <f t="shared" si="5"/>
        <v>1</v>
      </c>
      <c r="I248" s="58"/>
    </row>
    <row r="249" spans="1:9" ht="20.100000000000001" customHeight="1">
      <c r="A249" s="59"/>
      <c r="B249" s="64" t="s">
        <v>3610</v>
      </c>
      <c r="C249" s="64" t="s">
        <v>3614</v>
      </c>
      <c r="D249" s="63" t="s">
        <v>3612</v>
      </c>
      <c r="E249" s="65" t="s">
        <v>3606</v>
      </c>
      <c r="F249" s="58">
        <v>1</v>
      </c>
      <c r="G249" s="58">
        <f t="shared" si="4"/>
        <v>1</v>
      </c>
      <c r="H249" s="180">
        <f t="shared" si="5"/>
        <v>1</v>
      </c>
      <c r="I249" s="58"/>
    </row>
    <row r="250" spans="1:9" ht="20.100000000000001" customHeight="1">
      <c r="A250" s="59"/>
      <c r="B250" s="64" t="s">
        <v>3610</v>
      </c>
      <c r="C250" s="64" t="s">
        <v>3615</v>
      </c>
      <c r="D250" s="63" t="s">
        <v>3612</v>
      </c>
      <c r="E250" s="65" t="s">
        <v>3606</v>
      </c>
      <c r="F250" s="58">
        <v>1</v>
      </c>
      <c r="G250" s="58">
        <f t="shared" si="4"/>
        <v>1</v>
      </c>
      <c r="H250" s="180">
        <f t="shared" si="5"/>
        <v>1</v>
      </c>
      <c r="I250" s="58"/>
    </row>
    <row r="251" spans="1:9" ht="20.100000000000001" customHeight="1">
      <c r="A251" s="59"/>
      <c r="B251" s="64" t="s">
        <v>3610</v>
      </c>
      <c r="C251" s="64" t="s">
        <v>3616</v>
      </c>
      <c r="D251" s="63" t="s">
        <v>3612</v>
      </c>
      <c r="E251" s="65" t="s">
        <v>3606</v>
      </c>
      <c r="F251" s="58">
        <v>1</v>
      </c>
      <c r="G251" s="58">
        <f t="shared" si="4"/>
        <v>1</v>
      </c>
      <c r="H251" s="180">
        <f t="shared" si="5"/>
        <v>1</v>
      </c>
      <c r="I251" s="58"/>
    </row>
    <row r="252" spans="1:9" ht="20.100000000000001" customHeight="1">
      <c r="A252" s="59"/>
      <c r="B252" s="64" t="s">
        <v>3610</v>
      </c>
      <c r="C252" s="64" t="s">
        <v>3617</v>
      </c>
      <c r="D252" s="63" t="s">
        <v>3612</v>
      </c>
      <c r="E252" s="65" t="s">
        <v>3606</v>
      </c>
      <c r="F252" s="58">
        <v>1</v>
      </c>
      <c r="G252" s="58">
        <f t="shared" si="4"/>
        <v>1</v>
      </c>
      <c r="H252" s="180">
        <f t="shared" si="5"/>
        <v>1</v>
      </c>
      <c r="I252" s="58"/>
    </row>
    <row r="253" spans="1:9" ht="20.100000000000001" customHeight="1">
      <c r="A253" s="59"/>
      <c r="B253" s="64" t="s">
        <v>3610</v>
      </c>
      <c r="C253" s="64" t="s">
        <v>3618</v>
      </c>
      <c r="D253" s="63" t="s">
        <v>3612</v>
      </c>
      <c r="E253" s="65" t="s">
        <v>3606</v>
      </c>
      <c r="F253" s="58">
        <v>1</v>
      </c>
      <c r="G253" s="58">
        <f t="shared" si="4"/>
        <v>1</v>
      </c>
      <c r="H253" s="180">
        <f t="shared" si="5"/>
        <v>1</v>
      </c>
      <c r="I253" s="58"/>
    </row>
    <row r="254" spans="1:9" ht="20.100000000000001" customHeight="1">
      <c r="A254" s="59"/>
      <c r="B254" s="64" t="s">
        <v>3610</v>
      </c>
      <c r="C254" s="64" t="s">
        <v>3619</v>
      </c>
      <c r="D254" s="63" t="s">
        <v>3612</v>
      </c>
      <c r="E254" s="65" t="s">
        <v>3606</v>
      </c>
      <c r="F254" s="58">
        <v>1</v>
      </c>
      <c r="G254" s="58">
        <f t="shared" si="4"/>
        <v>1</v>
      </c>
      <c r="H254" s="180">
        <f t="shared" si="5"/>
        <v>1</v>
      </c>
      <c r="I254" s="58"/>
    </row>
    <row r="255" spans="1:9" ht="20.100000000000001" customHeight="1">
      <c r="A255" s="59"/>
      <c r="B255" s="64" t="s">
        <v>3610</v>
      </c>
      <c r="C255" s="64" t="s">
        <v>3615</v>
      </c>
      <c r="D255" s="63" t="s">
        <v>3612</v>
      </c>
      <c r="E255" s="65" t="s">
        <v>3606</v>
      </c>
      <c r="F255" s="58">
        <v>1</v>
      </c>
      <c r="G255" s="58">
        <f t="shared" si="4"/>
        <v>1</v>
      </c>
      <c r="H255" s="180">
        <f t="shared" si="5"/>
        <v>1</v>
      </c>
      <c r="I255" s="58"/>
    </row>
    <row r="256" spans="1:9" ht="20.100000000000001" customHeight="1">
      <c r="A256" s="59"/>
      <c r="B256" s="64" t="s">
        <v>3610</v>
      </c>
      <c r="C256" s="64" t="s">
        <v>3620</v>
      </c>
      <c r="D256" s="63" t="s">
        <v>3612</v>
      </c>
      <c r="E256" s="65" t="s">
        <v>3606</v>
      </c>
      <c r="F256" s="58">
        <v>1</v>
      </c>
      <c r="G256" s="58">
        <f t="shared" si="4"/>
        <v>1</v>
      </c>
      <c r="H256" s="180">
        <f t="shared" si="5"/>
        <v>1</v>
      </c>
      <c r="I256" s="58"/>
    </row>
    <row r="257" spans="1:9" ht="20.100000000000001" customHeight="1">
      <c r="A257" s="59"/>
      <c r="B257" s="64" t="s">
        <v>3610</v>
      </c>
      <c r="C257" s="64" t="s">
        <v>3621</v>
      </c>
      <c r="D257" s="63" t="s">
        <v>3612</v>
      </c>
      <c r="E257" s="65" t="s">
        <v>3606</v>
      </c>
      <c r="F257" s="58">
        <v>1</v>
      </c>
      <c r="G257" s="58">
        <f t="shared" si="4"/>
        <v>1</v>
      </c>
      <c r="H257" s="180">
        <f t="shared" si="5"/>
        <v>1</v>
      </c>
      <c r="I257" s="58"/>
    </row>
    <row r="258" spans="1:9" ht="20.100000000000001" customHeight="1">
      <c r="A258" s="59"/>
      <c r="B258" s="64" t="s">
        <v>3610</v>
      </c>
      <c r="C258" s="64" t="s">
        <v>3622</v>
      </c>
      <c r="D258" s="63" t="s">
        <v>3612</v>
      </c>
      <c r="E258" s="65" t="s">
        <v>3606</v>
      </c>
      <c r="F258" s="58">
        <v>1</v>
      </c>
      <c r="G258" s="58">
        <f t="shared" si="4"/>
        <v>1</v>
      </c>
      <c r="H258" s="180">
        <f t="shared" si="5"/>
        <v>1</v>
      </c>
      <c r="I258" s="58"/>
    </row>
    <row r="259" spans="1:9" ht="20.100000000000001" customHeight="1">
      <c r="A259" s="59"/>
      <c r="B259" s="64" t="s">
        <v>3610</v>
      </c>
      <c r="C259" s="64" t="s">
        <v>3623</v>
      </c>
      <c r="D259" s="63" t="s">
        <v>3612</v>
      </c>
      <c r="E259" s="65" t="s">
        <v>3606</v>
      </c>
      <c r="F259" s="58">
        <v>1</v>
      </c>
      <c r="G259" s="58">
        <f t="shared" si="4"/>
        <v>1</v>
      </c>
      <c r="H259" s="180">
        <f t="shared" si="5"/>
        <v>1</v>
      </c>
      <c r="I259" s="58"/>
    </row>
    <row r="260" spans="1:9" ht="20.100000000000001" customHeight="1">
      <c r="A260" s="59"/>
      <c r="B260" s="64" t="s">
        <v>3610</v>
      </c>
      <c r="C260" s="64" t="s">
        <v>3624</v>
      </c>
      <c r="D260" s="63" t="s">
        <v>3612</v>
      </c>
      <c r="E260" s="65" t="s">
        <v>3606</v>
      </c>
      <c r="F260" s="58">
        <v>1</v>
      </c>
      <c r="G260" s="58">
        <f t="shared" si="4"/>
        <v>1</v>
      </c>
      <c r="H260" s="180">
        <f t="shared" si="5"/>
        <v>1</v>
      </c>
      <c r="I260" s="58"/>
    </row>
    <row r="261" spans="1:9" ht="20.100000000000001" customHeight="1">
      <c r="A261" s="59"/>
      <c r="B261" s="64" t="s">
        <v>3610</v>
      </c>
      <c r="C261" s="64" t="s">
        <v>3625</v>
      </c>
      <c r="D261" s="63" t="s">
        <v>3612</v>
      </c>
      <c r="E261" s="65" t="s">
        <v>3606</v>
      </c>
      <c r="F261" s="58">
        <v>1</v>
      </c>
      <c r="G261" s="58">
        <f t="shared" si="4"/>
        <v>1</v>
      </c>
      <c r="H261" s="180">
        <f t="shared" si="5"/>
        <v>1</v>
      </c>
      <c r="I261" s="58"/>
    </row>
    <row r="262" spans="1:9" ht="20.100000000000001" customHeight="1">
      <c r="A262" s="59"/>
      <c r="B262" s="64" t="s">
        <v>3610</v>
      </c>
      <c r="C262" s="64" t="s">
        <v>3626</v>
      </c>
      <c r="D262" s="63" t="s">
        <v>3627</v>
      </c>
      <c r="E262" s="65" t="s">
        <v>3606</v>
      </c>
      <c r="F262" s="58">
        <v>1</v>
      </c>
      <c r="G262" s="58">
        <f t="shared" si="4"/>
        <v>1</v>
      </c>
      <c r="H262" s="180">
        <f t="shared" si="5"/>
        <v>1</v>
      </c>
      <c r="I262" s="58"/>
    </row>
    <row r="263" spans="1:9" ht="20.100000000000001" customHeight="1">
      <c r="A263" s="59"/>
      <c r="B263" s="64" t="s">
        <v>3610</v>
      </c>
      <c r="C263" s="64" t="s">
        <v>3628</v>
      </c>
      <c r="D263" s="63" t="s">
        <v>3612</v>
      </c>
      <c r="E263" s="65" t="s">
        <v>3606</v>
      </c>
      <c r="F263" s="58">
        <v>1</v>
      </c>
      <c r="G263" s="58">
        <f t="shared" si="4"/>
        <v>1</v>
      </c>
      <c r="H263" s="180">
        <f t="shared" si="5"/>
        <v>1</v>
      </c>
      <c r="I263" s="58"/>
    </row>
    <row r="264" spans="1:9" ht="20.100000000000001" customHeight="1">
      <c r="A264" s="59"/>
      <c r="B264" s="64" t="s">
        <v>3629</v>
      </c>
      <c r="C264" s="64" t="s">
        <v>3630</v>
      </c>
      <c r="D264" s="63" t="s">
        <v>3612</v>
      </c>
      <c r="E264" s="65" t="s">
        <v>3606</v>
      </c>
      <c r="F264" s="58">
        <v>1</v>
      </c>
      <c r="G264" s="58">
        <f t="shared" si="4"/>
        <v>1</v>
      </c>
      <c r="H264" s="180">
        <f t="shared" si="5"/>
        <v>1</v>
      </c>
      <c r="I264" s="58"/>
    </row>
    <row r="265" spans="1:9" ht="20.100000000000001" customHeight="1">
      <c r="A265" s="59"/>
      <c r="B265" s="64" t="s">
        <v>3610</v>
      </c>
      <c r="C265" s="64" t="s">
        <v>3631</v>
      </c>
      <c r="D265" s="63" t="s">
        <v>3632</v>
      </c>
      <c r="E265" s="65" t="s">
        <v>2673</v>
      </c>
      <c r="F265" s="58">
        <v>1</v>
      </c>
      <c r="G265" s="58">
        <f t="shared" si="4"/>
        <v>1</v>
      </c>
      <c r="H265" s="180">
        <f t="shared" si="5"/>
        <v>1</v>
      </c>
      <c r="I265" s="58"/>
    </row>
    <row r="266" spans="1:9" ht="20.100000000000001" customHeight="1">
      <c r="A266" s="59"/>
      <c r="B266" s="64" t="s">
        <v>3633</v>
      </c>
      <c r="C266" s="64" t="s">
        <v>3634</v>
      </c>
      <c r="D266" s="63" t="s">
        <v>3632</v>
      </c>
      <c r="E266" s="65" t="s">
        <v>2673</v>
      </c>
      <c r="F266" s="58">
        <v>1</v>
      </c>
      <c r="G266" s="58">
        <f t="shared" si="4"/>
        <v>1</v>
      </c>
      <c r="H266" s="180">
        <f t="shared" si="5"/>
        <v>1</v>
      </c>
      <c r="I266" s="58"/>
    </row>
    <row r="267" spans="1:9" ht="20.100000000000001" customHeight="1">
      <c r="A267" s="59"/>
      <c r="B267" s="64" t="s">
        <v>3633</v>
      </c>
      <c r="C267" s="64" t="s">
        <v>3635</v>
      </c>
      <c r="D267" s="63" t="s">
        <v>3636</v>
      </c>
      <c r="E267" s="65" t="s">
        <v>2673</v>
      </c>
      <c r="F267" s="58">
        <v>1</v>
      </c>
      <c r="G267" s="58">
        <f t="shared" si="4"/>
        <v>1</v>
      </c>
      <c r="H267" s="180">
        <f t="shared" si="5"/>
        <v>1</v>
      </c>
      <c r="I267" s="58"/>
    </row>
    <row r="268" spans="1:9" ht="20.100000000000001" customHeight="1">
      <c r="A268" s="59"/>
      <c r="B268" s="64" t="s">
        <v>3637</v>
      </c>
      <c r="C268" s="64" t="s">
        <v>3638</v>
      </c>
      <c r="D268" s="63" t="s">
        <v>3636</v>
      </c>
      <c r="E268" s="65" t="s">
        <v>2673</v>
      </c>
      <c r="F268" s="58">
        <v>1</v>
      </c>
      <c r="G268" s="58">
        <f t="shared" si="4"/>
        <v>1</v>
      </c>
      <c r="H268" s="180">
        <f t="shared" si="5"/>
        <v>1</v>
      </c>
      <c r="I268" s="58"/>
    </row>
    <row r="269" spans="1:9" ht="20.100000000000001" customHeight="1">
      <c r="A269" s="59"/>
      <c r="B269" s="64" t="s">
        <v>3637</v>
      </c>
      <c r="C269" s="64" t="s">
        <v>3639</v>
      </c>
      <c r="D269" s="63" t="s">
        <v>3640</v>
      </c>
      <c r="E269" s="65" t="s">
        <v>3641</v>
      </c>
      <c r="F269" s="58">
        <v>1</v>
      </c>
      <c r="G269" s="58">
        <f t="shared" si="4"/>
        <v>1</v>
      </c>
      <c r="H269" s="180">
        <f t="shared" si="5"/>
        <v>1</v>
      </c>
      <c r="I269" s="58"/>
    </row>
    <row r="270" spans="1:9" ht="20.100000000000001" customHeight="1">
      <c r="A270" s="59"/>
      <c r="B270" s="64" t="s">
        <v>3642</v>
      </c>
      <c r="C270" s="64" t="s">
        <v>3643</v>
      </c>
      <c r="D270" s="63" t="s">
        <v>3644</v>
      </c>
      <c r="E270" s="65" t="s">
        <v>3645</v>
      </c>
      <c r="F270" s="58">
        <v>1</v>
      </c>
      <c r="G270" s="58">
        <f t="shared" si="4"/>
        <v>1</v>
      </c>
      <c r="H270" s="180">
        <f t="shared" si="5"/>
        <v>1</v>
      </c>
      <c r="I270" s="58"/>
    </row>
    <row r="271" spans="1:9" ht="20.100000000000001" customHeight="1">
      <c r="A271" s="59"/>
      <c r="B271" s="64" t="s">
        <v>3629</v>
      </c>
      <c r="C271" s="64" t="s">
        <v>3643</v>
      </c>
      <c r="D271" s="63" t="s">
        <v>3644</v>
      </c>
      <c r="E271" s="65" t="s">
        <v>3641</v>
      </c>
      <c r="F271" s="58">
        <v>1</v>
      </c>
      <c r="G271" s="58">
        <f t="shared" si="4"/>
        <v>1</v>
      </c>
      <c r="H271" s="180">
        <f t="shared" si="5"/>
        <v>1</v>
      </c>
      <c r="I271" s="58"/>
    </row>
    <row r="272" spans="1:9" ht="20.100000000000001" customHeight="1">
      <c r="A272" s="59"/>
      <c r="B272" s="64" t="s">
        <v>3637</v>
      </c>
      <c r="C272" s="64" t="s">
        <v>3646</v>
      </c>
      <c r="D272" s="63" t="s">
        <v>3632</v>
      </c>
      <c r="E272" s="65" t="s">
        <v>3641</v>
      </c>
      <c r="F272" s="58">
        <v>1</v>
      </c>
      <c r="G272" s="58">
        <f t="shared" si="4"/>
        <v>1</v>
      </c>
      <c r="H272" s="180">
        <f t="shared" si="5"/>
        <v>1</v>
      </c>
      <c r="I272" s="58"/>
    </row>
    <row r="273" spans="1:9" ht="20.100000000000001" customHeight="1">
      <c r="A273" s="59"/>
      <c r="B273" s="64" t="s">
        <v>3642</v>
      </c>
      <c r="C273" s="64" t="s">
        <v>3643</v>
      </c>
      <c r="D273" s="63" t="s">
        <v>3644</v>
      </c>
      <c r="E273" s="65" t="s">
        <v>3645</v>
      </c>
      <c r="F273" s="58">
        <v>1</v>
      </c>
      <c r="G273" s="58">
        <f t="shared" si="4"/>
        <v>1</v>
      </c>
      <c r="H273" s="180">
        <f t="shared" si="5"/>
        <v>1</v>
      </c>
      <c r="I273" s="58"/>
    </row>
    <row r="274" spans="1:9" ht="20.100000000000001" customHeight="1">
      <c r="A274" s="59"/>
      <c r="B274" s="64" t="s">
        <v>3629</v>
      </c>
      <c r="C274" s="64" t="s">
        <v>3647</v>
      </c>
      <c r="D274" s="63" t="s">
        <v>3644</v>
      </c>
      <c r="E274" s="65" t="s">
        <v>3641</v>
      </c>
      <c r="F274" s="58">
        <v>1</v>
      </c>
      <c r="G274" s="58">
        <f t="shared" si="4"/>
        <v>1</v>
      </c>
      <c r="H274" s="180">
        <f t="shared" si="5"/>
        <v>1</v>
      </c>
      <c r="I274" s="58"/>
    </row>
    <row r="275" spans="1:9" ht="20.100000000000001" customHeight="1">
      <c r="A275" s="59"/>
      <c r="B275" s="64" t="s">
        <v>3629</v>
      </c>
      <c r="C275" s="91" t="s">
        <v>3706</v>
      </c>
      <c r="D275" s="63" t="s">
        <v>3644</v>
      </c>
      <c r="E275" s="65" t="s">
        <v>3641</v>
      </c>
      <c r="F275" s="58">
        <v>1</v>
      </c>
      <c r="G275" s="58">
        <f t="shared" si="4"/>
        <v>1</v>
      </c>
      <c r="H275" s="180">
        <f t="shared" si="5"/>
        <v>1</v>
      </c>
      <c r="I275" s="58"/>
    </row>
    <row r="276" spans="1:9" ht="20.100000000000001" customHeight="1">
      <c r="A276" s="59"/>
      <c r="B276" s="64" t="s">
        <v>3629</v>
      </c>
      <c r="C276" s="64" t="s">
        <v>3689</v>
      </c>
      <c r="D276" s="63" t="s">
        <v>3644</v>
      </c>
      <c r="E276" s="65" t="s">
        <v>3641</v>
      </c>
      <c r="F276" s="58">
        <v>1</v>
      </c>
      <c r="G276" s="58">
        <f t="shared" si="4"/>
        <v>1</v>
      </c>
      <c r="H276" s="180">
        <f t="shared" si="5"/>
        <v>1</v>
      </c>
      <c r="I276" s="58"/>
    </row>
    <row r="277" spans="1:9" ht="20.100000000000001" customHeight="1">
      <c r="A277" s="59"/>
      <c r="B277" s="64" t="s">
        <v>3629</v>
      </c>
      <c r="C277" s="64" t="s">
        <v>3690</v>
      </c>
      <c r="D277" s="63" t="s">
        <v>3644</v>
      </c>
      <c r="E277" s="65" t="s">
        <v>3641</v>
      </c>
      <c r="F277" s="58">
        <v>1</v>
      </c>
      <c r="G277" s="58">
        <f t="shared" si="4"/>
        <v>1</v>
      </c>
      <c r="H277" s="180">
        <f t="shared" si="5"/>
        <v>1</v>
      </c>
      <c r="I277" s="58"/>
    </row>
    <row r="278" spans="1:9" ht="20.100000000000001" customHeight="1">
      <c r="A278" s="59"/>
      <c r="B278" s="64" t="s">
        <v>3629</v>
      </c>
      <c r="C278" s="64" t="s">
        <v>3691</v>
      </c>
      <c r="D278" s="63" t="s">
        <v>3644</v>
      </c>
      <c r="E278" s="65" t="s">
        <v>3641</v>
      </c>
      <c r="F278" s="58">
        <v>1</v>
      </c>
      <c r="G278" s="58">
        <f t="shared" ref="G278:G292" si="6">F278</f>
        <v>1</v>
      </c>
      <c r="H278" s="180">
        <f t="shared" ref="H278:H292" si="7">G278</f>
        <v>1</v>
      </c>
      <c r="I278" s="58"/>
    </row>
    <row r="279" spans="1:9" ht="20.100000000000001" customHeight="1">
      <c r="A279" s="59"/>
      <c r="B279" s="64" t="s">
        <v>3629</v>
      </c>
      <c r="C279" s="64" t="s">
        <v>3692</v>
      </c>
      <c r="D279" s="63" t="s">
        <v>3644</v>
      </c>
      <c r="E279" s="65" t="s">
        <v>3641</v>
      </c>
      <c r="F279" s="58">
        <v>1</v>
      </c>
      <c r="G279" s="58">
        <f t="shared" si="6"/>
        <v>1</v>
      </c>
      <c r="H279" s="180">
        <f t="shared" si="7"/>
        <v>1</v>
      </c>
      <c r="I279" s="58"/>
    </row>
    <row r="280" spans="1:9" ht="20.100000000000001" customHeight="1">
      <c r="A280" s="59"/>
      <c r="B280" s="64" t="s">
        <v>3629</v>
      </c>
      <c r="C280" s="64" t="s">
        <v>3693</v>
      </c>
      <c r="D280" s="63" t="s">
        <v>3644</v>
      </c>
      <c r="E280" s="65" t="s">
        <v>3641</v>
      </c>
      <c r="F280" s="58">
        <v>1</v>
      </c>
      <c r="G280" s="58">
        <f t="shared" si="6"/>
        <v>1</v>
      </c>
      <c r="H280" s="180">
        <f t="shared" si="7"/>
        <v>1</v>
      </c>
      <c r="I280" s="58"/>
    </row>
    <row r="281" spans="1:9" ht="20.100000000000001" customHeight="1">
      <c r="A281" s="59"/>
      <c r="B281" s="64" t="s">
        <v>3629</v>
      </c>
      <c r="C281" s="64" t="s">
        <v>3694</v>
      </c>
      <c r="D281" s="63" t="s">
        <v>3644</v>
      </c>
      <c r="E281" s="65" t="s">
        <v>3641</v>
      </c>
      <c r="F281" s="58">
        <v>1</v>
      </c>
      <c r="G281" s="58">
        <f t="shared" si="6"/>
        <v>1</v>
      </c>
      <c r="H281" s="180">
        <f t="shared" si="7"/>
        <v>1</v>
      </c>
      <c r="I281" s="58"/>
    </row>
    <row r="282" spans="1:9" ht="20.100000000000001" customHeight="1">
      <c r="A282" s="59"/>
      <c r="B282" s="64" t="s">
        <v>3629</v>
      </c>
      <c r="C282" s="64" t="s">
        <v>3698</v>
      </c>
      <c r="D282" s="63" t="s">
        <v>3644</v>
      </c>
      <c r="E282" s="65" t="s">
        <v>3641</v>
      </c>
      <c r="F282" s="58">
        <v>1</v>
      </c>
      <c r="G282" s="58">
        <f t="shared" si="6"/>
        <v>1</v>
      </c>
      <c r="H282" s="180">
        <f t="shared" si="7"/>
        <v>1</v>
      </c>
      <c r="I282" s="58"/>
    </row>
    <row r="283" spans="1:9" ht="20.100000000000001" customHeight="1">
      <c r="A283" s="59"/>
      <c r="B283" s="64" t="s">
        <v>3629</v>
      </c>
      <c r="C283" s="64" t="s">
        <v>3695</v>
      </c>
      <c r="D283" s="63" t="s">
        <v>3644</v>
      </c>
      <c r="E283" s="65" t="s">
        <v>3641</v>
      </c>
      <c r="F283" s="58">
        <v>1</v>
      </c>
      <c r="G283" s="58">
        <f t="shared" si="6"/>
        <v>1</v>
      </c>
      <c r="H283" s="180">
        <f t="shared" si="7"/>
        <v>1</v>
      </c>
      <c r="I283" s="58"/>
    </row>
    <row r="284" spans="1:9" ht="20.100000000000001" customHeight="1">
      <c r="A284" s="59"/>
      <c r="B284" s="64" t="s">
        <v>3629</v>
      </c>
      <c r="C284" s="64" t="s">
        <v>3696</v>
      </c>
      <c r="D284" s="63" t="s">
        <v>3644</v>
      </c>
      <c r="E284" s="65" t="s">
        <v>3641</v>
      </c>
      <c r="F284" s="58">
        <v>1</v>
      </c>
      <c r="G284" s="58">
        <f t="shared" si="6"/>
        <v>1</v>
      </c>
      <c r="H284" s="180">
        <f t="shared" si="7"/>
        <v>1</v>
      </c>
      <c r="I284" s="58"/>
    </row>
    <row r="285" spans="1:9" ht="20.100000000000001" customHeight="1">
      <c r="A285" s="59"/>
      <c r="B285" s="64" t="s">
        <v>3629</v>
      </c>
      <c r="C285" s="64" t="s">
        <v>3697</v>
      </c>
      <c r="D285" s="63" t="s">
        <v>3644</v>
      </c>
      <c r="E285" s="65" t="s">
        <v>3641</v>
      </c>
      <c r="F285" s="58">
        <v>1</v>
      </c>
      <c r="G285" s="58">
        <f t="shared" si="6"/>
        <v>1</v>
      </c>
      <c r="H285" s="180">
        <f t="shared" si="7"/>
        <v>1</v>
      </c>
      <c r="I285" s="58"/>
    </row>
    <row r="286" spans="1:9" ht="20.100000000000001" customHeight="1">
      <c r="A286" s="59"/>
      <c r="B286" s="64" t="s">
        <v>3629</v>
      </c>
      <c r="C286" s="64" t="s">
        <v>3699</v>
      </c>
      <c r="D286" s="63" t="s">
        <v>3644</v>
      </c>
      <c r="E286" s="65" t="s">
        <v>3641</v>
      </c>
      <c r="F286" s="58">
        <v>1</v>
      </c>
      <c r="G286" s="58">
        <f t="shared" si="6"/>
        <v>1</v>
      </c>
      <c r="H286" s="180">
        <f t="shared" si="7"/>
        <v>1</v>
      </c>
      <c r="I286" s="58"/>
    </row>
    <row r="287" spans="1:9" ht="20.100000000000001" customHeight="1">
      <c r="A287" s="59"/>
      <c r="B287" s="64" t="s">
        <v>3629</v>
      </c>
      <c r="C287" s="64" t="s">
        <v>3700</v>
      </c>
      <c r="D287" s="63" t="s">
        <v>3644</v>
      </c>
      <c r="E287" s="65" t="s">
        <v>3641</v>
      </c>
      <c r="F287" s="58">
        <v>1</v>
      </c>
      <c r="G287" s="58">
        <f t="shared" si="6"/>
        <v>1</v>
      </c>
      <c r="H287" s="180">
        <f t="shared" si="7"/>
        <v>1</v>
      </c>
      <c r="I287" s="58"/>
    </row>
    <row r="288" spans="1:9" ht="20.100000000000001" customHeight="1">
      <c r="A288" s="59"/>
      <c r="B288" s="64" t="s">
        <v>3629</v>
      </c>
      <c r="C288" s="64" t="s">
        <v>3701</v>
      </c>
      <c r="D288" s="63" t="s">
        <v>3644</v>
      </c>
      <c r="E288" s="65" t="s">
        <v>3641</v>
      </c>
      <c r="F288" s="58">
        <v>1</v>
      </c>
      <c r="G288" s="58">
        <f t="shared" si="6"/>
        <v>1</v>
      </c>
      <c r="H288" s="180">
        <f t="shared" si="7"/>
        <v>1</v>
      </c>
      <c r="I288" s="58"/>
    </row>
    <row r="289" spans="1:9" ht="20.100000000000001" customHeight="1">
      <c r="A289" s="59"/>
      <c r="B289" s="64" t="s">
        <v>3629</v>
      </c>
      <c r="C289" s="64" t="s">
        <v>3702</v>
      </c>
      <c r="D289" s="63" t="s">
        <v>3644</v>
      </c>
      <c r="E289" s="65" t="s">
        <v>3641</v>
      </c>
      <c r="F289" s="58">
        <v>1</v>
      </c>
      <c r="G289" s="58">
        <f t="shared" si="6"/>
        <v>1</v>
      </c>
      <c r="H289" s="180">
        <f t="shared" si="7"/>
        <v>1</v>
      </c>
      <c r="I289" s="58"/>
    </row>
    <row r="290" spans="1:9" ht="20.100000000000001" customHeight="1">
      <c r="A290" s="59"/>
      <c r="B290" s="64" t="s">
        <v>3629</v>
      </c>
      <c r="C290" s="64" t="s">
        <v>3703</v>
      </c>
      <c r="D290" s="63" t="s">
        <v>3644</v>
      </c>
      <c r="E290" s="65" t="s">
        <v>3641</v>
      </c>
      <c r="F290" s="58">
        <v>1</v>
      </c>
      <c r="G290" s="58">
        <f t="shared" si="6"/>
        <v>1</v>
      </c>
      <c r="H290" s="180">
        <f t="shared" si="7"/>
        <v>1</v>
      </c>
      <c r="I290" s="58"/>
    </row>
    <row r="291" spans="1:9" ht="20.100000000000001" customHeight="1">
      <c r="A291" s="59"/>
      <c r="B291" s="64" t="s">
        <v>3629</v>
      </c>
      <c r="C291" s="64" t="s">
        <v>3704</v>
      </c>
      <c r="D291" s="63" t="s">
        <v>3644</v>
      </c>
      <c r="E291" s="65" t="s">
        <v>3641</v>
      </c>
      <c r="F291" s="58">
        <v>1</v>
      </c>
      <c r="G291" s="58">
        <f t="shared" si="6"/>
        <v>1</v>
      </c>
      <c r="H291" s="180">
        <f t="shared" si="7"/>
        <v>1</v>
      </c>
      <c r="I291" s="58"/>
    </row>
    <row r="292" spans="1:9" ht="20.100000000000001" customHeight="1">
      <c r="A292" s="59"/>
      <c r="B292" s="64" t="s">
        <v>3629</v>
      </c>
      <c r="C292" s="64" t="s">
        <v>3705</v>
      </c>
      <c r="D292" s="63" t="s">
        <v>3644</v>
      </c>
      <c r="E292" s="65" t="s">
        <v>3641</v>
      </c>
      <c r="F292" s="58">
        <v>1</v>
      </c>
      <c r="G292" s="58">
        <f t="shared" si="6"/>
        <v>1</v>
      </c>
      <c r="H292" s="180">
        <f t="shared" si="7"/>
        <v>1</v>
      </c>
      <c r="I292" s="58"/>
    </row>
    <row r="293" spans="1:9" ht="20.100000000000001" customHeight="1">
      <c r="A293" s="94"/>
      <c r="B293" s="95" t="s">
        <v>2598</v>
      </c>
      <c r="C293" s="172" t="s">
        <v>3755</v>
      </c>
      <c r="D293" s="93" t="s">
        <v>2568</v>
      </c>
      <c r="E293" s="92"/>
      <c r="F293" s="173">
        <v>4</v>
      </c>
      <c r="G293" s="92">
        <f t="shared" ref="G293:G313" si="8">F293</f>
        <v>4</v>
      </c>
      <c r="H293" s="180">
        <f t="shared" ref="H293:H313" si="9">G293</f>
        <v>4</v>
      </c>
      <c r="I293" s="65"/>
    </row>
    <row r="294" spans="1:9" ht="20.100000000000001" customHeight="1">
      <c r="A294" s="94"/>
      <c r="B294" s="95" t="s">
        <v>2598</v>
      </c>
      <c r="C294" s="172" t="s">
        <v>2607</v>
      </c>
      <c r="D294" s="93" t="s">
        <v>2568</v>
      </c>
      <c r="E294" s="92"/>
      <c r="F294" s="173">
        <v>1</v>
      </c>
      <c r="G294" s="92">
        <f t="shared" si="8"/>
        <v>1</v>
      </c>
      <c r="H294" s="180">
        <f t="shared" si="9"/>
        <v>1</v>
      </c>
      <c r="I294" s="65"/>
    </row>
    <row r="295" spans="1:9" ht="20.100000000000001" customHeight="1">
      <c r="A295" s="94"/>
      <c r="B295" s="95" t="s">
        <v>2598</v>
      </c>
      <c r="C295" s="172" t="s">
        <v>2606</v>
      </c>
      <c r="D295" s="93" t="s">
        <v>2568</v>
      </c>
      <c r="E295" s="92"/>
      <c r="F295" s="173">
        <v>8</v>
      </c>
      <c r="G295" s="92">
        <f t="shared" si="8"/>
        <v>8</v>
      </c>
      <c r="H295" s="180">
        <f t="shared" si="9"/>
        <v>8</v>
      </c>
      <c r="I295" s="65"/>
    </row>
    <row r="296" spans="1:9" ht="20.100000000000001" customHeight="1">
      <c r="A296" s="94"/>
      <c r="B296" s="95" t="s">
        <v>2598</v>
      </c>
      <c r="C296" s="172" t="s">
        <v>2593</v>
      </c>
      <c r="D296" s="93" t="s">
        <v>2568</v>
      </c>
      <c r="E296" s="92"/>
      <c r="F296" s="173">
        <v>1</v>
      </c>
      <c r="G296" s="92">
        <f t="shared" si="8"/>
        <v>1</v>
      </c>
      <c r="H296" s="180">
        <f t="shared" si="9"/>
        <v>1</v>
      </c>
      <c r="I296" s="65"/>
    </row>
    <row r="297" spans="1:9" ht="20.100000000000001" customHeight="1">
      <c r="A297" s="94"/>
      <c r="B297" s="95" t="s">
        <v>2598</v>
      </c>
      <c r="C297" s="172" t="s">
        <v>2605</v>
      </c>
      <c r="D297" s="93" t="s">
        <v>2568</v>
      </c>
      <c r="E297" s="92"/>
      <c r="F297" s="173">
        <v>7</v>
      </c>
      <c r="G297" s="92">
        <f t="shared" si="8"/>
        <v>7</v>
      </c>
      <c r="H297" s="180">
        <f t="shared" si="9"/>
        <v>7</v>
      </c>
      <c r="I297" s="65"/>
    </row>
    <row r="298" spans="1:9" ht="20.100000000000001" customHeight="1">
      <c r="A298" s="94"/>
      <c r="B298" s="95" t="s">
        <v>2598</v>
      </c>
      <c r="C298" s="172" t="s">
        <v>2604</v>
      </c>
      <c r="D298" s="93" t="s">
        <v>2568</v>
      </c>
      <c r="E298" s="92"/>
      <c r="F298" s="173">
        <v>8</v>
      </c>
      <c r="G298" s="92">
        <f t="shared" si="8"/>
        <v>8</v>
      </c>
      <c r="H298" s="180">
        <f t="shared" si="9"/>
        <v>8</v>
      </c>
      <c r="I298" s="65"/>
    </row>
    <row r="299" spans="1:9" ht="20.100000000000001" customHeight="1">
      <c r="A299" s="94"/>
      <c r="B299" s="95" t="s">
        <v>2598</v>
      </c>
      <c r="C299" s="172" t="s">
        <v>3756</v>
      </c>
      <c r="D299" s="93" t="s">
        <v>2568</v>
      </c>
      <c r="E299" s="92"/>
      <c r="F299" s="173">
        <v>3</v>
      </c>
      <c r="G299" s="92">
        <f t="shared" si="8"/>
        <v>3</v>
      </c>
      <c r="H299" s="180">
        <f t="shared" si="9"/>
        <v>3</v>
      </c>
      <c r="I299" s="65"/>
    </row>
    <row r="300" spans="1:9" ht="20.100000000000001" customHeight="1">
      <c r="A300" s="94"/>
      <c r="B300" s="95" t="s">
        <v>2598</v>
      </c>
      <c r="C300" s="172" t="s">
        <v>2973</v>
      </c>
      <c r="D300" s="93" t="s">
        <v>2568</v>
      </c>
      <c r="E300" s="92"/>
      <c r="F300" s="173">
        <v>6</v>
      </c>
      <c r="G300" s="92">
        <f t="shared" si="8"/>
        <v>6</v>
      </c>
      <c r="H300" s="180">
        <f t="shared" si="9"/>
        <v>6</v>
      </c>
      <c r="I300" s="65"/>
    </row>
    <row r="301" spans="1:9" ht="20.100000000000001" customHeight="1">
      <c r="A301" s="94"/>
      <c r="B301" s="95" t="s">
        <v>2598</v>
      </c>
      <c r="C301" s="172" t="s">
        <v>3751</v>
      </c>
      <c r="D301" s="93" t="s">
        <v>2568</v>
      </c>
      <c r="E301" s="92"/>
      <c r="F301" s="173">
        <v>8</v>
      </c>
      <c r="G301" s="92">
        <f t="shared" si="8"/>
        <v>8</v>
      </c>
      <c r="H301" s="180">
        <f t="shared" si="9"/>
        <v>8</v>
      </c>
      <c r="I301" s="65"/>
    </row>
    <row r="302" spans="1:9" ht="20.100000000000001" customHeight="1">
      <c r="A302" s="94"/>
      <c r="B302" s="95" t="s">
        <v>2598</v>
      </c>
      <c r="C302" s="172" t="s">
        <v>3752</v>
      </c>
      <c r="D302" s="93" t="s">
        <v>2568</v>
      </c>
      <c r="E302" s="92"/>
      <c r="F302" s="173">
        <v>24</v>
      </c>
      <c r="G302" s="92">
        <f t="shared" si="8"/>
        <v>24</v>
      </c>
      <c r="H302" s="180">
        <f t="shared" si="9"/>
        <v>24</v>
      </c>
      <c r="I302" s="65"/>
    </row>
    <row r="303" spans="1:9" ht="20.100000000000001" customHeight="1">
      <c r="A303" s="94"/>
      <c r="B303" s="95" t="s">
        <v>2598</v>
      </c>
      <c r="C303" s="172" t="s">
        <v>3753</v>
      </c>
      <c r="D303" s="93" t="s">
        <v>2568</v>
      </c>
      <c r="E303" s="92"/>
      <c r="F303" s="173">
        <v>4</v>
      </c>
      <c r="G303" s="92">
        <f t="shared" si="8"/>
        <v>4</v>
      </c>
      <c r="H303" s="180">
        <f t="shared" si="9"/>
        <v>4</v>
      </c>
      <c r="I303" s="65"/>
    </row>
    <row r="304" spans="1:9" ht="20.100000000000001" customHeight="1">
      <c r="A304" s="94"/>
      <c r="B304" s="95" t="s">
        <v>2598</v>
      </c>
      <c r="C304" s="172" t="s">
        <v>2976</v>
      </c>
      <c r="D304" s="93" t="s">
        <v>2568</v>
      </c>
      <c r="E304" s="92"/>
      <c r="F304" s="173">
        <v>4</v>
      </c>
      <c r="G304" s="92">
        <f t="shared" si="8"/>
        <v>4</v>
      </c>
      <c r="H304" s="180">
        <f t="shared" si="9"/>
        <v>4</v>
      </c>
      <c r="I304" s="65"/>
    </row>
    <row r="305" spans="1:9" ht="20.100000000000001" customHeight="1">
      <c r="A305" s="94"/>
      <c r="B305" s="95" t="s">
        <v>2598</v>
      </c>
      <c r="C305" s="172" t="s">
        <v>2975</v>
      </c>
      <c r="D305" s="93" t="s">
        <v>2568</v>
      </c>
      <c r="E305" s="92"/>
      <c r="F305" s="173">
        <v>2</v>
      </c>
      <c r="G305" s="92">
        <f t="shared" si="8"/>
        <v>2</v>
      </c>
      <c r="H305" s="180">
        <f t="shared" si="9"/>
        <v>2</v>
      </c>
      <c r="I305" s="65"/>
    </row>
    <row r="306" spans="1:9" ht="20.100000000000001" customHeight="1">
      <c r="A306" s="94"/>
      <c r="B306" s="95" t="s">
        <v>2598</v>
      </c>
      <c r="C306" s="172" t="s">
        <v>2603</v>
      </c>
      <c r="D306" s="93" t="s">
        <v>2568</v>
      </c>
      <c r="E306" s="92"/>
      <c r="F306" s="173">
        <v>7</v>
      </c>
      <c r="G306" s="92">
        <f t="shared" si="8"/>
        <v>7</v>
      </c>
      <c r="H306" s="180">
        <f t="shared" si="9"/>
        <v>7</v>
      </c>
      <c r="I306" s="65"/>
    </row>
    <row r="307" spans="1:9" ht="20.100000000000001" customHeight="1">
      <c r="A307" s="94"/>
      <c r="B307" s="95" t="s">
        <v>2598</v>
      </c>
      <c r="C307" s="172" t="s">
        <v>3757</v>
      </c>
      <c r="D307" s="93" t="s">
        <v>2568</v>
      </c>
      <c r="E307" s="92"/>
      <c r="F307" s="173">
        <v>3</v>
      </c>
      <c r="G307" s="92">
        <f t="shared" si="8"/>
        <v>3</v>
      </c>
      <c r="H307" s="180">
        <f t="shared" si="9"/>
        <v>3</v>
      </c>
      <c r="I307" s="65"/>
    </row>
    <row r="308" spans="1:9" ht="20.100000000000001" customHeight="1">
      <c r="A308" s="94"/>
      <c r="B308" s="95" t="s">
        <v>2598</v>
      </c>
      <c r="C308" s="172" t="s">
        <v>3754</v>
      </c>
      <c r="D308" s="93" t="s">
        <v>2568</v>
      </c>
      <c r="E308" s="92"/>
      <c r="F308" s="173">
        <v>2</v>
      </c>
      <c r="G308" s="92">
        <f t="shared" si="8"/>
        <v>2</v>
      </c>
      <c r="H308" s="180">
        <f t="shared" si="9"/>
        <v>2</v>
      </c>
      <c r="I308" s="65"/>
    </row>
    <row r="309" spans="1:9" ht="20.100000000000001" customHeight="1">
      <c r="A309" s="94"/>
      <c r="B309" s="95" t="s">
        <v>2598</v>
      </c>
      <c r="C309" s="172" t="s">
        <v>3758</v>
      </c>
      <c r="D309" s="93" t="s">
        <v>2568</v>
      </c>
      <c r="E309" s="92"/>
      <c r="F309" s="173">
        <v>5</v>
      </c>
      <c r="G309" s="92">
        <f t="shared" si="8"/>
        <v>5</v>
      </c>
      <c r="H309" s="180">
        <f t="shared" si="9"/>
        <v>5</v>
      </c>
      <c r="I309" s="65"/>
    </row>
    <row r="310" spans="1:9" ht="20.100000000000001" customHeight="1">
      <c r="A310" s="94"/>
      <c r="B310" s="95" t="s">
        <v>2598</v>
      </c>
      <c r="C310" s="172" t="s">
        <v>2600</v>
      </c>
      <c r="D310" s="93" t="s">
        <v>2568</v>
      </c>
      <c r="E310" s="92"/>
      <c r="F310" s="173">
        <v>1</v>
      </c>
      <c r="G310" s="92">
        <f t="shared" si="8"/>
        <v>1</v>
      </c>
      <c r="H310" s="180">
        <f t="shared" si="9"/>
        <v>1</v>
      </c>
      <c r="I310" s="65"/>
    </row>
    <row r="311" spans="1:9" ht="20.100000000000001" customHeight="1">
      <c r="A311" s="94"/>
      <c r="B311" s="95" t="s">
        <v>2598</v>
      </c>
      <c r="C311" s="172" t="s">
        <v>3759</v>
      </c>
      <c r="D311" s="93" t="s">
        <v>2568</v>
      </c>
      <c r="E311" s="92"/>
      <c r="F311" s="173">
        <v>1</v>
      </c>
      <c r="G311" s="92">
        <f t="shared" si="8"/>
        <v>1</v>
      </c>
      <c r="H311" s="180">
        <f t="shared" si="9"/>
        <v>1</v>
      </c>
      <c r="I311" s="65"/>
    </row>
    <row r="312" spans="1:9" ht="20.100000000000001" customHeight="1">
      <c r="A312" s="94"/>
      <c r="B312" s="95" t="s">
        <v>2598</v>
      </c>
      <c r="C312" s="172" t="s">
        <v>2599</v>
      </c>
      <c r="D312" s="93" t="s">
        <v>2568</v>
      </c>
      <c r="E312" s="92"/>
      <c r="F312" s="173">
        <v>3</v>
      </c>
      <c r="G312" s="92">
        <f t="shared" si="8"/>
        <v>3</v>
      </c>
      <c r="H312" s="180">
        <f t="shared" si="9"/>
        <v>3</v>
      </c>
      <c r="I312" s="65"/>
    </row>
    <row r="313" spans="1:9" ht="20.100000000000001" customHeight="1">
      <c r="A313" s="94"/>
      <c r="B313" s="95" t="s">
        <v>2598</v>
      </c>
      <c r="C313" s="172" t="s">
        <v>2597</v>
      </c>
      <c r="D313" s="93" t="s">
        <v>2568</v>
      </c>
      <c r="E313" s="92"/>
      <c r="F313" s="173">
        <v>1</v>
      </c>
      <c r="G313" s="92">
        <f t="shared" si="8"/>
        <v>1</v>
      </c>
      <c r="H313" s="180">
        <f t="shared" si="9"/>
        <v>1</v>
      </c>
      <c r="I313" s="65"/>
    </row>
    <row r="314" spans="1:9" ht="20.100000000000001" customHeight="1">
      <c r="A314" s="94"/>
      <c r="B314" s="95" t="s">
        <v>2585</v>
      </c>
      <c r="C314" s="95" t="s">
        <v>3761</v>
      </c>
      <c r="D314" s="93" t="s">
        <v>2568</v>
      </c>
      <c r="E314" s="92"/>
      <c r="F314" s="92">
        <v>4</v>
      </c>
      <c r="G314" s="92">
        <f t="shared" ref="G314:G316" si="10">F314</f>
        <v>4</v>
      </c>
      <c r="H314" s="180">
        <f t="shared" ref="H314:H316" si="11">G314</f>
        <v>4</v>
      </c>
      <c r="I314" s="65"/>
    </row>
    <row r="315" spans="1:9" ht="20.100000000000001" customHeight="1">
      <c r="A315" s="94"/>
      <c r="B315" s="95" t="s">
        <v>2585</v>
      </c>
      <c r="C315" s="95" t="s">
        <v>3762</v>
      </c>
      <c r="D315" s="93" t="s">
        <v>2568</v>
      </c>
      <c r="E315" s="92"/>
      <c r="F315" s="92">
        <v>1</v>
      </c>
      <c r="G315" s="92">
        <f t="shared" si="10"/>
        <v>1</v>
      </c>
      <c r="H315" s="180">
        <f t="shared" si="11"/>
        <v>1</v>
      </c>
      <c r="I315" s="65"/>
    </row>
    <row r="316" spans="1:9" ht="20.100000000000001" customHeight="1">
      <c r="A316" s="94"/>
      <c r="B316" s="95" t="s">
        <v>2585</v>
      </c>
      <c r="C316" s="95" t="s">
        <v>2594</v>
      </c>
      <c r="D316" s="93" t="s">
        <v>2577</v>
      </c>
      <c r="E316" s="92"/>
      <c r="F316" s="92">
        <v>8</v>
      </c>
      <c r="G316" s="92">
        <f t="shared" si="10"/>
        <v>8</v>
      </c>
      <c r="H316" s="180">
        <f t="shared" si="11"/>
        <v>8</v>
      </c>
      <c r="I316" s="65"/>
    </row>
    <row r="317" spans="1:9" ht="20.100000000000001" customHeight="1">
      <c r="A317" s="94"/>
      <c r="B317" s="95" t="s">
        <v>2585</v>
      </c>
      <c r="C317" s="174" t="s">
        <v>2974</v>
      </c>
      <c r="D317" s="93" t="s">
        <v>2568</v>
      </c>
      <c r="E317" s="92"/>
      <c r="F317" s="98">
        <v>1</v>
      </c>
      <c r="G317" s="92">
        <f t="shared" si="5"/>
        <v>1</v>
      </c>
      <c r="H317" s="180">
        <f t="shared" si="5"/>
        <v>1</v>
      </c>
      <c r="I317" s="65"/>
    </row>
    <row r="318" spans="1:9" ht="20.100000000000001" customHeight="1">
      <c r="A318" s="94"/>
      <c r="B318" s="95" t="s">
        <v>2585</v>
      </c>
      <c r="C318" s="175" t="s">
        <v>3763</v>
      </c>
      <c r="D318" s="93" t="s">
        <v>2568</v>
      </c>
      <c r="E318" s="92"/>
      <c r="F318" s="92">
        <v>1</v>
      </c>
      <c r="G318" s="92">
        <f t="shared" ref="G318:G323" si="12">F318</f>
        <v>1</v>
      </c>
      <c r="H318" s="180">
        <f t="shared" ref="H318:H323" si="13">G318</f>
        <v>1</v>
      </c>
      <c r="I318" s="65"/>
    </row>
    <row r="319" spans="1:9" ht="20.100000000000001" customHeight="1">
      <c r="A319" s="94"/>
      <c r="B319" s="95" t="s">
        <v>2585</v>
      </c>
      <c r="C319" s="175" t="s">
        <v>3764</v>
      </c>
      <c r="D319" s="93" t="s">
        <v>2568</v>
      </c>
      <c r="E319" s="92"/>
      <c r="F319" s="92">
        <v>1</v>
      </c>
      <c r="G319" s="92">
        <f t="shared" si="12"/>
        <v>1</v>
      </c>
      <c r="H319" s="180">
        <f t="shared" si="13"/>
        <v>1</v>
      </c>
      <c r="I319" s="65"/>
    </row>
    <row r="320" spans="1:9" ht="20.100000000000001" customHeight="1">
      <c r="A320" s="94"/>
      <c r="B320" s="95" t="s">
        <v>2585</v>
      </c>
      <c r="C320" s="175" t="s">
        <v>3765</v>
      </c>
      <c r="D320" s="93" t="s">
        <v>2568</v>
      </c>
      <c r="E320" s="92"/>
      <c r="F320" s="92">
        <v>1</v>
      </c>
      <c r="G320" s="92">
        <f t="shared" si="12"/>
        <v>1</v>
      </c>
      <c r="H320" s="180">
        <f t="shared" si="13"/>
        <v>1</v>
      </c>
      <c r="I320" s="65"/>
    </row>
    <row r="321" spans="1:9" ht="20.100000000000001" customHeight="1">
      <c r="A321" s="94"/>
      <c r="B321" s="95" t="s">
        <v>2585</v>
      </c>
      <c r="C321" s="175" t="s">
        <v>2590</v>
      </c>
      <c r="D321" s="93" t="s">
        <v>2568</v>
      </c>
      <c r="E321" s="92"/>
      <c r="F321" s="92">
        <v>7</v>
      </c>
      <c r="G321" s="92">
        <f t="shared" si="12"/>
        <v>7</v>
      </c>
      <c r="H321" s="180">
        <f t="shared" si="13"/>
        <v>7</v>
      </c>
      <c r="I321" s="65"/>
    </row>
    <row r="322" spans="1:9" ht="20.100000000000001" customHeight="1">
      <c r="A322" s="94"/>
      <c r="B322" s="95" t="s">
        <v>2585</v>
      </c>
      <c r="C322" s="175" t="s">
        <v>3766</v>
      </c>
      <c r="D322" s="93" t="s">
        <v>2568</v>
      </c>
      <c r="E322" s="92"/>
      <c r="F322" s="92">
        <v>3</v>
      </c>
      <c r="G322" s="92">
        <f t="shared" si="12"/>
        <v>3</v>
      </c>
      <c r="H322" s="180">
        <f t="shared" si="13"/>
        <v>3</v>
      </c>
      <c r="I322" s="65"/>
    </row>
    <row r="323" spans="1:9" ht="20.100000000000001" customHeight="1">
      <c r="A323" s="94"/>
      <c r="B323" s="95" t="s">
        <v>2585</v>
      </c>
      <c r="C323" s="175" t="s">
        <v>3767</v>
      </c>
      <c r="D323" s="93" t="s">
        <v>2568</v>
      </c>
      <c r="E323" s="92"/>
      <c r="F323" s="92">
        <v>6</v>
      </c>
      <c r="G323" s="92">
        <f t="shared" si="12"/>
        <v>6</v>
      </c>
      <c r="H323" s="180">
        <f t="shared" si="13"/>
        <v>6</v>
      </c>
      <c r="I323" s="65"/>
    </row>
    <row r="324" spans="1:9" ht="20.100000000000001" customHeight="1">
      <c r="A324" s="94"/>
      <c r="B324" s="95" t="s">
        <v>2585</v>
      </c>
      <c r="C324" s="174" t="s">
        <v>2973</v>
      </c>
      <c r="D324" s="93" t="s">
        <v>2577</v>
      </c>
      <c r="E324" s="92"/>
      <c r="F324" s="92">
        <v>1</v>
      </c>
      <c r="G324" s="92">
        <f t="shared" si="5"/>
        <v>1</v>
      </c>
      <c r="H324" s="180">
        <f t="shared" si="5"/>
        <v>1</v>
      </c>
      <c r="I324" s="65"/>
    </row>
    <row r="325" spans="1:9" ht="20.100000000000001" customHeight="1">
      <c r="A325" s="94"/>
      <c r="B325" s="95" t="s">
        <v>2585</v>
      </c>
      <c r="C325" s="95" t="s">
        <v>2960</v>
      </c>
      <c r="D325" s="93" t="s">
        <v>2577</v>
      </c>
      <c r="E325" s="92"/>
      <c r="F325" s="98">
        <v>2</v>
      </c>
      <c r="G325" s="92">
        <f t="shared" si="5"/>
        <v>2</v>
      </c>
      <c r="H325" s="180">
        <f t="shared" si="5"/>
        <v>2</v>
      </c>
      <c r="I325" s="65"/>
    </row>
    <row r="326" spans="1:9" ht="20.100000000000001" customHeight="1">
      <c r="A326" s="94"/>
      <c r="B326" s="95" t="s">
        <v>2585</v>
      </c>
      <c r="C326" s="95" t="s">
        <v>2972</v>
      </c>
      <c r="D326" s="93" t="s">
        <v>2577</v>
      </c>
      <c r="E326" s="92"/>
      <c r="F326" s="98">
        <v>2</v>
      </c>
      <c r="G326" s="92">
        <f t="shared" si="5"/>
        <v>2</v>
      </c>
      <c r="H326" s="180">
        <f t="shared" si="5"/>
        <v>2</v>
      </c>
      <c r="I326" s="65"/>
    </row>
    <row r="327" spans="1:9" ht="20.100000000000001" customHeight="1">
      <c r="A327" s="94"/>
      <c r="B327" s="95" t="s">
        <v>2585</v>
      </c>
      <c r="C327" s="95" t="s">
        <v>2971</v>
      </c>
      <c r="D327" s="93" t="s">
        <v>2577</v>
      </c>
      <c r="E327" s="92"/>
      <c r="F327" s="98">
        <v>5</v>
      </c>
      <c r="G327" s="92">
        <f t="shared" si="5"/>
        <v>5</v>
      </c>
      <c r="H327" s="180">
        <f t="shared" si="5"/>
        <v>5</v>
      </c>
      <c r="I327" s="65"/>
    </row>
    <row r="328" spans="1:9" ht="20.100000000000001" customHeight="1">
      <c r="A328" s="94"/>
      <c r="B328" s="95" t="s">
        <v>2585</v>
      </c>
      <c r="C328" s="95" t="s">
        <v>2970</v>
      </c>
      <c r="D328" s="93" t="s">
        <v>2577</v>
      </c>
      <c r="E328" s="92"/>
      <c r="F328" s="98">
        <v>1</v>
      </c>
      <c r="G328" s="92">
        <f t="shared" si="5"/>
        <v>1</v>
      </c>
      <c r="H328" s="180">
        <f t="shared" si="5"/>
        <v>1</v>
      </c>
      <c r="I328" s="65"/>
    </row>
    <row r="329" spans="1:9" ht="20.100000000000001" customHeight="1">
      <c r="A329" s="94"/>
      <c r="B329" s="95" t="s">
        <v>2585</v>
      </c>
      <c r="C329" s="95" t="s">
        <v>2959</v>
      </c>
      <c r="D329" s="93" t="s">
        <v>2577</v>
      </c>
      <c r="E329" s="92"/>
      <c r="F329" s="98">
        <v>1</v>
      </c>
      <c r="G329" s="92">
        <f t="shared" si="5"/>
        <v>1</v>
      </c>
      <c r="H329" s="180">
        <f t="shared" si="5"/>
        <v>1</v>
      </c>
      <c r="I329" s="65"/>
    </row>
    <row r="330" spans="1:9" ht="20.100000000000001" customHeight="1">
      <c r="A330" s="94"/>
      <c r="B330" s="95" t="s">
        <v>2585</v>
      </c>
      <c r="C330" s="95" t="s">
        <v>3768</v>
      </c>
      <c r="D330" s="93" t="s">
        <v>2568</v>
      </c>
      <c r="E330" s="92"/>
      <c r="F330" s="98">
        <v>1</v>
      </c>
      <c r="G330" s="92">
        <f t="shared" si="5"/>
        <v>1</v>
      </c>
      <c r="H330" s="180">
        <f t="shared" si="5"/>
        <v>1</v>
      </c>
      <c r="I330" s="65"/>
    </row>
    <row r="331" spans="1:9" ht="20.100000000000001" customHeight="1">
      <c r="A331" s="94"/>
      <c r="B331" s="95" t="s">
        <v>2585</v>
      </c>
      <c r="C331" s="95" t="s">
        <v>2969</v>
      </c>
      <c r="D331" s="93" t="s">
        <v>2577</v>
      </c>
      <c r="E331" s="92"/>
      <c r="F331" s="98">
        <v>6</v>
      </c>
      <c r="G331" s="92">
        <f t="shared" si="5"/>
        <v>6</v>
      </c>
      <c r="H331" s="180">
        <f t="shared" si="5"/>
        <v>6</v>
      </c>
      <c r="I331" s="65"/>
    </row>
    <row r="332" spans="1:9" ht="20.100000000000001" customHeight="1">
      <c r="A332" s="94"/>
      <c r="B332" s="95" t="s">
        <v>2585</v>
      </c>
      <c r="C332" s="95" t="s">
        <v>2968</v>
      </c>
      <c r="D332" s="93" t="s">
        <v>2577</v>
      </c>
      <c r="E332" s="92"/>
      <c r="F332" s="98">
        <v>1</v>
      </c>
      <c r="G332" s="92">
        <f t="shared" si="5"/>
        <v>1</v>
      </c>
      <c r="H332" s="180">
        <f t="shared" si="5"/>
        <v>1</v>
      </c>
      <c r="I332" s="65"/>
    </row>
    <row r="333" spans="1:9" ht="20.100000000000001" customHeight="1">
      <c r="A333" s="94"/>
      <c r="B333" s="95" t="s">
        <v>2585</v>
      </c>
      <c r="C333" s="95" t="s">
        <v>2967</v>
      </c>
      <c r="D333" s="93" t="s">
        <v>2577</v>
      </c>
      <c r="E333" s="92"/>
      <c r="F333" s="98">
        <v>4</v>
      </c>
      <c r="G333" s="92">
        <f t="shared" si="5"/>
        <v>4</v>
      </c>
      <c r="H333" s="180">
        <f t="shared" si="5"/>
        <v>4</v>
      </c>
      <c r="I333" s="65"/>
    </row>
    <row r="334" spans="1:9" ht="20.100000000000001" customHeight="1">
      <c r="A334" s="94"/>
      <c r="B334" s="95" t="s">
        <v>2585</v>
      </c>
      <c r="C334" s="95" t="s">
        <v>3769</v>
      </c>
      <c r="D334" s="93" t="s">
        <v>2568</v>
      </c>
      <c r="E334" s="92"/>
      <c r="F334" s="98">
        <v>1</v>
      </c>
      <c r="G334" s="92">
        <f t="shared" si="5"/>
        <v>1</v>
      </c>
      <c r="H334" s="180">
        <f t="shared" si="5"/>
        <v>1</v>
      </c>
      <c r="I334" s="65"/>
    </row>
    <row r="335" spans="1:9" ht="20.100000000000001" customHeight="1">
      <c r="A335" s="94"/>
      <c r="B335" s="95" t="s">
        <v>2585</v>
      </c>
      <c r="C335" s="95" t="s">
        <v>2966</v>
      </c>
      <c r="D335" s="93" t="s">
        <v>2577</v>
      </c>
      <c r="E335" s="92"/>
      <c r="F335" s="98">
        <v>1</v>
      </c>
      <c r="G335" s="92">
        <f t="shared" si="5"/>
        <v>1</v>
      </c>
      <c r="H335" s="180">
        <f t="shared" si="5"/>
        <v>1</v>
      </c>
      <c r="I335" s="65"/>
    </row>
    <row r="336" spans="1:9" ht="20.100000000000001" customHeight="1">
      <c r="A336" s="94"/>
      <c r="B336" s="95" t="s">
        <v>2585</v>
      </c>
      <c r="C336" s="95" t="s">
        <v>2965</v>
      </c>
      <c r="D336" s="93" t="s">
        <v>2577</v>
      </c>
      <c r="E336" s="92"/>
      <c r="F336" s="98">
        <v>3</v>
      </c>
      <c r="G336" s="92">
        <f t="shared" si="5"/>
        <v>3</v>
      </c>
      <c r="H336" s="180">
        <f t="shared" si="5"/>
        <v>3</v>
      </c>
      <c r="I336" s="65"/>
    </row>
    <row r="337" spans="1:9" ht="20.100000000000001" customHeight="1">
      <c r="A337" s="94"/>
      <c r="B337" s="95" t="s">
        <v>2585</v>
      </c>
      <c r="C337" s="95" t="s">
        <v>2964</v>
      </c>
      <c r="D337" s="93" t="s">
        <v>2577</v>
      </c>
      <c r="E337" s="92"/>
      <c r="F337" s="98">
        <v>1</v>
      </c>
      <c r="G337" s="92">
        <f t="shared" si="5"/>
        <v>1</v>
      </c>
      <c r="H337" s="180">
        <f t="shared" si="5"/>
        <v>1</v>
      </c>
      <c r="I337" s="65"/>
    </row>
    <row r="338" spans="1:9" ht="20.100000000000001" customHeight="1">
      <c r="A338" s="94"/>
      <c r="B338" s="95" t="s">
        <v>2585</v>
      </c>
      <c r="C338" s="95" t="s">
        <v>3770</v>
      </c>
      <c r="D338" s="93" t="s">
        <v>2568</v>
      </c>
      <c r="E338" s="92"/>
      <c r="F338" s="98">
        <v>1</v>
      </c>
      <c r="G338" s="92">
        <f t="shared" si="5"/>
        <v>1</v>
      </c>
      <c r="H338" s="180">
        <f t="shared" si="5"/>
        <v>1</v>
      </c>
      <c r="I338" s="65"/>
    </row>
    <row r="339" spans="1:9" ht="20.100000000000001" customHeight="1">
      <c r="A339" s="94"/>
      <c r="B339" s="95" t="s">
        <v>2585</v>
      </c>
      <c r="C339" s="95" t="s">
        <v>2963</v>
      </c>
      <c r="D339" s="93" t="s">
        <v>2577</v>
      </c>
      <c r="E339" s="92"/>
      <c r="F339" s="98">
        <v>1</v>
      </c>
      <c r="G339" s="92">
        <f t="shared" si="5"/>
        <v>1</v>
      </c>
      <c r="H339" s="180">
        <f t="shared" si="5"/>
        <v>1</v>
      </c>
      <c r="I339" s="65"/>
    </row>
    <row r="340" spans="1:9" ht="20.100000000000001" customHeight="1">
      <c r="A340" s="94"/>
      <c r="B340" s="95" t="s">
        <v>2585</v>
      </c>
      <c r="C340" s="95" t="s">
        <v>2962</v>
      </c>
      <c r="D340" s="93" t="s">
        <v>2577</v>
      </c>
      <c r="E340" s="92"/>
      <c r="F340" s="98">
        <v>2</v>
      </c>
      <c r="G340" s="92">
        <f t="shared" si="5"/>
        <v>2</v>
      </c>
      <c r="H340" s="180">
        <f t="shared" si="5"/>
        <v>2</v>
      </c>
      <c r="I340" s="65"/>
    </row>
    <row r="341" spans="1:9" ht="20.100000000000001" customHeight="1">
      <c r="A341" s="94"/>
      <c r="B341" s="95" t="s">
        <v>2585</v>
      </c>
      <c r="C341" s="95" t="s">
        <v>2961</v>
      </c>
      <c r="D341" s="93" t="s">
        <v>2577</v>
      </c>
      <c r="E341" s="92"/>
      <c r="F341" s="98">
        <v>1</v>
      </c>
      <c r="G341" s="92">
        <f t="shared" si="5"/>
        <v>1</v>
      </c>
      <c r="H341" s="180">
        <f t="shared" si="5"/>
        <v>1</v>
      </c>
      <c r="I341" s="65"/>
    </row>
    <row r="342" spans="1:9" s="57" customFormat="1" ht="20.100000000000001" customHeight="1">
      <c r="A342" s="59"/>
      <c r="B342" s="64" t="s">
        <v>3176</v>
      </c>
      <c r="C342" s="64"/>
      <c r="D342" s="63" t="s">
        <v>2611</v>
      </c>
      <c r="E342" s="65"/>
      <c r="F342" s="58">
        <v>40</v>
      </c>
      <c r="G342" s="58">
        <v>40</v>
      </c>
      <c r="H342" s="180">
        <v>40</v>
      </c>
      <c r="I342" s="58"/>
    </row>
    <row r="343" spans="1:9" s="57" customFormat="1" ht="20.100000000000001" customHeight="1">
      <c r="A343" s="59"/>
      <c r="B343" s="64"/>
      <c r="C343" s="64"/>
      <c r="D343" s="63"/>
      <c r="E343" s="65"/>
      <c r="F343" s="58"/>
      <c r="G343" s="58"/>
      <c r="H343" s="180"/>
      <c r="I343" s="58"/>
    </row>
    <row r="344" spans="1:9" ht="20.100000000000001" customHeight="1">
      <c r="A344" s="102" t="s">
        <v>3193</v>
      </c>
      <c r="B344" s="101" t="s">
        <v>3194</v>
      </c>
      <c r="C344" s="92"/>
      <c r="D344" s="93"/>
      <c r="E344" s="92"/>
      <c r="F344" s="92"/>
      <c r="G344" s="92"/>
      <c r="H344" s="180"/>
      <c r="I344" s="92"/>
    </row>
    <row r="345" spans="1:9" ht="107.25" customHeight="1">
      <c r="A345" s="94"/>
      <c r="B345" s="95" t="s">
        <v>3793</v>
      </c>
      <c r="C345" s="95" t="s">
        <v>3799</v>
      </c>
      <c r="D345" s="93" t="s">
        <v>3195</v>
      </c>
      <c r="E345" s="92"/>
      <c r="F345" s="152" t="s">
        <v>3492</v>
      </c>
      <c r="G345" s="152">
        <f>((1.1+0.5)+(1.1+1.4)+(1.1+0.7)+(1.1+1.1)+(1.1+0.9)+(0.7+0.9)+(0.4+0.4)+(1.4+0.4)+(0.4+1.1)+((0.7+0.9)*2)+(1.8+0.7)+(0.4+0.4)+(0.4+0.7)+(0.7+0.5)+(0.7+0.7)+(1.6+0.7)+((0.7+0.9)*2)+(0.7+1.7)+(1.4+0.9)+(0.7+0.7)+(1.4+0.7)+((1.1+1.4)*2)+(0.9+1.4)+(1.8+0.9)+(1.4+0.7)+(0.9+1.4)+(0.9+1.8)+(1.4+0.7)+(1.8+0.7)+(1.1+0.6)+(0.7+0.4)+(0.7+0.7)+(4.2+1.8)+(0.9+0.9)+(1.1+2.1)+(1.4+1.1)+(1.8+1.1)+(0.7+1.1))*2</f>
        <v>167.60000000000002</v>
      </c>
      <c r="H345" s="180">
        <f t="shared" ref="H345:H410" si="14">G345</f>
        <v>167.60000000000002</v>
      </c>
      <c r="I345" s="92"/>
    </row>
    <row r="346" spans="1:9" ht="20.100000000000001" customHeight="1">
      <c r="A346" s="94"/>
      <c r="B346" s="95" t="s">
        <v>3196</v>
      </c>
      <c r="C346" s="95" t="s">
        <v>3178</v>
      </c>
      <c r="D346" s="93" t="s">
        <v>3182</v>
      </c>
      <c r="E346" s="92"/>
      <c r="F346" s="98">
        <v>41</v>
      </c>
      <c r="G346" s="92">
        <f t="shared" ref="G346:G349" si="15">F346</f>
        <v>41</v>
      </c>
      <c r="H346" s="180">
        <f t="shared" si="14"/>
        <v>41</v>
      </c>
      <c r="I346" s="92"/>
    </row>
    <row r="347" spans="1:9" ht="20.100000000000001" customHeight="1">
      <c r="A347" s="94"/>
      <c r="B347" s="95" t="s">
        <v>3197</v>
      </c>
      <c r="C347" s="95" t="s">
        <v>3178</v>
      </c>
      <c r="D347" s="93" t="s">
        <v>3182</v>
      </c>
      <c r="E347" s="92"/>
      <c r="F347" s="98">
        <v>41</v>
      </c>
      <c r="G347" s="92">
        <f t="shared" si="15"/>
        <v>41</v>
      </c>
      <c r="H347" s="180">
        <f t="shared" si="14"/>
        <v>41</v>
      </c>
      <c r="I347" s="92"/>
    </row>
    <row r="348" spans="1:9" ht="20.100000000000001" customHeight="1">
      <c r="A348" s="94"/>
      <c r="B348" s="95" t="s">
        <v>3198</v>
      </c>
      <c r="C348" s="95" t="s">
        <v>3199</v>
      </c>
      <c r="D348" s="93" t="s">
        <v>3182</v>
      </c>
      <c r="E348" s="92"/>
      <c r="F348" s="98">
        <v>32</v>
      </c>
      <c r="G348" s="92">
        <f t="shared" si="15"/>
        <v>32</v>
      </c>
      <c r="H348" s="180">
        <f t="shared" si="14"/>
        <v>32</v>
      </c>
      <c r="I348" s="92"/>
    </row>
    <row r="349" spans="1:9" ht="20.100000000000001" customHeight="1">
      <c r="A349" s="94"/>
      <c r="B349" s="95" t="s">
        <v>3178</v>
      </c>
      <c r="C349" s="95" t="s">
        <v>3200</v>
      </c>
      <c r="D349" s="93" t="s">
        <v>3182</v>
      </c>
      <c r="E349" s="92"/>
      <c r="F349" s="98">
        <v>1</v>
      </c>
      <c r="G349" s="92">
        <f t="shared" si="15"/>
        <v>1</v>
      </c>
      <c r="H349" s="180">
        <f t="shared" si="14"/>
        <v>1</v>
      </c>
      <c r="I349" s="92"/>
    </row>
    <row r="350" spans="1:9" s="171" customFormat="1" ht="20.100000000000001" customHeight="1">
      <c r="A350" s="169"/>
      <c r="B350" s="141" t="s">
        <v>3750</v>
      </c>
      <c r="C350" s="148" t="s">
        <v>3749</v>
      </c>
      <c r="D350" s="148" t="s">
        <v>3747</v>
      </c>
      <c r="E350" s="148" t="s">
        <v>3748</v>
      </c>
      <c r="F350" s="148">
        <v>5</v>
      </c>
      <c r="G350" s="92">
        <f t="shared" ref="G350" si="16">F350</f>
        <v>5</v>
      </c>
      <c r="H350" s="180">
        <f t="shared" ref="H350" si="17">G350</f>
        <v>5</v>
      </c>
      <c r="I350" s="148"/>
    </row>
    <row r="351" spans="1:9" ht="20.100000000000001" customHeight="1">
      <c r="A351" s="94"/>
      <c r="B351" s="95" t="s">
        <v>3201</v>
      </c>
      <c r="C351" s="95" t="s">
        <v>3202</v>
      </c>
      <c r="D351" s="93" t="s">
        <v>3182</v>
      </c>
      <c r="E351" s="92"/>
      <c r="F351" s="98">
        <v>1</v>
      </c>
      <c r="G351" s="92">
        <f>F351</f>
        <v>1</v>
      </c>
      <c r="H351" s="180">
        <f t="shared" si="14"/>
        <v>1</v>
      </c>
      <c r="I351" s="92"/>
    </row>
    <row r="352" spans="1:9" ht="20.100000000000001" customHeight="1">
      <c r="A352" s="94"/>
      <c r="B352" s="95" t="s">
        <v>3201</v>
      </c>
      <c r="C352" s="95" t="s">
        <v>3203</v>
      </c>
      <c r="D352" s="93" t="s">
        <v>3182</v>
      </c>
      <c r="E352" s="92"/>
      <c r="F352" s="98">
        <v>4</v>
      </c>
      <c r="G352" s="92">
        <f t="shared" ref="G352:G357" si="18">F352</f>
        <v>4</v>
      </c>
      <c r="H352" s="180">
        <f t="shared" si="14"/>
        <v>4</v>
      </c>
      <c r="I352" s="92"/>
    </row>
    <row r="353" spans="1:9" ht="20.100000000000001" customHeight="1">
      <c r="A353" s="94"/>
      <c r="B353" s="95" t="s">
        <v>3201</v>
      </c>
      <c r="C353" s="95" t="s">
        <v>3204</v>
      </c>
      <c r="D353" s="93" t="s">
        <v>3182</v>
      </c>
      <c r="E353" s="92"/>
      <c r="F353" s="98">
        <v>4</v>
      </c>
      <c r="G353" s="92">
        <f t="shared" si="18"/>
        <v>4</v>
      </c>
      <c r="H353" s="180">
        <f t="shared" si="14"/>
        <v>4</v>
      </c>
      <c r="I353" s="92"/>
    </row>
    <row r="354" spans="1:9" ht="20.100000000000001" customHeight="1">
      <c r="A354" s="94"/>
      <c r="B354" s="95" t="s">
        <v>3201</v>
      </c>
      <c r="C354" s="95" t="s">
        <v>3205</v>
      </c>
      <c r="D354" s="93" t="s">
        <v>3182</v>
      </c>
      <c r="E354" s="92"/>
      <c r="F354" s="98">
        <v>4</v>
      </c>
      <c r="G354" s="92">
        <f t="shared" si="18"/>
        <v>4</v>
      </c>
      <c r="H354" s="180">
        <f t="shared" si="14"/>
        <v>4</v>
      </c>
      <c r="I354" s="92"/>
    </row>
    <row r="355" spans="1:9" ht="20.100000000000001" customHeight="1">
      <c r="A355" s="94"/>
      <c r="B355" s="95" t="s">
        <v>3201</v>
      </c>
      <c r="C355" s="95" t="s">
        <v>3206</v>
      </c>
      <c r="D355" s="93" t="s">
        <v>3182</v>
      </c>
      <c r="E355" s="92"/>
      <c r="F355" s="98">
        <v>1</v>
      </c>
      <c r="G355" s="92">
        <f t="shared" si="18"/>
        <v>1</v>
      </c>
      <c r="H355" s="180">
        <f t="shared" si="14"/>
        <v>1</v>
      </c>
      <c r="I355" s="92"/>
    </row>
    <row r="356" spans="1:9" ht="20.100000000000001" customHeight="1">
      <c r="A356" s="94"/>
      <c r="B356" s="95" t="s">
        <v>3201</v>
      </c>
      <c r="C356" s="95" t="s">
        <v>3207</v>
      </c>
      <c r="D356" s="93" t="s">
        <v>3182</v>
      </c>
      <c r="E356" s="92"/>
      <c r="F356" s="98">
        <v>1</v>
      </c>
      <c r="G356" s="92">
        <f t="shared" si="18"/>
        <v>1</v>
      </c>
      <c r="H356" s="180">
        <f t="shared" si="14"/>
        <v>1</v>
      </c>
      <c r="I356" s="92"/>
    </row>
    <row r="357" spans="1:9" ht="20.100000000000001" customHeight="1">
      <c r="A357" s="94"/>
      <c r="B357" s="95" t="s">
        <v>3201</v>
      </c>
      <c r="C357" s="95" t="s">
        <v>3282</v>
      </c>
      <c r="D357" s="93" t="s">
        <v>3182</v>
      </c>
      <c r="E357" s="92"/>
      <c r="F357" s="98">
        <v>2</v>
      </c>
      <c r="G357" s="92">
        <f t="shared" si="18"/>
        <v>2</v>
      </c>
      <c r="H357" s="180">
        <f t="shared" si="14"/>
        <v>2</v>
      </c>
      <c r="I357" s="92"/>
    </row>
    <row r="358" spans="1:9" ht="20.100000000000001" customHeight="1">
      <c r="A358" s="94"/>
      <c r="B358" s="95" t="s">
        <v>3208</v>
      </c>
      <c r="C358" s="95" t="s">
        <v>3283</v>
      </c>
      <c r="D358" s="93" t="s">
        <v>3182</v>
      </c>
      <c r="E358" s="92"/>
      <c r="F358" s="98">
        <v>2</v>
      </c>
      <c r="G358" s="92">
        <f>F358</f>
        <v>2</v>
      </c>
      <c r="H358" s="180">
        <f t="shared" si="14"/>
        <v>2</v>
      </c>
      <c r="I358" s="92"/>
    </row>
    <row r="359" spans="1:9" ht="20.100000000000001" customHeight="1">
      <c r="A359" s="94"/>
      <c r="B359" s="95" t="s">
        <v>3208</v>
      </c>
      <c r="C359" s="95" t="s">
        <v>3284</v>
      </c>
      <c r="D359" s="93" t="s">
        <v>2568</v>
      </c>
      <c r="E359" s="92"/>
      <c r="F359" s="98">
        <v>1</v>
      </c>
      <c r="G359" s="92">
        <f t="shared" ref="G359:G422" si="19">F359</f>
        <v>1</v>
      </c>
      <c r="H359" s="180">
        <f t="shared" si="14"/>
        <v>1</v>
      </c>
      <c r="I359" s="92"/>
    </row>
    <row r="360" spans="1:9" ht="20.100000000000001" customHeight="1">
      <c r="A360" s="94"/>
      <c r="B360" s="95" t="s">
        <v>3208</v>
      </c>
      <c r="C360" s="95" t="s">
        <v>3285</v>
      </c>
      <c r="D360" s="93" t="s">
        <v>2568</v>
      </c>
      <c r="E360" s="92"/>
      <c r="F360" s="98">
        <v>2</v>
      </c>
      <c r="G360" s="92">
        <f t="shared" si="19"/>
        <v>2</v>
      </c>
      <c r="H360" s="180">
        <f t="shared" si="14"/>
        <v>2</v>
      </c>
      <c r="I360" s="92"/>
    </row>
    <row r="361" spans="1:9" ht="20.100000000000001" customHeight="1">
      <c r="A361" s="94"/>
      <c r="B361" s="95" t="s">
        <v>3208</v>
      </c>
      <c r="C361" s="95" t="s">
        <v>3286</v>
      </c>
      <c r="D361" s="93" t="s">
        <v>2568</v>
      </c>
      <c r="E361" s="92"/>
      <c r="F361" s="98">
        <v>1</v>
      </c>
      <c r="G361" s="92">
        <f t="shared" si="19"/>
        <v>1</v>
      </c>
      <c r="H361" s="180">
        <f t="shared" si="14"/>
        <v>1</v>
      </c>
      <c r="I361" s="92"/>
    </row>
    <row r="362" spans="1:9" ht="20.100000000000001" customHeight="1">
      <c r="A362" s="94"/>
      <c r="B362" s="95" t="s">
        <v>3208</v>
      </c>
      <c r="C362" s="95" t="s">
        <v>3287</v>
      </c>
      <c r="D362" s="93" t="s">
        <v>2568</v>
      </c>
      <c r="E362" s="92"/>
      <c r="F362" s="98">
        <v>2</v>
      </c>
      <c r="G362" s="92">
        <f t="shared" si="19"/>
        <v>2</v>
      </c>
      <c r="H362" s="180">
        <f t="shared" si="14"/>
        <v>2</v>
      </c>
      <c r="I362" s="92"/>
    </row>
    <row r="363" spans="1:9" ht="20.100000000000001" customHeight="1">
      <c r="A363" s="94"/>
      <c r="B363" s="95" t="s">
        <v>3208</v>
      </c>
      <c r="C363" s="95" t="s">
        <v>3288</v>
      </c>
      <c r="D363" s="93" t="s">
        <v>2568</v>
      </c>
      <c r="E363" s="92"/>
      <c r="F363" s="98">
        <v>1</v>
      </c>
      <c r="G363" s="92">
        <f t="shared" si="19"/>
        <v>1</v>
      </c>
      <c r="H363" s="180">
        <f t="shared" si="14"/>
        <v>1</v>
      </c>
      <c r="I363" s="92"/>
    </row>
    <row r="364" spans="1:9" ht="20.100000000000001" customHeight="1">
      <c r="A364" s="94"/>
      <c r="B364" s="95" t="s">
        <v>3208</v>
      </c>
      <c r="C364" s="95" t="s">
        <v>3289</v>
      </c>
      <c r="D364" s="93" t="s">
        <v>2568</v>
      </c>
      <c r="E364" s="92"/>
      <c r="F364" s="98">
        <v>1</v>
      </c>
      <c r="G364" s="92">
        <f t="shared" si="19"/>
        <v>1</v>
      </c>
      <c r="H364" s="180">
        <f t="shared" si="14"/>
        <v>1</v>
      </c>
      <c r="I364" s="92"/>
    </row>
    <row r="365" spans="1:9" ht="20.100000000000001" customHeight="1">
      <c r="A365" s="94"/>
      <c r="B365" s="95" t="s">
        <v>3208</v>
      </c>
      <c r="C365" s="95" t="s">
        <v>3290</v>
      </c>
      <c r="D365" s="93" t="s">
        <v>2568</v>
      </c>
      <c r="E365" s="92"/>
      <c r="F365" s="98">
        <v>1</v>
      </c>
      <c r="G365" s="92">
        <f t="shared" si="19"/>
        <v>1</v>
      </c>
      <c r="H365" s="180">
        <f t="shared" si="14"/>
        <v>1</v>
      </c>
      <c r="I365" s="92"/>
    </row>
    <row r="366" spans="1:9" ht="20.100000000000001" customHeight="1">
      <c r="A366" s="94"/>
      <c r="B366" s="95" t="s">
        <v>3208</v>
      </c>
      <c r="C366" s="95" t="s">
        <v>3291</v>
      </c>
      <c r="D366" s="93" t="s">
        <v>2568</v>
      </c>
      <c r="E366" s="92"/>
      <c r="F366" s="98">
        <v>1</v>
      </c>
      <c r="G366" s="92">
        <f t="shared" si="19"/>
        <v>1</v>
      </c>
      <c r="H366" s="180">
        <f t="shared" si="14"/>
        <v>1</v>
      </c>
      <c r="I366" s="92"/>
    </row>
    <row r="367" spans="1:9" ht="20.100000000000001" customHeight="1">
      <c r="A367" s="94"/>
      <c r="B367" s="95" t="s">
        <v>3208</v>
      </c>
      <c r="C367" s="95" t="s">
        <v>3292</v>
      </c>
      <c r="D367" s="93" t="s">
        <v>2568</v>
      </c>
      <c r="E367" s="92"/>
      <c r="F367" s="98">
        <v>1</v>
      </c>
      <c r="G367" s="92">
        <f t="shared" si="19"/>
        <v>1</v>
      </c>
      <c r="H367" s="180">
        <f t="shared" si="14"/>
        <v>1</v>
      </c>
      <c r="I367" s="92"/>
    </row>
    <row r="368" spans="1:9" ht="20.100000000000001" customHeight="1">
      <c r="A368" s="94"/>
      <c r="B368" s="95" t="s">
        <v>3208</v>
      </c>
      <c r="C368" s="95" t="s">
        <v>3293</v>
      </c>
      <c r="D368" s="93" t="s">
        <v>2568</v>
      </c>
      <c r="E368" s="92"/>
      <c r="F368" s="98">
        <v>1</v>
      </c>
      <c r="G368" s="92">
        <f t="shared" si="19"/>
        <v>1</v>
      </c>
      <c r="H368" s="180">
        <f t="shared" si="14"/>
        <v>1</v>
      </c>
      <c r="I368" s="92"/>
    </row>
    <row r="369" spans="1:9" ht="20.100000000000001" customHeight="1">
      <c r="A369" s="94"/>
      <c r="B369" s="95" t="s">
        <v>3208</v>
      </c>
      <c r="C369" s="95" t="s">
        <v>3294</v>
      </c>
      <c r="D369" s="93" t="s">
        <v>2568</v>
      </c>
      <c r="E369" s="92"/>
      <c r="F369" s="98">
        <v>3</v>
      </c>
      <c r="G369" s="92">
        <f t="shared" si="19"/>
        <v>3</v>
      </c>
      <c r="H369" s="180">
        <f t="shared" si="14"/>
        <v>3</v>
      </c>
      <c r="I369" s="92"/>
    </row>
    <row r="370" spans="1:9" ht="20.100000000000001" customHeight="1">
      <c r="A370" s="94"/>
      <c r="B370" s="95" t="s">
        <v>3208</v>
      </c>
      <c r="C370" s="95" t="s">
        <v>3295</v>
      </c>
      <c r="D370" s="93" t="s">
        <v>2568</v>
      </c>
      <c r="E370" s="92"/>
      <c r="F370" s="98">
        <v>1</v>
      </c>
      <c r="G370" s="92">
        <f t="shared" si="19"/>
        <v>1</v>
      </c>
      <c r="H370" s="180">
        <f t="shared" si="14"/>
        <v>1</v>
      </c>
      <c r="I370" s="92"/>
    </row>
    <row r="371" spans="1:9" ht="20.100000000000001" customHeight="1">
      <c r="A371" s="94"/>
      <c r="B371" s="95" t="s">
        <v>3208</v>
      </c>
      <c r="C371" s="95" t="s">
        <v>3296</v>
      </c>
      <c r="D371" s="93" t="s">
        <v>2568</v>
      </c>
      <c r="E371" s="92"/>
      <c r="F371" s="98">
        <v>1</v>
      </c>
      <c r="G371" s="92">
        <f t="shared" si="19"/>
        <v>1</v>
      </c>
      <c r="H371" s="180">
        <f t="shared" si="14"/>
        <v>1</v>
      </c>
      <c r="I371" s="92"/>
    </row>
    <row r="372" spans="1:9" ht="20.100000000000001" customHeight="1">
      <c r="A372" s="94"/>
      <c r="B372" s="95" t="s">
        <v>3208</v>
      </c>
      <c r="C372" s="95" t="s">
        <v>3297</v>
      </c>
      <c r="D372" s="93" t="s">
        <v>2568</v>
      </c>
      <c r="E372" s="92"/>
      <c r="F372" s="98">
        <v>1</v>
      </c>
      <c r="G372" s="92">
        <f t="shared" si="19"/>
        <v>1</v>
      </c>
      <c r="H372" s="180">
        <f t="shared" si="14"/>
        <v>1</v>
      </c>
      <c r="I372" s="92"/>
    </row>
    <row r="373" spans="1:9" ht="20.100000000000001" customHeight="1">
      <c r="A373" s="94"/>
      <c r="B373" s="95" t="s">
        <v>3208</v>
      </c>
      <c r="C373" s="95" t="s">
        <v>3298</v>
      </c>
      <c r="D373" s="93" t="s">
        <v>2568</v>
      </c>
      <c r="E373" s="92"/>
      <c r="F373" s="98">
        <v>1</v>
      </c>
      <c r="G373" s="92">
        <f t="shared" si="19"/>
        <v>1</v>
      </c>
      <c r="H373" s="180">
        <f t="shared" si="14"/>
        <v>1</v>
      </c>
      <c r="I373" s="92"/>
    </row>
    <row r="374" spans="1:9" ht="20.100000000000001" customHeight="1">
      <c r="A374" s="94"/>
      <c r="B374" s="95" t="s">
        <v>3208</v>
      </c>
      <c r="C374" s="95" t="s">
        <v>3299</v>
      </c>
      <c r="D374" s="93" t="s">
        <v>2568</v>
      </c>
      <c r="E374" s="92"/>
      <c r="F374" s="98">
        <v>1</v>
      </c>
      <c r="G374" s="92">
        <f t="shared" si="19"/>
        <v>1</v>
      </c>
      <c r="H374" s="180">
        <f t="shared" si="14"/>
        <v>1</v>
      </c>
      <c r="I374" s="92"/>
    </row>
    <row r="375" spans="1:9" ht="20.100000000000001" customHeight="1">
      <c r="A375" s="94"/>
      <c r="B375" s="95" t="s">
        <v>3208</v>
      </c>
      <c r="C375" s="95" t="s">
        <v>3300</v>
      </c>
      <c r="D375" s="93" t="s">
        <v>2568</v>
      </c>
      <c r="E375" s="92"/>
      <c r="F375" s="98">
        <v>1</v>
      </c>
      <c r="G375" s="92">
        <f t="shared" si="19"/>
        <v>1</v>
      </c>
      <c r="H375" s="180">
        <f t="shared" si="14"/>
        <v>1</v>
      </c>
      <c r="I375" s="92"/>
    </row>
    <row r="376" spans="1:9" ht="20.100000000000001" customHeight="1">
      <c r="A376" s="94"/>
      <c r="B376" s="95" t="s">
        <v>3208</v>
      </c>
      <c r="C376" s="95" t="s">
        <v>3301</v>
      </c>
      <c r="D376" s="93" t="s">
        <v>2568</v>
      </c>
      <c r="E376" s="92"/>
      <c r="F376" s="98">
        <v>1</v>
      </c>
      <c r="G376" s="92">
        <f t="shared" si="19"/>
        <v>1</v>
      </c>
      <c r="H376" s="180">
        <f t="shared" si="14"/>
        <v>1</v>
      </c>
      <c r="I376" s="92"/>
    </row>
    <row r="377" spans="1:9" ht="20.100000000000001" customHeight="1">
      <c r="A377" s="94"/>
      <c r="B377" s="95" t="s">
        <v>3208</v>
      </c>
      <c r="C377" s="95" t="s">
        <v>3302</v>
      </c>
      <c r="D377" s="93" t="s">
        <v>2568</v>
      </c>
      <c r="E377" s="92"/>
      <c r="F377" s="98">
        <v>1</v>
      </c>
      <c r="G377" s="92">
        <f t="shared" si="19"/>
        <v>1</v>
      </c>
      <c r="H377" s="180">
        <f t="shared" si="14"/>
        <v>1</v>
      </c>
      <c r="I377" s="92"/>
    </row>
    <row r="378" spans="1:9" ht="20.100000000000001" customHeight="1">
      <c r="A378" s="94"/>
      <c r="B378" s="95" t="s">
        <v>3208</v>
      </c>
      <c r="C378" s="95" t="s">
        <v>3303</v>
      </c>
      <c r="D378" s="93" t="s">
        <v>2568</v>
      </c>
      <c r="E378" s="92"/>
      <c r="F378" s="98">
        <v>5</v>
      </c>
      <c r="G378" s="92">
        <f t="shared" si="19"/>
        <v>5</v>
      </c>
      <c r="H378" s="180">
        <f t="shared" si="14"/>
        <v>5</v>
      </c>
      <c r="I378" s="92"/>
    </row>
    <row r="379" spans="1:9" ht="20.100000000000001" customHeight="1">
      <c r="A379" s="94"/>
      <c r="B379" s="95" t="s">
        <v>3208</v>
      </c>
      <c r="C379" s="95" t="s">
        <v>3304</v>
      </c>
      <c r="D379" s="93" t="s">
        <v>2568</v>
      </c>
      <c r="E379" s="92"/>
      <c r="F379" s="98">
        <v>1</v>
      </c>
      <c r="G379" s="92">
        <f t="shared" si="19"/>
        <v>1</v>
      </c>
      <c r="H379" s="180">
        <f t="shared" si="14"/>
        <v>1</v>
      </c>
      <c r="I379" s="92"/>
    </row>
    <row r="380" spans="1:9" ht="20.100000000000001" customHeight="1">
      <c r="A380" s="94"/>
      <c r="B380" s="95" t="s">
        <v>3208</v>
      </c>
      <c r="C380" s="95" t="s">
        <v>3305</v>
      </c>
      <c r="D380" s="93" t="s">
        <v>2568</v>
      </c>
      <c r="E380" s="92"/>
      <c r="F380" s="98">
        <v>1</v>
      </c>
      <c r="G380" s="92">
        <f t="shared" si="19"/>
        <v>1</v>
      </c>
      <c r="H380" s="180">
        <f t="shared" si="14"/>
        <v>1</v>
      </c>
      <c r="I380" s="92"/>
    </row>
    <row r="381" spans="1:9" ht="20.100000000000001" customHeight="1">
      <c r="A381" s="94"/>
      <c r="B381" s="95" t="s">
        <v>3208</v>
      </c>
      <c r="C381" s="95" t="s">
        <v>3306</v>
      </c>
      <c r="D381" s="93" t="s">
        <v>2568</v>
      </c>
      <c r="E381" s="92"/>
      <c r="F381" s="98">
        <v>1</v>
      </c>
      <c r="G381" s="92">
        <f t="shared" si="19"/>
        <v>1</v>
      </c>
      <c r="H381" s="180">
        <f t="shared" si="14"/>
        <v>1</v>
      </c>
      <c r="I381" s="92"/>
    </row>
    <row r="382" spans="1:9" ht="20.100000000000001" customHeight="1">
      <c r="A382" s="94"/>
      <c r="B382" s="95" t="s">
        <v>3208</v>
      </c>
      <c r="C382" s="95" t="s">
        <v>3307</v>
      </c>
      <c r="D382" s="93" t="s">
        <v>2568</v>
      </c>
      <c r="E382" s="92"/>
      <c r="F382" s="98">
        <v>5</v>
      </c>
      <c r="G382" s="92">
        <f t="shared" si="19"/>
        <v>5</v>
      </c>
      <c r="H382" s="180">
        <f t="shared" si="14"/>
        <v>5</v>
      </c>
      <c r="I382" s="92"/>
    </row>
    <row r="383" spans="1:9" ht="20.100000000000001" customHeight="1">
      <c r="A383" s="94"/>
      <c r="B383" s="95" t="s">
        <v>3208</v>
      </c>
      <c r="C383" s="95" t="s">
        <v>3308</v>
      </c>
      <c r="D383" s="93" t="s">
        <v>2568</v>
      </c>
      <c r="E383" s="92"/>
      <c r="F383" s="98">
        <v>12</v>
      </c>
      <c r="G383" s="92">
        <f t="shared" si="19"/>
        <v>12</v>
      </c>
      <c r="H383" s="180">
        <f t="shared" si="14"/>
        <v>12</v>
      </c>
      <c r="I383" s="92"/>
    </row>
    <row r="384" spans="1:9" ht="20.100000000000001" customHeight="1">
      <c r="A384" s="94"/>
      <c r="B384" s="95" t="s">
        <v>3208</v>
      </c>
      <c r="C384" s="95" t="s">
        <v>3309</v>
      </c>
      <c r="D384" s="93" t="s">
        <v>2568</v>
      </c>
      <c r="E384" s="92"/>
      <c r="F384" s="98">
        <v>5</v>
      </c>
      <c r="G384" s="92">
        <f t="shared" si="19"/>
        <v>5</v>
      </c>
      <c r="H384" s="180">
        <f t="shared" si="14"/>
        <v>5</v>
      </c>
      <c r="I384" s="92"/>
    </row>
    <row r="385" spans="1:9" ht="20.100000000000001" customHeight="1">
      <c r="A385" s="94"/>
      <c r="B385" s="95" t="s">
        <v>3208</v>
      </c>
      <c r="C385" s="95" t="s">
        <v>3310</v>
      </c>
      <c r="D385" s="93" t="s">
        <v>2568</v>
      </c>
      <c r="E385" s="92"/>
      <c r="F385" s="98">
        <v>1</v>
      </c>
      <c r="G385" s="92">
        <f t="shared" si="19"/>
        <v>1</v>
      </c>
      <c r="H385" s="180">
        <f t="shared" si="14"/>
        <v>1</v>
      </c>
      <c r="I385" s="92"/>
    </row>
    <row r="386" spans="1:9" ht="20.100000000000001" customHeight="1">
      <c r="A386" s="94"/>
      <c r="B386" s="95" t="s">
        <v>3208</v>
      </c>
      <c r="C386" s="95" t="s">
        <v>3311</v>
      </c>
      <c r="D386" s="93" t="s">
        <v>2568</v>
      </c>
      <c r="E386" s="92"/>
      <c r="F386" s="98">
        <v>1</v>
      </c>
      <c r="G386" s="92">
        <f t="shared" si="19"/>
        <v>1</v>
      </c>
      <c r="H386" s="180">
        <f t="shared" si="14"/>
        <v>1</v>
      </c>
      <c r="I386" s="92"/>
    </row>
    <row r="387" spans="1:9" ht="20.100000000000001" customHeight="1">
      <c r="A387" s="94"/>
      <c r="B387" s="95" t="s">
        <v>3209</v>
      </c>
      <c r="C387" s="95" t="s">
        <v>3312</v>
      </c>
      <c r="D387" s="93" t="s">
        <v>2568</v>
      </c>
      <c r="E387" s="92"/>
      <c r="F387" s="98">
        <v>5</v>
      </c>
      <c r="G387" s="92">
        <f t="shared" si="19"/>
        <v>5</v>
      </c>
      <c r="H387" s="180">
        <f t="shared" si="14"/>
        <v>5</v>
      </c>
      <c r="I387" s="92"/>
    </row>
    <row r="388" spans="1:9" ht="20.100000000000001" customHeight="1">
      <c r="A388" s="94"/>
      <c r="B388" s="95" t="s">
        <v>3210</v>
      </c>
      <c r="C388" s="95" t="s">
        <v>3313</v>
      </c>
      <c r="D388" s="93" t="s">
        <v>2568</v>
      </c>
      <c r="E388" s="92"/>
      <c r="F388" s="98">
        <v>2</v>
      </c>
      <c r="G388" s="92">
        <f t="shared" si="19"/>
        <v>2</v>
      </c>
      <c r="H388" s="180">
        <f t="shared" si="14"/>
        <v>2</v>
      </c>
      <c r="I388" s="92"/>
    </row>
    <row r="389" spans="1:9" ht="20.100000000000001" customHeight="1">
      <c r="A389" s="94"/>
      <c r="B389" s="95" t="s">
        <v>3210</v>
      </c>
      <c r="C389" s="95" t="s">
        <v>3314</v>
      </c>
      <c r="D389" s="93" t="s">
        <v>2568</v>
      </c>
      <c r="E389" s="92"/>
      <c r="F389" s="98">
        <v>2</v>
      </c>
      <c r="G389" s="92">
        <f t="shared" si="19"/>
        <v>2</v>
      </c>
      <c r="H389" s="180">
        <f t="shared" si="14"/>
        <v>2</v>
      </c>
      <c r="I389" s="92"/>
    </row>
    <row r="390" spans="1:9" ht="20.100000000000001" customHeight="1">
      <c r="A390" s="94"/>
      <c r="B390" s="95" t="s">
        <v>3210</v>
      </c>
      <c r="C390" s="95" t="s">
        <v>3315</v>
      </c>
      <c r="D390" s="93" t="s">
        <v>2568</v>
      </c>
      <c r="E390" s="92"/>
      <c r="F390" s="98">
        <v>1</v>
      </c>
      <c r="G390" s="92">
        <f t="shared" si="19"/>
        <v>1</v>
      </c>
      <c r="H390" s="180">
        <f t="shared" si="14"/>
        <v>1</v>
      </c>
      <c r="I390" s="92"/>
    </row>
    <row r="391" spans="1:9" ht="20.100000000000001" customHeight="1">
      <c r="A391" s="94"/>
      <c r="B391" s="95" t="s">
        <v>3210</v>
      </c>
      <c r="C391" s="95" t="s">
        <v>3316</v>
      </c>
      <c r="D391" s="93" t="s">
        <v>2568</v>
      </c>
      <c r="E391" s="92"/>
      <c r="F391" s="98">
        <v>1</v>
      </c>
      <c r="G391" s="92">
        <f t="shared" si="19"/>
        <v>1</v>
      </c>
      <c r="H391" s="180">
        <f t="shared" si="14"/>
        <v>1</v>
      </c>
      <c r="I391" s="92"/>
    </row>
    <row r="392" spans="1:9" ht="20.100000000000001" customHeight="1">
      <c r="A392" s="94"/>
      <c r="B392" s="95" t="s">
        <v>3210</v>
      </c>
      <c r="C392" s="95" t="s">
        <v>3317</v>
      </c>
      <c r="D392" s="93" t="s">
        <v>2568</v>
      </c>
      <c r="E392" s="92"/>
      <c r="F392" s="98">
        <v>1</v>
      </c>
      <c r="G392" s="92">
        <f t="shared" si="19"/>
        <v>1</v>
      </c>
      <c r="H392" s="180">
        <f t="shared" si="14"/>
        <v>1</v>
      </c>
      <c r="I392" s="92"/>
    </row>
    <row r="393" spans="1:9" ht="20.100000000000001" customHeight="1">
      <c r="A393" s="94"/>
      <c r="B393" s="95" t="s">
        <v>3210</v>
      </c>
      <c r="C393" s="95" t="s">
        <v>3318</v>
      </c>
      <c r="D393" s="93" t="s">
        <v>2568</v>
      </c>
      <c r="E393" s="92"/>
      <c r="F393" s="98">
        <v>2</v>
      </c>
      <c r="G393" s="92">
        <f t="shared" si="19"/>
        <v>2</v>
      </c>
      <c r="H393" s="180">
        <f t="shared" si="14"/>
        <v>2</v>
      </c>
      <c r="I393" s="92"/>
    </row>
    <row r="394" spans="1:9" ht="20.100000000000001" customHeight="1">
      <c r="A394" s="94"/>
      <c r="B394" s="95" t="s">
        <v>3210</v>
      </c>
      <c r="C394" s="95" t="s">
        <v>3319</v>
      </c>
      <c r="D394" s="93" t="s">
        <v>2568</v>
      </c>
      <c r="E394" s="92"/>
      <c r="F394" s="98">
        <v>1</v>
      </c>
      <c r="G394" s="92">
        <f t="shared" si="19"/>
        <v>1</v>
      </c>
      <c r="H394" s="180">
        <f t="shared" si="14"/>
        <v>1</v>
      </c>
      <c r="I394" s="92"/>
    </row>
    <row r="395" spans="1:9" ht="20.100000000000001" customHeight="1">
      <c r="A395" s="94"/>
      <c r="B395" s="95" t="s">
        <v>3210</v>
      </c>
      <c r="C395" s="95" t="s">
        <v>3320</v>
      </c>
      <c r="D395" s="93" t="s">
        <v>2568</v>
      </c>
      <c r="E395" s="92"/>
      <c r="F395" s="98">
        <v>1</v>
      </c>
      <c r="G395" s="92">
        <f t="shared" si="19"/>
        <v>1</v>
      </c>
      <c r="H395" s="180">
        <f t="shared" si="14"/>
        <v>1</v>
      </c>
      <c r="I395" s="92"/>
    </row>
    <row r="396" spans="1:9" ht="20.100000000000001" customHeight="1">
      <c r="A396" s="94"/>
      <c r="B396" s="95" t="s">
        <v>3210</v>
      </c>
      <c r="C396" s="95" t="s">
        <v>3321</v>
      </c>
      <c r="D396" s="93" t="s">
        <v>2568</v>
      </c>
      <c r="E396" s="92"/>
      <c r="F396" s="98">
        <v>1</v>
      </c>
      <c r="G396" s="92">
        <f t="shared" si="19"/>
        <v>1</v>
      </c>
      <c r="H396" s="180">
        <f t="shared" si="14"/>
        <v>1</v>
      </c>
      <c r="I396" s="92"/>
    </row>
    <row r="397" spans="1:9" ht="20.100000000000001" customHeight="1">
      <c r="A397" s="94"/>
      <c r="B397" s="95" t="s">
        <v>3210</v>
      </c>
      <c r="C397" s="95" t="s">
        <v>3322</v>
      </c>
      <c r="D397" s="93" t="s">
        <v>2568</v>
      </c>
      <c r="E397" s="92"/>
      <c r="F397" s="98">
        <v>1</v>
      </c>
      <c r="G397" s="92">
        <f t="shared" si="19"/>
        <v>1</v>
      </c>
      <c r="H397" s="180">
        <f t="shared" si="14"/>
        <v>1</v>
      </c>
      <c r="I397" s="92"/>
    </row>
    <row r="398" spans="1:9" ht="20.100000000000001" customHeight="1">
      <c r="A398" s="94"/>
      <c r="B398" s="95" t="s">
        <v>3210</v>
      </c>
      <c r="C398" s="95" t="s">
        <v>3323</v>
      </c>
      <c r="D398" s="93" t="s">
        <v>2568</v>
      </c>
      <c r="E398" s="92"/>
      <c r="F398" s="98">
        <v>1</v>
      </c>
      <c r="G398" s="92">
        <f t="shared" si="19"/>
        <v>1</v>
      </c>
      <c r="H398" s="180">
        <f t="shared" si="14"/>
        <v>1</v>
      </c>
      <c r="I398" s="92"/>
    </row>
    <row r="399" spans="1:9" ht="20.100000000000001" customHeight="1">
      <c r="A399" s="94"/>
      <c r="B399" s="95" t="s">
        <v>3210</v>
      </c>
      <c r="C399" s="95" t="s">
        <v>3324</v>
      </c>
      <c r="D399" s="93" t="s">
        <v>2568</v>
      </c>
      <c r="E399" s="92"/>
      <c r="F399" s="98">
        <v>1</v>
      </c>
      <c r="G399" s="92">
        <f t="shared" si="19"/>
        <v>1</v>
      </c>
      <c r="H399" s="180">
        <f t="shared" si="14"/>
        <v>1</v>
      </c>
      <c r="I399" s="92"/>
    </row>
    <row r="400" spans="1:9" ht="20.100000000000001" customHeight="1">
      <c r="A400" s="94"/>
      <c r="B400" s="95" t="s">
        <v>3210</v>
      </c>
      <c r="C400" s="95" t="s">
        <v>3325</v>
      </c>
      <c r="D400" s="93" t="s">
        <v>2568</v>
      </c>
      <c r="E400" s="92"/>
      <c r="F400" s="98">
        <v>1</v>
      </c>
      <c r="G400" s="92">
        <f t="shared" si="19"/>
        <v>1</v>
      </c>
      <c r="H400" s="180">
        <f t="shared" si="14"/>
        <v>1</v>
      </c>
      <c r="I400" s="92"/>
    </row>
    <row r="401" spans="1:9" ht="20.100000000000001" customHeight="1">
      <c r="A401" s="94"/>
      <c r="B401" s="95" t="s">
        <v>3210</v>
      </c>
      <c r="C401" s="95" t="s">
        <v>3326</v>
      </c>
      <c r="D401" s="93" t="s">
        <v>2568</v>
      </c>
      <c r="E401" s="92"/>
      <c r="F401" s="98">
        <v>1</v>
      </c>
      <c r="G401" s="92">
        <f t="shared" si="19"/>
        <v>1</v>
      </c>
      <c r="H401" s="180">
        <f t="shared" si="14"/>
        <v>1</v>
      </c>
      <c r="I401" s="92"/>
    </row>
    <row r="402" spans="1:9" ht="20.100000000000001" customHeight="1">
      <c r="A402" s="94"/>
      <c r="B402" s="95" t="s">
        <v>3210</v>
      </c>
      <c r="C402" s="95" t="s">
        <v>3327</v>
      </c>
      <c r="D402" s="93" t="s">
        <v>2568</v>
      </c>
      <c r="E402" s="92"/>
      <c r="F402" s="98">
        <v>1</v>
      </c>
      <c r="G402" s="92">
        <f t="shared" si="19"/>
        <v>1</v>
      </c>
      <c r="H402" s="180">
        <f t="shared" si="14"/>
        <v>1</v>
      </c>
      <c r="I402" s="92"/>
    </row>
    <row r="403" spans="1:9" ht="20.100000000000001" customHeight="1">
      <c r="A403" s="94"/>
      <c r="B403" s="95" t="s">
        <v>3210</v>
      </c>
      <c r="C403" s="95" t="s">
        <v>3328</v>
      </c>
      <c r="D403" s="93" t="s">
        <v>2568</v>
      </c>
      <c r="E403" s="92"/>
      <c r="F403" s="98">
        <v>1</v>
      </c>
      <c r="G403" s="92">
        <f t="shared" si="19"/>
        <v>1</v>
      </c>
      <c r="H403" s="180">
        <f t="shared" si="14"/>
        <v>1</v>
      </c>
      <c r="I403" s="92"/>
    </row>
    <row r="404" spans="1:9" ht="20.100000000000001" customHeight="1">
      <c r="A404" s="94"/>
      <c r="B404" s="95" t="s">
        <v>3210</v>
      </c>
      <c r="C404" s="95" t="s">
        <v>3329</v>
      </c>
      <c r="D404" s="93" t="s">
        <v>2568</v>
      </c>
      <c r="E404" s="92"/>
      <c r="F404" s="98">
        <v>1</v>
      </c>
      <c r="G404" s="92">
        <f t="shared" si="19"/>
        <v>1</v>
      </c>
      <c r="H404" s="180">
        <f t="shared" si="14"/>
        <v>1</v>
      </c>
      <c r="I404" s="92"/>
    </row>
    <row r="405" spans="1:9" ht="20.100000000000001" customHeight="1">
      <c r="A405" s="94"/>
      <c r="B405" s="95" t="s">
        <v>3210</v>
      </c>
      <c r="C405" s="95" t="s">
        <v>3330</v>
      </c>
      <c r="D405" s="93" t="s">
        <v>3182</v>
      </c>
      <c r="E405" s="92"/>
      <c r="F405" s="98">
        <v>1</v>
      </c>
      <c r="G405" s="92">
        <f t="shared" si="19"/>
        <v>1</v>
      </c>
      <c r="H405" s="180">
        <f t="shared" si="14"/>
        <v>1</v>
      </c>
      <c r="I405" s="92"/>
    </row>
    <row r="406" spans="1:9" ht="20.100000000000001" customHeight="1">
      <c r="A406" s="94"/>
      <c r="B406" s="95" t="s">
        <v>3210</v>
      </c>
      <c r="C406" s="95" t="s">
        <v>3331</v>
      </c>
      <c r="D406" s="93" t="s">
        <v>3182</v>
      </c>
      <c r="E406" s="92"/>
      <c r="F406" s="98">
        <v>3</v>
      </c>
      <c r="G406" s="92">
        <f t="shared" si="19"/>
        <v>3</v>
      </c>
      <c r="H406" s="180">
        <f t="shared" si="14"/>
        <v>3</v>
      </c>
      <c r="I406" s="92"/>
    </row>
    <row r="407" spans="1:9" ht="20.100000000000001" customHeight="1">
      <c r="A407" s="94"/>
      <c r="B407" s="95" t="s">
        <v>3210</v>
      </c>
      <c r="C407" s="95" t="s">
        <v>3332</v>
      </c>
      <c r="D407" s="93" t="s">
        <v>3182</v>
      </c>
      <c r="E407" s="92"/>
      <c r="F407" s="98">
        <v>2</v>
      </c>
      <c r="G407" s="92">
        <f t="shared" si="19"/>
        <v>2</v>
      </c>
      <c r="H407" s="180">
        <f t="shared" si="14"/>
        <v>2</v>
      </c>
      <c r="I407" s="92"/>
    </row>
    <row r="408" spans="1:9" ht="20.100000000000001" customHeight="1">
      <c r="A408" s="94"/>
      <c r="B408" s="95" t="s">
        <v>3210</v>
      </c>
      <c r="C408" s="95" t="s">
        <v>3333</v>
      </c>
      <c r="D408" s="93" t="s">
        <v>3182</v>
      </c>
      <c r="E408" s="92"/>
      <c r="F408" s="98">
        <v>2</v>
      </c>
      <c r="G408" s="92">
        <f t="shared" si="19"/>
        <v>2</v>
      </c>
      <c r="H408" s="180">
        <f t="shared" si="14"/>
        <v>2</v>
      </c>
      <c r="I408" s="92"/>
    </row>
    <row r="409" spans="1:9" ht="20.100000000000001" customHeight="1">
      <c r="A409" s="94"/>
      <c r="B409" s="95" t="s">
        <v>3210</v>
      </c>
      <c r="C409" s="95" t="s">
        <v>3334</v>
      </c>
      <c r="D409" s="93" t="s">
        <v>3182</v>
      </c>
      <c r="E409" s="92"/>
      <c r="F409" s="98">
        <v>3</v>
      </c>
      <c r="G409" s="92">
        <f t="shared" si="19"/>
        <v>3</v>
      </c>
      <c r="H409" s="180">
        <f t="shared" si="14"/>
        <v>3</v>
      </c>
      <c r="I409" s="92"/>
    </row>
    <row r="410" spans="1:9" ht="20.100000000000001" customHeight="1">
      <c r="A410" s="94"/>
      <c r="B410" s="95" t="s">
        <v>3210</v>
      </c>
      <c r="C410" s="95" t="s">
        <v>3336</v>
      </c>
      <c r="D410" s="93" t="s">
        <v>3182</v>
      </c>
      <c r="E410" s="92"/>
      <c r="F410" s="98">
        <v>1</v>
      </c>
      <c r="G410" s="92">
        <f t="shared" si="19"/>
        <v>1</v>
      </c>
      <c r="H410" s="180">
        <f t="shared" si="14"/>
        <v>1</v>
      </c>
      <c r="I410" s="92"/>
    </row>
    <row r="411" spans="1:9" ht="20.100000000000001" customHeight="1">
      <c r="A411" s="94"/>
      <c r="B411" s="95" t="s">
        <v>3210</v>
      </c>
      <c r="C411" s="91" t="s">
        <v>3337</v>
      </c>
      <c r="D411" s="93" t="s">
        <v>3182</v>
      </c>
      <c r="E411" s="92"/>
      <c r="F411" s="98">
        <v>1</v>
      </c>
      <c r="G411" s="92">
        <f t="shared" si="19"/>
        <v>1</v>
      </c>
      <c r="H411" s="180">
        <f t="shared" ref="H411:H479" si="20">G411</f>
        <v>1</v>
      </c>
      <c r="I411" s="92"/>
    </row>
    <row r="412" spans="1:9" ht="20.100000000000001" customHeight="1">
      <c r="A412" s="94"/>
      <c r="B412" s="95" t="s">
        <v>3210</v>
      </c>
      <c r="C412" s="95" t="s">
        <v>3335</v>
      </c>
      <c r="D412" s="93" t="s">
        <v>3182</v>
      </c>
      <c r="E412" s="92"/>
      <c r="F412" s="98">
        <v>1</v>
      </c>
      <c r="G412" s="92">
        <f t="shared" si="19"/>
        <v>1</v>
      </c>
      <c r="H412" s="180">
        <f t="shared" si="20"/>
        <v>1</v>
      </c>
      <c r="I412" s="92"/>
    </row>
    <row r="413" spans="1:9" ht="20.100000000000001" customHeight="1">
      <c r="A413" s="94"/>
      <c r="B413" s="95" t="s">
        <v>3338</v>
      </c>
      <c r="C413" s="95" t="s">
        <v>3339</v>
      </c>
      <c r="D413" s="93" t="s">
        <v>3182</v>
      </c>
      <c r="E413" s="92"/>
      <c r="F413" s="98">
        <v>1</v>
      </c>
      <c r="G413" s="92">
        <f t="shared" si="19"/>
        <v>1</v>
      </c>
      <c r="H413" s="180">
        <f t="shared" si="20"/>
        <v>1</v>
      </c>
      <c r="I413" s="92"/>
    </row>
    <row r="414" spans="1:9" ht="20.100000000000001" customHeight="1">
      <c r="A414" s="94"/>
      <c r="B414" s="95" t="s">
        <v>3338</v>
      </c>
      <c r="C414" s="95" t="s">
        <v>3340</v>
      </c>
      <c r="D414" s="93" t="s">
        <v>3182</v>
      </c>
      <c r="E414" s="92"/>
      <c r="F414" s="98">
        <v>1</v>
      </c>
      <c r="G414" s="92">
        <f t="shared" si="19"/>
        <v>1</v>
      </c>
      <c r="H414" s="180">
        <f t="shared" si="20"/>
        <v>1</v>
      </c>
      <c r="I414" s="92"/>
    </row>
    <row r="415" spans="1:9" ht="20.100000000000001" customHeight="1">
      <c r="A415" s="94"/>
      <c r="B415" s="95" t="s">
        <v>3338</v>
      </c>
      <c r="C415" s="95" t="s">
        <v>3341</v>
      </c>
      <c r="D415" s="93" t="s">
        <v>3182</v>
      </c>
      <c r="E415" s="92"/>
      <c r="F415" s="98">
        <v>1</v>
      </c>
      <c r="G415" s="92">
        <f t="shared" si="19"/>
        <v>1</v>
      </c>
      <c r="H415" s="180">
        <f t="shared" si="20"/>
        <v>1</v>
      </c>
      <c r="I415" s="92"/>
    </row>
    <row r="416" spans="1:9" ht="20.100000000000001" customHeight="1">
      <c r="A416" s="94"/>
      <c r="B416" s="95" t="s">
        <v>3338</v>
      </c>
      <c r="C416" s="95" t="s">
        <v>3342</v>
      </c>
      <c r="D416" s="93" t="s">
        <v>3182</v>
      </c>
      <c r="E416" s="92"/>
      <c r="F416" s="98">
        <v>1</v>
      </c>
      <c r="G416" s="92">
        <f t="shared" si="19"/>
        <v>1</v>
      </c>
      <c r="H416" s="180">
        <f t="shared" si="20"/>
        <v>1</v>
      </c>
      <c r="I416" s="92"/>
    </row>
    <row r="417" spans="1:9" ht="20.100000000000001" customHeight="1">
      <c r="A417" s="94"/>
      <c r="B417" s="95" t="s">
        <v>3338</v>
      </c>
      <c r="C417" s="95" t="s">
        <v>3343</v>
      </c>
      <c r="D417" s="93" t="s">
        <v>3182</v>
      </c>
      <c r="E417" s="92"/>
      <c r="F417" s="98">
        <v>1</v>
      </c>
      <c r="G417" s="92">
        <f t="shared" si="19"/>
        <v>1</v>
      </c>
      <c r="H417" s="180">
        <f t="shared" si="20"/>
        <v>1</v>
      </c>
      <c r="I417" s="92"/>
    </row>
    <row r="418" spans="1:9" ht="20.100000000000001" customHeight="1">
      <c r="A418" s="94"/>
      <c r="B418" s="95" t="s">
        <v>3338</v>
      </c>
      <c r="C418" s="95" t="s">
        <v>3344</v>
      </c>
      <c r="D418" s="93" t="s">
        <v>3182</v>
      </c>
      <c r="E418" s="92"/>
      <c r="F418" s="98">
        <v>1</v>
      </c>
      <c r="G418" s="92">
        <f t="shared" si="19"/>
        <v>1</v>
      </c>
      <c r="H418" s="180">
        <f t="shared" si="20"/>
        <v>1</v>
      </c>
      <c r="I418" s="92"/>
    </row>
    <row r="419" spans="1:9" ht="20.100000000000001" customHeight="1">
      <c r="A419" s="94"/>
      <c r="B419" s="95" t="s">
        <v>3338</v>
      </c>
      <c r="C419" s="95" t="s">
        <v>3345</v>
      </c>
      <c r="D419" s="93" t="s">
        <v>3182</v>
      </c>
      <c r="E419" s="92"/>
      <c r="F419" s="98">
        <v>1</v>
      </c>
      <c r="G419" s="92">
        <f t="shared" si="19"/>
        <v>1</v>
      </c>
      <c r="H419" s="180">
        <f t="shared" si="20"/>
        <v>1</v>
      </c>
      <c r="I419" s="92"/>
    </row>
    <row r="420" spans="1:9" ht="20.100000000000001" customHeight="1">
      <c r="A420" s="94"/>
      <c r="B420" s="95" t="s">
        <v>3338</v>
      </c>
      <c r="C420" s="95" t="s">
        <v>3346</v>
      </c>
      <c r="D420" s="93" t="s">
        <v>3182</v>
      </c>
      <c r="E420" s="92"/>
      <c r="F420" s="98">
        <v>1</v>
      </c>
      <c r="G420" s="92">
        <f t="shared" si="19"/>
        <v>1</v>
      </c>
      <c r="H420" s="180">
        <f t="shared" si="20"/>
        <v>1</v>
      </c>
      <c r="I420" s="92"/>
    </row>
    <row r="421" spans="1:9" ht="20.100000000000001" customHeight="1">
      <c r="A421" s="94"/>
      <c r="B421" s="95" t="s">
        <v>3338</v>
      </c>
      <c r="C421" s="95" t="s">
        <v>3347</v>
      </c>
      <c r="D421" s="93" t="s">
        <v>3182</v>
      </c>
      <c r="E421" s="92"/>
      <c r="F421" s="98">
        <v>1</v>
      </c>
      <c r="G421" s="92">
        <f t="shared" si="19"/>
        <v>1</v>
      </c>
      <c r="H421" s="180">
        <f t="shared" si="20"/>
        <v>1</v>
      </c>
    </row>
    <row r="422" spans="1:9" ht="20.100000000000001" customHeight="1">
      <c r="A422" s="94"/>
      <c r="B422" s="95" t="s">
        <v>3338</v>
      </c>
      <c r="C422" s="95" t="s">
        <v>3348</v>
      </c>
      <c r="D422" s="93" t="s">
        <v>3182</v>
      </c>
      <c r="E422" s="92"/>
      <c r="F422" s="98">
        <v>1</v>
      </c>
      <c r="G422" s="92">
        <f t="shared" si="19"/>
        <v>1</v>
      </c>
      <c r="H422" s="180">
        <f t="shared" si="20"/>
        <v>1</v>
      </c>
      <c r="I422" s="92"/>
    </row>
    <row r="423" spans="1:9" ht="20.100000000000001" customHeight="1">
      <c r="A423" s="94"/>
      <c r="B423" s="95" t="s">
        <v>3338</v>
      </c>
      <c r="C423" s="95" t="s">
        <v>3349</v>
      </c>
      <c r="D423" s="93" t="s">
        <v>3182</v>
      </c>
      <c r="E423" s="92"/>
      <c r="F423" s="98">
        <v>1</v>
      </c>
      <c r="G423" s="92">
        <f t="shared" ref="G423:G479" si="21">F423</f>
        <v>1</v>
      </c>
      <c r="H423" s="180">
        <f t="shared" si="20"/>
        <v>1</v>
      </c>
      <c r="I423" s="92"/>
    </row>
    <row r="424" spans="1:9" ht="20.100000000000001" customHeight="1">
      <c r="A424" s="94"/>
      <c r="B424" s="95" t="s">
        <v>3338</v>
      </c>
      <c r="C424" s="95" t="s">
        <v>3350</v>
      </c>
      <c r="D424" s="93" t="s">
        <v>3182</v>
      </c>
      <c r="E424" s="92"/>
      <c r="F424" s="98">
        <v>1</v>
      </c>
      <c r="G424" s="92">
        <f t="shared" si="21"/>
        <v>1</v>
      </c>
      <c r="H424" s="180">
        <f t="shared" si="20"/>
        <v>1</v>
      </c>
      <c r="I424" s="92"/>
    </row>
    <row r="425" spans="1:9" ht="20.100000000000001" customHeight="1">
      <c r="A425" s="94"/>
      <c r="B425" s="95" t="s">
        <v>3338</v>
      </c>
      <c r="C425" s="95" t="s">
        <v>3351</v>
      </c>
      <c r="D425" s="93" t="s">
        <v>3182</v>
      </c>
      <c r="E425" s="92"/>
      <c r="F425" s="98">
        <v>1</v>
      </c>
      <c r="G425" s="92">
        <f t="shared" si="21"/>
        <v>1</v>
      </c>
      <c r="H425" s="180">
        <f t="shared" si="20"/>
        <v>1</v>
      </c>
      <c r="I425" s="92"/>
    </row>
    <row r="426" spans="1:9" ht="20.100000000000001" customHeight="1">
      <c r="A426" s="94"/>
      <c r="B426" s="95" t="s">
        <v>3338</v>
      </c>
      <c r="C426" s="95" t="s">
        <v>3352</v>
      </c>
      <c r="D426" s="93" t="s">
        <v>3182</v>
      </c>
      <c r="E426" s="92"/>
      <c r="F426" s="98">
        <v>1</v>
      </c>
      <c r="G426" s="92">
        <f t="shared" si="21"/>
        <v>1</v>
      </c>
      <c r="H426" s="180">
        <f t="shared" si="20"/>
        <v>1</v>
      </c>
      <c r="I426" s="92"/>
    </row>
    <row r="427" spans="1:9" ht="20.100000000000001" customHeight="1">
      <c r="A427" s="94"/>
      <c r="B427" s="95" t="s">
        <v>3338</v>
      </c>
      <c r="C427" s="95" t="s">
        <v>3353</v>
      </c>
      <c r="D427" s="93" t="s">
        <v>3182</v>
      </c>
      <c r="E427" s="92"/>
      <c r="F427" s="98">
        <v>1</v>
      </c>
      <c r="G427" s="92">
        <f t="shared" si="21"/>
        <v>1</v>
      </c>
      <c r="H427" s="180">
        <f t="shared" si="20"/>
        <v>1</v>
      </c>
      <c r="I427" s="92"/>
    </row>
    <row r="428" spans="1:9" ht="20.100000000000001" customHeight="1">
      <c r="A428" s="94"/>
      <c r="B428" s="95" t="s">
        <v>3338</v>
      </c>
      <c r="C428" s="95" t="s">
        <v>3354</v>
      </c>
      <c r="D428" s="93" t="s">
        <v>3182</v>
      </c>
      <c r="E428" s="92"/>
      <c r="F428" s="98">
        <v>3</v>
      </c>
      <c r="G428" s="92">
        <f t="shared" si="21"/>
        <v>3</v>
      </c>
      <c r="H428" s="180">
        <f t="shared" si="20"/>
        <v>3</v>
      </c>
      <c r="I428" s="92"/>
    </row>
    <row r="429" spans="1:9" ht="20.100000000000001" customHeight="1">
      <c r="A429" s="94"/>
      <c r="B429" s="95" t="s">
        <v>3338</v>
      </c>
      <c r="C429" s="95" t="s">
        <v>3355</v>
      </c>
      <c r="D429" s="93" t="s">
        <v>3182</v>
      </c>
      <c r="E429" s="92"/>
      <c r="F429" s="98">
        <v>1</v>
      </c>
      <c r="G429" s="92">
        <f t="shared" si="21"/>
        <v>1</v>
      </c>
      <c r="H429" s="180">
        <f t="shared" si="20"/>
        <v>1</v>
      </c>
    </row>
    <row r="430" spans="1:9" ht="20.100000000000001" customHeight="1">
      <c r="A430" s="94"/>
      <c r="B430" s="95" t="s">
        <v>3338</v>
      </c>
      <c r="C430" s="95" t="s">
        <v>3356</v>
      </c>
      <c r="D430" s="93" t="s">
        <v>3182</v>
      </c>
      <c r="E430" s="92"/>
      <c r="F430" s="98">
        <v>2</v>
      </c>
      <c r="G430" s="92">
        <f t="shared" si="21"/>
        <v>2</v>
      </c>
      <c r="H430" s="180">
        <f t="shared" si="20"/>
        <v>2</v>
      </c>
      <c r="I430" s="92"/>
    </row>
    <row r="431" spans="1:9" ht="20.100000000000001" customHeight="1">
      <c r="A431" s="94"/>
      <c r="B431" s="95" t="s">
        <v>3338</v>
      </c>
      <c r="C431" s="95" t="s">
        <v>3357</v>
      </c>
      <c r="D431" s="93" t="s">
        <v>3182</v>
      </c>
      <c r="E431" s="92"/>
      <c r="F431" s="98">
        <v>2</v>
      </c>
      <c r="G431" s="92">
        <f t="shared" si="21"/>
        <v>2</v>
      </c>
      <c r="H431" s="180">
        <f t="shared" si="20"/>
        <v>2</v>
      </c>
      <c r="I431" s="92"/>
    </row>
    <row r="432" spans="1:9" ht="20.100000000000001" customHeight="1">
      <c r="A432" s="94"/>
      <c r="B432" s="95" t="s">
        <v>3338</v>
      </c>
      <c r="C432" s="95" t="s">
        <v>3358</v>
      </c>
      <c r="D432" s="93" t="s">
        <v>3182</v>
      </c>
      <c r="E432" s="92"/>
      <c r="F432" s="98">
        <v>1</v>
      </c>
      <c r="G432" s="92">
        <f t="shared" si="21"/>
        <v>1</v>
      </c>
      <c r="H432" s="180">
        <f t="shared" si="20"/>
        <v>1</v>
      </c>
      <c r="I432" s="92"/>
    </row>
    <row r="433" spans="1:9" ht="20.100000000000001" customHeight="1">
      <c r="A433" s="94"/>
      <c r="B433" s="95" t="s">
        <v>3338</v>
      </c>
      <c r="C433" s="95" t="s">
        <v>3359</v>
      </c>
      <c r="D433" s="93" t="s">
        <v>3182</v>
      </c>
      <c r="E433" s="92"/>
      <c r="F433" s="98">
        <v>1</v>
      </c>
      <c r="G433" s="92">
        <f t="shared" si="21"/>
        <v>1</v>
      </c>
      <c r="H433" s="180">
        <f t="shared" si="20"/>
        <v>1</v>
      </c>
      <c r="I433" s="92"/>
    </row>
    <row r="434" spans="1:9" ht="20.100000000000001" customHeight="1">
      <c r="A434" s="94"/>
      <c r="B434" s="95" t="s">
        <v>3338</v>
      </c>
      <c r="C434" s="95" t="s">
        <v>3360</v>
      </c>
      <c r="D434" s="93" t="s">
        <v>3182</v>
      </c>
      <c r="E434" s="92"/>
      <c r="F434" s="98">
        <v>1</v>
      </c>
      <c r="G434" s="92">
        <f t="shared" si="21"/>
        <v>1</v>
      </c>
      <c r="H434" s="180">
        <f t="shared" si="20"/>
        <v>1</v>
      </c>
      <c r="I434" s="92"/>
    </row>
    <row r="435" spans="1:9" ht="20.100000000000001" customHeight="1">
      <c r="A435" s="94"/>
      <c r="B435" s="95" t="s">
        <v>3338</v>
      </c>
      <c r="C435" s="95" t="s">
        <v>3361</v>
      </c>
      <c r="D435" s="93" t="s">
        <v>3182</v>
      </c>
      <c r="E435" s="92"/>
      <c r="F435" s="98">
        <v>1</v>
      </c>
      <c r="G435" s="92">
        <f t="shared" si="21"/>
        <v>1</v>
      </c>
      <c r="H435" s="180">
        <f t="shared" si="20"/>
        <v>1</v>
      </c>
      <c r="I435" s="92"/>
    </row>
    <row r="436" spans="1:9" ht="20.100000000000001" customHeight="1">
      <c r="A436" s="94"/>
      <c r="B436" s="95" t="s">
        <v>3338</v>
      </c>
      <c r="C436" s="95" t="s">
        <v>3362</v>
      </c>
      <c r="D436" s="93" t="s">
        <v>3182</v>
      </c>
      <c r="E436" s="92"/>
      <c r="F436" s="98">
        <v>1</v>
      </c>
      <c r="G436" s="92">
        <f t="shared" si="21"/>
        <v>1</v>
      </c>
      <c r="H436" s="180">
        <f t="shared" si="20"/>
        <v>1</v>
      </c>
      <c r="I436" s="92"/>
    </row>
    <row r="437" spans="1:9" ht="20.100000000000001" customHeight="1">
      <c r="A437" s="94"/>
      <c r="B437" s="95" t="s">
        <v>3338</v>
      </c>
      <c r="C437" s="95" t="s">
        <v>3363</v>
      </c>
      <c r="D437" s="93" t="s">
        <v>3182</v>
      </c>
      <c r="E437" s="92"/>
      <c r="F437" s="98">
        <v>1</v>
      </c>
      <c r="G437" s="92">
        <f t="shared" si="21"/>
        <v>1</v>
      </c>
      <c r="H437" s="180">
        <f t="shared" si="20"/>
        <v>1</v>
      </c>
      <c r="I437" s="92"/>
    </row>
    <row r="438" spans="1:9" ht="20.100000000000001" customHeight="1">
      <c r="A438" s="94"/>
      <c r="B438" s="95" t="s">
        <v>3211</v>
      </c>
      <c r="C438" s="95" t="s">
        <v>3364</v>
      </c>
      <c r="D438" s="93" t="s">
        <v>3182</v>
      </c>
      <c r="E438" s="92"/>
      <c r="F438" s="98">
        <v>1</v>
      </c>
      <c r="G438" s="92">
        <f t="shared" si="21"/>
        <v>1</v>
      </c>
      <c r="H438" s="180">
        <f t="shared" si="20"/>
        <v>1</v>
      </c>
      <c r="I438" s="92"/>
    </row>
    <row r="439" spans="1:9" ht="20.100000000000001" customHeight="1">
      <c r="A439" s="94"/>
      <c r="B439" s="95" t="s">
        <v>3365</v>
      </c>
      <c r="C439" s="95" t="s">
        <v>3366</v>
      </c>
      <c r="D439" s="93" t="s">
        <v>3182</v>
      </c>
      <c r="E439" s="92"/>
      <c r="F439" s="98">
        <v>1</v>
      </c>
      <c r="G439" s="92">
        <f t="shared" si="21"/>
        <v>1</v>
      </c>
      <c r="H439" s="180">
        <f t="shared" si="20"/>
        <v>1</v>
      </c>
      <c r="I439" s="92"/>
    </row>
    <row r="440" spans="1:9" ht="20.100000000000001" customHeight="1">
      <c r="A440" s="94"/>
      <c r="B440" s="95" t="s">
        <v>3365</v>
      </c>
      <c r="C440" s="95" t="s">
        <v>3367</v>
      </c>
      <c r="D440" s="93" t="s">
        <v>2568</v>
      </c>
      <c r="E440" s="92"/>
      <c r="F440" s="98">
        <v>1</v>
      </c>
      <c r="G440" s="92">
        <f t="shared" si="21"/>
        <v>1</v>
      </c>
      <c r="H440" s="180">
        <f t="shared" si="20"/>
        <v>1</v>
      </c>
      <c r="I440" s="92"/>
    </row>
    <row r="441" spans="1:9" ht="20.100000000000001" customHeight="1">
      <c r="A441" s="94"/>
      <c r="B441" s="95" t="s">
        <v>3365</v>
      </c>
      <c r="C441" s="95" t="s">
        <v>3368</v>
      </c>
      <c r="D441" s="93" t="s">
        <v>2568</v>
      </c>
      <c r="E441" s="92"/>
      <c r="F441" s="98">
        <v>1</v>
      </c>
      <c r="G441" s="92">
        <f t="shared" si="21"/>
        <v>1</v>
      </c>
      <c r="H441" s="180">
        <f t="shared" si="20"/>
        <v>1</v>
      </c>
      <c r="I441" s="92"/>
    </row>
    <row r="442" spans="1:9" ht="20.100000000000001" customHeight="1">
      <c r="A442" s="94"/>
      <c r="B442" s="95" t="s">
        <v>3365</v>
      </c>
      <c r="C442" s="95" t="s">
        <v>3369</v>
      </c>
      <c r="D442" s="93" t="s">
        <v>2568</v>
      </c>
      <c r="E442" s="92"/>
      <c r="F442" s="98">
        <v>1</v>
      </c>
      <c r="G442" s="92">
        <f t="shared" si="21"/>
        <v>1</v>
      </c>
      <c r="H442" s="180">
        <f t="shared" si="20"/>
        <v>1</v>
      </c>
      <c r="I442" s="92"/>
    </row>
    <row r="443" spans="1:9" ht="20.100000000000001" customHeight="1">
      <c r="A443" s="94"/>
      <c r="B443" s="95" t="s">
        <v>3365</v>
      </c>
      <c r="C443" s="95" t="s">
        <v>3370</v>
      </c>
      <c r="D443" s="93" t="s">
        <v>2568</v>
      </c>
      <c r="E443" s="92"/>
      <c r="F443" s="98">
        <v>1</v>
      </c>
      <c r="G443" s="92">
        <f t="shared" si="21"/>
        <v>1</v>
      </c>
      <c r="H443" s="180">
        <f t="shared" si="20"/>
        <v>1</v>
      </c>
      <c r="I443" s="92"/>
    </row>
    <row r="444" spans="1:9" ht="20.100000000000001" customHeight="1">
      <c r="A444" s="94"/>
      <c r="B444" s="95" t="s">
        <v>3365</v>
      </c>
      <c r="C444" s="95" t="s">
        <v>3371</v>
      </c>
      <c r="D444" s="93" t="s">
        <v>2568</v>
      </c>
      <c r="E444" s="92"/>
      <c r="F444" s="98">
        <v>1</v>
      </c>
      <c r="G444" s="92">
        <f t="shared" si="21"/>
        <v>1</v>
      </c>
      <c r="H444" s="180">
        <f t="shared" si="20"/>
        <v>1</v>
      </c>
      <c r="I444" s="92"/>
    </row>
    <row r="445" spans="1:9" ht="20.100000000000001" customHeight="1">
      <c r="A445" s="94"/>
      <c r="B445" s="95" t="s">
        <v>3365</v>
      </c>
      <c r="C445" s="95" t="s">
        <v>3372</v>
      </c>
      <c r="D445" s="93" t="s">
        <v>2568</v>
      </c>
      <c r="E445" s="92"/>
      <c r="F445" s="98">
        <v>2</v>
      </c>
      <c r="G445" s="92">
        <f t="shared" si="21"/>
        <v>2</v>
      </c>
      <c r="H445" s="180">
        <f t="shared" si="20"/>
        <v>2</v>
      </c>
      <c r="I445" s="92"/>
    </row>
    <row r="446" spans="1:9" ht="20.100000000000001" customHeight="1">
      <c r="A446" s="94"/>
      <c r="B446" s="95" t="s">
        <v>3365</v>
      </c>
      <c r="C446" s="95" t="s">
        <v>3373</v>
      </c>
      <c r="D446" s="93" t="s">
        <v>2568</v>
      </c>
      <c r="E446" s="92"/>
      <c r="F446" s="98">
        <v>1</v>
      </c>
      <c r="G446" s="92">
        <f t="shared" si="21"/>
        <v>1</v>
      </c>
      <c r="H446" s="180">
        <f t="shared" si="20"/>
        <v>1</v>
      </c>
      <c r="I446" s="92"/>
    </row>
    <row r="447" spans="1:9" ht="20.100000000000001" customHeight="1">
      <c r="A447" s="94"/>
      <c r="B447" s="95" t="s">
        <v>3365</v>
      </c>
      <c r="C447" s="95" t="s">
        <v>3374</v>
      </c>
      <c r="D447" s="93" t="s">
        <v>2568</v>
      </c>
      <c r="E447" s="92"/>
      <c r="F447" s="98">
        <v>1</v>
      </c>
      <c r="G447" s="92">
        <f t="shared" si="21"/>
        <v>1</v>
      </c>
      <c r="H447" s="180">
        <f t="shared" si="20"/>
        <v>1</v>
      </c>
      <c r="I447" s="92"/>
    </row>
    <row r="448" spans="1:9" ht="20.100000000000001" customHeight="1">
      <c r="A448" s="94"/>
      <c r="B448" s="95" t="s">
        <v>3365</v>
      </c>
      <c r="C448" s="95" t="s">
        <v>3375</v>
      </c>
      <c r="D448" s="93" t="s">
        <v>2568</v>
      </c>
      <c r="E448" s="92"/>
      <c r="F448" s="98">
        <v>1</v>
      </c>
      <c r="G448" s="92">
        <f t="shared" si="21"/>
        <v>1</v>
      </c>
      <c r="H448" s="180">
        <f t="shared" si="20"/>
        <v>1</v>
      </c>
      <c r="I448" s="92"/>
    </row>
    <row r="449" spans="1:9" s="57" customFormat="1" ht="20.100000000000001" customHeight="1">
      <c r="A449" s="94"/>
      <c r="B449" s="95" t="s">
        <v>3365</v>
      </c>
      <c r="C449" s="95" t="s">
        <v>3376</v>
      </c>
      <c r="D449" s="93" t="s">
        <v>2568</v>
      </c>
      <c r="E449" s="92"/>
      <c r="F449" s="98">
        <v>1</v>
      </c>
      <c r="G449" s="92">
        <f t="shared" si="21"/>
        <v>1</v>
      </c>
      <c r="H449" s="180">
        <f t="shared" si="20"/>
        <v>1</v>
      </c>
      <c r="I449" s="92"/>
    </row>
    <row r="450" spans="1:9" s="57" customFormat="1" ht="20.100000000000001" customHeight="1">
      <c r="A450" s="94"/>
      <c r="B450" s="95" t="s">
        <v>3365</v>
      </c>
      <c r="C450" s="95" t="s">
        <v>3377</v>
      </c>
      <c r="D450" s="93" t="s">
        <v>2568</v>
      </c>
      <c r="E450" s="92"/>
      <c r="F450" s="98">
        <v>1</v>
      </c>
      <c r="G450" s="92">
        <f t="shared" si="21"/>
        <v>1</v>
      </c>
      <c r="H450" s="180">
        <f t="shared" si="20"/>
        <v>1</v>
      </c>
      <c r="I450" s="92"/>
    </row>
    <row r="451" spans="1:9" s="57" customFormat="1" ht="20.100000000000001" customHeight="1">
      <c r="A451" s="94"/>
      <c r="B451" s="95" t="s">
        <v>3365</v>
      </c>
      <c r="C451" s="95" t="s">
        <v>3378</v>
      </c>
      <c r="D451" s="93" t="s">
        <v>2568</v>
      </c>
      <c r="E451" s="92"/>
      <c r="F451" s="98">
        <v>1</v>
      </c>
      <c r="G451" s="92">
        <f t="shared" si="21"/>
        <v>1</v>
      </c>
      <c r="H451" s="180">
        <f t="shared" si="20"/>
        <v>1</v>
      </c>
      <c r="I451" s="92"/>
    </row>
    <row r="452" spans="1:9" s="57" customFormat="1" ht="20.100000000000001" customHeight="1">
      <c r="A452" s="94"/>
      <c r="B452" s="95" t="s">
        <v>3365</v>
      </c>
      <c r="C452" s="95" t="s">
        <v>3379</v>
      </c>
      <c r="D452" s="93" t="s">
        <v>2568</v>
      </c>
      <c r="E452" s="92"/>
      <c r="F452" s="98">
        <v>1</v>
      </c>
      <c r="G452" s="92">
        <f t="shared" si="21"/>
        <v>1</v>
      </c>
      <c r="H452" s="180">
        <f t="shared" si="20"/>
        <v>1</v>
      </c>
      <c r="I452" s="92"/>
    </row>
    <row r="453" spans="1:9" ht="20.100000000000001" customHeight="1">
      <c r="A453" s="94"/>
      <c r="B453" s="95" t="s">
        <v>3365</v>
      </c>
      <c r="C453" s="95" t="s">
        <v>3380</v>
      </c>
      <c r="D453" s="93" t="s">
        <v>2568</v>
      </c>
      <c r="E453" s="92"/>
      <c r="F453" s="98">
        <v>1</v>
      </c>
      <c r="G453" s="92">
        <f t="shared" si="21"/>
        <v>1</v>
      </c>
      <c r="H453" s="180">
        <f t="shared" si="20"/>
        <v>1</v>
      </c>
      <c r="I453" s="92"/>
    </row>
    <row r="454" spans="1:9" s="132" customFormat="1" ht="20.100000000000001" customHeight="1">
      <c r="A454" s="94"/>
      <c r="B454" s="95" t="s">
        <v>3365</v>
      </c>
      <c r="C454" s="95" t="s">
        <v>3381</v>
      </c>
      <c r="D454" s="93" t="s">
        <v>2568</v>
      </c>
      <c r="E454" s="92"/>
      <c r="F454" s="98">
        <v>1</v>
      </c>
      <c r="G454" s="92">
        <f t="shared" si="21"/>
        <v>1</v>
      </c>
      <c r="H454" s="180">
        <f t="shared" si="20"/>
        <v>1</v>
      </c>
      <c r="I454" s="92"/>
    </row>
    <row r="455" spans="1:9" ht="20.100000000000001" customHeight="1">
      <c r="A455" s="94"/>
      <c r="B455" s="95" t="s">
        <v>3365</v>
      </c>
      <c r="C455" s="95" t="s">
        <v>3382</v>
      </c>
      <c r="D455" s="93" t="s">
        <v>2568</v>
      </c>
      <c r="E455" s="92"/>
      <c r="F455" s="98">
        <v>1</v>
      </c>
      <c r="G455" s="92">
        <f t="shared" si="21"/>
        <v>1</v>
      </c>
      <c r="H455" s="180">
        <f t="shared" si="20"/>
        <v>1</v>
      </c>
      <c r="I455" s="92"/>
    </row>
    <row r="456" spans="1:9" ht="20.100000000000001" customHeight="1">
      <c r="A456" s="94"/>
      <c r="B456" s="95" t="s">
        <v>3365</v>
      </c>
      <c r="C456" s="95" t="s">
        <v>3383</v>
      </c>
      <c r="D456" s="93" t="s">
        <v>2568</v>
      </c>
      <c r="E456" s="92"/>
      <c r="F456" s="98">
        <v>1</v>
      </c>
      <c r="G456" s="92">
        <f t="shared" si="21"/>
        <v>1</v>
      </c>
      <c r="H456" s="180">
        <f t="shared" si="20"/>
        <v>1</v>
      </c>
      <c r="I456" s="92"/>
    </row>
    <row r="457" spans="1:9" ht="20.100000000000001" customHeight="1">
      <c r="A457" s="94"/>
      <c r="B457" s="95" t="s">
        <v>3365</v>
      </c>
      <c r="C457" s="95" t="s">
        <v>3384</v>
      </c>
      <c r="D457" s="93" t="s">
        <v>2568</v>
      </c>
      <c r="E457" s="92"/>
      <c r="F457" s="98">
        <v>1</v>
      </c>
      <c r="G457" s="92">
        <f t="shared" si="21"/>
        <v>1</v>
      </c>
      <c r="H457" s="180">
        <f t="shared" si="20"/>
        <v>1</v>
      </c>
      <c r="I457" s="92"/>
    </row>
    <row r="458" spans="1:9" ht="20.100000000000001" customHeight="1">
      <c r="A458" s="94"/>
      <c r="B458" s="95" t="s">
        <v>3365</v>
      </c>
      <c r="C458" s="95" t="s">
        <v>3385</v>
      </c>
      <c r="D458" s="93" t="s">
        <v>2568</v>
      </c>
      <c r="E458" s="92"/>
      <c r="F458" s="98">
        <v>1</v>
      </c>
      <c r="G458" s="92">
        <f t="shared" si="21"/>
        <v>1</v>
      </c>
      <c r="H458" s="180">
        <f t="shared" si="20"/>
        <v>1</v>
      </c>
      <c r="I458" s="92"/>
    </row>
    <row r="459" spans="1:9" ht="20.100000000000001" customHeight="1">
      <c r="A459" s="94"/>
      <c r="B459" s="95" t="s">
        <v>3365</v>
      </c>
      <c r="C459" s="95" t="s">
        <v>3386</v>
      </c>
      <c r="D459" s="93" t="s">
        <v>2568</v>
      </c>
      <c r="E459" s="92"/>
      <c r="F459" s="98">
        <v>1</v>
      </c>
      <c r="G459" s="92">
        <f t="shared" si="21"/>
        <v>1</v>
      </c>
      <c r="H459" s="180">
        <f t="shared" si="20"/>
        <v>1</v>
      </c>
      <c r="I459" s="92"/>
    </row>
    <row r="460" spans="1:9" ht="20.100000000000001" customHeight="1">
      <c r="A460" s="94"/>
      <c r="B460" s="95" t="s">
        <v>3365</v>
      </c>
      <c r="C460" s="95" t="s">
        <v>3387</v>
      </c>
      <c r="D460" s="93" t="s">
        <v>2568</v>
      </c>
      <c r="E460" s="92"/>
      <c r="F460" s="98">
        <v>1</v>
      </c>
      <c r="G460" s="92">
        <f t="shared" si="21"/>
        <v>1</v>
      </c>
      <c r="H460" s="180">
        <f t="shared" si="20"/>
        <v>1</v>
      </c>
      <c r="I460" s="92"/>
    </row>
    <row r="461" spans="1:9" ht="20.100000000000001" customHeight="1">
      <c r="A461" s="94"/>
      <c r="B461" s="95" t="s">
        <v>3365</v>
      </c>
      <c r="C461" s="95" t="s">
        <v>3388</v>
      </c>
      <c r="D461" s="93" t="s">
        <v>2568</v>
      </c>
      <c r="E461" s="92"/>
      <c r="F461" s="98">
        <v>1</v>
      </c>
      <c r="G461" s="92">
        <f t="shared" si="21"/>
        <v>1</v>
      </c>
      <c r="H461" s="180">
        <f t="shared" si="20"/>
        <v>1</v>
      </c>
      <c r="I461" s="92"/>
    </row>
    <row r="462" spans="1:9" ht="20.100000000000001" customHeight="1">
      <c r="A462" s="94"/>
      <c r="B462" s="95" t="s">
        <v>3365</v>
      </c>
      <c r="C462" s="95" t="s">
        <v>3389</v>
      </c>
      <c r="D462" s="93" t="s">
        <v>2568</v>
      </c>
      <c r="E462" s="92"/>
      <c r="F462" s="98">
        <v>1</v>
      </c>
      <c r="G462" s="92">
        <f t="shared" si="21"/>
        <v>1</v>
      </c>
      <c r="H462" s="180">
        <f t="shared" si="20"/>
        <v>1</v>
      </c>
      <c r="I462" s="92"/>
    </row>
    <row r="463" spans="1:9" ht="20.100000000000001" customHeight="1">
      <c r="A463" s="94"/>
      <c r="B463" s="95" t="s">
        <v>3365</v>
      </c>
      <c r="C463" s="95" t="s">
        <v>3390</v>
      </c>
      <c r="D463" s="93" t="s">
        <v>2568</v>
      </c>
      <c r="E463" s="92"/>
      <c r="F463" s="98">
        <v>1</v>
      </c>
      <c r="G463" s="92">
        <f t="shared" si="21"/>
        <v>1</v>
      </c>
      <c r="H463" s="180">
        <f t="shared" si="20"/>
        <v>1</v>
      </c>
      <c r="I463" s="92"/>
    </row>
    <row r="464" spans="1:9" ht="20.100000000000001" customHeight="1">
      <c r="A464" s="94"/>
      <c r="B464" s="95" t="s">
        <v>3365</v>
      </c>
      <c r="C464" s="95" t="s">
        <v>3391</v>
      </c>
      <c r="D464" s="93" t="s">
        <v>2568</v>
      </c>
      <c r="E464" s="92"/>
      <c r="F464" s="98">
        <v>1</v>
      </c>
      <c r="G464" s="92">
        <f t="shared" si="21"/>
        <v>1</v>
      </c>
      <c r="H464" s="180">
        <f t="shared" si="20"/>
        <v>1</v>
      </c>
      <c r="I464" s="92"/>
    </row>
    <row r="465" spans="1:9" ht="20.100000000000001" customHeight="1">
      <c r="A465" s="94"/>
      <c r="B465" s="95" t="s">
        <v>3365</v>
      </c>
      <c r="C465" s="95" t="s">
        <v>3392</v>
      </c>
      <c r="D465" s="93" t="s">
        <v>2568</v>
      </c>
      <c r="E465" s="92"/>
      <c r="F465" s="98">
        <v>1</v>
      </c>
      <c r="G465" s="92">
        <f t="shared" si="21"/>
        <v>1</v>
      </c>
      <c r="H465" s="180">
        <f t="shared" si="20"/>
        <v>1</v>
      </c>
      <c r="I465" s="92"/>
    </row>
    <row r="466" spans="1:9" s="132" customFormat="1" ht="20.100000000000001" customHeight="1">
      <c r="A466" s="94"/>
      <c r="B466" s="95" t="s">
        <v>3365</v>
      </c>
      <c r="C466" s="95" t="s">
        <v>3393</v>
      </c>
      <c r="D466" s="93" t="s">
        <v>2568</v>
      </c>
      <c r="E466" s="92"/>
      <c r="F466" s="98">
        <v>1</v>
      </c>
      <c r="G466" s="92">
        <f t="shared" si="21"/>
        <v>1</v>
      </c>
      <c r="H466" s="180">
        <f t="shared" si="20"/>
        <v>1</v>
      </c>
      <c r="I466" s="92"/>
    </row>
    <row r="467" spans="1:9" ht="20.100000000000001" customHeight="1">
      <c r="A467" s="94"/>
      <c r="B467" s="95" t="s">
        <v>3394</v>
      </c>
      <c r="C467" s="95" t="s">
        <v>3395</v>
      </c>
      <c r="D467" s="93" t="s">
        <v>2568</v>
      </c>
      <c r="E467" s="92"/>
      <c r="F467" s="98">
        <v>1</v>
      </c>
      <c r="G467" s="92">
        <f t="shared" si="21"/>
        <v>1</v>
      </c>
      <c r="H467" s="180">
        <f t="shared" si="20"/>
        <v>1</v>
      </c>
      <c r="I467" s="92"/>
    </row>
    <row r="468" spans="1:9" ht="20.100000000000001" customHeight="1">
      <c r="A468" s="94"/>
      <c r="B468" s="95" t="s">
        <v>3394</v>
      </c>
      <c r="C468" s="95" t="s">
        <v>3396</v>
      </c>
      <c r="D468" s="93" t="s">
        <v>2568</v>
      </c>
      <c r="E468" s="92"/>
      <c r="F468" s="98">
        <v>2</v>
      </c>
      <c r="G468" s="92">
        <f t="shared" si="21"/>
        <v>2</v>
      </c>
      <c r="H468" s="180">
        <f t="shared" si="20"/>
        <v>2</v>
      </c>
      <c r="I468" s="92"/>
    </row>
    <row r="469" spans="1:9" ht="20.100000000000001" customHeight="1">
      <c r="A469" s="94"/>
      <c r="B469" s="95" t="s">
        <v>3394</v>
      </c>
      <c r="C469" s="95" t="s">
        <v>3397</v>
      </c>
      <c r="D469" s="93" t="s">
        <v>2568</v>
      </c>
      <c r="E469" s="92"/>
      <c r="F469" s="98">
        <v>1</v>
      </c>
      <c r="G469" s="92">
        <f t="shared" si="21"/>
        <v>1</v>
      </c>
      <c r="H469" s="180">
        <f t="shared" si="20"/>
        <v>1</v>
      </c>
      <c r="I469" s="92"/>
    </row>
    <row r="470" spans="1:9" ht="20.100000000000001" customHeight="1">
      <c r="A470" s="94"/>
      <c r="B470" s="95" t="s">
        <v>3394</v>
      </c>
      <c r="C470" s="95" t="s">
        <v>3398</v>
      </c>
      <c r="D470" s="93" t="s">
        <v>2568</v>
      </c>
      <c r="E470" s="92"/>
      <c r="F470" s="98">
        <v>1</v>
      </c>
      <c r="G470" s="92">
        <f t="shared" si="21"/>
        <v>1</v>
      </c>
      <c r="H470" s="180">
        <f t="shared" si="20"/>
        <v>1</v>
      </c>
      <c r="I470" s="92"/>
    </row>
    <row r="471" spans="1:9" ht="20.100000000000001" customHeight="1">
      <c r="A471" s="94"/>
      <c r="B471" s="95" t="s">
        <v>3399</v>
      </c>
      <c r="C471" s="95" t="s">
        <v>3403</v>
      </c>
      <c r="D471" s="93" t="s">
        <v>2568</v>
      </c>
      <c r="E471" s="92"/>
      <c r="F471" s="98">
        <v>1</v>
      </c>
      <c r="G471" s="92">
        <f t="shared" si="21"/>
        <v>1</v>
      </c>
      <c r="H471" s="180">
        <f t="shared" si="20"/>
        <v>1</v>
      </c>
      <c r="I471" s="92"/>
    </row>
    <row r="472" spans="1:9" ht="20.100000000000001" customHeight="1">
      <c r="A472" s="94"/>
      <c r="B472" s="95" t="s">
        <v>3399</v>
      </c>
      <c r="C472" s="95" t="s">
        <v>3404</v>
      </c>
      <c r="D472" s="93" t="s">
        <v>3182</v>
      </c>
      <c r="E472" s="92"/>
      <c r="F472" s="98">
        <v>1</v>
      </c>
      <c r="G472" s="92">
        <f t="shared" si="21"/>
        <v>1</v>
      </c>
      <c r="H472" s="180">
        <f t="shared" si="20"/>
        <v>1</v>
      </c>
      <c r="I472" s="92"/>
    </row>
    <row r="473" spans="1:9" ht="20.100000000000001" customHeight="1">
      <c r="A473" s="94"/>
      <c r="B473" s="95" t="s">
        <v>3400</v>
      </c>
      <c r="C473" s="95" t="s">
        <v>3405</v>
      </c>
      <c r="D473" s="93" t="s">
        <v>3182</v>
      </c>
      <c r="E473" s="92"/>
      <c r="F473" s="98">
        <v>1</v>
      </c>
      <c r="G473" s="92">
        <f t="shared" si="21"/>
        <v>1</v>
      </c>
      <c r="H473" s="180">
        <f t="shared" si="20"/>
        <v>1</v>
      </c>
      <c r="I473" s="92"/>
    </row>
    <row r="474" spans="1:9" ht="20.100000000000001" customHeight="1">
      <c r="A474" s="94"/>
      <c r="B474" s="95" t="s">
        <v>3401</v>
      </c>
      <c r="C474" s="95" t="s">
        <v>3406</v>
      </c>
      <c r="D474" s="93" t="s">
        <v>3182</v>
      </c>
      <c r="E474" s="92"/>
      <c r="F474" s="98">
        <v>1</v>
      </c>
      <c r="G474" s="92">
        <f t="shared" si="21"/>
        <v>1</v>
      </c>
      <c r="H474" s="180">
        <f t="shared" si="20"/>
        <v>1</v>
      </c>
      <c r="I474" s="92"/>
    </row>
    <row r="475" spans="1:9" ht="20.100000000000001" customHeight="1">
      <c r="A475" s="94"/>
      <c r="B475" s="95" t="s">
        <v>3402</v>
      </c>
      <c r="C475" s="95">
        <v>1250</v>
      </c>
      <c r="D475" s="93" t="s">
        <v>3182</v>
      </c>
      <c r="E475" s="92"/>
      <c r="F475" s="98">
        <v>1</v>
      </c>
      <c r="G475" s="92">
        <f t="shared" si="21"/>
        <v>1</v>
      </c>
      <c r="H475" s="180">
        <f t="shared" si="20"/>
        <v>1</v>
      </c>
      <c r="I475" s="92"/>
    </row>
    <row r="476" spans="1:9" ht="20.100000000000001" customHeight="1">
      <c r="A476" s="94"/>
      <c r="B476" s="95" t="s">
        <v>3402</v>
      </c>
      <c r="C476" s="95">
        <v>890</v>
      </c>
      <c r="D476" s="93" t="s">
        <v>2568</v>
      </c>
      <c r="E476" s="92"/>
      <c r="F476" s="98">
        <v>1</v>
      </c>
      <c r="G476" s="92">
        <f t="shared" si="21"/>
        <v>1</v>
      </c>
      <c r="H476" s="180">
        <f t="shared" si="20"/>
        <v>1</v>
      </c>
      <c r="I476" s="92"/>
    </row>
    <row r="477" spans="1:9" ht="20.100000000000001" customHeight="1">
      <c r="A477" s="94"/>
      <c r="B477" s="95" t="s">
        <v>3402</v>
      </c>
      <c r="C477" s="95">
        <v>800</v>
      </c>
      <c r="D477" s="93" t="s">
        <v>2568</v>
      </c>
      <c r="E477" s="92"/>
      <c r="F477" s="98">
        <v>1</v>
      </c>
      <c r="G477" s="92">
        <f t="shared" si="21"/>
        <v>1</v>
      </c>
      <c r="H477" s="180">
        <f t="shared" si="20"/>
        <v>1</v>
      </c>
      <c r="I477" s="92"/>
    </row>
    <row r="478" spans="1:9" ht="20.100000000000001" customHeight="1">
      <c r="A478" s="94"/>
      <c r="B478" s="95" t="s">
        <v>3402</v>
      </c>
      <c r="C478" s="95">
        <v>950</v>
      </c>
      <c r="D478" s="93" t="s">
        <v>2568</v>
      </c>
      <c r="E478" s="92"/>
      <c r="F478" s="98">
        <v>1</v>
      </c>
      <c r="G478" s="92">
        <f t="shared" si="21"/>
        <v>1</v>
      </c>
      <c r="H478" s="180">
        <f t="shared" si="20"/>
        <v>1</v>
      </c>
      <c r="I478" s="92"/>
    </row>
    <row r="479" spans="1:9" ht="20.100000000000001" customHeight="1">
      <c r="A479" s="94"/>
      <c r="B479" s="95" t="s">
        <v>3407</v>
      </c>
      <c r="C479" s="95" t="s">
        <v>3408</v>
      </c>
      <c r="D479" s="93" t="s">
        <v>2568</v>
      </c>
      <c r="E479" s="92"/>
      <c r="F479" s="98">
        <v>1</v>
      </c>
      <c r="G479" s="92">
        <f t="shared" si="21"/>
        <v>1</v>
      </c>
      <c r="H479" s="180">
        <f t="shared" si="20"/>
        <v>1</v>
      </c>
      <c r="I479" s="92"/>
    </row>
    <row r="480" spans="1:9" ht="20.100000000000001" customHeight="1">
      <c r="A480" s="59"/>
      <c r="B480" s="64" t="s">
        <v>2619</v>
      </c>
      <c r="C480" s="65"/>
      <c r="D480" s="65" t="s">
        <v>2568</v>
      </c>
      <c r="E480" s="65" t="s">
        <v>2613</v>
      </c>
      <c r="F480" s="58">
        <v>84</v>
      </c>
      <c r="G480" s="92">
        <f t="shared" ref="G480:G483" si="22">F480</f>
        <v>84</v>
      </c>
      <c r="H480" s="180">
        <f t="shared" ref="H480:H483" si="23">G480</f>
        <v>84</v>
      </c>
      <c r="I480" s="65"/>
    </row>
    <row r="481" spans="1:9" ht="20.100000000000001" customHeight="1">
      <c r="A481" s="59"/>
      <c r="B481" s="64" t="s">
        <v>2617</v>
      </c>
      <c r="C481" s="65"/>
      <c r="D481" s="63" t="s">
        <v>2344</v>
      </c>
      <c r="E481" s="65" t="s">
        <v>2613</v>
      </c>
      <c r="F481" s="58">
        <v>5</v>
      </c>
      <c r="G481" s="92">
        <f t="shared" si="22"/>
        <v>5</v>
      </c>
      <c r="H481" s="180">
        <f t="shared" si="23"/>
        <v>5</v>
      </c>
      <c r="I481" s="65"/>
    </row>
    <row r="482" spans="1:9" ht="20.100000000000001" customHeight="1">
      <c r="A482" s="59"/>
      <c r="B482" s="64" t="s">
        <v>2615</v>
      </c>
      <c r="C482" s="65" t="s">
        <v>2614</v>
      </c>
      <c r="D482" s="65" t="s">
        <v>2568</v>
      </c>
      <c r="E482" s="65" t="s">
        <v>2613</v>
      </c>
      <c r="F482" s="58">
        <v>5</v>
      </c>
      <c r="G482" s="92">
        <f t="shared" si="22"/>
        <v>5</v>
      </c>
      <c r="H482" s="180">
        <f t="shared" si="23"/>
        <v>5</v>
      </c>
      <c r="I482" s="65"/>
    </row>
    <row r="483" spans="1:9" ht="20.100000000000001" customHeight="1">
      <c r="A483" s="59"/>
      <c r="B483" s="64" t="s">
        <v>2612</v>
      </c>
      <c r="C483" s="65"/>
      <c r="D483" s="63" t="s">
        <v>2611</v>
      </c>
      <c r="E483" s="65"/>
      <c r="F483" s="58">
        <v>13</v>
      </c>
      <c r="G483" s="92">
        <f t="shared" si="22"/>
        <v>13</v>
      </c>
      <c r="H483" s="180">
        <f t="shared" si="23"/>
        <v>13</v>
      </c>
      <c r="I483" s="65"/>
    </row>
    <row r="484" spans="1:9" ht="20.100000000000001" customHeight="1">
      <c r="A484" s="94"/>
      <c r="B484" s="100"/>
      <c r="C484" s="92"/>
      <c r="D484" s="92"/>
      <c r="E484" s="92"/>
      <c r="F484" s="92"/>
      <c r="G484" s="99"/>
      <c r="H484" s="180"/>
      <c r="I484" s="92"/>
    </row>
    <row r="485" spans="1:9" ht="20.100000000000001" customHeight="1">
      <c r="A485" s="218" t="s">
        <v>3212</v>
      </c>
      <c r="B485" s="131" t="s">
        <v>3215</v>
      </c>
      <c r="C485" s="128"/>
      <c r="D485" s="128"/>
      <c r="E485" s="128"/>
      <c r="F485" s="128"/>
      <c r="G485" s="122"/>
      <c r="H485" s="180"/>
      <c r="I485" s="128"/>
    </row>
    <row r="486" spans="1:9" ht="20.100000000000001" customHeight="1">
      <c r="A486" s="94"/>
      <c r="B486" s="95" t="s">
        <v>3188</v>
      </c>
      <c r="C486" s="95" t="s">
        <v>3189</v>
      </c>
      <c r="D486" s="93" t="s">
        <v>3182</v>
      </c>
      <c r="E486" s="92"/>
      <c r="F486" s="98">
        <v>22</v>
      </c>
      <c r="G486" s="92">
        <f>F486</f>
        <v>22</v>
      </c>
      <c r="H486" s="180">
        <f t="shared" ref="H486:H489" si="24">G486</f>
        <v>22</v>
      </c>
      <c r="I486" s="92"/>
    </row>
    <row r="487" spans="1:9" s="145" customFormat="1" ht="20.100000000000001" customHeight="1">
      <c r="A487" s="59"/>
      <c r="B487" s="64" t="s">
        <v>2582</v>
      </c>
      <c r="C487" s="64" t="s">
        <v>2581</v>
      </c>
      <c r="D487" s="63" t="s">
        <v>2568</v>
      </c>
      <c r="E487" s="65"/>
      <c r="F487" s="58">
        <v>2</v>
      </c>
      <c r="G487" s="92">
        <f>F487</f>
        <v>2</v>
      </c>
      <c r="H487" s="180">
        <f t="shared" si="24"/>
        <v>2</v>
      </c>
      <c r="I487" s="58"/>
    </row>
    <row r="488" spans="1:9" ht="20.100000000000001" customHeight="1">
      <c r="A488" s="94"/>
      <c r="B488" s="95" t="s">
        <v>3213</v>
      </c>
      <c r="C488" s="95" t="s">
        <v>3189</v>
      </c>
      <c r="D488" s="93" t="s">
        <v>3182</v>
      </c>
      <c r="E488" s="92"/>
      <c r="F488" s="98">
        <v>1</v>
      </c>
      <c r="G488" s="92">
        <f>F488</f>
        <v>1</v>
      </c>
      <c r="H488" s="180">
        <f t="shared" si="24"/>
        <v>1</v>
      </c>
      <c r="I488" s="92"/>
    </row>
    <row r="489" spans="1:9" ht="20.100000000000001" customHeight="1">
      <c r="A489" s="94"/>
      <c r="B489" s="95" t="s">
        <v>3184</v>
      </c>
      <c r="C489" s="95" t="s">
        <v>3214</v>
      </c>
      <c r="D489" s="93" t="s">
        <v>3182</v>
      </c>
      <c r="E489" s="92"/>
      <c r="F489" s="98">
        <v>8</v>
      </c>
      <c r="G489" s="92">
        <f t="shared" ref="G489" si="25">F489</f>
        <v>8</v>
      </c>
      <c r="H489" s="180">
        <f t="shared" si="24"/>
        <v>8</v>
      </c>
      <c r="I489" s="92"/>
    </row>
    <row r="490" spans="1:9" ht="20.100000000000001" customHeight="1">
      <c r="A490" s="94"/>
      <c r="B490" s="95" t="s">
        <v>3186</v>
      </c>
      <c r="C490" s="95" t="s">
        <v>3187</v>
      </c>
      <c r="D490" s="93" t="s">
        <v>3181</v>
      </c>
      <c r="E490" s="92"/>
      <c r="F490" s="98">
        <v>4</v>
      </c>
      <c r="G490" s="92">
        <v>4</v>
      </c>
      <c r="H490" s="180">
        <v>4</v>
      </c>
      <c r="I490" s="92"/>
    </row>
    <row r="491" spans="1:9" s="171" customFormat="1" ht="23.25" customHeight="1">
      <c r="A491" s="169"/>
      <c r="B491" s="170" t="s">
        <v>3741</v>
      </c>
      <c r="C491" s="170" t="s">
        <v>3742</v>
      </c>
      <c r="D491" s="150" t="s">
        <v>3743</v>
      </c>
      <c r="E491" s="148"/>
      <c r="F491" s="148">
        <v>2</v>
      </c>
      <c r="G491" s="148">
        <f t="shared" ref="G491:H491" si="26">F491</f>
        <v>2</v>
      </c>
      <c r="H491" s="181">
        <f t="shared" si="26"/>
        <v>2</v>
      </c>
      <c r="I491" s="148"/>
    </row>
  </sheetData>
  <mergeCells count="1">
    <mergeCell ref="A1:I1"/>
  </mergeCells>
  <phoneticPr fontId="1" type="noConversion"/>
  <pageMargins left="0.31496062992125984" right="0" top="0.74803149606299213" bottom="0.74803149606299213" header="0.31496062992125984" footer="0.31496062992125984"/>
  <pageSetup paperSize="9" orientation="landscape" r:id="rId1"/>
  <headerFooter>
    <oddFooter>&amp;C&amp;P&amp;R2층 수량산출서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M30"/>
  <sheetViews>
    <sheetView workbookViewId="0"/>
  </sheetViews>
  <sheetFormatPr defaultRowHeight="16.5"/>
  <sheetData>
    <row r="1" spans="1:7">
      <c r="A1" t="s">
        <v>2306</v>
      </c>
    </row>
    <row r="2" spans="1:7">
      <c r="A2" s="1" t="s">
        <v>2307</v>
      </c>
      <c r="B2" t="s">
        <v>1871</v>
      </c>
    </row>
    <row r="3" spans="1:7">
      <c r="A3" s="1" t="s">
        <v>2308</v>
      </c>
      <c r="B3" t="s">
        <v>2309</v>
      </c>
    </row>
    <row r="4" spans="1:7">
      <c r="A4" s="1" t="s">
        <v>2310</v>
      </c>
      <c r="B4">
        <v>5</v>
      </c>
    </row>
    <row r="5" spans="1:7">
      <c r="A5" s="1" t="s">
        <v>2311</v>
      </c>
      <c r="B5">
        <v>5</v>
      </c>
    </row>
    <row r="6" spans="1:7">
      <c r="A6" s="1" t="s">
        <v>2312</v>
      </c>
      <c r="B6" t="s">
        <v>2313</v>
      </c>
    </row>
    <row r="7" spans="1:7">
      <c r="A7" s="1" t="s">
        <v>2314</v>
      </c>
      <c r="B7" t="s">
        <v>2254</v>
      </c>
      <c r="C7">
        <v>1</v>
      </c>
    </row>
    <row r="8" spans="1:7">
      <c r="A8" s="1" t="s">
        <v>2315</v>
      </c>
      <c r="B8" t="s">
        <v>2254</v>
      </c>
      <c r="C8">
        <v>2</v>
      </c>
    </row>
    <row r="9" spans="1:7">
      <c r="A9" s="1" t="s">
        <v>2316</v>
      </c>
      <c r="B9" t="s">
        <v>1909</v>
      </c>
      <c r="C9" t="s">
        <v>1911</v>
      </c>
      <c r="D9" t="s">
        <v>1912</v>
      </c>
      <c r="E9" t="s">
        <v>1913</v>
      </c>
      <c r="F9" t="s">
        <v>1914</v>
      </c>
      <c r="G9" t="s">
        <v>2317</v>
      </c>
    </row>
    <row r="10" spans="1:7">
      <c r="A10" s="1" t="s">
        <v>2318</v>
      </c>
      <c r="B10">
        <v>0</v>
      </c>
      <c r="C10">
        <v>0</v>
      </c>
      <c r="D10">
        <v>0</v>
      </c>
    </row>
    <row r="11" spans="1:7">
      <c r="A11" s="1" t="s">
        <v>2319</v>
      </c>
      <c r="B11" t="s">
        <v>2320</v>
      </c>
      <c r="C11">
        <v>3</v>
      </c>
    </row>
    <row r="12" spans="1:7">
      <c r="A12" s="1" t="s">
        <v>2321</v>
      </c>
      <c r="B12" t="s">
        <v>2320</v>
      </c>
      <c r="C12">
        <v>3</v>
      </c>
    </row>
    <row r="13" spans="1:7">
      <c r="A13" s="1" t="s">
        <v>2322</v>
      </c>
      <c r="B13" t="s">
        <v>2320</v>
      </c>
      <c r="C13">
        <v>2</v>
      </c>
    </row>
    <row r="14" spans="1:7">
      <c r="A14" s="1" t="s">
        <v>2323</v>
      </c>
      <c r="B14" t="s">
        <v>2254</v>
      </c>
      <c r="C14">
        <v>5</v>
      </c>
    </row>
    <row r="15" spans="1:7">
      <c r="A15" s="1" t="s">
        <v>2324</v>
      </c>
      <c r="B15" t="s">
        <v>1871</v>
      </c>
      <c r="C15" t="s">
        <v>2325</v>
      </c>
      <c r="D15" t="s">
        <v>2325</v>
      </c>
      <c r="E15" t="s">
        <v>2325</v>
      </c>
      <c r="F15">
        <v>1</v>
      </c>
    </row>
    <row r="16" spans="1:7">
      <c r="A16" s="1" t="s">
        <v>2326</v>
      </c>
      <c r="B16">
        <v>0</v>
      </c>
      <c r="C16">
        <v>0</v>
      </c>
    </row>
    <row r="17" spans="1:13">
      <c r="A17" s="1" t="s">
        <v>2327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>
      <c r="A18" s="1" t="s">
        <v>2328</v>
      </c>
      <c r="B18">
        <v>0</v>
      </c>
      <c r="C18">
        <v>0</v>
      </c>
    </row>
    <row r="19" spans="1:13">
      <c r="A19" s="1" t="s">
        <v>2329</v>
      </c>
    </row>
    <row r="20" spans="1:13">
      <c r="A20" s="1" t="s">
        <v>2330</v>
      </c>
      <c r="B20" s="1" t="s">
        <v>51</v>
      </c>
      <c r="C20">
        <v>1</v>
      </c>
    </row>
    <row r="21" spans="1:13">
      <c r="A21" t="s">
        <v>2331</v>
      </c>
      <c r="B21" t="s">
        <v>2332</v>
      </c>
      <c r="C21" t="s">
        <v>2333</v>
      </c>
    </row>
    <row r="22" spans="1:13">
      <c r="A22">
        <v>1</v>
      </c>
      <c r="B22" s="1" t="s">
        <v>2334</v>
      </c>
      <c r="C22" s="1" t="s">
        <v>2301</v>
      </c>
    </row>
    <row r="23" spans="1:13">
      <c r="A23">
        <v>2</v>
      </c>
      <c r="B23" s="1" t="s">
        <v>2335</v>
      </c>
      <c r="C23" s="1" t="s">
        <v>2336</v>
      </c>
    </row>
    <row r="24" spans="1:13">
      <c r="A24">
        <v>3</v>
      </c>
      <c r="B24" s="1" t="s">
        <v>2337</v>
      </c>
      <c r="C24" s="1" t="s">
        <v>2338</v>
      </c>
    </row>
    <row r="25" spans="1:13">
      <c r="A25">
        <v>4</v>
      </c>
      <c r="B25" s="1" t="s">
        <v>2339</v>
      </c>
      <c r="C25" s="1" t="s">
        <v>2340</v>
      </c>
    </row>
    <row r="26" spans="1:13">
      <c r="A26">
        <v>5</v>
      </c>
      <c r="B26" s="1" t="s">
        <v>2341</v>
      </c>
      <c r="C26" s="1" t="s">
        <v>51</v>
      </c>
    </row>
    <row r="27" spans="1:13">
      <c r="A27">
        <v>6</v>
      </c>
      <c r="B27" s="1" t="s">
        <v>2342</v>
      </c>
      <c r="C27" s="1" t="s">
        <v>51</v>
      </c>
    </row>
    <row r="28" spans="1:13">
      <c r="A28">
        <v>7</v>
      </c>
      <c r="B28" s="1" t="s">
        <v>2342</v>
      </c>
      <c r="C28" s="1" t="s">
        <v>51</v>
      </c>
    </row>
    <row r="29" spans="1:13">
      <c r="A29">
        <v>8</v>
      </c>
      <c r="B29" s="1" t="s">
        <v>2342</v>
      </c>
      <c r="C29" s="1" t="s">
        <v>51</v>
      </c>
    </row>
    <row r="30" spans="1:13">
      <c r="A30">
        <v>9</v>
      </c>
      <c r="B30" s="1" t="s">
        <v>2342</v>
      </c>
      <c r="C30" s="1" t="s">
        <v>51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K26"/>
  <sheetViews>
    <sheetView showGridLines="0" view="pageBreakPreview" zoomScaleNormal="80" zoomScaleSheetLayoutView="100" workbookViewId="0">
      <selection activeCell="E26" sqref="E26"/>
    </sheetView>
  </sheetViews>
  <sheetFormatPr defaultColWidth="10" defaultRowHeight="18" customHeight="1"/>
  <cols>
    <col min="1" max="1" width="6.5" style="980" customWidth="1"/>
    <col min="2" max="2" width="2.625" style="980" customWidth="1"/>
    <col min="3" max="3" width="28.125" style="980" customWidth="1"/>
    <col min="4" max="4" width="2.625" style="980" customWidth="1"/>
    <col min="5" max="5" width="23.25" style="980" customWidth="1"/>
    <col min="6" max="6" width="12" style="980" customWidth="1"/>
    <col min="7" max="7" width="30" style="980" bestFit="1" customWidth="1"/>
    <col min="8" max="8" width="9.375" style="980" bestFit="1" customWidth="1"/>
    <col min="9" max="9" width="3.125" style="980" customWidth="1"/>
    <col min="10" max="10" width="14.25" style="980" bestFit="1" customWidth="1"/>
    <col min="11" max="11" width="13.625" style="980" customWidth="1"/>
    <col min="12" max="16384" width="10" style="980"/>
  </cols>
  <sheetData>
    <row r="1" spans="1:11" s="977" customFormat="1" ht="30" customHeight="1">
      <c r="A1" s="973" t="s">
        <v>6587</v>
      </c>
      <c r="B1" s="974"/>
      <c r="C1" s="975"/>
      <c r="D1" s="975"/>
      <c r="E1" s="975"/>
      <c r="F1" s="975"/>
      <c r="G1" s="975"/>
      <c r="H1" s="975"/>
      <c r="I1" s="975"/>
      <c r="J1" s="975"/>
      <c r="K1" s="976"/>
    </row>
    <row r="2" spans="1:11" ht="6.75" customHeight="1">
      <c r="A2" s="978"/>
      <c r="B2" s="978"/>
      <c r="C2" s="979"/>
      <c r="D2" s="979"/>
      <c r="E2" s="979"/>
      <c r="F2" s="979"/>
      <c r="G2" s="979"/>
      <c r="H2" s="979"/>
      <c r="I2" s="979"/>
      <c r="J2" s="979"/>
      <c r="K2" s="979"/>
    </row>
    <row r="3" spans="1:11" ht="18" customHeight="1">
      <c r="A3" s="981" t="str">
        <f>[139]간지!B2</f>
        <v>건명 : 경기도박물관 전시실 리뉴얼 디자인 설계 용역</v>
      </c>
      <c r="B3" s="982"/>
      <c r="C3" s="983"/>
      <c r="D3" s="983"/>
      <c r="E3" s="983"/>
      <c r="F3" s="983"/>
      <c r="G3" s="984"/>
      <c r="H3" s="984"/>
      <c r="I3" s="984"/>
      <c r="J3" s="984" t="s">
        <v>6588</v>
      </c>
      <c r="K3" s="979"/>
    </row>
    <row r="4" spans="1:11" ht="17.25" customHeight="1">
      <c r="A4" s="985"/>
      <c r="B4" s="986"/>
      <c r="C4" s="987" t="s">
        <v>6589</v>
      </c>
      <c r="D4" s="988"/>
      <c r="E4" s="1413" t="s">
        <v>6590</v>
      </c>
      <c r="F4" s="1413" t="s">
        <v>6591</v>
      </c>
      <c r="G4" s="1415" t="s">
        <v>6592</v>
      </c>
      <c r="H4" s="1416"/>
      <c r="I4" s="1416"/>
      <c r="J4" s="1417"/>
      <c r="K4" s="979"/>
    </row>
    <row r="5" spans="1:11" ht="17.25" customHeight="1">
      <c r="A5" s="989" t="s">
        <v>6593</v>
      </c>
      <c r="B5" s="990"/>
      <c r="C5" s="991"/>
      <c r="D5" s="991"/>
      <c r="E5" s="1414"/>
      <c r="F5" s="1414"/>
      <c r="G5" s="1418"/>
      <c r="H5" s="1419"/>
      <c r="I5" s="1419"/>
      <c r="J5" s="1420"/>
      <c r="K5" s="979"/>
    </row>
    <row r="6" spans="1:11" ht="19.5" customHeight="1">
      <c r="A6" s="992" t="s">
        <v>1213</v>
      </c>
      <c r="B6" s="993"/>
      <c r="C6" s="994" t="s">
        <v>6594</v>
      </c>
      <c r="D6" s="995"/>
      <c r="E6" s="992">
        <f>[140]진열장내역서!J27</f>
        <v>777658440</v>
      </c>
      <c r="F6" s="992"/>
      <c r="G6" s="996"/>
      <c r="H6" s="988"/>
      <c r="I6" s="988"/>
      <c r="J6" s="997"/>
      <c r="K6" s="979"/>
    </row>
    <row r="7" spans="1:11" ht="19.5" customHeight="1">
      <c r="A7" s="998" t="s">
        <v>6595</v>
      </c>
      <c r="B7" s="999"/>
      <c r="C7" s="1000" t="s">
        <v>6596</v>
      </c>
      <c r="D7" s="1001"/>
      <c r="E7" s="998"/>
      <c r="F7" s="998"/>
      <c r="G7" s="1002"/>
      <c r="H7" s="1003"/>
      <c r="I7" s="1003"/>
      <c r="J7" s="1004"/>
    </row>
    <row r="8" spans="1:11" ht="19.5" customHeight="1">
      <c r="A8" s="998" t="s">
        <v>4651</v>
      </c>
      <c r="B8" s="1005"/>
      <c r="C8" s="1006" t="s">
        <v>6597</v>
      </c>
      <c r="D8" s="1007"/>
      <c r="E8" s="1008">
        <f>SUM(E6:E7)</f>
        <v>777658440</v>
      </c>
      <c r="F8" s="1009">
        <f>E8/E24</f>
        <v>0.51843896</v>
      </c>
      <c r="G8" s="1010"/>
      <c r="H8" s="1011"/>
      <c r="I8" s="1011"/>
      <c r="J8" s="1012"/>
      <c r="K8" s="1013"/>
    </row>
    <row r="9" spans="1:11" ht="19.5" customHeight="1">
      <c r="A9" s="992" t="s">
        <v>4646</v>
      </c>
      <c r="B9" s="992"/>
      <c r="C9" s="994" t="s">
        <v>6598</v>
      </c>
      <c r="D9" s="995"/>
      <c r="E9" s="992">
        <f>[140]진열장내역서!L27</f>
        <v>421949585</v>
      </c>
      <c r="F9" s="1014"/>
      <c r="G9" s="1015"/>
      <c r="H9" s="988"/>
      <c r="I9" s="988"/>
      <c r="J9" s="997"/>
      <c r="K9" s="1013"/>
    </row>
    <row r="10" spans="1:11" ht="19.5" customHeight="1">
      <c r="A10" s="998" t="s">
        <v>4648</v>
      </c>
      <c r="B10" s="998"/>
      <c r="C10" s="1016" t="s">
        <v>6599</v>
      </c>
      <c r="D10" s="1017"/>
      <c r="E10" s="1018">
        <f>TRUNC(E9*H10)</f>
        <v>33755966</v>
      </c>
      <c r="F10" s="1019"/>
      <c r="G10" s="1020" t="s">
        <v>6600</v>
      </c>
      <c r="H10" s="1021">
        <v>0.08</v>
      </c>
      <c r="I10" s="1021"/>
      <c r="J10" s="1022"/>
      <c r="K10" s="1023">
        <v>0.08</v>
      </c>
    </row>
    <row r="11" spans="1:11" ht="19.5" customHeight="1">
      <c r="A11" s="1024" t="s">
        <v>4651</v>
      </c>
      <c r="B11" s="1005"/>
      <c r="C11" s="1006" t="s">
        <v>6597</v>
      </c>
      <c r="D11" s="1007"/>
      <c r="E11" s="1005">
        <f>SUM(E9:E10)</f>
        <v>455705551</v>
      </c>
      <c r="F11" s="1009">
        <f>E11/E24</f>
        <v>0.30380370066666668</v>
      </c>
      <c r="G11" s="1025"/>
      <c r="H11" s="1026"/>
      <c r="I11" s="1026"/>
      <c r="J11" s="1027"/>
      <c r="K11" s="1023"/>
    </row>
    <row r="12" spans="1:11" ht="19.5" customHeight="1">
      <c r="A12" s="1421" t="s">
        <v>6601</v>
      </c>
      <c r="B12" s="979"/>
      <c r="C12" s="1028" t="s">
        <v>6602</v>
      </c>
      <c r="D12" s="1029"/>
      <c r="E12" s="1030">
        <f>TRUNC((E11*H12),0)</f>
        <v>17088958</v>
      </c>
      <c r="F12" s="1031"/>
      <c r="G12" s="1032" t="s">
        <v>6603</v>
      </c>
      <c r="H12" s="1033">
        <v>3.7499999999999999E-2</v>
      </c>
      <c r="I12" s="1034"/>
      <c r="J12" s="1035"/>
      <c r="K12" s="1033">
        <v>3.7499999999999999E-2</v>
      </c>
    </row>
    <row r="13" spans="1:11" ht="19.5" customHeight="1">
      <c r="A13" s="1422"/>
      <c r="B13" s="979"/>
      <c r="C13" s="1036" t="s">
        <v>6604</v>
      </c>
      <c r="D13" s="1037"/>
      <c r="E13" s="1030">
        <f>TRUNC((E11*H13),0)</f>
        <v>3964638</v>
      </c>
      <c r="F13" s="1030"/>
      <c r="G13" s="1038" t="s">
        <v>6603</v>
      </c>
      <c r="H13" s="1033">
        <v>8.6999999999999994E-3</v>
      </c>
      <c r="I13" s="1034"/>
      <c r="J13" s="1035"/>
      <c r="K13" s="1033">
        <v>8.6999999999999994E-3</v>
      </c>
    </row>
    <row r="14" spans="1:11" ht="19.5" customHeight="1">
      <c r="A14" s="1422"/>
      <c r="B14" s="979"/>
      <c r="C14" s="1036" t="s">
        <v>6605</v>
      </c>
      <c r="D14" s="1029"/>
      <c r="E14" s="1030">
        <f>TRUNC((E9*H14),0)</f>
        <v>13628971</v>
      </c>
      <c r="F14" s="998"/>
      <c r="G14" s="1038" t="s">
        <v>6606</v>
      </c>
      <c r="H14" s="1033">
        <v>3.2300000000000002E-2</v>
      </c>
      <c r="I14" s="1034"/>
      <c r="J14" s="1035"/>
      <c r="K14" s="1033">
        <v>3.2300000000000002E-2</v>
      </c>
    </row>
    <row r="15" spans="1:11" ht="19.5" customHeight="1">
      <c r="A15" s="1422"/>
      <c r="B15" s="979"/>
      <c r="C15" s="1036" t="s">
        <v>6607</v>
      </c>
      <c r="D15" s="1029"/>
      <c r="E15" s="1030">
        <f>TRUNC((E9*H15),0)</f>
        <v>18987731</v>
      </c>
      <c r="F15" s="998"/>
      <c r="G15" s="1038" t="s">
        <v>6606</v>
      </c>
      <c r="H15" s="1033">
        <v>4.4999999999999998E-2</v>
      </c>
      <c r="I15" s="1034"/>
      <c r="J15" s="1035"/>
      <c r="K15" s="1033">
        <v>4.4999999999999998E-2</v>
      </c>
    </row>
    <row r="16" spans="1:11" ht="19.5" customHeight="1">
      <c r="A16" s="1422"/>
      <c r="B16" s="979"/>
      <c r="C16" s="1036" t="s">
        <v>6608</v>
      </c>
      <c r="D16" s="1029"/>
      <c r="E16" s="1030">
        <f>TRUNC((E14*H16),0)</f>
        <v>1159825</v>
      </c>
      <c r="F16" s="998"/>
      <c r="G16" s="1038" t="s">
        <v>6609</v>
      </c>
      <c r="H16" s="1033">
        <v>8.5099999999999995E-2</v>
      </c>
      <c r="I16" s="1034"/>
      <c r="J16" s="1035"/>
      <c r="K16" s="1033">
        <v>8.5099999999999995E-2</v>
      </c>
    </row>
    <row r="17" spans="1:11" ht="19.5" customHeight="1">
      <c r="A17" s="1422"/>
      <c r="B17" s="979"/>
      <c r="C17" s="1036" t="s">
        <v>6610</v>
      </c>
      <c r="D17" s="1029"/>
      <c r="E17" s="1030">
        <f>TRUNC((E9*H17),0)</f>
        <v>9704840</v>
      </c>
      <c r="F17" s="998"/>
      <c r="G17" s="1038" t="s">
        <v>6611</v>
      </c>
      <c r="H17" s="1033">
        <v>2.3E-2</v>
      </c>
      <c r="I17" s="1034"/>
      <c r="J17" s="1035"/>
      <c r="K17" s="1033">
        <v>2.3E-2</v>
      </c>
    </row>
    <row r="18" spans="1:11" ht="19.5" customHeight="1">
      <c r="A18" s="1422"/>
      <c r="B18" s="979"/>
      <c r="C18" s="1036" t="s">
        <v>6612</v>
      </c>
      <c r="D18" s="1029"/>
      <c r="E18" s="1030">
        <f>TRUNC((E9+E8)*H18,0)+J18</f>
        <v>27661709</v>
      </c>
      <c r="F18" s="998"/>
      <c r="G18" s="1038" t="s">
        <v>6613</v>
      </c>
      <c r="H18" s="1033">
        <v>1.8599999999999998E-2</v>
      </c>
      <c r="I18" s="1039" t="s">
        <v>6614</v>
      </c>
      <c r="J18" s="1040">
        <v>5349000</v>
      </c>
      <c r="K18" s="1033">
        <v>1.8599999999999998E-2</v>
      </c>
    </row>
    <row r="19" spans="1:11" ht="19.5" customHeight="1">
      <c r="A19" s="1422"/>
      <c r="B19" s="979"/>
      <c r="C19" s="1041" t="s">
        <v>6615</v>
      </c>
      <c r="D19" s="1037"/>
      <c r="E19" s="1030">
        <f>TRUNC((E9+E8)*H19,0)</f>
        <v>3598824</v>
      </c>
      <c r="F19" s="1030"/>
      <c r="G19" s="1042" t="s">
        <v>6616</v>
      </c>
      <c r="H19" s="1033">
        <v>3.0000000000000001E-3</v>
      </c>
      <c r="I19" s="1043"/>
      <c r="J19" s="1044"/>
      <c r="K19" s="1033">
        <v>3.0000000000000001E-3</v>
      </c>
    </row>
    <row r="20" spans="1:11" ht="19.5" customHeight="1">
      <c r="A20" s="1414"/>
      <c r="B20" s="1005"/>
      <c r="C20" s="1006" t="s">
        <v>6597</v>
      </c>
      <c r="D20" s="1007"/>
      <c r="E20" s="1005">
        <f>SUM(E12:E19)</f>
        <v>95795496</v>
      </c>
      <c r="F20" s="1005"/>
      <c r="G20" s="1025"/>
      <c r="H20" s="1026"/>
      <c r="I20" s="1026"/>
      <c r="J20" s="1027"/>
      <c r="K20" s="1023"/>
    </row>
    <row r="21" spans="1:11" ht="19.5" customHeight="1">
      <c r="A21" s="1045" t="s">
        <v>6617</v>
      </c>
      <c r="B21" s="1046"/>
      <c r="C21" s="1046"/>
      <c r="D21" s="1046"/>
      <c r="E21" s="1047">
        <f>E8+E11+E20</f>
        <v>1329159487</v>
      </c>
      <c r="F21" s="1009">
        <f>E21/E24</f>
        <v>0.88610632466666661</v>
      </c>
      <c r="G21" s="1020" t="s">
        <v>6618</v>
      </c>
      <c r="H21" s="1026"/>
      <c r="I21" s="1026"/>
      <c r="J21" s="1027"/>
      <c r="K21" s="1023"/>
    </row>
    <row r="22" spans="1:11" ht="19.5" customHeight="1">
      <c r="A22" s="1048" t="s">
        <v>6619</v>
      </c>
      <c r="B22" s="1046"/>
      <c r="C22" s="1049"/>
      <c r="D22" s="1050"/>
      <c r="E22" s="1051">
        <f>TRUNC(E21*K22,0)</f>
        <v>79749569</v>
      </c>
      <c r="F22" s="1009">
        <f>E22/E24</f>
        <v>5.3166379333333333E-2</v>
      </c>
      <c r="G22" s="1020" t="s">
        <v>6620</v>
      </c>
      <c r="H22" s="1052">
        <f>K22</f>
        <v>0.06</v>
      </c>
      <c r="I22" s="1052"/>
      <c r="J22" s="1053"/>
      <c r="K22" s="1023">
        <v>0.06</v>
      </c>
    </row>
    <row r="23" spans="1:11" ht="19.5" customHeight="1">
      <c r="A23" s="1048" t="s">
        <v>6621</v>
      </c>
      <c r="B23" s="1046"/>
      <c r="C23" s="1046"/>
      <c r="D23" s="1054"/>
      <c r="E23" s="1051">
        <f>TRUNC((E11+E20+E22)*H23,0)-3596648</f>
        <v>91090944</v>
      </c>
      <c r="F23" s="1009">
        <f>E23/E24</f>
        <v>6.0727296E-2</v>
      </c>
      <c r="G23" s="1020" t="s">
        <v>6622</v>
      </c>
      <c r="H23" s="1052">
        <v>0.15</v>
      </c>
      <c r="I23" s="1052"/>
      <c r="J23" s="1053"/>
      <c r="K23" s="1023">
        <v>0.15</v>
      </c>
    </row>
    <row r="24" spans="1:11" ht="19.5" customHeight="1">
      <c r="A24" s="1048" t="s">
        <v>6623</v>
      </c>
      <c r="B24" s="1045"/>
      <c r="C24" s="1046"/>
      <c r="D24" s="1054"/>
      <c r="E24" s="1051">
        <f>TRUNC(E21+E22+E23,0)</f>
        <v>1500000000</v>
      </c>
      <c r="F24" s="1019">
        <f>SUM(F21:F23)</f>
        <v>1</v>
      </c>
      <c r="G24" s="1020" t="s">
        <v>6624</v>
      </c>
      <c r="H24" s="1011"/>
      <c r="I24" s="1011"/>
      <c r="J24" s="1012"/>
      <c r="K24" s="1023"/>
    </row>
    <row r="25" spans="1:11" ht="19.5" customHeight="1">
      <c r="A25" s="1048" t="s">
        <v>6625</v>
      </c>
      <c r="B25" s="1046"/>
      <c r="C25" s="1046"/>
      <c r="D25" s="1046"/>
      <c r="E25" s="1047">
        <f>TRUNC(E24*K25,0)</f>
        <v>150000000</v>
      </c>
      <c r="F25" s="989"/>
      <c r="G25" s="1020" t="s">
        <v>6626</v>
      </c>
      <c r="H25" s="1052">
        <f>K25</f>
        <v>0.1</v>
      </c>
      <c r="I25" s="1052"/>
      <c r="J25" s="1053"/>
      <c r="K25" s="1023">
        <v>0.1</v>
      </c>
    </row>
    <row r="26" spans="1:11" ht="19.5" customHeight="1">
      <c r="A26" s="1048" t="s">
        <v>6627</v>
      </c>
      <c r="B26" s="1046"/>
      <c r="C26" s="1046"/>
      <c r="D26" s="1054"/>
      <c r="E26" s="1051">
        <f>TRUNC(E24+E25,0)</f>
        <v>1650000000</v>
      </c>
      <c r="F26" s="989"/>
      <c r="G26" s="1055"/>
      <c r="H26" s="1011"/>
      <c r="I26" s="1011"/>
      <c r="J26" s="1012"/>
      <c r="K26" s="1013"/>
    </row>
  </sheetData>
  <mergeCells count="4">
    <mergeCell ref="E4:E5"/>
    <mergeCell ref="F4:F5"/>
    <mergeCell ref="G4:J5"/>
    <mergeCell ref="A12:A20"/>
  </mergeCells>
  <phoneticPr fontId="1" type="noConversion"/>
  <printOptions horizontalCentered="1"/>
  <pageMargins left="0.59055118110236227" right="0.39370078740157483" top="0.59055118110236227" bottom="0.59055118110236227" header="0.39370078740157483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O630"/>
  <sheetViews>
    <sheetView view="pageBreakPreview" zoomScale="85" zoomScaleNormal="75" zoomScaleSheetLayoutView="85" workbookViewId="0">
      <pane ySplit="4" topLeftCell="A5" activePane="bottomLeft" state="frozen"/>
      <selection pane="bottomLeft" activeCell="R44" sqref="R44"/>
    </sheetView>
  </sheetViews>
  <sheetFormatPr defaultColWidth="10" defaultRowHeight="13.5"/>
  <cols>
    <col min="1" max="1" width="10.25" style="964" customWidth="1"/>
    <col min="2" max="2" width="21.5" style="965" customWidth="1"/>
    <col min="3" max="3" width="43.75" style="966" customWidth="1"/>
    <col min="4" max="4" width="14.75" style="967" hidden="1" customWidth="1"/>
    <col min="5" max="5" width="5.75" style="968" hidden="1" customWidth="1"/>
    <col min="6" max="6" width="7.75" style="969" bestFit="1" customWidth="1"/>
    <col min="7" max="7" width="6.75" style="970" customWidth="1"/>
    <col min="8" max="8" width="7.125" style="970" hidden="1" customWidth="1"/>
    <col min="9" max="9" width="12.625" style="971" customWidth="1"/>
    <col min="10" max="10" width="13.625" style="971" customWidth="1"/>
    <col min="11" max="11" width="12.625" style="971" customWidth="1"/>
    <col min="12" max="12" width="13.625" style="971" customWidth="1"/>
    <col min="13" max="13" width="12.625" style="971" customWidth="1"/>
    <col min="14" max="14" width="13.625" style="971" customWidth="1"/>
    <col min="15" max="15" width="14.125" style="972" customWidth="1"/>
    <col min="16" max="16384" width="10" style="930"/>
  </cols>
  <sheetData>
    <row r="1" spans="1:15" ht="29.25" customHeight="1">
      <c r="A1" s="1427" t="s">
        <v>6572</v>
      </c>
      <c r="B1" s="1428"/>
      <c r="C1" s="1428"/>
      <c r="D1" s="1428"/>
      <c r="E1" s="1428"/>
      <c r="F1" s="1428"/>
      <c r="G1" s="1429"/>
      <c r="H1" s="1429"/>
      <c r="I1" s="1429"/>
      <c r="J1" s="1429"/>
      <c r="K1" s="1429"/>
      <c r="L1" s="1429"/>
      <c r="M1" s="1429"/>
      <c r="N1" s="1429"/>
      <c r="O1" s="1429"/>
    </row>
    <row r="2" spans="1:15" ht="19.899999999999999" customHeight="1">
      <c r="A2" s="931" t="str">
        <f>[140]LIST!A1</f>
        <v>건명 : 경기도박물관 전시실 리뉴얼 디자인 설계 용역</v>
      </c>
      <c r="B2" s="932"/>
      <c r="C2" s="933"/>
      <c r="D2" s="934"/>
      <c r="E2" s="934"/>
      <c r="F2" s="934"/>
      <c r="G2" s="932"/>
      <c r="H2" s="932"/>
      <c r="I2" s="932"/>
      <c r="J2" s="932"/>
      <c r="K2" s="932"/>
      <c r="L2" s="932"/>
      <c r="M2" s="932"/>
      <c r="N2" s="932" t="str">
        <f>[140]단가!L3</f>
        <v>적용단가(100%)</v>
      </c>
      <c r="O2" s="934"/>
    </row>
    <row r="3" spans="1:15" ht="18.75" customHeight="1">
      <c r="A3" s="1430" t="s">
        <v>6573</v>
      </c>
      <c r="B3" s="1432" t="s">
        <v>6574</v>
      </c>
      <c r="C3" s="1434" t="s">
        <v>6575</v>
      </c>
      <c r="D3" s="1435"/>
      <c r="E3" s="935" t="str">
        <f t="shared" ref="E3:E8" si="0">SUBSTITUTE(CONCATENATE(B:B,C:C,F:F)," ","")</f>
        <v>명칭규격단위</v>
      </c>
      <c r="F3" s="1430" t="s">
        <v>3</v>
      </c>
      <c r="G3" s="1438" t="s">
        <v>4</v>
      </c>
      <c r="H3" s="936"/>
      <c r="I3" s="1439" t="s">
        <v>6576</v>
      </c>
      <c r="J3" s="1439"/>
      <c r="K3" s="1439" t="s">
        <v>6577</v>
      </c>
      <c r="L3" s="1439"/>
      <c r="M3" s="1439" t="s">
        <v>6578</v>
      </c>
      <c r="N3" s="1439"/>
      <c r="O3" s="1430" t="s">
        <v>6579</v>
      </c>
    </row>
    <row r="4" spans="1:15" ht="18.75" customHeight="1">
      <c r="A4" s="1431"/>
      <c r="B4" s="1433"/>
      <c r="C4" s="1436"/>
      <c r="D4" s="1437"/>
      <c r="E4" s="935" t="str">
        <f t="shared" si="0"/>
        <v/>
      </c>
      <c r="F4" s="1431"/>
      <c r="G4" s="1438"/>
      <c r="H4" s="936"/>
      <c r="I4" s="937" t="s">
        <v>6580</v>
      </c>
      <c r="J4" s="937" t="s">
        <v>6581</v>
      </c>
      <c r="K4" s="937" t="s">
        <v>6580</v>
      </c>
      <c r="L4" s="937" t="s">
        <v>6581</v>
      </c>
      <c r="M4" s="937" t="s">
        <v>6580</v>
      </c>
      <c r="N4" s="937" t="s">
        <v>6581</v>
      </c>
      <c r="O4" s="1431"/>
    </row>
    <row r="5" spans="1:15" ht="18.75" customHeight="1">
      <c r="A5" s="938"/>
      <c r="B5" s="939"/>
      <c r="C5" s="1440"/>
      <c r="D5" s="1441"/>
      <c r="E5" s="935" t="str">
        <f t="shared" si="0"/>
        <v/>
      </c>
      <c r="F5" s="940"/>
      <c r="G5" s="936"/>
      <c r="H5" s="936"/>
      <c r="I5" s="937"/>
      <c r="J5" s="937"/>
      <c r="K5" s="937"/>
      <c r="L5" s="937"/>
      <c r="M5" s="937"/>
      <c r="N5" s="937"/>
      <c r="O5" s="896"/>
    </row>
    <row r="6" spans="1:15" ht="18.75" customHeight="1">
      <c r="A6" s="941"/>
      <c r="B6" s="939" t="str">
        <f>[140]LIST!A3</f>
        <v>지상 1층 전시실 1실/2실</v>
      </c>
      <c r="C6" s="1440"/>
      <c r="D6" s="1441"/>
      <c r="E6" s="935" t="str">
        <f t="shared" si="0"/>
        <v>지상1층전시실1실/2실</v>
      </c>
      <c r="F6" s="940"/>
      <c r="G6" s="936"/>
      <c r="H6" s="935" t="str">
        <f t="shared" ref="H6:H27" si="1">SUBSTITUTE(CONCATENATE(B6,C6,F6)," ","")</f>
        <v>지상1층전시실1실/2실</v>
      </c>
      <c r="I6" s="937"/>
      <c r="J6" s="937"/>
      <c r="K6" s="937"/>
      <c r="L6" s="937"/>
      <c r="M6" s="937"/>
      <c r="N6" s="937"/>
      <c r="O6" s="896"/>
    </row>
    <row r="7" spans="1:15" ht="18.75" customHeight="1">
      <c r="A7" s="938" t="str">
        <f>[140]산출!A13</f>
        <v>SC-101</v>
      </c>
      <c r="B7" s="938" t="str">
        <f>[140]산출!B13</f>
        <v>벽부형진열장(전동형)</v>
      </c>
      <c r="C7" s="1425" t="str">
        <f>[140]산출!C13</f>
        <v>L: 4500 D: 1100 H: 3600 FH: 300 GH: 2600 UH: 700</v>
      </c>
      <c r="D7" s="1426"/>
      <c r="E7" s="935" t="str">
        <f t="shared" si="0"/>
        <v>벽부형진열장(전동형)L:4500D:1100H:3600FH:300GH:2600UH:700SET</v>
      </c>
      <c r="F7" s="942" t="str">
        <f>[140]산출!D13</f>
        <v>SET</v>
      </c>
      <c r="G7" s="936">
        <f>[140]산출!F13</f>
        <v>1</v>
      </c>
      <c r="H7" s="935" t="str">
        <f t="shared" si="1"/>
        <v>벽부형진열장(전동형)L:4500D:1100H:3600FH:300GH:2600UH:700SET</v>
      </c>
      <c r="I7" s="937">
        <f>J89</f>
        <v>24976859</v>
      </c>
      <c r="J7" s="943">
        <f t="shared" ref="J7:J8" si="2">TRUNC(G7*I7)</f>
        <v>24976859</v>
      </c>
      <c r="K7" s="937">
        <f>L89</f>
        <v>13976572</v>
      </c>
      <c r="L7" s="943">
        <f t="shared" ref="L7:L8" si="3">TRUNC(G7*K7)</f>
        <v>13976572</v>
      </c>
      <c r="M7" s="937">
        <f>N89</f>
        <v>38953431</v>
      </c>
      <c r="N7" s="943">
        <f t="shared" ref="N7:N8" si="4">J7+L7</f>
        <v>38953431</v>
      </c>
      <c r="O7" s="896"/>
    </row>
    <row r="8" spans="1:15" ht="18.75" customHeight="1">
      <c r="A8" s="938" t="str">
        <f>[140]산출!A72</f>
        <v>SC-102</v>
      </c>
      <c r="B8" s="938" t="str">
        <f>[140]산출!B72</f>
        <v>벽부형진열장(전동형)</v>
      </c>
      <c r="C8" s="1425" t="str">
        <f>[140]산출!C72</f>
        <v>L: 5000 D: 1300 H: 3600 FH: 300 GH: 2600 UH: 700</v>
      </c>
      <c r="D8" s="1426"/>
      <c r="E8" s="935" t="str">
        <f t="shared" si="0"/>
        <v>벽부형진열장(전동형)L:5000D:1300H:3600FH:300GH:2600UH:700SET</v>
      </c>
      <c r="F8" s="942" t="str">
        <f>[140]산출!D72</f>
        <v>SET</v>
      </c>
      <c r="G8" s="936">
        <f>[140]산출!F72</f>
        <v>2</v>
      </c>
      <c r="H8" s="935" t="str">
        <f t="shared" si="1"/>
        <v>벽부형진열장(전동형)L:5000D:1300H:3600FH:300GH:2600UH:700SET</v>
      </c>
      <c r="I8" s="937">
        <f>J144</f>
        <v>26764981</v>
      </c>
      <c r="J8" s="943">
        <f t="shared" si="2"/>
        <v>53529962</v>
      </c>
      <c r="K8" s="937">
        <f>L144</f>
        <v>15584216</v>
      </c>
      <c r="L8" s="943">
        <f t="shared" si="3"/>
        <v>31168432</v>
      </c>
      <c r="M8" s="937">
        <f>N144</f>
        <v>42349197</v>
      </c>
      <c r="N8" s="943">
        <f t="shared" si="4"/>
        <v>84698394</v>
      </c>
      <c r="O8" s="896"/>
    </row>
    <row r="9" spans="1:15" ht="18.75" customHeight="1">
      <c r="A9" s="938"/>
      <c r="B9" s="939"/>
      <c r="C9" s="1425"/>
      <c r="D9" s="1426"/>
      <c r="E9" s="935"/>
      <c r="F9" s="942"/>
      <c r="G9" s="936"/>
      <c r="H9" s="935"/>
      <c r="I9" s="937"/>
      <c r="J9" s="943"/>
      <c r="K9" s="937"/>
      <c r="L9" s="943"/>
      <c r="M9" s="937"/>
      <c r="N9" s="943"/>
      <c r="O9" s="896"/>
    </row>
    <row r="10" spans="1:15" ht="18.75" customHeight="1">
      <c r="A10" s="938" t="s">
        <v>6582</v>
      </c>
      <c r="B10" s="939" t="s">
        <v>6583</v>
      </c>
      <c r="C10" s="1425"/>
      <c r="D10" s="1426"/>
      <c r="E10" s="935"/>
      <c r="F10" s="942"/>
      <c r="G10" s="936"/>
      <c r="H10" s="935"/>
      <c r="I10" s="937"/>
      <c r="J10" s="943">
        <f>SUM(J7:J9)</f>
        <v>78506821</v>
      </c>
      <c r="K10" s="937"/>
      <c r="L10" s="943">
        <f>SUM(L7:L9)</f>
        <v>45145004</v>
      </c>
      <c r="M10" s="937"/>
      <c r="N10" s="943">
        <f>SUM(N7:N9)</f>
        <v>123651825</v>
      </c>
      <c r="O10" s="896"/>
    </row>
    <row r="11" spans="1:15" ht="18.75" customHeight="1">
      <c r="A11" s="938"/>
      <c r="B11" s="939"/>
      <c r="C11" s="944"/>
      <c r="D11" s="945"/>
      <c r="E11" s="935"/>
      <c r="F11" s="942"/>
      <c r="G11" s="936"/>
      <c r="H11" s="935"/>
      <c r="I11" s="937"/>
      <c r="J11" s="943"/>
      <c r="K11" s="937"/>
      <c r="L11" s="943"/>
      <c r="M11" s="937"/>
      <c r="N11" s="943"/>
      <c r="O11" s="896"/>
    </row>
    <row r="12" spans="1:15" ht="18.75" customHeight="1">
      <c r="A12" s="938"/>
      <c r="B12" s="939"/>
      <c r="C12" s="1425"/>
      <c r="D12" s="1426"/>
      <c r="E12" s="935" t="str">
        <f>SUBSTITUTE(CONCATENATE(B:B,C:C,F:F)," ","")</f>
        <v/>
      </c>
      <c r="F12" s="942"/>
      <c r="G12" s="936"/>
      <c r="H12" s="935" t="str">
        <f t="shared" si="1"/>
        <v/>
      </c>
      <c r="I12" s="937"/>
      <c r="J12" s="943"/>
      <c r="K12" s="937"/>
      <c r="L12" s="943"/>
      <c r="M12" s="937"/>
      <c r="N12" s="943"/>
      <c r="O12" s="896"/>
    </row>
    <row r="13" spans="1:15" ht="18.75" customHeight="1">
      <c r="A13" s="938"/>
      <c r="B13" s="939" t="str">
        <f>[140]LIST!A10</f>
        <v>지상 2층 전시실 3실</v>
      </c>
      <c r="C13" s="1425"/>
      <c r="D13" s="1426"/>
      <c r="E13" s="935" t="str">
        <f>SUBSTITUTE(CONCATENATE(B:B,C:C,F:F)," ","")</f>
        <v>지상2층전시실3실</v>
      </c>
      <c r="F13" s="942"/>
      <c r="G13" s="936"/>
      <c r="H13" s="935" t="str">
        <f t="shared" si="1"/>
        <v>지상2층전시실3실</v>
      </c>
      <c r="I13" s="937"/>
      <c r="J13" s="943"/>
      <c r="K13" s="937"/>
      <c r="L13" s="943"/>
      <c r="M13" s="937"/>
      <c r="N13" s="943"/>
      <c r="O13" s="896"/>
    </row>
    <row r="14" spans="1:15" ht="18.75" customHeight="1">
      <c r="A14" s="939" t="str">
        <f>A147</f>
        <v>SC-201</v>
      </c>
      <c r="B14" s="939" t="str">
        <f>B147</f>
        <v>벽부형진열장(전동형)</v>
      </c>
      <c r="C14" s="939" t="str">
        <f>C147</f>
        <v>L: 5000 D: 1200 H: 3600 FH: 300 GH: 2600 UH: 700</v>
      </c>
      <c r="D14" s="939">
        <f>D147</f>
        <v>0</v>
      </c>
      <c r="E14" s="935"/>
      <c r="F14" s="937" t="str">
        <f>F147</f>
        <v>SET</v>
      </c>
      <c r="G14" s="946">
        <f>G147</f>
        <v>2</v>
      </c>
      <c r="H14" s="935"/>
      <c r="I14" s="937">
        <f>J199</f>
        <v>26635579</v>
      </c>
      <c r="J14" s="943">
        <f t="shared" ref="J14:J22" si="5">TRUNC(G14*I14)</f>
        <v>53271158</v>
      </c>
      <c r="K14" s="937">
        <f>L199</f>
        <v>15436563</v>
      </c>
      <c r="L14" s="943">
        <f t="shared" ref="L14:L22" si="6">TRUNC(G14*K14)</f>
        <v>30873126</v>
      </c>
      <c r="M14" s="937">
        <f>N199</f>
        <v>42072142</v>
      </c>
      <c r="N14" s="943">
        <f t="shared" ref="N14:N22" si="7">J14+L14</f>
        <v>84144284</v>
      </c>
      <c r="O14" s="896"/>
    </row>
    <row r="15" spans="1:15" ht="18.75" customHeight="1">
      <c r="A15" s="939" t="str">
        <f>A202</f>
        <v>SC-202</v>
      </c>
      <c r="B15" s="939" t="str">
        <f>B202</f>
        <v>벽부형진열장(전동형)</v>
      </c>
      <c r="C15" s="939" t="str">
        <f>C202</f>
        <v>L: 6000 D: 1000 H: 3600 FH: 300 GH: 2600 UH: 700</v>
      </c>
      <c r="D15" s="939">
        <f>D202</f>
        <v>0</v>
      </c>
      <c r="E15" s="935" t="str">
        <f t="shared" ref="E15:E21" si="8">SUBSTITUTE(CONCATENATE(B:B,C:C,F:F)," ","")</f>
        <v>벽부형진열장(전동형)L:6000D:1000H:3600FH:300GH:2600UH:700SET</v>
      </c>
      <c r="F15" s="937" t="str">
        <f>F202</f>
        <v>SET</v>
      </c>
      <c r="G15" s="946">
        <f>G202</f>
        <v>4</v>
      </c>
      <c r="H15" s="935" t="str">
        <f t="shared" si="1"/>
        <v>벽부형진열장(전동형)L:6000D:1000H:3600FH:300GH:2600UH:700SET</v>
      </c>
      <c r="I15" s="937">
        <f>J254</f>
        <v>31866132</v>
      </c>
      <c r="J15" s="943">
        <f t="shared" si="5"/>
        <v>127464528</v>
      </c>
      <c r="K15" s="937">
        <f>L254</f>
        <v>17762706</v>
      </c>
      <c r="L15" s="943">
        <f t="shared" si="6"/>
        <v>71050824</v>
      </c>
      <c r="M15" s="937">
        <f>N254</f>
        <v>49628838</v>
      </c>
      <c r="N15" s="943">
        <f t="shared" si="7"/>
        <v>198515352</v>
      </c>
      <c r="O15" s="896"/>
    </row>
    <row r="16" spans="1:15" ht="18.75" customHeight="1">
      <c r="A16" s="939" t="str">
        <f>A256</f>
        <v>SC-203</v>
      </c>
      <c r="B16" s="939" t="str">
        <f>B256</f>
        <v>벽부형진열장(전동형)</v>
      </c>
      <c r="C16" s="939" t="str">
        <f>C256</f>
        <v>L: 8000 D: 1000 H: 3600 FH: 300 GH: 2600 UH: 700</v>
      </c>
      <c r="D16" s="939">
        <f>D256</f>
        <v>0</v>
      </c>
      <c r="E16" s="935" t="str">
        <f t="shared" si="8"/>
        <v>벽부형진열장(전동형)L:8000D:1000H:3600FH:300GH:2600UH:700SET</v>
      </c>
      <c r="F16" s="937" t="str">
        <f>F256</f>
        <v>SET</v>
      </c>
      <c r="G16" s="946">
        <f>G256</f>
        <v>3</v>
      </c>
      <c r="H16" s="935" t="str">
        <f t="shared" si="1"/>
        <v>벽부형진열장(전동형)L:8000D:1000H:3600FH:300GH:2600UH:700SET</v>
      </c>
      <c r="I16" s="937">
        <f>J308</f>
        <v>35493214</v>
      </c>
      <c r="J16" s="943">
        <f t="shared" si="5"/>
        <v>106479642</v>
      </c>
      <c r="K16" s="937">
        <f>L308</f>
        <v>21450566</v>
      </c>
      <c r="L16" s="943">
        <f t="shared" si="6"/>
        <v>64351698</v>
      </c>
      <c r="M16" s="937">
        <f>N308</f>
        <v>56943780</v>
      </c>
      <c r="N16" s="943">
        <f t="shared" si="7"/>
        <v>170831340</v>
      </c>
      <c r="O16" s="896"/>
    </row>
    <row r="17" spans="1:15" ht="18" customHeight="1">
      <c r="A17" s="939" t="str">
        <f>A311</f>
        <v>SC-204</v>
      </c>
      <c r="B17" s="939" t="str">
        <f>B311</f>
        <v>벽부형진열장(전동형)</v>
      </c>
      <c r="C17" s="939" t="str">
        <f>C311</f>
        <v>L: 10000 D: 1000 H: 3600 FH: 300 GH: 2600 UH: 700</v>
      </c>
      <c r="D17" s="939">
        <f>D311</f>
        <v>0</v>
      </c>
      <c r="E17" s="935" t="str">
        <f t="shared" si="8"/>
        <v>벽부형진열장(전동형)L:10000D:1000H:3600FH:300GH:2600UH:700SET</v>
      </c>
      <c r="F17" s="937" t="str">
        <f>F311</f>
        <v>SET</v>
      </c>
      <c r="G17" s="946">
        <f>G311</f>
        <v>2</v>
      </c>
      <c r="H17" s="935" t="str">
        <f t="shared" si="1"/>
        <v>벽부형진열장(전동형)L:10000D:1000H:3600FH:300GH:2600UH:700SET</v>
      </c>
      <c r="I17" s="937">
        <f>J363</f>
        <v>43691348</v>
      </c>
      <c r="J17" s="943">
        <f t="shared" si="5"/>
        <v>87382696</v>
      </c>
      <c r="K17" s="937">
        <f>L363</f>
        <v>26080716</v>
      </c>
      <c r="L17" s="943">
        <f t="shared" si="6"/>
        <v>52161432</v>
      </c>
      <c r="M17" s="937">
        <f>N363</f>
        <v>69772064</v>
      </c>
      <c r="N17" s="943">
        <f t="shared" si="7"/>
        <v>139544128</v>
      </c>
      <c r="O17" s="896"/>
    </row>
    <row r="18" spans="1:15" ht="18.75" customHeight="1">
      <c r="A18" s="939" t="str">
        <f>A366</f>
        <v>SC-205</v>
      </c>
      <c r="B18" s="939" t="str">
        <f>B366</f>
        <v>벽부형진열장(전동형)</v>
      </c>
      <c r="C18" s="939" t="str">
        <f>C366</f>
        <v>L: 12000 D: 1000 H: 3600 FH: 300 GH: 2600 UH: 700</v>
      </c>
      <c r="D18" s="939">
        <f>D366</f>
        <v>0</v>
      </c>
      <c r="E18" s="935" t="str">
        <f t="shared" si="8"/>
        <v>벽부형진열장(전동형)L:12000D:1000H:3600FH:300GH:2600UH:700SET</v>
      </c>
      <c r="F18" s="937" t="str">
        <f>F366</f>
        <v>SET</v>
      </c>
      <c r="G18" s="946">
        <f>G366</f>
        <v>1</v>
      </c>
      <c r="H18" s="935" t="str">
        <f t="shared" si="1"/>
        <v>벽부형진열장(전동형)L:12000D:1000H:3600FH:300GH:2600UH:700SET</v>
      </c>
      <c r="I18" s="937">
        <f>J418</f>
        <v>53576479</v>
      </c>
      <c r="J18" s="943">
        <f t="shared" si="5"/>
        <v>53576479</v>
      </c>
      <c r="K18" s="937">
        <f>L418</f>
        <v>31011555</v>
      </c>
      <c r="L18" s="943">
        <f t="shared" si="6"/>
        <v>31011555</v>
      </c>
      <c r="M18" s="937">
        <f>N418</f>
        <v>84588034</v>
      </c>
      <c r="N18" s="943">
        <f t="shared" si="7"/>
        <v>84588034</v>
      </c>
      <c r="O18" s="896"/>
    </row>
    <row r="19" spans="1:15" ht="18.75" customHeight="1">
      <c r="A19" s="939" t="str">
        <f>A421</f>
        <v>SC-206</v>
      </c>
      <c r="B19" s="939" t="str">
        <f>B421</f>
        <v>고정형 양면 진열장</v>
      </c>
      <c r="C19" s="939">
        <f>C421</f>
        <v>0</v>
      </c>
      <c r="D19" s="939">
        <f>D421</f>
        <v>0</v>
      </c>
      <c r="E19" s="935" t="str">
        <f t="shared" si="8"/>
        <v>고정형양면진열장0SET</v>
      </c>
      <c r="F19" s="937" t="str">
        <f>F421</f>
        <v>SET</v>
      </c>
      <c r="G19" s="936">
        <f>G421</f>
        <v>2</v>
      </c>
      <c r="H19" s="935" t="str">
        <f t="shared" si="1"/>
        <v>고정형양면진열장0SET</v>
      </c>
      <c r="I19" s="937">
        <f>J471</f>
        <v>73245654</v>
      </c>
      <c r="J19" s="943">
        <f t="shared" si="5"/>
        <v>146491308</v>
      </c>
      <c r="K19" s="937">
        <f>L471</f>
        <v>32274668</v>
      </c>
      <c r="L19" s="943">
        <f t="shared" si="6"/>
        <v>64549336</v>
      </c>
      <c r="M19" s="937">
        <f>N471</f>
        <v>105520322</v>
      </c>
      <c r="N19" s="943">
        <f t="shared" si="7"/>
        <v>211040644</v>
      </c>
      <c r="O19" s="896"/>
    </row>
    <row r="20" spans="1:15" ht="18.75" customHeight="1">
      <c r="A20" s="939" t="str">
        <f>A474</f>
        <v>SC-207</v>
      </c>
      <c r="B20" s="939" t="str">
        <f>B474</f>
        <v>4면 유리형 독립장</v>
      </c>
      <c r="C20" s="939" t="str">
        <f>C474</f>
        <v>L: 2400 D: 2400 H: 2300 FH: 300 GH: 1877 UH: 123</v>
      </c>
      <c r="D20" s="939">
        <f>D474</f>
        <v>0</v>
      </c>
      <c r="E20" s="935" t="str">
        <f t="shared" si="8"/>
        <v>4면유리형독립장L:2400D:2400H:2300FH:300GH:1877UH:123SET</v>
      </c>
      <c r="F20" s="937" t="str">
        <f>F474</f>
        <v>SET</v>
      </c>
      <c r="G20" s="936">
        <f>G474</f>
        <v>1</v>
      </c>
      <c r="H20" s="935" t="str">
        <f t="shared" si="1"/>
        <v>4면유리형독립장L:2400D:2400H:2300FH:300GH:1877UH:123SET</v>
      </c>
      <c r="I20" s="937">
        <f>J525</f>
        <v>23796504</v>
      </c>
      <c r="J20" s="943">
        <f t="shared" si="5"/>
        <v>23796504</v>
      </c>
      <c r="K20" s="937">
        <f>L525</f>
        <v>9160610</v>
      </c>
      <c r="L20" s="943">
        <f t="shared" si="6"/>
        <v>9160610</v>
      </c>
      <c r="M20" s="937">
        <f>N525</f>
        <v>32957114</v>
      </c>
      <c r="N20" s="943">
        <f t="shared" si="7"/>
        <v>32957114</v>
      </c>
      <c r="O20" s="896"/>
    </row>
    <row r="21" spans="1:15" ht="18.75" customHeight="1">
      <c r="A21" s="939" t="str">
        <f>A528</f>
        <v>SC-208</v>
      </c>
      <c r="B21" s="939" t="str">
        <f>B528</f>
        <v>4면 유리형 독립장</v>
      </c>
      <c r="C21" s="939" t="str">
        <f>C528</f>
        <v>L: 800 D: 800 H: 2300 FH: 300 GH: 1877 UH: 123</v>
      </c>
      <c r="D21" s="939">
        <f>D475</f>
        <v>0</v>
      </c>
      <c r="E21" s="935" t="str">
        <f t="shared" si="8"/>
        <v>4면유리형독립장L:800D:800H:2300FH:300GH:1877UH:123SET</v>
      </c>
      <c r="F21" s="937" t="str">
        <f>F528</f>
        <v>SET</v>
      </c>
      <c r="G21" s="946">
        <f>G528</f>
        <v>8</v>
      </c>
      <c r="H21" s="935" t="str">
        <f t="shared" si="1"/>
        <v>4면유리형독립장L:800D:800H:2300FH:300GH:1877UH:123SET</v>
      </c>
      <c r="I21" s="937">
        <f>J577</f>
        <v>6442867</v>
      </c>
      <c r="J21" s="943">
        <f t="shared" si="5"/>
        <v>51542936</v>
      </c>
      <c r="K21" s="937">
        <f>L577</f>
        <v>2229821</v>
      </c>
      <c r="L21" s="943">
        <f t="shared" si="6"/>
        <v>17838568</v>
      </c>
      <c r="M21" s="937">
        <f>N577</f>
        <v>8672688</v>
      </c>
      <c r="N21" s="943">
        <f t="shared" si="7"/>
        <v>69381504</v>
      </c>
      <c r="O21" s="896"/>
    </row>
    <row r="22" spans="1:15" ht="18.75" customHeight="1">
      <c r="A22" s="939" t="str">
        <f>A578</f>
        <v>SC-209</v>
      </c>
      <c r="B22" s="939" t="str">
        <f>B578</f>
        <v>복합형 진열장</v>
      </c>
      <c r="C22" s="939" t="str">
        <f>C578</f>
        <v>L: 4500 D: 1200 H: 1800 FH: 0 GH: 0 UH: 0</v>
      </c>
      <c r="D22" s="939" t="e">
        <f>#REF!</f>
        <v>#REF!</v>
      </c>
      <c r="E22" s="935"/>
      <c r="F22" s="937" t="str">
        <f>F578</f>
        <v>SET</v>
      </c>
      <c r="G22" s="936">
        <f>G528</f>
        <v>8</v>
      </c>
      <c r="H22" s="935"/>
      <c r="I22" s="937">
        <f>J610</f>
        <v>6143296</v>
      </c>
      <c r="J22" s="943">
        <f t="shared" si="5"/>
        <v>49146368</v>
      </c>
      <c r="K22" s="937">
        <f>L610</f>
        <v>4475929</v>
      </c>
      <c r="L22" s="943">
        <f t="shared" si="6"/>
        <v>35807432</v>
      </c>
      <c r="M22" s="937">
        <f>N610</f>
        <v>10619225</v>
      </c>
      <c r="N22" s="943">
        <f t="shared" si="7"/>
        <v>84953800</v>
      </c>
      <c r="O22" s="896"/>
    </row>
    <row r="23" spans="1:15" ht="18.75" customHeight="1">
      <c r="A23" s="938"/>
      <c r="B23" s="939"/>
      <c r="C23" s="1425"/>
      <c r="D23" s="1426"/>
      <c r="E23" s="935"/>
      <c r="F23" s="942"/>
      <c r="G23" s="936"/>
      <c r="H23" s="935"/>
      <c r="I23" s="937"/>
      <c r="J23" s="943"/>
      <c r="K23" s="937"/>
      <c r="L23" s="943"/>
      <c r="M23" s="937"/>
      <c r="N23" s="943"/>
      <c r="O23" s="896"/>
    </row>
    <row r="24" spans="1:15" ht="18.75" customHeight="1">
      <c r="A24" s="938"/>
      <c r="B24" s="939" t="s">
        <v>6583</v>
      </c>
      <c r="C24" s="1425"/>
      <c r="D24" s="1426"/>
      <c r="E24" s="935"/>
      <c r="F24" s="942"/>
      <c r="G24" s="936"/>
      <c r="H24" s="935"/>
      <c r="I24" s="937"/>
      <c r="J24" s="943">
        <f>SUM(J14:J23)</f>
        <v>699151619</v>
      </c>
      <c r="K24" s="937"/>
      <c r="L24" s="943">
        <f>SUM(L14:L23)</f>
        <v>376804581</v>
      </c>
      <c r="M24" s="937"/>
      <c r="N24" s="943">
        <f>SUM(N14:N23)</f>
        <v>1075956200</v>
      </c>
      <c r="O24" s="896"/>
    </row>
    <row r="25" spans="1:15" ht="18.75" customHeight="1">
      <c r="A25" s="938"/>
      <c r="B25" s="939"/>
      <c r="C25" s="944"/>
      <c r="D25" s="945"/>
      <c r="E25" s="935"/>
      <c r="F25" s="942"/>
      <c r="G25" s="936"/>
      <c r="H25" s="935"/>
      <c r="I25" s="937"/>
      <c r="J25" s="943"/>
      <c r="K25" s="937"/>
      <c r="L25" s="943"/>
      <c r="M25" s="937"/>
      <c r="N25" s="943"/>
      <c r="O25" s="896"/>
    </row>
    <row r="26" spans="1:15" ht="18.75" customHeight="1">
      <c r="A26" s="938"/>
      <c r="B26" s="939"/>
      <c r="C26" s="944"/>
      <c r="D26" s="945"/>
      <c r="E26" s="935"/>
      <c r="F26" s="942"/>
      <c r="G26" s="936"/>
      <c r="H26" s="935"/>
      <c r="I26" s="937"/>
      <c r="J26" s="943"/>
      <c r="K26" s="937"/>
      <c r="L26" s="943"/>
      <c r="M26" s="937"/>
      <c r="N26" s="943"/>
      <c r="O26" s="896"/>
    </row>
    <row r="27" spans="1:15" ht="18.75" customHeight="1">
      <c r="A27" s="938"/>
      <c r="B27" s="937" t="s">
        <v>6584</v>
      </c>
      <c r="C27" s="1425"/>
      <c r="D27" s="1426"/>
      <c r="E27" s="935" t="str">
        <f>SUBSTITUTE(CONCATENATE(B:B,C:C,F:F)," ","")</f>
        <v>합계</v>
      </c>
      <c r="F27" s="942"/>
      <c r="G27" s="936"/>
      <c r="H27" s="935" t="str">
        <f t="shared" si="1"/>
        <v>합계</v>
      </c>
      <c r="I27" s="937"/>
      <c r="J27" s="943">
        <f>J24+J10</f>
        <v>777658440</v>
      </c>
      <c r="K27" s="937"/>
      <c r="L27" s="943">
        <f>L24+L10</f>
        <v>421949585</v>
      </c>
      <c r="M27" s="937"/>
      <c r="N27" s="943">
        <f>N24+N10</f>
        <v>1199608025</v>
      </c>
      <c r="O27" s="896"/>
    </row>
    <row r="28" spans="1:15" ht="18.75" customHeight="1">
      <c r="A28" s="938"/>
      <c r="B28" s="937"/>
      <c r="C28" s="944"/>
      <c r="D28" s="945"/>
      <c r="E28" s="935"/>
      <c r="F28" s="942"/>
      <c r="G28" s="936"/>
      <c r="H28" s="935"/>
      <c r="I28" s="937"/>
      <c r="J28" s="943"/>
      <c r="K28" s="937"/>
      <c r="L28" s="943"/>
      <c r="M28" s="937"/>
      <c r="N28" s="943"/>
      <c r="O28" s="896"/>
    </row>
    <row r="29" spans="1:15" ht="18.75" customHeight="1">
      <c r="A29" s="938"/>
      <c r="B29" s="937"/>
      <c r="C29" s="944"/>
      <c r="D29" s="945"/>
      <c r="E29" s="935"/>
      <c r="F29" s="942"/>
      <c r="G29" s="936"/>
      <c r="H29" s="935"/>
      <c r="I29" s="937"/>
      <c r="J29" s="943"/>
      <c r="K29" s="937"/>
      <c r="L29" s="943"/>
      <c r="M29" s="937"/>
      <c r="N29" s="943"/>
      <c r="O29" s="896"/>
    </row>
    <row r="30" spans="1:15" ht="18.75" customHeight="1">
      <c r="A30" s="938"/>
      <c r="B30" s="937"/>
      <c r="C30" s="944"/>
      <c r="D30" s="945"/>
      <c r="E30" s="935"/>
      <c r="F30" s="942"/>
      <c r="G30" s="936"/>
      <c r="H30" s="935"/>
      <c r="I30" s="937"/>
      <c r="J30" s="943"/>
      <c r="K30" s="937"/>
      <c r="L30" s="943"/>
      <c r="M30" s="937"/>
      <c r="N30" s="943"/>
      <c r="O30" s="896"/>
    </row>
    <row r="31" spans="1:15" ht="18.75" customHeight="1">
      <c r="A31" s="938"/>
      <c r="B31" s="937"/>
      <c r="C31" s="944"/>
      <c r="D31" s="945"/>
      <c r="E31" s="935"/>
      <c r="F31" s="942"/>
      <c r="G31" s="936"/>
      <c r="H31" s="935"/>
      <c r="I31" s="937"/>
      <c r="J31" s="943"/>
      <c r="K31" s="937"/>
      <c r="L31" s="943"/>
      <c r="M31" s="937"/>
      <c r="N31" s="943"/>
      <c r="O31" s="896"/>
    </row>
    <row r="32" spans="1:15" ht="18.75" customHeight="1">
      <c r="A32" s="938"/>
      <c r="B32" s="937"/>
      <c r="C32" s="944"/>
      <c r="D32" s="945"/>
      <c r="E32" s="935"/>
      <c r="F32" s="942"/>
      <c r="G32" s="936"/>
      <c r="H32" s="935"/>
      <c r="I32" s="937"/>
      <c r="J32" s="943"/>
      <c r="K32" s="937"/>
      <c r="L32" s="943"/>
      <c r="M32" s="937"/>
      <c r="N32" s="943"/>
      <c r="O32" s="896"/>
    </row>
    <row r="33" spans="1:15" ht="18.75" customHeight="1">
      <c r="A33" s="938"/>
      <c r="B33" s="937"/>
      <c r="C33" s="944"/>
      <c r="D33" s="945"/>
      <c r="E33" s="935"/>
      <c r="F33" s="942"/>
      <c r="G33" s="936"/>
      <c r="H33" s="935"/>
      <c r="I33" s="937"/>
      <c r="J33" s="943"/>
      <c r="K33" s="937"/>
      <c r="L33" s="943"/>
      <c r="M33" s="937"/>
      <c r="N33" s="943"/>
      <c r="O33" s="896"/>
    </row>
    <row r="34" spans="1:15" ht="18.75" customHeight="1">
      <c r="A34" s="938"/>
      <c r="B34" s="937"/>
      <c r="C34" s="944"/>
      <c r="D34" s="945"/>
      <c r="E34" s="935"/>
      <c r="F34" s="942"/>
      <c r="G34" s="936"/>
      <c r="H34" s="935"/>
      <c r="I34" s="937"/>
      <c r="J34" s="943"/>
      <c r="K34" s="937"/>
      <c r="L34" s="943"/>
      <c r="M34" s="937"/>
      <c r="N34" s="943"/>
      <c r="O34" s="896"/>
    </row>
    <row r="35" spans="1:15" ht="18.75" customHeight="1">
      <c r="A35" s="938"/>
      <c r="B35" s="937"/>
      <c r="C35" s="944"/>
      <c r="D35" s="945"/>
      <c r="E35" s="935"/>
      <c r="F35" s="942"/>
      <c r="G35" s="936"/>
      <c r="H35" s="935"/>
      <c r="I35" s="937"/>
      <c r="J35" s="943"/>
      <c r="K35" s="937"/>
      <c r="L35" s="943"/>
      <c r="M35" s="937"/>
      <c r="N35" s="943"/>
      <c r="O35" s="896"/>
    </row>
    <row r="36" spans="1:15" ht="18.75" customHeight="1">
      <c r="A36" s="938"/>
      <c r="B36" s="937"/>
      <c r="C36" s="944"/>
      <c r="D36" s="945"/>
      <c r="E36" s="935"/>
      <c r="F36" s="942"/>
      <c r="G36" s="936"/>
      <c r="H36" s="935"/>
      <c r="I36" s="937"/>
      <c r="J36" s="943"/>
      <c r="K36" s="937"/>
      <c r="L36" s="943"/>
      <c r="M36" s="937"/>
      <c r="N36" s="943"/>
      <c r="O36" s="896"/>
    </row>
    <row r="37" spans="1:15" s="952" customFormat="1" ht="18.75" customHeight="1">
      <c r="A37" s="947" t="str">
        <f>[140]산출!A13</f>
        <v>SC-101</v>
      </c>
      <c r="B37" s="947" t="str">
        <f>[140]산출!B13</f>
        <v>벽부형진열장(전동형)</v>
      </c>
      <c r="C37" s="1423" t="str">
        <f>[140]산출!C13</f>
        <v>L: 4500 D: 1100 H: 3600 FH: 300 GH: 2600 UH: 700</v>
      </c>
      <c r="D37" s="1424"/>
      <c r="E37" s="948" t="str">
        <f>SUBSTITUTE(CONCATENATE(B:B,C:C,F:F)," ","")</f>
        <v>벽부형진열장(전동형)L:4500D:1100H:3600FH:300GH:2600UH:700SET</v>
      </c>
      <c r="F37" s="949" t="str">
        <f>[140]산출!D13</f>
        <v>SET</v>
      </c>
      <c r="G37" s="950">
        <f>[140]산출!F13</f>
        <v>1</v>
      </c>
      <c r="H37" s="948" t="str">
        <f t="shared" ref="H37:H45" si="9">SUBSTITUTE(CONCATENATE(B37,C37,F37)," ","")</f>
        <v>벽부형진열장(전동형)L:4500D:1100H:3600FH:300GH:2600UH:700SET</v>
      </c>
      <c r="I37" s="951"/>
      <c r="J37" s="951"/>
      <c r="K37" s="951"/>
      <c r="L37" s="951"/>
      <c r="M37" s="951"/>
      <c r="N37" s="951"/>
      <c r="O37" s="949"/>
    </row>
    <row r="38" spans="1:15" s="952" customFormat="1" ht="18.75" customHeight="1">
      <c r="A38" s="953"/>
      <c r="B38" s="947" t="str">
        <f>[140]산출!B14</f>
        <v>- 구조틀</v>
      </c>
      <c r="C38" s="954"/>
      <c r="D38" s="955"/>
      <c r="E38" s="948"/>
      <c r="F38" s="949"/>
      <c r="G38" s="950"/>
      <c r="H38" s="948" t="str">
        <f t="shared" si="9"/>
        <v>-구조틀</v>
      </c>
      <c r="I38" s="951"/>
      <c r="J38" s="951"/>
      <c r="K38" s="951"/>
      <c r="L38" s="951"/>
      <c r="M38" s="951"/>
      <c r="N38" s="951"/>
      <c r="O38" s="949"/>
    </row>
    <row r="39" spans="1:15" ht="18.75" customHeight="1">
      <c r="A39" s="956"/>
      <c r="B39" s="957" t="str">
        <f>[140]산출!B15</f>
        <v>각파이프(방청)</v>
      </c>
      <c r="C39" s="939" t="str">
        <f>[140]산출!C15</f>
        <v>50*50*1.4T</v>
      </c>
      <c r="D39" s="958">
        <f>[140]산출!G15</f>
        <v>0</v>
      </c>
      <c r="E39" s="935" t="str">
        <f>SUBSTITUTE(CONCATENATE(B:B,C:C,F:F)," ","")</f>
        <v>각파이프(방청)50*50*1.4TM</v>
      </c>
      <c r="F39" s="896" t="str">
        <f>[140]산출!D15</f>
        <v>M</v>
      </c>
      <c r="G39" s="936">
        <f>[140]산출!F15</f>
        <v>160.29999999999998</v>
      </c>
      <c r="H39" s="935" t="str">
        <f t="shared" si="9"/>
        <v>각파이프(방청)50*50*1.4TM</v>
      </c>
      <c r="I39" s="959">
        <f>VLOOKUP($H:$H,[140]일위목록!$A:$H,6,FALSE)</f>
        <v>3111</v>
      </c>
      <c r="J39" s="959">
        <f>TRUNC($G:$G*I:I)</f>
        <v>498693</v>
      </c>
      <c r="K39" s="959">
        <f>VLOOKUP($H:$H,[140]일위목록!$A:$H,7,FALSE)</f>
        <v>16978</v>
      </c>
      <c r="L39" s="959">
        <f>TRUNC($G:$G*K:K)</f>
        <v>2721573</v>
      </c>
      <c r="M39" s="959">
        <f t="shared" ref="M39:N45" si="10">SUM(I39,K39)</f>
        <v>20089</v>
      </c>
      <c r="N39" s="959">
        <f t="shared" si="10"/>
        <v>3220266</v>
      </c>
      <c r="O39" s="896" t="str">
        <f>VLOOKUP($H:$H,[140]일위목록!$A:$B,2,FALSE)</f>
        <v>제47호표</v>
      </c>
    </row>
    <row r="40" spans="1:15" ht="18.75" customHeight="1">
      <c r="A40" s="956"/>
      <c r="B40" s="957" t="str">
        <f>[140]산출!B16</f>
        <v>각파이프(방청)</v>
      </c>
      <c r="C40" s="939" t="str">
        <f>[140]산출!C16</f>
        <v>100*50*2.3T</v>
      </c>
      <c r="D40" s="958">
        <f>[140]산출!G16</f>
        <v>0</v>
      </c>
      <c r="E40" s="935" t="str">
        <f>SUBSTITUTE(CONCATENATE(B:B,C:C,F:F)," ","")</f>
        <v>각파이프(방청)100*50*2.3TM</v>
      </c>
      <c r="F40" s="896" t="str">
        <f>[140]산출!D16</f>
        <v>M</v>
      </c>
      <c r="G40" s="936">
        <f>[140]산출!F16</f>
        <v>25.2</v>
      </c>
      <c r="H40" s="935" t="str">
        <f t="shared" si="9"/>
        <v>각파이프(방청)100*50*2.3TM</v>
      </c>
      <c r="I40" s="959">
        <f>VLOOKUP($H:$H,[140]일위목록!$A:$H,6,FALSE)</f>
        <v>6799</v>
      </c>
      <c r="J40" s="959">
        <f>TRUNC($G:$G*I:I)</f>
        <v>171334</v>
      </c>
      <c r="K40" s="959">
        <f>VLOOKUP($H:$H,[140]일위목록!$A:$H,7,FALSE)</f>
        <v>41245</v>
      </c>
      <c r="L40" s="959">
        <f>TRUNC($G:$G*K:K)</f>
        <v>1039374</v>
      </c>
      <c r="M40" s="959">
        <f t="shared" si="10"/>
        <v>48044</v>
      </c>
      <c r="N40" s="959">
        <f t="shared" si="10"/>
        <v>1210708</v>
      </c>
      <c r="O40" s="896" t="str">
        <f>VLOOKUP($H:$H,[140]일위목록!$A:$B,2,FALSE)</f>
        <v>제48호표</v>
      </c>
    </row>
    <row r="41" spans="1:15" s="952" customFormat="1" ht="18.75" customHeight="1">
      <c r="A41" s="960"/>
      <c r="B41" s="947" t="str">
        <f>[140]산출!B17</f>
        <v>- 잡철물</v>
      </c>
      <c r="C41" s="954"/>
      <c r="D41" s="955"/>
      <c r="E41" s="948"/>
      <c r="F41" s="949"/>
      <c r="G41" s="950"/>
      <c r="H41" s="948"/>
      <c r="I41" s="951"/>
      <c r="J41" s="951"/>
      <c r="K41" s="951"/>
      <c r="L41" s="951"/>
      <c r="M41" s="951"/>
      <c r="N41" s="951"/>
      <c r="O41" s="949"/>
    </row>
    <row r="42" spans="1:15" ht="18.75" customHeight="1">
      <c r="A42" s="956"/>
      <c r="B42" s="957" t="str">
        <f>[140]산출!B18</f>
        <v>갈바후레임제작설치</v>
      </c>
      <c r="C42" s="939" t="str">
        <f>[140]산출!C18</f>
        <v>1.6T</v>
      </c>
      <c r="D42" s="958" t="str">
        <f>[140]산출!G18</f>
        <v>상부점검도어 몰딩</v>
      </c>
      <c r="E42" s="935" t="str">
        <f>SUBSTITUTE(CONCATENATE(B:B,C:C,F:F)," ","")</f>
        <v>갈바후레임제작설치1.6TM2</v>
      </c>
      <c r="F42" s="896" t="str">
        <f>[140]산출!D18</f>
        <v>M2</v>
      </c>
      <c r="G42" s="936">
        <f>[140]산출!F18</f>
        <v>1.4175</v>
      </c>
      <c r="H42" s="935" t="str">
        <f t="shared" si="9"/>
        <v>갈바후레임제작설치1.6TM2</v>
      </c>
      <c r="I42" s="959">
        <f>VLOOKUP($H:$H,[140]일위목록!$A:$H,6,FALSE)</f>
        <v>16515</v>
      </c>
      <c r="J42" s="959">
        <f>TRUNC($G:$G*I:I)</f>
        <v>23410</v>
      </c>
      <c r="K42" s="959">
        <f>VLOOKUP($H:$H,[140]일위목록!$A:$H,7,FALSE)</f>
        <v>65362</v>
      </c>
      <c r="L42" s="959">
        <f>TRUNC($G:$G*K:K)</f>
        <v>92650</v>
      </c>
      <c r="M42" s="959">
        <f t="shared" si="10"/>
        <v>81877</v>
      </c>
      <c r="N42" s="959">
        <f t="shared" si="10"/>
        <v>116060</v>
      </c>
      <c r="O42" s="896" t="str">
        <f>VLOOKUP($H:$H,[140]일위목록!$A:$B,2,FALSE)</f>
        <v>제51호표</v>
      </c>
    </row>
    <row r="43" spans="1:15" ht="18.75" customHeight="1">
      <c r="A43" s="956"/>
      <c r="B43" s="957" t="str">
        <f>[140]산출!B19</f>
        <v>갈바후레임제작설치</v>
      </c>
      <c r="C43" s="939" t="str">
        <f>[140]산출!C19</f>
        <v>1.6T</v>
      </c>
      <c r="D43" s="958" t="str">
        <f>[140]산출!G19</f>
        <v>상부전면천장유리후레임</v>
      </c>
      <c r="E43" s="935" t="str">
        <f>SUBSTITUTE(CONCATENATE(B:B,C:C,F:F)," ","")</f>
        <v>갈바후레임제작설치1.6TM2</v>
      </c>
      <c r="F43" s="896" t="str">
        <f>[140]산출!D19</f>
        <v>M2</v>
      </c>
      <c r="G43" s="936">
        <f>[140]산출!F19</f>
        <v>2.214</v>
      </c>
      <c r="H43" s="935" t="str">
        <f t="shared" si="9"/>
        <v>갈바후레임제작설치1.6TM2</v>
      </c>
      <c r="I43" s="959">
        <f>VLOOKUP($H:$H,[140]일위목록!$A:$H,6,FALSE)</f>
        <v>16515</v>
      </c>
      <c r="J43" s="959">
        <f>TRUNC($G:$G*I:I)</f>
        <v>36564</v>
      </c>
      <c r="K43" s="959">
        <f>VLOOKUP($H:$H,[140]일위목록!$A:$H,7,FALSE)</f>
        <v>65362</v>
      </c>
      <c r="L43" s="959">
        <f>TRUNC($G:$G*K:K)</f>
        <v>144711</v>
      </c>
      <c r="M43" s="959">
        <f t="shared" si="10"/>
        <v>81877</v>
      </c>
      <c r="N43" s="959">
        <f t="shared" si="10"/>
        <v>181275</v>
      </c>
      <c r="O43" s="896" t="str">
        <f>VLOOKUP($H:$H,[140]일위목록!$A:$B,2,FALSE)</f>
        <v>제51호표</v>
      </c>
    </row>
    <row r="44" spans="1:15" ht="18.75" customHeight="1">
      <c r="A44" s="956"/>
      <c r="B44" s="957" t="str">
        <f>[140]산출!B20</f>
        <v>갈바후레임제작설치</v>
      </c>
      <c r="C44" s="939" t="str">
        <f>[140]산출!C20</f>
        <v>1.6T</v>
      </c>
      <c r="D44" s="958" t="str">
        <f>[140]산출!G20</f>
        <v>배면천장몰딩</v>
      </c>
      <c r="E44" s="935" t="str">
        <f>SUBSTITUTE(CONCATENATE(B:B,C:C,F:F)," ","")</f>
        <v>갈바후레임제작설치1.6TM2</v>
      </c>
      <c r="F44" s="896" t="str">
        <f>[140]산출!D20</f>
        <v>M2</v>
      </c>
      <c r="G44" s="936">
        <f>[140]산출!F20</f>
        <v>2.9744999999999999</v>
      </c>
      <c r="H44" s="935" t="str">
        <f t="shared" si="9"/>
        <v>갈바후레임제작설치1.6TM2</v>
      </c>
      <c r="I44" s="959">
        <f>VLOOKUP($H:$H,[140]일위목록!$A:$H,6,FALSE)</f>
        <v>16515</v>
      </c>
      <c r="J44" s="959">
        <f>TRUNC($G:$G*I:I)</f>
        <v>49123</v>
      </c>
      <c r="K44" s="959">
        <f>VLOOKUP($H:$H,[140]일위목록!$A:$H,7,FALSE)</f>
        <v>65362</v>
      </c>
      <c r="L44" s="959">
        <f>TRUNC($G:$G*K:K)</f>
        <v>194419</v>
      </c>
      <c r="M44" s="959">
        <f t="shared" si="10"/>
        <v>81877</v>
      </c>
      <c r="N44" s="959">
        <f t="shared" si="10"/>
        <v>243542</v>
      </c>
      <c r="O44" s="896" t="str">
        <f>VLOOKUP($H:$H,[140]일위목록!$A:$B,2,FALSE)</f>
        <v>제51호표</v>
      </c>
    </row>
    <row r="45" spans="1:15" ht="18.75" customHeight="1">
      <c r="A45" s="956"/>
      <c r="B45" s="957" t="str">
        <f>[140]산출!B21</f>
        <v>갈바후레임제작설치</v>
      </c>
      <c r="C45" s="939" t="str">
        <f>[140]산출!C21</f>
        <v>1.6T</v>
      </c>
      <c r="D45" s="958" t="str">
        <f>[140]산출!G21</f>
        <v>그림걸이레일보강</v>
      </c>
      <c r="E45" s="935" t="str">
        <f>SUBSTITUTE(CONCATENATE(B:B,C:C,F:F)," ","")</f>
        <v>갈바후레임제작설치1.6TM2</v>
      </c>
      <c r="F45" s="896" t="str">
        <f>[140]산출!D21</f>
        <v>M2</v>
      </c>
      <c r="G45" s="936">
        <f>[140]산출!F21</f>
        <v>0.92249999999999999</v>
      </c>
      <c r="H45" s="935" t="str">
        <f t="shared" si="9"/>
        <v>갈바후레임제작설치1.6TM2</v>
      </c>
      <c r="I45" s="959">
        <f>VLOOKUP($H:$H,[140]일위목록!$A:$H,6,FALSE)</f>
        <v>16515</v>
      </c>
      <c r="J45" s="959">
        <f>TRUNC($G:$G*I:I)</f>
        <v>15235</v>
      </c>
      <c r="K45" s="959">
        <f>VLOOKUP($H:$H,[140]일위목록!$A:$H,7,FALSE)</f>
        <v>65362</v>
      </c>
      <c r="L45" s="959">
        <f>TRUNC($G:$G*K:K)</f>
        <v>60296</v>
      </c>
      <c r="M45" s="959">
        <f t="shared" si="10"/>
        <v>81877</v>
      </c>
      <c r="N45" s="959">
        <f t="shared" si="10"/>
        <v>75531</v>
      </c>
      <c r="O45" s="896" t="str">
        <f>VLOOKUP($H:$H,[140]일위목록!$A:$B,2,FALSE)</f>
        <v>제51호표</v>
      </c>
    </row>
    <row r="46" spans="1:15" ht="18.75" customHeight="1">
      <c r="A46" s="956"/>
      <c r="B46" s="957" t="str">
        <f>[140]산출!B22</f>
        <v>갈바후레임제작설치</v>
      </c>
      <c r="C46" s="939" t="str">
        <f>[140]산출!C22</f>
        <v>1.6T</v>
      </c>
      <c r="D46" s="958"/>
      <c r="E46" s="935"/>
      <c r="F46" s="896"/>
      <c r="G46" s="936"/>
      <c r="H46" s="935"/>
      <c r="I46" s="959"/>
      <c r="J46" s="959"/>
      <c r="K46" s="959"/>
      <c r="L46" s="959"/>
      <c r="M46" s="959"/>
      <c r="N46" s="959"/>
      <c r="O46" s="896"/>
    </row>
    <row r="47" spans="1:15" ht="18.75" customHeight="1">
      <c r="A47" s="956"/>
      <c r="B47" s="957" t="str">
        <f>[140]산출!B23</f>
        <v>갈바후레임제작설치</v>
      </c>
      <c r="C47" s="939" t="str">
        <f>[140]산출!C23</f>
        <v>1.6T</v>
      </c>
      <c r="D47" s="958" t="str">
        <f>[140]산출!G23</f>
        <v>배면 사이드 몰딩</v>
      </c>
      <c r="E47" s="935" t="str">
        <f>SUBSTITUTE(CONCATENATE(B:B,C:C,F:F)," ","")</f>
        <v>갈바후레임제작설치1.6TM2</v>
      </c>
      <c r="F47" s="896" t="str">
        <f>[140]산출!D23</f>
        <v>M2</v>
      </c>
      <c r="G47" s="936">
        <f>[140]산출!F23</f>
        <v>3.8640000000000008</v>
      </c>
      <c r="H47" s="935" t="str">
        <f t="shared" ref="H47:H50" si="11">SUBSTITUTE(CONCATENATE(B47,C47,F47)," ","")</f>
        <v>갈바후레임제작설치1.6TM2</v>
      </c>
      <c r="I47" s="959">
        <f>VLOOKUP($H:$H,[140]일위목록!$A:$H,6,FALSE)</f>
        <v>16515</v>
      </c>
      <c r="J47" s="959">
        <f>TRUNC($G:$G*I:I)</f>
        <v>63813</v>
      </c>
      <c r="K47" s="959">
        <f>VLOOKUP($H:$H,[140]일위목록!$A:$H,7,FALSE)</f>
        <v>65362</v>
      </c>
      <c r="L47" s="959">
        <f>TRUNC($G:$G*K:K)</f>
        <v>252558</v>
      </c>
      <c r="M47" s="959">
        <f t="shared" ref="M47:N50" si="12">SUM(I47,K47)</f>
        <v>81877</v>
      </c>
      <c r="N47" s="959">
        <f t="shared" si="12"/>
        <v>316371</v>
      </c>
      <c r="O47" s="896" t="str">
        <f>VLOOKUP($H:$H,[140]일위목록!$A:$B,2,FALSE)</f>
        <v>제51호표</v>
      </c>
    </row>
    <row r="48" spans="1:15" ht="18.75" customHeight="1">
      <c r="A48" s="956"/>
      <c r="B48" s="957" t="str">
        <f>[140]산출!B24</f>
        <v>갈바후레임제작설치</v>
      </c>
      <c r="C48" s="939" t="str">
        <f>[140]산출!C24</f>
        <v>1.6T</v>
      </c>
      <c r="D48" s="958" t="str">
        <f>[140]산출!G24</f>
        <v>외부 측면 후레임</v>
      </c>
      <c r="E48" s="935" t="str">
        <f>SUBSTITUTE(CONCATENATE(B:B,C:C,F:F)," ","")</f>
        <v>갈바후레임제작설치1.6TM2</v>
      </c>
      <c r="F48" s="896" t="str">
        <f>[140]산출!D24</f>
        <v>M2</v>
      </c>
      <c r="G48" s="936">
        <f>[140]산출!F24</f>
        <v>1.1440000000000001</v>
      </c>
      <c r="H48" s="935" t="str">
        <f t="shared" si="11"/>
        <v>갈바후레임제작설치1.6TM2</v>
      </c>
      <c r="I48" s="959">
        <f>VLOOKUP($H:$H,[140]일위목록!$A:$H,6,FALSE)</f>
        <v>16515</v>
      </c>
      <c r="J48" s="959">
        <f>TRUNC($G:$G*I:I)</f>
        <v>18893</v>
      </c>
      <c r="K48" s="959">
        <f>VLOOKUP($H:$H,[140]일위목록!$A:$H,7,FALSE)</f>
        <v>65362</v>
      </c>
      <c r="L48" s="959">
        <f>TRUNC($G:$G*K:K)</f>
        <v>74774</v>
      </c>
      <c r="M48" s="959">
        <f t="shared" si="12"/>
        <v>81877</v>
      </c>
      <c r="N48" s="959">
        <f t="shared" si="12"/>
        <v>93667</v>
      </c>
      <c r="O48" s="896" t="str">
        <f>VLOOKUP($H:$H,[140]일위목록!$A:$B,2,FALSE)</f>
        <v>제51호표</v>
      </c>
    </row>
    <row r="49" spans="1:15" ht="18.75" customHeight="1">
      <c r="A49" s="956"/>
      <c r="B49" s="957" t="str">
        <f>[140]산출!B25</f>
        <v>갈바후레임제작설치</v>
      </c>
      <c r="C49" s="939" t="str">
        <f>[140]산출!C25</f>
        <v>1.6T</v>
      </c>
      <c r="D49" s="958" t="str">
        <f>[140]산출!G25</f>
        <v>측면 유리 몰딩</v>
      </c>
      <c r="E49" s="935" t="str">
        <f>SUBSTITUTE(CONCATENATE(B:B,C:C,F:F)," ","")</f>
        <v>갈바후레임제작설치1.6TM2</v>
      </c>
      <c r="F49" s="896" t="str">
        <f>[140]산출!D25</f>
        <v>M2</v>
      </c>
      <c r="G49" s="936">
        <f>[140]산출!F25</f>
        <v>2.1743999999999999</v>
      </c>
      <c r="H49" s="935" t="str">
        <f t="shared" si="11"/>
        <v>갈바후레임제작설치1.6TM2</v>
      </c>
      <c r="I49" s="959">
        <f>VLOOKUP($H:$H,[140]일위목록!$A:$H,6,FALSE)</f>
        <v>16515</v>
      </c>
      <c r="J49" s="959">
        <f>TRUNC($G:$G*I:I)</f>
        <v>35910</v>
      </c>
      <c r="K49" s="959">
        <f>VLOOKUP($H:$H,[140]일위목록!$A:$H,7,FALSE)</f>
        <v>65362</v>
      </c>
      <c r="L49" s="959">
        <f>TRUNC($G:$G*K:K)</f>
        <v>142123</v>
      </c>
      <c r="M49" s="959">
        <f t="shared" si="12"/>
        <v>81877</v>
      </c>
      <c r="N49" s="959">
        <f t="shared" si="12"/>
        <v>178033</v>
      </c>
      <c r="O49" s="896" t="str">
        <f>VLOOKUP($H:$H,[140]일위목록!$A:$B,2,FALSE)</f>
        <v>제51호표</v>
      </c>
    </row>
    <row r="50" spans="1:15" ht="18.75" customHeight="1">
      <c r="A50" s="956"/>
      <c r="B50" s="957" t="str">
        <f>[140]산출!B26</f>
        <v>알루미늄판취부</v>
      </c>
      <c r="C50" s="939" t="str">
        <f>[140]산출!C26</f>
        <v>4T*900*1800</v>
      </c>
      <c r="D50" s="958" t="str">
        <f>[140]산출!G26</f>
        <v>상부점검도어 커버</v>
      </c>
      <c r="E50" s="935" t="str">
        <f>SUBSTITUTE(CONCATENATE(B:B,C:C,F:F)," ","")</f>
        <v>알루미늄판취부4T*900*1800M2</v>
      </c>
      <c r="F50" s="896" t="str">
        <f>[140]산출!D26</f>
        <v>M2</v>
      </c>
      <c r="G50" s="936">
        <f>[140]산출!F26</f>
        <v>3.15</v>
      </c>
      <c r="H50" s="935" t="str">
        <f t="shared" si="11"/>
        <v>알루미늄판취부4T*900*1800M2</v>
      </c>
      <c r="I50" s="959">
        <f>VLOOKUP($H:$H,[140]일위목록!$A:$H,6,FALSE)</f>
        <v>130192</v>
      </c>
      <c r="J50" s="959">
        <f>TRUNC($G:$G*I:I)</f>
        <v>410104</v>
      </c>
      <c r="K50" s="959">
        <f>VLOOKUP($H:$H,[140]일위목록!$A:$H,7,FALSE)</f>
        <v>14745</v>
      </c>
      <c r="L50" s="959">
        <f>TRUNC($G:$G*K:K)</f>
        <v>46446</v>
      </c>
      <c r="M50" s="959">
        <f t="shared" si="12"/>
        <v>144937</v>
      </c>
      <c r="N50" s="959">
        <f t="shared" si="12"/>
        <v>456550</v>
      </c>
      <c r="O50" s="896" t="str">
        <f>VLOOKUP($H:$H,[140]일위목록!$A:$B,2,FALSE)</f>
        <v>제69호표</v>
      </c>
    </row>
    <row r="51" spans="1:15" s="952" customFormat="1" ht="18.75" customHeight="1">
      <c r="A51" s="960"/>
      <c r="B51" s="947" t="str">
        <f>[140]산출!B27</f>
        <v>- 잡철물</v>
      </c>
      <c r="C51" s="954"/>
      <c r="D51" s="955"/>
      <c r="E51" s="948"/>
      <c r="F51" s="949"/>
      <c r="G51" s="950"/>
      <c r="H51" s="948"/>
      <c r="I51" s="951"/>
      <c r="J51" s="951"/>
      <c r="K51" s="951"/>
      <c r="L51" s="951"/>
      <c r="M51" s="951"/>
      <c r="N51" s="951"/>
      <c r="O51" s="949"/>
    </row>
    <row r="52" spans="1:15" ht="18.75" customHeight="1">
      <c r="A52" s="956"/>
      <c r="B52" s="957" t="str">
        <f>[140]산출!B28</f>
        <v>갈바후레임제작설치</v>
      </c>
      <c r="C52" s="939" t="str">
        <f>[140]산출!C28</f>
        <v>1.6T</v>
      </c>
      <c r="D52" s="958" t="str">
        <f>[140]산출!G28</f>
        <v>하부전면후레임</v>
      </c>
      <c r="E52" s="935" t="str">
        <f>SUBSTITUTE(CONCATENATE(B:B,C:C,F:F)," ","")</f>
        <v>갈바후레임제작설치1.6TM2</v>
      </c>
      <c r="F52" s="896" t="str">
        <f>[140]산출!D28</f>
        <v>M2</v>
      </c>
      <c r="G52" s="936">
        <f>[140]산출!F28</f>
        <v>2.0385</v>
      </c>
      <c r="H52" s="935" t="str">
        <f t="shared" ref="H52:H77" si="13">SUBSTITUTE(CONCATENATE(B52,C52,F52)," ","")</f>
        <v>갈바후레임제작설치1.6TM2</v>
      </c>
      <c r="I52" s="959">
        <f>VLOOKUP($H:$H,[140]일위목록!$A:$H,6,FALSE)</f>
        <v>16515</v>
      </c>
      <c r="J52" s="959">
        <f>TRUNC($G:$G*I:I)</f>
        <v>33665</v>
      </c>
      <c r="K52" s="959">
        <f>VLOOKUP($H:$H,[140]일위목록!$A:$H,7,FALSE)</f>
        <v>65362</v>
      </c>
      <c r="L52" s="959">
        <f>TRUNC($G:$G*K:K)</f>
        <v>133240</v>
      </c>
      <c r="M52" s="959">
        <f t="shared" ref="M52:N67" si="14">SUM(I52,K52)</f>
        <v>81877</v>
      </c>
      <c r="N52" s="959">
        <f t="shared" si="14"/>
        <v>166905</v>
      </c>
      <c r="O52" s="896" t="str">
        <f>VLOOKUP($H:$H,[140]일위목록!$A:$B,2,FALSE)</f>
        <v>제51호표</v>
      </c>
    </row>
    <row r="53" spans="1:15" ht="18.75" customHeight="1">
      <c r="A53" s="956"/>
      <c r="B53" s="957" t="str">
        <f>[140]산출!B29</f>
        <v>갈바후레임제작설치</v>
      </c>
      <c r="C53" s="939" t="str">
        <f>[140]산출!C29</f>
        <v>1.6T</v>
      </c>
      <c r="D53" s="958" t="str">
        <f>[140]산출!G29</f>
        <v>하부바닥받침몰딩</v>
      </c>
      <c r="E53" s="935" t="str">
        <f>SUBSTITUTE(CONCATENATE(B:B,C:C,F:F)," ","")</f>
        <v>갈바후레임제작설치1.6TM2</v>
      </c>
      <c r="F53" s="896" t="str">
        <f>[140]산출!D29</f>
        <v>M2</v>
      </c>
      <c r="G53" s="936">
        <f>[140]산출!F29</f>
        <v>0.78299999999999992</v>
      </c>
      <c r="H53" s="935" t="str">
        <f t="shared" si="13"/>
        <v>갈바후레임제작설치1.6TM2</v>
      </c>
      <c r="I53" s="959">
        <f>VLOOKUP($H:$H,[140]일위목록!$A:$H,6,FALSE)</f>
        <v>16515</v>
      </c>
      <c r="J53" s="959">
        <f>TRUNC($G:$G*I:I)</f>
        <v>12931</v>
      </c>
      <c r="K53" s="959">
        <f>VLOOKUP($H:$H,[140]일위목록!$A:$H,7,FALSE)</f>
        <v>65362</v>
      </c>
      <c r="L53" s="959">
        <f>TRUNC($G:$G*K:K)</f>
        <v>51178</v>
      </c>
      <c r="M53" s="959">
        <f t="shared" si="14"/>
        <v>81877</v>
      </c>
      <c r="N53" s="959">
        <f t="shared" si="14"/>
        <v>64109</v>
      </c>
      <c r="O53" s="896" t="str">
        <f>VLOOKUP($H:$H,[140]일위목록!$A:$B,2,FALSE)</f>
        <v>제51호표</v>
      </c>
    </row>
    <row r="54" spans="1:15" ht="18.75" customHeight="1">
      <c r="A54" s="956"/>
      <c r="B54" s="957" t="str">
        <f>[140]산출!B30</f>
        <v>갈바후레임제작설치</v>
      </c>
      <c r="C54" s="939" t="str">
        <f>[140]산출!C30</f>
        <v>1.6T</v>
      </c>
      <c r="D54" s="958" t="str">
        <f>[140]산출!G30</f>
        <v>하부 걸레받이</v>
      </c>
      <c r="E54" s="935" t="str">
        <f>SUBSTITUTE(CONCATENATE(B:B,C:C,F:F)," ","")</f>
        <v>갈바후레임제작설치1.6TM2</v>
      </c>
      <c r="F54" s="896" t="str">
        <f>[140]산출!D30</f>
        <v>M2</v>
      </c>
      <c r="G54" s="936">
        <f>[140]산출!F30</f>
        <v>0.59850000000000003</v>
      </c>
      <c r="H54" s="935" t="str">
        <f t="shared" si="13"/>
        <v>갈바후레임제작설치1.6TM2</v>
      </c>
      <c r="I54" s="959">
        <f>VLOOKUP($H:$H,[140]일위목록!$A:$H,6,FALSE)</f>
        <v>16515</v>
      </c>
      <c r="J54" s="959">
        <f>TRUNC($G:$G*I:I)</f>
        <v>9884</v>
      </c>
      <c r="K54" s="959">
        <f>VLOOKUP($H:$H,[140]일위목록!$A:$H,7,FALSE)</f>
        <v>65362</v>
      </c>
      <c r="L54" s="959">
        <f>TRUNC($G:$G*K:K)</f>
        <v>39119</v>
      </c>
      <c r="M54" s="959">
        <f t="shared" si="14"/>
        <v>81877</v>
      </c>
      <c r="N54" s="959">
        <f t="shared" si="14"/>
        <v>49003</v>
      </c>
      <c r="O54" s="896" t="str">
        <f>VLOOKUP($H:$H,[140]일위목록!$A:$B,2,FALSE)</f>
        <v>제51호표</v>
      </c>
    </row>
    <row r="55" spans="1:15" s="952" customFormat="1" ht="18.75" customHeight="1">
      <c r="A55" s="960"/>
      <c r="B55" s="947" t="str">
        <f>[140]산출!B31</f>
        <v>- SYSTEM 장치</v>
      </c>
      <c r="C55" s="954"/>
      <c r="D55" s="955"/>
      <c r="E55" s="948"/>
      <c r="F55" s="949"/>
      <c r="G55" s="950"/>
      <c r="H55" s="948"/>
      <c r="I55" s="951"/>
      <c r="J55" s="951"/>
      <c r="K55" s="951"/>
      <c r="L55" s="951"/>
      <c r="M55" s="951"/>
      <c r="N55" s="951"/>
      <c r="O55" s="949"/>
    </row>
    <row r="56" spans="1:15" ht="18.75" customHeight="1">
      <c r="A56" s="956"/>
      <c r="B56" s="957" t="str">
        <f>[140]산출!B32</f>
        <v>피아노경첩 제작설치</v>
      </c>
      <c r="C56" s="939"/>
      <c r="D56" s="958">
        <f>[140]산출!G32</f>
        <v>0</v>
      </c>
      <c r="E56" s="935" t="str">
        <f t="shared" ref="E56:E69" si="15">SUBSTITUTE(CONCATENATE(B:B,C:C,F:F)," ","")</f>
        <v>피아노경첩제작설치M</v>
      </c>
      <c r="F56" s="896" t="str">
        <f>[140]산출!D32</f>
        <v>M</v>
      </c>
      <c r="G56" s="936">
        <f>[140]산출!F32</f>
        <v>9</v>
      </c>
      <c r="H56" s="935" t="str">
        <f t="shared" si="13"/>
        <v>피아노경첩제작설치M</v>
      </c>
      <c r="I56" s="959">
        <f>VLOOKUP($H:$H,[140]일위목록!$A:$H,6,FALSE)</f>
        <v>12630</v>
      </c>
      <c r="J56" s="959">
        <f t="shared" ref="J56:J69" si="16">TRUNC($G:$G*I:I)</f>
        <v>113670</v>
      </c>
      <c r="K56" s="959">
        <f>VLOOKUP($H:$H,[140]일위목록!$A:$H,7,FALSE)</f>
        <v>10973</v>
      </c>
      <c r="L56" s="959">
        <f t="shared" ref="L56:L69" si="17">TRUNC($G:$G*K:K)</f>
        <v>98757</v>
      </c>
      <c r="M56" s="959">
        <f t="shared" si="14"/>
        <v>23603</v>
      </c>
      <c r="N56" s="959">
        <f t="shared" si="14"/>
        <v>212427</v>
      </c>
      <c r="O56" s="896" t="str">
        <f>VLOOKUP($H:$H,[140]일위목록!$A:$B,2,FALSE)</f>
        <v>제88호표</v>
      </c>
    </row>
    <row r="57" spans="1:15" ht="18.75" customHeight="1">
      <c r="A57" s="956"/>
      <c r="B57" s="957" t="str">
        <f>[140]산출!B33</f>
        <v>LOCK SET 제작설치</v>
      </c>
      <c r="C57" s="939" t="str">
        <f>[140]산출!C33</f>
        <v>시건장치</v>
      </c>
      <c r="D57" s="958">
        <f>[140]산출!G33</f>
        <v>0</v>
      </c>
      <c r="E57" s="935" t="str">
        <f t="shared" si="15"/>
        <v>LOCKSET제작설치시건장치set</v>
      </c>
      <c r="F57" s="896" t="str">
        <f>[140]산출!D33</f>
        <v>set</v>
      </c>
      <c r="G57" s="936">
        <f>[140]산출!F33</f>
        <v>3</v>
      </c>
      <c r="H57" s="935" t="str">
        <f t="shared" si="13"/>
        <v>LOCKSET제작설치시건장치set</v>
      </c>
      <c r="I57" s="959">
        <f>VLOOKUP($H:$H,[140]일위목록!$A:$H,6,FALSE)</f>
        <v>48840</v>
      </c>
      <c r="J57" s="959">
        <f t="shared" si="16"/>
        <v>146520</v>
      </c>
      <c r="K57" s="959">
        <f>VLOOKUP($H:$H,[140]일위목록!$A:$H,7,FALSE)</f>
        <v>12605</v>
      </c>
      <c r="L57" s="959">
        <f t="shared" si="17"/>
        <v>37815</v>
      </c>
      <c r="M57" s="959">
        <f t="shared" si="14"/>
        <v>61445</v>
      </c>
      <c r="N57" s="959">
        <f t="shared" si="14"/>
        <v>184335</v>
      </c>
      <c r="O57" s="896" t="str">
        <f>VLOOKUP($H:$H,[140]일위목록!$A:$B,2,FALSE)</f>
        <v>제89호표</v>
      </c>
    </row>
    <row r="58" spans="1:15" ht="18.75" customHeight="1">
      <c r="A58" s="956"/>
      <c r="B58" s="957" t="str">
        <f>[140]산출!B34</f>
        <v>AL.패킹바 제작설치</v>
      </c>
      <c r="C58" s="939"/>
      <c r="D58" s="958">
        <f>[140]산출!G34</f>
        <v>0</v>
      </c>
      <c r="E58" s="935" t="str">
        <f t="shared" si="15"/>
        <v>AL.패킹바제작설치M</v>
      </c>
      <c r="F58" s="896" t="str">
        <f>[140]산출!D34</f>
        <v>M</v>
      </c>
      <c r="G58" s="936">
        <f>[140]산출!F34</f>
        <v>9</v>
      </c>
      <c r="H58" s="935" t="str">
        <f t="shared" si="13"/>
        <v>AL.패킹바제작설치M</v>
      </c>
      <c r="I58" s="959">
        <f>VLOOKUP($H:$H,[140]일위목록!$A:$H,6,FALSE)</f>
        <v>5250</v>
      </c>
      <c r="J58" s="959">
        <f t="shared" si="16"/>
        <v>47250</v>
      </c>
      <c r="K58" s="959">
        <f>VLOOKUP($H:$H,[140]일위목록!$A:$H,7,FALSE)</f>
        <v>3534</v>
      </c>
      <c r="L58" s="959">
        <f t="shared" si="17"/>
        <v>31806</v>
      </c>
      <c r="M58" s="959">
        <f t="shared" si="14"/>
        <v>8784</v>
      </c>
      <c r="N58" s="959">
        <f t="shared" si="14"/>
        <v>79056</v>
      </c>
      <c r="O58" s="896" t="str">
        <f>VLOOKUP($H:$H,[140]일위목록!$A:$B,2,FALSE)</f>
        <v>제92호표</v>
      </c>
    </row>
    <row r="59" spans="1:15" ht="18.75" customHeight="1">
      <c r="A59" s="956"/>
      <c r="B59" s="957" t="str">
        <f>[140]산출!B35</f>
        <v>밀폐패킹 설치</v>
      </c>
      <c r="C59" s="939" t="str">
        <f>[140]산출!C35</f>
        <v>대형</v>
      </c>
      <c r="D59" s="958">
        <f>[140]산출!G35</f>
        <v>0</v>
      </c>
      <c r="E59" s="935" t="str">
        <f t="shared" si="15"/>
        <v>밀폐패킹설치대형M</v>
      </c>
      <c r="F59" s="896" t="str">
        <f>[140]산출!D35</f>
        <v>M</v>
      </c>
      <c r="G59" s="936">
        <f>[140]산출!F35</f>
        <v>14.2</v>
      </c>
      <c r="H59" s="935" t="str">
        <f t="shared" si="13"/>
        <v>밀폐패킹설치대형M</v>
      </c>
      <c r="I59" s="959">
        <f>VLOOKUP($H:$H,[140]일위목록!$A:$H,6,FALSE)</f>
        <v>9450</v>
      </c>
      <c r="J59" s="959">
        <f t="shared" si="16"/>
        <v>134190</v>
      </c>
      <c r="K59" s="959">
        <f>VLOOKUP($H:$H,[140]일위목록!$A:$H,7,FALSE)</f>
        <v>2397</v>
      </c>
      <c r="L59" s="959">
        <f t="shared" si="17"/>
        <v>34037</v>
      </c>
      <c r="M59" s="959">
        <f t="shared" si="14"/>
        <v>11847</v>
      </c>
      <c r="N59" s="959">
        <f t="shared" si="14"/>
        <v>168227</v>
      </c>
      <c r="O59" s="896" t="str">
        <f>VLOOKUP($H:$H,[140]일위목록!$A:$B,2,FALSE)</f>
        <v>제94호표</v>
      </c>
    </row>
    <row r="60" spans="1:15" ht="18.75" customHeight="1">
      <c r="A60" s="956"/>
      <c r="B60" s="957" t="str">
        <f>[140]산출!B36</f>
        <v>AL.사출유리후렘 제작설치</v>
      </c>
      <c r="C60" s="939" t="str">
        <f>[140]산출!C36</f>
        <v>벽부장(상부)</v>
      </c>
      <c r="D60" s="958">
        <f>[140]산출!G36</f>
        <v>0</v>
      </c>
      <c r="E60" s="935" t="str">
        <f t="shared" si="15"/>
        <v>AL.사출유리후렘제작설치벽부장(상부)M</v>
      </c>
      <c r="F60" s="896" t="str">
        <f>[140]산출!D36</f>
        <v>M</v>
      </c>
      <c r="G60" s="936">
        <f>[140]산출!F36</f>
        <v>4.5</v>
      </c>
      <c r="H60" s="935" t="str">
        <f t="shared" si="13"/>
        <v>AL.사출유리후렘제작설치벽부장(상부)M</v>
      </c>
      <c r="I60" s="959">
        <f>VLOOKUP($H:$H,[140]일위목록!$A:$H,6,FALSE)</f>
        <v>210000</v>
      </c>
      <c r="J60" s="959">
        <f t="shared" si="16"/>
        <v>945000</v>
      </c>
      <c r="K60" s="959">
        <f>VLOOKUP($H:$H,[140]일위목록!$A:$H,7,FALSE)</f>
        <v>53130</v>
      </c>
      <c r="L60" s="959">
        <f t="shared" si="17"/>
        <v>239085</v>
      </c>
      <c r="M60" s="959">
        <f t="shared" si="14"/>
        <v>263130</v>
      </c>
      <c r="N60" s="959">
        <f t="shared" si="14"/>
        <v>1184085</v>
      </c>
      <c r="O60" s="896" t="str">
        <f>VLOOKUP($H:$H,[140]일위목록!$A:$B,2,FALSE)</f>
        <v>제95호표</v>
      </c>
    </row>
    <row r="61" spans="1:15" ht="18.75" customHeight="1">
      <c r="A61" s="956"/>
      <c r="B61" s="957" t="str">
        <f>[140]산출!B37</f>
        <v>AL.사출유리후렘 제작설치</v>
      </c>
      <c r="C61" s="939" t="str">
        <f>[140]산출!C37</f>
        <v>벽부장(하부)</v>
      </c>
      <c r="D61" s="958">
        <f>[140]산출!G37</f>
        <v>0</v>
      </c>
      <c r="E61" s="935" t="str">
        <f t="shared" si="15"/>
        <v>AL.사출유리후렘제작설치벽부장(하부)M</v>
      </c>
      <c r="F61" s="896" t="str">
        <f>[140]산출!D37</f>
        <v>M</v>
      </c>
      <c r="G61" s="936">
        <f>[140]산출!F37</f>
        <v>4.5</v>
      </c>
      <c r="H61" s="935" t="str">
        <f t="shared" si="13"/>
        <v>AL.사출유리후렘제작설치벽부장(하부)M</v>
      </c>
      <c r="I61" s="959">
        <f>VLOOKUP($H:$H,[140]일위목록!$A:$H,6,FALSE)</f>
        <v>126000</v>
      </c>
      <c r="J61" s="959">
        <f t="shared" si="16"/>
        <v>567000</v>
      </c>
      <c r="K61" s="959">
        <f>VLOOKUP($H:$H,[140]일위목록!$A:$H,7,FALSE)</f>
        <v>35420</v>
      </c>
      <c r="L61" s="959">
        <f t="shared" si="17"/>
        <v>159390</v>
      </c>
      <c r="M61" s="959">
        <f t="shared" si="14"/>
        <v>161420</v>
      </c>
      <c r="N61" s="959">
        <f t="shared" si="14"/>
        <v>726390</v>
      </c>
      <c r="O61" s="896" t="str">
        <f>VLOOKUP($H:$H,[140]일위목록!$A:$B,2,FALSE)</f>
        <v>제96호표</v>
      </c>
    </row>
    <row r="62" spans="1:15" ht="18.75" customHeight="1">
      <c r="A62" s="956"/>
      <c r="B62" s="957" t="str">
        <f>[140]산출!B38</f>
        <v>모터구동시스템 설치</v>
      </c>
      <c r="C62" s="939" t="str">
        <f>[140]산출!C38</f>
        <v>웜기어 전동실린더</v>
      </c>
      <c r="D62" s="958">
        <f>[140]산출!G38</f>
        <v>0</v>
      </c>
      <c r="E62" s="935" t="str">
        <f t="shared" si="15"/>
        <v>모터구동시스템설치웜기어전동실린더SET</v>
      </c>
      <c r="F62" s="896" t="str">
        <f>[140]산출!D38</f>
        <v>SET</v>
      </c>
      <c r="G62" s="936">
        <f>[140]산출!F38</f>
        <v>12</v>
      </c>
      <c r="H62" s="935" t="str">
        <f t="shared" si="13"/>
        <v>모터구동시스템설치웜기어전동실린더SET</v>
      </c>
      <c r="I62" s="959">
        <f>VLOOKUP($H:$H,[140]일위목록!$A:$H,6,FALSE)</f>
        <v>353000</v>
      </c>
      <c r="J62" s="959">
        <f t="shared" si="16"/>
        <v>4236000</v>
      </c>
      <c r="K62" s="959">
        <f>VLOOKUP($H:$H,[140]일위목록!$A:$H,7,FALSE)</f>
        <v>96655</v>
      </c>
      <c r="L62" s="959">
        <f t="shared" si="17"/>
        <v>1159860</v>
      </c>
      <c r="M62" s="959">
        <f t="shared" si="14"/>
        <v>449655</v>
      </c>
      <c r="N62" s="959">
        <f t="shared" si="14"/>
        <v>5395860</v>
      </c>
      <c r="O62" s="896" t="str">
        <f>VLOOKUP($H:$H,[140]일위목록!$A:$B,2,FALSE)</f>
        <v>제101호표</v>
      </c>
    </row>
    <row r="63" spans="1:15" ht="18.75" customHeight="1">
      <c r="A63" s="956"/>
      <c r="B63" s="957" t="str">
        <f>[140]산출!B39</f>
        <v>LM가이드시스템 가공 설치</v>
      </c>
      <c r="C63" s="939" t="str">
        <f>[140]산출!C39</f>
        <v>Ø25</v>
      </c>
      <c r="D63" s="958">
        <f>[140]산출!G39</f>
        <v>0</v>
      </c>
      <c r="E63" s="935" t="str">
        <f t="shared" si="15"/>
        <v>LM가이드시스템가공설치Ø25SET</v>
      </c>
      <c r="F63" s="896" t="str">
        <f>[140]산출!D39</f>
        <v>SET</v>
      </c>
      <c r="G63" s="936">
        <f>[140]산출!F39</f>
        <v>24</v>
      </c>
      <c r="H63" s="935" t="str">
        <f t="shared" si="13"/>
        <v>LM가이드시스템가공설치Ø25SET</v>
      </c>
      <c r="I63" s="959">
        <f>VLOOKUP($H:$H,[140]일위목록!$A:$H,6,FALSE)</f>
        <v>144000</v>
      </c>
      <c r="J63" s="959">
        <f t="shared" si="16"/>
        <v>3456000</v>
      </c>
      <c r="K63" s="959">
        <f>VLOOKUP($H:$H,[140]일위목록!$A:$H,7,FALSE)</f>
        <v>18323</v>
      </c>
      <c r="L63" s="959">
        <f t="shared" si="17"/>
        <v>439752</v>
      </c>
      <c r="M63" s="959">
        <f t="shared" si="14"/>
        <v>162323</v>
      </c>
      <c r="N63" s="959">
        <f t="shared" si="14"/>
        <v>3895752</v>
      </c>
      <c r="O63" s="896" t="str">
        <f>VLOOKUP($H:$H,[140]일위목록!$A:$B,2,FALSE)</f>
        <v>제100호표</v>
      </c>
    </row>
    <row r="64" spans="1:15" ht="18.75" customHeight="1">
      <c r="A64" s="956"/>
      <c r="B64" s="957" t="str">
        <f>[140]산출!B40</f>
        <v>베어링레일및가공 설치</v>
      </c>
      <c r="C64" s="939" t="str">
        <f>[140]산출!C40</f>
        <v>22*42 2.3T 가공</v>
      </c>
      <c r="D64" s="958">
        <f>[140]산출!G40</f>
        <v>0</v>
      </c>
      <c r="E64" s="935" t="str">
        <f t="shared" si="15"/>
        <v>베어링레일및가공설치22*422.3T가공M</v>
      </c>
      <c r="F64" s="896" t="str">
        <f>[140]산출!D40</f>
        <v>M</v>
      </c>
      <c r="G64" s="936">
        <f>[140]산출!F40</f>
        <v>9</v>
      </c>
      <c r="H64" s="935" t="str">
        <f t="shared" si="13"/>
        <v>베어링레일및가공설치22*422.3T가공M</v>
      </c>
      <c r="I64" s="959">
        <f>VLOOKUP($H:$H,[140]일위목록!$A:$H,6,FALSE)</f>
        <v>136500</v>
      </c>
      <c r="J64" s="959">
        <f t="shared" si="16"/>
        <v>1228500</v>
      </c>
      <c r="K64" s="959">
        <f>VLOOKUP($H:$H,[140]일위목록!$A:$H,7,FALSE)</f>
        <v>35420</v>
      </c>
      <c r="L64" s="959">
        <f t="shared" si="17"/>
        <v>318780</v>
      </c>
      <c r="M64" s="959">
        <f t="shared" si="14"/>
        <v>171920</v>
      </c>
      <c r="N64" s="959">
        <f t="shared" si="14"/>
        <v>1547280</v>
      </c>
      <c r="O64" s="896" t="str">
        <f>VLOOKUP($H:$H,[140]일위목록!$A:$B,2,FALSE)</f>
        <v>제102호표</v>
      </c>
    </row>
    <row r="65" spans="1:15" ht="18.75" customHeight="1">
      <c r="A65" s="956"/>
      <c r="B65" s="957" t="str">
        <f>[140]산출!B41</f>
        <v>슬라이딩베어링 가공조립</v>
      </c>
      <c r="C65" s="939" t="str">
        <f>[140]산출!C41</f>
        <v>Ø26</v>
      </c>
      <c r="D65" s="958">
        <f>[140]산출!G41</f>
        <v>0</v>
      </c>
      <c r="E65" s="935" t="str">
        <f t="shared" si="15"/>
        <v>슬라이딩베어링가공조립Ø26EA</v>
      </c>
      <c r="F65" s="896" t="str">
        <f>[140]산출!D41</f>
        <v>EA</v>
      </c>
      <c r="G65" s="936">
        <f>[140]산출!F41</f>
        <v>116</v>
      </c>
      <c r="H65" s="935" t="str">
        <f t="shared" si="13"/>
        <v>슬라이딩베어링가공조립Ø26EA</v>
      </c>
      <c r="I65" s="959">
        <f>VLOOKUP($H:$H,[140]일위목록!$A:$H,6,FALSE)</f>
        <v>6500</v>
      </c>
      <c r="J65" s="959">
        <f t="shared" si="16"/>
        <v>754000</v>
      </c>
      <c r="K65" s="959">
        <f>VLOOKUP($H:$H,[140]일위목록!$A:$H,7,FALSE)</f>
        <v>3864</v>
      </c>
      <c r="L65" s="959">
        <f t="shared" si="17"/>
        <v>448224</v>
      </c>
      <c r="M65" s="959">
        <f t="shared" si="14"/>
        <v>10364</v>
      </c>
      <c r="N65" s="959">
        <f t="shared" si="14"/>
        <v>1202224</v>
      </c>
      <c r="O65" s="896" t="str">
        <f>VLOOKUP($H:$H,[140]일위목록!$A:$B,2,FALSE)</f>
        <v>제104호표</v>
      </c>
    </row>
    <row r="66" spans="1:15" ht="18.75" customHeight="1">
      <c r="A66" s="956"/>
      <c r="B66" s="957" t="str">
        <f>[140]산출!B42</f>
        <v>베어링 붓싱가공조립</v>
      </c>
      <c r="C66" s="939" t="str">
        <f>[140]산출!C42</f>
        <v>#6200</v>
      </c>
      <c r="D66" s="958">
        <f>[140]산출!G42</f>
        <v>0</v>
      </c>
      <c r="E66" s="935" t="str">
        <f t="shared" si="15"/>
        <v>베어링붓싱가공조립#6200EA</v>
      </c>
      <c r="F66" s="896" t="str">
        <f>[140]산출!D42</f>
        <v>EA</v>
      </c>
      <c r="G66" s="936">
        <f>[140]산출!F42</f>
        <v>116</v>
      </c>
      <c r="H66" s="935" t="str">
        <f t="shared" si="13"/>
        <v>베어링붓싱가공조립#6200EA</v>
      </c>
      <c r="I66" s="959">
        <f>VLOOKUP($H:$H,[140]일위목록!$A:$H,6,FALSE)</f>
        <v>6000</v>
      </c>
      <c r="J66" s="959">
        <f t="shared" si="16"/>
        <v>696000</v>
      </c>
      <c r="K66" s="959">
        <f>VLOOKUP($H:$H,[140]일위목록!$A:$H,7,FALSE)</f>
        <v>3864</v>
      </c>
      <c r="L66" s="959">
        <f t="shared" si="17"/>
        <v>448224</v>
      </c>
      <c r="M66" s="959">
        <f t="shared" si="14"/>
        <v>9864</v>
      </c>
      <c r="N66" s="959">
        <f t="shared" si="14"/>
        <v>1144224</v>
      </c>
      <c r="O66" s="896" t="str">
        <f>VLOOKUP($H:$H,[140]일위목록!$A:$B,2,FALSE)</f>
        <v>제105호표</v>
      </c>
    </row>
    <row r="67" spans="1:15" ht="18.75" customHeight="1">
      <c r="A67" s="956"/>
      <c r="B67" s="957" t="str">
        <f>[140]산출!B43</f>
        <v>유압쇽업쇼바 제작설치</v>
      </c>
      <c r="C67" s="939" t="str">
        <f>[140]산출!C43</f>
        <v>20kg</v>
      </c>
      <c r="D67" s="958">
        <f>[140]산출!G43</f>
        <v>0</v>
      </c>
      <c r="E67" s="935" t="str">
        <f t="shared" si="15"/>
        <v>유압쇽업쇼바제작설치20kgSET</v>
      </c>
      <c r="F67" s="896" t="str">
        <f>[140]산출!D43</f>
        <v>SET</v>
      </c>
      <c r="G67" s="936">
        <f>[140]산출!F43</f>
        <v>4</v>
      </c>
      <c r="H67" s="935" t="str">
        <f t="shared" si="13"/>
        <v>유압쇽업쇼바제작설치20kgSET</v>
      </c>
      <c r="I67" s="959">
        <f>VLOOKUP($H:$H,[140]일위목록!$A:$H,6,FALSE)</f>
        <v>39224</v>
      </c>
      <c r="J67" s="959">
        <f t="shared" si="16"/>
        <v>156896</v>
      </c>
      <c r="K67" s="959">
        <f>VLOOKUP($H:$H,[140]일위목록!$A:$H,7,FALSE)</f>
        <v>3792</v>
      </c>
      <c r="L67" s="959">
        <f t="shared" si="17"/>
        <v>15168</v>
      </c>
      <c r="M67" s="959">
        <f t="shared" si="14"/>
        <v>43016</v>
      </c>
      <c r="N67" s="959">
        <f t="shared" si="14"/>
        <v>172064</v>
      </c>
      <c r="O67" s="896" t="str">
        <f>VLOOKUP($H:$H,[140]일위목록!$A:$B,2,FALSE)</f>
        <v>제90호표</v>
      </c>
    </row>
    <row r="68" spans="1:15" ht="18.75" customHeight="1">
      <c r="A68" s="956"/>
      <c r="B68" s="957" t="str">
        <f>[140]산출!B44</f>
        <v>센터베어링및스톱파 가공조립</v>
      </c>
      <c r="C68" s="939" t="str">
        <f>[140]산출!C44</f>
        <v>독립형1단</v>
      </c>
      <c r="D68" s="958">
        <f>[140]산출!G44</f>
        <v>0</v>
      </c>
      <c r="E68" s="935" t="str">
        <f t="shared" si="15"/>
        <v>센터베어링및스톱파가공조립독립형1단SET</v>
      </c>
      <c r="F68" s="896" t="str">
        <f>[140]산출!D44</f>
        <v>SET</v>
      </c>
      <c r="G68" s="936">
        <f>[140]산출!F44</f>
        <v>2</v>
      </c>
      <c r="H68" s="935" t="str">
        <f t="shared" si="13"/>
        <v>센터베어링및스톱파가공조립독립형1단SET</v>
      </c>
      <c r="I68" s="959">
        <f>VLOOKUP($H:$H,[140]일위목록!$A:$H,6,FALSE)</f>
        <v>85000</v>
      </c>
      <c r="J68" s="959">
        <f t="shared" si="16"/>
        <v>170000</v>
      </c>
      <c r="K68" s="959">
        <f>VLOOKUP($H:$H,[140]일위목록!$A:$H,7,FALSE)</f>
        <v>62887</v>
      </c>
      <c r="L68" s="959">
        <f t="shared" si="17"/>
        <v>125774</v>
      </c>
      <c r="M68" s="959">
        <f t="shared" ref="M68:N77" si="18">SUM(I68,K68)</f>
        <v>147887</v>
      </c>
      <c r="N68" s="959">
        <f t="shared" si="18"/>
        <v>295774</v>
      </c>
      <c r="O68" s="896" t="str">
        <f>VLOOKUP($H:$H,[140]일위목록!$A:$B,2,FALSE)</f>
        <v>제108호표</v>
      </c>
    </row>
    <row r="69" spans="1:15" ht="18.75" customHeight="1">
      <c r="A69" s="956"/>
      <c r="B69" s="957" t="str">
        <f>[140]산출!B45</f>
        <v>전후진 전동콘트롤 제작설치</v>
      </c>
      <c r="C69" s="939" t="str">
        <f>[140]산출!C45</f>
        <v>독립형</v>
      </c>
      <c r="D69" s="958">
        <f>[140]산출!G45</f>
        <v>0</v>
      </c>
      <c r="E69" s="935" t="str">
        <f t="shared" si="15"/>
        <v>전후진전동콘트롤제작설치독립형SET</v>
      </c>
      <c r="F69" s="896" t="str">
        <f>[140]산출!D45</f>
        <v>SET</v>
      </c>
      <c r="G69" s="936">
        <f>[140]산출!F45</f>
        <v>2</v>
      </c>
      <c r="H69" s="935" t="str">
        <f t="shared" si="13"/>
        <v>전후진전동콘트롤제작설치독립형SET</v>
      </c>
      <c r="I69" s="959">
        <f>VLOOKUP($H:$H,[140]일위목록!$A:$H,6,FALSE)</f>
        <v>400000</v>
      </c>
      <c r="J69" s="959">
        <f t="shared" si="16"/>
        <v>800000</v>
      </c>
      <c r="K69" s="959">
        <f>VLOOKUP($H:$H,[140]일위목록!$A:$H,7,FALSE)</f>
        <v>65053</v>
      </c>
      <c r="L69" s="959">
        <f t="shared" si="17"/>
        <v>130106</v>
      </c>
      <c r="M69" s="959">
        <f t="shared" si="18"/>
        <v>465053</v>
      </c>
      <c r="N69" s="959">
        <f t="shared" si="18"/>
        <v>930106</v>
      </c>
      <c r="O69" s="896" t="str">
        <f>VLOOKUP($H:$H,[140]일위목록!$A:$B,2,FALSE)</f>
        <v>제111호표</v>
      </c>
    </row>
    <row r="70" spans="1:15" s="952" customFormat="1" ht="18.75" customHeight="1">
      <c r="A70" s="960"/>
      <c r="B70" s="947" t="str">
        <f>[140]산출!B46</f>
        <v>- 수장공사</v>
      </c>
      <c r="C70" s="954"/>
      <c r="D70" s="955"/>
      <c r="E70" s="948"/>
      <c r="F70" s="949"/>
      <c r="G70" s="950"/>
      <c r="H70" s="948"/>
      <c r="I70" s="951"/>
      <c r="J70" s="951"/>
      <c r="K70" s="951"/>
      <c r="L70" s="951"/>
      <c r="M70" s="951"/>
      <c r="N70" s="951"/>
      <c r="O70" s="949"/>
    </row>
    <row r="71" spans="1:15" ht="18.75" customHeight="1">
      <c r="A71" s="956"/>
      <c r="B71" s="957" t="str">
        <f>[140]산출!B47</f>
        <v>내부도배</v>
      </c>
      <c r="C71" s="939" t="str">
        <f>[140]산출!C47</f>
        <v>세마직벽지</v>
      </c>
      <c r="D71" s="958">
        <f>[140]산출!G47</f>
        <v>0</v>
      </c>
      <c r="E71" s="935" t="str">
        <f t="shared" ref="E71:E77" si="19">SUBSTITUTE(CONCATENATE(B:B,C:C,F:F)," ","")</f>
        <v>내부도배세마직벽지M2</v>
      </c>
      <c r="F71" s="896" t="str">
        <f>[140]산출!D47</f>
        <v>M2</v>
      </c>
      <c r="G71" s="936">
        <f>[140]산출!F47</f>
        <v>31.769999999999996</v>
      </c>
      <c r="H71" s="935" t="str">
        <f t="shared" si="13"/>
        <v>내부도배세마직벽지M2</v>
      </c>
      <c r="I71" s="959">
        <f>VLOOKUP($H:$H,[140]일위목록!$A:$H,6,FALSE)</f>
        <v>47152</v>
      </c>
      <c r="J71" s="959">
        <f t="shared" ref="J71:J77" si="20">TRUNC($G:$G*I:I)</f>
        <v>1498019</v>
      </c>
      <c r="K71" s="959">
        <f>VLOOKUP($H:$H,[140]일위목록!$A:$H,7,FALSE)</f>
        <v>5222</v>
      </c>
      <c r="L71" s="959">
        <f t="shared" ref="L71:L77" si="21">TRUNC($G:$G*K:K)</f>
        <v>165902</v>
      </c>
      <c r="M71" s="959">
        <f t="shared" si="18"/>
        <v>52374</v>
      </c>
      <c r="N71" s="959">
        <f t="shared" si="18"/>
        <v>1663921</v>
      </c>
      <c r="O71" s="896" t="str">
        <f>VLOOKUP($H:$H,[140]일위목록!$A:$B,2,FALSE)</f>
        <v>제56호표</v>
      </c>
    </row>
    <row r="72" spans="1:15" ht="18.75" customHeight="1">
      <c r="A72" s="956"/>
      <c r="B72" s="957" t="str">
        <f>[140]산출!B48</f>
        <v>바탕처리</v>
      </c>
      <c r="C72" s="939" t="str">
        <f>[140]산출!C48</f>
        <v>도배퍼티</v>
      </c>
      <c r="D72" s="958">
        <f>[140]산출!G48</f>
        <v>0</v>
      </c>
      <c r="E72" s="935" t="str">
        <f t="shared" si="19"/>
        <v>바탕처리도배퍼티M2</v>
      </c>
      <c r="F72" s="896" t="str">
        <f>[140]산출!D48</f>
        <v>M2</v>
      </c>
      <c r="G72" s="936">
        <f>[140]산출!F48</f>
        <v>31.769999999999996</v>
      </c>
      <c r="H72" s="935" t="str">
        <f t="shared" si="13"/>
        <v>바탕처리도배퍼티M2</v>
      </c>
      <c r="I72" s="959">
        <f>VLOOKUP($H:$H,[140]일위목록!$A:$H,6,FALSE)</f>
        <v>1160</v>
      </c>
      <c r="J72" s="959">
        <f t="shared" si="20"/>
        <v>36853</v>
      </c>
      <c r="K72" s="959">
        <f>VLOOKUP($H:$H,[140]일위목록!$A:$H,7,FALSE)</f>
        <v>7711</v>
      </c>
      <c r="L72" s="959">
        <f t="shared" si="21"/>
        <v>244978</v>
      </c>
      <c r="M72" s="959">
        <f t="shared" si="18"/>
        <v>8871</v>
      </c>
      <c r="N72" s="959">
        <f t="shared" si="18"/>
        <v>281831</v>
      </c>
      <c r="O72" s="896" t="str">
        <f>VLOOKUP($H:$H,[140]일위목록!$A:$B,2,FALSE)</f>
        <v>제55호표</v>
      </c>
    </row>
    <row r="73" spans="1:15" ht="18.75" customHeight="1">
      <c r="A73" s="956"/>
      <c r="B73" s="957" t="str">
        <f>[140]산출!B49</f>
        <v>합판취부</v>
      </c>
      <c r="C73" s="939" t="str">
        <f>[140]산출!C49</f>
        <v>T11.5mm 2PLY</v>
      </c>
      <c r="D73" s="958">
        <f>[140]산출!G49</f>
        <v>0</v>
      </c>
      <c r="E73" s="935" t="str">
        <f t="shared" si="19"/>
        <v>합판취부T11.5mm2PLYM2</v>
      </c>
      <c r="F73" s="896" t="str">
        <f>[140]산출!D49</f>
        <v>M2</v>
      </c>
      <c r="G73" s="936">
        <f>[140]산출!F49</f>
        <v>4.95</v>
      </c>
      <c r="H73" s="935" t="str">
        <f t="shared" si="13"/>
        <v>합판취부T11.5mm2PLYM2</v>
      </c>
      <c r="I73" s="959">
        <f>VLOOKUP($H:$H,[140]일위목록!$A:$H,6,FALSE)</f>
        <v>19751</v>
      </c>
      <c r="J73" s="959">
        <f t="shared" si="20"/>
        <v>97767</v>
      </c>
      <c r="K73" s="959">
        <f>VLOOKUP($H:$H,[140]일위목록!$A:$H,7,FALSE)</f>
        <v>35580</v>
      </c>
      <c r="L73" s="959">
        <f t="shared" si="21"/>
        <v>176121</v>
      </c>
      <c r="M73" s="959">
        <f t="shared" si="18"/>
        <v>55331</v>
      </c>
      <c r="N73" s="959">
        <f t="shared" si="18"/>
        <v>273888</v>
      </c>
      <c r="O73" s="896" t="str">
        <f>VLOOKUP($H:$H,[140]일위목록!$A:$B,2,FALSE)</f>
        <v>제43호표</v>
      </c>
    </row>
    <row r="74" spans="1:15" ht="18.75" customHeight="1">
      <c r="A74" s="956"/>
      <c r="B74" s="957" t="str">
        <f>[140]산출!B50</f>
        <v>합판취부</v>
      </c>
      <c r="C74" s="939" t="str">
        <f>[140]산출!C50</f>
        <v>T8.5mm 1PLY</v>
      </c>
      <c r="D74" s="958">
        <f>[140]산출!G50</f>
        <v>0</v>
      </c>
      <c r="E74" s="935" t="str">
        <f t="shared" si="19"/>
        <v>합판취부T8.5mm1PLYM2</v>
      </c>
      <c r="F74" s="896" t="str">
        <f>[140]산출!D50</f>
        <v>M2</v>
      </c>
      <c r="G74" s="936">
        <f>[140]산출!F50</f>
        <v>32.4</v>
      </c>
      <c r="H74" s="935" t="str">
        <f t="shared" si="13"/>
        <v>합판취부T8.5mm1PLYM2</v>
      </c>
      <c r="I74" s="959">
        <f>VLOOKUP($H:$H,[140]일위목록!$A:$H,6,FALSE)</f>
        <v>8361</v>
      </c>
      <c r="J74" s="959">
        <f t="shared" si="20"/>
        <v>270896</v>
      </c>
      <c r="K74" s="959">
        <f>VLOOKUP($H:$H,[140]일위목록!$A:$H,7,FALSE)</f>
        <v>54043</v>
      </c>
      <c r="L74" s="959">
        <f t="shared" si="21"/>
        <v>1750993</v>
      </c>
      <c r="M74" s="959">
        <f t="shared" si="18"/>
        <v>62404</v>
      </c>
      <c r="N74" s="959">
        <f t="shared" si="18"/>
        <v>2021889</v>
      </c>
      <c r="O74" s="896" t="str">
        <f>VLOOKUP($H:$H,[140]일위목록!$A:$B,2,FALSE)</f>
        <v>제44호표</v>
      </c>
    </row>
    <row r="75" spans="1:15" ht="18.75" customHeight="1">
      <c r="A75" s="956"/>
      <c r="B75" s="957" t="str">
        <f>[140]산출!B51</f>
        <v>진열장석고보드취부</v>
      </c>
      <c r="C75" s="939" t="str">
        <f>[140]산출!C51</f>
        <v>T9.5mm*2PLY</v>
      </c>
      <c r="D75" s="958">
        <f>[140]산출!G51</f>
        <v>0</v>
      </c>
      <c r="E75" s="935" t="str">
        <f t="shared" si="19"/>
        <v>진열장석고보드취부T9.5mm*2PLYM2</v>
      </c>
      <c r="F75" s="896" t="str">
        <f>[140]산출!D51</f>
        <v>M2</v>
      </c>
      <c r="G75" s="936">
        <f>[140]산출!F51</f>
        <v>2.6999999999999997</v>
      </c>
      <c r="H75" s="935" t="str">
        <f t="shared" si="13"/>
        <v>진열장석고보드취부T9.5mm*2PLYM2</v>
      </c>
      <c r="I75" s="959">
        <f>VLOOKUP($H:$H,[140]일위목록!$A:$H,6,FALSE)</f>
        <v>18275</v>
      </c>
      <c r="J75" s="959">
        <f t="shared" si="20"/>
        <v>49342</v>
      </c>
      <c r="K75" s="959">
        <f>VLOOKUP($H:$H,[140]일위목록!$A:$H,7,FALSE)</f>
        <v>21540</v>
      </c>
      <c r="L75" s="959">
        <f t="shared" si="21"/>
        <v>58158</v>
      </c>
      <c r="M75" s="959">
        <f t="shared" si="18"/>
        <v>39815</v>
      </c>
      <c r="N75" s="959">
        <f t="shared" si="18"/>
        <v>107500</v>
      </c>
      <c r="O75" s="896" t="str">
        <f>VLOOKUP($H:$H,[140]일위목록!$A:$B,2,FALSE)</f>
        <v>제68호표</v>
      </c>
    </row>
    <row r="76" spans="1:15" ht="18.75" customHeight="1">
      <c r="A76" s="956"/>
      <c r="B76" s="957" t="str">
        <f>[140]산출!B52</f>
        <v>우레탄칼라락카도장</v>
      </c>
      <c r="C76" s="939" t="str">
        <f>[140]산출!C52</f>
        <v>철재면기준</v>
      </c>
      <c r="D76" s="958"/>
      <c r="E76" s="935" t="str">
        <f t="shared" si="19"/>
        <v>우레탄칼라락카도장철재면기준M2</v>
      </c>
      <c r="F76" s="896" t="str">
        <f>[140]산출!D52</f>
        <v>M2</v>
      </c>
      <c r="G76" s="936">
        <f>[140]산출!F52</f>
        <v>25.360900000000001</v>
      </c>
      <c r="H76" s="935" t="str">
        <f t="shared" si="13"/>
        <v>우레탄칼라락카도장철재면기준M2</v>
      </c>
      <c r="I76" s="959">
        <f>VLOOKUP($H:$H,[140]일위목록!$A:$H,6,FALSE)</f>
        <v>16103</v>
      </c>
      <c r="J76" s="959">
        <f t="shared" si="20"/>
        <v>408386</v>
      </c>
      <c r="K76" s="959">
        <f>VLOOKUP($H:$H,[140]일위목록!$A:$H,7,FALSE)</f>
        <v>22265</v>
      </c>
      <c r="L76" s="959">
        <f t="shared" si="21"/>
        <v>564660</v>
      </c>
      <c r="M76" s="959">
        <f t="shared" si="18"/>
        <v>38368</v>
      </c>
      <c r="N76" s="959">
        <f t="shared" si="18"/>
        <v>973046</v>
      </c>
      <c r="O76" s="896" t="str">
        <f>VLOOKUP($H:$H,[140]일위목록!$A:$B,2,FALSE)</f>
        <v>제40호표</v>
      </c>
    </row>
    <row r="77" spans="1:15" ht="18.75" customHeight="1">
      <c r="A77" s="956"/>
      <c r="B77" s="957" t="str">
        <f>[140]산출!B53</f>
        <v>바탕처리</v>
      </c>
      <c r="C77" s="939" t="str">
        <f>[140]산출!C53</f>
        <v>철재면기준</v>
      </c>
      <c r="D77" s="958"/>
      <c r="E77" s="935" t="str">
        <f t="shared" si="19"/>
        <v>바탕처리철재면기준M2</v>
      </c>
      <c r="F77" s="896" t="str">
        <f>[140]산출!D53</f>
        <v>M2</v>
      </c>
      <c r="G77" s="936">
        <f>[140]산출!F53</f>
        <v>25.360900000000001</v>
      </c>
      <c r="H77" s="935" t="str">
        <f t="shared" si="13"/>
        <v>바탕처리철재면기준M2</v>
      </c>
      <c r="I77" s="959">
        <f>VLOOKUP($H:$H,[140]일위목록!$A:$H,6,FALSE)</f>
        <v>4891</v>
      </c>
      <c r="J77" s="959">
        <f t="shared" si="20"/>
        <v>124040</v>
      </c>
      <c r="K77" s="959">
        <f>VLOOKUP($H:$H,[140]일위목록!$A:$H,7,FALSE)</f>
        <v>15314</v>
      </c>
      <c r="L77" s="959">
        <f t="shared" si="21"/>
        <v>388376</v>
      </c>
      <c r="M77" s="959">
        <f t="shared" si="18"/>
        <v>20205</v>
      </c>
      <c r="N77" s="959">
        <f t="shared" si="18"/>
        <v>512416</v>
      </c>
      <c r="O77" s="896" t="str">
        <f>VLOOKUP($H:$H,[140]일위목록!$A:$B,2,FALSE)</f>
        <v>제41호표</v>
      </c>
    </row>
    <row r="78" spans="1:15" s="952" customFormat="1" ht="18.75" customHeight="1">
      <c r="A78" s="960"/>
      <c r="B78" s="947" t="str">
        <f>[140]산출!B54</f>
        <v>- 유리공사</v>
      </c>
      <c r="C78" s="954"/>
      <c r="D78" s="955"/>
      <c r="E78" s="948"/>
      <c r="F78" s="949"/>
      <c r="G78" s="950"/>
      <c r="H78" s="948"/>
      <c r="I78" s="951"/>
      <c r="J78" s="951"/>
      <c r="K78" s="951"/>
      <c r="L78" s="951"/>
      <c r="M78" s="951"/>
      <c r="N78" s="951"/>
      <c r="O78" s="949"/>
    </row>
    <row r="79" spans="1:15" ht="18.75" customHeight="1">
      <c r="A79" s="956"/>
      <c r="B79" s="957" t="str">
        <f>[140]산출!B55</f>
        <v>화이트 접합유리 끼우기</v>
      </c>
      <c r="C79" s="939" t="str">
        <f>[140]산출!C55</f>
        <v>T12.76mm (2,400*3,400기준)</v>
      </c>
      <c r="D79" s="958">
        <f>[140]산출!G55</f>
        <v>0</v>
      </c>
      <c r="E79" s="935" t="str">
        <f>SUBSTITUTE(CONCATENATE(B:B,C:C,F:F)," ","")</f>
        <v>화이트접합유리끼우기T12.76mm(2,400*3,400기준)M2</v>
      </c>
      <c r="F79" s="896" t="str">
        <f>[140]산출!D55</f>
        <v>M2</v>
      </c>
      <c r="G79" s="936">
        <f>[140]산출!F55</f>
        <v>12.690000000000001</v>
      </c>
      <c r="H79" s="935" t="str">
        <f t="shared" ref="H79:H82" si="22">SUBSTITUTE(CONCATENATE(B79,C79,F79)," ","")</f>
        <v>화이트접합유리끼우기T12.76mm(2,400*3,400기준)M2</v>
      </c>
      <c r="I79" s="959">
        <f>VLOOKUP($H:$H,[140]일위목록!$A:$H,6,FALSE)</f>
        <v>225283</v>
      </c>
      <c r="J79" s="959">
        <f>TRUNC($G:$G*I:I)</f>
        <v>2858841</v>
      </c>
      <c r="K79" s="959">
        <f>VLOOKUP($H:$H,[140]일위목록!$A:$H,7,FALSE)</f>
        <v>71881</v>
      </c>
      <c r="L79" s="959">
        <f>TRUNC($G:$G*K:K)</f>
        <v>912169</v>
      </c>
      <c r="M79" s="959">
        <f t="shared" ref="M79:N82" si="23">SUM(I79,K79)</f>
        <v>297164</v>
      </c>
      <c r="N79" s="959">
        <f t="shared" si="23"/>
        <v>3771010</v>
      </c>
      <c r="O79" s="896" t="str">
        <f>VLOOKUP($H:$H,[140]일위목록!$A:$B,2,FALSE)</f>
        <v>제63호표</v>
      </c>
    </row>
    <row r="80" spans="1:15" ht="18.75" customHeight="1">
      <c r="A80" s="956"/>
      <c r="B80" s="957" t="str">
        <f>[140]산출!B56</f>
        <v>조명용아크릴 가공 설치</v>
      </c>
      <c r="C80" s="939" t="str">
        <f>[140]산출!C56</f>
        <v>T5mm</v>
      </c>
      <c r="D80" s="958">
        <f>[140]산출!G56</f>
        <v>0</v>
      </c>
      <c r="E80" s="935" t="str">
        <f>SUBSTITUTE(CONCATENATE(B:B,C:C,F:F)," ","")</f>
        <v>조명용아크릴가공설치T5mmm2</v>
      </c>
      <c r="F80" s="896" t="str">
        <f>[140]산출!D56</f>
        <v>m2</v>
      </c>
      <c r="G80" s="936">
        <f>[140]산출!F56</f>
        <v>0.67499999999999993</v>
      </c>
      <c r="H80" s="935" t="str">
        <f t="shared" si="22"/>
        <v>조명용아크릴가공설치T5mmm2</v>
      </c>
      <c r="I80" s="959">
        <f>VLOOKUP($H:$H,[140]일위목록!$A:$H,6,FALSE)</f>
        <v>74550</v>
      </c>
      <c r="J80" s="959">
        <f>TRUNC($G:$G*I:I)</f>
        <v>50321</v>
      </c>
      <c r="K80" s="959">
        <f>VLOOKUP($H:$H,[140]일위목록!$A:$H,7,FALSE)</f>
        <v>19211</v>
      </c>
      <c r="L80" s="959">
        <f>TRUNC($G:$G*K:K)</f>
        <v>12967</v>
      </c>
      <c r="M80" s="959">
        <f t="shared" si="23"/>
        <v>93761</v>
      </c>
      <c r="N80" s="959">
        <f t="shared" si="23"/>
        <v>63288</v>
      </c>
      <c r="O80" s="896" t="str">
        <f>VLOOKUP($H:$H,[140]일위목록!$A:$B,2,FALSE)</f>
        <v>제67호표</v>
      </c>
    </row>
    <row r="81" spans="1:15" ht="18.75" customHeight="1">
      <c r="A81" s="956"/>
      <c r="B81" s="957" t="str">
        <f>[140]산출!B57</f>
        <v>코킹</v>
      </c>
      <c r="C81" s="939"/>
      <c r="D81" s="958">
        <f>[140]산출!G57</f>
        <v>0</v>
      </c>
      <c r="E81" s="935" t="str">
        <f>SUBSTITUTE(CONCATENATE(B:B,C:C,F:F)," ","")</f>
        <v>코킹M</v>
      </c>
      <c r="F81" s="896" t="str">
        <f>[140]산출!D57</f>
        <v>M</v>
      </c>
      <c r="G81" s="936">
        <f>[140]산출!F57</f>
        <v>43.92</v>
      </c>
      <c r="H81" s="935" t="str">
        <f t="shared" si="22"/>
        <v>코킹M</v>
      </c>
      <c r="I81" s="959">
        <f>VLOOKUP($H:$H,[140]일위목록!$A:$H,6,FALSE)</f>
        <v>880</v>
      </c>
      <c r="J81" s="959">
        <f>TRUNC($G:$G*I:I)</f>
        <v>38649</v>
      </c>
      <c r="K81" s="959">
        <f>VLOOKUP($H:$H,[140]일위목록!$A:$H,7,FALSE)</f>
        <v>6064</v>
      </c>
      <c r="L81" s="959">
        <f>TRUNC($G:$G*K:K)</f>
        <v>266330</v>
      </c>
      <c r="M81" s="959">
        <f t="shared" si="23"/>
        <v>6944</v>
      </c>
      <c r="N81" s="959">
        <f t="shared" si="23"/>
        <v>304979</v>
      </c>
      <c r="O81" s="896" t="str">
        <f>VLOOKUP($H:$H,[140]일위목록!$A:$B,2,FALSE)</f>
        <v>제45호표</v>
      </c>
    </row>
    <row r="82" spans="1:15" ht="18.75" customHeight="1">
      <c r="A82" s="956"/>
      <c r="B82" s="957" t="str">
        <f>[140]산출!B58</f>
        <v>면    취</v>
      </c>
      <c r="C82" s="939"/>
      <c r="D82" s="958">
        <f>[140]산출!G58</f>
        <v>0</v>
      </c>
      <c r="E82" s="935" t="str">
        <f>SUBSTITUTE(CONCATENATE(B:B,C:C,F:F)," ","")</f>
        <v>면취M</v>
      </c>
      <c r="F82" s="896" t="str">
        <f>[140]산출!D58</f>
        <v>M</v>
      </c>
      <c r="G82" s="936">
        <f>[140]산출!F58</f>
        <v>40.56</v>
      </c>
      <c r="H82" s="935" t="str">
        <f t="shared" si="22"/>
        <v>면취M</v>
      </c>
      <c r="I82" s="959">
        <f>VLOOKUP($H:$H,[140]일위목록!$A:$H,6,FALSE)</f>
        <v>11000</v>
      </c>
      <c r="J82" s="959">
        <f>TRUNC($G:$G*I:I)</f>
        <v>446160</v>
      </c>
      <c r="K82" s="959">
        <f>VLOOKUP($H:$H,[140]일위목록!$A:$H,7,FALSE)</f>
        <v>0</v>
      </c>
      <c r="L82" s="959">
        <f>TRUNC($G:$G*K:K)</f>
        <v>0</v>
      </c>
      <c r="M82" s="959">
        <f t="shared" si="23"/>
        <v>11000</v>
      </c>
      <c r="N82" s="959">
        <f t="shared" si="23"/>
        <v>446160</v>
      </c>
      <c r="O82" s="896" t="str">
        <f>VLOOKUP($H:$H,[140]일위목록!$A:$B,2,FALSE)</f>
        <v>단가-77번</v>
      </c>
    </row>
    <row r="83" spans="1:15" s="952" customFormat="1" ht="18.75" customHeight="1">
      <c r="A83" s="960"/>
      <c r="B83" s="947" t="str">
        <f>[140]산출!B59</f>
        <v>- 전기공사</v>
      </c>
      <c r="C83" s="954"/>
      <c r="D83" s="955"/>
      <c r="E83" s="948"/>
      <c r="F83" s="949"/>
      <c r="G83" s="950"/>
      <c r="H83" s="948"/>
      <c r="I83" s="951"/>
      <c r="J83" s="951"/>
      <c r="K83" s="951"/>
      <c r="L83" s="951"/>
      <c r="M83" s="951"/>
      <c r="N83" s="951"/>
      <c r="O83" s="949"/>
    </row>
    <row r="84" spans="1:15" ht="18.75" customHeight="1">
      <c r="A84" s="956"/>
      <c r="B84" s="957" t="str">
        <f>[140]산출!B60</f>
        <v>LED 포인트조명설치(벽부형)</v>
      </c>
      <c r="C84" s="957" t="str">
        <f>[140]산출!C60</f>
        <v>15W이하</v>
      </c>
      <c r="D84" s="958"/>
      <c r="E84" s="935" t="str">
        <f>SUBSTITUTE(CONCATENATE(B:B,C:C,F:F)," ","")</f>
        <v>LED포인트조명설치(벽부형)15W이하ea</v>
      </c>
      <c r="F84" s="896" t="str">
        <f>[140]산출!D60</f>
        <v>ea</v>
      </c>
      <c r="G84" s="936">
        <f>[140]산출!F60</f>
        <v>12</v>
      </c>
      <c r="H84" s="935" t="str">
        <f t="shared" ref="H84:H87" si="24">SUBSTITUTE(CONCATENATE(B84,C84,F84)," ","")</f>
        <v>LED포인트조명설치(벽부형)15W이하ea</v>
      </c>
      <c r="I84" s="959">
        <f>VLOOKUP($H:$H,[140]일위목록!$A:$H,6,FALSE)</f>
        <v>178500</v>
      </c>
      <c r="J84" s="959">
        <f>TRUNC($G:$G*I:I)</f>
        <v>2142000</v>
      </c>
      <c r="K84" s="959">
        <f>VLOOKUP($H:$H,[140]일위목록!$A:$H,7,FALSE)</f>
        <v>26372</v>
      </c>
      <c r="L84" s="959">
        <f>TRUNC($G:$G*K:K)</f>
        <v>316464</v>
      </c>
      <c r="M84" s="959">
        <f t="shared" ref="M84:N87" si="25">SUM(I84,K84)</f>
        <v>204872</v>
      </c>
      <c r="N84" s="959">
        <f t="shared" si="25"/>
        <v>2458464</v>
      </c>
      <c r="O84" s="896" t="str">
        <f>VLOOKUP($H:$H,[140]일위목록!$A:$B,2,FALSE)</f>
        <v>제81호표</v>
      </c>
    </row>
    <row r="85" spans="1:15" ht="18.75" customHeight="1">
      <c r="A85" s="956"/>
      <c r="B85" s="957" t="str">
        <f>[140]산출!B61</f>
        <v>LED bar조명설치</v>
      </c>
      <c r="C85" s="957" t="str">
        <f>[140]산출!C61</f>
        <v>30W이하</v>
      </c>
      <c r="D85" s="958">
        <f>[140]산출!G61</f>
        <v>0</v>
      </c>
      <c r="E85" s="935" t="str">
        <f>SUBSTITUTE(CONCATENATE(B:B,C:C,F:F)," ","")</f>
        <v>LEDbar조명설치30W이하M</v>
      </c>
      <c r="F85" s="896" t="str">
        <f>[140]산출!D61</f>
        <v>M</v>
      </c>
      <c r="G85" s="936">
        <f>[140]산출!F61</f>
        <v>9</v>
      </c>
      <c r="H85" s="935" t="str">
        <f t="shared" si="24"/>
        <v>LEDbar조명설치30W이하M</v>
      </c>
      <c r="I85" s="959">
        <f>VLOOKUP($H:$H,[140]일위목록!$A:$H,6,FALSE)</f>
        <v>105000</v>
      </c>
      <c r="J85" s="959">
        <f>TRUNC($G:$G*I:I)</f>
        <v>945000</v>
      </c>
      <c r="K85" s="959">
        <f>VLOOKUP($H:$H,[140]일위목록!$A:$H,7,FALSE)</f>
        <v>26372</v>
      </c>
      <c r="L85" s="959">
        <f>TRUNC($G:$G*K:K)</f>
        <v>237348</v>
      </c>
      <c r="M85" s="959">
        <f t="shared" si="25"/>
        <v>131372</v>
      </c>
      <c r="N85" s="959">
        <f t="shared" si="25"/>
        <v>1182348</v>
      </c>
      <c r="O85" s="896" t="str">
        <f>VLOOKUP($H:$H,[140]일위목록!$A:$B,2,FALSE)</f>
        <v>제83호표</v>
      </c>
    </row>
    <row r="86" spans="1:15" ht="18.75" customHeight="1">
      <c r="A86" s="956"/>
      <c r="B86" s="957" t="str">
        <f>[140]산출!B62</f>
        <v>LED 포인트조명 컨트롤제작설치</v>
      </c>
      <c r="C86" s="957" t="str">
        <f>[140]산출!C62</f>
        <v>컨트롤러(16채널)</v>
      </c>
      <c r="D86" s="958">
        <f>[140]산출!G62</f>
        <v>0</v>
      </c>
      <c r="E86" s="935" t="str">
        <f>SUBSTITUTE(CONCATENATE(B:B,C:C,F:F)," ","")</f>
        <v>LED포인트조명컨트롤제작설치컨트롤러(16채널)set</v>
      </c>
      <c r="F86" s="896" t="str">
        <f>[140]산출!D62</f>
        <v>set</v>
      </c>
      <c r="G86" s="936">
        <f>[140]산출!F62</f>
        <v>1</v>
      </c>
      <c r="H86" s="935" t="str">
        <f t="shared" si="24"/>
        <v>LED포인트조명컨트롤제작설치컨트롤러(16채널)set</v>
      </c>
      <c r="I86" s="959">
        <f>VLOOKUP($H:$H,[140]일위목록!$A:$H,6,FALSE)</f>
        <v>650000</v>
      </c>
      <c r="J86" s="959">
        <f>TRUNC($G:$G*I:I)</f>
        <v>650000</v>
      </c>
      <c r="K86" s="959">
        <f>VLOOKUP($H:$H,[140]일위목록!$A:$H,7,FALSE)</f>
        <v>90163</v>
      </c>
      <c r="L86" s="959">
        <f>TRUNC($G:$G*K:K)</f>
        <v>90163</v>
      </c>
      <c r="M86" s="959">
        <f t="shared" si="25"/>
        <v>740163</v>
      </c>
      <c r="N86" s="959">
        <f t="shared" si="25"/>
        <v>740163</v>
      </c>
      <c r="O86" s="896" t="str">
        <f>VLOOKUP($H:$H,[140]일위목록!$A:$B,2,FALSE)</f>
        <v>제85호표</v>
      </c>
    </row>
    <row r="87" spans="1:15" ht="18.75" customHeight="1">
      <c r="A87" s="956"/>
      <c r="B87" s="957" t="str">
        <f>[140]산출!B63</f>
        <v>LED bar조명 컨트롤제작설치</v>
      </c>
      <c r="C87" s="957" t="str">
        <f>[140]산출!C63</f>
        <v>컨트롤러</v>
      </c>
      <c r="D87" s="958">
        <f>[140]산출!G63</f>
        <v>0</v>
      </c>
      <c r="E87" s="935" t="str">
        <f>SUBSTITUTE(CONCATENATE(B:B,C:C,F:F)," ","")</f>
        <v>LEDbar조명컨트롤제작설치컨트롤러set</v>
      </c>
      <c r="F87" s="896" t="str">
        <f>[140]산출!D63</f>
        <v>set</v>
      </c>
      <c r="G87" s="936">
        <f>[140]산출!F63</f>
        <v>1</v>
      </c>
      <c r="H87" s="935" t="str">
        <f t="shared" si="24"/>
        <v>LEDbar조명컨트롤제작설치컨트롤러set</v>
      </c>
      <c r="I87" s="959">
        <f>VLOOKUP($H:$H,[140]일위목록!$A:$H,6,FALSE)</f>
        <v>530000</v>
      </c>
      <c r="J87" s="959">
        <f>TRUNC($G:$G*I:I)</f>
        <v>530000</v>
      </c>
      <c r="K87" s="959">
        <f>VLOOKUP($H:$H,[140]일위목록!$A:$H,7,FALSE)</f>
        <v>112704</v>
      </c>
      <c r="L87" s="959">
        <f>TRUNC($G:$G*K:K)</f>
        <v>112704</v>
      </c>
      <c r="M87" s="959">
        <f t="shared" si="25"/>
        <v>642704</v>
      </c>
      <c r="N87" s="959">
        <f t="shared" si="25"/>
        <v>642704</v>
      </c>
      <c r="O87" s="896" t="str">
        <f>VLOOKUP($H:$H,[140]일위목록!$A:$B,2,FALSE)</f>
        <v>제87호표</v>
      </c>
    </row>
    <row r="88" spans="1:15" ht="18.75" customHeight="1">
      <c r="A88" s="956"/>
      <c r="B88" s="957"/>
      <c r="C88" s="939"/>
      <c r="D88" s="958"/>
      <c r="E88" s="935"/>
      <c r="F88" s="896"/>
      <c r="G88" s="936"/>
      <c r="H88" s="935"/>
      <c r="I88" s="959"/>
      <c r="J88" s="959"/>
      <c r="K88" s="959"/>
      <c r="L88" s="959"/>
      <c r="M88" s="959"/>
      <c r="N88" s="959"/>
      <c r="O88" s="896"/>
    </row>
    <row r="89" spans="1:15" s="952" customFormat="1" ht="18.75" customHeight="1">
      <c r="A89" s="960"/>
      <c r="B89" s="947" t="s">
        <v>6585</v>
      </c>
      <c r="C89" s="954"/>
      <c r="D89" s="961"/>
      <c r="E89" s="948"/>
      <c r="F89" s="949"/>
      <c r="G89" s="950"/>
      <c r="H89" s="948" t="str">
        <f>SUBSTITUTE(CONCATENATE(B89,C89,F89)," ","")</f>
        <v>소계</v>
      </c>
      <c r="I89" s="951"/>
      <c r="J89" s="951">
        <f>SUM(J39:J87)</f>
        <v>24976859</v>
      </c>
      <c r="K89" s="951"/>
      <c r="L89" s="951">
        <f>SUM(L39:L87)</f>
        <v>13976572</v>
      </c>
      <c r="M89" s="951"/>
      <c r="N89" s="951">
        <f>SUM(N39:N87)</f>
        <v>38953431</v>
      </c>
      <c r="O89" s="949"/>
    </row>
    <row r="90" spans="1:15" ht="18.75" customHeight="1">
      <c r="A90" s="956"/>
      <c r="B90" s="957"/>
      <c r="C90" s="939"/>
      <c r="D90" s="958"/>
      <c r="E90" s="935"/>
      <c r="F90" s="896"/>
      <c r="G90" s="936"/>
      <c r="H90" s="935"/>
      <c r="I90" s="959"/>
      <c r="J90" s="959"/>
      <c r="K90" s="959"/>
      <c r="L90" s="959"/>
      <c r="M90" s="959"/>
      <c r="N90" s="959"/>
      <c r="O90" s="896"/>
    </row>
    <row r="91" spans="1:15" ht="18.75" customHeight="1">
      <c r="A91" s="956"/>
      <c r="B91" s="957"/>
      <c r="C91" s="939"/>
      <c r="D91" s="958"/>
      <c r="E91" s="935"/>
      <c r="F91" s="896"/>
      <c r="G91" s="936"/>
      <c r="H91" s="935"/>
      <c r="I91" s="959"/>
      <c r="J91" s="959"/>
      <c r="K91" s="959"/>
      <c r="L91" s="959"/>
      <c r="M91" s="959"/>
      <c r="N91" s="959"/>
      <c r="O91" s="896"/>
    </row>
    <row r="92" spans="1:15" s="952" customFormat="1" ht="18.75" customHeight="1">
      <c r="A92" s="947" t="str">
        <f>[140]산출!A72</f>
        <v>SC-102</v>
      </c>
      <c r="B92" s="947" t="str">
        <f>[140]산출!B72</f>
        <v>벽부형진열장(전동형)</v>
      </c>
      <c r="C92" s="1423" t="str">
        <f>[140]산출!C72</f>
        <v>L: 5000 D: 1300 H: 3600 FH: 300 GH: 2600 UH: 700</v>
      </c>
      <c r="D92" s="1424"/>
      <c r="E92" s="948" t="str">
        <f>SUBSTITUTE(CONCATENATE(B:B,C:C,F:F)," ","")</f>
        <v>벽부형진열장(전동형)L:5000D:1300H:3600FH:300GH:2600UH:700SET</v>
      </c>
      <c r="F92" s="949" t="str">
        <f>[140]산출!D72</f>
        <v>SET</v>
      </c>
      <c r="G92" s="950">
        <f>[140]산출!F72</f>
        <v>2</v>
      </c>
      <c r="H92" s="948" t="str">
        <f t="shared" ref="H92" si="26">SUBSTITUTE(CONCATENATE(B92,C92,F92)," ","")</f>
        <v>벽부형진열장(전동형)L:5000D:1300H:3600FH:300GH:2600UH:700SET</v>
      </c>
      <c r="I92" s="951"/>
      <c r="J92" s="951"/>
      <c r="K92" s="951"/>
      <c r="L92" s="951"/>
      <c r="M92" s="951"/>
      <c r="N92" s="951"/>
      <c r="O92" s="949"/>
    </row>
    <row r="93" spans="1:15" s="952" customFormat="1" ht="18.75" customHeight="1">
      <c r="A93" s="953"/>
      <c r="B93" s="947" t="str">
        <f>[140]산출!B73</f>
        <v>- 구조틀</v>
      </c>
      <c r="C93" s="954">
        <f>[140]산출!C73</f>
        <v>0</v>
      </c>
      <c r="D93" s="955"/>
      <c r="E93" s="948"/>
      <c r="F93" s="949"/>
      <c r="G93" s="950"/>
      <c r="H93" s="948"/>
      <c r="I93" s="951"/>
      <c r="J93" s="951"/>
      <c r="K93" s="951"/>
      <c r="L93" s="951"/>
      <c r="M93" s="951"/>
      <c r="N93" s="951"/>
      <c r="O93" s="949"/>
    </row>
    <row r="94" spans="1:15" ht="18.75" customHeight="1">
      <c r="A94" s="962"/>
      <c r="B94" s="957" t="str">
        <f>[140]산출!B74</f>
        <v>각파이프(방청)</v>
      </c>
      <c r="C94" s="939" t="str">
        <f>[140]산출!C74</f>
        <v>50*50*1.4T</v>
      </c>
      <c r="D94" s="958">
        <f>[140]산출!G74</f>
        <v>0</v>
      </c>
      <c r="E94" s="935" t="str">
        <f>SUBSTITUTE(CONCATENATE(B:B,C:C,F:F)," ","")</f>
        <v>각파이프(방청)50*50*1.4TM</v>
      </c>
      <c r="F94" s="896" t="str">
        <f>[140]산출!D74</f>
        <v>M</v>
      </c>
      <c r="G94" s="936">
        <f>[140]산출!F74</f>
        <v>175.5</v>
      </c>
      <c r="H94" s="935" t="str">
        <f t="shared" ref="H94:H95" si="27">SUBSTITUTE(CONCATENATE(B94,C94,F94)," ","")</f>
        <v>각파이프(방청)50*50*1.4TM</v>
      </c>
      <c r="I94" s="959">
        <f>VLOOKUP($H:$H,[140]일위목록!$A:$H,6,FALSE)</f>
        <v>3111</v>
      </c>
      <c r="J94" s="959">
        <f>TRUNC($G:$G*I:I)</f>
        <v>545980</v>
      </c>
      <c r="K94" s="959">
        <f>VLOOKUP($H:$H,[140]일위목록!$A:$H,7,FALSE)</f>
        <v>16978</v>
      </c>
      <c r="L94" s="959">
        <f>TRUNC($G:$G*K:K)</f>
        <v>2979639</v>
      </c>
      <c r="M94" s="959">
        <f t="shared" ref="M94:N95" si="28">SUM(I94,K94)</f>
        <v>20089</v>
      </c>
      <c r="N94" s="959">
        <f t="shared" si="28"/>
        <v>3525619</v>
      </c>
      <c r="O94" s="896" t="str">
        <f>VLOOKUP($H:$H,[140]일위목록!$A:$B,2,FALSE)</f>
        <v>제47호표</v>
      </c>
    </row>
    <row r="95" spans="1:15" ht="18.75" customHeight="1">
      <c r="A95" s="962"/>
      <c r="B95" s="957" t="str">
        <f>[140]산출!B75</f>
        <v>각파이프(방청)</v>
      </c>
      <c r="C95" s="939" t="str">
        <f>[140]산출!C75</f>
        <v>100*50*2.3T</v>
      </c>
      <c r="D95" s="958">
        <f>[140]산출!G75</f>
        <v>0</v>
      </c>
      <c r="E95" s="935" t="str">
        <f>SUBSTITUTE(CONCATENATE(B:B,C:C,F:F)," ","")</f>
        <v>각파이프(방청)100*50*2.3TM</v>
      </c>
      <c r="F95" s="896" t="str">
        <f>[140]산출!D75</f>
        <v>M</v>
      </c>
      <c r="G95" s="936">
        <f>[140]산출!F75</f>
        <v>27.2</v>
      </c>
      <c r="H95" s="935" t="str">
        <f t="shared" si="27"/>
        <v>각파이프(방청)100*50*2.3TM</v>
      </c>
      <c r="I95" s="959">
        <f>VLOOKUP($H:$H,[140]일위목록!$A:$H,6,FALSE)</f>
        <v>6799</v>
      </c>
      <c r="J95" s="959">
        <f>TRUNC($G:$G*I:I)</f>
        <v>184932</v>
      </c>
      <c r="K95" s="959">
        <f>VLOOKUP($H:$H,[140]일위목록!$A:$H,7,FALSE)</f>
        <v>41245</v>
      </c>
      <c r="L95" s="959">
        <f>TRUNC($G:$G*K:K)</f>
        <v>1121864</v>
      </c>
      <c r="M95" s="959">
        <f t="shared" si="28"/>
        <v>48044</v>
      </c>
      <c r="N95" s="959">
        <f t="shared" si="28"/>
        <v>1306796</v>
      </c>
      <c r="O95" s="896" t="str">
        <f>VLOOKUP($H:$H,[140]일위목록!$A:$B,2,FALSE)</f>
        <v>제48호표</v>
      </c>
    </row>
    <row r="96" spans="1:15" s="952" customFormat="1" ht="18.75" customHeight="1">
      <c r="A96" s="953"/>
      <c r="B96" s="947" t="str">
        <f>[140]산출!B76</f>
        <v>- 잡철물</v>
      </c>
      <c r="C96" s="954" t="str">
        <f>[140]산출!C76</f>
        <v xml:space="preserve"> 상부</v>
      </c>
      <c r="D96" s="955"/>
      <c r="E96" s="948"/>
      <c r="F96" s="949"/>
      <c r="G96" s="950"/>
      <c r="H96" s="948"/>
      <c r="I96" s="951"/>
      <c r="J96" s="951"/>
      <c r="K96" s="951"/>
      <c r="L96" s="951"/>
      <c r="M96" s="951"/>
      <c r="N96" s="951"/>
      <c r="O96" s="949"/>
    </row>
    <row r="97" spans="1:15" ht="18.75" customHeight="1">
      <c r="A97" s="962"/>
      <c r="B97" s="957" t="str">
        <f>[140]산출!B77</f>
        <v>갈바후레임제작설치</v>
      </c>
      <c r="C97" s="939" t="str">
        <f>[140]산출!C77</f>
        <v>1.6T</v>
      </c>
      <c r="D97" s="958" t="str">
        <f>[140]산출!G77</f>
        <v>상부점검도어 몰딩</v>
      </c>
      <c r="E97" s="935" t="str">
        <f t="shared" ref="E97:E105" si="29">SUBSTITUTE(CONCATENATE(B:B,C:C,F:F)," ","")</f>
        <v>갈바후레임제작설치1.6TM2</v>
      </c>
      <c r="F97" s="896" t="str">
        <f>[140]산출!D77</f>
        <v>M2</v>
      </c>
      <c r="G97" s="936">
        <f>[140]산출!F77</f>
        <v>1.575</v>
      </c>
      <c r="H97" s="935" t="str">
        <f t="shared" ref="H97:H124" si="30">SUBSTITUTE(CONCATENATE(B97,C97,F97)," ","")</f>
        <v>갈바후레임제작설치1.6TM2</v>
      </c>
      <c r="I97" s="959">
        <f>VLOOKUP($H:$H,[140]일위목록!$A:$H,6,FALSE)</f>
        <v>16515</v>
      </c>
      <c r="J97" s="959">
        <f t="shared" ref="J97:J105" si="31">TRUNC($G:$G*I:I)</f>
        <v>26011</v>
      </c>
      <c r="K97" s="959">
        <f>VLOOKUP($H:$H,[140]일위목록!$A:$H,7,FALSE)</f>
        <v>65362</v>
      </c>
      <c r="L97" s="959">
        <f t="shared" ref="L97:L105" si="32">TRUNC($G:$G*K:K)</f>
        <v>102945</v>
      </c>
      <c r="M97" s="959">
        <f t="shared" ref="M97:N112" si="33">SUM(I97,K97)</f>
        <v>81877</v>
      </c>
      <c r="N97" s="959">
        <f t="shared" si="33"/>
        <v>128956</v>
      </c>
      <c r="O97" s="896" t="str">
        <f>VLOOKUP($H:$H,[140]일위목록!$A:$B,2,FALSE)</f>
        <v>제51호표</v>
      </c>
    </row>
    <row r="98" spans="1:15" ht="18.75" customHeight="1">
      <c r="A98" s="962"/>
      <c r="B98" s="957" t="str">
        <f>[140]산출!B78</f>
        <v>갈바후레임제작설치</v>
      </c>
      <c r="C98" s="939" t="str">
        <f>[140]산출!C78</f>
        <v>1.6T</v>
      </c>
      <c r="D98" s="958" t="str">
        <f>[140]산출!G78</f>
        <v>상부전면천장유리후레임</v>
      </c>
      <c r="E98" s="935" t="str">
        <f t="shared" si="29"/>
        <v>갈바후레임제작설치1.6TM2</v>
      </c>
      <c r="F98" s="896" t="str">
        <f>[140]산출!D78</f>
        <v>M2</v>
      </c>
      <c r="G98" s="936">
        <f>[140]산출!F78</f>
        <v>2.46</v>
      </c>
      <c r="H98" s="935" t="str">
        <f t="shared" si="30"/>
        <v>갈바후레임제작설치1.6TM2</v>
      </c>
      <c r="I98" s="959">
        <f>VLOOKUP($H:$H,[140]일위목록!$A:$H,6,FALSE)</f>
        <v>16515</v>
      </c>
      <c r="J98" s="959">
        <f t="shared" si="31"/>
        <v>40626</v>
      </c>
      <c r="K98" s="959">
        <f>VLOOKUP($H:$H,[140]일위목록!$A:$H,7,FALSE)</f>
        <v>65362</v>
      </c>
      <c r="L98" s="959">
        <f t="shared" si="32"/>
        <v>160790</v>
      </c>
      <c r="M98" s="959">
        <f t="shared" si="33"/>
        <v>81877</v>
      </c>
      <c r="N98" s="959">
        <f t="shared" si="33"/>
        <v>201416</v>
      </c>
      <c r="O98" s="896" t="str">
        <f>VLOOKUP($H:$H,[140]일위목록!$A:$B,2,FALSE)</f>
        <v>제51호표</v>
      </c>
    </row>
    <row r="99" spans="1:15" ht="18.75" customHeight="1">
      <c r="A99" s="962"/>
      <c r="B99" s="957" t="str">
        <f>[140]산출!B79</f>
        <v>갈바후레임제작설치</v>
      </c>
      <c r="C99" s="939" t="str">
        <f>[140]산출!C79</f>
        <v>1.6T</v>
      </c>
      <c r="D99" s="958" t="str">
        <f>[140]산출!G79</f>
        <v>배면천장몰딩</v>
      </c>
      <c r="E99" s="935" t="str">
        <f t="shared" si="29"/>
        <v>갈바후레임제작설치1.6TM2</v>
      </c>
      <c r="F99" s="896" t="str">
        <f>[140]산출!D79</f>
        <v>M2</v>
      </c>
      <c r="G99" s="936">
        <f>[140]산출!F79</f>
        <v>3.3050000000000002</v>
      </c>
      <c r="H99" s="935" t="str">
        <f t="shared" si="30"/>
        <v>갈바후레임제작설치1.6TM2</v>
      </c>
      <c r="I99" s="959">
        <f>VLOOKUP($H:$H,[140]일위목록!$A:$H,6,FALSE)</f>
        <v>16515</v>
      </c>
      <c r="J99" s="959">
        <f t="shared" si="31"/>
        <v>54582</v>
      </c>
      <c r="K99" s="959">
        <f>VLOOKUP($H:$H,[140]일위목록!$A:$H,7,FALSE)</f>
        <v>65362</v>
      </c>
      <c r="L99" s="959">
        <f t="shared" si="32"/>
        <v>216021</v>
      </c>
      <c r="M99" s="959">
        <f t="shared" si="33"/>
        <v>81877</v>
      </c>
      <c r="N99" s="959">
        <f t="shared" si="33"/>
        <v>270603</v>
      </c>
      <c r="O99" s="896" t="str">
        <f>VLOOKUP($H:$H,[140]일위목록!$A:$B,2,FALSE)</f>
        <v>제51호표</v>
      </c>
    </row>
    <row r="100" spans="1:15" ht="18.75" customHeight="1">
      <c r="A100" s="962"/>
      <c r="B100" s="957" t="str">
        <f>[140]산출!B80</f>
        <v>갈바후레임제작설치</v>
      </c>
      <c r="C100" s="939" t="str">
        <f>[140]산출!C80</f>
        <v>1.6T</v>
      </c>
      <c r="D100" s="958" t="str">
        <f>[140]산출!G80</f>
        <v>그림걸이레일보강</v>
      </c>
      <c r="E100" s="935" t="str">
        <f t="shared" si="29"/>
        <v>갈바후레임제작설치1.6TM2</v>
      </c>
      <c r="F100" s="896" t="str">
        <f>[140]산출!D80</f>
        <v>M2</v>
      </c>
      <c r="G100" s="936">
        <f>[140]산출!F80</f>
        <v>1.0249999999999999</v>
      </c>
      <c r="H100" s="935" t="str">
        <f t="shared" si="30"/>
        <v>갈바후레임제작설치1.6TM2</v>
      </c>
      <c r="I100" s="959">
        <f>VLOOKUP($H:$H,[140]일위목록!$A:$H,6,FALSE)</f>
        <v>16515</v>
      </c>
      <c r="J100" s="959">
        <f t="shared" si="31"/>
        <v>16927</v>
      </c>
      <c r="K100" s="959">
        <f>VLOOKUP($H:$H,[140]일위목록!$A:$H,7,FALSE)</f>
        <v>65362</v>
      </c>
      <c r="L100" s="959">
        <f t="shared" si="32"/>
        <v>66996</v>
      </c>
      <c r="M100" s="959">
        <f t="shared" si="33"/>
        <v>81877</v>
      </c>
      <c r="N100" s="959">
        <f t="shared" si="33"/>
        <v>83923</v>
      </c>
      <c r="O100" s="896" t="str">
        <f>VLOOKUP($H:$H,[140]일위목록!$A:$B,2,FALSE)</f>
        <v>제51호표</v>
      </c>
    </row>
    <row r="101" spans="1:15" ht="18.75" customHeight="1">
      <c r="A101" s="962"/>
      <c r="B101" s="957" t="str">
        <f>[140]산출!B81</f>
        <v>갈바후레임제작설치</v>
      </c>
      <c r="C101" s="939" t="str">
        <f>[140]산출!C81</f>
        <v>1.6T</v>
      </c>
      <c r="D101" s="958" t="str">
        <f>[140]산출!G81</f>
        <v>상부점검도어</v>
      </c>
      <c r="E101" s="935" t="str">
        <f t="shared" si="29"/>
        <v>갈바후레임제작설치1.6TM2</v>
      </c>
      <c r="F101" s="896" t="str">
        <f>[140]산출!D81</f>
        <v>M2</v>
      </c>
      <c r="G101" s="936">
        <f>[140]산출!F81</f>
        <v>4.72</v>
      </c>
      <c r="H101" s="935" t="str">
        <f t="shared" si="30"/>
        <v>갈바후레임제작설치1.6TM2</v>
      </c>
      <c r="I101" s="959">
        <f>VLOOKUP($H:$H,[140]일위목록!$A:$H,6,FALSE)</f>
        <v>16515</v>
      </c>
      <c r="J101" s="959">
        <f t="shared" si="31"/>
        <v>77950</v>
      </c>
      <c r="K101" s="959">
        <f>VLOOKUP($H:$H,[140]일위목록!$A:$H,7,FALSE)</f>
        <v>65362</v>
      </c>
      <c r="L101" s="959">
        <f t="shared" si="32"/>
        <v>308508</v>
      </c>
      <c r="M101" s="959">
        <f t="shared" si="33"/>
        <v>81877</v>
      </c>
      <c r="N101" s="959">
        <f t="shared" si="33"/>
        <v>386458</v>
      </c>
      <c r="O101" s="896" t="str">
        <f>VLOOKUP($H:$H,[140]일위목록!$A:$B,2,FALSE)</f>
        <v>제51호표</v>
      </c>
    </row>
    <row r="102" spans="1:15" ht="18.75" customHeight="1">
      <c r="A102" s="962"/>
      <c r="B102" s="957" t="str">
        <f>[140]산출!B82</f>
        <v>갈바후레임제작설치</v>
      </c>
      <c r="C102" s="939" t="str">
        <f>[140]산출!C82</f>
        <v>1.6T</v>
      </c>
      <c r="D102" s="958" t="str">
        <f>[140]산출!G82</f>
        <v>배면 사이드 몰딩</v>
      </c>
      <c r="E102" s="935" t="str">
        <f t="shared" si="29"/>
        <v>갈바후레임제작설치1.6TM2</v>
      </c>
      <c r="F102" s="896" t="str">
        <f>[140]산출!D82</f>
        <v>M2</v>
      </c>
      <c r="G102" s="936">
        <f>[140]산출!F82</f>
        <v>4.2000000000000011</v>
      </c>
      <c r="H102" s="935" t="str">
        <f t="shared" si="30"/>
        <v>갈바후레임제작설치1.6TM2</v>
      </c>
      <c r="I102" s="959">
        <f>VLOOKUP($H:$H,[140]일위목록!$A:$H,6,FALSE)</f>
        <v>16515</v>
      </c>
      <c r="J102" s="959">
        <f t="shared" si="31"/>
        <v>69363</v>
      </c>
      <c r="K102" s="959">
        <f>VLOOKUP($H:$H,[140]일위목록!$A:$H,7,FALSE)</f>
        <v>65362</v>
      </c>
      <c r="L102" s="959">
        <f t="shared" si="32"/>
        <v>274520</v>
      </c>
      <c r="M102" s="959">
        <f t="shared" si="33"/>
        <v>81877</v>
      </c>
      <c r="N102" s="959">
        <f t="shared" si="33"/>
        <v>343883</v>
      </c>
      <c r="O102" s="896" t="str">
        <f>VLOOKUP($H:$H,[140]일위목록!$A:$B,2,FALSE)</f>
        <v>제51호표</v>
      </c>
    </row>
    <row r="103" spans="1:15" ht="18.75" customHeight="1">
      <c r="A103" s="962"/>
      <c r="B103" s="957" t="str">
        <f>[140]산출!B83</f>
        <v>갈바후레임제작설치</v>
      </c>
      <c r="C103" s="939" t="str">
        <f>[140]산출!C83</f>
        <v>1.6T</v>
      </c>
      <c r="D103" s="958" t="str">
        <f>[140]산출!G83</f>
        <v>외부 측면 후레임</v>
      </c>
      <c r="E103" s="935" t="str">
        <f t="shared" si="29"/>
        <v>갈바후레임제작설치1.6TM2</v>
      </c>
      <c r="F103" s="896" t="str">
        <f>[140]산출!D83</f>
        <v>M2</v>
      </c>
      <c r="G103" s="936">
        <f>[140]산출!F83</f>
        <v>1.3520000000000001</v>
      </c>
      <c r="H103" s="935" t="str">
        <f t="shared" si="30"/>
        <v>갈바후레임제작설치1.6TM2</v>
      </c>
      <c r="I103" s="959">
        <f>VLOOKUP($H:$H,[140]일위목록!$A:$H,6,FALSE)</f>
        <v>16515</v>
      </c>
      <c r="J103" s="959">
        <f t="shared" si="31"/>
        <v>22328</v>
      </c>
      <c r="K103" s="959">
        <f>VLOOKUP($H:$H,[140]일위목록!$A:$H,7,FALSE)</f>
        <v>65362</v>
      </c>
      <c r="L103" s="959">
        <f t="shared" si="32"/>
        <v>88369</v>
      </c>
      <c r="M103" s="959">
        <f t="shared" si="33"/>
        <v>81877</v>
      </c>
      <c r="N103" s="959">
        <f t="shared" si="33"/>
        <v>110697</v>
      </c>
      <c r="O103" s="896" t="str">
        <f>VLOOKUP($H:$H,[140]일위목록!$A:$B,2,FALSE)</f>
        <v>제51호표</v>
      </c>
    </row>
    <row r="104" spans="1:15" ht="18.75" customHeight="1">
      <c r="A104" s="962"/>
      <c r="B104" s="957" t="str">
        <f>[140]산출!B84</f>
        <v>갈바후레임제작설치</v>
      </c>
      <c r="C104" s="939" t="str">
        <f>[140]산출!C84</f>
        <v>1.6T</v>
      </c>
      <c r="D104" s="958" t="str">
        <f>[140]산출!G84</f>
        <v>측면 유리 몰딩</v>
      </c>
      <c r="E104" s="935" t="str">
        <f t="shared" si="29"/>
        <v>갈바후레임제작설치1.6TM2</v>
      </c>
      <c r="F104" s="896" t="str">
        <f>[140]산출!D84</f>
        <v>M2</v>
      </c>
      <c r="G104" s="936">
        <f>[140]산출!F84</f>
        <v>2.1743999999999999</v>
      </c>
      <c r="H104" s="935" t="str">
        <f t="shared" si="30"/>
        <v>갈바후레임제작설치1.6TM2</v>
      </c>
      <c r="I104" s="959">
        <f>VLOOKUP($H:$H,[140]일위목록!$A:$H,6,FALSE)</f>
        <v>16515</v>
      </c>
      <c r="J104" s="959">
        <f t="shared" si="31"/>
        <v>35910</v>
      </c>
      <c r="K104" s="959">
        <f>VLOOKUP($H:$H,[140]일위목록!$A:$H,7,FALSE)</f>
        <v>65362</v>
      </c>
      <c r="L104" s="959">
        <f t="shared" si="32"/>
        <v>142123</v>
      </c>
      <c r="M104" s="959">
        <f t="shared" si="33"/>
        <v>81877</v>
      </c>
      <c r="N104" s="959">
        <f t="shared" si="33"/>
        <v>178033</v>
      </c>
      <c r="O104" s="896" t="str">
        <f>VLOOKUP($H:$H,[140]일위목록!$A:$B,2,FALSE)</f>
        <v>제51호표</v>
      </c>
    </row>
    <row r="105" spans="1:15" ht="18.75" customHeight="1">
      <c r="A105" s="962"/>
      <c r="B105" s="957" t="str">
        <f>[140]산출!B85</f>
        <v>알루미늄판취부</v>
      </c>
      <c r="C105" s="939" t="str">
        <f>[140]산출!C85</f>
        <v>4T*900*1800</v>
      </c>
      <c r="D105" s="958" t="str">
        <f>[140]산출!G85</f>
        <v>상부점검도어 커버</v>
      </c>
      <c r="E105" s="935" t="str">
        <f t="shared" si="29"/>
        <v>알루미늄판취부4T*900*1800M2</v>
      </c>
      <c r="F105" s="896" t="str">
        <f>[140]산출!D85</f>
        <v>M2</v>
      </c>
      <c r="G105" s="936">
        <f>[140]산출!F85</f>
        <v>3.5</v>
      </c>
      <c r="H105" s="935" t="str">
        <f t="shared" si="30"/>
        <v>알루미늄판취부4T*900*1800M2</v>
      </c>
      <c r="I105" s="959">
        <f>VLOOKUP($H:$H,[140]일위목록!$A:$H,6,FALSE)</f>
        <v>130192</v>
      </c>
      <c r="J105" s="959">
        <f t="shared" si="31"/>
        <v>455672</v>
      </c>
      <c r="K105" s="959">
        <f>VLOOKUP($H:$H,[140]일위목록!$A:$H,7,FALSE)</f>
        <v>14745</v>
      </c>
      <c r="L105" s="959">
        <f t="shared" si="32"/>
        <v>51607</v>
      </c>
      <c r="M105" s="959">
        <f t="shared" si="33"/>
        <v>144937</v>
      </c>
      <c r="N105" s="959">
        <f t="shared" si="33"/>
        <v>507279</v>
      </c>
      <c r="O105" s="896" t="str">
        <f>VLOOKUP($H:$H,[140]일위목록!$A:$B,2,FALSE)</f>
        <v>제69호표</v>
      </c>
    </row>
    <row r="106" spans="1:15" s="952" customFormat="1" ht="18.75" customHeight="1">
      <c r="A106" s="953"/>
      <c r="B106" s="947" t="str">
        <f>[140]산출!B86</f>
        <v>- 잡철물</v>
      </c>
      <c r="C106" s="954" t="str">
        <f>[140]산출!C86</f>
        <v xml:space="preserve"> 하부</v>
      </c>
      <c r="D106" s="955"/>
      <c r="E106" s="948"/>
      <c r="F106" s="949"/>
      <c r="G106" s="950"/>
      <c r="H106" s="948"/>
      <c r="I106" s="951"/>
      <c r="J106" s="951"/>
      <c r="K106" s="951"/>
      <c r="L106" s="951"/>
      <c r="M106" s="951"/>
      <c r="N106" s="951"/>
      <c r="O106" s="949"/>
    </row>
    <row r="107" spans="1:15" ht="18.75" customHeight="1">
      <c r="A107" s="962"/>
      <c r="B107" s="957" t="str">
        <f>[140]산출!B87</f>
        <v>갈바후레임제작설치</v>
      </c>
      <c r="C107" s="939" t="str">
        <f>[140]산출!C87</f>
        <v>1.6T</v>
      </c>
      <c r="D107" s="958" t="str">
        <f>[140]산출!G87</f>
        <v>하부전면후레임</v>
      </c>
      <c r="E107" s="935" t="str">
        <f>SUBSTITUTE(CONCATENATE(B:B,C:C,F:F)," ","")</f>
        <v>갈바후레임제작설치1.6TM2</v>
      </c>
      <c r="F107" s="896" t="str">
        <f>[140]산출!D87</f>
        <v>M2</v>
      </c>
      <c r="G107" s="936">
        <f>[140]산출!F87</f>
        <v>2.2650000000000001</v>
      </c>
      <c r="H107" s="935" t="str">
        <f t="shared" si="30"/>
        <v>갈바후레임제작설치1.6TM2</v>
      </c>
      <c r="I107" s="959">
        <f>VLOOKUP($H:$H,[140]일위목록!$A:$H,6,FALSE)</f>
        <v>16515</v>
      </c>
      <c r="J107" s="959">
        <f>TRUNC($G:$G*I:I)</f>
        <v>37406</v>
      </c>
      <c r="K107" s="959">
        <f>VLOOKUP($H:$H,[140]일위목록!$A:$H,7,FALSE)</f>
        <v>65362</v>
      </c>
      <c r="L107" s="959">
        <f>TRUNC($G:$G*K:K)</f>
        <v>148044</v>
      </c>
      <c r="M107" s="959">
        <f t="shared" si="33"/>
        <v>81877</v>
      </c>
      <c r="N107" s="959">
        <f t="shared" si="33"/>
        <v>185450</v>
      </c>
      <c r="O107" s="896" t="str">
        <f>VLOOKUP($H:$H,[140]일위목록!$A:$B,2,FALSE)</f>
        <v>제51호표</v>
      </c>
    </row>
    <row r="108" spans="1:15" ht="18.75" customHeight="1">
      <c r="A108" s="962"/>
      <c r="B108" s="957" t="str">
        <f>[140]산출!B88</f>
        <v>갈바후레임제작설치</v>
      </c>
      <c r="C108" s="939" t="str">
        <f>[140]산출!C88</f>
        <v>1.6T</v>
      </c>
      <c r="D108" s="958" t="str">
        <f>[140]산출!G88</f>
        <v>하부바닥받침몰딩</v>
      </c>
      <c r="E108" s="935" t="str">
        <f>SUBSTITUTE(CONCATENATE(B:B,C:C,F:F)," ","")</f>
        <v>갈바후레임제작설치1.6TM2</v>
      </c>
      <c r="F108" s="896" t="str">
        <f>[140]산출!D88</f>
        <v>M2</v>
      </c>
      <c r="G108" s="936">
        <f>[140]산출!F88</f>
        <v>0.86999999999999988</v>
      </c>
      <c r="H108" s="935" t="str">
        <f t="shared" si="30"/>
        <v>갈바후레임제작설치1.6TM2</v>
      </c>
      <c r="I108" s="959">
        <f>VLOOKUP($H:$H,[140]일위목록!$A:$H,6,FALSE)</f>
        <v>16515</v>
      </c>
      <c r="J108" s="959">
        <f>TRUNC($G:$G*I:I)</f>
        <v>14368</v>
      </c>
      <c r="K108" s="959">
        <f>VLOOKUP($H:$H,[140]일위목록!$A:$H,7,FALSE)</f>
        <v>65362</v>
      </c>
      <c r="L108" s="959">
        <f>TRUNC($G:$G*K:K)</f>
        <v>56864</v>
      </c>
      <c r="M108" s="959">
        <f t="shared" si="33"/>
        <v>81877</v>
      </c>
      <c r="N108" s="959">
        <f t="shared" si="33"/>
        <v>71232</v>
      </c>
      <c r="O108" s="896" t="str">
        <f>VLOOKUP($H:$H,[140]일위목록!$A:$B,2,FALSE)</f>
        <v>제51호표</v>
      </c>
    </row>
    <row r="109" spans="1:15" ht="18.75" customHeight="1">
      <c r="A109" s="962"/>
      <c r="B109" s="957" t="str">
        <f>[140]산출!B89</f>
        <v>갈바후레임제작설치</v>
      </c>
      <c r="C109" s="939" t="str">
        <f>[140]산출!C89</f>
        <v>1.6T</v>
      </c>
      <c r="D109" s="958" t="str">
        <f>[140]산출!G89</f>
        <v>하부 걸레받이</v>
      </c>
      <c r="E109" s="935" t="str">
        <f>SUBSTITUTE(CONCATENATE(B:B,C:C,F:F)," ","")</f>
        <v>갈바후레임제작설치1.6TM2</v>
      </c>
      <c r="F109" s="896" t="str">
        <f>[140]산출!D89</f>
        <v>M2</v>
      </c>
      <c r="G109" s="936">
        <f>[140]산출!F89</f>
        <v>0.66500000000000004</v>
      </c>
      <c r="H109" s="935" t="str">
        <f t="shared" si="30"/>
        <v>갈바후레임제작설치1.6TM2</v>
      </c>
      <c r="I109" s="959">
        <f>VLOOKUP($H:$H,[140]일위목록!$A:$H,6,FALSE)</f>
        <v>16515</v>
      </c>
      <c r="J109" s="959">
        <f>TRUNC($G:$G*I:I)</f>
        <v>10982</v>
      </c>
      <c r="K109" s="959">
        <f>VLOOKUP($H:$H,[140]일위목록!$A:$H,7,FALSE)</f>
        <v>65362</v>
      </c>
      <c r="L109" s="959">
        <f>TRUNC($G:$G*K:K)</f>
        <v>43465</v>
      </c>
      <c r="M109" s="959">
        <f t="shared" si="33"/>
        <v>81877</v>
      </c>
      <c r="N109" s="959">
        <f t="shared" si="33"/>
        <v>54447</v>
      </c>
      <c r="O109" s="896" t="str">
        <f>VLOOKUP($H:$H,[140]일위목록!$A:$B,2,FALSE)</f>
        <v>제51호표</v>
      </c>
    </row>
    <row r="110" spans="1:15" s="952" customFormat="1" ht="18.75" customHeight="1">
      <c r="A110" s="953"/>
      <c r="B110" s="947" t="str">
        <f>[140]산출!B90</f>
        <v>- SYSTEM 장치</v>
      </c>
      <c r="C110" s="954"/>
      <c r="D110" s="955"/>
      <c r="E110" s="948"/>
      <c r="F110" s="949"/>
      <c r="G110" s="950"/>
      <c r="H110" s="948"/>
      <c r="I110" s="951"/>
      <c r="J110" s="951"/>
      <c r="K110" s="951"/>
      <c r="L110" s="951"/>
      <c r="M110" s="951"/>
      <c r="N110" s="951"/>
      <c r="O110" s="949"/>
    </row>
    <row r="111" spans="1:15" ht="18.75" customHeight="1">
      <c r="A111" s="962"/>
      <c r="B111" s="957" t="str">
        <f>[140]산출!B91</f>
        <v>피아노경첩 제작설치</v>
      </c>
      <c r="C111" s="939"/>
      <c r="D111" s="958">
        <f>[140]산출!G91</f>
        <v>0</v>
      </c>
      <c r="E111" s="935" t="str">
        <f t="shared" ref="E111:E124" si="34">SUBSTITUTE(CONCATENATE(B:B,C:C,F:F)," ","")</f>
        <v>피아노경첩제작설치M</v>
      </c>
      <c r="F111" s="896" t="str">
        <f>[140]산출!D91</f>
        <v>M</v>
      </c>
      <c r="G111" s="936">
        <f>[140]산출!F91</f>
        <v>10</v>
      </c>
      <c r="H111" s="935" t="str">
        <f t="shared" si="30"/>
        <v>피아노경첩제작설치M</v>
      </c>
      <c r="I111" s="959">
        <f>VLOOKUP($H:$H,[140]일위목록!$A:$H,6,FALSE)</f>
        <v>12630</v>
      </c>
      <c r="J111" s="959">
        <f t="shared" ref="J111:J124" si="35">TRUNC($G:$G*I:I)</f>
        <v>126300</v>
      </c>
      <c r="K111" s="959">
        <f>VLOOKUP($H:$H,[140]일위목록!$A:$H,7,FALSE)</f>
        <v>10973</v>
      </c>
      <c r="L111" s="959">
        <f t="shared" ref="L111:L124" si="36">TRUNC($G:$G*K:K)</f>
        <v>109730</v>
      </c>
      <c r="M111" s="959">
        <f t="shared" si="33"/>
        <v>23603</v>
      </c>
      <c r="N111" s="959">
        <f t="shared" si="33"/>
        <v>236030</v>
      </c>
      <c r="O111" s="896" t="str">
        <f>VLOOKUP($H:$H,[140]일위목록!$A:$B,2,FALSE)</f>
        <v>제88호표</v>
      </c>
    </row>
    <row r="112" spans="1:15" ht="18.75" customHeight="1">
      <c r="A112" s="962"/>
      <c r="B112" s="957" t="str">
        <f>[140]산출!B92</f>
        <v>LOCK SET 제작설치</v>
      </c>
      <c r="C112" s="957" t="str">
        <f>[140]산출!C92</f>
        <v>시건장치</v>
      </c>
      <c r="D112" s="958">
        <f>[140]산출!G92</f>
        <v>0</v>
      </c>
      <c r="E112" s="935" t="str">
        <f t="shared" si="34"/>
        <v>LOCKSET제작설치시건장치set</v>
      </c>
      <c r="F112" s="896" t="str">
        <f>[140]산출!D92</f>
        <v>set</v>
      </c>
      <c r="G112" s="936">
        <f>[140]산출!F92</f>
        <v>3</v>
      </c>
      <c r="H112" s="935" t="str">
        <f t="shared" si="30"/>
        <v>LOCKSET제작설치시건장치set</v>
      </c>
      <c r="I112" s="959">
        <f>VLOOKUP($H:$H,[140]일위목록!$A:$H,6,FALSE)</f>
        <v>48840</v>
      </c>
      <c r="J112" s="959">
        <f t="shared" si="35"/>
        <v>146520</v>
      </c>
      <c r="K112" s="959">
        <f>VLOOKUP($H:$H,[140]일위목록!$A:$H,7,FALSE)</f>
        <v>12605</v>
      </c>
      <c r="L112" s="959">
        <f t="shared" si="36"/>
        <v>37815</v>
      </c>
      <c r="M112" s="959">
        <f t="shared" si="33"/>
        <v>61445</v>
      </c>
      <c r="N112" s="959">
        <f t="shared" si="33"/>
        <v>184335</v>
      </c>
      <c r="O112" s="896" t="str">
        <f>VLOOKUP($H:$H,[140]일위목록!$A:$B,2,FALSE)</f>
        <v>제89호표</v>
      </c>
    </row>
    <row r="113" spans="1:15" ht="18.75" customHeight="1">
      <c r="A113" s="962"/>
      <c r="B113" s="957" t="str">
        <f>[140]산출!B93</f>
        <v>AL.패킹바 제작설치</v>
      </c>
      <c r="C113" s="939"/>
      <c r="D113" s="958">
        <f>[140]산출!G93</f>
        <v>0</v>
      </c>
      <c r="E113" s="935" t="str">
        <f t="shared" si="34"/>
        <v>AL.패킹바제작설치M</v>
      </c>
      <c r="F113" s="896" t="str">
        <f>[140]산출!D93</f>
        <v>M</v>
      </c>
      <c r="G113" s="936">
        <f>[140]산출!F93</f>
        <v>10</v>
      </c>
      <c r="H113" s="935" t="str">
        <f t="shared" si="30"/>
        <v>AL.패킹바제작설치M</v>
      </c>
      <c r="I113" s="959">
        <f>VLOOKUP($H:$H,[140]일위목록!$A:$H,6,FALSE)</f>
        <v>5250</v>
      </c>
      <c r="J113" s="959">
        <f t="shared" si="35"/>
        <v>52500</v>
      </c>
      <c r="K113" s="959">
        <f>VLOOKUP($H:$H,[140]일위목록!$A:$H,7,FALSE)</f>
        <v>3534</v>
      </c>
      <c r="L113" s="959">
        <f t="shared" si="36"/>
        <v>35340</v>
      </c>
      <c r="M113" s="959">
        <f t="shared" ref="M113:N124" si="37">SUM(I113,K113)</f>
        <v>8784</v>
      </c>
      <c r="N113" s="959">
        <f t="shared" si="37"/>
        <v>87840</v>
      </c>
      <c r="O113" s="896" t="str">
        <f>VLOOKUP($H:$H,[140]일위목록!$A:$B,2,FALSE)</f>
        <v>제92호표</v>
      </c>
    </row>
    <row r="114" spans="1:15" ht="18.75" customHeight="1">
      <c r="A114" s="962"/>
      <c r="B114" s="957" t="str">
        <f>[140]산출!B94</f>
        <v>밀폐패킹 설치</v>
      </c>
      <c r="C114" s="939" t="str">
        <f>[140]산출!C94</f>
        <v>대형</v>
      </c>
      <c r="D114" s="958">
        <f>[140]산출!G94</f>
        <v>0</v>
      </c>
      <c r="E114" s="935" t="str">
        <f t="shared" si="34"/>
        <v>밀폐패킹설치대형M</v>
      </c>
      <c r="F114" s="896" t="str">
        <f>[140]산출!D94</f>
        <v>M</v>
      </c>
      <c r="G114" s="936">
        <f>[140]산출!F94</f>
        <v>15.2</v>
      </c>
      <c r="H114" s="935" t="str">
        <f t="shared" si="30"/>
        <v>밀폐패킹설치대형M</v>
      </c>
      <c r="I114" s="959">
        <f>VLOOKUP($H:$H,[140]일위목록!$A:$H,6,FALSE)</f>
        <v>9450</v>
      </c>
      <c r="J114" s="959">
        <f t="shared" si="35"/>
        <v>143640</v>
      </c>
      <c r="K114" s="959">
        <f>VLOOKUP($H:$H,[140]일위목록!$A:$H,7,FALSE)</f>
        <v>2397</v>
      </c>
      <c r="L114" s="959">
        <f t="shared" si="36"/>
        <v>36434</v>
      </c>
      <c r="M114" s="959">
        <f t="shared" si="37"/>
        <v>11847</v>
      </c>
      <c r="N114" s="959">
        <f t="shared" si="37"/>
        <v>180074</v>
      </c>
      <c r="O114" s="896" t="str">
        <f>VLOOKUP($H:$H,[140]일위목록!$A:$B,2,FALSE)</f>
        <v>제94호표</v>
      </c>
    </row>
    <row r="115" spans="1:15" ht="18.75" customHeight="1">
      <c r="A115" s="962"/>
      <c r="B115" s="957" t="str">
        <f>[140]산출!B95</f>
        <v>AL.사출유리후렘 제작설치</v>
      </c>
      <c r="C115" s="939" t="str">
        <f>[140]산출!C95</f>
        <v>벽부장(상부)</v>
      </c>
      <c r="D115" s="958">
        <f>[140]산출!G95</f>
        <v>0</v>
      </c>
      <c r="E115" s="935" t="str">
        <f t="shared" si="34"/>
        <v>AL.사출유리후렘제작설치벽부장(상부)M</v>
      </c>
      <c r="F115" s="896" t="str">
        <f>[140]산출!D95</f>
        <v>M</v>
      </c>
      <c r="G115" s="936">
        <f>[140]산출!F95</f>
        <v>5</v>
      </c>
      <c r="H115" s="935" t="str">
        <f t="shared" si="30"/>
        <v>AL.사출유리후렘제작설치벽부장(상부)M</v>
      </c>
      <c r="I115" s="959">
        <f>VLOOKUP($H:$H,[140]일위목록!$A:$H,6,FALSE)</f>
        <v>210000</v>
      </c>
      <c r="J115" s="959">
        <f t="shared" si="35"/>
        <v>1050000</v>
      </c>
      <c r="K115" s="959">
        <f>VLOOKUP($H:$H,[140]일위목록!$A:$H,7,FALSE)</f>
        <v>53130</v>
      </c>
      <c r="L115" s="959">
        <f t="shared" si="36"/>
        <v>265650</v>
      </c>
      <c r="M115" s="959">
        <f t="shared" si="37"/>
        <v>263130</v>
      </c>
      <c r="N115" s="959">
        <f t="shared" si="37"/>
        <v>1315650</v>
      </c>
      <c r="O115" s="896" t="str">
        <f>VLOOKUP($H:$H,[140]일위목록!$A:$B,2,FALSE)</f>
        <v>제95호표</v>
      </c>
    </row>
    <row r="116" spans="1:15" ht="18.75" customHeight="1">
      <c r="A116" s="962"/>
      <c r="B116" s="957" t="str">
        <f>[140]산출!B96</f>
        <v>AL.사출유리후렘 제작설치</v>
      </c>
      <c r="C116" s="939" t="str">
        <f>[140]산출!C96</f>
        <v>벽부장(하부)</v>
      </c>
      <c r="D116" s="958">
        <f>[140]산출!G96</f>
        <v>0</v>
      </c>
      <c r="E116" s="935" t="str">
        <f t="shared" si="34"/>
        <v>AL.사출유리후렘제작설치벽부장(하부)M</v>
      </c>
      <c r="F116" s="896" t="str">
        <f>[140]산출!D96</f>
        <v>M</v>
      </c>
      <c r="G116" s="936">
        <f>[140]산출!F96</f>
        <v>5</v>
      </c>
      <c r="H116" s="935" t="str">
        <f t="shared" si="30"/>
        <v>AL.사출유리후렘제작설치벽부장(하부)M</v>
      </c>
      <c r="I116" s="959">
        <f>VLOOKUP($H:$H,[140]일위목록!$A:$H,6,FALSE)</f>
        <v>126000</v>
      </c>
      <c r="J116" s="959">
        <f t="shared" si="35"/>
        <v>630000</v>
      </c>
      <c r="K116" s="959">
        <f>VLOOKUP($H:$H,[140]일위목록!$A:$H,7,FALSE)</f>
        <v>35420</v>
      </c>
      <c r="L116" s="959">
        <f t="shared" si="36"/>
        <v>177100</v>
      </c>
      <c r="M116" s="959">
        <f t="shared" si="37"/>
        <v>161420</v>
      </c>
      <c r="N116" s="959">
        <f t="shared" si="37"/>
        <v>807100</v>
      </c>
      <c r="O116" s="896" t="str">
        <f>VLOOKUP($H:$H,[140]일위목록!$A:$B,2,FALSE)</f>
        <v>제96호표</v>
      </c>
    </row>
    <row r="117" spans="1:15" ht="18.75" customHeight="1">
      <c r="A117" s="962"/>
      <c r="B117" s="957" t="str">
        <f>[140]산출!B97</f>
        <v>모터구동시스템 설치</v>
      </c>
      <c r="C117" s="939" t="str">
        <f>[140]산출!C97</f>
        <v>웜기어 전동실린더</v>
      </c>
      <c r="D117" s="958">
        <f>[140]산출!G97</f>
        <v>0</v>
      </c>
      <c r="E117" s="935" t="str">
        <f t="shared" si="34"/>
        <v>모터구동시스템설치웜기어전동실린더SET</v>
      </c>
      <c r="F117" s="896" t="str">
        <f>[140]산출!D97</f>
        <v>SET</v>
      </c>
      <c r="G117" s="936">
        <f>[140]산출!F97</f>
        <v>12</v>
      </c>
      <c r="H117" s="935" t="str">
        <f t="shared" si="30"/>
        <v>모터구동시스템설치웜기어전동실린더SET</v>
      </c>
      <c r="I117" s="959">
        <f>VLOOKUP($H:$H,[140]일위목록!$A:$H,6,FALSE)</f>
        <v>353000</v>
      </c>
      <c r="J117" s="959">
        <f t="shared" si="35"/>
        <v>4236000</v>
      </c>
      <c r="K117" s="959">
        <f>VLOOKUP($H:$H,[140]일위목록!$A:$H,7,FALSE)</f>
        <v>96655</v>
      </c>
      <c r="L117" s="959">
        <f t="shared" si="36"/>
        <v>1159860</v>
      </c>
      <c r="M117" s="959">
        <f t="shared" si="37"/>
        <v>449655</v>
      </c>
      <c r="N117" s="959">
        <f t="shared" si="37"/>
        <v>5395860</v>
      </c>
      <c r="O117" s="896" t="str">
        <f>VLOOKUP($H:$H,[140]일위목록!$A:$B,2,FALSE)</f>
        <v>제101호표</v>
      </c>
    </row>
    <row r="118" spans="1:15" ht="18.75" customHeight="1">
      <c r="A118" s="962"/>
      <c r="B118" s="957" t="str">
        <f>[140]산출!B98</f>
        <v>LM가이드시스템 가공 설치</v>
      </c>
      <c r="C118" s="939" t="str">
        <f>[140]산출!C98</f>
        <v>Ø25</v>
      </c>
      <c r="D118" s="958">
        <f>[140]산출!G98</f>
        <v>0</v>
      </c>
      <c r="E118" s="935" t="str">
        <f t="shared" si="34"/>
        <v>LM가이드시스템가공설치Ø25SET</v>
      </c>
      <c r="F118" s="896" t="str">
        <f>[140]산출!D98</f>
        <v>SET</v>
      </c>
      <c r="G118" s="936">
        <f>[140]산출!F98</f>
        <v>24</v>
      </c>
      <c r="H118" s="935" t="str">
        <f t="shared" si="30"/>
        <v>LM가이드시스템가공설치Ø25SET</v>
      </c>
      <c r="I118" s="959">
        <f>VLOOKUP($H:$H,[140]일위목록!$A:$H,6,FALSE)</f>
        <v>144000</v>
      </c>
      <c r="J118" s="959">
        <f t="shared" si="35"/>
        <v>3456000</v>
      </c>
      <c r="K118" s="959">
        <f>VLOOKUP($H:$H,[140]일위목록!$A:$H,7,FALSE)</f>
        <v>18323</v>
      </c>
      <c r="L118" s="959">
        <f t="shared" si="36"/>
        <v>439752</v>
      </c>
      <c r="M118" s="959">
        <f t="shared" si="37"/>
        <v>162323</v>
      </c>
      <c r="N118" s="959">
        <f t="shared" si="37"/>
        <v>3895752</v>
      </c>
      <c r="O118" s="896" t="str">
        <f>VLOOKUP($H:$H,[140]일위목록!$A:$B,2,FALSE)</f>
        <v>제100호표</v>
      </c>
    </row>
    <row r="119" spans="1:15" ht="18.75" customHeight="1">
      <c r="A119" s="962"/>
      <c r="B119" s="957" t="str">
        <f>[140]산출!B99</f>
        <v>베어링레일및가공 설치</v>
      </c>
      <c r="C119" s="939" t="str">
        <f>[140]산출!C99</f>
        <v>22*42 2.3T 가공</v>
      </c>
      <c r="D119" s="958">
        <f>[140]산출!G99</f>
        <v>0</v>
      </c>
      <c r="E119" s="935" t="str">
        <f t="shared" si="34"/>
        <v>베어링레일및가공설치22*422.3T가공M</v>
      </c>
      <c r="F119" s="896" t="str">
        <f>[140]산출!D99</f>
        <v>M</v>
      </c>
      <c r="G119" s="936">
        <f>[140]산출!F99</f>
        <v>10</v>
      </c>
      <c r="H119" s="935" t="str">
        <f t="shared" si="30"/>
        <v>베어링레일및가공설치22*422.3T가공M</v>
      </c>
      <c r="I119" s="959">
        <f>VLOOKUP($H:$H,[140]일위목록!$A:$H,6,FALSE)</f>
        <v>136500</v>
      </c>
      <c r="J119" s="959">
        <f t="shared" si="35"/>
        <v>1365000</v>
      </c>
      <c r="K119" s="959">
        <f>VLOOKUP($H:$H,[140]일위목록!$A:$H,7,FALSE)</f>
        <v>35420</v>
      </c>
      <c r="L119" s="959">
        <f t="shared" si="36"/>
        <v>354200</v>
      </c>
      <c r="M119" s="959">
        <f t="shared" si="37"/>
        <v>171920</v>
      </c>
      <c r="N119" s="959">
        <f t="shared" si="37"/>
        <v>1719200</v>
      </c>
      <c r="O119" s="896" t="str">
        <f>VLOOKUP($H:$H,[140]일위목록!$A:$B,2,FALSE)</f>
        <v>제102호표</v>
      </c>
    </row>
    <row r="120" spans="1:15" ht="18.75" customHeight="1">
      <c r="A120" s="962"/>
      <c r="B120" s="957" t="str">
        <f>[140]산출!B100</f>
        <v>슬라이딩베어링 가공조립</v>
      </c>
      <c r="C120" s="939" t="str">
        <f>[140]산출!C100</f>
        <v>Ø26</v>
      </c>
      <c r="D120" s="958">
        <f>[140]산출!G100</f>
        <v>0</v>
      </c>
      <c r="E120" s="935" t="str">
        <f t="shared" si="34"/>
        <v>슬라이딩베어링가공조립Ø26EA</v>
      </c>
      <c r="F120" s="896" t="str">
        <f>[140]산출!D100</f>
        <v>EA</v>
      </c>
      <c r="G120" s="936">
        <f>[140]산출!F100</f>
        <v>130</v>
      </c>
      <c r="H120" s="935" t="str">
        <f t="shared" si="30"/>
        <v>슬라이딩베어링가공조립Ø26EA</v>
      </c>
      <c r="I120" s="959">
        <f>VLOOKUP($H:$H,[140]일위목록!$A:$H,6,FALSE)</f>
        <v>6500</v>
      </c>
      <c r="J120" s="959">
        <f t="shared" si="35"/>
        <v>845000</v>
      </c>
      <c r="K120" s="959">
        <f>VLOOKUP($H:$H,[140]일위목록!$A:$H,7,FALSE)</f>
        <v>3864</v>
      </c>
      <c r="L120" s="959">
        <f t="shared" si="36"/>
        <v>502320</v>
      </c>
      <c r="M120" s="959">
        <f t="shared" si="37"/>
        <v>10364</v>
      </c>
      <c r="N120" s="959">
        <f t="shared" si="37"/>
        <v>1347320</v>
      </c>
      <c r="O120" s="896" t="str">
        <f>VLOOKUP($H:$H,[140]일위목록!$A:$B,2,FALSE)</f>
        <v>제104호표</v>
      </c>
    </row>
    <row r="121" spans="1:15" ht="18.75" customHeight="1">
      <c r="A121" s="962"/>
      <c r="B121" s="957" t="str">
        <f>[140]산출!B101</f>
        <v>베어링 붓싱가공조립</v>
      </c>
      <c r="C121" s="939" t="str">
        <f>[140]산출!C101</f>
        <v>#6200</v>
      </c>
      <c r="D121" s="958">
        <f>[140]산출!G101</f>
        <v>0</v>
      </c>
      <c r="E121" s="935" t="str">
        <f t="shared" si="34"/>
        <v>베어링붓싱가공조립#6200EA</v>
      </c>
      <c r="F121" s="896" t="str">
        <f>[140]산출!D101</f>
        <v>EA</v>
      </c>
      <c r="G121" s="936">
        <f>[140]산출!F101</f>
        <v>130</v>
      </c>
      <c r="H121" s="935" t="str">
        <f t="shared" si="30"/>
        <v>베어링붓싱가공조립#6200EA</v>
      </c>
      <c r="I121" s="959">
        <f>VLOOKUP($H:$H,[140]일위목록!$A:$H,6,FALSE)</f>
        <v>6000</v>
      </c>
      <c r="J121" s="959">
        <f t="shared" si="35"/>
        <v>780000</v>
      </c>
      <c r="K121" s="959">
        <f>VLOOKUP($H:$H,[140]일위목록!$A:$H,7,FALSE)</f>
        <v>3864</v>
      </c>
      <c r="L121" s="959">
        <f t="shared" si="36"/>
        <v>502320</v>
      </c>
      <c r="M121" s="959">
        <f t="shared" si="37"/>
        <v>9864</v>
      </c>
      <c r="N121" s="959">
        <f t="shared" si="37"/>
        <v>1282320</v>
      </c>
      <c r="O121" s="896" t="str">
        <f>VLOOKUP($H:$H,[140]일위목록!$A:$B,2,FALSE)</f>
        <v>제105호표</v>
      </c>
    </row>
    <row r="122" spans="1:15" ht="18.75" customHeight="1">
      <c r="A122" s="962"/>
      <c r="B122" s="957" t="str">
        <f>[140]산출!B102</f>
        <v>유압쇽업쇼바 제작설치</v>
      </c>
      <c r="C122" s="939" t="str">
        <f>[140]산출!C102</f>
        <v>20kg</v>
      </c>
      <c r="D122" s="958">
        <f>[140]산출!G102</f>
        <v>0</v>
      </c>
      <c r="E122" s="935" t="str">
        <f t="shared" si="34"/>
        <v>유압쇽업쇼바제작설치20kgSET</v>
      </c>
      <c r="F122" s="896" t="str">
        <f>[140]산출!D102</f>
        <v>SET</v>
      </c>
      <c r="G122" s="936">
        <f>[140]산출!F102</f>
        <v>4</v>
      </c>
      <c r="H122" s="935" t="str">
        <f t="shared" si="30"/>
        <v>유압쇽업쇼바제작설치20kgSET</v>
      </c>
      <c r="I122" s="959">
        <f>VLOOKUP($H:$H,[140]일위목록!$A:$H,6,FALSE)</f>
        <v>39224</v>
      </c>
      <c r="J122" s="959">
        <f t="shared" si="35"/>
        <v>156896</v>
      </c>
      <c r="K122" s="959">
        <f>VLOOKUP($H:$H,[140]일위목록!$A:$H,7,FALSE)</f>
        <v>3792</v>
      </c>
      <c r="L122" s="959">
        <f t="shared" si="36"/>
        <v>15168</v>
      </c>
      <c r="M122" s="959">
        <f t="shared" si="37"/>
        <v>43016</v>
      </c>
      <c r="N122" s="959">
        <f t="shared" si="37"/>
        <v>172064</v>
      </c>
      <c r="O122" s="896" t="str">
        <f>VLOOKUP($H:$H,[140]일위목록!$A:$B,2,FALSE)</f>
        <v>제90호표</v>
      </c>
    </row>
    <row r="123" spans="1:15" ht="18.75" customHeight="1">
      <c r="A123" s="962"/>
      <c r="B123" s="957" t="str">
        <f>[140]산출!B103</f>
        <v>센터베어링및스톱파 가공조립</v>
      </c>
      <c r="C123" s="939" t="str">
        <f>[140]산출!C103</f>
        <v>독립형1단</v>
      </c>
      <c r="D123" s="958">
        <f>[140]산출!G103</f>
        <v>0</v>
      </c>
      <c r="E123" s="935" t="str">
        <f t="shared" si="34"/>
        <v>센터베어링및스톱파가공조립독립형1단SET</v>
      </c>
      <c r="F123" s="896" t="str">
        <f>[140]산출!D103</f>
        <v>SET</v>
      </c>
      <c r="G123" s="936">
        <f>[140]산출!F103</f>
        <v>2</v>
      </c>
      <c r="H123" s="935" t="str">
        <f t="shared" si="30"/>
        <v>센터베어링및스톱파가공조립독립형1단SET</v>
      </c>
      <c r="I123" s="959">
        <f>VLOOKUP($H:$H,[140]일위목록!$A:$H,6,FALSE)</f>
        <v>85000</v>
      </c>
      <c r="J123" s="959">
        <f t="shared" si="35"/>
        <v>170000</v>
      </c>
      <c r="K123" s="959">
        <f>VLOOKUP($H:$H,[140]일위목록!$A:$H,7,FALSE)</f>
        <v>62887</v>
      </c>
      <c r="L123" s="959">
        <f t="shared" si="36"/>
        <v>125774</v>
      </c>
      <c r="M123" s="959">
        <f t="shared" si="37"/>
        <v>147887</v>
      </c>
      <c r="N123" s="959">
        <f t="shared" si="37"/>
        <v>295774</v>
      </c>
      <c r="O123" s="896" t="str">
        <f>VLOOKUP($H:$H,[140]일위목록!$A:$B,2,FALSE)</f>
        <v>제108호표</v>
      </c>
    </row>
    <row r="124" spans="1:15" ht="18.75" customHeight="1">
      <c r="A124" s="962"/>
      <c r="B124" s="957" t="str">
        <f>[140]산출!B104</f>
        <v>전후진 전동콘트롤 제작설치</v>
      </c>
      <c r="C124" s="939" t="str">
        <f>[140]산출!C104</f>
        <v>독립형</v>
      </c>
      <c r="D124" s="958">
        <f>[140]산출!G104</f>
        <v>0</v>
      </c>
      <c r="E124" s="935" t="str">
        <f t="shared" si="34"/>
        <v>전후진전동콘트롤제작설치독립형SET</v>
      </c>
      <c r="F124" s="896" t="str">
        <f>[140]산출!D104</f>
        <v>SET</v>
      </c>
      <c r="G124" s="936">
        <f>[140]산출!F104</f>
        <v>2</v>
      </c>
      <c r="H124" s="935" t="str">
        <f t="shared" si="30"/>
        <v>전후진전동콘트롤제작설치독립형SET</v>
      </c>
      <c r="I124" s="959">
        <f>VLOOKUP($H:$H,[140]일위목록!$A:$H,6,FALSE)</f>
        <v>400000</v>
      </c>
      <c r="J124" s="959">
        <f t="shared" si="35"/>
        <v>800000</v>
      </c>
      <c r="K124" s="959">
        <f>VLOOKUP($H:$H,[140]일위목록!$A:$H,7,FALSE)</f>
        <v>65053</v>
      </c>
      <c r="L124" s="959">
        <f t="shared" si="36"/>
        <v>130106</v>
      </c>
      <c r="M124" s="959">
        <f t="shared" si="37"/>
        <v>465053</v>
      </c>
      <c r="N124" s="959">
        <f t="shared" si="37"/>
        <v>930106</v>
      </c>
      <c r="O124" s="896" t="str">
        <f>VLOOKUP($H:$H,[140]일위목록!$A:$B,2,FALSE)</f>
        <v>제111호표</v>
      </c>
    </row>
    <row r="125" spans="1:15" s="952" customFormat="1" ht="18.75" customHeight="1">
      <c r="A125" s="953"/>
      <c r="B125" s="947" t="str">
        <f>[140]산출!B105</f>
        <v>- 수장공사</v>
      </c>
      <c r="C125" s="954"/>
      <c r="D125" s="955"/>
      <c r="E125" s="948"/>
      <c r="F125" s="949"/>
      <c r="G125" s="950"/>
      <c r="H125" s="948"/>
      <c r="I125" s="951"/>
      <c r="J125" s="951"/>
      <c r="K125" s="951"/>
      <c r="L125" s="951"/>
      <c r="M125" s="951"/>
      <c r="N125" s="951"/>
      <c r="O125" s="949"/>
    </row>
    <row r="126" spans="1:15" ht="18.75" customHeight="1">
      <c r="A126" s="962"/>
      <c r="B126" s="957" t="str">
        <f>[140]산출!B106</f>
        <v>내부도배</v>
      </c>
      <c r="C126" s="939" t="str">
        <f>[140]산출!C106</f>
        <v>세마직벽지</v>
      </c>
      <c r="D126" s="958"/>
      <c r="E126" s="935" t="str">
        <f t="shared" ref="E126:E132" si="38">SUBSTITUTE(CONCATENATE(B:B,C:C,F:F)," ","")</f>
        <v>내부도배세마직벽지M2</v>
      </c>
      <c r="F126" s="896" t="str">
        <f>[140]산출!D106</f>
        <v>M2</v>
      </c>
      <c r="G126" s="936">
        <f>[140]산출!F106</f>
        <v>37.86</v>
      </c>
      <c r="H126" s="935" t="str">
        <f t="shared" ref="H126:H137" si="39">SUBSTITUTE(CONCATENATE(B126,C126,F126)," ","")</f>
        <v>내부도배세마직벽지M2</v>
      </c>
      <c r="I126" s="959">
        <f>VLOOKUP($H:$H,[140]일위목록!$A:$H,6,FALSE)</f>
        <v>47152</v>
      </c>
      <c r="J126" s="959">
        <f t="shared" ref="J126:J132" si="40">TRUNC($G:$G*I:I)</f>
        <v>1785174</v>
      </c>
      <c r="K126" s="959">
        <f>VLOOKUP($H:$H,[140]일위목록!$A:$H,7,FALSE)</f>
        <v>5222</v>
      </c>
      <c r="L126" s="959">
        <f t="shared" ref="L126:L132" si="41">TRUNC($G:$G*K:K)</f>
        <v>197704</v>
      </c>
      <c r="M126" s="959">
        <f t="shared" ref="M126:N137" si="42">SUM(I126,K126)</f>
        <v>52374</v>
      </c>
      <c r="N126" s="959">
        <f t="shared" si="42"/>
        <v>1982878</v>
      </c>
      <c r="O126" s="896" t="str">
        <f>VLOOKUP($H:$H,[140]일위목록!$A:$B,2,FALSE)</f>
        <v>제56호표</v>
      </c>
    </row>
    <row r="127" spans="1:15" ht="18.75" customHeight="1">
      <c r="A127" s="962"/>
      <c r="B127" s="957" t="str">
        <f>[140]산출!B107</f>
        <v>바탕처리</v>
      </c>
      <c r="C127" s="939" t="str">
        <f>[140]산출!C107</f>
        <v>도배퍼티</v>
      </c>
      <c r="D127" s="958">
        <f>[140]산출!G107</f>
        <v>0</v>
      </c>
      <c r="E127" s="935" t="str">
        <f t="shared" si="38"/>
        <v>바탕처리도배퍼티M2</v>
      </c>
      <c r="F127" s="896" t="str">
        <f>[140]산출!D107</f>
        <v>M2</v>
      </c>
      <c r="G127" s="936">
        <f>[140]산출!F107</f>
        <v>37.86</v>
      </c>
      <c r="H127" s="935" t="str">
        <f t="shared" si="39"/>
        <v>바탕처리도배퍼티M2</v>
      </c>
      <c r="I127" s="959">
        <f>VLOOKUP($H:$H,[140]일위목록!$A:$H,6,FALSE)</f>
        <v>1160</v>
      </c>
      <c r="J127" s="959">
        <f t="shared" si="40"/>
        <v>43917</v>
      </c>
      <c r="K127" s="959">
        <f>VLOOKUP($H:$H,[140]일위목록!$A:$H,7,FALSE)</f>
        <v>7711</v>
      </c>
      <c r="L127" s="959">
        <f t="shared" si="41"/>
        <v>291938</v>
      </c>
      <c r="M127" s="959">
        <f t="shared" si="42"/>
        <v>8871</v>
      </c>
      <c r="N127" s="959">
        <f t="shared" si="42"/>
        <v>335855</v>
      </c>
      <c r="O127" s="896" t="str">
        <f>VLOOKUP($H:$H,[140]일위목록!$A:$B,2,FALSE)</f>
        <v>제55호표</v>
      </c>
    </row>
    <row r="128" spans="1:15" ht="18.75" customHeight="1">
      <c r="A128" s="962"/>
      <c r="B128" s="957" t="str">
        <f>[140]산출!B108</f>
        <v>합판취부</v>
      </c>
      <c r="C128" s="939" t="str">
        <f>[140]산출!C108</f>
        <v>T11.5mm 2PLY</v>
      </c>
      <c r="D128" s="958">
        <f>[140]산출!G108</f>
        <v>0</v>
      </c>
      <c r="E128" s="935" t="str">
        <f t="shared" si="38"/>
        <v>합판취부T11.5mm2PLYM2</v>
      </c>
      <c r="F128" s="896" t="str">
        <f>[140]산출!D108</f>
        <v>M2</v>
      </c>
      <c r="G128" s="936">
        <f>[140]산출!F108</f>
        <v>6.5</v>
      </c>
      <c r="H128" s="935" t="str">
        <f t="shared" si="39"/>
        <v>합판취부T11.5mm2PLYM2</v>
      </c>
      <c r="I128" s="959">
        <f>VLOOKUP($H:$H,[140]일위목록!$A:$H,6,FALSE)</f>
        <v>19751</v>
      </c>
      <c r="J128" s="959">
        <f t="shared" si="40"/>
        <v>128381</v>
      </c>
      <c r="K128" s="959">
        <f>VLOOKUP($H:$H,[140]일위목록!$A:$H,7,FALSE)</f>
        <v>35580</v>
      </c>
      <c r="L128" s="959">
        <f t="shared" si="41"/>
        <v>231270</v>
      </c>
      <c r="M128" s="959">
        <f t="shared" si="42"/>
        <v>55331</v>
      </c>
      <c r="N128" s="959">
        <f t="shared" si="42"/>
        <v>359651</v>
      </c>
      <c r="O128" s="896" t="str">
        <f>VLOOKUP($H:$H,[140]일위목록!$A:$B,2,FALSE)</f>
        <v>제43호표</v>
      </c>
    </row>
    <row r="129" spans="1:15" ht="18.75" customHeight="1">
      <c r="A129" s="962"/>
      <c r="B129" s="957" t="str">
        <f>[140]산출!B109</f>
        <v>합판취부</v>
      </c>
      <c r="C129" s="939" t="str">
        <f>[140]산출!C109</f>
        <v>T8.5mm 1PLY</v>
      </c>
      <c r="D129" s="958">
        <f>[140]산출!G109</f>
        <v>0</v>
      </c>
      <c r="E129" s="935" t="str">
        <f t="shared" si="38"/>
        <v>합판취부T8.5mm1PLYM2</v>
      </c>
      <c r="F129" s="896" t="str">
        <f>[140]산출!D109</f>
        <v>M2</v>
      </c>
      <c r="G129" s="936">
        <f>[140]산출!F109</f>
        <v>36</v>
      </c>
      <c r="H129" s="935" t="str">
        <f t="shared" si="39"/>
        <v>합판취부T8.5mm1PLYM2</v>
      </c>
      <c r="I129" s="959">
        <f>VLOOKUP($H:$H,[140]일위목록!$A:$H,6,FALSE)</f>
        <v>8361</v>
      </c>
      <c r="J129" s="959">
        <f t="shared" si="40"/>
        <v>300996</v>
      </c>
      <c r="K129" s="959">
        <f>VLOOKUP($H:$H,[140]일위목록!$A:$H,7,FALSE)</f>
        <v>54043</v>
      </c>
      <c r="L129" s="959">
        <f t="shared" si="41"/>
        <v>1945548</v>
      </c>
      <c r="M129" s="959">
        <f t="shared" si="42"/>
        <v>62404</v>
      </c>
      <c r="N129" s="959">
        <f t="shared" si="42"/>
        <v>2246544</v>
      </c>
      <c r="O129" s="896" t="str">
        <f>VLOOKUP($H:$H,[140]일위목록!$A:$B,2,FALSE)</f>
        <v>제44호표</v>
      </c>
    </row>
    <row r="130" spans="1:15" ht="18.75" customHeight="1">
      <c r="A130" s="962"/>
      <c r="B130" s="957" t="str">
        <f>[140]산출!B110</f>
        <v>진열장석고보드취부</v>
      </c>
      <c r="C130" s="939" t="str">
        <f>[140]산출!C110</f>
        <v>T9.5mm*2PLY</v>
      </c>
      <c r="D130" s="958">
        <f>[140]산출!G110</f>
        <v>0</v>
      </c>
      <c r="E130" s="935" t="str">
        <f t="shared" si="38"/>
        <v>진열장석고보드취부T9.5mm*2PLYM2</v>
      </c>
      <c r="F130" s="896" t="str">
        <f>[140]산출!D110</f>
        <v>M2</v>
      </c>
      <c r="G130" s="936">
        <f>[140]산출!F110</f>
        <v>4</v>
      </c>
      <c r="H130" s="935" t="str">
        <f t="shared" si="39"/>
        <v>진열장석고보드취부T9.5mm*2PLYM2</v>
      </c>
      <c r="I130" s="959">
        <f>VLOOKUP($H:$H,[140]일위목록!$A:$H,6,FALSE)</f>
        <v>18275</v>
      </c>
      <c r="J130" s="959">
        <f t="shared" si="40"/>
        <v>73100</v>
      </c>
      <c r="K130" s="959">
        <f>VLOOKUP($H:$H,[140]일위목록!$A:$H,7,FALSE)</f>
        <v>21540</v>
      </c>
      <c r="L130" s="959">
        <f t="shared" si="41"/>
        <v>86160</v>
      </c>
      <c r="M130" s="959">
        <f t="shared" si="42"/>
        <v>39815</v>
      </c>
      <c r="N130" s="959">
        <f t="shared" si="42"/>
        <v>159260</v>
      </c>
      <c r="O130" s="896" t="str">
        <f>VLOOKUP($H:$H,[140]일위목록!$A:$B,2,FALSE)</f>
        <v>제68호표</v>
      </c>
    </row>
    <row r="131" spans="1:15" ht="18.75" customHeight="1">
      <c r="A131" s="962"/>
      <c r="B131" s="957" t="str">
        <f>[140]산출!B111</f>
        <v>우레탄칼라락카도장</v>
      </c>
      <c r="C131" s="939" t="str">
        <f>[140]산출!C111</f>
        <v>철재면기준</v>
      </c>
      <c r="D131" s="958">
        <f>[140]산출!G111</f>
        <v>0</v>
      </c>
      <c r="E131" s="935" t="str">
        <f t="shared" si="38"/>
        <v>우레탄칼라락카도장철재면기준M2</v>
      </c>
      <c r="F131" s="896" t="str">
        <f>[140]산출!D111</f>
        <v>M2</v>
      </c>
      <c r="G131" s="936">
        <f>[140]산출!F111</f>
        <v>28.111400000000003</v>
      </c>
      <c r="H131" s="935" t="str">
        <f t="shared" si="39"/>
        <v>우레탄칼라락카도장철재면기준M2</v>
      </c>
      <c r="I131" s="959">
        <f>VLOOKUP($H:$H,[140]일위목록!$A:$H,6,FALSE)</f>
        <v>16103</v>
      </c>
      <c r="J131" s="959">
        <f t="shared" si="40"/>
        <v>452677</v>
      </c>
      <c r="K131" s="959">
        <f>VLOOKUP($H:$H,[140]일위목록!$A:$H,7,FALSE)</f>
        <v>22265</v>
      </c>
      <c r="L131" s="959">
        <f t="shared" si="41"/>
        <v>625900</v>
      </c>
      <c r="M131" s="959">
        <f t="shared" si="42"/>
        <v>38368</v>
      </c>
      <c r="N131" s="959">
        <f t="shared" si="42"/>
        <v>1078577</v>
      </c>
      <c r="O131" s="896" t="str">
        <f>VLOOKUP($H:$H,[140]일위목록!$A:$B,2,FALSE)</f>
        <v>제40호표</v>
      </c>
    </row>
    <row r="132" spans="1:15" ht="18.75" customHeight="1">
      <c r="A132" s="962"/>
      <c r="B132" s="957" t="str">
        <f>[140]산출!B112</f>
        <v>바탕처리</v>
      </c>
      <c r="C132" s="939" t="str">
        <f>[140]산출!C112</f>
        <v>철재면기준</v>
      </c>
      <c r="D132" s="958">
        <f>[140]산출!G112</f>
        <v>0</v>
      </c>
      <c r="E132" s="935" t="str">
        <f t="shared" si="38"/>
        <v>바탕처리철재면기준M2</v>
      </c>
      <c r="F132" s="896" t="str">
        <f>[140]산출!D112</f>
        <v>M2</v>
      </c>
      <c r="G132" s="936">
        <f>[140]산출!F112</f>
        <v>28.111400000000003</v>
      </c>
      <c r="H132" s="935" t="str">
        <f t="shared" si="39"/>
        <v>바탕처리철재면기준M2</v>
      </c>
      <c r="I132" s="959">
        <f>VLOOKUP($H:$H,[140]일위목록!$A:$H,6,FALSE)</f>
        <v>4891</v>
      </c>
      <c r="J132" s="959">
        <f t="shared" si="40"/>
        <v>137492</v>
      </c>
      <c r="K132" s="959">
        <f>VLOOKUP($H:$H,[140]일위목록!$A:$H,7,FALSE)</f>
        <v>15314</v>
      </c>
      <c r="L132" s="959">
        <f t="shared" si="41"/>
        <v>430497</v>
      </c>
      <c r="M132" s="959">
        <f t="shared" si="42"/>
        <v>20205</v>
      </c>
      <c r="N132" s="959">
        <f t="shared" si="42"/>
        <v>567989</v>
      </c>
      <c r="O132" s="896" t="str">
        <f>VLOOKUP($H:$H,[140]일위목록!$A:$B,2,FALSE)</f>
        <v>제41호표</v>
      </c>
    </row>
    <row r="133" spans="1:15" s="952" customFormat="1" ht="18.75" customHeight="1">
      <c r="A133" s="953"/>
      <c r="B133" s="947" t="str">
        <f>[140]산출!B113</f>
        <v>- 유리공사</v>
      </c>
      <c r="C133" s="954"/>
      <c r="D133" s="955"/>
      <c r="E133" s="948"/>
      <c r="F133" s="949"/>
      <c r="G133" s="950"/>
      <c r="H133" s="948"/>
      <c r="I133" s="951"/>
      <c r="J133" s="951"/>
      <c r="K133" s="951"/>
      <c r="L133" s="951"/>
      <c r="M133" s="951"/>
      <c r="N133" s="951"/>
      <c r="O133" s="949"/>
    </row>
    <row r="134" spans="1:15" ht="18.75" customHeight="1">
      <c r="A134" s="962"/>
      <c r="B134" s="957" t="str">
        <f>[140]산출!B114</f>
        <v>화이트 접합유리 끼우기</v>
      </c>
      <c r="C134" s="939" t="str">
        <f>[140]산출!C114</f>
        <v>T12.76mm (2,400*3,400기준)</v>
      </c>
      <c r="D134" s="958">
        <f>[140]산출!G114</f>
        <v>0</v>
      </c>
      <c r="E134" s="935" t="str">
        <f>SUBSTITUTE(CONCATENATE(B:B,C:C,F:F)," ","")</f>
        <v>화이트접합유리끼우기T12.76mm(2,400*3,400기준)M2</v>
      </c>
      <c r="F134" s="896" t="str">
        <f>[140]산출!D114</f>
        <v>M2</v>
      </c>
      <c r="G134" s="936">
        <f>[140]산출!F114</f>
        <v>14.100000000000001</v>
      </c>
      <c r="H134" s="935" t="str">
        <f t="shared" si="39"/>
        <v>화이트접합유리끼우기T12.76mm(2,400*3,400기준)M2</v>
      </c>
      <c r="I134" s="959">
        <f>VLOOKUP($H:$H,[140]일위목록!$A:$H,6,FALSE)</f>
        <v>225283</v>
      </c>
      <c r="J134" s="959">
        <f>TRUNC($G:$G*I:I)</f>
        <v>3176490</v>
      </c>
      <c r="K134" s="959">
        <f>VLOOKUP($H:$H,[140]일위목록!$A:$H,7,FALSE)</f>
        <v>71881</v>
      </c>
      <c r="L134" s="959">
        <f>TRUNC($G:$G*K:K)</f>
        <v>1013522</v>
      </c>
      <c r="M134" s="959">
        <f t="shared" si="42"/>
        <v>297164</v>
      </c>
      <c r="N134" s="959">
        <f t="shared" si="42"/>
        <v>4190012</v>
      </c>
      <c r="O134" s="896" t="str">
        <f>VLOOKUP($H:$H,[140]일위목록!$A:$B,2,FALSE)</f>
        <v>제63호표</v>
      </c>
    </row>
    <row r="135" spans="1:15" ht="18.75" customHeight="1">
      <c r="A135" s="962"/>
      <c r="B135" s="957" t="str">
        <f>[140]산출!B115</f>
        <v>조명용아크릴 가공 설치</v>
      </c>
      <c r="C135" s="939" t="str">
        <f>[140]산출!C115</f>
        <v>T5mm</v>
      </c>
      <c r="D135" s="958">
        <f>[140]산출!G115</f>
        <v>0</v>
      </c>
      <c r="E135" s="935" t="str">
        <f>SUBSTITUTE(CONCATENATE(B:B,C:C,F:F)," ","")</f>
        <v>조명용아크릴가공설치T5mmm2</v>
      </c>
      <c r="F135" s="896" t="str">
        <f>[140]산출!D115</f>
        <v>m2</v>
      </c>
      <c r="G135" s="936">
        <f>[140]산출!F115</f>
        <v>0.75</v>
      </c>
      <c r="H135" s="935" t="str">
        <f t="shared" si="39"/>
        <v>조명용아크릴가공설치T5mmm2</v>
      </c>
      <c r="I135" s="959">
        <f>VLOOKUP($H:$H,[140]일위목록!$A:$H,6,FALSE)</f>
        <v>74550</v>
      </c>
      <c r="J135" s="959">
        <f>TRUNC($G:$G*I:I)</f>
        <v>55912</v>
      </c>
      <c r="K135" s="959">
        <f>VLOOKUP($H:$H,[140]일위목록!$A:$H,7,FALSE)</f>
        <v>19211</v>
      </c>
      <c r="L135" s="959">
        <f>TRUNC($G:$G*K:K)</f>
        <v>14408</v>
      </c>
      <c r="M135" s="959">
        <f t="shared" si="42"/>
        <v>93761</v>
      </c>
      <c r="N135" s="959">
        <f t="shared" si="42"/>
        <v>70320</v>
      </c>
      <c r="O135" s="896" t="str">
        <f>VLOOKUP($H:$H,[140]일위목록!$A:$B,2,FALSE)</f>
        <v>제67호표</v>
      </c>
    </row>
    <row r="136" spans="1:15" ht="18.75" customHeight="1">
      <c r="A136" s="962"/>
      <c r="B136" s="957" t="str">
        <f>[140]산출!B116</f>
        <v>코킹</v>
      </c>
      <c r="C136" s="939"/>
      <c r="D136" s="958">
        <f>[140]산출!G116</f>
        <v>0</v>
      </c>
      <c r="E136" s="935" t="str">
        <f>SUBSTITUTE(CONCATENATE(B:B,C:C,F:F)," ","")</f>
        <v>코킹M</v>
      </c>
      <c r="F136" s="896" t="str">
        <f>[140]산출!D116</f>
        <v>M</v>
      </c>
      <c r="G136" s="936">
        <f>[140]산출!F116</f>
        <v>46.92</v>
      </c>
      <c r="H136" s="935" t="str">
        <f t="shared" si="39"/>
        <v>코킹M</v>
      </c>
      <c r="I136" s="959">
        <f>VLOOKUP($H:$H,[140]일위목록!$A:$H,6,FALSE)</f>
        <v>880</v>
      </c>
      <c r="J136" s="959">
        <f>TRUNC($G:$G*I:I)</f>
        <v>41289</v>
      </c>
      <c r="K136" s="959">
        <f>VLOOKUP($H:$H,[140]일위목록!$A:$H,7,FALSE)</f>
        <v>6064</v>
      </c>
      <c r="L136" s="959">
        <f>TRUNC($G:$G*K:K)</f>
        <v>284522</v>
      </c>
      <c r="M136" s="959">
        <f t="shared" si="42"/>
        <v>6944</v>
      </c>
      <c r="N136" s="959">
        <f t="shared" si="42"/>
        <v>325811</v>
      </c>
      <c r="O136" s="896" t="str">
        <f>VLOOKUP($H:$H,[140]일위목록!$A:$B,2,FALSE)</f>
        <v>제45호표</v>
      </c>
    </row>
    <row r="137" spans="1:15" ht="18.75" customHeight="1">
      <c r="A137" s="962"/>
      <c r="B137" s="957" t="str">
        <f>[140]산출!B117</f>
        <v>면    취</v>
      </c>
      <c r="C137" s="939"/>
      <c r="D137" s="958">
        <f>[140]산출!G117</f>
        <v>0</v>
      </c>
      <c r="E137" s="935" t="str">
        <f>SUBSTITUTE(CONCATENATE(B:B,C:C,F:F)," ","")</f>
        <v>면취M</v>
      </c>
      <c r="F137" s="896" t="str">
        <f>[140]산출!D117</f>
        <v>M</v>
      </c>
      <c r="G137" s="936">
        <f>[140]산출!F117</f>
        <v>42.56</v>
      </c>
      <c r="H137" s="935" t="str">
        <f t="shared" si="39"/>
        <v>면취M</v>
      </c>
      <c r="I137" s="959">
        <f>VLOOKUP($H:$H,[140]일위목록!$A:$H,6,FALSE)</f>
        <v>11000</v>
      </c>
      <c r="J137" s="959">
        <f>TRUNC($G:$G*I:I)</f>
        <v>468160</v>
      </c>
      <c r="K137" s="959">
        <f>VLOOKUP($H:$H,[140]일위목록!$A:$H,7,FALSE)</f>
        <v>0</v>
      </c>
      <c r="L137" s="959">
        <f>TRUNC($G:$G*K:K)</f>
        <v>0</v>
      </c>
      <c r="M137" s="959">
        <f t="shared" si="42"/>
        <v>11000</v>
      </c>
      <c r="N137" s="959">
        <f t="shared" si="42"/>
        <v>468160</v>
      </c>
      <c r="O137" s="896" t="str">
        <f>VLOOKUP($H:$H,[140]일위목록!$A:$B,2,FALSE)</f>
        <v>단가-77번</v>
      </c>
    </row>
    <row r="138" spans="1:15" s="952" customFormat="1" ht="18.75" customHeight="1">
      <c r="A138" s="953"/>
      <c r="B138" s="947" t="str">
        <f>[140]산출!B118</f>
        <v>- 전기공사</v>
      </c>
      <c r="C138" s="954"/>
      <c r="D138" s="955"/>
      <c r="E138" s="948"/>
      <c r="F138" s="949"/>
      <c r="G138" s="950"/>
      <c r="H138" s="948"/>
      <c r="I138" s="951"/>
      <c r="J138" s="951"/>
      <c r="K138" s="951"/>
      <c r="L138" s="951"/>
      <c r="M138" s="951"/>
      <c r="N138" s="951"/>
      <c r="O138" s="949"/>
    </row>
    <row r="139" spans="1:15" ht="18.75" customHeight="1">
      <c r="A139" s="962"/>
      <c r="B139" s="957" t="str">
        <f>[140]산출!B119</f>
        <v>LED 포인트조명설치(벽부형)</v>
      </c>
      <c r="C139" s="939" t="str">
        <f>[140]산출!C119</f>
        <v>15W이하</v>
      </c>
      <c r="D139" s="958">
        <f>[140]산출!G119</f>
        <v>0</v>
      </c>
      <c r="E139" s="935" t="str">
        <f>SUBSTITUTE(CONCATENATE(B:B,C:C,F:F)," ","")</f>
        <v>LED포인트조명설치(벽부형)15W이하ea</v>
      </c>
      <c r="F139" s="896" t="str">
        <f>[140]산출!D119</f>
        <v>ea</v>
      </c>
      <c r="G139" s="936">
        <f>[140]산출!F119</f>
        <v>13</v>
      </c>
      <c r="H139" s="935" t="str">
        <f t="shared" ref="H139:H142" si="43">SUBSTITUTE(CONCATENATE(B139,C139,F139)," ","")</f>
        <v>LED포인트조명설치(벽부형)15W이하ea</v>
      </c>
      <c r="I139" s="959">
        <f>VLOOKUP($H:$H,[140]일위목록!$A:$H,6,FALSE)</f>
        <v>178500</v>
      </c>
      <c r="J139" s="959">
        <f>TRUNC($G:$G*I:I)</f>
        <v>2320500</v>
      </c>
      <c r="K139" s="959">
        <f>VLOOKUP($H:$H,[140]일위목록!$A:$H,7,FALSE)</f>
        <v>26372</v>
      </c>
      <c r="L139" s="959">
        <f>TRUNC($G:$G*K:K)</f>
        <v>342836</v>
      </c>
      <c r="M139" s="959">
        <f t="shared" ref="M139:N142" si="44">SUM(I139,K139)</f>
        <v>204872</v>
      </c>
      <c r="N139" s="959">
        <f t="shared" si="44"/>
        <v>2663336</v>
      </c>
      <c r="O139" s="896" t="str">
        <f>VLOOKUP($H:$H,[140]일위목록!$A:$B,2,FALSE)</f>
        <v>제81호표</v>
      </c>
    </row>
    <row r="140" spans="1:15" ht="18.75" customHeight="1">
      <c r="A140" s="962"/>
      <c r="B140" s="957" t="str">
        <f>[140]산출!B120</f>
        <v>LED bar조명설치</v>
      </c>
      <c r="C140" s="939" t="str">
        <f>[140]산출!C120</f>
        <v>30W이하</v>
      </c>
      <c r="D140" s="958">
        <f>[140]산출!G120</f>
        <v>0</v>
      </c>
      <c r="E140" s="935" t="str">
        <f>SUBSTITUTE(CONCATENATE(B:B,C:C,F:F)," ","")</f>
        <v>LEDbar조명설치30W이하M</v>
      </c>
      <c r="F140" s="896" t="str">
        <f>[140]산출!D120</f>
        <v>M</v>
      </c>
      <c r="G140" s="936">
        <f>[140]산출!F120</f>
        <v>10</v>
      </c>
      <c r="H140" s="935" t="str">
        <f t="shared" si="43"/>
        <v>LEDbar조명설치30W이하M</v>
      </c>
      <c r="I140" s="959">
        <f>VLOOKUP($H:$H,[140]일위목록!$A:$H,6,FALSE)</f>
        <v>105000</v>
      </c>
      <c r="J140" s="959">
        <f>TRUNC($G:$G*I:I)</f>
        <v>1050000</v>
      </c>
      <c r="K140" s="959">
        <f>VLOOKUP($H:$H,[140]일위목록!$A:$H,7,FALSE)</f>
        <v>26372</v>
      </c>
      <c r="L140" s="959">
        <f>TRUNC($G:$G*K:K)</f>
        <v>263720</v>
      </c>
      <c r="M140" s="959">
        <f t="shared" si="44"/>
        <v>131372</v>
      </c>
      <c r="N140" s="959">
        <f t="shared" si="44"/>
        <v>1313720</v>
      </c>
      <c r="O140" s="896" t="str">
        <f>VLOOKUP($H:$H,[140]일위목록!$A:$B,2,FALSE)</f>
        <v>제83호표</v>
      </c>
    </row>
    <row r="141" spans="1:15" ht="18.75" customHeight="1">
      <c r="A141" s="962"/>
      <c r="B141" s="957" t="str">
        <f>[140]산출!B121</f>
        <v>LED 포인트조명 컨트롤제작설치</v>
      </c>
      <c r="C141" s="939" t="str">
        <f>[140]산출!C121</f>
        <v>컨트롤러(16채널)</v>
      </c>
      <c r="D141" s="958">
        <f>[140]산출!G121</f>
        <v>0</v>
      </c>
      <c r="E141" s="935" t="str">
        <f>SUBSTITUTE(CONCATENATE(B:B,C:C,F:F)," ","")</f>
        <v>LED포인트조명컨트롤제작설치컨트롤러(16채널)set</v>
      </c>
      <c r="F141" s="896" t="str">
        <f>[140]산출!D121</f>
        <v>set</v>
      </c>
      <c r="G141" s="936">
        <f>[140]산출!F121</f>
        <v>1</v>
      </c>
      <c r="H141" s="935" t="str">
        <f t="shared" si="43"/>
        <v>LED포인트조명컨트롤제작설치컨트롤러(16채널)set</v>
      </c>
      <c r="I141" s="959">
        <f>VLOOKUP($H:$H,[140]일위목록!$A:$H,6,FALSE)</f>
        <v>650000</v>
      </c>
      <c r="J141" s="959">
        <f>TRUNC($G:$G*I:I)</f>
        <v>650000</v>
      </c>
      <c r="K141" s="959">
        <f>VLOOKUP($H:$H,[140]일위목록!$A:$H,7,FALSE)</f>
        <v>90163</v>
      </c>
      <c r="L141" s="959">
        <f>TRUNC($G:$G*K:K)</f>
        <v>90163</v>
      </c>
      <c r="M141" s="959">
        <f t="shared" si="44"/>
        <v>740163</v>
      </c>
      <c r="N141" s="959">
        <f t="shared" si="44"/>
        <v>740163</v>
      </c>
      <c r="O141" s="896" t="str">
        <f>VLOOKUP($H:$H,[140]일위목록!$A:$B,2,FALSE)</f>
        <v>제85호표</v>
      </c>
    </row>
    <row r="142" spans="1:15" ht="18.75" customHeight="1">
      <c r="A142" s="962"/>
      <c r="B142" s="957" t="str">
        <f>[140]산출!B122</f>
        <v>LED bar조명 컨트롤제작설치</v>
      </c>
      <c r="C142" s="939" t="str">
        <f>[140]산출!C122</f>
        <v>컨트롤러</v>
      </c>
      <c r="D142" s="958">
        <f>[140]산출!G122</f>
        <v>0</v>
      </c>
      <c r="E142" s="935" t="str">
        <f>SUBSTITUTE(CONCATENATE(B:B,C:C,F:F)," ","")</f>
        <v>LEDbar조명컨트롤제작설치컨트롤러set</v>
      </c>
      <c r="F142" s="896" t="str">
        <f>[140]산출!D122</f>
        <v>set</v>
      </c>
      <c r="G142" s="936">
        <f>[140]산출!F122</f>
        <v>1</v>
      </c>
      <c r="H142" s="935" t="str">
        <f t="shared" si="43"/>
        <v>LEDbar조명컨트롤제작설치컨트롤러set</v>
      </c>
      <c r="I142" s="959">
        <f>VLOOKUP($H:$H,[140]일위목록!$A:$H,6,FALSE)</f>
        <v>530000</v>
      </c>
      <c r="J142" s="959">
        <f>TRUNC($G:$G*I:I)</f>
        <v>530000</v>
      </c>
      <c r="K142" s="959">
        <f>VLOOKUP($H:$H,[140]일위목록!$A:$H,7,FALSE)</f>
        <v>112704</v>
      </c>
      <c r="L142" s="959">
        <f>TRUNC($G:$G*K:K)</f>
        <v>112704</v>
      </c>
      <c r="M142" s="959">
        <f t="shared" si="44"/>
        <v>642704</v>
      </c>
      <c r="N142" s="959">
        <f t="shared" si="44"/>
        <v>642704</v>
      </c>
      <c r="O142" s="896" t="str">
        <f>VLOOKUP($H:$H,[140]일위목록!$A:$B,2,FALSE)</f>
        <v>제87호표</v>
      </c>
    </row>
    <row r="143" spans="1:15" ht="18.75" customHeight="1">
      <c r="A143" s="956"/>
      <c r="B143" s="957"/>
      <c r="C143" s="939"/>
      <c r="D143" s="958"/>
      <c r="E143" s="935"/>
      <c r="F143" s="896"/>
      <c r="G143" s="936"/>
      <c r="H143" s="935"/>
      <c r="I143" s="959"/>
      <c r="J143" s="959"/>
      <c r="K143" s="959"/>
      <c r="L143" s="959"/>
      <c r="M143" s="959"/>
      <c r="N143" s="959"/>
      <c r="O143" s="896"/>
    </row>
    <row r="144" spans="1:15" s="952" customFormat="1" ht="18.75" customHeight="1">
      <c r="A144" s="960"/>
      <c r="B144" s="947" t="s">
        <v>6585</v>
      </c>
      <c r="C144" s="954"/>
      <c r="D144" s="961"/>
      <c r="E144" s="948"/>
      <c r="F144" s="949"/>
      <c r="G144" s="950"/>
      <c r="H144" s="948" t="str">
        <f>SUBSTITUTE(CONCATENATE(B144,C144,F144)," ","")</f>
        <v>소계</v>
      </c>
      <c r="I144" s="951"/>
      <c r="J144" s="951">
        <f>SUM(J94:J143)</f>
        <v>26764981</v>
      </c>
      <c r="K144" s="951"/>
      <c r="L144" s="951">
        <f>SUM(L94:L143)</f>
        <v>15584216</v>
      </c>
      <c r="M144" s="951"/>
      <c r="N144" s="951">
        <f>SUM(N93:N143)</f>
        <v>42349197</v>
      </c>
      <c r="O144" s="949"/>
    </row>
    <row r="145" spans="1:15" ht="18.75" customHeight="1">
      <c r="A145" s="956"/>
      <c r="B145" s="957"/>
      <c r="C145" s="939"/>
      <c r="D145" s="958"/>
      <c r="E145" s="935"/>
      <c r="F145" s="896"/>
      <c r="G145" s="936"/>
      <c r="H145" s="935"/>
      <c r="I145" s="959"/>
      <c r="J145" s="959"/>
      <c r="K145" s="959"/>
      <c r="L145" s="959"/>
      <c r="M145" s="959"/>
      <c r="N145" s="959"/>
      <c r="O145" s="896"/>
    </row>
    <row r="146" spans="1:15" ht="18.75" customHeight="1">
      <c r="A146" s="956"/>
      <c r="B146" s="957"/>
      <c r="C146" s="939"/>
      <c r="D146" s="958"/>
      <c r="E146" s="935"/>
      <c r="F146" s="896"/>
      <c r="G146" s="936"/>
      <c r="H146" s="935"/>
      <c r="I146" s="959"/>
      <c r="J146" s="959"/>
      <c r="K146" s="959"/>
      <c r="L146" s="959"/>
      <c r="M146" s="959"/>
      <c r="N146" s="959"/>
      <c r="O146" s="896"/>
    </row>
    <row r="147" spans="1:15" s="952" customFormat="1" ht="18.75" customHeight="1">
      <c r="A147" s="947" t="str">
        <f>[140]산출!A131</f>
        <v>SC-201</v>
      </c>
      <c r="B147" s="947" t="str">
        <f>[140]산출!B131</f>
        <v>벽부형진열장(전동형)</v>
      </c>
      <c r="C147" s="954" t="str">
        <f>[140]산출!C131</f>
        <v>L: 5000 D: 1200 H: 3600 FH: 300 GH: 2600 UH: 700</v>
      </c>
      <c r="D147" s="955">
        <f>[140]산출!G131</f>
        <v>0</v>
      </c>
      <c r="E147" s="948" t="str">
        <f>SUBSTITUTE(CONCATENATE(B:B,C:C,F:F)," ","")</f>
        <v>벽부형진열장(전동형)L:5000D:1200H:3600FH:300GH:2600UH:700SET</v>
      </c>
      <c r="F147" s="949" t="str">
        <f>[140]산출!D131</f>
        <v>SET</v>
      </c>
      <c r="G147" s="950">
        <f>[140]산출!F131</f>
        <v>2</v>
      </c>
      <c r="H147" s="948" t="str">
        <f t="shared" ref="H147" si="45">SUBSTITUTE(CONCATENATE(B147,C147,F147)," ","")</f>
        <v>벽부형진열장(전동형)L:5000D:1200H:3600FH:300GH:2600UH:700SET</v>
      </c>
      <c r="I147" s="951"/>
      <c r="J147" s="951"/>
      <c r="K147" s="951"/>
      <c r="L147" s="951"/>
      <c r="M147" s="951"/>
      <c r="N147" s="951"/>
      <c r="O147" s="949"/>
    </row>
    <row r="148" spans="1:15" s="952" customFormat="1" ht="18.75" customHeight="1">
      <c r="A148" s="953"/>
      <c r="B148" s="947" t="str">
        <f>[140]산출!B132</f>
        <v>- 구조틀</v>
      </c>
      <c r="C148" s="954"/>
      <c r="D148" s="955"/>
      <c r="E148" s="948"/>
      <c r="F148" s="949"/>
      <c r="G148" s="950"/>
      <c r="H148" s="948"/>
      <c r="I148" s="951"/>
      <c r="J148" s="951"/>
      <c r="K148" s="951"/>
      <c r="L148" s="951"/>
      <c r="M148" s="951"/>
      <c r="N148" s="951"/>
      <c r="O148" s="949"/>
    </row>
    <row r="149" spans="1:15" ht="18.75" customHeight="1">
      <c r="A149" s="962"/>
      <c r="B149" s="957" t="str">
        <f>[140]산출!B133</f>
        <v>각파이프(방청)</v>
      </c>
      <c r="C149" s="939" t="str">
        <f>[140]산출!C133</f>
        <v>50*50*1.4T</v>
      </c>
      <c r="D149" s="958">
        <f>[140]산출!G133</f>
        <v>0</v>
      </c>
      <c r="E149" s="935" t="str">
        <f>SUBSTITUTE(CONCATENATE(B:B,C:C,F:F)," ","")</f>
        <v>각파이프(방청)50*50*1.4TM</v>
      </c>
      <c r="F149" s="896" t="str">
        <f>[140]산출!D133</f>
        <v>M</v>
      </c>
      <c r="G149" s="936">
        <f>[140]산출!F133</f>
        <v>172.89999999999998</v>
      </c>
      <c r="H149" s="935" t="str">
        <f t="shared" ref="H149:H160" si="46">SUBSTITUTE(CONCATENATE(B149,C149,F149)," ","")</f>
        <v>각파이프(방청)50*50*1.4TM</v>
      </c>
      <c r="I149" s="959">
        <f>VLOOKUP($H:$H,[140]일위목록!$A:$H,6,FALSE)</f>
        <v>3111</v>
      </c>
      <c r="J149" s="959">
        <f>TRUNC($G:$G*I:I)</f>
        <v>537891</v>
      </c>
      <c r="K149" s="959">
        <f>VLOOKUP($H:$H,[140]일위목록!$A:$H,7,FALSE)</f>
        <v>16978</v>
      </c>
      <c r="L149" s="959">
        <f>TRUNC($G:$G*K:K)</f>
        <v>2935496</v>
      </c>
      <c r="M149" s="959">
        <f t="shared" ref="M149:N160" si="47">SUM(I149,K149)</f>
        <v>20089</v>
      </c>
      <c r="N149" s="959">
        <f t="shared" si="47"/>
        <v>3473387</v>
      </c>
      <c r="O149" s="896" t="str">
        <f>VLOOKUP($H:$H,[140]일위목록!$A:$B,2,FALSE)</f>
        <v>제47호표</v>
      </c>
    </row>
    <row r="150" spans="1:15" ht="18.75" customHeight="1">
      <c r="A150" s="962"/>
      <c r="B150" s="957" t="str">
        <f>[140]산출!B134</f>
        <v>각파이프(방청)</v>
      </c>
      <c r="C150" s="939" t="str">
        <f>[140]산출!C134</f>
        <v>100*50*2.3T</v>
      </c>
      <c r="D150" s="958">
        <f>[140]산출!G134</f>
        <v>0</v>
      </c>
      <c r="E150" s="935" t="str">
        <f>SUBSTITUTE(CONCATENATE(B:B,C:C,F:F)," ","")</f>
        <v>각파이프(방청)100*50*2.3TM</v>
      </c>
      <c r="F150" s="896" t="str">
        <f>[140]산출!D134</f>
        <v>M</v>
      </c>
      <c r="G150" s="936">
        <f>[140]산출!F134</f>
        <v>27.2</v>
      </c>
      <c r="H150" s="935" t="str">
        <f t="shared" si="46"/>
        <v>각파이프(방청)100*50*2.3TM</v>
      </c>
      <c r="I150" s="959">
        <f>VLOOKUP($H:$H,[140]일위목록!$A:$H,6,FALSE)</f>
        <v>6799</v>
      </c>
      <c r="J150" s="959">
        <f>TRUNC($G:$G*I:I)</f>
        <v>184932</v>
      </c>
      <c r="K150" s="959">
        <f>VLOOKUP($H:$H,[140]일위목록!$A:$H,7,FALSE)</f>
        <v>41245</v>
      </c>
      <c r="L150" s="959">
        <f>TRUNC($G:$G*K:K)</f>
        <v>1121864</v>
      </c>
      <c r="M150" s="959">
        <f t="shared" si="47"/>
        <v>48044</v>
      </c>
      <c r="N150" s="959">
        <f t="shared" si="47"/>
        <v>1306796</v>
      </c>
      <c r="O150" s="896" t="str">
        <f>VLOOKUP($H:$H,[140]일위목록!$A:$B,2,FALSE)</f>
        <v>제48호표</v>
      </c>
    </row>
    <row r="151" spans="1:15" s="952" customFormat="1" ht="18.75" customHeight="1">
      <c r="A151" s="953"/>
      <c r="B151" s="947" t="str">
        <f>[140]산출!B135</f>
        <v>- 잡철물</v>
      </c>
      <c r="C151" s="954"/>
      <c r="D151" s="955"/>
      <c r="E151" s="948"/>
      <c r="F151" s="949"/>
      <c r="G151" s="950"/>
      <c r="H151" s="948"/>
      <c r="I151" s="951"/>
      <c r="J151" s="951"/>
      <c r="K151" s="951"/>
      <c r="L151" s="951"/>
      <c r="M151" s="951"/>
      <c r="N151" s="951"/>
      <c r="O151" s="949"/>
    </row>
    <row r="152" spans="1:15" ht="18.75" customHeight="1">
      <c r="A152" s="962"/>
      <c r="B152" s="957" t="str">
        <f>[140]산출!B136</f>
        <v>갈바후레임제작설치</v>
      </c>
      <c r="C152" s="939" t="str">
        <f>[140]산출!C136</f>
        <v>1.6T</v>
      </c>
      <c r="D152" s="958" t="str">
        <f>[140]산출!G136</f>
        <v>상부점검도어 몰딩</v>
      </c>
      <c r="E152" s="935" t="str">
        <f t="shared" ref="E152:E160" si="48">SUBSTITUTE(CONCATENATE(B:B,C:C,F:F)," ","")</f>
        <v>갈바후레임제작설치1.6TM2</v>
      </c>
      <c r="F152" s="896" t="str">
        <f>[140]산출!D136</f>
        <v>M2</v>
      </c>
      <c r="G152" s="936">
        <f>[140]산출!F136</f>
        <v>1.575</v>
      </c>
      <c r="H152" s="935" t="str">
        <f t="shared" si="46"/>
        <v>갈바후레임제작설치1.6TM2</v>
      </c>
      <c r="I152" s="959">
        <f>VLOOKUP($H:$H,[140]일위목록!$A:$H,6,FALSE)</f>
        <v>16515</v>
      </c>
      <c r="J152" s="959">
        <f t="shared" ref="J152:J160" si="49">TRUNC($G:$G*I:I)</f>
        <v>26011</v>
      </c>
      <c r="K152" s="959">
        <f>VLOOKUP($H:$H,[140]일위목록!$A:$H,7,FALSE)</f>
        <v>65362</v>
      </c>
      <c r="L152" s="959">
        <f t="shared" ref="L152:L160" si="50">TRUNC($G:$G*K:K)</f>
        <v>102945</v>
      </c>
      <c r="M152" s="959">
        <f t="shared" si="47"/>
        <v>81877</v>
      </c>
      <c r="N152" s="959">
        <f t="shared" si="47"/>
        <v>128956</v>
      </c>
      <c r="O152" s="896" t="str">
        <f>VLOOKUP($H:$H,[140]일위목록!$A:$B,2,FALSE)</f>
        <v>제51호표</v>
      </c>
    </row>
    <row r="153" spans="1:15" ht="18.75" customHeight="1">
      <c r="A153" s="962"/>
      <c r="B153" s="957" t="str">
        <f>[140]산출!B137</f>
        <v>갈바후레임제작설치</v>
      </c>
      <c r="C153" s="939" t="str">
        <f>[140]산출!C137</f>
        <v>1.6T</v>
      </c>
      <c r="D153" s="958" t="str">
        <f>[140]산출!G137</f>
        <v>상부전면천장유리후레임</v>
      </c>
      <c r="E153" s="935" t="str">
        <f t="shared" si="48"/>
        <v>갈바후레임제작설치1.6TM2</v>
      </c>
      <c r="F153" s="896" t="str">
        <f>[140]산출!D137</f>
        <v>M2</v>
      </c>
      <c r="G153" s="936">
        <f>[140]산출!F137</f>
        <v>2.46</v>
      </c>
      <c r="H153" s="935" t="str">
        <f t="shared" si="46"/>
        <v>갈바후레임제작설치1.6TM2</v>
      </c>
      <c r="I153" s="959">
        <f>VLOOKUP($H:$H,[140]일위목록!$A:$H,6,FALSE)</f>
        <v>16515</v>
      </c>
      <c r="J153" s="959">
        <f t="shared" si="49"/>
        <v>40626</v>
      </c>
      <c r="K153" s="959">
        <f>VLOOKUP($H:$H,[140]일위목록!$A:$H,7,FALSE)</f>
        <v>65362</v>
      </c>
      <c r="L153" s="959">
        <f t="shared" si="50"/>
        <v>160790</v>
      </c>
      <c r="M153" s="959">
        <f t="shared" si="47"/>
        <v>81877</v>
      </c>
      <c r="N153" s="959">
        <f t="shared" si="47"/>
        <v>201416</v>
      </c>
      <c r="O153" s="896" t="str">
        <f>VLOOKUP($H:$H,[140]일위목록!$A:$B,2,FALSE)</f>
        <v>제51호표</v>
      </c>
    </row>
    <row r="154" spans="1:15" ht="18.75" customHeight="1">
      <c r="A154" s="962"/>
      <c r="B154" s="957" t="str">
        <f>[140]산출!B138</f>
        <v>갈바후레임제작설치</v>
      </c>
      <c r="C154" s="939" t="str">
        <f>[140]산출!C138</f>
        <v>1.6T</v>
      </c>
      <c r="D154" s="958" t="str">
        <f>[140]산출!G138</f>
        <v>배면천장몰딩</v>
      </c>
      <c r="E154" s="935" t="str">
        <f t="shared" si="48"/>
        <v>갈바후레임제작설치1.6TM2</v>
      </c>
      <c r="F154" s="896" t="str">
        <f>[140]산출!D138</f>
        <v>M2</v>
      </c>
      <c r="G154" s="936">
        <f>[140]산출!F138</f>
        <v>3.3050000000000002</v>
      </c>
      <c r="H154" s="935" t="str">
        <f t="shared" si="46"/>
        <v>갈바후레임제작설치1.6TM2</v>
      </c>
      <c r="I154" s="959">
        <f>VLOOKUP($H:$H,[140]일위목록!$A:$H,6,FALSE)</f>
        <v>16515</v>
      </c>
      <c r="J154" s="959">
        <f t="shared" si="49"/>
        <v>54582</v>
      </c>
      <c r="K154" s="959">
        <f>VLOOKUP($H:$H,[140]일위목록!$A:$H,7,FALSE)</f>
        <v>65362</v>
      </c>
      <c r="L154" s="959">
        <f t="shared" si="50"/>
        <v>216021</v>
      </c>
      <c r="M154" s="959">
        <f t="shared" si="47"/>
        <v>81877</v>
      </c>
      <c r="N154" s="959">
        <f t="shared" si="47"/>
        <v>270603</v>
      </c>
      <c r="O154" s="896" t="str">
        <f>VLOOKUP($H:$H,[140]일위목록!$A:$B,2,FALSE)</f>
        <v>제51호표</v>
      </c>
    </row>
    <row r="155" spans="1:15" ht="18.75" customHeight="1">
      <c r="A155" s="962"/>
      <c r="B155" s="957" t="str">
        <f>[140]산출!B139</f>
        <v>갈바후레임제작설치</v>
      </c>
      <c r="C155" s="939" t="str">
        <f>[140]산출!C139</f>
        <v>1.6T</v>
      </c>
      <c r="D155" s="958" t="str">
        <f>[140]산출!G139</f>
        <v>그림걸이레일보강</v>
      </c>
      <c r="E155" s="935" t="str">
        <f t="shared" si="48"/>
        <v>갈바후레임제작설치1.6TM2</v>
      </c>
      <c r="F155" s="896" t="str">
        <f>[140]산출!D139</f>
        <v>M2</v>
      </c>
      <c r="G155" s="936">
        <f>[140]산출!F139</f>
        <v>1.0249999999999999</v>
      </c>
      <c r="H155" s="935" t="str">
        <f t="shared" si="46"/>
        <v>갈바후레임제작설치1.6TM2</v>
      </c>
      <c r="I155" s="959">
        <f>VLOOKUP($H:$H,[140]일위목록!$A:$H,6,FALSE)</f>
        <v>16515</v>
      </c>
      <c r="J155" s="959">
        <f t="shared" si="49"/>
        <v>16927</v>
      </c>
      <c r="K155" s="959">
        <f>VLOOKUP($H:$H,[140]일위목록!$A:$H,7,FALSE)</f>
        <v>65362</v>
      </c>
      <c r="L155" s="959">
        <f t="shared" si="50"/>
        <v>66996</v>
      </c>
      <c r="M155" s="959">
        <f t="shared" si="47"/>
        <v>81877</v>
      </c>
      <c r="N155" s="959">
        <f t="shared" si="47"/>
        <v>83923</v>
      </c>
      <c r="O155" s="896" t="str">
        <f>VLOOKUP($H:$H,[140]일위목록!$A:$B,2,FALSE)</f>
        <v>제51호표</v>
      </c>
    </row>
    <row r="156" spans="1:15" ht="18.75" customHeight="1">
      <c r="A156" s="962"/>
      <c r="B156" s="957" t="str">
        <f>[140]산출!B140</f>
        <v>갈바후레임제작설치</v>
      </c>
      <c r="C156" s="939" t="str">
        <f>[140]산출!C140</f>
        <v>1.6T</v>
      </c>
      <c r="D156" s="958" t="str">
        <f>[140]산출!G140</f>
        <v>상부점검도어</v>
      </c>
      <c r="E156" s="935" t="str">
        <f t="shared" si="48"/>
        <v>갈바후레임제작설치1.6TM2</v>
      </c>
      <c r="F156" s="896" t="str">
        <f>[140]산출!D140</f>
        <v>M2</v>
      </c>
      <c r="G156" s="936">
        <f>[140]산출!F140</f>
        <v>4.4800000000000004</v>
      </c>
      <c r="H156" s="935" t="str">
        <f t="shared" si="46"/>
        <v>갈바후레임제작설치1.6TM2</v>
      </c>
      <c r="I156" s="959">
        <f>VLOOKUP($H:$H,[140]일위목록!$A:$H,6,FALSE)</f>
        <v>16515</v>
      </c>
      <c r="J156" s="959">
        <f t="shared" si="49"/>
        <v>73987</v>
      </c>
      <c r="K156" s="959">
        <f>VLOOKUP($H:$H,[140]일위목록!$A:$H,7,FALSE)</f>
        <v>65362</v>
      </c>
      <c r="L156" s="959">
        <f t="shared" si="50"/>
        <v>292821</v>
      </c>
      <c r="M156" s="959">
        <f t="shared" si="47"/>
        <v>81877</v>
      </c>
      <c r="N156" s="959">
        <f t="shared" si="47"/>
        <v>366808</v>
      </c>
      <c r="O156" s="896" t="str">
        <f>VLOOKUP($H:$H,[140]일위목록!$A:$B,2,FALSE)</f>
        <v>제51호표</v>
      </c>
    </row>
    <row r="157" spans="1:15" ht="18.75" customHeight="1">
      <c r="A157" s="962"/>
      <c r="B157" s="957" t="str">
        <f>[140]산출!B141</f>
        <v>갈바후레임제작설치</v>
      </c>
      <c r="C157" s="939" t="str">
        <f>[140]산출!C141</f>
        <v>1.6T</v>
      </c>
      <c r="D157" s="958" t="str">
        <f>[140]산출!G141</f>
        <v>배면 사이드 몰딩</v>
      </c>
      <c r="E157" s="935" t="str">
        <f t="shared" si="48"/>
        <v>갈바후레임제작설치1.6TM2</v>
      </c>
      <c r="F157" s="896" t="str">
        <f>[140]산출!D141</f>
        <v>M2</v>
      </c>
      <c r="G157" s="936">
        <f>[140]산출!F141</f>
        <v>4.032</v>
      </c>
      <c r="H157" s="935" t="str">
        <f t="shared" si="46"/>
        <v>갈바후레임제작설치1.6TM2</v>
      </c>
      <c r="I157" s="959">
        <f>VLOOKUP($H:$H,[140]일위목록!$A:$H,6,FALSE)</f>
        <v>16515</v>
      </c>
      <c r="J157" s="959">
        <f t="shared" si="49"/>
        <v>66588</v>
      </c>
      <c r="K157" s="959">
        <f>VLOOKUP($H:$H,[140]일위목록!$A:$H,7,FALSE)</f>
        <v>65362</v>
      </c>
      <c r="L157" s="959">
        <f t="shared" si="50"/>
        <v>263539</v>
      </c>
      <c r="M157" s="959">
        <f t="shared" si="47"/>
        <v>81877</v>
      </c>
      <c r="N157" s="959">
        <f t="shared" si="47"/>
        <v>330127</v>
      </c>
      <c r="O157" s="896" t="str">
        <f>VLOOKUP($H:$H,[140]일위목록!$A:$B,2,FALSE)</f>
        <v>제51호표</v>
      </c>
    </row>
    <row r="158" spans="1:15" s="952" customFormat="1" ht="18.75" customHeight="1">
      <c r="A158" s="953"/>
      <c r="B158" s="947" t="str">
        <f>[140]산출!B142</f>
        <v>갈바후레임제작설치</v>
      </c>
      <c r="C158" s="939" t="str">
        <f>[140]산출!C142</f>
        <v>1.6T</v>
      </c>
      <c r="D158" s="958" t="str">
        <f>[140]산출!G142</f>
        <v>외부 측면 후레임</v>
      </c>
      <c r="E158" s="935" t="str">
        <f t="shared" si="48"/>
        <v>갈바후레임제작설치1.6TM2</v>
      </c>
      <c r="F158" s="896" t="str">
        <f>[140]산출!D142</f>
        <v>M2</v>
      </c>
      <c r="G158" s="936">
        <f>[140]산출!F142</f>
        <v>1.248</v>
      </c>
      <c r="H158" s="935" t="str">
        <f t="shared" si="46"/>
        <v>갈바후레임제작설치1.6TM2</v>
      </c>
      <c r="I158" s="959">
        <f>VLOOKUP($H:$H,[140]일위목록!$A:$H,6,FALSE)</f>
        <v>16515</v>
      </c>
      <c r="J158" s="959">
        <f t="shared" si="49"/>
        <v>20610</v>
      </c>
      <c r="K158" s="959">
        <f>VLOOKUP($H:$H,[140]일위목록!$A:$H,7,FALSE)</f>
        <v>65362</v>
      </c>
      <c r="L158" s="959">
        <f t="shared" si="50"/>
        <v>81571</v>
      </c>
      <c r="M158" s="959">
        <f t="shared" si="47"/>
        <v>81877</v>
      </c>
      <c r="N158" s="959">
        <f t="shared" si="47"/>
        <v>102181</v>
      </c>
      <c r="O158" s="896" t="str">
        <f>VLOOKUP($H:$H,[140]일위목록!$A:$B,2,FALSE)</f>
        <v>제51호표</v>
      </c>
    </row>
    <row r="159" spans="1:15" ht="18.75" customHeight="1">
      <c r="A159" s="962"/>
      <c r="B159" s="957" t="str">
        <f>[140]산출!B143</f>
        <v>갈바후레임제작설치</v>
      </c>
      <c r="C159" s="939" t="str">
        <f>[140]산출!C143</f>
        <v>1.6T</v>
      </c>
      <c r="D159" s="958" t="str">
        <f>[140]산출!G143</f>
        <v>측면 유리 몰딩</v>
      </c>
      <c r="E159" s="935" t="str">
        <f t="shared" si="48"/>
        <v>갈바후레임제작설치1.6TM2</v>
      </c>
      <c r="F159" s="896" t="str">
        <f>[140]산출!D143</f>
        <v>M2</v>
      </c>
      <c r="G159" s="936">
        <f>[140]산출!F143</f>
        <v>2.1743999999999999</v>
      </c>
      <c r="H159" s="935" t="str">
        <f t="shared" si="46"/>
        <v>갈바후레임제작설치1.6TM2</v>
      </c>
      <c r="I159" s="959">
        <f>VLOOKUP($H:$H,[140]일위목록!$A:$H,6,FALSE)</f>
        <v>16515</v>
      </c>
      <c r="J159" s="959">
        <f t="shared" si="49"/>
        <v>35910</v>
      </c>
      <c r="K159" s="959">
        <f>VLOOKUP($H:$H,[140]일위목록!$A:$H,7,FALSE)</f>
        <v>65362</v>
      </c>
      <c r="L159" s="959">
        <f t="shared" si="50"/>
        <v>142123</v>
      </c>
      <c r="M159" s="959">
        <f t="shared" si="47"/>
        <v>81877</v>
      </c>
      <c r="N159" s="959">
        <f t="shared" si="47"/>
        <v>178033</v>
      </c>
      <c r="O159" s="896" t="str">
        <f>VLOOKUP($H:$H,[140]일위목록!$A:$B,2,FALSE)</f>
        <v>제51호표</v>
      </c>
    </row>
    <row r="160" spans="1:15" ht="18.75" customHeight="1">
      <c r="A160" s="962"/>
      <c r="B160" s="957" t="str">
        <f>[140]산출!B144</f>
        <v>알루미늄판취부</v>
      </c>
      <c r="C160" s="939" t="str">
        <f>[140]산출!C144</f>
        <v>4T*900*1800</v>
      </c>
      <c r="D160" s="958" t="str">
        <f>[140]산출!G144</f>
        <v>상부점검도어 커버</v>
      </c>
      <c r="E160" s="935" t="str">
        <f t="shared" si="48"/>
        <v>알루미늄판취부4T*900*1800M2</v>
      </c>
      <c r="F160" s="896" t="str">
        <f>[140]산출!D144</f>
        <v>M2</v>
      </c>
      <c r="G160" s="936">
        <f>[140]산출!F144</f>
        <v>3.5</v>
      </c>
      <c r="H160" s="935" t="str">
        <f t="shared" si="46"/>
        <v>알루미늄판취부4T*900*1800M2</v>
      </c>
      <c r="I160" s="959">
        <f>VLOOKUP($H:$H,[140]일위목록!$A:$H,6,FALSE)</f>
        <v>130192</v>
      </c>
      <c r="J160" s="959">
        <f t="shared" si="49"/>
        <v>455672</v>
      </c>
      <c r="K160" s="959">
        <f>VLOOKUP($H:$H,[140]일위목록!$A:$H,7,FALSE)</f>
        <v>14745</v>
      </c>
      <c r="L160" s="959">
        <f t="shared" si="50"/>
        <v>51607</v>
      </c>
      <c r="M160" s="959">
        <f t="shared" si="47"/>
        <v>144937</v>
      </c>
      <c r="N160" s="959">
        <f t="shared" si="47"/>
        <v>507279</v>
      </c>
      <c r="O160" s="896" t="str">
        <f>VLOOKUP($H:$H,[140]일위목록!$A:$B,2,FALSE)</f>
        <v>제69호표</v>
      </c>
    </row>
    <row r="161" spans="1:15" s="952" customFormat="1" ht="18.75" customHeight="1">
      <c r="A161" s="953"/>
      <c r="B161" s="947" t="str">
        <f>[140]산출!B145</f>
        <v>- 잡철물</v>
      </c>
      <c r="C161" s="954"/>
      <c r="D161" s="955"/>
      <c r="E161" s="948"/>
      <c r="F161" s="949"/>
      <c r="G161" s="950"/>
      <c r="H161" s="948"/>
      <c r="I161" s="951"/>
      <c r="J161" s="951"/>
      <c r="K161" s="951"/>
      <c r="L161" s="951"/>
      <c r="M161" s="951"/>
      <c r="N161" s="951"/>
      <c r="O161" s="949"/>
    </row>
    <row r="162" spans="1:15" s="952" customFormat="1" ht="18.75" customHeight="1">
      <c r="A162" s="953"/>
      <c r="B162" s="947" t="str">
        <f>[140]산출!B146</f>
        <v>갈바후레임제작설치</v>
      </c>
      <c r="C162" s="939" t="str">
        <f>[140]산출!C146</f>
        <v>1.6T</v>
      </c>
      <c r="D162" s="958" t="str">
        <f>[140]산출!G146</f>
        <v>하부전면후레임</v>
      </c>
      <c r="E162" s="935" t="str">
        <f>SUBSTITUTE(CONCATENATE(B:B,C:C,F:F)," ","")</f>
        <v>갈바후레임제작설치1.6TM2</v>
      </c>
      <c r="F162" s="896" t="str">
        <f>[140]산출!D146</f>
        <v>M2</v>
      </c>
      <c r="G162" s="936">
        <f>[140]산출!F146</f>
        <v>2.2650000000000001</v>
      </c>
      <c r="H162" s="935" t="str">
        <f t="shared" ref="H162:H197" si="51">SUBSTITUTE(CONCATENATE(B162,C162,F162)," ","")</f>
        <v>갈바후레임제작설치1.6TM2</v>
      </c>
      <c r="I162" s="959">
        <f>VLOOKUP($H:$H,[140]일위목록!$A:$H,6,FALSE)</f>
        <v>16515</v>
      </c>
      <c r="J162" s="959">
        <f>TRUNC($G:$G*I:I)</f>
        <v>37406</v>
      </c>
      <c r="K162" s="959">
        <f>VLOOKUP($H:$H,[140]일위목록!$A:$H,7,FALSE)</f>
        <v>65362</v>
      </c>
      <c r="L162" s="959">
        <f>TRUNC($G:$G*K:K)</f>
        <v>148044</v>
      </c>
      <c r="M162" s="959">
        <f t="shared" ref="M162:N177" si="52">SUM(I162,K162)</f>
        <v>81877</v>
      </c>
      <c r="N162" s="959">
        <f t="shared" si="52"/>
        <v>185450</v>
      </c>
      <c r="O162" s="896" t="str">
        <f>VLOOKUP($H:$H,[140]일위목록!$A:$B,2,FALSE)</f>
        <v>제51호표</v>
      </c>
    </row>
    <row r="163" spans="1:15" ht="18.75" customHeight="1">
      <c r="A163" s="962"/>
      <c r="B163" s="957" t="str">
        <f>[140]산출!B147</f>
        <v>갈바후레임제작설치</v>
      </c>
      <c r="C163" s="939" t="str">
        <f>[140]산출!C147</f>
        <v>1.6T</v>
      </c>
      <c r="D163" s="958" t="str">
        <f>[140]산출!G147</f>
        <v>하부바닥받침몰딩</v>
      </c>
      <c r="E163" s="935" t="str">
        <f>SUBSTITUTE(CONCATENATE(B:B,C:C,F:F)," ","")</f>
        <v>갈바후레임제작설치1.6TM2</v>
      </c>
      <c r="F163" s="896" t="str">
        <f>[140]산출!D147</f>
        <v>M2</v>
      </c>
      <c r="G163" s="936">
        <f>[140]산출!F147</f>
        <v>0.86999999999999988</v>
      </c>
      <c r="H163" s="935" t="str">
        <f t="shared" si="51"/>
        <v>갈바후레임제작설치1.6TM2</v>
      </c>
      <c r="I163" s="959">
        <f>VLOOKUP($H:$H,[140]일위목록!$A:$H,6,FALSE)</f>
        <v>16515</v>
      </c>
      <c r="J163" s="959">
        <f>TRUNC($G:$G*I:I)</f>
        <v>14368</v>
      </c>
      <c r="K163" s="959">
        <f>VLOOKUP($H:$H,[140]일위목록!$A:$H,7,FALSE)</f>
        <v>65362</v>
      </c>
      <c r="L163" s="959">
        <f>TRUNC($G:$G*K:K)</f>
        <v>56864</v>
      </c>
      <c r="M163" s="959">
        <f t="shared" si="52"/>
        <v>81877</v>
      </c>
      <c r="N163" s="959">
        <f t="shared" si="52"/>
        <v>71232</v>
      </c>
      <c r="O163" s="896" t="str">
        <f>VLOOKUP($H:$H,[140]일위목록!$A:$B,2,FALSE)</f>
        <v>제51호표</v>
      </c>
    </row>
    <row r="164" spans="1:15" ht="18.75" customHeight="1">
      <c r="A164" s="962"/>
      <c r="B164" s="957" t="str">
        <f>[140]산출!B148</f>
        <v>갈바후레임제작설치</v>
      </c>
      <c r="C164" s="957" t="str">
        <f>[140]산출!C148</f>
        <v>1.6T</v>
      </c>
      <c r="D164" s="958" t="str">
        <f>[140]산출!G148</f>
        <v>하부 걸레받이</v>
      </c>
      <c r="E164" s="935" t="str">
        <f>SUBSTITUTE(CONCATENATE(B:B,C:C,F:F)," ","")</f>
        <v>갈바후레임제작설치1.6TM2</v>
      </c>
      <c r="F164" s="896" t="str">
        <f>[140]산출!D148</f>
        <v>M2</v>
      </c>
      <c r="G164" s="936">
        <f>[140]산출!F148</f>
        <v>0.66500000000000004</v>
      </c>
      <c r="H164" s="935" t="str">
        <f t="shared" si="51"/>
        <v>갈바후레임제작설치1.6TM2</v>
      </c>
      <c r="I164" s="959">
        <f>VLOOKUP($H:$H,[140]일위목록!$A:$H,6,FALSE)</f>
        <v>16515</v>
      </c>
      <c r="J164" s="959">
        <f>TRUNC($G:$G*I:I)</f>
        <v>10982</v>
      </c>
      <c r="K164" s="959">
        <f>VLOOKUP($H:$H,[140]일위목록!$A:$H,7,FALSE)</f>
        <v>65362</v>
      </c>
      <c r="L164" s="959">
        <f>TRUNC($G:$G*K:K)</f>
        <v>43465</v>
      </c>
      <c r="M164" s="959">
        <f t="shared" si="52"/>
        <v>81877</v>
      </c>
      <c r="N164" s="959">
        <f t="shared" si="52"/>
        <v>54447</v>
      </c>
      <c r="O164" s="896" t="str">
        <f>VLOOKUP($H:$H,[140]일위목록!$A:$B,2,FALSE)</f>
        <v>제51호표</v>
      </c>
    </row>
    <row r="165" spans="1:15" s="952" customFormat="1" ht="18.75" customHeight="1">
      <c r="A165" s="953"/>
      <c r="B165" s="947" t="str">
        <f>[140]산출!B149</f>
        <v>- SYSTEM 장치</v>
      </c>
      <c r="C165" s="954"/>
      <c r="D165" s="955"/>
      <c r="E165" s="948"/>
      <c r="F165" s="949"/>
      <c r="G165" s="950"/>
      <c r="H165" s="948"/>
      <c r="I165" s="951"/>
      <c r="J165" s="951"/>
      <c r="K165" s="951"/>
      <c r="L165" s="951"/>
      <c r="M165" s="951"/>
      <c r="N165" s="951"/>
      <c r="O165" s="949"/>
    </row>
    <row r="166" spans="1:15" ht="18.75" customHeight="1">
      <c r="A166" s="962"/>
      <c r="B166" s="957" t="str">
        <f>[140]산출!B150</f>
        <v>피아노경첩 제작설치</v>
      </c>
      <c r="C166" s="939"/>
      <c r="D166" s="958">
        <f>[140]산출!G150</f>
        <v>0</v>
      </c>
      <c r="E166" s="935" t="str">
        <f t="shared" ref="E166:E179" si="53">SUBSTITUTE(CONCATENATE(B:B,C:C,F:F)," ","")</f>
        <v>피아노경첩제작설치M</v>
      </c>
      <c r="F166" s="896" t="str">
        <f>[140]산출!D150</f>
        <v>M</v>
      </c>
      <c r="G166" s="936">
        <f>[140]산출!F150</f>
        <v>10</v>
      </c>
      <c r="H166" s="935" t="str">
        <f t="shared" si="51"/>
        <v>피아노경첩제작설치M</v>
      </c>
      <c r="I166" s="959">
        <f>VLOOKUP($H:$H,[140]일위목록!$A:$H,6,FALSE)</f>
        <v>12630</v>
      </c>
      <c r="J166" s="959">
        <f t="shared" ref="J166:J179" si="54">TRUNC($G:$G*I:I)</f>
        <v>126300</v>
      </c>
      <c r="K166" s="959">
        <f>VLOOKUP($H:$H,[140]일위목록!$A:$H,7,FALSE)</f>
        <v>10973</v>
      </c>
      <c r="L166" s="959">
        <f t="shared" ref="L166:L179" si="55">TRUNC($G:$G*K:K)</f>
        <v>109730</v>
      </c>
      <c r="M166" s="959">
        <f t="shared" si="52"/>
        <v>23603</v>
      </c>
      <c r="N166" s="959">
        <f t="shared" si="52"/>
        <v>236030</v>
      </c>
      <c r="O166" s="896" t="str">
        <f>VLOOKUP($H:$H,[140]일위목록!$A:$B,2,FALSE)</f>
        <v>제88호표</v>
      </c>
    </row>
    <row r="167" spans="1:15" ht="18.75" customHeight="1">
      <c r="A167" s="962"/>
      <c r="B167" s="957" t="str">
        <f>[140]산출!B151</f>
        <v>LOCK SET 제작설치</v>
      </c>
      <c r="C167" s="939" t="str">
        <f>[140]산출!C151</f>
        <v>시건장치</v>
      </c>
      <c r="D167" s="958">
        <f>[140]산출!G151</f>
        <v>0</v>
      </c>
      <c r="E167" s="935" t="str">
        <f t="shared" si="53"/>
        <v>LOCKSET제작설치시건장치set</v>
      </c>
      <c r="F167" s="896" t="str">
        <f>[140]산출!D151</f>
        <v>set</v>
      </c>
      <c r="G167" s="936">
        <f>[140]산출!F151</f>
        <v>3</v>
      </c>
      <c r="H167" s="935" t="str">
        <f t="shared" si="51"/>
        <v>LOCKSET제작설치시건장치set</v>
      </c>
      <c r="I167" s="959">
        <f>VLOOKUP($H:$H,[140]일위목록!$A:$H,6,FALSE)</f>
        <v>48840</v>
      </c>
      <c r="J167" s="959">
        <f t="shared" si="54"/>
        <v>146520</v>
      </c>
      <c r="K167" s="959">
        <f>VLOOKUP($H:$H,[140]일위목록!$A:$H,7,FALSE)</f>
        <v>12605</v>
      </c>
      <c r="L167" s="959">
        <f t="shared" si="55"/>
        <v>37815</v>
      </c>
      <c r="M167" s="959">
        <f t="shared" si="52"/>
        <v>61445</v>
      </c>
      <c r="N167" s="959">
        <f t="shared" si="52"/>
        <v>184335</v>
      </c>
      <c r="O167" s="896" t="str">
        <f>VLOOKUP($H:$H,[140]일위목록!$A:$B,2,FALSE)</f>
        <v>제89호표</v>
      </c>
    </row>
    <row r="168" spans="1:15" ht="18.75" customHeight="1">
      <c r="A168" s="962"/>
      <c r="B168" s="957" t="str">
        <f>[140]산출!B152</f>
        <v>AL.패킹바 제작설치</v>
      </c>
      <c r="C168" s="939"/>
      <c r="D168" s="958">
        <f>[140]산출!G152</f>
        <v>0</v>
      </c>
      <c r="E168" s="935" t="str">
        <f t="shared" si="53"/>
        <v>AL.패킹바제작설치M</v>
      </c>
      <c r="F168" s="896" t="str">
        <f>[140]산출!D152</f>
        <v>M</v>
      </c>
      <c r="G168" s="936">
        <f>[140]산출!F152</f>
        <v>10</v>
      </c>
      <c r="H168" s="935" t="str">
        <f t="shared" si="51"/>
        <v>AL.패킹바제작설치M</v>
      </c>
      <c r="I168" s="959">
        <f>VLOOKUP($H:$H,[140]일위목록!$A:$H,6,FALSE)</f>
        <v>5250</v>
      </c>
      <c r="J168" s="959">
        <f t="shared" si="54"/>
        <v>52500</v>
      </c>
      <c r="K168" s="959">
        <f>VLOOKUP($H:$H,[140]일위목록!$A:$H,7,FALSE)</f>
        <v>3534</v>
      </c>
      <c r="L168" s="959">
        <f t="shared" si="55"/>
        <v>35340</v>
      </c>
      <c r="M168" s="959">
        <f t="shared" si="52"/>
        <v>8784</v>
      </c>
      <c r="N168" s="959">
        <f t="shared" si="52"/>
        <v>87840</v>
      </c>
      <c r="O168" s="896" t="str">
        <f>VLOOKUP($H:$H,[140]일위목록!$A:$B,2,FALSE)</f>
        <v>제92호표</v>
      </c>
    </row>
    <row r="169" spans="1:15" ht="18.75" customHeight="1">
      <c r="A169" s="962"/>
      <c r="B169" s="957" t="str">
        <f>[140]산출!B153</f>
        <v>밀폐패킹 설치</v>
      </c>
      <c r="C169" s="939" t="str">
        <f>[140]산출!C153</f>
        <v>대형</v>
      </c>
      <c r="D169" s="958">
        <f>[140]산출!G153</f>
        <v>0</v>
      </c>
      <c r="E169" s="935" t="str">
        <f t="shared" si="53"/>
        <v>밀폐패킹설치대형M</v>
      </c>
      <c r="F169" s="896" t="str">
        <f>[140]산출!D153</f>
        <v>M</v>
      </c>
      <c r="G169" s="936">
        <f>[140]산출!F153</f>
        <v>15.2</v>
      </c>
      <c r="H169" s="935" t="str">
        <f t="shared" si="51"/>
        <v>밀폐패킹설치대형M</v>
      </c>
      <c r="I169" s="959">
        <f>VLOOKUP($H:$H,[140]일위목록!$A:$H,6,FALSE)</f>
        <v>9450</v>
      </c>
      <c r="J169" s="959">
        <f t="shared" si="54"/>
        <v>143640</v>
      </c>
      <c r="K169" s="959">
        <f>VLOOKUP($H:$H,[140]일위목록!$A:$H,7,FALSE)</f>
        <v>2397</v>
      </c>
      <c r="L169" s="959">
        <f t="shared" si="55"/>
        <v>36434</v>
      </c>
      <c r="M169" s="959">
        <f t="shared" si="52"/>
        <v>11847</v>
      </c>
      <c r="N169" s="959">
        <f t="shared" si="52"/>
        <v>180074</v>
      </c>
      <c r="O169" s="896" t="str">
        <f>VLOOKUP($H:$H,[140]일위목록!$A:$B,2,FALSE)</f>
        <v>제94호표</v>
      </c>
    </row>
    <row r="170" spans="1:15" ht="18.75" customHeight="1">
      <c r="A170" s="962"/>
      <c r="B170" s="957" t="str">
        <f>[140]산출!B154</f>
        <v>AL.사출유리후렘 제작설치</v>
      </c>
      <c r="C170" s="939" t="str">
        <f>[140]산출!C154</f>
        <v>벽부장(상부)</v>
      </c>
      <c r="D170" s="958">
        <f>[140]산출!G154</f>
        <v>0</v>
      </c>
      <c r="E170" s="935" t="str">
        <f t="shared" si="53"/>
        <v>AL.사출유리후렘제작설치벽부장(상부)M</v>
      </c>
      <c r="F170" s="896" t="str">
        <f>[140]산출!D154</f>
        <v>M</v>
      </c>
      <c r="G170" s="936">
        <f>[140]산출!F154</f>
        <v>5</v>
      </c>
      <c r="H170" s="935" t="str">
        <f t="shared" si="51"/>
        <v>AL.사출유리후렘제작설치벽부장(상부)M</v>
      </c>
      <c r="I170" s="959">
        <f>VLOOKUP($H:$H,[140]일위목록!$A:$H,6,FALSE)</f>
        <v>210000</v>
      </c>
      <c r="J170" s="959">
        <f t="shared" si="54"/>
        <v>1050000</v>
      </c>
      <c r="K170" s="959">
        <f>VLOOKUP($H:$H,[140]일위목록!$A:$H,7,FALSE)</f>
        <v>53130</v>
      </c>
      <c r="L170" s="959">
        <f t="shared" si="55"/>
        <v>265650</v>
      </c>
      <c r="M170" s="959">
        <f t="shared" si="52"/>
        <v>263130</v>
      </c>
      <c r="N170" s="959">
        <f t="shared" si="52"/>
        <v>1315650</v>
      </c>
      <c r="O170" s="896" t="str">
        <f>VLOOKUP($H:$H,[140]일위목록!$A:$B,2,FALSE)</f>
        <v>제95호표</v>
      </c>
    </row>
    <row r="171" spans="1:15" ht="18.75" customHeight="1">
      <c r="A171" s="962"/>
      <c r="B171" s="957" t="str">
        <f>[140]산출!B155</f>
        <v>AL.사출유리후렘 제작설치</v>
      </c>
      <c r="C171" s="939" t="str">
        <f>[140]산출!C155</f>
        <v>벽부장(하부)</v>
      </c>
      <c r="D171" s="958">
        <f>[140]산출!G155</f>
        <v>0</v>
      </c>
      <c r="E171" s="935" t="str">
        <f t="shared" si="53"/>
        <v>AL.사출유리후렘제작설치벽부장(하부)M</v>
      </c>
      <c r="F171" s="896" t="str">
        <f>[140]산출!D155</f>
        <v>M</v>
      </c>
      <c r="G171" s="936">
        <f>[140]산출!F155</f>
        <v>5</v>
      </c>
      <c r="H171" s="935" t="str">
        <f t="shared" si="51"/>
        <v>AL.사출유리후렘제작설치벽부장(하부)M</v>
      </c>
      <c r="I171" s="959">
        <f>VLOOKUP($H:$H,[140]일위목록!$A:$H,6,FALSE)</f>
        <v>126000</v>
      </c>
      <c r="J171" s="959">
        <f t="shared" si="54"/>
        <v>630000</v>
      </c>
      <c r="K171" s="959">
        <f>VLOOKUP($H:$H,[140]일위목록!$A:$H,7,FALSE)</f>
        <v>35420</v>
      </c>
      <c r="L171" s="959">
        <f t="shared" si="55"/>
        <v>177100</v>
      </c>
      <c r="M171" s="959">
        <f t="shared" si="52"/>
        <v>161420</v>
      </c>
      <c r="N171" s="959">
        <f t="shared" si="52"/>
        <v>807100</v>
      </c>
      <c r="O171" s="896" t="str">
        <f>VLOOKUP($H:$H,[140]일위목록!$A:$B,2,FALSE)</f>
        <v>제96호표</v>
      </c>
    </row>
    <row r="172" spans="1:15" ht="18.75" customHeight="1">
      <c r="A172" s="962"/>
      <c r="B172" s="957" t="str">
        <f>[140]산출!B156</f>
        <v>모터구동시스템 설치</v>
      </c>
      <c r="C172" s="939" t="str">
        <f>[140]산출!C156</f>
        <v>웜기어 전동실린더</v>
      </c>
      <c r="D172" s="958">
        <f>[140]산출!G156</f>
        <v>0</v>
      </c>
      <c r="E172" s="935" t="str">
        <f t="shared" si="53"/>
        <v>모터구동시스템설치웜기어전동실린더SET</v>
      </c>
      <c r="F172" s="896" t="str">
        <f>[140]산출!D156</f>
        <v>SET</v>
      </c>
      <c r="G172" s="936">
        <f>[140]산출!F156</f>
        <v>12</v>
      </c>
      <c r="H172" s="935" t="str">
        <f t="shared" si="51"/>
        <v>모터구동시스템설치웜기어전동실린더SET</v>
      </c>
      <c r="I172" s="959">
        <f>VLOOKUP($H:$H,[140]일위목록!$A:$H,6,FALSE)</f>
        <v>353000</v>
      </c>
      <c r="J172" s="959">
        <f t="shared" si="54"/>
        <v>4236000</v>
      </c>
      <c r="K172" s="959">
        <f>VLOOKUP($H:$H,[140]일위목록!$A:$H,7,FALSE)</f>
        <v>96655</v>
      </c>
      <c r="L172" s="959">
        <f t="shared" si="55"/>
        <v>1159860</v>
      </c>
      <c r="M172" s="959">
        <f t="shared" si="52"/>
        <v>449655</v>
      </c>
      <c r="N172" s="959">
        <f t="shared" si="52"/>
        <v>5395860</v>
      </c>
      <c r="O172" s="896" t="str">
        <f>VLOOKUP($H:$H,[140]일위목록!$A:$B,2,FALSE)</f>
        <v>제101호표</v>
      </c>
    </row>
    <row r="173" spans="1:15" ht="18.75" customHeight="1">
      <c r="A173" s="962"/>
      <c r="B173" s="957" t="str">
        <f>[140]산출!B157</f>
        <v>LM가이드시스템 가공 설치</v>
      </c>
      <c r="C173" s="939" t="str">
        <f>[140]산출!C157</f>
        <v>Ø25</v>
      </c>
      <c r="D173" s="958">
        <f>[140]산출!G157</f>
        <v>0</v>
      </c>
      <c r="E173" s="935" t="str">
        <f t="shared" si="53"/>
        <v>LM가이드시스템가공설치Ø25SET</v>
      </c>
      <c r="F173" s="896" t="str">
        <f>[140]산출!D157</f>
        <v>SET</v>
      </c>
      <c r="G173" s="936">
        <f>[140]산출!F157</f>
        <v>24</v>
      </c>
      <c r="H173" s="935" t="str">
        <f t="shared" si="51"/>
        <v>LM가이드시스템가공설치Ø25SET</v>
      </c>
      <c r="I173" s="959">
        <f>VLOOKUP($H:$H,[140]일위목록!$A:$H,6,FALSE)</f>
        <v>144000</v>
      </c>
      <c r="J173" s="959">
        <f t="shared" si="54"/>
        <v>3456000</v>
      </c>
      <c r="K173" s="959">
        <f>VLOOKUP($H:$H,[140]일위목록!$A:$H,7,FALSE)</f>
        <v>18323</v>
      </c>
      <c r="L173" s="959">
        <f t="shared" si="55"/>
        <v>439752</v>
      </c>
      <c r="M173" s="959">
        <f t="shared" si="52"/>
        <v>162323</v>
      </c>
      <c r="N173" s="959">
        <f t="shared" si="52"/>
        <v>3895752</v>
      </c>
      <c r="O173" s="896" t="str">
        <f>VLOOKUP($H:$H,[140]일위목록!$A:$B,2,FALSE)</f>
        <v>제100호표</v>
      </c>
    </row>
    <row r="174" spans="1:15" ht="18.75" customHeight="1">
      <c r="A174" s="962"/>
      <c r="B174" s="957" t="str">
        <f>[140]산출!B158</f>
        <v>베어링레일및가공 설치</v>
      </c>
      <c r="C174" s="939" t="str">
        <f>[140]산출!C158</f>
        <v>22*42 2.3T 가공</v>
      </c>
      <c r="D174" s="958">
        <f>[140]산출!G158</f>
        <v>0</v>
      </c>
      <c r="E174" s="935" t="str">
        <f t="shared" si="53"/>
        <v>베어링레일및가공설치22*422.3T가공M</v>
      </c>
      <c r="F174" s="896" t="str">
        <f>[140]산출!D158</f>
        <v>M</v>
      </c>
      <c r="G174" s="936">
        <f>[140]산출!F158</f>
        <v>10</v>
      </c>
      <c r="H174" s="935" t="str">
        <f t="shared" si="51"/>
        <v>베어링레일및가공설치22*422.3T가공M</v>
      </c>
      <c r="I174" s="959">
        <f>VLOOKUP($H:$H,[140]일위목록!$A:$H,6,FALSE)</f>
        <v>136500</v>
      </c>
      <c r="J174" s="959">
        <f t="shared" si="54"/>
        <v>1365000</v>
      </c>
      <c r="K174" s="959">
        <f>VLOOKUP($H:$H,[140]일위목록!$A:$H,7,FALSE)</f>
        <v>35420</v>
      </c>
      <c r="L174" s="959">
        <f t="shared" si="55"/>
        <v>354200</v>
      </c>
      <c r="M174" s="959">
        <f t="shared" si="52"/>
        <v>171920</v>
      </c>
      <c r="N174" s="959">
        <f t="shared" si="52"/>
        <v>1719200</v>
      </c>
      <c r="O174" s="896" t="str">
        <f>VLOOKUP($H:$H,[140]일위목록!$A:$B,2,FALSE)</f>
        <v>제102호표</v>
      </c>
    </row>
    <row r="175" spans="1:15" ht="18.75" customHeight="1">
      <c r="A175" s="962"/>
      <c r="B175" s="957" t="str">
        <f>[140]산출!B159</f>
        <v>슬라이딩베어링 가공조립</v>
      </c>
      <c r="C175" s="939" t="str">
        <f>[140]산출!C159</f>
        <v>Ø26</v>
      </c>
      <c r="D175" s="958">
        <f>[140]산출!G159</f>
        <v>0</v>
      </c>
      <c r="E175" s="935" t="str">
        <f t="shared" si="53"/>
        <v>슬라이딩베어링가공조립Ø26EA</v>
      </c>
      <c r="F175" s="896" t="str">
        <f>[140]산출!D159</f>
        <v>EA</v>
      </c>
      <c r="G175" s="936">
        <f>[140]산출!F159</f>
        <v>130</v>
      </c>
      <c r="H175" s="935" t="str">
        <f t="shared" si="51"/>
        <v>슬라이딩베어링가공조립Ø26EA</v>
      </c>
      <c r="I175" s="959">
        <f>VLOOKUP($H:$H,[140]일위목록!$A:$H,6,FALSE)</f>
        <v>6500</v>
      </c>
      <c r="J175" s="959">
        <f t="shared" si="54"/>
        <v>845000</v>
      </c>
      <c r="K175" s="959">
        <f>VLOOKUP($H:$H,[140]일위목록!$A:$H,7,FALSE)</f>
        <v>3864</v>
      </c>
      <c r="L175" s="959">
        <f t="shared" si="55"/>
        <v>502320</v>
      </c>
      <c r="M175" s="959">
        <f t="shared" si="52"/>
        <v>10364</v>
      </c>
      <c r="N175" s="959">
        <f t="shared" si="52"/>
        <v>1347320</v>
      </c>
      <c r="O175" s="896" t="str">
        <f>VLOOKUP($H:$H,[140]일위목록!$A:$B,2,FALSE)</f>
        <v>제104호표</v>
      </c>
    </row>
    <row r="176" spans="1:15" ht="18.75" customHeight="1">
      <c r="A176" s="962"/>
      <c r="B176" s="957" t="str">
        <f>[140]산출!B160</f>
        <v>베어링 붓싱가공조립</v>
      </c>
      <c r="C176" s="939" t="str">
        <f>[140]산출!C160</f>
        <v>#6200</v>
      </c>
      <c r="D176" s="958">
        <f>[140]산출!G160</f>
        <v>0</v>
      </c>
      <c r="E176" s="935" t="str">
        <f t="shared" si="53"/>
        <v>베어링붓싱가공조립#6200EA</v>
      </c>
      <c r="F176" s="896" t="str">
        <f>[140]산출!D160</f>
        <v>EA</v>
      </c>
      <c r="G176" s="936">
        <f>[140]산출!F160</f>
        <v>130</v>
      </c>
      <c r="H176" s="935" t="str">
        <f t="shared" si="51"/>
        <v>베어링붓싱가공조립#6200EA</v>
      </c>
      <c r="I176" s="959">
        <f>VLOOKUP($H:$H,[140]일위목록!$A:$H,6,FALSE)</f>
        <v>6000</v>
      </c>
      <c r="J176" s="959">
        <f t="shared" si="54"/>
        <v>780000</v>
      </c>
      <c r="K176" s="959">
        <f>VLOOKUP($H:$H,[140]일위목록!$A:$H,7,FALSE)</f>
        <v>3864</v>
      </c>
      <c r="L176" s="959">
        <f t="shared" si="55"/>
        <v>502320</v>
      </c>
      <c r="M176" s="959">
        <f t="shared" si="52"/>
        <v>9864</v>
      </c>
      <c r="N176" s="959">
        <f t="shared" si="52"/>
        <v>1282320</v>
      </c>
      <c r="O176" s="896" t="str">
        <f>VLOOKUP($H:$H,[140]일위목록!$A:$B,2,FALSE)</f>
        <v>제105호표</v>
      </c>
    </row>
    <row r="177" spans="1:15" ht="18.75" customHeight="1">
      <c r="A177" s="962"/>
      <c r="B177" s="957" t="str">
        <f>[140]산출!B161</f>
        <v>유압쇽업쇼바 제작설치</v>
      </c>
      <c r="C177" s="939" t="str">
        <f>[140]산출!C161</f>
        <v>20kg</v>
      </c>
      <c r="D177" s="958">
        <f>[140]산출!G161</f>
        <v>0</v>
      </c>
      <c r="E177" s="935" t="str">
        <f t="shared" si="53"/>
        <v>유압쇽업쇼바제작설치20kgSET</v>
      </c>
      <c r="F177" s="896" t="str">
        <f>[140]산출!D161</f>
        <v>SET</v>
      </c>
      <c r="G177" s="936">
        <f>[140]산출!F161</f>
        <v>4</v>
      </c>
      <c r="H177" s="935" t="str">
        <f t="shared" si="51"/>
        <v>유압쇽업쇼바제작설치20kgSET</v>
      </c>
      <c r="I177" s="959">
        <f>VLOOKUP($H:$H,[140]일위목록!$A:$H,6,FALSE)</f>
        <v>39224</v>
      </c>
      <c r="J177" s="959">
        <f t="shared" si="54"/>
        <v>156896</v>
      </c>
      <c r="K177" s="959">
        <f>VLOOKUP($H:$H,[140]일위목록!$A:$H,7,FALSE)</f>
        <v>3792</v>
      </c>
      <c r="L177" s="959">
        <f t="shared" si="55"/>
        <v>15168</v>
      </c>
      <c r="M177" s="959">
        <f t="shared" si="52"/>
        <v>43016</v>
      </c>
      <c r="N177" s="959">
        <f t="shared" si="52"/>
        <v>172064</v>
      </c>
      <c r="O177" s="896" t="str">
        <f>VLOOKUP($H:$H,[140]일위목록!$A:$B,2,FALSE)</f>
        <v>제90호표</v>
      </c>
    </row>
    <row r="178" spans="1:15" ht="18.75" customHeight="1">
      <c r="A178" s="962"/>
      <c r="B178" s="957" t="str">
        <f>[140]산출!B162</f>
        <v>센터베어링및스톱파 가공조립</v>
      </c>
      <c r="C178" s="939" t="str">
        <f>[140]산출!C162</f>
        <v>독립형1단</v>
      </c>
      <c r="D178" s="958"/>
      <c r="E178" s="935" t="str">
        <f t="shared" si="53"/>
        <v>센터베어링및스톱파가공조립독립형1단SET</v>
      </c>
      <c r="F178" s="896" t="str">
        <f>[140]산출!D162</f>
        <v>SET</v>
      </c>
      <c r="G178" s="936">
        <f>[140]산출!F162</f>
        <v>2</v>
      </c>
      <c r="H178" s="935" t="str">
        <f t="shared" si="51"/>
        <v>센터베어링및스톱파가공조립독립형1단SET</v>
      </c>
      <c r="I178" s="959">
        <f>VLOOKUP($H:$H,[140]일위목록!$A:$H,6,FALSE)</f>
        <v>85000</v>
      </c>
      <c r="J178" s="959">
        <f t="shared" si="54"/>
        <v>170000</v>
      </c>
      <c r="K178" s="959">
        <f>VLOOKUP($H:$H,[140]일위목록!$A:$H,7,FALSE)</f>
        <v>62887</v>
      </c>
      <c r="L178" s="959">
        <f t="shared" si="55"/>
        <v>125774</v>
      </c>
      <c r="M178" s="959">
        <f t="shared" ref="M178:N192" si="56">SUM(I178,K178)</f>
        <v>147887</v>
      </c>
      <c r="N178" s="959">
        <f t="shared" si="56"/>
        <v>295774</v>
      </c>
      <c r="O178" s="896" t="str">
        <f>VLOOKUP($H:$H,[140]일위목록!$A:$B,2,FALSE)</f>
        <v>제108호표</v>
      </c>
    </row>
    <row r="179" spans="1:15" ht="18.75" customHeight="1">
      <c r="A179" s="962"/>
      <c r="B179" s="957" t="str">
        <f>[140]산출!B163</f>
        <v>전후진 전동콘트롤 제작설치</v>
      </c>
      <c r="C179" s="939" t="str">
        <f>[140]산출!C163</f>
        <v>독립형</v>
      </c>
      <c r="D179" s="958">
        <f>[140]산출!G163</f>
        <v>0</v>
      </c>
      <c r="E179" s="935" t="str">
        <f t="shared" si="53"/>
        <v>전후진전동콘트롤제작설치독립형SET</v>
      </c>
      <c r="F179" s="896" t="str">
        <f>[140]산출!D163</f>
        <v>SET</v>
      </c>
      <c r="G179" s="936">
        <f>[140]산출!F163</f>
        <v>2</v>
      </c>
      <c r="H179" s="935" t="str">
        <f t="shared" si="51"/>
        <v>전후진전동콘트롤제작설치독립형SET</v>
      </c>
      <c r="I179" s="959">
        <f>VLOOKUP($H:$H,[140]일위목록!$A:$H,6,FALSE)</f>
        <v>400000</v>
      </c>
      <c r="J179" s="959">
        <f t="shared" si="54"/>
        <v>800000</v>
      </c>
      <c r="K179" s="959">
        <f>VLOOKUP($H:$H,[140]일위목록!$A:$H,7,FALSE)</f>
        <v>65053</v>
      </c>
      <c r="L179" s="959">
        <f t="shared" si="55"/>
        <v>130106</v>
      </c>
      <c r="M179" s="959">
        <f t="shared" si="56"/>
        <v>465053</v>
      </c>
      <c r="N179" s="959">
        <f t="shared" si="56"/>
        <v>930106</v>
      </c>
      <c r="O179" s="896" t="str">
        <f>VLOOKUP($H:$H,[140]일위목록!$A:$B,2,FALSE)</f>
        <v>제111호표</v>
      </c>
    </row>
    <row r="180" spans="1:15" s="952" customFormat="1" ht="18.75" customHeight="1">
      <c r="A180" s="953"/>
      <c r="B180" s="947" t="str">
        <f>[140]산출!B164</f>
        <v>- 수장공사</v>
      </c>
      <c r="C180" s="954"/>
      <c r="D180" s="955"/>
      <c r="E180" s="948"/>
      <c r="F180" s="949"/>
      <c r="G180" s="950"/>
      <c r="H180" s="948"/>
      <c r="I180" s="951"/>
      <c r="J180" s="951"/>
      <c r="K180" s="951"/>
      <c r="L180" s="951"/>
      <c r="M180" s="951"/>
      <c r="N180" s="951"/>
      <c r="O180" s="949"/>
    </row>
    <row r="181" spans="1:15" ht="18.75" customHeight="1">
      <c r="A181" s="962"/>
      <c r="B181" s="957" t="str">
        <f>[140]산출!B165</f>
        <v>내부도배</v>
      </c>
      <c r="C181" s="939" t="str">
        <f>[140]산출!C165</f>
        <v>세마직벽지</v>
      </c>
      <c r="D181" s="958">
        <f>[140]산출!G165</f>
        <v>0</v>
      </c>
      <c r="E181" s="935" t="str">
        <f t="shared" ref="E181:E189" si="57">SUBSTITUTE(CONCATENATE(B:B,C:C,F:F)," ","")</f>
        <v>내부도배세마직벽지M2</v>
      </c>
      <c r="F181" s="896" t="str">
        <f>[140]산출!D165</f>
        <v>M2</v>
      </c>
      <c r="G181" s="936">
        <f>[140]산출!F165</f>
        <v>36.14</v>
      </c>
      <c r="H181" s="935" t="str">
        <f t="shared" si="51"/>
        <v>내부도배세마직벽지M2</v>
      </c>
      <c r="I181" s="959">
        <f>VLOOKUP($H:$H,[140]일위목록!$A:$H,6,FALSE)</f>
        <v>47152</v>
      </c>
      <c r="J181" s="959">
        <f t="shared" ref="J181:J187" si="58">TRUNC($G:$G*I:I)</f>
        <v>1704073</v>
      </c>
      <c r="K181" s="959">
        <f>VLOOKUP($H:$H,[140]일위목록!$A:$H,7,FALSE)</f>
        <v>5222</v>
      </c>
      <c r="L181" s="959">
        <f t="shared" ref="L181:L187" si="59">TRUNC($G:$G*K:K)</f>
        <v>188723</v>
      </c>
      <c r="M181" s="959">
        <f t="shared" si="56"/>
        <v>52374</v>
      </c>
      <c r="N181" s="959">
        <f t="shared" si="56"/>
        <v>1892796</v>
      </c>
      <c r="O181" s="896" t="str">
        <f>VLOOKUP($H:$H,[140]일위목록!$A:$B,2,FALSE)</f>
        <v>제56호표</v>
      </c>
    </row>
    <row r="182" spans="1:15" ht="18.75" customHeight="1">
      <c r="A182" s="962"/>
      <c r="B182" s="957" t="str">
        <f>[140]산출!B166</f>
        <v>바탕처리</v>
      </c>
      <c r="C182" s="939" t="str">
        <f>[140]산출!C166</f>
        <v>도배퍼티</v>
      </c>
      <c r="D182" s="958">
        <f>[140]산출!G166</f>
        <v>0</v>
      </c>
      <c r="E182" s="935" t="str">
        <f t="shared" si="57"/>
        <v>바탕처리도배퍼티M2</v>
      </c>
      <c r="F182" s="896" t="str">
        <f>[140]산출!D166</f>
        <v>M2</v>
      </c>
      <c r="G182" s="936">
        <f>[140]산출!F166</f>
        <v>36.14</v>
      </c>
      <c r="H182" s="935" t="str">
        <f t="shared" si="51"/>
        <v>바탕처리도배퍼티M2</v>
      </c>
      <c r="I182" s="959">
        <f>VLOOKUP($H:$H,[140]일위목록!$A:$H,6,FALSE)</f>
        <v>1160</v>
      </c>
      <c r="J182" s="959">
        <f t="shared" si="58"/>
        <v>41922</v>
      </c>
      <c r="K182" s="959">
        <f>VLOOKUP($H:$H,[140]일위목록!$A:$H,7,FALSE)</f>
        <v>7711</v>
      </c>
      <c r="L182" s="959">
        <f t="shared" si="59"/>
        <v>278675</v>
      </c>
      <c r="M182" s="959">
        <f t="shared" si="56"/>
        <v>8871</v>
      </c>
      <c r="N182" s="959">
        <f t="shared" si="56"/>
        <v>320597</v>
      </c>
      <c r="O182" s="896" t="str">
        <f>VLOOKUP($H:$H,[140]일위목록!$A:$B,2,FALSE)</f>
        <v>제55호표</v>
      </c>
    </row>
    <row r="183" spans="1:15" ht="18.75" customHeight="1">
      <c r="A183" s="962"/>
      <c r="B183" s="957" t="str">
        <f>[140]산출!B167</f>
        <v>합판취부</v>
      </c>
      <c r="C183" s="939" t="str">
        <f>[140]산출!C167</f>
        <v>T11.5mm 2PLY</v>
      </c>
      <c r="D183" s="958">
        <f>[140]산출!G167</f>
        <v>0</v>
      </c>
      <c r="E183" s="935" t="str">
        <f t="shared" si="57"/>
        <v>합판취부T11.5mm2PLYM2</v>
      </c>
      <c r="F183" s="896" t="str">
        <f>[140]산출!D167</f>
        <v>M2</v>
      </c>
      <c r="G183" s="936">
        <f>[140]산출!F167</f>
        <v>6</v>
      </c>
      <c r="H183" s="935" t="str">
        <f t="shared" si="51"/>
        <v>합판취부T11.5mm2PLYM2</v>
      </c>
      <c r="I183" s="959">
        <f>VLOOKUP($H:$H,[140]일위목록!$A:$H,6,FALSE)</f>
        <v>19751</v>
      </c>
      <c r="J183" s="959">
        <f t="shared" si="58"/>
        <v>118506</v>
      </c>
      <c r="K183" s="959">
        <f>VLOOKUP($H:$H,[140]일위목록!$A:$H,7,FALSE)</f>
        <v>35580</v>
      </c>
      <c r="L183" s="959">
        <f t="shared" si="59"/>
        <v>213480</v>
      </c>
      <c r="M183" s="959">
        <f t="shared" si="56"/>
        <v>55331</v>
      </c>
      <c r="N183" s="959">
        <f t="shared" si="56"/>
        <v>331986</v>
      </c>
      <c r="O183" s="896" t="str">
        <f>VLOOKUP($H:$H,[140]일위목록!$A:$B,2,FALSE)</f>
        <v>제43호표</v>
      </c>
    </row>
    <row r="184" spans="1:15" ht="18.75" customHeight="1">
      <c r="A184" s="962"/>
      <c r="B184" s="957" t="str">
        <f>[140]산출!B168</f>
        <v>합판취부</v>
      </c>
      <c r="C184" s="939" t="str">
        <f>[140]산출!C168</f>
        <v>T8.5mm 1PLY</v>
      </c>
      <c r="D184" s="958">
        <f>[140]산출!G168</f>
        <v>0</v>
      </c>
      <c r="E184" s="935" t="str">
        <f t="shared" si="57"/>
        <v>합판취부T8.5mm1PLYM2</v>
      </c>
      <c r="F184" s="896" t="str">
        <f>[140]산출!D168</f>
        <v>M2</v>
      </c>
      <c r="G184" s="936">
        <f>[140]산출!F168</f>
        <v>36</v>
      </c>
      <c r="H184" s="935" t="str">
        <f t="shared" si="51"/>
        <v>합판취부T8.5mm1PLYM2</v>
      </c>
      <c r="I184" s="959">
        <f>VLOOKUP($H:$H,[140]일위목록!$A:$H,6,FALSE)</f>
        <v>8361</v>
      </c>
      <c r="J184" s="959">
        <f t="shared" si="58"/>
        <v>300996</v>
      </c>
      <c r="K184" s="959">
        <f>VLOOKUP($H:$H,[140]일위목록!$A:$H,7,FALSE)</f>
        <v>54043</v>
      </c>
      <c r="L184" s="959">
        <f t="shared" si="59"/>
        <v>1945548</v>
      </c>
      <c r="M184" s="959">
        <f t="shared" si="56"/>
        <v>62404</v>
      </c>
      <c r="N184" s="959">
        <f t="shared" si="56"/>
        <v>2246544</v>
      </c>
      <c r="O184" s="896" t="str">
        <f>VLOOKUP($H:$H,[140]일위목록!$A:$B,2,FALSE)</f>
        <v>제44호표</v>
      </c>
    </row>
    <row r="185" spans="1:15" ht="18.75" customHeight="1">
      <c r="A185" s="962"/>
      <c r="B185" s="957" t="str">
        <f>[140]산출!B169</f>
        <v>진열장석고보드취부</v>
      </c>
      <c r="C185" s="939" t="str">
        <f>[140]산출!C169</f>
        <v>T9.5mm*2PLY</v>
      </c>
      <c r="D185" s="958">
        <f>[140]산출!G169</f>
        <v>0</v>
      </c>
      <c r="E185" s="935" t="str">
        <f t="shared" si="57"/>
        <v>진열장석고보드취부T9.5mm*2PLYM2</v>
      </c>
      <c r="F185" s="896" t="str">
        <f>[140]산출!D169</f>
        <v>M2</v>
      </c>
      <c r="G185" s="936">
        <f>[140]산출!F169</f>
        <v>3.5</v>
      </c>
      <c r="H185" s="935" t="str">
        <f t="shared" si="51"/>
        <v>진열장석고보드취부T9.5mm*2PLYM2</v>
      </c>
      <c r="I185" s="959">
        <f>VLOOKUP($H:$H,[140]일위목록!$A:$H,6,FALSE)</f>
        <v>18275</v>
      </c>
      <c r="J185" s="959">
        <f t="shared" si="58"/>
        <v>63962</v>
      </c>
      <c r="K185" s="959">
        <f>VLOOKUP($H:$H,[140]일위목록!$A:$H,7,FALSE)</f>
        <v>21540</v>
      </c>
      <c r="L185" s="959">
        <f t="shared" si="59"/>
        <v>75390</v>
      </c>
      <c r="M185" s="959">
        <f t="shared" si="56"/>
        <v>39815</v>
      </c>
      <c r="N185" s="959">
        <f t="shared" si="56"/>
        <v>139352</v>
      </c>
      <c r="O185" s="896" t="str">
        <f>VLOOKUP($H:$H,[140]일위목록!$A:$B,2,FALSE)</f>
        <v>제68호표</v>
      </c>
    </row>
    <row r="186" spans="1:15" ht="18.75" customHeight="1">
      <c r="A186" s="962"/>
      <c r="B186" s="957" t="str">
        <f>[140]산출!B170</f>
        <v>우레탄칼라락카도장</v>
      </c>
      <c r="C186" s="939" t="str">
        <f>[140]산출!C170</f>
        <v>철재면기준</v>
      </c>
      <c r="D186" s="958">
        <f>[140]산출!G170</f>
        <v>0</v>
      </c>
      <c r="E186" s="935" t="str">
        <f t="shared" si="57"/>
        <v>우레탄칼라락카도장철재면기준M2</v>
      </c>
      <c r="F186" s="896" t="str">
        <f>[140]산출!D170</f>
        <v>M2</v>
      </c>
      <c r="G186" s="936">
        <f>[140]산출!F170</f>
        <v>27.599400000000003</v>
      </c>
      <c r="H186" s="935" t="str">
        <f t="shared" si="51"/>
        <v>우레탄칼라락카도장철재면기준M2</v>
      </c>
      <c r="I186" s="959">
        <f>VLOOKUP($H:$H,[140]일위목록!$A:$H,6,FALSE)</f>
        <v>16103</v>
      </c>
      <c r="J186" s="959">
        <f t="shared" si="58"/>
        <v>444433</v>
      </c>
      <c r="K186" s="959">
        <f>VLOOKUP($H:$H,[140]일위목록!$A:$H,7,FALSE)</f>
        <v>22265</v>
      </c>
      <c r="L186" s="959">
        <f t="shared" si="59"/>
        <v>614500</v>
      </c>
      <c r="M186" s="959">
        <f t="shared" si="56"/>
        <v>38368</v>
      </c>
      <c r="N186" s="959">
        <f t="shared" si="56"/>
        <v>1058933</v>
      </c>
      <c r="O186" s="896" t="str">
        <f>VLOOKUP($H:$H,[140]일위목록!$A:$B,2,FALSE)</f>
        <v>제40호표</v>
      </c>
    </row>
    <row r="187" spans="1:15" ht="18.75" customHeight="1">
      <c r="A187" s="962"/>
      <c r="B187" s="957" t="str">
        <f>[140]산출!B171</f>
        <v>바탕처리</v>
      </c>
      <c r="C187" s="939" t="str">
        <f>[140]산출!C171</f>
        <v>철재면기준</v>
      </c>
      <c r="D187" s="958">
        <f>[140]산출!G171</f>
        <v>0</v>
      </c>
      <c r="E187" s="935" t="str">
        <f t="shared" si="57"/>
        <v>바탕처리철재면기준M2</v>
      </c>
      <c r="F187" s="896" t="str">
        <f>[140]산출!D171</f>
        <v>M2</v>
      </c>
      <c r="G187" s="936">
        <f>[140]산출!F171</f>
        <v>27.599400000000003</v>
      </c>
      <c r="H187" s="935" t="str">
        <f t="shared" si="51"/>
        <v>바탕처리철재면기준M2</v>
      </c>
      <c r="I187" s="959">
        <f>VLOOKUP($H:$H,[140]일위목록!$A:$H,6,FALSE)</f>
        <v>4891</v>
      </c>
      <c r="J187" s="959">
        <f t="shared" si="58"/>
        <v>134988</v>
      </c>
      <c r="K187" s="959">
        <f>VLOOKUP($H:$H,[140]일위목록!$A:$H,7,FALSE)</f>
        <v>15314</v>
      </c>
      <c r="L187" s="959">
        <f t="shared" si="59"/>
        <v>422657</v>
      </c>
      <c r="M187" s="959">
        <f t="shared" si="56"/>
        <v>20205</v>
      </c>
      <c r="N187" s="959">
        <f t="shared" si="56"/>
        <v>557645</v>
      </c>
      <c r="O187" s="896" t="str">
        <f>VLOOKUP($H:$H,[140]일위목록!$A:$B,2,FALSE)</f>
        <v>제41호표</v>
      </c>
    </row>
    <row r="188" spans="1:15" s="952" customFormat="1" ht="18.75" customHeight="1">
      <c r="A188" s="953"/>
      <c r="B188" s="947" t="str">
        <f>[140]산출!B172</f>
        <v>- 유리공사</v>
      </c>
      <c r="C188" s="954"/>
      <c r="D188" s="955">
        <f>[140]산출!G172</f>
        <v>0</v>
      </c>
      <c r="E188" s="948" t="str">
        <f t="shared" si="57"/>
        <v>-유리공사</v>
      </c>
      <c r="F188" s="949"/>
      <c r="G188" s="950"/>
      <c r="H188" s="948"/>
      <c r="I188" s="951"/>
      <c r="J188" s="951"/>
      <c r="K188" s="951"/>
      <c r="L188" s="951"/>
      <c r="M188" s="951"/>
      <c r="N188" s="951"/>
      <c r="O188" s="949"/>
    </row>
    <row r="189" spans="1:15" ht="18.75" customHeight="1">
      <c r="A189" s="962"/>
      <c r="B189" s="957" t="str">
        <f>[140]산출!B173</f>
        <v>화이트 접합유리 끼우기</v>
      </c>
      <c r="C189" s="957" t="str">
        <f>[140]산출!C173</f>
        <v>T12.76mm (2,400*3,400기준)</v>
      </c>
      <c r="D189" s="958">
        <f>[140]산출!G173</f>
        <v>0</v>
      </c>
      <c r="E189" s="935" t="str">
        <f t="shared" si="57"/>
        <v>화이트접합유리끼우기T12.76mm(2,400*3,400기준)M2</v>
      </c>
      <c r="F189" s="896" t="str">
        <f>[140]산출!D173</f>
        <v>M2</v>
      </c>
      <c r="G189" s="936">
        <f>[140]산출!F173</f>
        <v>14.100000000000001</v>
      </c>
      <c r="H189" s="935" t="str">
        <f t="shared" si="51"/>
        <v>화이트접합유리끼우기T12.76mm(2,400*3,400기준)M2</v>
      </c>
      <c r="I189" s="959">
        <f>VLOOKUP($H:$H,[140]일위목록!$A:$H,6,FALSE)</f>
        <v>225283</v>
      </c>
      <c r="J189" s="959">
        <f>TRUNC($G:$G*I:I)</f>
        <v>3176490</v>
      </c>
      <c r="K189" s="959">
        <f>VLOOKUP($H:$H,[140]일위목록!$A:$H,7,FALSE)</f>
        <v>71881</v>
      </c>
      <c r="L189" s="959">
        <f>TRUNC($G:$G*K:K)</f>
        <v>1013522</v>
      </c>
      <c r="M189" s="959">
        <f t="shared" si="56"/>
        <v>297164</v>
      </c>
      <c r="N189" s="959">
        <f t="shared" si="56"/>
        <v>4190012</v>
      </c>
      <c r="O189" s="896" t="str">
        <f>VLOOKUP($H:$H,[140]일위목록!$A:$B,2,FALSE)</f>
        <v>제63호표</v>
      </c>
    </row>
    <row r="190" spans="1:15" s="952" customFormat="1" ht="18.75" customHeight="1">
      <c r="A190" s="953"/>
      <c r="B190" s="947" t="str">
        <f>[140]산출!B174</f>
        <v>조명용아크릴 가공 설치</v>
      </c>
      <c r="C190" s="947" t="str">
        <f>[140]산출!C174</f>
        <v>T5mm</v>
      </c>
      <c r="D190" s="955"/>
      <c r="E190" s="948"/>
      <c r="F190" s="896" t="str">
        <f>[140]산출!D174</f>
        <v>m2</v>
      </c>
      <c r="G190" s="936">
        <f>[140]산출!F174</f>
        <v>0.75</v>
      </c>
      <c r="H190" s="935" t="str">
        <f t="shared" si="51"/>
        <v>조명용아크릴가공설치T5mmm2</v>
      </c>
      <c r="I190" s="959">
        <f>VLOOKUP($H:$H,[140]일위목록!$A:$H,6,FALSE)</f>
        <v>74550</v>
      </c>
      <c r="J190" s="959">
        <f>TRUNC($G:$G*I:I)</f>
        <v>55912</v>
      </c>
      <c r="K190" s="959">
        <f>VLOOKUP($H:$H,[140]일위목록!$A:$H,7,FALSE)</f>
        <v>19211</v>
      </c>
      <c r="L190" s="959">
        <f>TRUNC($G:$G*K:K)</f>
        <v>14408</v>
      </c>
      <c r="M190" s="959">
        <f t="shared" si="56"/>
        <v>93761</v>
      </c>
      <c r="N190" s="959">
        <f t="shared" si="56"/>
        <v>70320</v>
      </c>
      <c r="O190" s="896" t="str">
        <f>VLOOKUP($H:$H,[140]일위목록!$A:$B,2,FALSE)</f>
        <v>제67호표</v>
      </c>
    </row>
    <row r="191" spans="1:15" ht="18.75" customHeight="1">
      <c r="A191" s="962"/>
      <c r="B191" s="957" t="str">
        <f>[140]산출!B175</f>
        <v>코킹</v>
      </c>
      <c r="C191" s="939"/>
      <c r="D191" s="958">
        <f>[140]산출!G175</f>
        <v>0</v>
      </c>
      <c r="E191" s="935" t="str">
        <f>SUBSTITUTE(CONCATENATE(B:B,C:C,F:F)," ","")</f>
        <v>코킹M</v>
      </c>
      <c r="F191" s="896" t="str">
        <f>[140]산출!D175</f>
        <v>M</v>
      </c>
      <c r="G191" s="936">
        <f>[140]산출!F175</f>
        <v>46.92</v>
      </c>
      <c r="H191" s="935" t="str">
        <f t="shared" si="51"/>
        <v>코킹M</v>
      </c>
      <c r="I191" s="959">
        <f>VLOOKUP($H:$H,[140]일위목록!$A:$H,6,FALSE)</f>
        <v>880</v>
      </c>
      <c r="J191" s="959">
        <f>TRUNC($G:$G*I:I)</f>
        <v>41289</v>
      </c>
      <c r="K191" s="959">
        <f>VLOOKUP($H:$H,[140]일위목록!$A:$H,7,FALSE)</f>
        <v>6064</v>
      </c>
      <c r="L191" s="959">
        <f>TRUNC($G:$G*K:K)</f>
        <v>284522</v>
      </c>
      <c r="M191" s="959">
        <f t="shared" si="56"/>
        <v>6944</v>
      </c>
      <c r="N191" s="959">
        <f t="shared" si="56"/>
        <v>325811</v>
      </c>
      <c r="O191" s="896" t="str">
        <f>VLOOKUP($H:$H,[140]일위목록!$A:$B,2,FALSE)</f>
        <v>제45호표</v>
      </c>
    </row>
    <row r="192" spans="1:15" ht="18.75" customHeight="1">
      <c r="A192" s="962"/>
      <c r="B192" s="957" t="str">
        <f>[140]산출!B176</f>
        <v>면    취</v>
      </c>
      <c r="C192" s="939"/>
      <c r="D192" s="958">
        <f>[140]산출!G176</f>
        <v>0</v>
      </c>
      <c r="E192" s="935" t="str">
        <f>SUBSTITUTE(CONCATENATE(B:B,C:C,F:F)," ","")</f>
        <v>면취M</v>
      </c>
      <c r="F192" s="896" t="str">
        <f>[140]산출!D176</f>
        <v>M</v>
      </c>
      <c r="G192" s="936">
        <f>[140]산출!F176</f>
        <v>42.56</v>
      </c>
      <c r="H192" s="935" t="str">
        <f t="shared" si="51"/>
        <v>면취M</v>
      </c>
      <c r="I192" s="959">
        <f>VLOOKUP($H:$H,[140]일위목록!$A:$H,6,FALSE)</f>
        <v>11000</v>
      </c>
      <c r="J192" s="959">
        <f>TRUNC($G:$G*I:I)</f>
        <v>468160</v>
      </c>
      <c r="K192" s="959">
        <f>VLOOKUP($H:$H,[140]일위목록!$A:$H,7,FALSE)</f>
        <v>0</v>
      </c>
      <c r="L192" s="959">
        <f>TRUNC($G:$G*K:K)</f>
        <v>0</v>
      </c>
      <c r="M192" s="959">
        <f t="shared" si="56"/>
        <v>11000</v>
      </c>
      <c r="N192" s="959">
        <f t="shared" si="56"/>
        <v>468160</v>
      </c>
      <c r="O192" s="896" t="str">
        <f>VLOOKUP($H:$H,[140]일위목록!$A:$B,2,FALSE)</f>
        <v>단가-77번</v>
      </c>
    </row>
    <row r="193" spans="1:15" ht="18.75" customHeight="1">
      <c r="A193" s="962"/>
      <c r="B193" s="957" t="str">
        <f>[140]산출!B177</f>
        <v>- 전기공사</v>
      </c>
      <c r="C193" s="939"/>
      <c r="D193" s="958"/>
      <c r="E193" s="935"/>
      <c r="F193" s="896"/>
      <c r="G193" s="936"/>
      <c r="H193" s="935"/>
      <c r="I193" s="959"/>
      <c r="J193" s="959"/>
      <c r="K193" s="959"/>
      <c r="L193" s="959"/>
      <c r="M193" s="959"/>
      <c r="N193" s="959"/>
      <c r="O193" s="896"/>
    </row>
    <row r="194" spans="1:15" ht="18.75" customHeight="1">
      <c r="A194" s="962"/>
      <c r="B194" s="957" t="str">
        <f>[140]산출!B178</f>
        <v>LED 포인트조명설치(벽부형)</v>
      </c>
      <c r="C194" s="939" t="str">
        <f>[140]산출!C178</f>
        <v>15W이하</v>
      </c>
      <c r="D194" s="958">
        <f>[140]산출!G178</f>
        <v>0</v>
      </c>
      <c r="E194" s="935" t="str">
        <f>SUBSTITUTE(CONCATENATE(B:B,C:C,F:F)," ","")</f>
        <v>LED포인트조명설치(벽부형)15W이하ea</v>
      </c>
      <c r="F194" s="896" t="str">
        <f>[140]산출!D178</f>
        <v>ea</v>
      </c>
      <c r="G194" s="936">
        <f>[140]산출!F178</f>
        <v>13</v>
      </c>
      <c r="H194" s="935" t="str">
        <f t="shared" si="51"/>
        <v>LED포인트조명설치(벽부형)15W이하ea</v>
      </c>
      <c r="I194" s="959">
        <f>VLOOKUP($H:$H,[140]일위목록!$A:$H,6,FALSE)</f>
        <v>178500</v>
      </c>
      <c r="J194" s="959">
        <f>TRUNC($G:$G*I:I)</f>
        <v>2320500</v>
      </c>
      <c r="K194" s="959">
        <f>VLOOKUP($H:$H,[140]일위목록!$A:$H,7,FALSE)</f>
        <v>26372</v>
      </c>
      <c r="L194" s="959">
        <f>TRUNC($G:$G*K:K)</f>
        <v>342836</v>
      </c>
      <c r="M194" s="959">
        <f t="shared" ref="M194:N197" si="60">SUM(I194,K194)</f>
        <v>204872</v>
      </c>
      <c r="N194" s="959">
        <f t="shared" si="60"/>
        <v>2663336</v>
      </c>
      <c r="O194" s="896" t="str">
        <f>VLOOKUP($H:$H,[140]일위목록!$A:$B,2,FALSE)</f>
        <v>제81호표</v>
      </c>
    </row>
    <row r="195" spans="1:15" ht="18.75" customHeight="1">
      <c r="A195" s="962"/>
      <c r="B195" s="957" t="str">
        <f>[140]산출!B179</f>
        <v>LED bar조명설치</v>
      </c>
      <c r="C195" s="939" t="str">
        <f>[140]산출!C179</f>
        <v>30W이하</v>
      </c>
      <c r="D195" s="958">
        <f>[140]산출!G179</f>
        <v>0</v>
      </c>
      <c r="E195" s="935" t="str">
        <f>SUBSTITUTE(CONCATENATE(B:B,C:C,F:F)," ","")</f>
        <v>LEDbar조명설치30W이하M</v>
      </c>
      <c r="F195" s="896" t="str">
        <f>[140]산출!D179</f>
        <v>M</v>
      </c>
      <c r="G195" s="936">
        <f>[140]산출!F179</f>
        <v>10</v>
      </c>
      <c r="H195" s="935" t="str">
        <f t="shared" si="51"/>
        <v>LEDbar조명설치30W이하M</v>
      </c>
      <c r="I195" s="959">
        <f>VLOOKUP($H:$H,[140]일위목록!$A:$H,6,FALSE)</f>
        <v>105000</v>
      </c>
      <c r="J195" s="959">
        <f>TRUNC($G:$G*I:I)</f>
        <v>1050000</v>
      </c>
      <c r="K195" s="959">
        <f>VLOOKUP($H:$H,[140]일위목록!$A:$H,7,FALSE)</f>
        <v>26372</v>
      </c>
      <c r="L195" s="959">
        <f>TRUNC($G:$G*K:K)</f>
        <v>263720</v>
      </c>
      <c r="M195" s="959">
        <f t="shared" si="60"/>
        <v>131372</v>
      </c>
      <c r="N195" s="959">
        <f t="shared" si="60"/>
        <v>1313720</v>
      </c>
      <c r="O195" s="896" t="str">
        <f>VLOOKUP($H:$H,[140]일위목록!$A:$B,2,FALSE)</f>
        <v>제83호표</v>
      </c>
    </row>
    <row r="196" spans="1:15" ht="18.75" customHeight="1">
      <c r="A196" s="962"/>
      <c r="B196" s="957" t="str">
        <f>[140]산출!B180</f>
        <v>LED 포인트조명 컨트롤제작설치</v>
      </c>
      <c r="C196" s="939" t="str">
        <f>[140]산출!C180</f>
        <v>컨트롤러(16채널)</v>
      </c>
      <c r="D196" s="958">
        <f>[140]산출!G180</f>
        <v>0</v>
      </c>
      <c r="E196" s="935" t="str">
        <f>SUBSTITUTE(CONCATENATE(B:B,C:C,F:F)," ","")</f>
        <v>LED포인트조명컨트롤제작설치컨트롤러(16채널)set</v>
      </c>
      <c r="F196" s="896" t="str">
        <f>[140]산출!D180</f>
        <v>set</v>
      </c>
      <c r="G196" s="936">
        <f>[140]산출!F180</f>
        <v>1</v>
      </c>
      <c r="H196" s="935" t="str">
        <f t="shared" si="51"/>
        <v>LED포인트조명컨트롤제작설치컨트롤러(16채널)set</v>
      </c>
      <c r="I196" s="959">
        <f>VLOOKUP($H:$H,[140]일위목록!$A:$H,6,FALSE)</f>
        <v>650000</v>
      </c>
      <c r="J196" s="959">
        <f>TRUNC($G:$G*I:I)</f>
        <v>650000</v>
      </c>
      <c r="K196" s="959">
        <f>VLOOKUP($H:$H,[140]일위목록!$A:$H,7,FALSE)</f>
        <v>90163</v>
      </c>
      <c r="L196" s="959">
        <f>TRUNC($G:$G*K:K)</f>
        <v>90163</v>
      </c>
      <c r="M196" s="959">
        <f t="shared" si="60"/>
        <v>740163</v>
      </c>
      <c r="N196" s="959">
        <f t="shared" si="60"/>
        <v>740163</v>
      </c>
      <c r="O196" s="896" t="str">
        <f>VLOOKUP($H:$H,[140]일위목록!$A:$B,2,FALSE)</f>
        <v>제85호표</v>
      </c>
    </row>
    <row r="197" spans="1:15" ht="18.75" customHeight="1">
      <c r="A197" s="962"/>
      <c r="B197" s="957" t="str">
        <f>[140]산출!B181</f>
        <v>LED bar조명 컨트롤제작설치</v>
      </c>
      <c r="C197" s="939" t="str">
        <f>[140]산출!C181</f>
        <v>컨트롤러</v>
      </c>
      <c r="D197" s="958">
        <f>[140]산출!G181</f>
        <v>0</v>
      </c>
      <c r="E197" s="935" t="str">
        <f>SUBSTITUTE(CONCATENATE(B:B,C:C,F:F)," ","")</f>
        <v>LEDbar조명컨트롤제작설치컨트롤러set</v>
      </c>
      <c r="F197" s="896" t="str">
        <f>[140]산출!D181</f>
        <v>set</v>
      </c>
      <c r="G197" s="936">
        <f>[140]산출!F181</f>
        <v>1</v>
      </c>
      <c r="H197" s="935" t="str">
        <f t="shared" si="51"/>
        <v>LEDbar조명컨트롤제작설치컨트롤러set</v>
      </c>
      <c r="I197" s="959">
        <f>VLOOKUP($H:$H,[140]일위목록!$A:$H,6,FALSE)</f>
        <v>530000</v>
      </c>
      <c r="J197" s="959">
        <f>TRUNC($G:$G*I:I)</f>
        <v>530000</v>
      </c>
      <c r="K197" s="959">
        <f>VLOOKUP($H:$H,[140]일위목록!$A:$H,7,FALSE)</f>
        <v>112704</v>
      </c>
      <c r="L197" s="959">
        <f>TRUNC($G:$G*K:K)</f>
        <v>112704</v>
      </c>
      <c r="M197" s="959">
        <f t="shared" si="60"/>
        <v>642704</v>
      </c>
      <c r="N197" s="959">
        <f t="shared" si="60"/>
        <v>642704</v>
      </c>
      <c r="O197" s="896" t="str">
        <f>VLOOKUP($H:$H,[140]일위목록!$A:$B,2,FALSE)</f>
        <v>제87호표</v>
      </c>
    </row>
    <row r="198" spans="1:15" ht="18.75" customHeight="1">
      <c r="A198" s="956"/>
      <c r="B198" s="957"/>
      <c r="C198" s="939"/>
      <c r="D198" s="958"/>
      <c r="E198" s="935"/>
      <c r="F198" s="896"/>
      <c r="G198" s="936"/>
      <c r="H198" s="935"/>
      <c r="I198" s="959"/>
      <c r="J198" s="959"/>
      <c r="K198" s="959"/>
      <c r="L198" s="959"/>
      <c r="M198" s="959"/>
      <c r="N198" s="959"/>
      <c r="O198" s="896"/>
    </row>
    <row r="199" spans="1:15" s="952" customFormat="1" ht="18.75" customHeight="1">
      <c r="A199" s="960"/>
      <c r="B199" s="947" t="s">
        <v>6585</v>
      </c>
      <c r="C199" s="954"/>
      <c r="D199" s="961"/>
      <c r="E199" s="948"/>
      <c r="F199" s="949"/>
      <c r="G199" s="950"/>
      <c r="H199" s="948" t="str">
        <f>SUBSTITUTE(CONCATENATE(B199,C199,F199)," ","")</f>
        <v>소계</v>
      </c>
      <c r="I199" s="951"/>
      <c r="J199" s="951">
        <f>SUM(J149:J198)</f>
        <v>26635579</v>
      </c>
      <c r="K199" s="951"/>
      <c r="L199" s="951">
        <f>SUM(L149:L198)</f>
        <v>15436563</v>
      </c>
      <c r="M199" s="951"/>
      <c r="N199" s="951">
        <f>SUM(N149:N198)</f>
        <v>42072142</v>
      </c>
      <c r="O199" s="949"/>
    </row>
    <row r="200" spans="1:15" s="952" customFormat="1" ht="18.75" customHeight="1">
      <c r="A200" s="960"/>
      <c r="B200" s="947"/>
      <c r="C200" s="954"/>
      <c r="D200" s="955"/>
      <c r="E200" s="948"/>
      <c r="F200" s="949"/>
      <c r="G200" s="950"/>
      <c r="H200" s="948"/>
      <c r="I200" s="951"/>
      <c r="J200" s="951"/>
      <c r="K200" s="951"/>
      <c r="L200" s="951"/>
      <c r="M200" s="951"/>
      <c r="N200" s="951"/>
      <c r="O200" s="949"/>
    </row>
    <row r="201" spans="1:15" ht="18.75" customHeight="1">
      <c r="A201" s="956"/>
      <c r="B201" s="957"/>
      <c r="C201" s="939"/>
      <c r="D201" s="958"/>
      <c r="E201" s="935"/>
      <c r="F201" s="896"/>
      <c r="G201" s="936"/>
      <c r="H201" s="935"/>
      <c r="I201" s="959"/>
      <c r="J201" s="959"/>
      <c r="K201" s="959"/>
      <c r="L201" s="959"/>
      <c r="M201" s="959"/>
      <c r="N201" s="959"/>
      <c r="O201" s="896"/>
    </row>
    <row r="202" spans="1:15" s="952" customFormat="1" ht="18.75" customHeight="1">
      <c r="A202" s="947" t="str">
        <f>[140]산출!A193</f>
        <v>SC-202</v>
      </c>
      <c r="B202" s="947" t="str">
        <f>[140]산출!B193</f>
        <v>벽부형진열장(전동형)</v>
      </c>
      <c r="C202" s="954" t="str">
        <f>[140]산출!C193</f>
        <v>L: 6000 D: 1000 H: 3600 FH: 300 GH: 2600 UH: 700</v>
      </c>
      <c r="D202" s="955">
        <f>[140]산출!G193</f>
        <v>0</v>
      </c>
      <c r="E202" s="948" t="str">
        <f>SUBSTITUTE(CONCATENATE(B:B,C:C,F:F)," ","")</f>
        <v>벽부형진열장(전동형)L:6000D:1000H:3600FH:300GH:2600UH:700SET</v>
      </c>
      <c r="F202" s="949" t="str">
        <f>[140]산출!D193</f>
        <v>SET</v>
      </c>
      <c r="G202" s="950">
        <f>[140]산출!F193</f>
        <v>4</v>
      </c>
      <c r="H202" s="948" t="str">
        <f t="shared" ref="H202" si="61">SUBSTITUTE(CONCATENATE(B202,C202,F202)," ","")</f>
        <v>벽부형진열장(전동형)L:6000D:1000H:3600FH:300GH:2600UH:700SET</v>
      </c>
      <c r="I202" s="951"/>
      <c r="J202" s="951"/>
      <c r="K202" s="951"/>
      <c r="L202" s="951"/>
      <c r="M202" s="951"/>
      <c r="N202" s="951"/>
      <c r="O202" s="949"/>
    </row>
    <row r="203" spans="1:15" s="952" customFormat="1" ht="18.75" customHeight="1">
      <c r="A203" s="953"/>
      <c r="B203" s="947" t="str">
        <f>[140]산출!B194</f>
        <v>- 구조틀</v>
      </c>
      <c r="C203" s="954"/>
      <c r="D203" s="955"/>
      <c r="E203" s="948"/>
      <c r="F203" s="949"/>
      <c r="G203" s="950"/>
      <c r="H203" s="948"/>
      <c r="I203" s="951"/>
      <c r="J203" s="951"/>
      <c r="K203" s="951"/>
      <c r="L203" s="951"/>
      <c r="M203" s="951"/>
      <c r="N203" s="951"/>
      <c r="O203" s="949"/>
    </row>
    <row r="204" spans="1:15" ht="18.75" customHeight="1">
      <c r="A204" s="962"/>
      <c r="B204" s="957" t="str">
        <f>[140]산출!B195</f>
        <v>각파이프(방청)</v>
      </c>
      <c r="C204" s="939" t="str">
        <f>[140]산출!C195</f>
        <v>50*50*1.4T</v>
      </c>
      <c r="D204" s="958">
        <f>[140]산출!G195</f>
        <v>0</v>
      </c>
      <c r="E204" s="935" t="str">
        <f>SUBSTITUTE(CONCATENATE(B:B,C:C,F:F)," ","")</f>
        <v>각파이프(방청)50*50*1.4TM</v>
      </c>
      <c r="F204" s="896" t="str">
        <f>[140]산출!D195</f>
        <v>M</v>
      </c>
      <c r="G204" s="936">
        <f>[140]산출!F195</f>
        <v>187.7</v>
      </c>
      <c r="H204" s="935" t="str">
        <f t="shared" ref="H204:H215" si="62">SUBSTITUTE(CONCATENATE(B204,C204,F204)," ","")</f>
        <v>각파이프(방청)50*50*1.4TM</v>
      </c>
      <c r="I204" s="959">
        <f>VLOOKUP($H:$H,[140]일위목록!$A:$H,6,FALSE)</f>
        <v>3111</v>
      </c>
      <c r="J204" s="959">
        <f>TRUNC($G:$G*I:I)</f>
        <v>583934</v>
      </c>
      <c r="K204" s="959">
        <f>VLOOKUP($H:$H,[140]일위목록!$A:$H,7,FALSE)</f>
        <v>16978</v>
      </c>
      <c r="L204" s="959">
        <f>TRUNC($G:$G*K:K)</f>
        <v>3186770</v>
      </c>
      <c r="M204" s="959">
        <f t="shared" ref="M204:N215" si="63">SUM(I204,K204)</f>
        <v>20089</v>
      </c>
      <c r="N204" s="959">
        <f t="shared" si="63"/>
        <v>3770704</v>
      </c>
      <c r="O204" s="896" t="str">
        <f>VLOOKUP($H:$H,[140]일위목록!$A:$B,2,FALSE)</f>
        <v>제47호표</v>
      </c>
    </row>
    <row r="205" spans="1:15" ht="18.75" customHeight="1">
      <c r="A205" s="962"/>
      <c r="B205" s="957" t="str">
        <f>[140]산출!B196</f>
        <v>각파이프(방청)</v>
      </c>
      <c r="C205" s="939" t="str">
        <f>[140]산출!C196</f>
        <v>100*50*2.3T</v>
      </c>
      <c r="D205" s="958">
        <f>[140]산출!G196</f>
        <v>0</v>
      </c>
      <c r="E205" s="935" t="str">
        <f>SUBSTITUTE(CONCATENATE(B:B,C:C,F:F)," ","")</f>
        <v>각파이프(방청)100*50*2.3TM</v>
      </c>
      <c r="F205" s="896" t="str">
        <f>[140]산출!D196</f>
        <v>M</v>
      </c>
      <c r="G205" s="936">
        <f>[140]산출!F196</f>
        <v>31.2</v>
      </c>
      <c r="H205" s="935" t="str">
        <f t="shared" si="62"/>
        <v>각파이프(방청)100*50*2.3TM</v>
      </c>
      <c r="I205" s="959">
        <f>VLOOKUP($H:$H,[140]일위목록!$A:$H,6,FALSE)</f>
        <v>6799</v>
      </c>
      <c r="J205" s="959">
        <f>TRUNC($G:$G*I:I)</f>
        <v>212128</v>
      </c>
      <c r="K205" s="959">
        <f>VLOOKUP($H:$H,[140]일위목록!$A:$H,7,FALSE)</f>
        <v>41245</v>
      </c>
      <c r="L205" s="959">
        <f>TRUNC($G:$G*K:K)</f>
        <v>1286844</v>
      </c>
      <c r="M205" s="959">
        <f t="shared" si="63"/>
        <v>48044</v>
      </c>
      <c r="N205" s="959">
        <f t="shared" si="63"/>
        <v>1498972</v>
      </c>
      <c r="O205" s="896" t="str">
        <f>VLOOKUP($H:$H,[140]일위목록!$A:$B,2,FALSE)</f>
        <v>제48호표</v>
      </c>
    </row>
    <row r="206" spans="1:15" s="952" customFormat="1" ht="18.75" customHeight="1">
      <c r="A206" s="962"/>
      <c r="B206" s="947" t="str">
        <f>[140]산출!B197</f>
        <v>- 잡철물</v>
      </c>
      <c r="C206" s="954"/>
      <c r="D206" s="955"/>
      <c r="E206" s="948"/>
      <c r="F206" s="949"/>
      <c r="G206" s="950"/>
      <c r="H206" s="948"/>
      <c r="I206" s="951"/>
      <c r="J206" s="951"/>
      <c r="K206" s="951"/>
      <c r="L206" s="951"/>
      <c r="M206" s="951"/>
      <c r="N206" s="951"/>
      <c r="O206" s="949"/>
    </row>
    <row r="207" spans="1:15" ht="18.75" customHeight="1">
      <c r="A207" s="962"/>
      <c r="B207" s="957" t="str">
        <f>[140]산출!B198</f>
        <v>갈바후레임제작설치</v>
      </c>
      <c r="C207" s="939" t="str">
        <f>[140]산출!C198</f>
        <v>1.6T</v>
      </c>
      <c r="D207" s="958" t="str">
        <f>[140]산출!G198</f>
        <v>상부점검도어 몰딩</v>
      </c>
      <c r="E207" s="935" t="str">
        <f t="shared" ref="E207:E215" si="64">SUBSTITUTE(CONCATENATE(B:B,C:C,F:F)," ","")</f>
        <v>갈바후레임제작설치1.6TM2</v>
      </c>
      <c r="F207" s="896" t="str">
        <f>[140]산출!D198</f>
        <v>M2</v>
      </c>
      <c r="G207" s="936">
        <f>[140]산출!F198</f>
        <v>1.8900000000000001</v>
      </c>
      <c r="H207" s="935" t="str">
        <f t="shared" si="62"/>
        <v>갈바후레임제작설치1.6TM2</v>
      </c>
      <c r="I207" s="959">
        <f>VLOOKUP($H:$H,[140]일위목록!$A:$H,6,FALSE)</f>
        <v>16515</v>
      </c>
      <c r="J207" s="959">
        <f t="shared" ref="J207:J215" si="65">TRUNC($G:$G*I:I)</f>
        <v>31213</v>
      </c>
      <c r="K207" s="959">
        <f>VLOOKUP($H:$H,[140]일위목록!$A:$H,7,FALSE)</f>
        <v>65362</v>
      </c>
      <c r="L207" s="959">
        <f t="shared" ref="L207:L215" si="66">TRUNC($G:$G*K:K)</f>
        <v>123534</v>
      </c>
      <c r="M207" s="959">
        <f t="shared" si="63"/>
        <v>81877</v>
      </c>
      <c r="N207" s="959">
        <f t="shared" si="63"/>
        <v>154747</v>
      </c>
      <c r="O207" s="896" t="str">
        <f>VLOOKUP($H:$H,[140]일위목록!$A:$B,2,FALSE)</f>
        <v>제51호표</v>
      </c>
    </row>
    <row r="208" spans="1:15" ht="18.75" customHeight="1">
      <c r="A208" s="962"/>
      <c r="B208" s="957" t="str">
        <f>[140]산출!B199</f>
        <v>갈바후레임제작설치</v>
      </c>
      <c r="C208" s="939" t="str">
        <f>[140]산출!C199</f>
        <v>1.6T</v>
      </c>
      <c r="D208" s="958" t="str">
        <f>[140]산출!G199</f>
        <v>상부전면천장유리후레임</v>
      </c>
      <c r="E208" s="935" t="str">
        <f t="shared" si="64"/>
        <v>갈바후레임제작설치1.6TM2</v>
      </c>
      <c r="F208" s="896" t="str">
        <f>[140]산출!D199</f>
        <v>M2</v>
      </c>
      <c r="G208" s="936">
        <f>[140]산출!F199</f>
        <v>2.952</v>
      </c>
      <c r="H208" s="935" t="str">
        <f t="shared" si="62"/>
        <v>갈바후레임제작설치1.6TM2</v>
      </c>
      <c r="I208" s="959">
        <f>VLOOKUP($H:$H,[140]일위목록!$A:$H,6,FALSE)</f>
        <v>16515</v>
      </c>
      <c r="J208" s="959">
        <f t="shared" si="65"/>
        <v>48752</v>
      </c>
      <c r="K208" s="959">
        <f>VLOOKUP($H:$H,[140]일위목록!$A:$H,7,FALSE)</f>
        <v>65362</v>
      </c>
      <c r="L208" s="959">
        <f t="shared" si="66"/>
        <v>192948</v>
      </c>
      <c r="M208" s="959">
        <f t="shared" si="63"/>
        <v>81877</v>
      </c>
      <c r="N208" s="959">
        <f t="shared" si="63"/>
        <v>241700</v>
      </c>
      <c r="O208" s="896" t="str">
        <f>VLOOKUP($H:$H,[140]일위목록!$A:$B,2,FALSE)</f>
        <v>제51호표</v>
      </c>
    </row>
    <row r="209" spans="1:15" ht="18.75" customHeight="1">
      <c r="A209" s="962"/>
      <c r="B209" s="957" t="str">
        <f>[140]산출!B200</f>
        <v>갈바후레임제작설치</v>
      </c>
      <c r="C209" s="939" t="str">
        <f>[140]산출!C200</f>
        <v>1.6T</v>
      </c>
      <c r="D209" s="958" t="str">
        <f>[140]산출!G200</f>
        <v>배면천장몰딩</v>
      </c>
      <c r="E209" s="935" t="str">
        <f t="shared" si="64"/>
        <v>갈바후레임제작설치1.6TM2</v>
      </c>
      <c r="F209" s="896" t="str">
        <f>[140]산출!D200</f>
        <v>M2</v>
      </c>
      <c r="G209" s="936">
        <f>[140]산출!F200</f>
        <v>3.9660000000000002</v>
      </c>
      <c r="H209" s="935" t="str">
        <f t="shared" si="62"/>
        <v>갈바후레임제작설치1.6TM2</v>
      </c>
      <c r="I209" s="959">
        <f>VLOOKUP($H:$H,[140]일위목록!$A:$H,6,FALSE)</f>
        <v>16515</v>
      </c>
      <c r="J209" s="959">
        <f t="shared" si="65"/>
        <v>65498</v>
      </c>
      <c r="K209" s="959">
        <f>VLOOKUP($H:$H,[140]일위목록!$A:$H,7,FALSE)</f>
        <v>65362</v>
      </c>
      <c r="L209" s="959">
        <f t="shared" si="66"/>
        <v>259225</v>
      </c>
      <c r="M209" s="959">
        <f t="shared" si="63"/>
        <v>81877</v>
      </c>
      <c r="N209" s="959">
        <f t="shared" si="63"/>
        <v>324723</v>
      </c>
      <c r="O209" s="896" t="str">
        <f>VLOOKUP($H:$H,[140]일위목록!$A:$B,2,FALSE)</f>
        <v>제51호표</v>
      </c>
    </row>
    <row r="210" spans="1:15" ht="18.75" customHeight="1">
      <c r="A210" s="962"/>
      <c r="B210" s="957" t="str">
        <f>[140]산출!B201</f>
        <v>갈바후레임제작설치</v>
      </c>
      <c r="C210" s="939" t="str">
        <f>[140]산출!C201</f>
        <v>1.6T</v>
      </c>
      <c r="D210" s="958" t="str">
        <f>[140]산출!G201</f>
        <v>그림걸이레일보강</v>
      </c>
      <c r="E210" s="935" t="str">
        <f t="shared" si="64"/>
        <v>갈바후레임제작설치1.6TM2</v>
      </c>
      <c r="F210" s="896" t="str">
        <f>[140]산출!D201</f>
        <v>M2</v>
      </c>
      <c r="G210" s="936">
        <f>[140]산출!F201</f>
        <v>1.23</v>
      </c>
      <c r="H210" s="935" t="str">
        <f t="shared" si="62"/>
        <v>갈바후레임제작설치1.6TM2</v>
      </c>
      <c r="I210" s="959">
        <f>VLOOKUP($H:$H,[140]일위목록!$A:$H,6,FALSE)</f>
        <v>16515</v>
      </c>
      <c r="J210" s="959">
        <f t="shared" si="65"/>
        <v>20313</v>
      </c>
      <c r="K210" s="959">
        <f>VLOOKUP($H:$H,[140]일위목록!$A:$H,7,FALSE)</f>
        <v>65362</v>
      </c>
      <c r="L210" s="959">
        <f t="shared" si="66"/>
        <v>80395</v>
      </c>
      <c r="M210" s="959">
        <f t="shared" si="63"/>
        <v>81877</v>
      </c>
      <c r="N210" s="959">
        <f t="shared" si="63"/>
        <v>100708</v>
      </c>
      <c r="O210" s="896" t="str">
        <f>VLOOKUP($H:$H,[140]일위목록!$A:$B,2,FALSE)</f>
        <v>제51호표</v>
      </c>
    </row>
    <row r="211" spans="1:15" ht="18.75" customHeight="1">
      <c r="A211" s="962"/>
      <c r="B211" s="957" t="str">
        <f>[140]산출!B202</f>
        <v>갈바후레임제작설치</v>
      </c>
      <c r="C211" s="939" t="str">
        <f>[140]산출!C202</f>
        <v>1.6T</v>
      </c>
      <c r="D211" s="958" t="str">
        <f>[140]산출!G202</f>
        <v>상부점검도어</v>
      </c>
      <c r="E211" s="935" t="str">
        <f t="shared" si="64"/>
        <v>갈바후레임제작설치1.6TM2</v>
      </c>
      <c r="F211" s="896" t="str">
        <f>[140]산출!D202</f>
        <v>M2</v>
      </c>
      <c r="G211" s="936">
        <f>[140]산출!F202</f>
        <v>4.32</v>
      </c>
      <c r="H211" s="935" t="str">
        <f t="shared" si="62"/>
        <v>갈바후레임제작설치1.6TM2</v>
      </c>
      <c r="I211" s="959">
        <f>VLOOKUP($H:$H,[140]일위목록!$A:$H,6,FALSE)</f>
        <v>16515</v>
      </c>
      <c r="J211" s="959">
        <f t="shared" si="65"/>
        <v>71344</v>
      </c>
      <c r="K211" s="959">
        <f>VLOOKUP($H:$H,[140]일위목록!$A:$H,7,FALSE)</f>
        <v>65362</v>
      </c>
      <c r="L211" s="959">
        <f t="shared" si="66"/>
        <v>282363</v>
      </c>
      <c r="M211" s="959">
        <f t="shared" si="63"/>
        <v>81877</v>
      </c>
      <c r="N211" s="959">
        <f t="shared" si="63"/>
        <v>353707</v>
      </c>
      <c r="O211" s="896" t="str">
        <f>VLOOKUP($H:$H,[140]일위목록!$A:$B,2,FALSE)</f>
        <v>제51호표</v>
      </c>
    </row>
    <row r="212" spans="1:15" ht="18.75" customHeight="1">
      <c r="A212" s="962"/>
      <c r="B212" s="957" t="str">
        <f>[140]산출!B203</f>
        <v>갈바후레임제작설치</v>
      </c>
      <c r="C212" s="939" t="str">
        <f>[140]산출!C203</f>
        <v>1.6T</v>
      </c>
      <c r="D212" s="958" t="str">
        <f>[140]산출!G203</f>
        <v>배면 사이드 몰딩</v>
      </c>
      <c r="E212" s="935" t="str">
        <f t="shared" si="64"/>
        <v>갈바후레임제작설치1.6TM2</v>
      </c>
      <c r="F212" s="896" t="str">
        <f>[140]산출!D203</f>
        <v>M2</v>
      </c>
      <c r="G212" s="936">
        <f>[140]산출!F203</f>
        <v>3.6960000000000006</v>
      </c>
      <c r="H212" s="935" t="str">
        <f t="shared" si="62"/>
        <v>갈바후레임제작설치1.6TM2</v>
      </c>
      <c r="I212" s="959">
        <f>VLOOKUP($H:$H,[140]일위목록!$A:$H,6,FALSE)</f>
        <v>16515</v>
      </c>
      <c r="J212" s="959">
        <f t="shared" si="65"/>
        <v>61039</v>
      </c>
      <c r="K212" s="959">
        <f>VLOOKUP($H:$H,[140]일위목록!$A:$H,7,FALSE)</f>
        <v>65362</v>
      </c>
      <c r="L212" s="959">
        <f t="shared" si="66"/>
        <v>241577</v>
      </c>
      <c r="M212" s="959">
        <f t="shared" si="63"/>
        <v>81877</v>
      </c>
      <c r="N212" s="959">
        <f t="shared" si="63"/>
        <v>302616</v>
      </c>
      <c r="O212" s="896" t="str">
        <f>VLOOKUP($H:$H,[140]일위목록!$A:$B,2,FALSE)</f>
        <v>제51호표</v>
      </c>
    </row>
    <row r="213" spans="1:15" ht="18.75" customHeight="1">
      <c r="A213" s="962"/>
      <c r="B213" s="957" t="str">
        <f>[140]산출!B204</f>
        <v>갈바후레임제작설치</v>
      </c>
      <c r="C213" s="939" t="str">
        <f>[140]산출!C204</f>
        <v>1.6T</v>
      </c>
      <c r="D213" s="958" t="str">
        <f>[140]산출!G204</f>
        <v>외부 측면 후레임</v>
      </c>
      <c r="E213" s="935" t="str">
        <f t="shared" si="64"/>
        <v>갈바후레임제작설치1.6TM2</v>
      </c>
      <c r="F213" s="896" t="str">
        <f>[140]산출!D204</f>
        <v>M2</v>
      </c>
      <c r="G213" s="936">
        <f>[140]산출!F204</f>
        <v>1.04</v>
      </c>
      <c r="H213" s="935" t="str">
        <f t="shared" si="62"/>
        <v>갈바후레임제작설치1.6TM2</v>
      </c>
      <c r="I213" s="959">
        <f>VLOOKUP($H:$H,[140]일위목록!$A:$H,6,FALSE)</f>
        <v>16515</v>
      </c>
      <c r="J213" s="959">
        <f t="shared" si="65"/>
        <v>17175</v>
      </c>
      <c r="K213" s="959">
        <f>VLOOKUP($H:$H,[140]일위목록!$A:$H,7,FALSE)</f>
        <v>65362</v>
      </c>
      <c r="L213" s="959">
        <f t="shared" si="66"/>
        <v>67976</v>
      </c>
      <c r="M213" s="959">
        <f t="shared" si="63"/>
        <v>81877</v>
      </c>
      <c r="N213" s="959">
        <f t="shared" si="63"/>
        <v>85151</v>
      </c>
      <c r="O213" s="896" t="str">
        <f>VLOOKUP($H:$H,[140]일위목록!$A:$B,2,FALSE)</f>
        <v>제51호표</v>
      </c>
    </row>
    <row r="214" spans="1:15" ht="18.75" customHeight="1">
      <c r="A214" s="962"/>
      <c r="B214" s="957" t="str">
        <f>[140]산출!B205</f>
        <v>갈바후레임제작설치</v>
      </c>
      <c r="C214" s="939" t="str">
        <f>[140]산출!C205</f>
        <v>1.6T</v>
      </c>
      <c r="D214" s="958" t="str">
        <f>[140]산출!G205</f>
        <v>측면 유리 몰딩</v>
      </c>
      <c r="E214" s="935" t="str">
        <f t="shared" si="64"/>
        <v>갈바후레임제작설치1.6TM2</v>
      </c>
      <c r="F214" s="896" t="str">
        <f>[140]산출!D205</f>
        <v>M2</v>
      </c>
      <c r="G214" s="936">
        <f>[140]산출!F205</f>
        <v>2.1743999999999999</v>
      </c>
      <c r="H214" s="935" t="str">
        <f t="shared" si="62"/>
        <v>갈바후레임제작설치1.6TM2</v>
      </c>
      <c r="I214" s="959">
        <f>VLOOKUP($H:$H,[140]일위목록!$A:$H,6,FALSE)</f>
        <v>16515</v>
      </c>
      <c r="J214" s="959">
        <f t="shared" si="65"/>
        <v>35910</v>
      </c>
      <c r="K214" s="959">
        <f>VLOOKUP($H:$H,[140]일위목록!$A:$H,7,FALSE)</f>
        <v>65362</v>
      </c>
      <c r="L214" s="959">
        <f t="shared" si="66"/>
        <v>142123</v>
      </c>
      <c r="M214" s="959">
        <f t="shared" si="63"/>
        <v>81877</v>
      </c>
      <c r="N214" s="959">
        <f t="shared" si="63"/>
        <v>178033</v>
      </c>
      <c r="O214" s="896" t="str">
        <f>VLOOKUP($H:$H,[140]일위목록!$A:$B,2,FALSE)</f>
        <v>제51호표</v>
      </c>
    </row>
    <row r="215" spans="1:15" ht="18.75" customHeight="1">
      <c r="A215" s="962"/>
      <c r="B215" s="957" t="str">
        <f>[140]산출!B206</f>
        <v>알루미늄판취부</v>
      </c>
      <c r="C215" s="939" t="str">
        <f>[140]산출!C206</f>
        <v>4T*900*1800</v>
      </c>
      <c r="D215" s="958" t="str">
        <f>[140]산출!G206</f>
        <v>상부점검도어 커버</v>
      </c>
      <c r="E215" s="935" t="str">
        <f t="shared" si="64"/>
        <v>알루미늄판취부4T*900*1800M2</v>
      </c>
      <c r="F215" s="896" t="str">
        <f>[140]산출!D206</f>
        <v>M2</v>
      </c>
      <c r="G215" s="936">
        <f>[140]산출!F206</f>
        <v>4.1999999999999993</v>
      </c>
      <c r="H215" s="935" t="str">
        <f t="shared" si="62"/>
        <v>알루미늄판취부4T*900*1800M2</v>
      </c>
      <c r="I215" s="959">
        <f>VLOOKUP($H:$H,[140]일위목록!$A:$H,6,FALSE)</f>
        <v>130192</v>
      </c>
      <c r="J215" s="959">
        <f t="shared" si="65"/>
        <v>546806</v>
      </c>
      <c r="K215" s="959">
        <f>VLOOKUP($H:$H,[140]일위목록!$A:$H,7,FALSE)</f>
        <v>14745</v>
      </c>
      <c r="L215" s="959">
        <f t="shared" si="66"/>
        <v>61929</v>
      </c>
      <c r="M215" s="959">
        <f t="shared" si="63"/>
        <v>144937</v>
      </c>
      <c r="N215" s="959">
        <f t="shared" si="63"/>
        <v>608735</v>
      </c>
      <c r="O215" s="896" t="str">
        <f>VLOOKUP($H:$H,[140]일위목록!$A:$B,2,FALSE)</f>
        <v>제69호표</v>
      </c>
    </row>
    <row r="216" spans="1:15" s="952" customFormat="1" ht="18.75" customHeight="1">
      <c r="A216" s="962"/>
      <c r="B216" s="947" t="str">
        <f>[140]산출!B207</f>
        <v>- 잡철물</v>
      </c>
      <c r="C216" s="954"/>
      <c r="D216" s="955"/>
      <c r="E216" s="948"/>
      <c r="F216" s="949"/>
      <c r="G216" s="950"/>
      <c r="H216" s="948"/>
      <c r="I216" s="951"/>
      <c r="J216" s="951"/>
      <c r="K216" s="951"/>
      <c r="L216" s="951"/>
      <c r="M216" s="951"/>
      <c r="N216" s="951"/>
      <c r="O216" s="949"/>
    </row>
    <row r="217" spans="1:15" ht="18.75" customHeight="1">
      <c r="A217" s="962"/>
      <c r="B217" s="957" t="str">
        <f>[140]산출!B208</f>
        <v>갈바후레임제작설치</v>
      </c>
      <c r="C217" s="939" t="str">
        <f>[140]산출!C208</f>
        <v>1.6T</v>
      </c>
      <c r="D217" s="958" t="str">
        <f>[140]산출!G208</f>
        <v>하부전면후레임</v>
      </c>
      <c r="E217" s="935" t="str">
        <f>SUBSTITUTE(CONCATENATE(B:B,C:C,F:F)," ","")</f>
        <v>갈바후레임제작설치1.6TM2</v>
      </c>
      <c r="F217" s="896" t="str">
        <f>[140]산출!D208</f>
        <v>M2</v>
      </c>
      <c r="G217" s="936">
        <f>[140]산출!F208</f>
        <v>2.718</v>
      </c>
      <c r="H217" s="935" t="str">
        <f t="shared" ref="H217:H234" si="67">SUBSTITUTE(CONCATENATE(B217,C217,F217)," ","")</f>
        <v>갈바후레임제작설치1.6TM2</v>
      </c>
      <c r="I217" s="959">
        <f>VLOOKUP($H:$H,[140]일위목록!$A:$H,6,FALSE)</f>
        <v>16515</v>
      </c>
      <c r="J217" s="959">
        <f>TRUNC($G:$G*I:I)</f>
        <v>44887</v>
      </c>
      <c r="K217" s="959">
        <f>VLOOKUP($H:$H,[140]일위목록!$A:$H,7,FALSE)</f>
        <v>65362</v>
      </c>
      <c r="L217" s="959">
        <f>TRUNC($G:$G*K:K)</f>
        <v>177653</v>
      </c>
      <c r="M217" s="959">
        <f t="shared" ref="M217:N232" si="68">SUM(I217,K217)</f>
        <v>81877</v>
      </c>
      <c r="N217" s="959">
        <f t="shared" si="68"/>
        <v>222540</v>
      </c>
      <c r="O217" s="896" t="str">
        <f>VLOOKUP($H:$H,[140]일위목록!$A:$B,2,FALSE)</f>
        <v>제51호표</v>
      </c>
    </row>
    <row r="218" spans="1:15" ht="18.75" customHeight="1">
      <c r="A218" s="962"/>
      <c r="B218" s="957" t="str">
        <f>[140]산출!B209</f>
        <v>갈바후레임제작설치</v>
      </c>
      <c r="C218" s="939" t="str">
        <f>[140]산출!C209</f>
        <v>1.6T</v>
      </c>
      <c r="D218" s="958" t="str">
        <f>[140]산출!G209</f>
        <v>하부바닥받침몰딩</v>
      </c>
      <c r="E218" s="935" t="str">
        <f>SUBSTITUTE(CONCATENATE(B:B,C:C,F:F)," ","")</f>
        <v>갈바후레임제작설치1.6TM2</v>
      </c>
      <c r="F218" s="896" t="str">
        <f>[140]산출!D209</f>
        <v>M2</v>
      </c>
      <c r="G218" s="936">
        <f>[140]산출!F209</f>
        <v>1.044</v>
      </c>
      <c r="H218" s="935" t="str">
        <f t="shared" si="67"/>
        <v>갈바후레임제작설치1.6TM2</v>
      </c>
      <c r="I218" s="959">
        <f>VLOOKUP($H:$H,[140]일위목록!$A:$H,6,FALSE)</f>
        <v>16515</v>
      </c>
      <c r="J218" s="959">
        <f>TRUNC($G:$G*I:I)</f>
        <v>17241</v>
      </c>
      <c r="K218" s="959">
        <f>VLOOKUP($H:$H,[140]일위목록!$A:$H,7,FALSE)</f>
        <v>65362</v>
      </c>
      <c r="L218" s="959">
        <f>TRUNC($G:$G*K:K)</f>
        <v>68237</v>
      </c>
      <c r="M218" s="959">
        <f t="shared" si="68"/>
        <v>81877</v>
      </c>
      <c r="N218" s="959">
        <f t="shared" si="68"/>
        <v>85478</v>
      </c>
      <c r="O218" s="896" t="str">
        <f>VLOOKUP($H:$H,[140]일위목록!$A:$B,2,FALSE)</f>
        <v>제51호표</v>
      </c>
    </row>
    <row r="219" spans="1:15" ht="18.75" customHeight="1">
      <c r="A219" s="962"/>
      <c r="B219" s="957" t="str">
        <f>[140]산출!B210</f>
        <v>갈바후레임제작설치</v>
      </c>
      <c r="C219" s="939" t="str">
        <f>[140]산출!C210</f>
        <v>1.6T</v>
      </c>
      <c r="D219" s="958" t="str">
        <f>[140]산출!G210</f>
        <v>하부 걸레받이</v>
      </c>
      <c r="E219" s="935" t="str">
        <f>SUBSTITUTE(CONCATENATE(B:B,C:C,F:F)," ","")</f>
        <v>갈바후레임제작설치1.6TM2</v>
      </c>
      <c r="F219" s="896" t="str">
        <f>[140]산출!D210</f>
        <v>M2</v>
      </c>
      <c r="G219" s="936">
        <f>[140]산출!F210</f>
        <v>0.79800000000000004</v>
      </c>
      <c r="H219" s="935" t="str">
        <f t="shared" si="67"/>
        <v>갈바후레임제작설치1.6TM2</v>
      </c>
      <c r="I219" s="959">
        <f>VLOOKUP($H:$H,[140]일위목록!$A:$H,6,FALSE)</f>
        <v>16515</v>
      </c>
      <c r="J219" s="959">
        <f>TRUNC($G:$G*I:I)</f>
        <v>13178</v>
      </c>
      <c r="K219" s="959">
        <f>VLOOKUP($H:$H,[140]일위목록!$A:$H,7,FALSE)</f>
        <v>65362</v>
      </c>
      <c r="L219" s="959">
        <f>TRUNC($G:$G*K:K)</f>
        <v>52158</v>
      </c>
      <c r="M219" s="959">
        <f t="shared" si="68"/>
        <v>81877</v>
      </c>
      <c r="N219" s="959">
        <f t="shared" si="68"/>
        <v>65336</v>
      </c>
      <c r="O219" s="896" t="str">
        <f>VLOOKUP($H:$H,[140]일위목록!$A:$B,2,FALSE)</f>
        <v>제51호표</v>
      </c>
    </row>
    <row r="220" spans="1:15" s="952" customFormat="1" ht="18.75" customHeight="1">
      <c r="A220" s="962"/>
      <c r="B220" s="947" t="str">
        <f>[140]산출!B211</f>
        <v>- SYSTEM 장치</v>
      </c>
      <c r="C220" s="954"/>
      <c r="D220" s="955"/>
      <c r="E220" s="948"/>
      <c r="F220" s="949"/>
      <c r="G220" s="950"/>
      <c r="H220" s="948"/>
      <c r="I220" s="951"/>
      <c r="J220" s="951"/>
      <c r="K220" s="951"/>
      <c r="L220" s="951"/>
      <c r="M220" s="951"/>
      <c r="N220" s="951"/>
      <c r="O220" s="949"/>
    </row>
    <row r="221" spans="1:15" ht="18.75" customHeight="1">
      <c r="A221" s="962"/>
      <c r="B221" s="957" t="str">
        <f>[140]산출!B212</f>
        <v>피아노경첩 제작설치</v>
      </c>
      <c r="C221" s="957"/>
      <c r="D221" s="958">
        <f>[140]산출!G212</f>
        <v>0</v>
      </c>
      <c r="E221" s="935" t="str">
        <f t="shared" ref="E221:E242" si="69">SUBSTITUTE(CONCATENATE(B:B,C:C,F:F)," ","")</f>
        <v>피아노경첩제작설치M</v>
      </c>
      <c r="F221" s="896" t="str">
        <f>[140]산출!D212</f>
        <v>M</v>
      </c>
      <c r="G221" s="936">
        <f>[140]산출!F212</f>
        <v>12</v>
      </c>
      <c r="H221" s="935" t="str">
        <f t="shared" si="67"/>
        <v>피아노경첩제작설치M</v>
      </c>
      <c r="I221" s="959">
        <f>VLOOKUP($H:$H,[140]일위목록!$A:$H,6,FALSE)</f>
        <v>12630</v>
      </c>
      <c r="J221" s="959">
        <f t="shared" ref="J221:J234" si="70">TRUNC($G:$G*I:I)</f>
        <v>151560</v>
      </c>
      <c r="K221" s="959">
        <f>VLOOKUP($H:$H,[140]일위목록!$A:$H,7,FALSE)</f>
        <v>10973</v>
      </c>
      <c r="L221" s="959">
        <f t="shared" ref="L221:L234" si="71">TRUNC($G:$G*K:K)</f>
        <v>131676</v>
      </c>
      <c r="M221" s="959">
        <f t="shared" si="68"/>
        <v>23603</v>
      </c>
      <c r="N221" s="959">
        <f t="shared" si="68"/>
        <v>283236</v>
      </c>
      <c r="O221" s="896" t="str">
        <f>VLOOKUP($H:$H,[140]일위목록!$A:$B,2,FALSE)</f>
        <v>제88호표</v>
      </c>
    </row>
    <row r="222" spans="1:15" ht="18.75" customHeight="1">
      <c r="A222" s="962"/>
      <c r="B222" s="957" t="str">
        <f>[140]산출!B213</f>
        <v>LOCK SET 제작설치</v>
      </c>
      <c r="C222" s="939" t="str">
        <f>[140]산출!C213</f>
        <v>시건장치</v>
      </c>
      <c r="D222" s="958">
        <f>[140]산출!G213</f>
        <v>0</v>
      </c>
      <c r="E222" s="935" t="str">
        <f t="shared" si="69"/>
        <v>LOCKSET제작설치시건장치set</v>
      </c>
      <c r="F222" s="896" t="str">
        <f>[140]산출!D213</f>
        <v>set</v>
      </c>
      <c r="G222" s="936">
        <f>[140]산출!F213</f>
        <v>3</v>
      </c>
      <c r="H222" s="935" t="str">
        <f t="shared" si="67"/>
        <v>LOCKSET제작설치시건장치set</v>
      </c>
      <c r="I222" s="959">
        <f>VLOOKUP($H:$H,[140]일위목록!$A:$H,6,FALSE)</f>
        <v>48840</v>
      </c>
      <c r="J222" s="959">
        <f t="shared" si="70"/>
        <v>146520</v>
      </c>
      <c r="K222" s="959">
        <f>VLOOKUP($H:$H,[140]일위목록!$A:$H,7,FALSE)</f>
        <v>12605</v>
      </c>
      <c r="L222" s="959">
        <f t="shared" si="71"/>
        <v>37815</v>
      </c>
      <c r="M222" s="959">
        <f t="shared" si="68"/>
        <v>61445</v>
      </c>
      <c r="N222" s="959">
        <f t="shared" si="68"/>
        <v>184335</v>
      </c>
      <c r="O222" s="896" t="str">
        <f>VLOOKUP($H:$H,[140]일위목록!$A:$B,2,FALSE)</f>
        <v>제89호표</v>
      </c>
    </row>
    <row r="223" spans="1:15" ht="18.75" customHeight="1">
      <c r="A223" s="962"/>
      <c r="B223" s="957" t="str">
        <f>[140]산출!B214</f>
        <v>AL.패킹바 제작설치</v>
      </c>
      <c r="C223" s="939"/>
      <c r="D223" s="958">
        <f>[140]산출!G214</f>
        <v>0</v>
      </c>
      <c r="E223" s="935" t="str">
        <f t="shared" si="69"/>
        <v>AL.패킹바제작설치M</v>
      </c>
      <c r="F223" s="896" t="str">
        <f>[140]산출!D214</f>
        <v>M</v>
      </c>
      <c r="G223" s="936">
        <f>[140]산출!F214</f>
        <v>12</v>
      </c>
      <c r="H223" s="935" t="str">
        <f t="shared" si="67"/>
        <v>AL.패킹바제작설치M</v>
      </c>
      <c r="I223" s="959">
        <f>VLOOKUP($H:$H,[140]일위목록!$A:$H,6,FALSE)</f>
        <v>5250</v>
      </c>
      <c r="J223" s="959">
        <f t="shared" si="70"/>
        <v>63000</v>
      </c>
      <c r="K223" s="959">
        <f>VLOOKUP($H:$H,[140]일위목록!$A:$H,7,FALSE)</f>
        <v>3534</v>
      </c>
      <c r="L223" s="959">
        <f t="shared" si="71"/>
        <v>42408</v>
      </c>
      <c r="M223" s="959">
        <f t="shared" si="68"/>
        <v>8784</v>
      </c>
      <c r="N223" s="959">
        <f t="shared" si="68"/>
        <v>105408</v>
      </c>
      <c r="O223" s="896" t="str">
        <f>VLOOKUP($H:$H,[140]일위목록!$A:$B,2,FALSE)</f>
        <v>제92호표</v>
      </c>
    </row>
    <row r="224" spans="1:15" ht="18.75" customHeight="1">
      <c r="A224" s="962"/>
      <c r="B224" s="957" t="str">
        <f>[140]산출!B215</f>
        <v>밀폐패킹 설치</v>
      </c>
      <c r="C224" s="939" t="str">
        <f>[140]산출!C215</f>
        <v>대형</v>
      </c>
      <c r="D224" s="958">
        <f>[140]산출!G215</f>
        <v>0</v>
      </c>
      <c r="E224" s="935" t="str">
        <f t="shared" si="69"/>
        <v>밀폐패킹설치대형M</v>
      </c>
      <c r="F224" s="896" t="str">
        <f>[140]산출!D215</f>
        <v>M</v>
      </c>
      <c r="G224" s="936">
        <f>[140]산출!F215</f>
        <v>17.2</v>
      </c>
      <c r="H224" s="935" t="str">
        <f t="shared" si="67"/>
        <v>밀폐패킹설치대형M</v>
      </c>
      <c r="I224" s="959">
        <f>VLOOKUP($H:$H,[140]일위목록!$A:$H,6,FALSE)</f>
        <v>9450</v>
      </c>
      <c r="J224" s="959">
        <f t="shared" si="70"/>
        <v>162540</v>
      </c>
      <c r="K224" s="959">
        <f>VLOOKUP($H:$H,[140]일위목록!$A:$H,7,FALSE)</f>
        <v>2397</v>
      </c>
      <c r="L224" s="959">
        <f t="shared" si="71"/>
        <v>41228</v>
      </c>
      <c r="M224" s="959">
        <f t="shared" si="68"/>
        <v>11847</v>
      </c>
      <c r="N224" s="959">
        <f t="shared" si="68"/>
        <v>203768</v>
      </c>
      <c r="O224" s="896" t="str">
        <f>VLOOKUP($H:$H,[140]일위목록!$A:$B,2,FALSE)</f>
        <v>제94호표</v>
      </c>
    </row>
    <row r="225" spans="1:15" ht="18.75" customHeight="1">
      <c r="A225" s="962"/>
      <c r="B225" s="957" t="str">
        <f>[140]산출!B216</f>
        <v>AL.사출유리후렘 제작설치</v>
      </c>
      <c r="C225" s="939" t="str">
        <f>[140]산출!C216</f>
        <v>벽부장(상부)</v>
      </c>
      <c r="D225" s="958">
        <f>[140]산출!G216</f>
        <v>0</v>
      </c>
      <c r="E225" s="935" t="str">
        <f t="shared" si="69"/>
        <v>AL.사출유리후렘제작설치벽부장(상부)M</v>
      </c>
      <c r="F225" s="896" t="str">
        <f>[140]산출!D216</f>
        <v>M</v>
      </c>
      <c r="G225" s="936">
        <f>[140]산출!F216</f>
        <v>6</v>
      </c>
      <c r="H225" s="935" t="str">
        <f t="shared" si="67"/>
        <v>AL.사출유리후렘제작설치벽부장(상부)M</v>
      </c>
      <c r="I225" s="959">
        <f>VLOOKUP($H:$H,[140]일위목록!$A:$H,6,FALSE)</f>
        <v>210000</v>
      </c>
      <c r="J225" s="959">
        <f t="shared" si="70"/>
        <v>1260000</v>
      </c>
      <c r="K225" s="959">
        <f>VLOOKUP($H:$H,[140]일위목록!$A:$H,7,FALSE)</f>
        <v>53130</v>
      </c>
      <c r="L225" s="959">
        <f t="shared" si="71"/>
        <v>318780</v>
      </c>
      <c r="M225" s="959">
        <f t="shared" si="68"/>
        <v>263130</v>
      </c>
      <c r="N225" s="959">
        <f t="shared" si="68"/>
        <v>1578780</v>
      </c>
      <c r="O225" s="896" t="str">
        <f>VLOOKUP($H:$H,[140]일위목록!$A:$B,2,FALSE)</f>
        <v>제95호표</v>
      </c>
    </row>
    <row r="226" spans="1:15" ht="18.75" customHeight="1">
      <c r="A226" s="962"/>
      <c r="B226" s="957" t="str">
        <f>[140]산출!B217</f>
        <v>AL.사출유리후렘 제작설치</v>
      </c>
      <c r="C226" s="939" t="str">
        <f>[140]산출!C217</f>
        <v>벽부장(하부)</v>
      </c>
      <c r="D226" s="958">
        <f>[140]산출!G217</f>
        <v>0</v>
      </c>
      <c r="E226" s="935" t="str">
        <f t="shared" si="69"/>
        <v>AL.사출유리후렘제작설치벽부장(하부)M</v>
      </c>
      <c r="F226" s="896" t="str">
        <f>[140]산출!D217</f>
        <v>M</v>
      </c>
      <c r="G226" s="936">
        <f>[140]산출!F217</f>
        <v>6</v>
      </c>
      <c r="H226" s="935" t="str">
        <f t="shared" si="67"/>
        <v>AL.사출유리후렘제작설치벽부장(하부)M</v>
      </c>
      <c r="I226" s="959">
        <f>VLOOKUP($H:$H,[140]일위목록!$A:$H,6,FALSE)</f>
        <v>126000</v>
      </c>
      <c r="J226" s="959">
        <f t="shared" si="70"/>
        <v>756000</v>
      </c>
      <c r="K226" s="959">
        <f>VLOOKUP($H:$H,[140]일위목록!$A:$H,7,FALSE)</f>
        <v>35420</v>
      </c>
      <c r="L226" s="959">
        <f t="shared" si="71"/>
        <v>212520</v>
      </c>
      <c r="M226" s="959">
        <f t="shared" si="68"/>
        <v>161420</v>
      </c>
      <c r="N226" s="959">
        <f t="shared" si="68"/>
        <v>968520</v>
      </c>
      <c r="O226" s="896" t="str">
        <f>VLOOKUP($H:$H,[140]일위목록!$A:$B,2,FALSE)</f>
        <v>제96호표</v>
      </c>
    </row>
    <row r="227" spans="1:15" ht="18.75" customHeight="1">
      <c r="A227" s="962"/>
      <c r="B227" s="957" t="str">
        <f>[140]산출!B218</f>
        <v>모터구동시스템 설치</v>
      </c>
      <c r="C227" s="939" t="str">
        <f>[140]산출!C218</f>
        <v>웜기어 전동실린더</v>
      </c>
      <c r="D227" s="958">
        <f>[140]산출!G218</f>
        <v>0</v>
      </c>
      <c r="E227" s="935" t="str">
        <f t="shared" si="69"/>
        <v>모터구동시스템설치웜기어전동실린더SET</v>
      </c>
      <c r="F227" s="896" t="str">
        <f>[140]산출!D218</f>
        <v>SET</v>
      </c>
      <c r="G227" s="936">
        <f>[140]산출!F218</f>
        <v>16</v>
      </c>
      <c r="H227" s="935" t="str">
        <f t="shared" si="67"/>
        <v>모터구동시스템설치웜기어전동실린더SET</v>
      </c>
      <c r="I227" s="959">
        <f>VLOOKUP($H:$H,[140]일위목록!$A:$H,6,FALSE)</f>
        <v>353000</v>
      </c>
      <c r="J227" s="959">
        <f t="shared" si="70"/>
        <v>5648000</v>
      </c>
      <c r="K227" s="959">
        <f>VLOOKUP($H:$H,[140]일위목록!$A:$H,7,FALSE)</f>
        <v>96655</v>
      </c>
      <c r="L227" s="959">
        <f t="shared" si="71"/>
        <v>1546480</v>
      </c>
      <c r="M227" s="959">
        <f t="shared" si="68"/>
        <v>449655</v>
      </c>
      <c r="N227" s="959">
        <f t="shared" si="68"/>
        <v>7194480</v>
      </c>
      <c r="O227" s="896" t="str">
        <f>VLOOKUP($H:$H,[140]일위목록!$A:$B,2,FALSE)</f>
        <v>제101호표</v>
      </c>
    </row>
    <row r="228" spans="1:15" ht="18.75" customHeight="1">
      <c r="A228" s="962"/>
      <c r="B228" s="957" t="str">
        <f>[140]산출!B219</f>
        <v>LM가이드시스템 가공 설치</v>
      </c>
      <c r="C228" s="939" t="str">
        <f>[140]산출!C219</f>
        <v>Ø25</v>
      </c>
      <c r="D228" s="958">
        <f>[140]산출!G219</f>
        <v>0</v>
      </c>
      <c r="E228" s="935" t="str">
        <f t="shared" si="69"/>
        <v>LM가이드시스템가공설치Ø25SET</v>
      </c>
      <c r="F228" s="896" t="str">
        <f>[140]산출!D219</f>
        <v>SET</v>
      </c>
      <c r="G228" s="936">
        <f>[140]산출!F219</f>
        <v>32</v>
      </c>
      <c r="H228" s="935" t="str">
        <f t="shared" si="67"/>
        <v>LM가이드시스템가공설치Ø25SET</v>
      </c>
      <c r="I228" s="959">
        <f>VLOOKUP($H:$H,[140]일위목록!$A:$H,6,FALSE)</f>
        <v>144000</v>
      </c>
      <c r="J228" s="959">
        <f t="shared" si="70"/>
        <v>4608000</v>
      </c>
      <c r="K228" s="959">
        <f>VLOOKUP($H:$H,[140]일위목록!$A:$H,7,FALSE)</f>
        <v>18323</v>
      </c>
      <c r="L228" s="959">
        <f t="shared" si="71"/>
        <v>586336</v>
      </c>
      <c r="M228" s="959">
        <f t="shared" si="68"/>
        <v>162323</v>
      </c>
      <c r="N228" s="959">
        <f t="shared" si="68"/>
        <v>5194336</v>
      </c>
      <c r="O228" s="896" t="str">
        <f>VLOOKUP($H:$H,[140]일위목록!$A:$B,2,FALSE)</f>
        <v>제100호표</v>
      </c>
    </row>
    <row r="229" spans="1:15" ht="18.75" customHeight="1">
      <c r="A229" s="962"/>
      <c r="B229" s="957" t="str">
        <f>[140]산출!B220</f>
        <v>베어링레일및가공 설치</v>
      </c>
      <c r="C229" s="939" t="str">
        <f>[140]산출!C220</f>
        <v>22*42 2.3T 가공</v>
      </c>
      <c r="D229" s="958">
        <f>[140]산출!G220</f>
        <v>0</v>
      </c>
      <c r="E229" s="935" t="str">
        <f t="shared" si="69"/>
        <v>베어링레일및가공설치22*422.3T가공M</v>
      </c>
      <c r="F229" s="896" t="str">
        <f>[140]산출!D220</f>
        <v>M</v>
      </c>
      <c r="G229" s="936">
        <f>[140]산출!F220</f>
        <v>12</v>
      </c>
      <c r="H229" s="935" t="str">
        <f t="shared" si="67"/>
        <v>베어링레일및가공설치22*422.3T가공M</v>
      </c>
      <c r="I229" s="959">
        <f>VLOOKUP($H:$H,[140]일위목록!$A:$H,6,FALSE)</f>
        <v>136500</v>
      </c>
      <c r="J229" s="959">
        <f t="shared" si="70"/>
        <v>1638000</v>
      </c>
      <c r="K229" s="959">
        <f>VLOOKUP($H:$H,[140]일위목록!$A:$H,7,FALSE)</f>
        <v>35420</v>
      </c>
      <c r="L229" s="959">
        <f t="shared" si="71"/>
        <v>425040</v>
      </c>
      <c r="M229" s="959">
        <f t="shared" si="68"/>
        <v>171920</v>
      </c>
      <c r="N229" s="959">
        <f t="shared" si="68"/>
        <v>2063040</v>
      </c>
      <c r="O229" s="896" t="str">
        <f>VLOOKUP($H:$H,[140]일위목록!$A:$B,2,FALSE)</f>
        <v>제102호표</v>
      </c>
    </row>
    <row r="230" spans="1:15" ht="18.75" customHeight="1">
      <c r="A230" s="962"/>
      <c r="B230" s="957" t="str">
        <f>[140]산출!B221</f>
        <v>슬라이딩베어링 가공조립</v>
      </c>
      <c r="C230" s="939" t="str">
        <f>[140]산출!C221</f>
        <v>Ø26</v>
      </c>
      <c r="D230" s="958">
        <f>[140]산출!G221</f>
        <v>0</v>
      </c>
      <c r="E230" s="935" t="str">
        <f t="shared" si="69"/>
        <v>슬라이딩베어링가공조립Ø26EA</v>
      </c>
      <c r="F230" s="896" t="str">
        <f>[140]산출!D221</f>
        <v>EA</v>
      </c>
      <c r="G230" s="936">
        <f>[140]산출!F221</f>
        <v>156</v>
      </c>
      <c r="H230" s="935" t="str">
        <f t="shared" si="67"/>
        <v>슬라이딩베어링가공조립Ø26EA</v>
      </c>
      <c r="I230" s="959">
        <f>VLOOKUP($H:$H,[140]일위목록!$A:$H,6,FALSE)</f>
        <v>6500</v>
      </c>
      <c r="J230" s="959">
        <f t="shared" si="70"/>
        <v>1014000</v>
      </c>
      <c r="K230" s="959">
        <f>VLOOKUP($H:$H,[140]일위목록!$A:$H,7,FALSE)</f>
        <v>3864</v>
      </c>
      <c r="L230" s="959">
        <f t="shared" si="71"/>
        <v>602784</v>
      </c>
      <c r="M230" s="959">
        <f t="shared" si="68"/>
        <v>10364</v>
      </c>
      <c r="N230" s="959">
        <f t="shared" si="68"/>
        <v>1616784</v>
      </c>
      <c r="O230" s="896" t="str">
        <f>VLOOKUP($H:$H,[140]일위목록!$A:$B,2,FALSE)</f>
        <v>제104호표</v>
      </c>
    </row>
    <row r="231" spans="1:15" ht="18.75" customHeight="1">
      <c r="A231" s="962"/>
      <c r="B231" s="957" t="str">
        <f>[140]산출!B222</f>
        <v>베어링 붓싱가공조립</v>
      </c>
      <c r="C231" s="939" t="str">
        <f>[140]산출!C222</f>
        <v>#6200</v>
      </c>
      <c r="D231" s="958">
        <f>[140]산출!G222</f>
        <v>0</v>
      </c>
      <c r="E231" s="935" t="str">
        <f t="shared" si="69"/>
        <v>베어링붓싱가공조립#6200EA</v>
      </c>
      <c r="F231" s="896" t="str">
        <f>[140]산출!D222</f>
        <v>EA</v>
      </c>
      <c r="G231" s="936">
        <f>[140]산출!F222</f>
        <v>156</v>
      </c>
      <c r="H231" s="935" t="str">
        <f t="shared" si="67"/>
        <v>베어링붓싱가공조립#6200EA</v>
      </c>
      <c r="I231" s="959">
        <f>VLOOKUP($H:$H,[140]일위목록!$A:$H,6,FALSE)</f>
        <v>6000</v>
      </c>
      <c r="J231" s="959">
        <f t="shared" si="70"/>
        <v>936000</v>
      </c>
      <c r="K231" s="959">
        <f>VLOOKUP($H:$H,[140]일위목록!$A:$H,7,FALSE)</f>
        <v>3864</v>
      </c>
      <c r="L231" s="959">
        <f t="shared" si="71"/>
        <v>602784</v>
      </c>
      <c r="M231" s="959">
        <f t="shared" si="68"/>
        <v>9864</v>
      </c>
      <c r="N231" s="959">
        <f t="shared" si="68"/>
        <v>1538784</v>
      </c>
      <c r="O231" s="896" t="str">
        <f>VLOOKUP($H:$H,[140]일위목록!$A:$B,2,FALSE)</f>
        <v>제105호표</v>
      </c>
    </row>
    <row r="232" spans="1:15" ht="18.75" customHeight="1">
      <c r="A232" s="962"/>
      <c r="B232" s="957" t="str">
        <f>[140]산출!B223</f>
        <v>유압쇽업쇼바 제작설치</v>
      </c>
      <c r="C232" s="939" t="str">
        <f>[140]산출!C223</f>
        <v>20kg</v>
      </c>
      <c r="D232" s="958">
        <f>[140]산출!G223</f>
        <v>0</v>
      </c>
      <c r="E232" s="935" t="str">
        <f t="shared" si="69"/>
        <v>유압쇽업쇼바제작설치20kgSET</v>
      </c>
      <c r="F232" s="896" t="str">
        <f>[140]산출!D223</f>
        <v>SET</v>
      </c>
      <c r="G232" s="936">
        <f>[140]산출!F223</f>
        <v>4</v>
      </c>
      <c r="H232" s="935" t="str">
        <f t="shared" si="67"/>
        <v>유압쇽업쇼바제작설치20kgSET</v>
      </c>
      <c r="I232" s="959">
        <f>VLOOKUP($H:$H,[140]일위목록!$A:$H,6,FALSE)</f>
        <v>39224</v>
      </c>
      <c r="J232" s="959">
        <f t="shared" si="70"/>
        <v>156896</v>
      </c>
      <c r="K232" s="959">
        <f>VLOOKUP($H:$H,[140]일위목록!$A:$H,7,FALSE)</f>
        <v>3792</v>
      </c>
      <c r="L232" s="959">
        <f t="shared" si="71"/>
        <v>15168</v>
      </c>
      <c r="M232" s="959">
        <f t="shared" si="68"/>
        <v>43016</v>
      </c>
      <c r="N232" s="959">
        <f t="shared" si="68"/>
        <v>172064</v>
      </c>
      <c r="O232" s="896" t="str">
        <f>VLOOKUP($H:$H,[140]일위목록!$A:$B,2,FALSE)</f>
        <v>제90호표</v>
      </c>
    </row>
    <row r="233" spans="1:15" ht="18.75" customHeight="1">
      <c r="A233" s="962"/>
      <c r="B233" s="957" t="str">
        <f>[140]산출!B224</f>
        <v>센터베어링및스톱파 가공조립</v>
      </c>
      <c r="C233" s="939" t="str">
        <f>[140]산출!C224</f>
        <v>독립형1단</v>
      </c>
      <c r="D233" s="958">
        <f>[140]산출!G224</f>
        <v>0</v>
      </c>
      <c r="E233" s="935" t="str">
        <f t="shared" si="69"/>
        <v>센터베어링및스톱파가공조립독립형1단SET</v>
      </c>
      <c r="F233" s="896" t="str">
        <f>[140]산출!D224</f>
        <v>SET</v>
      </c>
      <c r="G233" s="936">
        <f>[140]산출!F224</f>
        <v>2</v>
      </c>
      <c r="H233" s="935" t="str">
        <f t="shared" si="67"/>
        <v>센터베어링및스톱파가공조립독립형1단SET</v>
      </c>
      <c r="I233" s="959">
        <f>VLOOKUP($H:$H,[140]일위목록!$A:$H,6,FALSE)</f>
        <v>85000</v>
      </c>
      <c r="J233" s="959">
        <f t="shared" si="70"/>
        <v>170000</v>
      </c>
      <c r="K233" s="959">
        <f>VLOOKUP($H:$H,[140]일위목록!$A:$H,7,FALSE)</f>
        <v>62887</v>
      </c>
      <c r="L233" s="959">
        <f t="shared" si="71"/>
        <v>125774</v>
      </c>
      <c r="M233" s="959">
        <f t="shared" ref="M233:N234" si="72">SUM(I233,K233)</f>
        <v>147887</v>
      </c>
      <c r="N233" s="959">
        <f t="shared" si="72"/>
        <v>295774</v>
      </c>
      <c r="O233" s="896" t="str">
        <f>VLOOKUP($H:$H,[140]일위목록!$A:$B,2,FALSE)</f>
        <v>제108호표</v>
      </c>
    </row>
    <row r="234" spans="1:15" ht="18.75" customHeight="1">
      <c r="A234" s="962"/>
      <c r="B234" s="957" t="str">
        <f>[140]산출!B225</f>
        <v>전후진 전동콘트롤 제작설치</v>
      </c>
      <c r="C234" s="939" t="str">
        <f>[140]산출!C225</f>
        <v>독립형</v>
      </c>
      <c r="D234" s="958">
        <f>[140]산출!G225</f>
        <v>0</v>
      </c>
      <c r="E234" s="935" t="str">
        <f t="shared" si="69"/>
        <v>전후진전동콘트롤제작설치독립형SET</v>
      </c>
      <c r="F234" s="896" t="str">
        <f>[140]산출!D225</f>
        <v>SET</v>
      </c>
      <c r="G234" s="936">
        <f>[140]산출!F225</f>
        <v>2</v>
      </c>
      <c r="H234" s="935" t="str">
        <f t="shared" si="67"/>
        <v>전후진전동콘트롤제작설치독립형SET</v>
      </c>
      <c r="I234" s="959">
        <f>VLOOKUP($H:$H,[140]일위목록!$A:$H,6,FALSE)</f>
        <v>400000</v>
      </c>
      <c r="J234" s="959">
        <f t="shared" si="70"/>
        <v>800000</v>
      </c>
      <c r="K234" s="959">
        <f>VLOOKUP($H:$H,[140]일위목록!$A:$H,7,FALSE)</f>
        <v>65053</v>
      </c>
      <c r="L234" s="959">
        <f t="shared" si="71"/>
        <v>130106</v>
      </c>
      <c r="M234" s="959">
        <f t="shared" si="72"/>
        <v>465053</v>
      </c>
      <c r="N234" s="959">
        <f t="shared" si="72"/>
        <v>930106</v>
      </c>
      <c r="O234" s="896" t="str">
        <f>VLOOKUP($H:$H,[140]일위목록!$A:$B,2,FALSE)</f>
        <v>제111호표</v>
      </c>
    </row>
    <row r="235" spans="1:15" s="952" customFormat="1" ht="18.75" customHeight="1">
      <c r="A235" s="962"/>
      <c r="B235" s="947" t="str">
        <f>[140]산출!B226</f>
        <v>- 수장공사</v>
      </c>
      <c r="C235" s="954"/>
      <c r="D235" s="955">
        <f>[140]산출!G226</f>
        <v>0</v>
      </c>
      <c r="E235" s="948" t="str">
        <f t="shared" si="69"/>
        <v>-수장공사</v>
      </c>
      <c r="F235" s="949"/>
      <c r="G235" s="950"/>
      <c r="H235" s="948"/>
      <c r="I235" s="951"/>
      <c r="J235" s="951"/>
      <c r="K235" s="951"/>
      <c r="L235" s="951"/>
      <c r="M235" s="951"/>
      <c r="N235" s="951"/>
      <c r="O235" s="949"/>
    </row>
    <row r="236" spans="1:15" ht="18.75" customHeight="1">
      <c r="A236" s="962"/>
      <c r="B236" s="957" t="str">
        <f>[140]산출!B227</f>
        <v>내부도배</v>
      </c>
      <c r="C236" s="939" t="str">
        <f>[140]산출!C227</f>
        <v>세마직벽지</v>
      </c>
      <c r="D236" s="958">
        <f>[140]산출!G227</f>
        <v>0</v>
      </c>
      <c r="E236" s="935" t="str">
        <f t="shared" si="69"/>
        <v>내부도배세마직벽지M2</v>
      </c>
      <c r="F236" s="896" t="str">
        <f>[140]산출!D227</f>
        <v>M2</v>
      </c>
      <c r="G236" s="936">
        <f>[140]산출!F227</f>
        <v>38.4</v>
      </c>
      <c r="H236" s="935" t="str">
        <f t="shared" ref="H236:H252" si="73">SUBSTITUTE(CONCATENATE(B236,C236,F236)," ","")</f>
        <v>내부도배세마직벽지M2</v>
      </c>
      <c r="I236" s="959">
        <f>VLOOKUP($H:$H,[140]일위목록!$A:$H,6,FALSE)</f>
        <v>47152</v>
      </c>
      <c r="J236" s="959">
        <f t="shared" ref="J236:J242" si="74">TRUNC($G:$G*I:I)</f>
        <v>1810636</v>
      </c>
      <c r="K236" s="959">
        <f>VLOOKUP($H:$H,[140]일위목록!$A:$H,7,FALSE)</f>
        <v>5222</v>
      </c>
      <c r="L236" s="959">
        <f t="shared" ref="L236:L242" si="75">TRUNC($G:$G*K:K)</f>
        <v>200524</v>
      </c>
      <c r="M236" s="959">
        <f t="shared" ref="M236:N251" si="76">SUM(I236,K236)</f>
        <v>52374</v>
      </c>
      <c r="N236" s="959">
        <f t="shared" si="76"/>
        <v>2011160</v>
      </c>
      <c r="O236" s="896" t="str">
        <f>VLOOKUP($H:$H,[140]일위목록!$A:$B,2,FALSE)</f>
        <v>제56호표</v>
      </c>
    </row>
    <row r="237" spans="1:15" ht="18.75" customHeight="1">
      <c r="A237" s="962"/>
      <c r="B237" s="957" t="str">
        <f>[140]산출!B228</f>
        <v>바탕처리</v>
      </c>
      <c r="C237" s="939" t="str">
        <f>[140]산출!C228</f>
        <v>도배퍼티</v>
      </c>
      <c r="D237" s="958">
        <f>[140]산출!G228</f>
        <v>0</v>
      </c>
      <c r="E237" s="935" t="str">
        <f t="shared" si="69"/>
        <v>바탕처리도배퍼티M2</v>
      </c>
      <c r="F237" s="896" t="str">
        <f>[140]산출!D228</f>
        <v>M2</v>
      </c>
      <c r="G237" s="936">
        <f>[140]산출!F228</f>
        <v>38.4</v>
      </c>
      <c r="H237" s="935" t="str">
        <f t="shared" si="73"/>
        <v>바탕처리도배퍼티M2</v>
      </c>
      <c r="I237" s="959">
        <f>VLOOKUP($H:$H,[140]일위목록!$A:$H,6,FALSE)</f>
        <v>1160</v>
      </c>
      <c r="J237" s="959">
        <f t="shared" si="74"/>
        <v>44544</v>
      </c>
      <c r="K237" s="959">
        <f>VLOOKUP($H:$H,[140]일위목록!$A:$H,7,FALSE)</f>
        <v>7711</v>
      </c>
      <c r="L237" s="959">
        <f t="shared" si="75"/>
        <v>296102</v>
      </c>
      <c r="M237" s="959">
        <f t="shared" si="76"/>
        <v>8871</v>
      </c>
      <c r="N237" s="959">
        <f t="shared" si="76"/>
        <v>340646</v>
      </c>
      <c r="O237" s="896" t="str">
        <f>VLOOKUP($H:$H,[140]일위목록!$A:$B,2,FALSE)</f>
        <v>제55호표</v>
      </c>
    </row>
    <row r="238" spans="1:15" ht="18.75" customHeight="1">
      <c r="A238" s="962"/>
      <c r="B238" s="957" t="str">
        <f>[140]산출!B229</f>
        <v>합판취부</v>
      </c>
      <c r="C238" s="939" t="str">
        <f>[140]산출!C229</f>
        <v>T11.5mm 2PLY</v>
      </c>
      <c r="D238" s="958">
        <f>[140]산출!G229</f>
        <v>0</v>
      </c>
      <c r="E238" s="935" t="str">
        <f t="shared" si="69"/>
        <v>합판취부T11.5mm2PLYM2</v>
      </c>
      <c r="F238" s="896" t="str">
        <f>[140]산출!D229</f>
        <v>M2</v>
      </c>
      <c r="G238" s="936">
        <f>[140]산출!F229</f>
        <v>6</v>
      </c>
      <c r="H238" s="935" t="str">
        <f t="shared" si="73"/>
        <v>합판취부T11.5mm2PLYM2</v>
      </c>
      <c r="I238" s="959">
        <f>VLOOKUP($H:$H,[140]일위목록!$A:$H,6,FALSE)</f>
        <v>19751</v>
      </c>
      <c r="J238" s="959">
        <f t="shared" si="74"/>
        <v>118506</v>
      </c>
      <c r="K238" s="959">
        <f>VLOOKUP($H:$H,[140]일위목록!$A:$H,7,FALSE)</f>
        <v>35580</v>
      </c>
      <c r="L238" s="959">
        <f t="shared" si="75"/>
        <v>213480</v>
      </c>
      <c r="M238" s="959">
        <f t="shared" si="76"/>
        <v>55331</v>
      </c>
      <c r="N238" s="959">
        <f t="shared" si="76"/>
        <v>331986</v>
      </c>
      <c r="O238" s="896" t="str">
        <f>VLOOKUP($H:$H,[140]일위목록!$A:$B,2,FALSE)</f>
        <v>제43호표</v>
      </c>
    </row>
    <row r="239" spans="1:15" ht="18.75" customHeight="1">
      <c r="A239" s="962"/>
      <c r="B239" s="957" t="str">
        <f>[140]산출!B230</f>
        <v>합판취부</v>
      </c>
      <c r="C239" s="939" t="str">
        <f>[140]산출!C230</f>
        <v>T8.5mm 1PLY</v>
      </c>
      <c r="D239" s="958">
        <f>[140]산출!G230</f>
        <v>0</v>
      </c>
      <c r="E239" s="935" t="str">
        <f t="shared" si="69"/>
        <v>합판취부T8.5mm1PLYM2</v>
      </c>
      <c r="F239" s="896" t="str">
        <f>[140]산출!D230</f>
        <v>M2</v>
      </c>
      <c r="G239" s="936">
        <f>[140]산출!F230</f>
        <v>43.2</v>
      </c>
      <c r="H239" s="935" t="str">
        <f t="shared" si="73"/>
        <v>합판취부T8.5mm1PLYM2</v>
      </c>
      <c r="I239" s="959">
        <f>VLOOKUP($H:$H,[140]일위목록!$A:$H,6,FALSE)</f>
        <v>8361</v>
      </c>
      <c r="J239" s="959">
        <f t="shared" si="74"/>
        <v>361195</v>
      </c>
      <c r="K239" s="959">
        <f>VLOOKUP($H:$H,[140]일위목록!$A:$H,7,FALSE)</f>
        <v>54043</v>
      </c>
      <c r="L239" s="959">
        <f t="shared" si="75"/>
        <v>2334657</v>
      </c>
      <c r="M239" s="959">
        <f t="shared" si="76"/>
        <v>62404</v>
      </c>
      <c r="N239" s="959">
        <f t="shared" si="76"/>
        <v>2695852</v>
      </c>
      <c r="O239" s="896" t="str">
        <f>VLOOKUP($H:$H,[140]일위목록!$A:$B,2,FALSE)</f>
        <v>제44호표</v>
      </c>
    </row>
    <row r="240" spans="1:15" ht="18.75" customHeight="1">
      <c r="A240" s="962"/>
      <c r="B240" s="957" t="str">
        <f>[140]산출!B231</f>
        <v>진열장석고보드취부</v>
      </c>
      <c r="C240" s="939" t="str">
        <f>[140]산출!C231</f>
        <v>T9.5mm*2PLY</v>
      </c>
      <c r="D240" s="958">
        <f>[140]산출!G231</f>
        <v>0</v>
      </c>
      <c r="E240" s="935" t="str">
        <f t="shared" si="69"/>
        <v>진열장석고보드취부T9.5mm*2PLYM2</v>
      </c>
      <c r="F240" s="896" t="str">
        <f>[140]산출!D231</f>
        <v>M2</v>
      </c>
      <c r="G240" s="936">
        <f>[140]산출!F231</f>
        <v>3.5999999999999996</v>
      </c>
      <c r="H240" s="935" t="str">
        <f t="shared" si="73"/>
        <v>진열장석고보드취부T9.5mm*2PLYM2</v>
      </c>
      <c r="I240" s="959">
        <f>VLOOKUP($H:$H,[140]일위목록!$A:$H,6,FALSE)</f>
        <v>18275</v>
      </c>
      <c r="J240" s="959">
        <f t="shared" si="74"/>
        <v>65790</v>
      </c>
      <c r="K240" s="959">
        <f>VLOOKUP($H:$H,[140]일위목록!$A:$H,7,FALSE)</f>
        <v>21540</v>
      </c>
      <c r="L240" s="959">
        <f t="shared" si="75"/>
        <v>77544</v>
      </c>
      <c r="M240" s="959">
        <f t="shared" si="76"/>
        <v>39815</v>
      </c>
      <c r="N240" s="959">
        <f t="shared" si="76"/>
        <v>143334</v>
      </c>
      <c r="O240" s="896" t="str">
        <f>VLOOKUP($H:$H,[140]일위목록!$A:$B,2,FALSE)</f>
        <v>제68호표</v>
      </c>
    </row>
    <row r="241" spans="1:15" ht="18.75" customHeight="1">
      <c r="A241" s="962"/>
      <c r="B241" s="957" t="str">
        <f>[140]산출!B232</f>
        <v>우레탄칼라락카도장</v>
      </c>
      <c r="C241" s="939" t="str">
        <f>[140]산출!C232</f>
        <v>철재면기준</v>
      </c>
      <c r="D241" s="958">
        <f>[140]산출!G232</f>
        <v>0</v>
      </c>
      <c r="E241" s="935" t="str">
        <f t="shared" si="69"/>
        <v>우레탄칼라락카도장철재면기준M2</v>
      </c>
      <c r="F241" s="896" t="str">
        <f>[140]산출!D232</f>
        <v>M2</v>
      </c>
      <c r="G241" s="936">
        <f>[140]산출!F232</f>
        <v>30.028399999999998</v>
      </c>
      <c r="H241" s="935" t="str">
        <f t="shared" si="73"/>
        <v>우레탄칼라락카도장철재면기준M2</v>
      </c>
      <c r="I241" s="959">
        <f>VLOOKUP($H:$H,[140]일위목록!$A:$H,6,FALSE)</f>
        <v>16103</v>
      </c>
      <c r="J241" s="959">
        <f t="shared" si="74"/>
        <v>483547</v>
      </c>
      <c r="K241" s="959">
        <f>VLOOKUP($H:$H,[140]일위목록!$A:$H,7,FALSE)</f>
        <v>22265</v>
      </c>
      <c r="L241" s="959">
        <f t="shared" si="75"/>
        <v>668582</v>
      </c>
      <c r="M241" s="959">
        <f t="shared" si="76"/>
        <v>38368</v>
      </c>
      <c r="N241" s="959">
        <f t="shared" si="76"/>
        <v>1152129</v>
      </c>
      <c r="O241" s="896" t="str">
        <f>VLOOKUP($H:$H,[140]일위목록!$A:$B,2,FALSE)</f>
        <v>제40호표</v>
      </c>
    </row>
    <row r="242" spans="1:15" ht="18.75" customHeight="1">
      <c r="A242" s="962"/>
      <c r="B242" s="957" t="str">
        <f>[140]산출!B233</f>
        <v>바탕처리</v>
      </c>
      <c r="C242" s="939" t="str">
        <f>[140]산출!C233</f>
        <v>철재면기준</v>
      </c>
      <c r="D242" s="958">
        <f>[140]산출!G233</f>
        <v>0</v>
      </c>
      <c r="E242" s="935" t="str">
        <f t="shared" si="69"/>
        <v>바탕처리철재면기준M2</v>
      </c>
      <c r="F242" s="896" t="str">
        <f>[140]산출!D233</f>
        <v>M2</v>
      </c>
      <c r="G242" s="936">
        <f>[140]산출!F233</f>
        <v>30.028399999999998</v>
      </c>
      <c r="H242" s="935" t="str">
        <f t="shared" si="73"/>
        <v>바탕처리철재면기준M2</v>
      </c>
      <c r="I242" s="959">
        <f>VLOOKUP($H:$H,[140]일위목록!$A:$H,6,FALSE)</f>
        <v>4891</v>
      </c>
      <c r="J242" s="959">
        <f t="shared" si="74"/>
        <v>146868</v>
      </c>
      <c r="K242" s="959">
        <f>VLOOKUP($H:$H,[140]일위목록!$A:$H,7,FALSE)</f>
        <v>15314</v>
      </c>
      <c r="L242" s="959">
        <f t="shared" si="75"/>
        <v>459854</v>
      </c>
      <c r="M242" s="959">
        <f t="shared" si="76"/>
        <v>20205</v>
      </c>
      <c r="N242" s="959">
        <f t="shared" si="76"/>
        <v>606722</v>
      </c>
      <c r="O242" s="896" t="str">
        <f>VLOOKUP($H:$H,[140]일위목록!$A:$B,2,FALSE)</f>
        <v>제41호표</v>
      </c>
    </row>
    <row r="243" spans="1:15" s="952" customFormat="1" ht="18.75" customHeight="1">
      <c r="A243" s="962"/>
      <c r="B243" s="947" t="str">
        <f>[140]산출!B234</f>
        <v>- 유리공사</v>
      </c>
      <c r="C243" s="954"/>
      <c r="D243" s="955"/>
      <c r="E243" s="948"/>
      <c r="F243" s="949"/>
      <c r="G243" s="950"/>
      <c r="H243" s="948"/>
      <c r="I243" s="951"/>
      <c r="J243" s="951"/>
      <c r="K243" s="951"/>
      <c r="L243" s="951"/>
      <c r="M243" s="951"/>
      <c r="N243" s="951"/>
      <c r="O243" s="949"/>
    </row>
    <row r="244" spans="1:15" ht="18.75" customHeight="1">
      <c r="A244" s="962"/>
      <c r="B244" s="957" t="str">
        <f>[140]산출!B235</f>
        <v>화이트 접합유리 끼우기</v>
      </c>
      <c r="C244" s="939" t="str">
        <f>[140]산출!C235</f>
        <v>T12.76mm (2,400*3,400기준)</v>
      </c>
      <c r="D244" s="958">
        <f>[140]산출!G235</f>
        <v>0</v>
      </c>
      <c r="E244" s="935" t="str">
        <f>SUBSTITUTE(CONCATENATE(B:B,C:C,F:F)," ","")</f>
        <v>화이트접합유리끼우기T12.76mm(2,400*3,400기준)M2</v>
      </c>
      <c r="F244" s="896" t="str">
        <f>[140]산출!D235</f>
        <v>M2</v>
      </c>
      <c r="G244" s="936">
        <f>[140]산출!F235</f>
        <v>16.920000000000002</v>
      </c>
      <c r="H244" s="935" t="str">
        <f t="shared" si="73"/>
        <v>화이트접합유리끼우기T12.76mm(2,400*3,400기준)M2</v>
      </c>
      <c r="I244" s="959">
        <f>VLOOKUP($H:$H,[140]일위목록!$A:$H,6,FALSE)</f>
        <v>225283</v>
      </c>
      <c r="J244" s="959">
        <f>TRUNC($G:$G*I:I)</f>
        <v>3811788</v>
      </c>
      <c r="K244" s="959">
        <f>VLOOKUP($H:$H,[140]일위목록!$A:$H,7,FALSE)</f>
        <v>71881</v>
      </c>
      <c r="L244" s="959">
        <f>TRUNC($G:$G*K:K)</f>
        <v>1216226</v>
      </c>
      <c r="M244" s="959">
        <f t="shared" si="76"/>
        <v>297164</v>
      </c>
      <c r="N244" s="959">
        <f t="shared" si="76"/>
        <v>5028014</v>
      </c>
      <c r="O244" s="896" t="str">
        <f>VLOOKUP($H:$H,[140]일위목록!$A:$B,2,FALSE)</f>
        <v>제63호표</v>
      </c>
    </row>
    <row r="245" spans="1:15" ht="18.75" customHeight="1">
      <c r="A245" s="962"/>
      <c r="B245" s="957" t="str">
        <f>[140]산출!B236</f>
        <v>조명용아크릴 가공 설치</v>
      </c>
      <c r="C245" s="939" t="str">
        <f>[140]산출!C236</f>
        <v>T5mm</v>
      </c>
      <c r="D245" s="958">
        <f>[140]산출!G236</f>
        <v>0</v>
      </c>
      <c r="E245" s="935" t="str">
        <f>SUBSTITUTE(CONCATENATE(B:B,C:C,F:F)," ","")</f>
        <v>조명용아크릴가공설치T5mmm2</v>
      </c>
      <c r="F245" s="896" t="str">
        <f>[140]산출!D236</f>
        <v>m2</v>
      </c>
      <c r="G245" s="936">
        <f>[140]산출!F236</f>
        <v>0.89999999999999991</v>
      </c>
      <c r="H245" s="935" t="str">
        <f t="shared" si="73"/>
        <v>조명용아크릴가공설치T5mmm2</v>
      </c>
      <c r="I245" s="959">
        <f>VLOOKUP($H:$H,[140]일위목록!$A:$H,6,FALSE)</f>
        <v>74550</v>
      </c>
      <c r="J245" s="959">
        <f>TRUNC($G:$G*I:I)</f>
        <v>67095</v>
      </c>
      <c r="K245" s="959">
        <f>VLOOKUP($H:$H,[140]일위목록!$A:$H,7,FALSE)</f>
        <v>19211</v>
      </c>
      <c r="L245" s="959">
        <f>TRUNC($G:$G*K:K)</f>
        <v>17289</v>
      </c>
      <c r="M245" s="959">
        <f t="shared" si="76"/>
        <v>93761</v>
      </c>
      <c r="N245" s="959">
        <f t="shared" si="76"/>
        <v>84384</v>
      </c>
      <c r="O245" s="896" t="str">
        <f>VLOOKUP($H:$H,[140]일위목록!$A:$B,2,FALSE)</f>
        <v>제67호표</v>
      </c>
    </row>
    <row r="246" spans="1:15" ht="18.75" customHeight="1">
      <c r="A246" s="962"/>
      <c r="B246" s="957" t="str">
        <f>[140]산출!B237</f>
        <v>코킹</v>
      </c>
      <c r="C246" s="939"/>
      <c r="D246" s="958">
        <f>[140]산출!G237</f>
        <v>0</v>
      </c>
      <c r="E246" s="935" t="str">
        <f>SUBSTITUTE(CONCATENATE(B:B,C:C,F:F)," ","")</f>
        <v>코킹M</v>
      </c>
      <c r="F246" s="896" t="str">
        <f>[140]산출!D237</f>
        <v>M</v>
      </c>
      <c r="G246" s="936">
        <f>[140]산출!F237</f>
        <v>52.92</v>
      </c>
      <c r="H246" s="935" t="str">
        <f t="shared" si="73"/>
        <v>코킹M</v>
      </c>
      <c r="I246" s="959">
        <f>VLOOKUP($H:$H,[140]일위목록!$A:$H,6,FALSE)</f>
        <v>880</v>
      </c>
      <c r="J246" s="959">
        <f>TRUNC($G:$G*I:I)</f>
        <v>46569</v>
      </c>
      <c r="K246" s="959">
        <f>VLOOKUP($H:$H,[140]일위목록!$A:$H,7,FALSE)</f>
        <v>6064</v>
      </c>
      <c r="L246" s="959">
        <f>TRUNC($G:$G*K:K)</f>
        <v>320906</v>
      </c>
      <c r="M246" s="959">
        <f t="shared" si="76"/>
        <v>6944</v>
      </c>
      <c r="N246" s="959">
        <f t="shared" si="76"/>
        <v>367475</v>
      </c>
      <c r="O246" s="896" t="str">
        <f>VLOOKUP($H:$H,[140]일위목록!$A:$B,2,FALSE)</f>
        <v>제45호표</v>
      </c>
    </row>
    <row r="247" spans="1:15" ht="18.75" customHeight="1">
      <c r="A247" s="962"/>
      <c r="B247" s="957" t="str">
        <f>[140]산출!B238</f>
        <v>면    취</v>
      </c>
      <c r="C247" s="939"/>
      <c r="D247" s="958">
        <f>[140]산출!G238</f>
        <v>0</v>
      </c>
      <c r="E247" s="935" t="str">
        <f>SUBSTITUTE(CONCATENATE(B:B,C:C,F:F)," ","")</f>
        <v>면취M</v>
      </c>
      <c r="F247" s="896" t="str">
        <f>[140]산출!D238</f>
        <v>M</v>
      </c>
      <c r="G247" s="936">
        <f>[140]산출!F238</f>
        <v>46.56</v>
      </c>
      <c r="H247" s="935" t="str">
        <f t="shared" si="73"/>
        <v>면취M</v>
      </c>
      <c r="I247" s="959">
        <f>VLOOKUP($H:$H,[140]일위목록!$A:$H,6,FALSE)</f>
        <v>11000</v>
      </c>
      <c r="J247" s="959">
        <f>TRUNC($G:$G*I:I)</f>
        <v>512160</v>
      </c>
      <c r="K247" s="959">
        <f>VLOOKUP($H:$H,[140]일위목록!$A:$H,7,FALSE)</f>
        <v>0</v>
      </c>
      <c r="L247" s="959">
        <f>TRUNC($G:$G*K:K)</f>
        <v>0</v>
      </c>
      <c r="M247" s="959">
        <f t="shared" si="76"/>
        <v>11000</v>
      </c>
      <c r="N247" s="959">
        <f t="shared" si="76"/>
        <v>512160</v>
      </c>
      <c r="O247" s="896" t="str">
        <f>VLOOKUP($H:$H,[140]일위목록!$A:$B,2,FALSE)</f>
        <v>단가-77번</v>
      </c>
    </row>
    <row r="248" spans="1:15" s="952" customFormat="1" ht="18.75" customHeight="1">
      <c r="A248" s="962"/>
      <c r="B248" s="947" t="str">
        <f>[140]산출!B239</f>
        <v>- 전기공사</v>
      </c>
      <c r="C248" s="954"/>
      <c r="D248" s="955"/>
      <c r="E248" s="948"/>
      <c r="F248" s="949"/>
      <c r="G248" s="950"/>
      <c r="H248" s="948"/>
      <c r="I248" s="951"/>
      <c r="J248" s="951"/>
      <c r="K248" s="951"/>
      <c r="L248" s="951"/>
      <c r="M248" s="951"/>
      <c r="N248" s="951"/>
      <c r="O248" s="949"/>
    </row>
    <row r="249" spans="1:15" ht="18.75" customHeight="1">
      <c r="A249" s="962"/>
      <c r="B249" s="957" t="str">
        <f>[140]산출!B240</f>
        <v>LED 포인트조명설치(벽부형)</v>
      </c>
      <c r="C249" s="939" t="str">
        <f>[140]산출!C240</f>
        <v>15W이하</v>
      </c>
      <c r="D249" s="958">
        <f>[140]산출!G240</f>
        <v>0</v>
      </c>
      <c r="E249" s="935" t="str">
        <f>SUBSTITUTE(CONCATENATE(B:B,C:C,F:F)," ","")</f>
        <v>LED포인트조명설치(벽부형)15W이하ea</v>
      </c>
      <c r="F249" s="896" t="str">
        <f>[140]산출!D240</f>
        <v>ea</v>
      </c>
      <c r="G249" s="936">
        <f>[140]산출!F240</f>
        <v>15</v>
      </c>
      <c r="H249" s="935" t="str">
        <f t="shared" si="73"/>
        <v>LED포인트조명설치(벽부형)15W이하ea</v>
      </c>
      <c r="I249" s="959">
        <f>VLOOKUP($H:$H,[140]일위목록!$A:$H,6,FALSE)</f>
        <v>178500</v>
      </c>
      <c r="J249" s="959">
        <f>TRUNC($G:$G*I:I)</f>
        <v>2677500</v>
      </c>
      <c r="K249" s="959">
        <f>VLOOKUP($H:$H,[140]일위목록!$A:$H,7,FALSE)</f>
        <v>26372</v>
      </c>
      <c r="L249" s="959">
        <f>TRUNC($G:$G*K:K)</f>
        <v>395580</v>
      </c>
      <c r="M249" s="959">
        <f t="shared" si="76"/>
        <v>204872</v>
      </c>
      <c r="N249" s="959">
        <f t="shared" si="76"/>
        <v>3073080</v>
      </c>
      <c r="O249" s="896" t="str">
        <f>VLOOKUP($H:$H,[140]일위목록!$A:$B,2,FALSE)</f>
        <v>제81호표</v>
      </c>
    </row>
    <row r="250" spans="1:15" ht="18.75" customHeight="1">
      <c r="A250" s="962"/>
      <c r="B250" s="957" t="str">
        <f>[140]산출!B241</f>
        <v>LED bar조명설치</v>
      </c>
      <c r="C250" s="939" t="str">
        <f>[140]산출!C241</f>
        <v>30W이하</v>
      </c>
      <c r="D250" s="958">
        <f>[140]산출!G241</f>
        <v>0</v>
      </c>
      <c r="E250" s="935" t="str">
        <f>SUBSTITUTE(CONCATENATE(B:B,C:C,F:F)," ","")</f>
        <v>LEDbar조명설치30W이하M</v>
      </c>
      <c r="F250" s="896" t="str">
        <f>[140]산출!D241</f>
        <v>M</v>
      </c>
      <c r="G250" s="936">
        <f>[140]산출!F241</f>
        <v>12</v>
      </c>
      <c r="H250" s="935" t="str">
        <f t="shared" si="73"/>
        <v>LEDbar조명설치30W이하M</v>
      </c>
      <c r="I250" s="959">
        <f>VLOOKUP($H:$H,[140]일위목록!$A:$H,6,FALSE)</f>
        <v>105000</v>
      </c>
      <c r="J250" s="959">
        <f>TRUNC($G:$G*I:I)</f>
        <v>1260000</v>
      </c>
      <c r="K250" s="959">
        <f>VLOOKUP($H:$H,[140]일위목록!$A:$H,7,FALSE)</f>
        <v>26372</v>
      </c>
      <c r="L250" s="959">
        <f>TRUNC($G:$G*K:K)</f>
        <v>316464</v>
      </c>
      <c r="M250" s="959">
        <f t="shared" si="76"/>
        <v>131372</v>
      </c>
      <c r="N250" s="959">
        <f t="shared" si="76"/>
        <v>1576464</v>
      </c>
      <c r="O250" s="896" t="str">
        <f>VLOOKUP($H:$H,[140]일위목록!$A:$B,2,FALSE)</f>
        <v>제83호표</v>
      </c>
    </row>
    <row r="251" spans="1:15" ht="18.75" customHeight="1">
      <c r="A251" s="962"/>
      <c r="B251" s="957" t="str">
        <f>[140]산출!B242</f>
        <v>LED 포인트조명 컨트롤제작설치</v>
      </c>
      <c r="C251" s="939" t="str">
        <f>[140]산출!C242</f>
        <v>컨트롤러(16채널)</v>
      </c>
      <c r="D251" s="958">
        <f>[140]산출!G242</f>
        <v>0</v>
      </c>
      <c r="E251" s="935" t="str">
        <f>SUBSTITUTE(CONCATENATE(B:B,C:C,F:F)," ","")</f>
        <v>LED포인트조명컨트롤제작설치컨트롤러(16채널)set</v>
      </c>
      <c r="F251" s="896" t="str">
        <f>[140]산출!D242</f>
        <v>set</v>
      </c>
      <c r="G251" s="936">
        <f>[140]산출!F242</f>
        <v>1</v>
      </c>
      <c r="H251" s="935" t="str">
        <f t="shared" si="73"/>
        <v>LED포인트조명컨트롤제작설치컨트롤러(16채널)set</v>
      </c>
      <c r="I251" s="959">
        <f>VLOOKUP($H:$H,[140]일위목록!$A:$H,6,FALSE)</f>
        <v>650000</v>
      </c>
      <c r="J251" s="959">
        <f>TRUNC($G:$G*I:I)</f>
        <v>650000</v>
      </c>
      <c r="K251" s="959">
        <f>VLOOKUP($H:$H,[140]일위목록!$A:$H,7,FALSE)</f>
        <v>90163</v>
      </c>
      <c r="L251" s="959">
        <f>TRUNC($G:$G*K:K)</f>
        <v>90163</v>
      </c>
      <c r="M251" s="959">
        <f t="shared" si="76"/>
        <v>740163</v>
      </c>
      <c r="N251" s="959">
        <f t="shared" si="76"/>
        <v>740163</v>
      </c>
      <c r="O251" s="896" t="str">
        <f>VLOOKUP($H:$H,[140]일위목록!$A:$B,2,FALSE)</f>
        <v>제85호표</v>
      </c>
    </row>
    <row r="252" spans="1:15" ht="18.75" customHeight="1">
      <c r="A252" s="962"/>
      <c r="B252" s="957" t="str">
        <f>[140]산출!B243</f>
        <v>LED bar조명 컨트롤제작설치</v>
      </c>
      <c r="C252" s="939" t="str">
        <f>[140]산출!C243</f>
        <v>컨트롤러</v>
      </c>
      <c r="D252" s="958">
        <f>[140]산출!G243</f>
        <v>0</v>
      </c>
      <c r="E252" s="935" t="str">
        <f>SUBSTITUTE(CONCATENATE(B:B,C:C,F:F)," ","")</f>
        <v>LEDbar조명컨트롤제작설치컨트롤러set</v>
      </c>
      <c r="F252" s="896" t="str">
        <f>[140]산출!D243</f>
        <v>set</v>
      </c>
      <c r="G252" s="936">
        <f>[140]산출!F243</f>
        <v>1</v>
      </c>
      <c r="H252" s="935" t="str">
        <f t="shared" si="73"/>
        <v>LEDbar조명컨트롤제작설치컨트롤러set</v>
      </c>
      <c r="I252" s="959">
        <f>VLOOKUP($H:$H,[140]일위목록!$A:$H,6,FALSE)</f>
        <v>530000</v>
      </c>
      <c r="J252" s="959">
        <f>TRUNC($G:$G*I:I)</f>
        <v>530000</v>
      </c>
      <c r="K252" s="959">
        <f>VLOOKUP($H:$H,[140]일위목록!$A:$H,7,FALSE)</f>
        <v>112704</v>
      </c>
      <c r="L252" s="959">
        <f>TRUNC($G:$G*K:K)</f>
        <v>112704</v>
      </c>
      <c r="M252" s="959">
        <f t="shared" ref="M252:N252" si="77">SUM(I252,K252)</f>
        <v>642704</v>
      </c>
      <c r="N252" s="959">
        <f t="shared" si="77"/>
        <v>642704</v>
      </c>
      <c r="O252" s="896" t="str">
        <f>VLOOKUP($H:$H,[140]일위목록!$A:$B,2,FALSE)</f>
        <v>제87호표</v>
      </c>
    </row>
    <row r="253" spans="1:15" ht="18.75" customHeight="1">
      <c r="A253" s="962"/>
      <c r="B253" s="957"/>
      <c r="C253" s="939"/>
      <c r="D253" s="958"/>
      <c r="E253" s="935"/>
      <c r="F253" s="896"/>
      <c r="G253" s="936"/>
      <c r="H253" s="935"/>
      <c r="I253" s="959"/>
      <c r="J253" s="959"/>
      <c r="K253" s="959"/>
      <c r="L253" s="959"/>
      <c r="M253" s="959"/>
      <c r="N253" s="959"/>
      <c r="O253" s="896"/>
    </row>
    <row r="254" spans="1:15" s="952" customFormat="1" ht="18.75" customHeight="1">
      <c r="A254" s="960"/>
      <c r="B254" s="947" t="s">
        <v>6586</v>
      </c>
      <c r="C254" s="954"/>
      <c r="D254" s="961"/>
      <c r="E254" s="948"/>
      <c r="F254" s="949"/>
      <c r="G254" s="950"/>
      <c r="H254" s="948" t="str">
        <f>SUBSTITUTE(CONCATENATE(B254,C254,F254)," ","")</f>
        <v>소계</v>
      </c>
      <c r="I254" s="951"/>
      <c r="J254" s="951">
        <f>SUM(J203:J253)</f>
        <v>31866132</v>
      </c>
      <c r="K254" s="951"/>
      <c r="L254" s="951">
        <f>SUM(L204:L253)</f>
        <v>17762706</v>
      </c>
      <c r="M254" s="951"/>
      <c r="N254" s="951">
        <f>SUM(N204:N253)</f>
        <v>49628838</v>
      </c>
      <c r="O254" s="949"/>
    </row>
    <row r="255" spans="1:15" s="952" customFormat="1" ht="18.75" customHeight="1">
      <c r="A255" s="960"/>
      <c r="B255" s="947"/>
      <c r="C255" s="954"/>
      <c r="D255" s="955"/>
      <c r="E255" s="948"/>
      <c r="F255" s="949"/>
      <c r="G255" s="950"/>
      <c r="H255" s="948"/>
      <c r="I255" s="951"/>
      <c r="J255" s="951"/>
      <c r="K255" s="951"/>
      <c r="L255" s="951"/>
      <c r="M255" s="951"/>
      <c r="N255" s="951"/>
      <c r="O255" s="949"/>
    </row>
    <row r="256" spans="1:15" s="952" customFormat="1" ht="18.75" customHeight="1">
      <c r="A256" s="947" t="str">
        <f>[140]산출!A253</f>
        <v>SC-203</v>
      </c>
      <c r="B256" s="947" t="str">
        <f>[140]산출!B253</f>
        <v>벽부형진열장(전동형)</v>
      </c>
      <c r="C256" s="954" t="str">
        <f>[140]산출!C253</f>
        <v>L: 8000 D: 1000 H: 3600 FH: 300 GH: 2600 UH: 700</v>
      </c>
      <c r="D256" s="955"/>
      <c r="E256" s="948"/>
      <c r="F256" s="947" t="str">
        <f>[140]산출!D253</f>
        <v>SET</v>
      </c>
      <c r="G256" s="963">
        <f>[140]산출!F253</f>
        <v>3</v>
      </c>
      <c r="H256" s="948"/>
      <c r="I256" s="951"/>
      <c r="J256" s="951"/>
      <c r="K256" s="951"/>
      <c r="L256" s="951"/>
      <c r="M256" s="951"/>
      <c r="N256" s="951"/>
      <c r="O256" s="949"/>
    </row>
    <row r="257" spans="1:15" s="952" customFormat="1" ht="18.75" customHeight="1">
      <c r="A257" s="953"/>
      <c r="B257" s="947" t="str">
        <f>[140]산출!B254</f>
        <v>- 구조틀</v>
      </c>
      <c r="C257" s="954"/>
      <c r="D257" s="955"/>
      <c r="E257" s="948"/>
      <c r="F257" s="949"/>
      <c r="G257" s="950"/>
      <c r="H257" s="948"/>
      <c r="I257" s="951"/>
      <c r="J257" s="951"/>
      <c r="K257" s="951"/>
      <c r="L257" s="951"/>
      <c r="M257" s="951"/>
      <c r="N257" s="951"/>
      <c r="O257" s="949"/>
    </row>
    <row r="258" spans="1:15" ht="18.75" customHeight="1">
      <c r="A258" s="962"/>
      <c r="B258" s="957" t="str">
        <f>[140]산출!B255</f>
        <v>각파이프(방청)</v>
      </c>
      <c r="C258" s="939" t="str">
        <f>[140]산출!C255</f>
        <v>50*50*1.4T</v>
      </c>
      <c r="D258" s="958">
        <f>[140]산출!G255</f>
        <v>0</v>
      </c>
      <c r="E258" s="935" t="str">
        <f>SUBSTITUTE(CONCATENATE(B:B,C:C,F:F)," ","")</f>
        <v>각파이프(방청)50*50*1.4TM</v>
      </c>
      <c r="F258" s="896" t="str">
        <f>[140]산출!D255</f>
        <v>M</v>
      </c>
      <c r="G258" s="936">
        <f>[140]산출!F255</f>
        <v>227.7</v>
      </c>
      <c r="H258" s="935" t="str">
        <f t="shared" ref="H258:H259" si="78">SUBSTITUTE(CONCATENATE(B258,C258,F258)," ","")</f>
        <v>각파이프(방청)50*50*1.4TM</v>
      </c>
      <c r="I258" s="959">
        <f>VLOOKUP($H:$H,[140]일위목록!$A:$H,6,FALSE)</f>
        <v>3111</v>
      </c>
      <c r="J258" s="959">
        <f>TRUNC($G:$G*I:I)</f>
        <v>708374</v>
      </c>
      <c r="K258" s="959">
        <f>VLOOKUP($H:$H,[140]일위목록!$A:$H,7,FALSE)</f>
        <v>16978</v>
      </c>
      <c r="L258" s="959">
        <f>TRUNC($G:$G*K:K)</f>
        <v>3865890</v>
      </c>
      <c r="M258" s="959">
        <f t="shared" ref="M258:N259" si="79">SUM(I258,K258)</f>
        <v>20089</v>
      </c>
      <c r="N258" s="959">
        <f t="shared" si="79"/>
        <v>4574264</v>
      </c>
      <c r="O258" s="896" t="str">
        <f>VLOOKUP($H:$H,[140]일위목록!$A:$B,2,FALSE)</f>
        <v>제47호표</v>
      </c>
    </row>
    <row r="259" spans="1:15" ht="18.75" customHeight="1">
      <c r="A259" s="962"/>
      <c r="B259" s="957" t="str">
        <f>[140]산출!B256</f>
        <v>각파이프(방청)</v>
      </c>
      <c r="C259" s="939" t="str">
        <f>[140]산출!C256</f>
        <v>100*50*2.3T</v>
      </c>
      <c r="D259" s="958">
        <f>[140]산출!G256</f>
        <v>0</v>
      </c>
      <c r="E259" s="935" t="str">
        <f>SUBSTITUTE(CONCATENATE(B:B,C:C,F:F)," ","")</f>
        <v>각파이프(방청)100*50*2.3TM</v>
      </c>
      <c r="F259" s="896" t="str">
        <f>[140]산출!D256</f>
        <v>M</v>
      </c>
      <c r="G259" s="936">
        <f>[140]산출!F256</f>
        <v>39.200000000000003</v>
      </c>
      <c r="H259" s="935" t="str">
        <f t="shared" si="78"/>
        <v>각파이프(방청)100*50*2.3TM</v>
      </c>
      <c r="I259" s="959">
        <f>VLOOKUP($H:$H,[140]일위목록!$A:$H,6,FALSE)</f>
        <v>6799</v>
      </c>
      <c r="J259" s="959">
        <f>TRUNC($G:$G*I:I)</f>
        <v>266520</v>
      </c>
      <c r="K259" s="959">
        <f>VLOOKUP($H:$H,[140]일위목록!$A:$H,7,FALSE)</f>
        <v>41245</v>
      </c>
      <c r="L259" s="959">
        <f>TRUNC($G:$G*K:K)</f>
        <v>1616804</v>
      </c>
      <c r="M259" s="959">
        <f t="shared" si="79"/>
        <v>48044</v>
      </c>
      <c r="N259" s="959">
        <f t="shared" si="79"/>
        <v>1883324</v>
      </c>
      <c r="O259" s="896" t="str">
        <f>VLOOKUP($H:$H,[140]일위목록!$A:$B,2,FALSE)</f>
        <v>제48호표</v>
      </c>
    </row>
    <row r="260" spans="1:15" s="952" customFormat="1" ht="18.75" customHeight="1">
      <c r="A260" s="962"/>
      <c r="B260" s="947" t="str">
        <f>[140]산출!B257</f>
        <v>- 잡철물</v>
      </c>
      <c r="C260" s="954"/>
      <c r="D260" s="955"/>
      <c r="E260" s="948"/>
      <c r="F260" s="949"/>
      <c r="G260" s="950"/>
      <c r="H260" s="948"/>
      <c r="I260" s="951"/>
      <c r="J260" s="951"/>
      <c r="K260" s="951"/>
      <c r="L260" s="951"/>
      <c r="M260" s="951"/>
      <c r="N260" s="951"/>
      <c r="O260" s="949"/>
    </row>
    <row r="261" spans="1:15" ht="18.75" customHeight="1">
      <c r="A261" s="962"/>
      <c r="B261" s="957" t="str">
        <f>[140]산출!B258</f>
        <v>갈바후레임제작설치</v>
      </c>
      <c r="C261" s="939" t="str">
        <f>[140]산출!C258</f>
        <v>1.6T</v>
      </c>
      <c r="D261" s="958" t="str">
        <f>[140]산출!G258</f>
        <v>상부점검도어 몰딩</v>
      </c>
      <c r="E261" s="935" t="str">
        <f t="shared" ref="E261:E273" si="80">SUBSTITUTE(CONCATENATE(B:B,C:C,F:F)," ","")</f>
        <v>갈바후레임제작설치1.6TM2</v>
      </c>
      <c r="F261" s="896" t="str">
        <f>[140]산출!D258</f>
        <v>M2</v>
      </c>
      <c r="G261" s="936">
        <f>[140]산출!F258</f>
        <v>2.52</v>
      </c>
      <c r="H261" s="935" t="str">
        <f t="shared" ref="H261:H269" si="81">SUBSTITUTE(CONCATENATE(B261,C261,F261)," ","")</f>
        <v>갈바후레임제작설치1.6TM2</v>
      </c>
      <c r="I261" s="959">
        <f>VLOOKUP($H:$H,[140]일위목록!$A:$H,6,FALSE)</f>
        <v>16515</v>
      </c>
      <c r="J261" s="959">
        <f t="shared" ref="J261:J269" si="82">TRUNC($G:$G*I:I)</f>
        <v>41617</v>
      </c>
      <c r="K261" s="959">
        <f>VLOOKUP($H:$H,[140]일위목록!$A:$H,7,FALSE)</f>
        <v>65362</v>
      </c>
      <c r="L261" s="959">
        <f t="shared" ref="L261:L269" si="83">TRUNC($G:$G*K:K)</f>
        <v>164712</v>
      </c>
      <c r="M261" s="959">
        <f t="shared" ref="M261:N269" si="84">SUM(I261,K261)</f>
        <v>81877</v>
      </c>
      <c r="N261" s="959">
        <f t="shared" si="84"/>
        <v>206329</v>
      </c>
      <c r="O261" s="896" t="str">
        <f>VLOOKUP($H:$H,[140]일위목록!$A:$B,2,FALSE)</f>
        <v>제51호표</v>
      </c>
    </row>
    <row r="262" spans="1:15" ht="18.75" customHeight="1">
      <c r="A262" s="962"/>
      <c r="B262" s="957" t="str">
        <f>[140]산출!B259</f>
        <v>갈바후레임제작설치</v>
      </c>
      <c r="C262" s="939" t="str">
        <f>[140]산출!C259</f>
        <v>1.6T</v>
      </c>
      <c r="D262" s="958" t="str">
        <f>[140]산출!G259</f>
        <v>상부전면천장유리후레임</v>
      </c>
      <c r="E262" s="935" t="str">
        <f t="shared" si="80"/>
        <v>갈바후레임제작설치1.6TM2</v>
      </c>
      <c r="F262" s="896" t="str">
        <f>[140]산출!D259</f>
        <v>M2</v>
      </c>
      <c r="G262" s="936">
        <f>[140]산출!F259</f>
        <v>3.9359999999999999</v>
      </c>
      <c r="H262" s="935" t="str">
        <f t="shared" si="81"/>
        <v>갈바후레임제작설치1.6TM2</v>
      </c>
      <c r="I262" s="959">
        <f>VLOOKUP($H:$H,[140]일위목록!$A:$H,6,FALSE)</f>
        <v>16515</v>
      </c>
      <c r="J262" s="959">
        <f t="shared" si="82"/>
        <v>65003</v>
      </c>
      <c r="K262" s="959">
        <f>VLOOKUP($H:$H,[140]일위목록!$A:$H,7,FALSE)</f>
        <v>65362</v>
      </c>
      <c r="L262" s="959">
        <f t="shared" si="83"/>
        <v>257264</v>
      </c>
      <c r="M262" s="959">
        <f t="shared" si="84"/>
        <v>81877</v>
      </c>
      <c r="N262" s="959">
        <f t="shared" si="84"/>
        <v>322267</v>
      </c>
      <c r="O262" s="896" t="str">
        <f>VLOOKUP($H:$H,[140]일위목록!$A:$B,2,FALSE)</f>
        <v>제51호표</v>
      </c>
    </row>
    <row r="263" spans="1:15" ht="18.75" customHeight="1">
      <c r="A263" s="962"/>
      <c r="B263" s="957" t="str">
        <f>[140]산출!B260</f>
        <v>갈바후레임제작설치</v>
      </c>
      <c r="C263" s="939" t="str">
        <f>[140]산출!C260</f>
        <v>1.6T</v>
      </c>
      <c r="D263" s="958" t="str">
        <f>[140]산출!G260</f>
        <v>배면천장몰딩</v>
      </c>
      <c r="E263" s="935" t="str">
        <f t="shared" si="80"/>
        <v>갈바후레임제작설치1.6TM2</v>
      </c>
      <c r="F263" s="896" t="str">
        <f>[140]산출!D260</f>
        <v>M2</v>
      </c>
      <c r="G263" s="936">
        <f>[140]산출!F260</f>
        <v>5.2880000000000003</v>
      </c>
      <c r="H263" s="935" t="str">
        <f t="shared" si="81"/>
        <v>갈바후레임제작설치1.6TM2</v>
      </c>
      <c r="I263" s="959">
        <f>VLOOKUP($H:$H,[140]일위목록!$A:$H,6,FALSE)</f>
        <v>16515</v>
      </c>
      <c r="J263" s="959">
        <f t="shared" si="82"/>
        <v>87331</v>
      </c>
      <c r="K263" s="959">
        <f>VLOOKUP($H:$H,[140]일위목록!$A:$H,7,FALSE)</f>
        <v>65362</v>
      </c>
      <c r="L263" s="959">
        <f t="shared" si="83"/>
        <v>345634</v>
      </c>
      <c r="M263" s="959">
        <f t="shared" si="84"/>
        <v>81877</v>
      </c>
      <c r="N263" s="959">
        <f t="shared" si="84"/>
        <v>432965</v>
      </c>
      <c r="O263" s="896" t="str">
        <f>VLOOKUP($H:$H,[140]일위목록!$A:$B,2,FALSE)</f>
        <v>제51호표</v>
      </c>
    </row>
    <row r="264" spans="1:15" ht="18.75" customHeight="1">
      <c r="A264" s="962"/>
      <c r="B264" s="957" t="str">
        <f>[140]산출!B261</f>
        <v>갈바후레임제작설치</v>
      </c>
      <c r="C264" s="939" t="str">
        <f>[140]산출!C261</f>
        <v>1.6T</v>
      </c>
      <c r="D264" s="958" t="str">
        <f>[140]산출!G261</f>
        <v>그림걸이레일보강</v>
      </c>
      <c r="E264" s="935" t="str">
        <f t="shared" si="80"/>
        <v>갈바후레임제작설치1.6TM2</v>
      </c>
      <c r="F264" s="896" t="str">
        <f>[140]산출!D261</f>
        <v>M2</v>
      </c>
      <c r="G264" s="936">
        <f>[140]산출!F261</f>
        <v>1.64</v>
      </c>
      <c r="H264" s="935" t="str">
        <f t="shared" si="81"/>
        <v>갈바후레임제작설치1.6TM2</v>
      </c>
      <c r="I264" s="959">
        <f>VLOOKUP($H:$H,[140]일위목록!$A:$H,6,FALSE)</f>
        <v>16515</v>
      </c>
      <c r="J264" s="959">
        <f t="shared" si="82"/>
        <v>27084</v>
      </c>
      <c r="K264" s="959">
        <f>VLOOKUP($H:$H,[140]일위목록!$A:$H,7,FALSE)</f>
        <v>65362</v>
      </c>
      <c r="L264" s="959">
        <f t="shared" si="83"/>
        <v>107193</v>
      </c>
      <c r="M264" s="959">
        <f t="shared" si="84"/>
        <v>81877</v>
      </c>
      <c r="N264" s="959">
        <f t="shared" si="84"/>
        <v>134277</v>
      </c>
      <c r="O264" s="896" t="str">
        <f>VLOOKUP($H:$H,[140]일위목록!$A:$B,2,FALSE)</f>
        <v>제51호표</v>
      </c>
    </row>
    <row r="265" spans="1:15" ht="18.75" customHeight="1">
      <c r="A265" s="962"/>
      <c r="B265" s="957" t="str">
        <f>[140]산출!B262</f>
        <v>갈바후레임제작설치</v>
      </c>
      <c r="C265" s="939" t="str">
        <f>[140]산출!C262</f>
        <v>1.6T</v>
      </c>
      <c r="D265" s="958" t="str">
        <f>[140]산출!G262</f>
        <v>상부점검도어</v>
      </c>
      <c r="E265" s="935" t="str">
        <f t="shared" si="80"/>
        <v>갈바후레임제작설치1.6TM2</v>
      </c>
      <c r="F265" s="896" t="str">
        <f>[140]산출!D262</f>
        <v>M2</v>
      </c>
      <c r="G265" s="936">
        <f>[140]산출!F262</f>
        <v>4.96</v>
      </c>
      <c r="H265" s="935" t="str">
        <f t="shared" si="81"/>
        <v>갈바후레임제작설치1.6TM2</v>
      </c>
      <c r="I265" s="959">
        <f>VLOOKUP($H:$H,[140]일위목록!$A:$H,6,FALSE)</f>
        <v>16515</v>
      </c>
      <c r="J265" s="959">
        <f t="shared" si="82"/>
        <v>81914</v>
      </c>
      <c r="K265" s="959">
        <f>VLOOKUP($H:$H,[140]일위목록!$A:$H,7,FALSE)</f>
        <v>65362</v>
      </c>
      <c r="L265" s="959">
        <f t="shared" si="83"/>
        <v>324195</v>
      </c>
      <c r="M265" s="959">
        <f t="shared" si="84"/>
        <v>81877</v>
      </c>
      <c r="N265" s="959">
        <f t="shared" si="84"/>
        <v>406109</v>
      </c>
      <c r="O265" s="896" t="str">
        <f>VLOOKUP($H:$H,[140]일위목록!$A:$B,2,FALSE)</f>
        <v>제51호표</v>
      </c>
    </row>
    <row r="266" spans="1:15" ht="18.75" customHeight="1">
      <c r="A266" s="962"/>
      <c r="B266" s="957" t="str">
        <f>[140]산출!B263</f>
        <v>갈바후레임제작설치</v>
      </c>
      <c r="C266" s="939" t="str">
        <f>[140]산출!C263</f>
        <v>1.6T</v>
      </c>
      <c r="D266" s="958" t="str">
        <f>[140]산출!G263</f>
        <v>배면 사이드 몰딩</v>
      </c>
      <c r="E266" s="935" t="str">
        <f t="shared" si="80"/>
        <v>갈바후레임제작설치1.6TM2</v>
      </c>
      <c r="F266" s="896" t="str">
        <f>[140]산출!D263</f>
        <v>M2</v>
      </c>
      <c r="G266" s="936">
        <f>[140]산출!F263</f>
        <v>3.6960000000000006</v>
      </c>
      <c r="H266" s="935" t="str">
        <f t="shared" si="81"/>
        <v>갈바후레임제작설치1.6TM2</v>
      </c>
      <c r="I266" s="959">
        <f>VLOOKUP($H:$H,[140]일위목록!$A:$H,6,FALSE)</f>
        <v>16515</v>
      </c>
      <c r="J266" s="959">
        <f t="shared" si="82"/>
        <v>61039</v>
      </c>
      <c r="K266" s="959">
        <f>VLOOKUP($H:$H,[140]일위목록!$A:$H,7,FALSE)</f>
        <v>65362</v>
      </c>
      <c r="L266" s="959">
        <f t="shared" si="83"/>
        <v>241577</v>
      </c>
      <c r="M266" s="959">
        <f t="shared" si="84"/>
        <v>81877</v>
      </c>
      <c r="N266" s="959">
        <f t="shared" si="84"/>
        <v>302616</v>
      </c>
      <c r="O266" s="896" t="str">
        <f>VLOOKUP($H:$H,[140]일위목록!$A:$B,2,FALSE)</f>
        <v>제51호표</v>
      </c>
    </row>
    <row r="267" spans="1:15" ht="18.75" customHeight="1">
      <c r="A267" s="962"/>
      <c r="B267" s="957" t="str">
        <f>[140]산출!B264</f>
        <v>갈바후레임제작설치</v>
      </c>
      <c r="C267" s="939" t="str">
        <f>[140]산출!C264</f>
        <v>1.6T</v>
      </c>
      <c r="D267" s="958" t="str">
        <f>[140]산출!G264</f>
        <v>외부 측면 후레임</v>
      </c>
      <c r="E267" s="935" t="str">
        <f t="shared" si="80"/>
        <v>갈바후레임제작설치1.6TM2</v>
      </c>
      <c r="F267" s="896" t="str">
        <f>[140]산출!D264</f>
        <v>M2</v>
      </c>
      <c r="G267" s="936">
        <f>[140]산출!F264</f>
        <v>1.04</v>
      </c>
      <c r="H267" s="935" t="str">
        <f t="shared" si="81"/>
        <v>갈바후레임제작설치1.6TM2</v>
      </c>
      <c r="I267" s="959">
        <f>VLOOKUP($H:$H,[140]일위목록!$A:$H,6,FALSE)</f>
        <v>16515</v>
      </c>
      <c r="J267" s="959">
        <f t="shared" si="82"/>
        <v>17175</v>
      </c>
      <c r="K267" s="959">
        <f>VLOOKUP($H:$H,[140]일위목록!$A:$H,7,FALSE)</f>
        <v>65362</v>
      </c>
      <c r="L267" s="959">
        <f t="shared" si="83"/>
        <v>67976</v>
      </c>
      <c r="M267" s="959">
        <f t="shared" si="84"/>
        <v>81877</v>
      </c>
      <c r="N267" s="959">
        <f t="shared" si="84"/>
        <v>85151</v>
      </c>
      <c r="O267" s="896" t="str">
        <f>VLOOKUP($H:$H,[140]일위목록!$A:$B,2,FALSE)</f>
        <v>제51호표</v>
      </c>
    </row>
    <row r="268" spans="1:15" ht="18.75" customHeight="1">
      <c r="A268" s="962"/>
      <c r="B268" s="957" t="str">
        <f>[140]산출!B265</f>
        <v>갈바후레임제작설치</v>
      </c>
      <c r="C268" s="939" t="str">
        <f>[140]산출!C265</f>
        <v>1.6T</v>
      </c>
      <c r="D268" s="958" t="str">
        <f>[140]산출!G265</f>
        <v>측면 유리 몰딩</v>
      </c>
      <c r="E268" s="935" t="str">
        <f t="shared" si="80"/>
        <v>갈바후레임제작설치1.6TM2</v>
      </c>
      <c r="F268" s="896" t="str">
        <f>[140]산출!D265</f>
        <v>M2</v>
      </c>
      <c r="G268" s="936">
        <f>[140]산출!F265</f>
        <v>2.1743999999999999</v>
      </c>
      <c r="H268" s="935" t="str">
        <f t="shared" si="81"/>
        <v>갈바후레임제작설치1.6TM2</v>
      </c>
      <c r="I268" s="959">
        <f>VLOOKUP($H:$H,[140]일위목록!$A:$H,6,FALSE)</f>
        <v>16515</v>
      </c>
      <c r="J268" s="959">
        <f t="shared" si="82"/>
        <v>35910</v>
      </c>
      <c r="K268" s="959">
        <f>VLOOKUP($H:$H,[140]일위목록!$A:$H,7,FALSE)</f>
        <v>65362</v>
      </c>
      <c r="L268" s="959">
        <f t="shared" si="83"/>
        <v>142123</v>
      </c>
      <c r="M268" s="959">
        <f t="shared" si="84"/>
        <v>81877</v>
      </c>
      <c r="N268" s="959">
        <f t="shared" si="84"/>
        <v>178033</v>
      </c>
      <c r="O268" s="896" t="str">
        <f>VLOOKUP($H:$H,[140]일위목록!$A:$B,2,FALSE)</f>
        <v>제51호표</v>
      </c>
    </row>
    <row r="269" spans="1:15" ht="18.75" customHeight="1">
      <c r="A269" s="962"/>
      <c r="B269" s="957" t="str">
        <f>[140]산출!B266</f>
        <v>알루미늄판취부</v>
      </c>
      <c r="C269" s="939" t="str">
        <f>[140]산출!C266</f>
        <v>4T*900*1800</v>
      </c>
      <c r="D269" s="958" t="str">
        <f>[140]산출!G266</f>
        <v>상부점검도어 커버</v>
      </c>
      <c r="E269" s="935" t="str">
        <f t="shared" si="80"/>
        <v>알루미늄판취부4T*900*1800M2</v>
      </c>
      <c r="F269" s="896" t="str">
        <f>[140]산출!D266</f>
        <v>M2</v>
      </c>
      <c r="G269" s="936">
        <f>[140]산출!F266</f>
        <v>5.6</v>
      </c>
      <c r="H269" s="935" t="str">
        <f t="shared" si="81"/>
        <v>알루미늄판취부4T*900*1800M2</v>
      </c>
      <c r="I269" s="959">
        <f>VLOOKUP($H:$H,[140]일위목록!$A:$H,6,FALSE)</f>
        <v>130192</v>
      </c>
      <c r="J269" s="959">
        <f t="shared" si="82"/>
        <v>729075</v>
      </c>
      <c r="K269" s="959">
        <f>VLOOKUP($H:$H,[140]일위목록!$A:$H,7,FALSE)</f>
        <v>14745</v>
      </c>
      <c r="L269" s="959">
        <f t="shared" si="83"/>
        <v>82572</v>
      </c>
      <c r="M269" s="959">
        <f t="shared" si="84"/>
        <v>144937</v>
      </c>
      <c r="N269" s="959">
        <f t="shared" si="84"/>
        <v>811647</v>
      </c>
      <c r="O269" s="896" t="str">
        <f>VLOOKUP($H:$H,[140]일위목록!$A:$B,2,FALSE)</f>
        <v>제69호표</v>
      </c>
    </row>
    <row r="270" spans="1:15" s="952" customFormat="1" ht="18.75" customHeight="1">
      <c r="A270" s="962"/>
      <c r="B270" s="947" t="str">
        <f>[140]산출!B267</f>
        <v>- 잡철물</v>
      </c>
      <c r="C270" s="954" t="str">
        <f>[140]산출!C267</f>
        <v xml:space="preserve"> 하부</v>
      </c>
      <c r="D270" s="955">
        <f>[140]산출!G267</f>
        <v>0</v>
      </c>
      <c r="E270" s="948" t="str">
        <f t="shared" si="80"/>
        <v>-잡철물하부</v>
      </c>
      <c r="F270" s="949"/>
      <c r="G270" s="950"/>
      <c r="H270" s="948"/>
      <c r="I270" s="951"/>
      <c r="J270" s="951"/>
      <c r="K270" s="951"/>
      <c r="L270" s="951"/>
      <c r="M270" s="951"/>
      <c r="N270" s="951"/>
      <c r="O270" s="949"/>
    </row>
    <row r="271" spans="1:15" ht="18.75" customHeight="1">
      <c r="A271" s="962"/>
      <c r="B271" s="957" t="str">
        <f>[140]산출!B268</f>
        <v>갈바후레임제작설치</v>
      </c>
      <c r="C271" s="939" t="str">
        <f>[140]산출!C268</f>
        <v>1.6T</v>
      </c>
      <c r="D271" s="958" t="str">
        <f>[140]산출!G268</f>
        <v>하부전면후레임</v>
      </c>
      <c r="E271" s="935" t="str">
        <f t="shared" si="80"/>
        <v>갈바후레임제작설치1.6TM2</v>
      </c>
      <c r="F271" s="896" t="str">
        <f>[140]산출!D268</f>
        <v>M2</v>
      </c>
      <c r="G271" s="936">
        <f>[140]산출!F268</f>
        <v>3.6240000000000001</v>
      </c>
      <c r="H271" s="935" t="str">
        <f t="shared" ref="H271:H273" si="85">SUBSTITUTE(CONCATENATE(B271,C271,F271)," ","")</f>
        <v>갈바후레임제작설치1.6TM2</v>
      </c>
      <c r="I271" s="959">
        <f>VLOOKUP($H:$H,[140]일위목록!$A:$H,6,FALSE)</f>
        <v>16515</v>
      </c>
      <c r="J271" s="959">
        <f>TRUNC($G:$G*I:I)</f>
        <v>59850</v>
      </c>
      <c r="K271" s="959">
        <f>VLOOKUP($H:$H,[140]일위목록!$A:$H,7,FALSE)</f>
        <v>65362</v>
      </c>
      <c r="L271" s="959">
        <f>TRUNC($G:$G*K:K)</f>
        <v>236871</v>
      </c>
      <c r="M271" s="959">
        <f t="shared" ref="M271:N273" si="86">SUM(I271,K271)</f>
        <v>81877</v>
      </c>
      <c r="N271" s="959">
        <f t="shared" si="86"/>
        <v>296721</v>
      </c>
      <c r="O271" s="896" t="str">
        <f>VLOOKUP($H:$H,[140]일위목록!$A:$B,2,FALSE)</f>
        <v>제51호표</v>
      </c>
    </row>
    <row r="272" spans="1:15" ht="18.75" customHeight="1">
      <c r="A272" s="962"/>
      <c r="B272" s="957" t="str">
        <f>[140]산출!B269</f>
        <v>갈바후레임제작설치</v>
      </c>
      <c r="C272" s="939" t="str">
        <f>[140]산출!C269</f>
        <v>1.6T</v>
      </c>
      <c r="D272" s="958" t="str">
        <f>[140]산출!G269</f>
        <v>하부바닥받침몰딩</v>
      </c>
      <c r="E272" s="935" t="str">
        <f t="shared" si="80"/>
        <v>갈바후레임제작설치1.6TM2</v>
      </c>
      <c r="F272" s="896" t="str">
        <f>[140]산출!D269</f>
        <v>M2</v>
      </c>
      <c r="G272" s="936">
        <f>[140]산출!F269</f>
        <v>1.3919999999999999</v>
      </c>
      <c r="H272" s="935" t="str">
        <f t="shared" si="85"/>
        <v>갈바후레임제작설치1.6TM2</v>
      </c>
      <c r="I272" s="959">
        <f>VLOOKUP($H:$H,[140]일위목록!$A:$H,6,FALSE)</f>
        <v>16515</v>
      </c>
      <c r="J272" s="959">
        <f>TRUNC($G:$G*I:I)</f>
        <v>22988</v>
      </c>
      <c r="K272" s="959">
        <f>VLOOKUP($H:$H,[140]일위목록!$A:$H,7,FALSE)</f>
        <v>65362</v>
      </c>
      <c r="L272" s="959">
        <f>TRUNC($G:$G*K:K)</f>
        <v>90983</v>
      </c>
      <c r="M272" s="959">
        <f t="shared" si="86"/>
        <v>81877</v>
      </c>
      <c r="N272" s="959">
        <f t="shared" si="86"/>
        <v>113971</v>
      </c>
      <c r="O272" s="896" t="str">
        <f>VLOOKUP($H:$H,[140]일위목록!$A:$B,2,FALSE)</f>
        <v>제51호표</v>
      </c>
    </row>
    <row r="273" spans="1:15" ht="18.75" customHeight="1">
      <c r="A273" s="962"/>
      <c r="B273" s="957" t="str">
        <f>[140]산출!B270</f>
        <v>갈바후레임제작설치</v>
      </c>
      <c r="C273" s="939" t="str">
        <f>[140]산출!C270</f>
        <v>1.6T</v>
      </c>
      <c r="D273" s="958" t="str">
        <f>[140]산출!G270</f>
        <v>하부 걸레받이</v>
      </c>
      <c r="E273" s="935" t="str">
        <f t="shared" si="80"/>
        <v>갈바후레임제작설치1.6TM2</v>
      </c>
      <c r="F273" s="896" t="str">
        <f>[140]산출!D270</f>
        <v>M2</v>
      </c>
      <c r="G273" s="936">
        <f>[140]산출!F270</f>
        <v>1.0640000000000001</v>
      </c>
      <c r="H273" s="935" t="str">
        <f t="shared" si="85"/>
        <v>갈바후레임제작설치1.6TM2</v>
      </c>
      <c r="I273" s="959">
        <f>VLOOKUP($H:$H,[140]일위목록!$A:$H,6,FALSE)</f>
        <v>16515</v>
      </c>
      <c r="J273" s="959">
        <f>TRUNC($G:$G*I:I)</f>
        <v>17571</v>
      </c>
      <c r="K273" s="959">
        <f>VLOOKUP($H:$H,[140]일위목록!$A:$H,7,FALSE)</f>
        <v>65362</v>
      </c>
      <c r="L273" s="959">
        <f>TRUNC($G:$G*K:K)</f>
        <v>69545</v>
      </c>
      <c r="M273" s="959">
        <f t="shared" si="86"/>
        <v>81877</v>
      </c>
      <c r="N273" s="959">
        <f t="shared" si="86"/>
        <v>87116</v>
      </c>
      <c r="O273" s="896" t="str">
        <f>VLOOKUP($H:$H,[140]일위목록!$A:$B,2,FALSE)</f>
        <v>제51호표</v>
      </c>
    </row>
    <row r="274" spans="1:15" s="952" customFormat="1" ht="18.75" customHeight="1">
      <c r="A274" s="962"/>
      <c r="B274" s="947" t="str">
        <f>[140]산출!B271</f>
        <v>- SYSTEM 장치</v>
      </c>
      <c r="C274" s="954"/>
      <c r="D274" s="955"/>
      <c r="E274" s="948"/>
      <c r="F274" s="949"/>
      <c r="G274" s="950"/>
      <c r="H274" s="948"/>
      <c r="I274" s="951"/>
      <c r="J274" s="951"/>
      <c r="K274" s="951"/>
      <c r="L274" s="951"/>
      <c r="M274" s="951"/>
      <c r="N274" s="951"/>
      <c r="O274" s="949"/>
    </row>
    <row r="275" spans="1:15" ht="18.75" customHeight="1">
      <c r="A275" s="962"/>
      <c r="B275" s="957" t="str">
        <f>[140]산출!B272</f>
        <v>피아노경첩 제작설치</v>
      </c>
      <c r="C275" s="939"/>
      <c r="D275" s="958">
        <f>[140]산출!G272</f>
        <v>0</v>
      </c>
      <c r="E275" s="935" t="str">
        <f t="shared" ref="E275:E288" si="87">SUBSTITUTE(CONCATENATE(B:B,C:C,F:F)," ","")</f>
        <v>피아노경첩제작설치M</v>
      </c>
      <c r="F275" s="896" t="str">
        <f>[140]산출!D272</f>
        <v>M</v>
      </c>
      <c r="G275" s="936">
        <f>[140]산출!F272</f>
        <v>16</v>
      </c>
      <c r="H275" s="935" t="str">
        <f t="shared" ref="H275:H288" si="88">SUBSTITUTE(CONCATENATE(B275,C275,F275)," ","")</f>
        <v>피아노경첩제작설치M</v>
      </c>
      <c r="I275" s="959">
        <f>VLOOKUP($H:$H,[140]일위목록!$A:$H,6,FALSE)</f>
        <v>12630</v>
      </c>
      <c r="J275" s="959">
        <f t="shared" ref="J275:J288" si="89">TRUNC($G:$G*I:I)</f>
        <v>202080</v>
      </c>
      <c r="K275" s="959">
        <f>VLOOKUP($H:$H,[140]일위목록!$A:$H,7,FALSE)</f>
        <v>10973</v>
      </c>
      <c r="L275" s="959">
        <f t="shared" ref="L275:L288" si="90">TRUNC($G:$G*K:K)</f>
        <v>175568</v>
      </c>
      <c r="M275" s="959">
        <f t="shared" ref="M275:N288" si="91">SUM(I275,K275)</f>
        <v>23603</v>
      </c>
      <c r="N275" s="959">
        <f t="shared" si="91"/>
        <v>377648</v>
      </c>
      <c r="O275" s="896" t="str">
        <f>VLOOKUP($H:$H,[140]일위목록!$A:$B,2,FALSE)</f>
        <v>제88호표</v>
      </c>
    </row>
    <row r="276" spans="1:15" ht="18.75" customHeight="1">
      <c r="A276" s="962"/>
      <c r="B276" s="957" t="str">
        <f>[140]산출!B273</f>
        <v>LOCK SET 제작설치</v>
      </c>
      <c r="C276" s="939" t="str">
        <f>[140]산출!C273</f>
        <v>시건장치</v>
      </c>
      <c r="D276" s="958">
        <f>[140]산출!G273</f>
        <v>0</v>
      </c>
      <c r="E276" s="935" t="str">
        <f t="shared" si="87"/>
        <v>LOCKSET제작설치시건장치set</v>
      </c>
      <c r="F276" s="896" t="str">
        <f>[140]산출!D273</f>
        <v>set</v>
      </c>
      <c r="G276" s="936">
        <f>[140]산출!F273</f>
        <v>3</v>
      </c>
      <c r="H276" s="935" t="str">
        <f t="shared" si="88"/>
        <v>LOCKSET제작설치시건장치set</v>
      </c>
      <c r="I276" s="959">
        <f>VLOOKUP($H:$H,[140]일위목록!$A:$H,6,FALSE)</f>
        <v>48840</v>
      </c>
      <c r="J276" s="959">
        <f t="shared" si="89"/>
        <v>146520</v>
      </c>
      <c r="K276" s="959">
        <f>VLOOKUP($H:$H,[140]일위목록!$A:$H,7,FALSE)</f>
        <v>12605</v>
      </c>
      <c r="L276" s="959">
        <f t="shared" si="90"/>
        <v>37815</v>
      </c>
      <c r="M276" s="959">
        <f t="shared" si="91"/>
        <v>61445</v>
      </c>
      <c r="N276" s="959">
        <f t="shared" si="91"/>
        <v>184335</v>
      </c>
      <c r="O276" s="896" t="str">
        <f>VLOOKUP($H:$H,[140]일위목록!$A:$B,2,FALSE)</f>
        <v>제89호표</v>
      </c>
    </row>
    <row r="277" spans="1:15" ht="18.75" customHeight="1">
      <c r="A277" s="962"/>
      <c r="B277" s="957" t="str">
        <f>[140]산출!B274</f>
        <v>AL.패킹바 제작설치</v>
      </c>
      <c r="C277" s="939"/>
      <c r="D277" s="958">
        <f>[140]산출!G274</f>
        <v>0</v>
      </c>
      <c r="E277" s="935" t="str">
        <f t="shared" si="87"/>
        <v>AL.패킹바제작설치M</v>
      </c>
      <c r="F277" s="896" t="str">
        <f>[140]산출!D274</f>
        <v>M</v>
      </c>
      <c r="G277" s="936">
        <f>[140]산출!F274</f>
        <v>16</v>
      </c>
      <c r="H277" s="935" t="str">
        <f t="shared" si="88"/>
        <v>AL.패킹바제작설치M</v>
      </c>
      <c r="I277" s="959">
        <f>VLOOKUP($H:$H,[140]일위목록!$A:$H,6,FALSE)</f>
        <v>5250</v>
      </c>
      <c r="J277" s="959">
        <f t="shared" si="89"/>
        <v>84000</v>
      </c>
      <c r="K277" s="959">
        <f>VLOOKUP($H:$H,[140]일위목록!$A:$H,7,FALSE)</f>
        <v>3534</v>
      </c>
      <c r="L277" s="959">
        <f t="shared" si="90"/>
        <v>56544</v>
      </c>
      <c r="M277" s="959">
        <f t="shared" si="91"/>
        <v>8784</v>
      </c>
      <c r="N277" s="959">
        <f t="shared" si="91"/>
        <v>140544</v>
      </c>
      <c r="O277" s="896" t="str">
        <f>VLOOKUP($H:$H,[140]일위목록!$A:$B,2,FALSE)</f>
        <v>제92호표</v>
      </c>
    </row>
    <row r="278" spans="1:15" ht="18.75" customHeight="1">
      <c r="A278" s="962"/>
      <c r="B278" s="957" t="str">
        <f>[140]산출!B275</f>
        <v>밀폐패킹 설치</v>
      </c>
      <c r="C278" s="939" t="str">
        <f>[140]산출!C275</f>
        <v>대형</v>
      </c>
      <c r="D278" s="958">
        <f>[140]산출!G275</f>
        <v>0</v>
      </c>
      <c r="E278" s="935" t="str">
        <f t="shared" si="87"/>
        <v>밀폐패킹설치대형M</v>
      </c>
      <c r="F278" s="896" t="str">
        <f>[140]산출!D275</f>
        <v>M</v>
      </c>
      <c r="G278" s="936">
        <f>[140]산출!F275</f>
        <v>21.2</v>
      </c>
      <c r="H278" s="935" t="str">
        <f t="shared" si="88"/>
        <v>밀폐패킹설치대형M</v>
      </c>
      <c r="I278" s="959">
        <f>VLOOKUP($H:$H,[140]일위목록!$A:$H,6,FALSE)</f>
        <v>9450</v>
      </c>
      <c r="J278" s="959">
        <f t="shared" si="89"/>
        <v>200340</v>
      </c>
      <c r="K278" s="959">
        <f>VLOOKUP($H:$H,[140]일위목록!$A:$H,7,FALSE)</f>
        <v>2397</v>
      </c>
      <c r="L278" s="959">
        <f t="shared" si="90"/>
        <v>50816</v>
      </c>
      <c r="M278" s="959">
        <f t="shared" si="91"/>
        <v>11847</v>
      </c>
      <c r="N278" s="959">
        <f t="shared" si="91"/>
        <v>251156</v>
      </c>
      <c r="O278" s="896" t="str">
        <f>VLOOKUP($H:$H,[140]일위목록!$A:$B,2,FALSE)</f>
        <v>제94호표</v>
      </c>
    </row>
    <row r="279" spans="1:15" ht="18.75" customHeight="1">
      <c r="A279" s="962"/>
      <c r="B279" s="957" t="str">
        <f>[140]산출!B276</f>
        <v>AL.사출유리후렘 제작설치</v>
      </c>
      <c r="C279" s="939" t="str">
        <f>[140]산출!C276</f>
        <v>벽부장(상부)</v>
      </c>
      <c r="D279" s="958">
        <f>[140]산출!G276</f>
        <v>0</v>
      </c>
      <c r="E279" s="935" t="str">
        <f t="shared" si="87"/>
        <v>AL.사출유리후렘제작설치벽부장(상부)M</v>
      </c>
      <c r="F279" s="896" t="str">
        <f>[140]산출!D276</f>
        <v>M</v>
      </c>
      <c r="G279" s="936">
        <f>[140]산출!F276</f>
        <v>8</v>
      </c>
      <c r="H279" s="935" t="str">
        <f t="shared" si="88"/>
        <v>AL.사출유리후렘제작설치벽부장(상부)M</v>
      </c>
      <c r="I279" s="959">
        <f>VLOOKUP($H:$H,[140]일위목록!$A:$H,6,FALSE)</f>
        <v>210000</v>
      </c>
      <c r="J279" s="959">
        <f t="shared" si="89"/>
        <v>1680000</v>
      </c>
      <c r="K279" s="959">
        <f>VLOOKUP($H:$H,[140]일위목록!$A:$H,7,FALSE)</f>
        <v>53130</v>
      </c>
      <c r="L279" s="959">
        <f t="shared" si="90"/>
        <v>425040</v>
      </c>
      <c r="M279" s="959">
        <f t="shared" si="91"/>
        <v>263130</v>
      </c>
      <c r="N279" s="959">
        <f t="shared" si="91"/>
        <v>2105040</v>
      </c>
      <c r="O279" s="896" t="str">
        <f>VLOOKUP($H:$H,[140]일위목록!$A:$B,2,FALSE)</f>
        <v>제95호표</v>
      </c>
    </row>
    <row r="280" spans="1:15" ht="18.75" customHeight="1">
      <c r="A280" s="962"/>
      <c r="B280" s="957" t="str">
        <f>[140]산출!B277</f>
        <v>AL.사출유리후렘 제작설치</v>
      </c>
      <c r="C280" s="939" t="str">
        <f>[140]산출!C277</f>
        <v>벽부장(하부)</v>
      </c>
      <c r="D280" s="958">
        <f>[140]산출!G277</f>
        <v>0</v>
      </c>
      <c r="E280" s="935" t="str">
        <f t="shared" si="87"/>
        <v>AL.사출유리후렘제작설치벽부장(하부)M</v>
      </c>
      <c r="F280" s="896" t="str">
        <f>[140]산출!D277</f>
        <v>M</v>
      </c>
      <c r="G280" s="936">
        <f>[140]산출!F277</f>
        <v>8</v>
      </c>
      <c r="H280" s="935" t="str">
        <f t="shared" si="88"/>
        <v>AL.사출유리후렘제작설치벽부장(하부)M</v>
      </c>
      <c r="I280" s="959">
        <f>VLOOKUP($H:$H,[140]일위목록!$A:$H,6,FALSE)</f>
        <v>126000</v>
      </c>
      <c r="J280" s="959">
        <f t="shared" si="89"/>
        <v>1008000</v>
      </c>
      <c r="K280" s="959">
        <f>VLOOKUP($H:$H,[140]일위목록!$A:$H,7,FALSE)</f>
        <v>35420</v>
      </c>
      <c r="L280" s="959">
        <f t="shared" si="90"/>
        <v>283360</v>
      </c>
      <c r="M280" s="959">
        <f t="shared" si="91"/>
        <v>161420</v>
      </c>
      <c r="N280" s="959">
        <f t="shared" si="91"/>
        <v>1291360</v>
      </c>
      <c r="O280" s="896" t="str">
        <f>VLOOKUP($H:$H,[140]일위목록!$A:$B,2,FALSE)</f>
        <v>제96호표</v>
      </c>
    </row>
    <row r="281" spans="1:15" ht="18.75" customHeight="1">
      <c r="A281" s="962"/>
      <c r="B281" s="957" t="str">
        <f>[140]산출!B278</f>
        <v>모터구동시스템 설치</v>
      </c>
      <c r="C281" s="939" t="str">
        <f>[140]산출!C278</f>
        <v>웜기어 전동실린더</v>
      </c>
      <c r="D281" s="958">
        <f>[140]산출!G278</f>
        <v>0</v>
      </c>
      <c r="E281" s="935" t="str">
        <f t="shared" si="87"/>
        <v>모터구동시스템설치웜기어전동실린더SET</v>
      </c>
      <c r="F281" s="896" t="str">
        <f>[140]산출!D278</f>
        <v>SET</v>
      </c>
      <c r="G281" s="936">
        <f>[140]산출!F278</f>
        <v>12</v>
      </c>
      <c r="H281" s="935" t="str">
        <f t="shared" si="88"/>
        <v>모터구동시스템설치웜기어전동실린더SET</v>
      </c>
      <c r="I281" s="959">
        <f>VLOOKUP($H:$H,[140]일위목록!$A:$H,6,FALSE)</f>
        <v>353000</v>
      </c>
      <c r="J281" s="959">
        <f t="shared" si="89"/>
        <v>4236000</v>
      </c>
      <c r="K281" s="959">
        <f>VLOOKUP($H:$H,[140]일위목록!$A:$H,7,FALSE)</f>
        <v>96655</v>
      </c>
      <c r="L281" s="959">
        <f t="shared" si="90"/>
        <v>1159860</v>
      </c>
      <c r="M281" s="959">
        <f t="shared" si="91"/>
        <v>449655</v>
      </c>
      <c r="N281" s="959">
        <f t="shared" si="91"/>
        <v>5395860</v>
      </c>
      <c r="O281" s="896" t="str">
        <f>VLOOKUP($H:$H,[140]일위목록!$A:$B,2,FALSE)</f>
        <v>제101호표</v>
      </c>
    </row>
    <row r="282" spans="1:15" ht="18.75" customHeight="1">
      <c r="A282" s="962"/>
      <c r="B282" s="957" t="str">
        <f>[140]산출!B279</f>
        <v>LM가이드시스템 가공 설치</v>
      </c>
      <c r="C282" s="939" t="str">
        <f>[140]산출!C279</f>
        <v>Ø25</v>
      </c>
      <c r="D282" s="958">
        <f>[140]산출!G279</f>
        <v>0</v>
      </c>
      <c r="E282" s="935" t="str">
        <f t="shared" si="87"/>
        <v>LM가이드시스템가공설치Ø25SET</v>
      </c>
      <c r="F282" s="896" t="str">
        <f>[140]산출!D279</f>
        <v>SET</v>
      </c>
      <c r="G282" s="936">
        <f>[140]산출!F279</f>
        <v>24</v>
      </c>
      <c r="H282" s="935" t="str">
        <f t="shared" si="88"/>
        <v>LM가이드시스템가공설치Ø25SET</v>
      </c>
      <c r="I282" s="959">
        <f>VLOOKUP($H:$H,[140]일위목록!$A:$H,6,FALSE)</f>
        <v>144000</v>
      </c>
      <c r="J282" s="959">
        <f t="shared" si="89"/>
        <v>3456000</v>
      </c>
      <c r="K282" s="959">
        <f>VLOOKUP($H:$H,[140]일위목록!$A:$H,7,FALSE)</f>
        <v>18323</v>
      </c>
      <c r="L282" s="959">
        <f t="shared" si="90"/>
        <v>439752</v>
      </c>
      <c r="M282" s="959">
        <f t="shared" si="91"/>
        <v>162323</v>
      </c>
      <c r="N282" s="959">
        <f t="shared" si="91"/>
        <v>3895752</v>
      </c>
      <c r="O282" s="896" t="str">
        <f>VLOOKUP($H:$H,[140]일위목록!$A:$B,2,FALSE)</f>
        <v>제100호표</v>
      </c>
    </row>
    <row r="283" spans="1:15" ht="18.75" customHeight="1">
      <c r="A283" s="962"/>
      <c r="B283" s="957" t="str">
        <f>[140]산출!B280</f>
        <v>베어링레일및가공 설치</v>
      </c>
      <c r="C283" s="939" t="str">
        <f>[140]산출!C280</f>
        <v>22*42 2.3T 가공</v>
      </c>
      <c r="D283" s="958">
        <f>[140]산출!G280</f>
        <v>0</v>
      </c>
      <c r="E283" s="935" t="str">
        <f t="shared" si="87"/>
        <v>베어링레일및가공설치22*422.3T가공M</v>
      </c>
      <c r="F283" s="896" t="str">
        <f>[140]산출!D280</f>
        <v>M</v>
      </c>
      <c r="G283" s="936">
        <f>[140]산출!F280</f>
        <v>16</v>
      </c>
      <c r="H283" s="935" t="str">
        <f t="shared" si="88"/>
        <v>베어링레일및가공설치22*422.3T가공M</v>
      </c>
      <c r="I283" s="959">
        <f>VLOOKUP($H:$H,[140]일위목록!$A:$H,6,FALSE)</f>
        <v>136500</v>
      </c>
      <c r="J283" s="959">
        <f t="shared" si="89"/>
        <v>2184000</v>
      </c>
      <c r="K283" s="959">
        <f>VLOOKUP($H:$H,[140]일위목록!$A:$H,7,FALSE)</f>
        <v>35420</v>
      </c>
      <c r="L283" s="959">
        <f t="shared" si="90"/>
        <v>566720</v>
      </c>
      <c r="M283" s="959">
        <f t="shared" si="91"/>
        <v>171920</v>
      </c>
      <c r="N283" s="959">
        <f t="shared" si="91"/>
        <v>2750720</v>
      </c>
      <c r="O283" s="896" t="str">
        <f>VLOOKUP($H:$H,[140]일위목록!$A:$B,2,FALSE)</f>
        <v>제102호표</v>
      </c>
    </row>
    <row r="284" spans="1:15" ht="18.75" customHeight="1">
      <c r="A284" s="962"/>
      <c r="B284" s="957" t="str">
        <f>[140]산출!B281</f>
        <v>슬라이딩베어링 가공조립</v>
      </c>
      <c r="C284" s="939" t="str">
        <f>[140]산출!C281</f>
        <v>Ø26</v>
      </c>
      <c r="D284" s="958">
        <f>[140]산출!G281</f>
        <v>0</v>
      </c>
      <c r="E284" s="935" t="str">
        <f t="shared" si="87"/>
        <v>슬라이딩베어링가공조립Ø26EA</v>
      </c>
      <c r="F284" s="896" t="str">
        <f>[140]산출!D281</f>
        <v>EA</v>
      </c>
      <c r="G284" s="936">
        <f>[140]산출!F281</f>
        <v>208</v>
      </c>
      <c r="H284" s="935" t="str">
        <f t="shared" si="88"/>
        <v>슬라이딩베어링가공조립Ø26EA</v>
      </c>
      <c r="I284" s="959">
        <f>VLOOKUP($H:$H,[140]일위목록!$A:$H,6,FALSE)</f>
        <v>6500</v>
      </c>
      <c r="J284" s="959">
        <f t="shared" si="89"/>
        <v>1352000</v>
      </c>
      <c r="K284" s="959">
        <f>VLOOKUP($H:$H,[140]일위목록!$A:$H,7,FALSE)</f>
        <v>3864</v>
      </c>
      <c r="L284" s="959">
        <f t="shared" si="90"/>
        <v>803712</v>
      </c>
      <c r="M284" s="959">
        <f t="shared" si="91"/>
        <v>10364</v>
      </c>
      <c r="N284" s="959">
        <f t="shared" si="91"/>
        <v>2155712</v>
      </c>
      <c r="O284" s="896" t="str">
        <f>VLOOKUP($H:$H,[140]일위목록!$A:$B,2,FALSE)</f>
        <v>제104호표</v>
      </c>
    </row>
    <row r="285" spans="1:15" ht="18.75" customHeight="1">
      <c r="A285" s="962"/>
      <c r="B285" s="957" t="str">
        <f>[140]산출!B282</f>
        <v>베어링 붓싱가공조립</v>
      </c>
      <c r="C285" s="939" t="str">
        <f>[140]산출!C282</f>
        <v>#6200</v>
      </c>
      <c r="D285" s="958">
        <f>[140]산출!G282</f>
        <v>0</v>
      </c>
      <c r="E285" s="935" t="str">
        <f t="shared" si="87"/>
        <v>베어링붓싱가공조립#6200EA</v>
      </c>
      <c r="F285" s="896" t="str">
        <f>[140]산출!D282</f>
        <v>EA</v>
      </c>
      <c r="G285" s="936">
        <f>[140]산출!F282</f>
        <v>208</v>
      </c>
      <c r="H285" s="935" t="str">
        <f t="shared" si="88"/>
        <v>베어링붓싱가공조립#6200EA</v>
      </c>
      <c r="I285" s="959">
        <f>VLOOKUP($H:$H,[140]일위목록!$A:$H,6,FALSE)</f>
        <v>6000</v>
      </c>
      <c r="J285" s="959">
        <f t="shared" si="89"/>
        <v>1248000</v>
      </c>
      <c r="K285" s="959">
        <f>VLOOKUP($H:$H,[140]일위목록!$A:$H,7,FALSE)</f>
        <v>3864</v>
      </c>
      <c r="L285" s="959">
        <f t="shared" si="90"/>
        <v>803712</v>
      </c>
      <c r="M285" s="959">
        <f t="shared" si="91"/>
        <v>9864</v>
      </c>
      <c r="N285" s="959">
        <f t="shared" si="91"/>
        <v>2051712</v>
      </c>
      <c r="O285" s="896" t="str">
        <f>VLOOKUP($H:$H,[140]일위목록!$A:$B,2,FALSE)</f>
        <v>제105호표</v>
      </c>
    </row>
    <row r="286" spans="1:15" ht="18.75" customHeight="1">
      <c r="A286" s="962"/>
      <c r="B286" s="957" t="str">
        <f>[140]산출!B283</f>
        <v>유압쇽업쇼바 제작설치</v>
      </c>
      <c r="C286" s="939" t="str">
        <f>[140]산출!C283</f>
        <v>20kg</v>
      </c>
      <c r="D286" s="958">
        <f>[140]산출!G283</f>
        <v>0</v>
      </c>
      <c r="E286" s="935" t="str">
        <f t="shared" si="87"/>
        <v>유압쇽업쇼바제작설치20kgSET</v>
      </c>
      <c r="F286" s="896" t="str">
        <f>[140]산출!D283</f>
        <v>SET</v>
      </c>
      <c r="G286" s="936">
        <f>[140]산출!F283</f>
        <v>6</v>
      </c>
      <c r="H286" s="935" t="str">
        <f t="shared" si="88"/>
        <v>유압쇽업쇼바제작설치20kgSET</v>
      </c>
      <c r="I286" s="959">
        <f>VLOOKUP($H:$H,[140]일위목록!$A:$H,6,FALSE)</f>
        <v>39224</v>
      </c>
      <c r="J286" s="959">
        <f t="shared" si="89"/>
        <v>235344</v>
      </c>
      <c r="K286" s="959">
        <f>VLOOKUP($H:$H,[140]일위목록!$A:$H,7,FALSE)</f>
        <v>3792</v>
      </c>
      <c r="L286" s="959">
        <f t="shared" si="90"/>
        <v>22752</v>
      </c>
      <c r="M286" s="959">
        <f t="shared" si="91"/>
        <v>43016</v>
      </c>
      <c r="N286" s="959">
        <f t="shared" si="91"/>
        <v>258096</v>
      </c>
      <c r="O286" s="896" t="str">
        <f>VLOOKUP($H:$H,[140]일위목록!$A:$B,2,FALSE)</f>
        <v>제90호표</v>
      </c>
    </row>
    <row r="287" spans="1:15" ht="18.75" customHeight="1">
      <c r="A287" s="962"/>
      <c r="B287" s="957" t="str">
        <f>[140]산출!B284</f>
        <v>센터베어링및스톱파 가공조립</v>
      </c>
      <c r="C287" s="939" t="str">
        <f>[140]산출!C284</f>
        <v>독립형1단</v>
      </c>
      <c r="D287" s="958">
        <f>[140]산출!G284</f>
        <v>0</v>
      </c>
      <c r="E287" s="935" t="str">
        <f t="shared" si="87"/>
        <v>센터베어링및스톱파가공조립독립형1단SET</v>
      </c>
      <c r="F287" s="896" t="str">
        <f>[140]산출!D284</f>
        <v>SET</v>
      </c>
      <c r="G287" s="936">
        <f>[140]산출!F284</f>
        <v>2</v>
      </c>
      <c r="H287" s="935" t="str">
        <f t="shared" si="88"/>
        <v>센터베어링및스톱파가공조립독립형1단SET</v>
      </c>
      <c r="I287" s="959">
        <f>VLOOKUP($H:$H,[140]일위목록!$A:$H,6,FALSE)</f>
        <v>85000</v>
      </c>
      <c r="J287" s="959">
        <f t="shared" si="89"/>
        <v>170000</v>
      </c>
      <c r="K287" s="959">
        <f>VLOOKUP($H:$H,[140]일위목록!$A:$H,7,FALSE)</f>
        <v>62887</v>
      </c>
      <c r="L287" s="959">
        <f t="shared" si="90"/>
        <v>125774</v>
      </c>
      <c r="M287" s="959">
        <f t="shared" si="91"/>
        <v>147887</v>
      </c>
      <c r="N287" s="959">
        <f t="shared" si="91"/>
        <v>295774</v>
      </c>
      <c r="O287" s="896" t="str">
        <f>VLOOKUP($H:$H,[140]일위목록!$A:$B,2,FALSE)</f>
        <v>제108호표</v>
      </c>
    </row>
    <row r="288" spans="1:15" ht="18.75" customHeight="1">
      <c r="A288" s="962"/>
      <c r="B288" s="957" t="str">
        <f>[140]산출!B285</f>
        <v>전후진 전동콘트롤 제작설치</v>
      </c>
      <c r="C288" s="939" t="str">
        <f>[140]산출!C285</f>
        <v>독립형</v>
      </c>
      <c r="D288" s="958">
        <f>[140]산출!G285</f>
        <v>0</v>
      </c>
      <c r="E288" s="935" t="str">
        <f t="shared" si="87"/>
        <v>전후진전동콘트롤제작설치독립형SET</v>
      </c>
      <c r="F288" s="896" t="str">
        <f>[140]산출!D285</f>
        <v>SET</v>
      </c>
      <c r="G288" s="936">
        <f>[140]산출!F285</f>
        <v>2</v>
      </c>
      <c r="H288" s="935" t="str">
        <f t="shared" si="88"/>
        <v>전후진전동콘트롤제작설치독립형SET</v>
      </c>
      <c r="I288" s="959">
        <f>VLOOKUP($H:$H,[140]일위목록!$A:$H,6,FALSE)</f>
        <v>400000</v>
      </c>
      <c r="J288" s="959">
        <f t="shared" si="89"/>
        <v>800000</v>
      </c>
      <c r="K288" s="959">
        <f>VLOOKUP($H:$H,[140]일위목록!$A:$H,7,FALSE)</f>
        <v>65053</v>
      </c>
      <c r="L288" s="959">
        <f t="shared" si="90"/>
        <v>130106</v>
      </c>
      <c r="M288" s="959">
        <f t="shared" si="91"/>
        <v>465053</v>
      </c>
      <c r="N288" s="959">
        <f t="shared" si="91"/>
        <v>930106</v>
      </c>
      <c r="O288" s="896" t="str">
        <f>VLOOKUP($H:$H,[140]일위목록!$A:$B,2,FALSE)</f>
        <v>제111호표</v>
      </c>
    </row>
    <row r="289" spans="1:15" ht="18.75" customHeight="1">
      <c r="A289" s="962"/>
      <c r="B289" s="957" t="str">
        <f>[140]산출!B286</f>
        <v>- 수장공사</v>
      </c>
      <c r="C289" s="939"/>
      <c r="D289" s="958"/>
      <c r="E289" s="935"/>
      <c r="F289" s="896"/>
      <c r="G289" s="936"/>
      <c r="H289" s="935"/>
      <c r="I289" s="959"/>
      <c r="J289" s="959"/>
      <c r="K289" s="959"/>
      <c r="L289" s="959"/>
      <c r="M289" s="959"/>
      <c r="N289" s="959"/>
      <c r="O289" s="896"/>
    </row>
    <row r="290" spans="1:15" ht="18.75" customHeight="1">
      <c r="A290" s="962"/>
      <c r="B290" s="957" t="str">
        <f>[140]산출!B287</f>
        <v>내부도배</v>
      </c>
      <c r="C290" s="939" t="str">
        <f>[140]산출!C287</f>
        <v>세마직벽지</v>
      </c>
      <c r="D290" s="958">
        <f>[140]산출!G287</f>
        <v>0</v>
      </c>
      <c r="E290" s="935" t="str">
        <f t="shared" ref="E290:E296" si="92">SUBSTITUTE(CONCATENATE(B:B,C:C,F:F)," ","")</f>
        <v>내부도배세마직벽지M2</v>
      </c>
      <c r="F290" s="896" t="str">
        <f>[140]산출!D287</f>
        <v>M2</v>
      </c>
      <c r="G290" s="936">
        <f>[140]산출!F287</f>
        <v>48.8</v>
      </c>
      <c r="H290" s="935" t="str">
        <f t="shared" ref="H290:H306" si="93">SUBSTITUTE(CONCATENATE(B290,C290,F290)," ","")</f>
        <v>내부도배세마직벽지M2</v>
      </c>
      <c r="I290" s="959">
        <f>VLOOKUP($H:$H,[140]일위목록!$A:$H,6,FALSE)</f>
        <v>47152</v>
      </c>
      <c r="J290" s="959">
        <f t="shared" ref="J290:J296" si="94">TRUNC($G:$G*I:I)</f>
        <v>2301017</v>
      </c>
      <c r="K290" s="959">
        <f>VLOOKUP($H:$H,[140]일위목록!$A:$H,7,FALSE)</f>
        <v>5222</v>
      </c>
      <c r="L290" s="959">
        <f t="shared" ref="L290:L296" si="95">TRUNC($G:$G*K:K)</f>
        <v>254833</v>
      </c>
      <c r="M290" s="959">
        <f t="shared" ref="M290:N305" si="96">SUM(I290,K290)</f>
        <v>52374</v>
      </c>
      <c r="N290" s="959">
        <f t="shared" si="96"/>
        <v>2555850</v>
      </c>
      <c r="O290" s="896" t="str">
        <f>VLOOKUP($H:$H,[140]일위목록!$A:$B,2,FALSE)</f>
        <v>제56호표</v>
      </c>
    </row>
    <row r="291" spans="1:15" ht="18.75" customHeight="1">
      <c r="A291" s="962"/>
      <c r="B291" s="957" t="str">
        <f>[140]산출!B288</f>
        <v>바탕처리</v>
      </c>
      <c r="C291" s="939" t="str">
        <f>[140]산출!C288</f>
        <v>도배퍼티</v>
      </c>
      <c r="D291" s="958">
        <f>[140]산출!G288</f>
        <v>0</v>
      </c>
      <c r="E291" s="935" t="str">
        <f t="shared" si="92"/>
        <v>바탕처리도배퍼티M2</v>
      </c>
      <c r="F291" s="896" t="str">
        <f>[140]산출!D288</f>
        <v>M2</v>
      </c>
      <c r="G291" s="936">
        <f>[140]산출!F288</f>
        <v>48.8</v>
      </c>
      <c r="H291" s="935" t="str">
        <f t="shared" si="93"/>
        <v>바탕처리도배퍼티M2</v>
      </c>
      <c r="I291" s="959">
        <f>VLOOKUP($H:$H,[140]일위목록!$A:$H,6,FALSE)</f>
        <v>1160</v>
      </c>
      <c r="J291" s="959">
        <f t="shared" si="94"/>
        <v>56608</v>
      </c>
      <c r="K291" s="959">
        <f>VLOOKUP($H:$H,[140]일위목록!$A:$H,7,FALSE)</f>
        <v>7711</v>
      </c>
      <c r="L291" s="959">
        <f t="shared" si="95"/>
        <v>376296</v>
      </c>
      <c r="M291" s="959">
        <f t="shared" si="96"/>
        <v>8871</v>
      </c>
      <c r="N291" s="959">
        <f t="shared" si="96"/>
        <v>432904</v>
      </c>
      <c r="O291" s="896" t="str">
        <f>VLOOKUP($H:$H,[140]일위목록!$A:$B,2,FALSE)</f>
        <v>제55호표</v>
      </c>
    </row>
    <row r="292" spans="1:15" ht="18.75" customHeight="1">
      <c r="A292" s="962"/>
      <c r="B292" s="957" t="str">
        <f>[140]산출!B289</f>
        <v>합판취부</v>
      </c>
      <c r="C292" s="939" t="str">
        <f>[140]산출!C289</f>
        <v>T11.5mm 2PLY</v>
      </c>
      <c r="D292" s="958">
        <f>[140]산출!G289</f>
        <v>0</v>
      </c>
      <c r="E292" s="935" t="str">
        <f t="shared" si="92"/>
        <v>합판취부T11.5mm2PLYM2</v>
      </c>
      <c r="F292" s="896" t="str">
        <f>[140]산출!D289</f>
        <v>M2</v>
      </c>
      <c r="G292" s="936">
        <f>[140]산출!F289</f>
        <v>8</v>
      </c>
      <c r="H292" s="935" t="str">
        <f t="shared" si="93"/>
        <v>합판취부T11.5mm2PLYM2</v>
      </c>
      <c r="I292" s="959">
        <f>VLOOKUP($H:$H,[140]일위목록!$A:$H,6,FALSE)</f>
        <v>19751</v>
      </c>
      <c r="J292" s="959">
        <f t="shared" si="94"/>
        <v>158008</v>
      </c>
      <c r="K292" s="959">
        <f>VLOOKUP($H:$H,[140]일위목록!$A:$H,7,FALSE)</f>
        <v>35580</v>
      </c>
      <c r="L292" s="959">
        <f t="shared" si="95"/>
        <v>284640</v>
      </c>
      <c r="M292" s="959">
        <f t="shared" si="96"/>
        <v>55331</v>
      </c>
      <c r="N292" s="959">
        <f t="shared" si="96"/>
        <v>442648</v>
      </c>
      <c r="O292" s="896" t="str">
        <f>VLOOKUP($H:$H,[140]일위목록!$A:$B,2,FALSE)</f>
        <v>제43호표</v>
      </c>
    </row>
    <row r="293" spans="1:15" ht="18.75" customHeight="1">
      <c r="A293" s="962"/>
      <c r="B293" s="957" t="str">
        <f>[140]산출!B290</f>
        <v>합판취부</v>
      </c>
      <c r="C293" s="939" t="str">
        <f>[140]산출!C290</f>
        <v>T8.5mm 1PLY</v>
      </c>
      <c r="D293" s="958">
        <f>[140]산출!G290</f>
        <v>0</v>
      </c>
      <c r="E293" s="935" t="str">
        <f t="shared" si="92"/>
        <v>합판취부T8.5mm1PLYM2</v>
      </c>
      <c r="F293" s="896" t="str">
        <f>[140]산출!D290</f>
        <v>M2</v>
      </c>
      <c r="G293" s="936">
        <f>[140]산출!F290</f>
        <v>57.6</v>
      </c>
      <c r="H293" s="935" t="str">
        <f t="shared" si="93"/>
        <v>합판취부T8.5mm1PLYM2</v>
      </c>
      <c r="I293" s="959">
        <f>VLOOKUP($H:$H,[140]일위목록!$A:$H,6,FALSE)</f>
        <v>8361</v>
      </c>
      <c r="J293" s="959">
        <f t="shared" si="94"/>
        <v>481593</v>
      </c>
      <c r="K293" s="959">
        <f>VLOOKUP($H:$H,[140]일위목록!$A:$H,7,FALSE)</f>
        <v>54043</v>
      </c>
      <c r="L293" s="959">
        <f t="shared" si="95"/>
        <v>3112876</v>
      </c>
      <c r="M293" s="959">
        <f t="shared" si="96"/>
        <v>62404</v>
      </c>
      <c r="N293" s="959">
        <f t="shared" si="96"/>
        <v>3594469</v>
      </c>
      <c r="O293" s="896" t="str">
        <f>VLOOKUP($H:$H,[140]일위목록!$A:$B,2,FALSE)</f>
        <v>제44호표</v>
      </c>
    </row>
    <row r="294" spans="1:15" ht="18.75" customHeight="1">
      <c r="A294" s="962"/>
      <c r="B294" s="957" t="str">
        <f>[140]산출!B291</f>
        <v>진열장석고보드취부</v>
      </c>
      <c r="C294" s="939" t="str">
        <f>[140]산출!C291</f>
        <v>T9.5mm*2PLY</v>
      </c>
      <c r="D294" s="958">
        <f>[140]산출!G291</f>
        <v>0</v>
      </c>
      <c r="E294" s="935" t="str">
        <f t="shared" si="92"/>
        <v>진열장석고보드취부T9.5mm*2PLYM2</v>
      </c>
      <c r="F294" s="896" t="str">
        <f>[140]산출!D291</f>
        <v>M2</v>
      </c>
      <c r="G294" s="936">
        <f>[140]산출!F291</f>
        <v>4.8</v>
      </c>
      <c r="H294" s="935" t="str">
        <f t="shared" si="93"/>
        <v>진열장석고보드취부T9.5mm*2PLYM2</v>
      </c>
      <c r="I294" s="959">
        <f>VLOOKUP($H:$H,[140]일위목록!$A:$H,6,FALSE)</f>
        <v>18275</v>
      </c>
      <c r="J294" s="959">
        <f t="shared" si="94"/>
        <v>87720</v>
      </c>
      <c r="K294" s="959">
        <f>VLOOKUP($H:$H,[140]일위목록!$A:$H,7,FALSE)</f>
        <v>21540</v>
      </c>
      <c r="L294" s="959">
        <f t="shared" si="95"/>
        <v>103392</v>
      </c>
      <c r="M294" s="959">
        <f t="shared" si="96"/>
        <v>39815</v>
      </c>
      <c r="N294" s="959">
        <f t="shared" si="96"/>
        <v>191112</v>
      </c>
      <c r="O294" s="896" t="str">
        <f>VLOOKUP($H:$H,[140]일위목록!$A:$B,2,FALSE)</f>
        <v>제68호표</v>
      </c>
    </row>
    <row r="295" spans="1:15" ht="18.75" customHeight="1">
      <c r="A295" s="962"/>
      <c r="B295" s="957" t="str">
        <f>[140]산출!B292</f>
        <v>우레탄칼라락카도장</v>
      </c>
      <c r="C295" s="939" t="str">
        <f>[140]산출!C292</f>
        <v>철재면기준</v>
      </c>
      <c r="D295" s="958">
        <f>[140]산출!G292</f>
        <v>0</v>
      </c>
      <c r="E295" s="935" t="str">
        <f t="shared" si="92"/>
        <v>우레탄칼라락카도장철재면기준M2</v>
      </c>
      <c r="F295" s="896" t="str">
        <f>[140]산출!D292</f>
        <v>M2</v>
      </c>
      <c r="G295" s="936">
        <f>[140]산출!F292</f>
        <v>36.934400000000004</v>
      </c>
      <c r="H295" s="935" t="str">
        <f t="shared" si="93"/>
        <v>우레탄칼라락카도장철재면기준M2</v>
      </c>
      <c r="I295" s="959">
        <f>VLOOKUP($H:$H,[140]일위목록!$A:$H,6,FALSE)</f>
        <v>16103</v>
      </c>
      <c r="J295" s="959">
        <f t="shared" si="94"/>
        <v>594754</v>
      </c>
      <c r="K295" s="959">
        <f>VLOOKUP($H:$H,[140]일위목록!$A:$H,7,FALSE)</f>
        <v>22265</v>
      </c>
      <c r="L295" s="959">
        <f t="shared" si="95"/>
        <v>822344</v>
      </c>
      <c r="M295" s="959">
        <f t="shared" si="96"/>
        <v>38368</v>
      </c>
      <c r="N295" s="959">
        <f t="shared" si="96"/>
        <v>1417098</v>
      </c>
      <c r="O295" s="896" t="str">
        <f>VLOOKUP($H:$H,[140]일위목록!$A:$B,2,FALSE)</f>
        <v>제40호표</v>
      </c>
    </row>
    <row r="296" spans="1:15" ht="18.75" customHeight="1">
      <c r="A296" s="962"/>
      <c r="B296" s="957" t="str">
        <f>[140]산출!B293</f>
        <v>바탕처리</v>
      </c>
      <c r="C296" s="939" t="str">
        <f>[140]산출!C293</f>
        <v>철재면기준</v>
      </c>
      <c r="D296" s="958">
        <f>[140]산출!G293</f>
        <v>0</v>
      </c>
      <c r="E296" s="935" t="str">
        <f t="shared" si="92"/>
        <v>바탕처리철재면기준M2</v>
      </c>
      <c r="F296" s="896" t="str">
        <f>[140]산출!D293</f>
        <v>M2</v>
      </c>
      <c r="G296" s="936">
        <f>[140]산출!F293</f>
        <v>36.934400000000004</v>
      </c>
      <c r="H296" s="935" t="str">
        <f t="shared" si="93"/>
        <v>바탕처리철재면기준M2</v>
      </c>
      <c r="I296" s="959">
        <f>VLOOKUP($H:$H,[140]일위목록!$A:$H,6,FALSE)</f>
        <v>4891</v>
      </c>
      <c r="J296" s="959">
        <f t="shared" si="94"/>
        <v>180646</v>
      </c>
      <c r="K296" s="959">
        <f>VLOOKUP($H:$H,[140]일위목록!$A:$H,7,FALSE)</f>
        <v>15314</v>
      </c>
      <c r="L296" s="959">
        <f t="shared" si="95"/>
        <v>565613</v>
      </c>
      <c r="M296" s="959">
        <f t="shared" si="96"/>
        <v>20205</v>
      </c>
      <c r="N296" s="959">
        <f t="shared" si="96"/>
        <v>746259</v>
      </c>
      <c r="O296" s="896" t="str">
        <f>VLOOKUP($H:$H,[140]일위목록!$A:$B,2,FALSE)</f>
        <v>제41호표</v>
      </c>
    </row>
    <row r="297" spans="1:15" s="952" customFormat="1" ht="18.75" customHeight="1">
      <c r="A297" s="962"/>
      <c r="B297" s="947" t="str">
        <f>[140]산출!B294</f>
        <v>- 유리공사</v>
      </c>
      <c r="C297" s="954"/>
      <c r="D297" s="955"/>
      <c r="E297" s="948"/>
      <c r="F297" s="949"/>
      <c r="G297" s="950"/>
      <c r="H297" s="948"/>
      <c r="I297" s="951"/>
      <c r="J297" s="951"/>
      <c r="K297" s="951"/>
      <c r="L297" s="951"/>
      <c r="M297" s="951"/>
      <c r="N297" s="951"/>
      <c r="O297" s="949"/>
    </row>
    <row r="298" spans="1:15" ht="18.75" customHeight="1">
      <c r="A298" s="962"/>
      <c r="B298" s="957" t="str">
        <f>[140]산출!B295</f>
        <v>화이트 접합유리 끼우기</v>
      </c>
      <c r="C298" s="939" t="str">
        <f>[140]산출!C295</f>
        <v>T12.76mm (2,400*3,400기준)</v>
      </c>
      <c r="D298" s="958">
        <f>[140]산출!G295</f>
        <v>0</v>
      </c>
      <c r="E298" s="935" t="str">
        <f>SUBSTITUTE(CONCATENATE(B:B,C:C,F:F)," ","")</f>
        <v>화이트접합유리끼우기T12.76mm(2,400*3,400기준)M2</v>
      </c>
      <c r="F298" s="896" t="str">
        <f>[140]산출!D295</f>
        <v>M2</v>
      </c>
      <c r="G298" s="936">
        <f>[140]산출!F295</f>
        <v>22.560000000000002</v>
      </c>
      <c r="H298" s="935" t="str">
        <f t="shared" si="93"/>
        <v>화이트접합유리끼우기T12.76mm(2,400*3,400기준)M2</v>
      </c>
      <c r="I298" s="959">
        <f>VLOOKUP($H:$H,[140]일위목록!$A:$H,6,FALSE)</f>
        <v>225283</v>
      </c>
      <c r="J298" s="959">
        <f>TRUNC($G:$G*I:I)</f>
        <v>5082384</v>
      </c>
      <c r="K298" s="959">
        <f>VLOOKUP($H:$H,[140]일위목록!$A:$H,7,FALSE)</f>
        <v>71881</v>
      </c>
      <c r="L298" s="959">
        <f>TRUNC($G:$G*K:K)</f>
        <v>1621635</v>
      </c>
      <c r="M298" s="959">
        <f t="shared" si="96"/>
        <v>297164</v>
      </c>
      <c r="N298" s="959">
        <f t="shared" si="96"/>
        <v>6704019</v>
      </c>
      <c r="O298" s="896" t="str">
        <f>VLOOKUP($H:$H,[140]일위목록!$A:$B,2,FALSE)</f>
        <v>제63호표</v>
      </c>
    </row>
    <row r="299" spans="1:15" ht="18.75" customHeight="1">
      <c r="A299" s="962"/>
      <c r="B299" s="957" t="str">
        <f>[140]산출!B296</f>
        <v>조명용아크릴 가공 설치</v>
      </c>
      <c r="C299" s="939" t="str">
        <f>[140]산출!C296</f>
        <v>T5mm</v>
      </c>
      <c r="D299" s="958">
        <f>[140]산출!G296</f>
        <v>0</v>
      </c>
      <c r="E299" s="935" t="str">
        <f>SUBSTITUTE(CONCATENATE(B:B,C:C,F:F)," ","")</f>
        <v>조명용아크릴가공설치T5mmm2</v>
      </c>
      <c r="F299" s="896" t="str">
        <f>[140]산출!D296</f>
        <v>m2</v>
      </c>
      <c r="G299" s="936">
        <f>[140]산출!F296</f>
        <v>1.2</v>
      </c>
      <c r="H299" s="935" t="str">
        <f t="shared" si="93"/>
        <v>조명용아크릴가공설치T5mmm2</v>
      </c>
      <c r="I299" s="959">
        <f>VLOOKUP($H:$H,[140]일위목록!$A:$H,6,FALSE)</f>
        <v>74550</v>
      </c>
      <c r="J299" s="959">
        <f>TRUNC($G:$G*I:I)</f>
        <v>89460</v>
      </c>
      <c r="K299" s="959">
        <f>VLOOKUP($H:$H,[140]일위목록!$A:$H,7,FALSE)</f>
        <v>19211</v>
      </c>
      <c r="L299" s="959">
        <f>TRUNC($G:$G*K:K)</f>
        <v>23053</v>
      </c>
      <c r="M299" s="959">
        <f t="shared" si="96"/>
        <v>93761</v>
      </c>
      <c r="N299" s="959">
        <f t="shared" si="96"/>
        <v>112513</v>
      </c>
      <c r="O299" s="896" t="str">
        <f>VLOOKUP($H:$H,[140]일위목록!$A:$B,2,FALSE)</f>
        <v>제67호표</v>
      </c>
    </row>
    <row r="300" spans="1:15" ht="18.75" customHeight="1">
      <c r="A300" s="962"/>
      <c r="B300" s="957" t="str">
        <f>[140]산출!B297</f>
        <v>코킹</v>
      </c>
      <c r="C300" s="939"/>
      <c r="D300" s="958">
        <f>[140]산출!G297</f>
        <v>0</v>
      </c>
      <c r="E300" s="935" t="str">
        <f>SUBSTITUTE(CONCATENATE(B:B,C:C,F:F)," ","")</f>
        <v>코킹M</v>
      </c>
      <c r="F300" s="896" t="str">
        <f>[140]산출!D297</f>
        <v>M</v>
      </c>
      <c r="G300" s="936">
        <f>[140]산출!F297</f>
        <v>64.92</v>
      </c>
      <c r="H300" s="935" t="str">
        <f t="shared" si="93"/>
        <v>코킹M</v>
      </c>
      <c r="I300" s="959">
        <f>VLOOKUP($H:$H,[140]일위목록!$A:$H,6,FALSE)</f>
        <v>880</v>
      </c>
      <c r="J300" s="959">
        <f>TRUNC($G:$G*I:I)</f>
        <v>57129</v>
      </c>
      <c r="K300" s="959">
        <f>VLOOKUP($H:$H,[140]일위목록!$A:$H,7,FALSE)</f>
        <v>6064</v>
      </c>
      <c r="L300" s="959">
        <f>TRUNC($G:$G*K:K)</f>
        <v>393674</v>
      </c>
      <c r="M300" s="959">
        <f t="shared" si="96"/>
        <v>6944</v>
      </c>
      <c r="N300" s="959">
        <f t="shared" si="96"/>
        <v>450803</v>
      </c>
      <c r="O300" s="896" t="str">
        <f>VLOOKUP($H:$H,[140]일위목록!$A:$B,2,FALSE)</f>
        <v>제45호표</v>
      </c>
    </row>
    <row r="301" spans="1:15" ht="18.75" customHeight="1">
      <c r="A301" s="962"/>
      <c r="B301" s="957" t="str">
        <f>[140]산출!B298</f>
        <v>면    취</v>
      </c>
      <c r="C301" s="939"/>
      <c r="D301" s="958">
        <f>[140]산출!G298</f>
        <v>0</v>
      </c>
      <c r="E301" s="935" t="str">
        <f>SUBSTITUTE(CONCATENATE(B:B,C:C,F:F)," ","")</f>
        <v>면취M</v>
      </c>
      <c r="F301" s="896" t="str">
        <f>[140]산출!D298</f>
        <v>M</v>
      </c>
      <c r="G301" s="936">
        <f>[140]산출!F298</f>
        <v>54.56</v>
      </c>
      <c r="H301" s="935" t="str">
        <f t="shared" si="93"/>
        <v>면취M</v>
      </c>
      <c r="I301" s="959">
        <f>VLOOKUP($H:$H,[140]일위목록!$A:$H,6,FALSE)</f>
        <v>11000</v>
      </c>
      <c r="J301" s="959">
        <f>TRUNC($G:$G*I:I)</f>
        <v>600160</v>
      </c>
      <c r="K301" s="959">
        <f>VLOOKUP($H:$H,[140]일위목록!$A:$H,7,FALSE)</f>
        <v>0</v>
      </c>
      <c r="L301" s="959">
        <f>TRUNC($G:$G*K:K)</f>
        <v>0</v>
      </c>
      <c r="M301" s="959">
        <f t="shared" si="96"/>
        <v>11000</v>
      </c>
      <c r="N301" s="959">
        <f t="shared" si="96"/>
        <v>600160</v>
      </c>
      <c r="O301" s="896" t="str">
        <f>VLOOKUP($H:$H,[140]일위목록!$A:$B,2,FALSE)</f>
        <v>단가-77번</v>
      </c>
    </row>
    <row r="302" spans="1:15" s="952" customFormat="1" ht="18.75" customHeight="1">
      <c r="A302" s="962"/>
      <c r="B302" s="947" t="str">
        <f>[140]산출!B299</f>
        <v>- 전기공사</v>
      </c>
      <c r="C302" s="954"/>
      <c r="D302" s="955"/>
      <c r="E302" s="948"/>
      <c r="F302" s="949"/>
      <c r="G302" s="950"/>
      <c r="H302" s="948"/>
      <c r="I302" s="951"/>
      <c r="J302" s="951"/>
      <c r="K302" s="951"/>
      <c r="L302" s="951"/>
      <c r="M302" s="951"/>
      <c r="N302" s="951"/>
      <c r="O302" s="949"/>
    </row>
    <row r="303" spans="1:15" ht="18.75" customHeight="1">
      <c r="A303" s="962"/>
      <c r="B303" s="957" t="str">
        <f>[140]산출!B300</f>
        <v>LED 포인트조명설치(벽부형)</v>
      </c>
      <c r="C303" s="939" t="str">
        <f>[140]산출!C300</f>
        <v>15W이하</v>
      </c>
      <c r="D303" s="958">
        <f>[140]산출!G300</f>
        <v>0</v>
      </c>
      <c r="E303" s="935" t="str">
        <f>SUBSTITUTE(CONCATENATE(B:B,C:C,F:F)," ","")</f>
        <v>LED포인트조명설치(벽부형)15W이하ea</v>
      </c>
      <c r="F303" s="896" t="str">
        <f>[140]산출!D300</f>
        <v>ea</v>
      </c>
      <c r="G303" s="936">
        <f>[140]산출!F300</f>
        <v>20</v>
      </c>
      <c r="H303" s="935" t="str">
        <f t="shared" si="93"/>
        <v>LED포인트조명설치(벽부형)15W이하ea</v>
      </c>
      <c r="I303" s="959">
        <f>VLOOKUP($H:$H,[140]일위목록!$A:$H,6,FALSE)</f>
        <v>178500</v>
      </c>
      <c r="J303" s="959">
        <f>TRUNC($G:$G*I:I)</f>
        <v>3570000</v>
      </c>
      <c r="K303" s="959">
        <f>VLOOKUP($H:$H,[140]일위목록!$A:$H,7,FALSE)</f>
        <v>26372</v>
      </c>
      <c r="L303" s="959">
        <f>TRUNC($G:$G*K:K)</f>
        <v>527440</v>
      </c>
      <c r="M303" s="959">
        <f t="shared" si="96"/>
        <v>204872</v>
      </c>
      <c r="N303" s="959">
        <f t="shared" si="96"/>
        <v>4097440</v>
      </c>
      <c r="O303" s="896" t="str">
        <f>VLOOKUP($H:$H,[140]일위목록!$A:$B,2,FALSE)</f>
        <v>제81호표</v>
      </c>
    </row>
    <row r="304" spans="1:15" ht="18.75" customHeight="1">
      <c r="A304" s="962"/>
      <c r="B304" s="957" t="str">
        <f>[140]산출!B301</f>
        <v>LED bar조명설치</v>
      </c>
      <c r="C304" s="939" t="str">
        <f>[140]산출!C301</f>
        <v>30W이하</v>
      </c>
      <c r="D304" s="958">
        <f>[140]산출!G301</f>
        <v>0</v>
      </c>
      <c r="E304" s="935" t="str">
        <f>SUBSTITUTE(CONCATENATE(B:B,C:C,F:F)," ","")</f>
        <v>LEDbar조명설치30W이하M</v>
      </c>
      <c r="F304" s="896" t="str">
        <f>[140]산출!D301</f>
        <v>M</v>
      </c>
      <c r="G304" s="936">
        <f>[140]산출!F301</f>
        <v>16</v>
      </c>
      <c r="H304" s="935" t="str">
        <f t="shared" si="93"/>
        <v>LEDbar조명설치30W이하M</v>
      </c>
      <c r="I304" s="959">
        <f>VLOOKUP($H:$H,[140]일위목록!$A:$H,6,FALSE)</f>
        <v>105000</v>
      </c>
      <c r="J304" s="959">
        <f>TRUNC($G:$G*I:I)</f>
        <v>1680000</v>
      </c>
      <c r="K304" s="959">
        <f>VLOOKUP($H:$H,[140]일위목록!$A:$H,7,FALSE)</f>
        <v>26372</v>
      </c>
      <c r="L304" s="959">
        <f>TRUNC($G:$G*K:K)</f>
        <v>421952</v>
      </c>
      <c r="M304" s="959">
        <f t="shared" si="96"/>
        <v>131372</v>
      </c>
      <c r="N304" s="959">
        <f t="shared" si="96"/>
        <v>2101952</v>
      </c>
      <c r="O304" s="896" t="str">
        <f>VLOOKUP($H:$H,[140]일위목록!$A:$B,2,FALSE)</f>
        <v>제83호표</v>
      </c>
    </row>
    <row r="305" spans="1:15" ht="18.75" customHeight="1">
      <c r="A305" s="962"/>
      <c r="B305" s="957" t="str">
        <f>[140]산출!B302</f>
        <v>LED 포인트조명 컨트롤제작설치</v>
      </c>
      <c r="C305" s="939" t="str">
        <f>[140]산출!C302</f>
        <v>컨트롤러(24채널)</v>
      </c>
      <c r="D305" s="958">
        <f>[140]산출!G302</f>
        <v>0</v>
      </c>
      <c r="E305" s="935" t="str">
        <f>SUBSTITUTE(CONCATENATE(B:B,C:C,F:F)," ","")</f>
        <v>LED포인트조명컨트롤제작설치컨트롤러(24채널)set</v>
      </c>
      <c r="F305" s="896" t="str">
        <f>[140]산출!D302</f>
        <v>set</v>
      </c>
      <c r="G305" s="936">
        <f>[140]산출!F302</f>
        <v>1</v>
      </c>
      <c r="H305" s="935" t="str">
        <f t="shared" si="93"/>
        <v>LED포인트조명컨트롤제작설치컨트롤러(24채널)set</v>
      </c>
      <c r="I305" s="959">
        <f>VLOOKUP($H:$H,[140]일위목록!$A:$H,6,FALSE)</f>
        <v>800000</v>
      </c>
      <c r="J305" s="959">
        <f>TRUNC($G:$G*I:I)</f>
        <v>800000</v>
      </c>
      <c r="K305" s="959">
        <f>VLOOKUP($H:$H,[140]일위목록!$A:$H,7,FALSE)</f>
        <v>135244</v>
      </c>
      <c r="L305" s="959">
        <f>TRUNC($G:$G*K:K)</f>
        <v>135244</v>
      </c>
      <c r="M305" s="959">
        <f t="shared" si="96"/>
        <v>935244</v>
      </c>
      <c r="N305" s="959">
        <f t="shared" si="96"/>
        <v>935244</v>
      </c>
      <c r="O305" s="896" t="str">
        <f>VLOOKUP($H:$H,[140]일위목록!$A:$B,2,FALSE)</f>
        <v>제84호표</v>
      </c>
    </row>
    <row r="306" spans="1:15" ht="18.75" customHeight="1">
      <c r="A306" s="962"/>
      <c r="B306" s="957" t="str">
        <f>[140]산출!B303</f>
        <v>LED bar조명 컨트롤제작설치</v>
      </c>
      <c r="C306" s="939" t="str">
        <f>[140]산출!C303</f>
        <v>컨트롤러</v>
      </c>
      <c r="D306" s="958">
        <f>[140]산출!G303</f>
        <v>0</v>
      </c>
      <c r="E306" s="935" t="str">
        <f>SUBSTITUTE(CONCATENATE(B:B,C:C,F:F)," ","")</f>
        <v>LEDbar조명컨트롤제작설치컨트롤러set</v>
      </c>
      <c r="F306" s="896" t="str">
        <f>[140]산출!D303</f>
        <v>set</v>
      </c>
      <c r="G306" s="936">
        <f>[140]산출!F303</f>
        <v>1</v>
      </c>
      <c r="H306" s="935" t="str">
        <f t="shared" si="93"/>
        <v>LEDbar조명컨트롤제작설치컨트롤러set</v>
      </c>
      <c r="I306" s="959">
        <f>VLOOKUP($H:$H,[140]일위목록!$A:$H,6,FALSE)</f>
        <v>530000</v>
      </c>
      <c r="J306" s="959">
        <f>TRUNC($G:$G*I:I)</f>
        <v>530000</v>
      </c>
      <c r="K306" s="959">
        <f>VLOOKUP($H:$H,[140]일위목록!$A:$H,7,FALSE)</f>
        <v>112704</v>
      </c>
      <c r="L306" s="959">
        <f>TRUNC($G:$G*K:K)</f>
        <v>112704</v>
      </c>
      <c r="M306" s="959">
        <f t="shared" ref="M306:N306" si="97">SUM(I306,K306)</f>
        <v>642704</v>
      </c>
      <c r="N306" s="959">
        <f t="shared" si="97"/>
        <v>642704</v>
      </c>
      <c r="O306" s="896" t="str">
        <f>VLOOKUP($H:$H,[140]일위목록!$A:$B,2,FALSE)</f>
        <v>제87호표</v>
      </c>
    </row>
    <row r="307" spans="1:15" ht="18.75" customHeight="1">
      <c r="A307" s="956"/>
      <c r="B307" s="957"/>
      <c r="C307" s="939"/>
      <c r="D307" s="958"/>
      <c r="E307" s="935"/>
      <c r="F307" s="896"/>
      <c r="G307" s="936"/>
      <c r="H307" s="935"/>
      <c r="I307" s="959"/>
      <c r="J307" s="959"/>
      <c r="K307" s="959"/>
      <c r="L307" s="959"/>
      <c r="M307" s="959"/>
      <c r="N307" s="959"/>
      <c r="O307" s="896"/>
    </row>
    <row r="308" spans="1:15" s="952" customFormat="1" ht="18.75" customHeight="1">
      <c r="A308" s="960"/>
      <c r="B308" s="947" t="s">
        <v>6586</v>
      </c>
      <c r="C308" s="954"/>
      <c r="D308" s="961"/>
      <c r="E308" s="948"/>
      <c r="F308" s="949"/>
      <c r="G308" s="950"/>
      <c r="H308" s="948" t="str">
        <f>SUBSTITUTE(CONCATENATE(B308,C308,F308)," ","")</f>
        <v>소계</v>
      </c>
      <c r="I308" s="951"/>
      <c r="J308" s="951">
        <f>SUM(J258:J307)</f>
        <v>35493214</v>
      </c>
      <c r="K308" s="951"/>
      <c r="L308" s="951">
        <f>SUM(L258:L307)</f>
        <v>21450566</v>
      </c>
      <c r="M308" s="951"/>
      <c r="N308" s="951">
        <f>SUM(N258:N307)</f>
        <v>56943780</v>
      </c>
      <c r="O308" s="949"/>
    </row>
    <row r="309" spans="1:15" ht="18.75" customHeight="1">
      <c r="A309" s="956"/>
      <c r="B309" s="957"/>
      <c r="C309" s="939"/>
      <c r="D309" s="958"/>
      <c r="E309" s="935"/>
      <c r="F309" s="896"/>
      <c r="G309" s="936"/>
      <c r="H309" s="935"/>
      <c r="I309" s="959"/>
      <c r="J309" s="959"/>
      <c r="K309" s="959"/>
      <c r="L309" s="959"/>
      <c r="M309" s="959"/>
      <c r="N309" s="959"/>
      <c r="O309" s="896"/>
    </row>
    <row r="310" spans="1:15" ht="18.75" customHeight="1">
      <c r="A310" s="956"/>
      <c r="B310" s="957"/>
      <c r="C310" s="939"/>
      <c r="D310" s="958"/>
      <c r="E310" s="935"/>
      <c r="F310" s="896"/>
      <c r="G310" s="936"/>
      <c r="H310" s="935"/>
      <c r="I310" s="959"/>
      <c r="J310" s="959"/>
      <c r="K310" s="959"/>
      <c r="L310" s="959"/>
      <c r="M310" s="959"/>
      <c r="N310" s="959"/>
      <c r="O310" s="896"/>
    </row>
    <row r="311" spans="1:15" s="952" customFormat="1" ht="18.75" customHeight="1">
      <c r="A311" s="947" t="str">
        <f>[140]산출!A313</f>
        <v>SC-204</v>
      </c>
      <c r="B311" s="947" t="str">
        <f>[140]산출!B313</f>
        <v>벽부형진열장(전동형)</v>
      </c>
      <c r="C311" s="954" t="str">
        <f>[140]산출!C313</f>
        <v>L: 10000 D: 1000 H: 3600 FH: 300 GH: 2600 UH: 700</v>
      </c>
      <c r="D311" s="955"/>
      <c r="E311" s="948"/>
      <c r="F311" s="947" t="str">
        <f>[140]산출!D313</f>
        <v>SET</v>
      </c>
      <c r="G311" s="963">
        <f>[140]산출!F313</f>
        <v>2</v>
      </c>
      <c r="H311" s="948"/>
      <c r="I311" s="951"/>
      <c r="J311" s="951"/>
      <c r="K311" s="951"/>
      <c r="L311" s="951"/>
      <c r="M311" s="951"/>
      <c r="N311" s="951"/>
      <c r="O311" s="949"/>
    </row>
    <row r="312" spans="1:15" s="952" customFormat="1" ht="18.75" customHeight="1">
      <c r="A312" s="953"/>
      <c r="B312" s="947" t="str">
        <f>[140]산출!B314</f>
        <v>- 구조틀</v>
      </c>
      <c r="C312" s="954"/>
      <c r="D312" s="955">
        <f>[140]산출!G314</f>
        <v>0</v>
      </c>
      <c r="E312" s="948" t="str">
        <f>SUBSTITUTE(CONCATENATE(B:B,C:C,F:F)," ","")</f>
        <v>-구조틀</v>
      </c>
      <c r="F312" s="949"/>
      <c r="G312" s="950"/>
      <c r="H312" s="948"/>
      <c r="I312" s="951"/>
      <c r="J312" s="951"/>
      <c r="K312" s="951"/>
      <c r="L312" s="951"/>
      <c r="M312" s="951"/>
      <c r="N312" s="951"/>
      <c r="O312" s="949"/>
    </row>
    <row r="313" spans="1:15" ht="18.75" customHeight="1">
      <c r="A313" s="962"/>
      <c r="B313" s="957" t="str">
        <f>[140]산출!B315</f>
        <v>각파이프(방청)</v>
      </c>
      <c r="C313" s="957" t="str">
        <f>[140]산출!C315</f>
        <v>50*50*1.4T</v>
      </c>
      <c r="D313" s="958">
        <f>[140]산출!G315</f>
        <v>0</v>
      </c>
      <c r="E313" s="935" t="str">
        <f>SUBSTITUTE(CONCATENATE(B:B,C:C,F:F)," ","")</f>
        <v>각파이프(방청)50*50*1.4TM</v>
      </c>
      <c r="F313" s="896" t="str">
        <f>[140]산출!D315</f>
        <v>M</v>
      </c>
      <c r="G313" s="936">
        <f>[140]산출!F315</f>
        <v>267.70000000000005</v>
      </c>
      <c r="H313" s="935" t="str">
        <f t="shared" ref="H313:H314" si="98">SUBSTITUTE(CONCATENATE(B313,C313,F313)," ","")</f>
        <v>각파이프(방청)50*50*1.4TM</v>
      </c>
      <c r="I313" s="959">
        <f>VLOOKUP($H:$H,[140]일위목록!$A:$H,6,FALSE)</f>
        <v>3111</v>
      </c>
      <c r="J313" s="959">
        <f>TRUNC($G:$G*I:I)</f>
        <v>832814</v>
      </c>
      <c r="K313" s="959">
        <f>VLOOKUP($H:$H,[140]일위목록!$A:$H,7,FALSE)</f>
        <v>16978</v>
      </c>
      <c r="L313" s="959">
        <f>TRUNC($G:$G*K:K)</f>
        <v>4545010</v>
      </c>
      <c r="M313" s="959">
        <f t="shared" ref="M313:N314" si="99">SUM(I313,K313)</f>
        <v>20089</v>
      </c>
      <c r="N313" s="959">
        <f t="shared" si="99"/>
        <v>5377824</v>
      </c>
      <c r="O313" s="896" t="str">
        <f>VLOOKUP($H:$H,[140]일위목록!$A:$B,2,FALSE)</f>
        <v>제47호표</v>
      </c>
    </row>
    <row r="314" spans="1:15" ht="18.75" customHeight="1">
      <c r="A314" s="962"/>
      <c r="B314" s="957" t="str">
        <f>[140]산출!B316</f>
        <v>각파이프(방청)</v>
      </c>
      <c r="C314" s="957" t="str">
        <f>[140]산출!C316</f>
        <v>100*50*2.3T</v>
      </c>
      <c r="D314" s="958">
        <f>[140]산출!G316</f>
        <v>0</v>
      </c>
      <c r="E314" s="935" t="str">
        <f>SUBSTITUTE(CONCATENATE(B:B,C:C,F:F)," ","")</f>
        <v>각파이프(방청)100*50*2.3TM</v>
      </c>
      <c r="F314" s="896" t="str">
        <f>[140]산출!D316</f>
        <v>M</v>
      </c>
      <c r="G314" s="936">
        <f>[140]산출!F316</f>
        <v>47.2</v>
      </c>
      <c r="H314" s="935" t="str">
        <f t="shared" si="98"/>
        <v>각파이프(방청)100*50*2.3TM</v>
      </c>
      <c r="I314" s="959">
        <f>VLOOKUP($H:$H,[140]일위목록!$A:$H,6,FALSE)</f>
        <v>6799</v>
      </c>
      <c r="J314" s="959">
        <f>TRUNC($G:$G*I:I)</f>
        <v>320912</v>
      </c>
      <c r="K314" s="959">
        <f>VLOOKUP($H:$H,[140]일위목록!$A:$H,7,FALSE)</f>
        <v>41245</v>
      </c>
      <c r="L314" s="959">
        <f>TRUNC($G:$G*K:K)</f>
        <v>1946764</v>
      </c>
      <c r="M314" s="959">
        <f t="shared" si="99"/>
        <v>48044</v>
      </c>
      <c r="N314" s="959">
        <f t="shared" si="99"/>
        <v>2267676</v>
      </c>
      <c r="O314" s="896" t="str">
        <f>VLOOKUP($H:$H,[140]일위목록!$A:$B,2,FALSE)</f>
        <v>제48호표</v>
      </c>
    </row>
    <row r="315" spans="1:15" s="952" customFormat="1" ht="18.75" customHeight="1">
      <c r="A315" s="962"/>
      <c r="B315" s="947" t="str">
        <f>[140]산출!B317</f>
        <v>- 잡철물</v>
      </c>
      <c r="C315" s="954"/>
      <c r="D315" s="955"/>
      <c r="E315" s="948"/>
      <c r="F315" s="949"/>
      <c r="G315" s="950"/>
      <c r="H315" s="948"/>
      <c r="I315" s="951"/>
      <c r="J315" s="951"/>
      <c r="K315" s="951"/>
      <c r="L315" s="951"/>
      <c r="M315" s="951"/>
      <c r="N315" s="951"/>
      <c r="O315" s="949"/>
    </row>
    <row r="316" spans="1:15" ht="18.75" customHeight="1">
      <c r="A316" s="962"/>
      <c r="B316" s="957" t="str">
        <f>[140]산출!B318</f>
        <v>갈바후레임제작설치</v>
      </c>
      <c r="C316" s="957" t="str">
        <f>[140]산출!C318</f>
        <v>1.6T</v>
      </c>
      <c r="D316" s="958" t="str">
        <f>[140]산출!G318</f>
        <v>상부점검도어 몰딩</v>
      </c>
      <c r="E316" s="935" t="str">
        <f t="shared" ref="E316:E324" si="100">SUBSTITUTE(CONCATENATE(B:B,C:C,F:F)," ","")</f>
        <v>갈바후레임제작설치1.6TM2</v>
      </c>
      <c r="F316" s="896" t="str">
        <f>[140]산출!D318</f>
        <v>M2</v>
      </c>
      <c r="G316" s="936">
        <f>[140]산출!F318</f>
        <v>3.15</v>
      </c>
      <c r="H316" s="935" t="str">
        <f t="shared" ref="H316:H324" si="101">SUBSTITUTE(CONCATENATE(B316,C316,F316)," ","")</f>
        <v>갈바후레임제작설치1.6TM2</v>
      </c>
      <c r="I316" s="959">
        <f>VLOOKUP($H:$H,[140]일위목록!$A:$H,6,FALSE)</f>
        <v>16515</v>
      </c>
      <c r="J316" s="959">
        <f t="shared" ref="J316:J324" si="102">TRUNC($G:$G*I:I)</f>
        <v>52022</v>
      </c>
      <c r="K316" s="959">
        <f>VLOOKUP($H:$H,[140]일위목록!$A:$H,7,FALSE)</f>
        <v>65362</v>
      </c>
      <c r="L316" s="959">
        <f t="shared" ref="L316:L324" si="103">TRUNC($G:$G*K:K)</f>
        <v>205890</v>
      </c>
      <c r="M316" s="959">
        <f t="shared" ref="M316:N324" si="104">SUM(I316,K316)</f>
        <v>81877</v>
      </c>
      <c r="N316" s="959">
        <f t="shared" si="104"/>
        <v>257912</v>
      </c>
      <c r="O316" s="896" t="str">
        <f>VLOOKUP($H:$H,[140]일위목록!$A:$B,2,FALSE)</f>
        <v>제51호표</v>
      </c>
    </row>
    <row r="317" spans="1:15" ht="18.75" customHeight="1">
      <c r="A317" s="962"/>
      <c r="B317" s="957" t="str">
        <f>[140]산출!B319</f>
        <v>갈바후레임제작설치</v>
      </c>
      <c r="C317" s="957" t="str">
        <f>[140]산출!C319</f>
        <v>1.6T</v>
      </c>
      <c r="D317" s="958" t="str">
        <f>[140]산출!G319</f>
        <v>상부전면천장유리후레임</v>
      </c>
      <c r="E317" s="935" t="str">
        <f t="shared" si="100"/>
        <v>갈바후레임제작설치1.6TM2</v>
      </c>
      <c r="F317" s="896" t="str">
        <f>[140]산출!D319</f>
        <v>M2</v>
      </c>
      <c r="G317" s="936">
        <f>[140]산출!F319</f>
        <v>4.92</v>
      </c>
      <c r="H317" s="935" t="str">
        <f t="shared" si="101"/>
        <v>갈바후레임제작설치1.6TM2</v>
      </c>
      <c r="I317" s="959">
        <f>VLOOKUP($H:$H,[140]일위목록!$A:$H,6,FALSE)</f>
        <v>16515</v>
      </c>
      <c r="J317" s="959">
        <f t="shared" si="102"/>
        <v>81253</v>
      </c>
      <c r="K317" s="959">
        <f>VLOOKUP($H:$H,[140]일위목록!$A:$H,7,FALSE)</f>
        <v>65362</v>
      </c>
      <c r="L317" s="959">
        <f t="shared" si="103"/>
        <v>321581</v>
      </c>
      <c r="M317" s="959">
        <f t="shared" si="104"/>
        <v>81877</v>
      </c>
      <c r="N317" s="959">
        <f t="shared" si="104"/>
        <v>402834</v>
      </c>
      <c r="O317" s="896" t="str">
        <f>VLOOKUP($H:$H,[140]일위목록!$A:$B,2,FALSE)</f>
        <v>제51호표</v>
      </c>
    </row>
    <row r="318" spans="1:15" ht="18.75" customHeight="1">
      <c r="A318" s="962"/>
      <c r="B318" s="957" t="str">
        <f>[140]산출!B320</f>
        <v>갈바후레임제작설치</v>
      </c>
      <c r="C318" s="957" t="str">
        <f>[140]산출!C320</f>
        <v>1.6T</v>
      </c>
      <c r="D318" s="958" t="str">
        <f>[140]산출!G320</f>
        <v>배면천장몰딩</v>
      </c>
      <c r="E318" s="935" t="str">
        <f t="shared" si="100"/>
        <v>갈바후레임제작설치1.6TM2</v>
      </c>
      <c r="F318" s="896" t="str">
        <f>[140]산출!D320</f>
        <v>M2</v>
      </c>
      <c r="G318" s="936">
        <f>[140]산출!F320</f>
        <v>6.61</v>
      </c>
      <c r="H318" s="935" t="str">
        <f t="shared" si="101"/>
        <v>갈바후레임제작설치1.6TM2</v>
      </c>
      <c r="I318" s="959">
        <f>VLOOKUP($H:$H,[140]일위목록!$A:$H,6,FALSE)</f>
        <v>16515</v>
      </c>
      <c r="J318" s="959">
        <f t="shared" si="102"/>
        <v>109164</v>
      </c>
      <c r="K318" s="959">
        <f>VLOOKUP($H:$H,[140]일위목록!$A:$H,7,FALSE)</f>
        <v>65362</v>
      </c>
      <c r="L318" s="959">
        <f t="shared" si="103"/>
        <v>432042</v>
      </c>
      <c r="M318" s="959">
        <f t="shared" si="104"/>
        <v>81877</v>
      </c>
      <c r="N318" s="959">
        <f t="shared" si="104"/>
        <v>541206</v>
      </c>
      <c r="O318" s="896" t="str">
        <f>VLOOKUP($H:$H,[140]일위목록!$A:$B,2,FALSE)</f>
        <v>제51호표</v>
      </c>
    </row>
    <row r="319" spans="1:15" ht="18.75" customHeight="1">
      <c r="A319" s="962"/>
      <c r="B319" s="957" t="str">
        <f>[140]산출!B321</f>
        <v>갈바후레임제작설치</v>
      </c>
      <c r="C319" s="957" t="str">
        <f>[140]산출!C321</f>
        <v>1.6T</v>
      </c>
      <c r="D319" s="958" t="str">
        <f>[140]산출!G321</f>
        <v>그림걸이레일보강</v>
      </c>
      <c r="E319" s="935" t="str">
        <f t="shared" si="100"/>
        <v>갈바후레임제작설치1.6TM2</v>
      </c>
      <c r="F319" s="896" t="str">
        <f>[140]산출!D321</f>
        <v>M2</v>
      </c>
      <c r="G319" s="936">
        <f>[140]산출!F321</f>
        <v>2.0499999999999998</v>
      </c>
      <c r="H319" s="935" t="str">
        <f t="shared" si="101"/>
        <v>갈바후레임제작설치1.6TM2</v>
      </c>
      <c r="I319" s="959">
        <f>VLOOKUP($H:$H,[140]일위목록!$A:$H,6,FALSE)</f>
        <v>16515</v>
      </c>
      <c r="J319" s="959">
        <f t="shared" si="102"/>
        <v>33855</v>
      </c>
      <c r="K319" s="959">
        <f>VLOOKUP($H:$H,[140]일위목록!$A:$H,7,FALSE)</f>
        <v>65362</v>
      </c>
      <c r="L319" s="959">
        <f t="shared" si="103"/>
        <v>133992</v>
      </c>
      <c r="M319" s="959">
        <f t="shared" si="104"/>
        <v>81877</v>
      </c>
      <c r="N319" s="959">
        <f t="shared" si="104"/>
        <v>167847</v>
      </c>
      <c r="O319" s="896" t="str">
        <f>VLOOKUP($H:$H,[140]일위목록!$A:$B,2,FALSE)</f>
        <v>제51호표</v>
      </c>
    </row>
    <row r="320" spans="1:15" ht="18.75" customHeight="1">
      <c r="A320" s="962"/>
      <c r="B320" s="957" t="str">
        <f>[140]산출!B322</f>
        <v>갈바후레임제작설치</v>
      </c>
      <c r="C320" s="957" t="str">
        <f>[140]산출!C322</f>
        <v>1.6T</v>
      </c>
      <c r="D320" s="958" t="str">
        <f>[140]산출!G322</f>
        <v>상부점검도어</v>
      </c>
      <c r="E320" s="935" t="str">
        <f t="shared" si="100"/>
        <v>갈바후레임제작설치1.6TM2</v>
      </c>
      <c r="F320" s="896" t="str">
        <f>[140]산출!D322</f>
        <v>M2</v>
      </c>
      <c r="G320" s="936">
        <f>[140]산출!F322</f>
        <v>5.6000000000000005</v>
      </c>
      <c r="H320" s="935" t="str">
        <f t="shared" si="101"/>
        <v>갈바후레임제작설치1.6TM2</v>
      </c>
      <c r="I320" s="959">
        <f>VLOOKUP($H:$H,[140]일위목록!$A:$H,6,FALSE)</f>
        <v>16515</v>
      </c>
      <c r="J320" s="959">
        <f t="shared" si="102"/>
        <v>92484</v>
      </c>
      <c r="K320" s="959">
        <f>VLOOKUP($H:$H,[140]일위목록!$A:$H,7,FALSE)</f>
        <v>65362</v>
      </c>
      <c r="L320" s="959">
        <f t="shared" si="103"/>
        <v>366027</v>
      </c>
      <c r="M320" s="959">
        <f t="shared" si="104"/>
        <v>81877</v>
      </c>
      <c r="N320" s="959">
        <f t="shared" si="104"/>
        <v>458511</v>
      </c>
      <c r="O320" s="896" t="str">
        <f>VLOOKUP($H:$H,[140]일위목록!$A:$B,2,FALSE)</f>
        <v>제51호표</v>
      </c>
    </row>
    <row r="321" spans="1:15" ht="18.75" customHeight="1">
      <c r="A321" s="962"/>
      <c r="B321" s="957" t="str">
        <f>[140]산출!B323</f>
        <v>갈바후레임제작설치</v>
      </c>
      <c r="C321" s="957" t="str">
        <f>[140]산출!C323</f>
        <v>1.6T</v>
      </c>
      <c r="D321" s="958" t="str">
        <f>[140]산출!G323</f>
        <v>배면 사이드 몰딩</v>
      </c>
      <c r="E321" s="935" t="str">
        <f t="shared" si="100"/>
        <v>갈바후레임제작설치1.6TM2</v>
      </c>
      <c r="F321" s="896" t="str">
        <f>[140]산출!D323</f>
        <v>M2</v>
      </c>
      <c r="G321" s="936">
        <f>[140]산출!F323</f>
        <v>3.6960000000000006</v>
      </c>
      <c r="H321" s="935" t="str">
        <f t="shared" si="101"/>
        <v>갈바후레임제작설치1.6TM2</v>
      </c>
      <c r="I321" s="959">
        <f>VLOOKUP($H:$H,[140]일위목록!$A:$H,6,FALSE)</f>
        <v>16515</v>
      </c>
      <c r="J321" s="959">
        <f t="shared" si="102"/>
        <v>61039</v>
      </c>
      <c r="K321" s="959">
        <f>VLOOKUP($H:$H,[140]일위목록!$A:$H,7,FALSE)</f>
        <v>65362</v>
      </c>
      <c r="L321" s="959">
        <f t="shared" si="103"/>
        <v>241577</v>
      </c>
      <c r="M321" s="959">
        <f t="shared" si="104"/>
        <v>81877</v>
      </c>
      <c r="N321" s="959">
        <f t="shared" si="104"/>
        <v>302616</v>
      </c>
      <c r="O321" s="896" t="str">
        <f>VLOOKUP($H:$H,[140]일위목록!$A:$B,2,FALSE)</f>
        <v>제51호표</v>
      </c>
    </row>
    <row r="322" spans="1:15" ht="18.75" customHeight="1">
      <c r="A322" s="962"/>
      <c r="B322" s="957" t="str">
        <f>[140]산출!B324</f>
        <v>갈바후레임제작설치</v>
      </c>
      <c r="C322" s="957" t="str">
        <f>[140]산출!C324</f>
        <v>1.6T</v>
      </c>
      <c r="D322" s="958" t="str">
        <f>[140]산출!G324</f>
        <v>외부 측면 후레임</v>
      </c>
      <c r="E322" s="935" t="str">
        <f t="shared" si="100"/>
        <v>갈바후레임제작설치1.6TM2</v>
      </c>
      <c r="F322" s="896" t="str">
        <f>[140]산출!D324</f>
        <v>M2</v>
      </c>
      <c r="G322" s="936">
        <f>[140]산출!F324</f>
        <v>1.04</v>
      </c>
      <c r="H322" s="935" t="str">
        <f t="shared" si="101"/>
        <v>갈바후레임제작설치1.6TM2</v>
      </c>
      <c r="I322" s="959">
        <f>VLOOKUP($H:$H,[140]일위목록!$A:$H,6,FALSE)</f>
        <v>16515</v>
      </c>
      <c r="J322" s="959">
        <f t="shared" si="102"/>
        <v>17175</v>
      </c>
      <c r="K322" s="959">
        <f>VLOOKUP($H:$H,[140]일위목록!$A:$H,7,FALSE)</f>
        <v>65362</v>
      </c>
      <c r="L322" s="959">
        <f t="shared" si="103"/>
        <v>67976</v>
      </c>
      <c r="M322" s="959">
        <f t="shared" si="104"/>
        <v>81877</v>
      </c>
      <c r="N322" s="959">
        <f t="shared" si="104"/>
        <v>85151</v>
      </c>
      <c r="O322" s="896" t="str">
        <f>VLOOKUP($H:$H,[140]일위목록!$A:$B,2,FALSE)</f>
        <v>제51호표</v>
      </c>
    </row>
    <row r="323" spans="1:15" ht="18.75" customHeight="1">
      <c r="A323" s="962"/>
      <c r="B323" s="957" t="str">
        <f>[140]산출!B325</f>
        <v>갈바후레임제작설치</v>
      </c>
      <c r="C323" s="957" t="str">
        <f>[140]산출!C325</f>
        <v>1.6T</v>
      </c>
      <c r="D323" s="958" t="str">
        <f>[140]산출!G325</f>
        <v>측면 유리 몰딩</v>
      </c>
      <c r="E323" s="935" t="str">
        <f t="shared" si="100"/>
        <v>갈바후레임제작설치1.6TM2</v>
      </c>
      <c r="F323" s="896" t="str">
        <f>[140]산출!D325</f>
        <v>M2</v>
      </c>
      <c r="G323" s="936">
        <f>[140]산출!F325</f>
        <v>2.1743999999999999</v>
      </c>
      <c r="H323" s="935" t="str">
        <f t="shared" si="101"/>
        <v>갈바후레임제작설치1.6TM2</v>
      </c>
      <c r="I323" s="959">
        <f>VLOOKUP($H:$H,[140]일위목록!$A:$H,6,FALSE)</f>
        <v>16515</v>
      </c>
      <c r="J323" s="959">
        <f t="shared" si="102"/>
        <v>35910</v>
      </c>
      <c r="K323" s="959">
        <f>VLOOKUP($H:$H,[140]일위목록!$A:$H,7,FALSE)</f>
        <v>65362</v>
      </c>
      <c r="L323" s="959">
        <f t="shared" si="103"/>
        <v>142123</v>
      </c>
      <c r="M323" s="959">
        <f t="shared" si="104"/>
        <v>81877</v>
      </c>
      <c r="N323" s="959">
        <f t="shared" si="104"/>
        <v>178033</v>
      </c>
      <c r="O323" s="896" t="str">
        <f>VLOOKUP($H:$H,[140]일위목록!$A:$B,2,FALSE)</f>
        <v>제51호표</v>
      </c>
    </row>
    <row r="324" spans="1:15" ht="18.75" customHeight="1">
      <c r="A324" s="962"/>
      <c r="B324" s="957" t="str">
        <f>[140]산출!B326</f>
        <v>알루미늄판취부</v>
      </c>
      <c r="C324" s="957" t="str">
        <f>[140]산출!C326</f>
        <v>4T*900*1800</v>
      </c>
      <c r="D324" s="958" t="str">
        <f>[140]산출!G326</f>
        <v>상부점검도어 커버</v>
      </c>
      <c r="E324" s="935" t="str">
        <f t="shared" si="100"/>
        <v>알루미늄판취부4T*900*1800M2</v>
      </c>
      <c r="F324" s="896" t="str">
        <f>[140]산출!D326</f>
        <v>M2</v>
      </c>
      <c r="G324" s="936">
        <f>[140]산출!F326</f>
        <v>7</v>
      </c>
      <c r="H324" s="935" t="str">
        <f t="shared" si="101"/>
        <v>알루미늄판취부4T*900*1800M2</v>
      </c>
      <c r="I324" s="959">
        <f>VLOOKUP($H:$H,[140]일위목록!$A:$H,6,FALSE)</f>
        <v>130192</v>
      </c>
      <c r="J324" s="959">
        <f t="shared" si="102"/>
        <v>911344</v>
      </c>
      <c r="K324" s="959">
        <f>VLOOKUP($H:$H,[140]일위목록!$A:$H,7,FALSE)</f>
        <v>14745</v>
      </c>
      <c r="L324" s="959">
        <f t="shared" si="103"/>
        <v>103215</v>
      </c>
      <c r="M324" s="959">
        <f t="shared" si="104"/>
        <v>144937</v>
      </c>
      <c r="N324" s="959">
        <f t="shared" si="104"/>
        <v>1014559</v>
      </c>
      <c r="O324" s="896" t="str">
        <f>VLOOKUP($H:$H,[140]일위목록!$A:$B,2,FALSE)</f>
        <v>제69호표</v>
      </c>
    </row>
    <row r="325" spans="1:15" s="952" customFormat="1" ht="18.75" customHeight="1">
      <c r="A325" s="962"/>
      <c r="B325" s="947" t="str">
        <f>[140]산출!B327</f>
        <v>- 잡철물</v>
      </c>
      <c r="C325" s="954"/>
      <c r="D325" s="955"/>
      <c r="E325" s="948"/>
      <c r="F325" s="949"/>
      <c r="G325" s="950"/>
      <c r="H325" s="948"/>
      <c r="I325" s="951"/>
      <c r="J325" s="951"/>
      <c r="K325" s="951"/>
      <c r="L325" s="951"/>
      <c r="M325" s="951"/>
      <c r="N325" s="951"/>
      <c r="O325" s="949"/>
    </row>
    <row r="326" spans="1:15" ht="18.75" customHeight="1">
      <c r="A326" s="962"/>
      <c r="B326" s="957" t="str">
        <f>[140]산출!B328</f>
        <v>갈바후레임제작설치</v>
      </c>
      <c r="C326" s="957" t="str">
        <f>[140]산출!C328</f>
        <v>1.6T</v>
      </c>
      <c r="D326" s="958" t="str">
        <f>[140]산출!G328</f>
        <v>하부전면후레임</v>
      </c>
      <c r="E326" s="935" t="str">
        <f>SUBSTITUTE(CONCATENATE(B:B,C:C,F:F)," ","")</f>
        <v>갈바후레임제작설치1.6TM2</v>
      </c>
      <c r="F326" s="896" t="str">
        <f>[140]산출!D328</f>
        <v>M2</v>
      </c>
      <c r="G326" s="936">
        <f>[140]산출!F328</f>
        <v>4.53</v>
      </c>
      <c r="H326" s="935" t="str">
        <f t="shared" ref="H326:H328" si="105">SUBSTITUTE(CONCATENATE(B326,C326,F326)," ","")</f>
        <v>갈바후레임제작설치1.6TM2</v>
      </c>
      <c r="I326" s="959">
        <f>VLOOKUP($H:$H,[140]일위목록!$A:$H,6,FALSE)</f>
        <v>16515</v>
      </c>
      <c r="J326" s="959">
        <f>TRUNC($G:$G*I:I)</f>
        <v>74812</v>
      </c>
      <c r="K326" s="959">
        <f>VLOOKUP($H:$H,[140]일위목록!$A:$H,7,FALSE)</f>
        <v>65362</v>
      </c>
      <c r="L326" s="959">
        <f>TRUNC($G:$G*K:K)</f>
        <v>296089</v>
      </c>
      <c r="M326" s="959">
        <f t="shared" ref="M326:N328" si="106">SUM(I326,K326)</f>
        <v>81877</v>
      </c>
      <c r="N326" s="959">
        <f t="shared" si="106"/>
        <v>370901</v>
      </c>
      <c r="O326" s="896" t="str">
        <f>VLOOKUP($H:$H,[140]일위목록!$A:$B,2,FALSE)</f>
        <v>제51호표</v>
      </c>
    </row>
    <row r="327" spans="1:15" ht="18.75" customHeight="1">
      <c r="A327" s="962"/>
      <c r="B327" s="957" t="str">
        <f>[140]산출!B329</f>
        <v>갈바후레임제작설치</v>
      </c>
      <c r="C327" s="957" t="str">
        <f>[140]산출!C329</f>
        <v>1.6T</v>
      </c>
      <c r="D327" s="958" t="str">
        <f>[140]산출!G329</f>
        <v>하부바닥받침몰딩</v>
      </c>
      <c r="E327" s="935" t="str">
        <f>SUBSTITUTE(CONCATENATE(B:B,C:C,F:F)," ","")</f>
        <v>갈바후레임제작설치1.6TM2</v>
      </c>
      <c r="F327" s="896" t="str">
        <f>[140]산출!D329</f>
        <v>M2</v>
      </c>
      <c r="G327" s="936">
        <f>[140]산출!F329</f>
        <v>1.7399999999999998</v>
      </c>
      <c r="H327" s="935" t="str">
        <f t="shared" si="105"/>
        <v>갈바후레임제작설치1.6TM2</v>
      </c>
      <c r="I327" s="959">
        <f>VLOOKUP($H:$H,[140]일위목록!$A:$H,6,FALSE)</f>
        <v>16515</v>
      </c>
      <c r="J327" s="959">
        <f>TRUNC($G:$G*I:I)</f>
        <v>28736</v>
      </c>
      <c r="K327" s="959">
        <f>VLOOKUP($H:$H,[140]일위목록!$A:$H,7,FALSE)</f>
        <v>65362</v>
      </c>
      <c r="L327" s="959">
        <f>TRUNC($G:$G*K:K)</f>
        <v>113729</v>
      </c>
      <c r="M327" s="959">
        <f t="shared" si="106"/>
        <v>81877</v>
      </c>
      <c r="N327" s="959">
        <f t="shared" si="106"/>
        <v>142465</v>
      </c>
      <c r="O327" s="896" t="str">
        <f>VLOOKUP($H:$H,[140]일위목록!$A:$B,2,FALSE)</f>
        <v>제51호표</v>
      </c>
    </row>
    <row r="328" spans="1:15" ht="18.75" customHeight="1">
      <c r="A328" s="962"/>
      <c r="B328" s="957" t="str">
        <f>[140]산출!B330</f>
        <v>갈바후레임제작설치</v>
      </c>
      <c r="C328" s="957" t="str">
        <f>[140]산출!C330</f>
        <v>1.6T</v>
      </c>
      <c r="D328" s="958" t="str">
        <f>[140]산출!G330</f>
        <v>하부 걸레받이</v>
      </c>
      <c r="E328" s="935" t="str">
        <f>SUBSTITUTE(CONCATENATE(B:B,C:C,F:F)," ","")</f>
        <v>갈바후레임제작설치1.6TM2</v>
      </c>
      <c r="F328" s="896" t="str">
        <f>[140]산출!D330</f>
        <v>M2</v>
      </c>
      <c r="G328" s="936">
        <f>[140]산출!F330</f>
        <v>1.33</v>
      </c>
      <c r="H328" s="935" t="str">
        <f t="shared" si="105"/>
        <v>갈바후레임제작설치1.6TM2</v>
      </c>
      <c r="I328" s="959">
        <f>VLOOKUP($H:$H,[140]일위목록!$A:$H,6,FALSE)</f>
        <v>16515</v>
      </c>
      <c r="J328" s="959">
        <f>TRUNC($G:$G*I:I)</f>
        <v>21964</v>
      </c>
      <c r="K328" s="959">
        <f>VLOOKUP($H:$H,[140]일위목록!$A:$H,7,FALSE)</f>
        <v>65362</v>
      </c>
      <c r="L328" s="959">
        <f>TRUNC($G:$G*K:K)</f>
        <v>86931</v>
      </c>
      <c r="M328" s="959">
        <f t="shared" si="106"/>
        <v>81877</v>
      </c>
      <c r="N328" s="959">
        <f t="shared" si="106"/>
        <v>108895</v>
      </c>
      <c r="O328" s="896" t="str">
        <f>VLOOKUP($H:$H,[140]일위목록!$A:$B,2,FALSE)</f>
        <v>제51호표</v>
      </c>
    </row>
    <row r="329" spans="1:15" s="952" customFormat="1" ht="18.75" customHeight="1">
      <c r="A329" s="962"/>
      <c r="B329" s="947" t="str">
        <f>[140]산출!B331</f>
        <v>- SYSTEM 장치</v>
      </c>
      <c r="C329" s="954"/>
      <c r="D329" s="955"/>
      <c r="E329" s="948"/>
      <c r="F329" s="949"/>
      <c r="G329" s="950"/>
      <c r="H329" s="948"/>
      <c r="I329" s="951"/>
      <c r="J329" s="951"/>
      <c r="K329" s="951"/>
      <c r="L329" s="951"/>
      <c r="M329" s="951"/>
      <c r="N329" s="951"/>
      <c r="O329" s="949"/>
    </row>
    <row r="330" spans="1:15" ht="18.75" customHeight="1">
      <c r="A330" s="962"/>
      <c r="B330" s="957" t="str">
        <f>[140]산출!B332</f>
        <v>피아노경첩 제작설치</v>
      </c>
      <c r="C330" s="957"/>
      <c r="D330" s="958">
        <f>[140]산출!G332</f>
        <v>0</v>
      </c>
      <c r="E330" s="935" t="str">
        <f t="shared" ref="E330:E343" si="107">SUBSTITUTE(CONCATENATE(B:B,C:C,F:F)," ","")</f>
        <v>피아노경첩제작설치M</v>
      </c>
      <c r="F330" s="896" t="str">
        <f>[140]산출!D332</f>
        <v>M</v>
      </c>
      <c r="G330" s="936">
        <f>[140]산출!F332</f>
        <v>20</v>
      </c>
      <c r="H330" s="935" t="str">
        <f t="shared" ref="H330:H343" si="108">SUBSTITUTE(CONCATENATE(B330,C330,F330)," ","")</f>
        <v>피아노경첩제작설치M</v>
      </c>
      <c r="I330" s="959">
        <f>VLOOKUP($H:$H,[140]일위목록!$A:$H,6,FALSE)</f>
        <v>12630</v>
      </c>
      <c r="J330" s="959">
        <f t="shared" ref="J330:J343" si="109">TRUNC($G:$G*I:I)</f>
        <v>252600</v>
      </c>
      <c r="K330" s="959">
        <f>VLOOKUP($H:$H,[140]일위목록!$A:$H,7,FALSE)</f>
        <v>10973</v>
      </c>
      <c r="L330" s="959">
        <f t="shared" ref="L330:L343" si="110">TRUNC($G:$G*K:K)</f>
        <v>219460</v>
      </c>
      <c r="M330" s="959">
        <f t="shared" ref="M330:N343" si="111">SUM(I330,K330)</f>
        <v>23603</v>
      </c>
      <c r="N330" s="959">
        <f t="shared" si="111"/>
        <v>472060</v>
      </c>
      <c r="O330" s="896" t="str">
        <f>VLOOKUP($H:$H,[140]일위목록!$A:$B,2,FALSE)</f>
        <v>제88호표</v>
      </c>
    </row>
    <row r="331" spans="1:15" ht="18.75" customHeight="1">
      <c r="A331" s="962"/>
      <c r="B331" s="957" t="str">
        <f>[140]산출!B333</f>
        <v>LOCK SET 제작설치</v>
      </c>
      <c r="C331" s="957" t="str">
        <f>[140]산출!C333</f>
        <v>시건장치</v>
      </c>
      <c r="D331" s="958">
        <f>[140]산출!G333</f>
        <v>0</v>
      </c>
      <c r="E331" s="935" t="str">
        <f t="shared" si="107"/>
        <v>LOCKSET제작설치시건장치set</v>
      </c>
      <c r="F331" s="896" t="str">
        <f>[140]산출!D333</f>
        <v>set</v>
      </c>
      <c r="G331" s="936">
        <f>[140]산출!F333</f>
        <v>3</v>
      </c>
      <c r="H331" s="935" t="str">
        <f t="shared" si="108"/>
        <v>LOCKSET제작설치시건장치set</v>
      </c>
      <c r="I331" s="959">
        <f>VLOOKUP($H:$H,[140]일위목록!$A:$H,6,FALSE)</f>
        <v>48840</v>
      </c>
      <c r="J331" s="959">
        <f t="shared" si="109"/>
        <v>146520</v>
      </c>
      <c r="K331" s="959">
        <f>VLOOKUP($H:$H,[140]일위목록!$A:$H,7,FALSE)</f>
        <v>12605</v>
      </c>
      <c r="L331" s="959">
        <f t="shared" si="110"/>
        <v>37815</v>
      </c>
      <c r="M331" s="959">
        <f t="shared" si="111"/>
        <v>61445</v>
      </c>
      <c r="N331" s="959">
        <f t="shared" si="111"/>
        <v>184335</v>
      </c>
      <c r="O331" s="896" t="str">
        <f>VLOOKUP($H:$H,[140]일위목록!$A:$B,2,FALSE)</f>
        <v>제89호표</v>
      </c>
    </row>
    <row r="332" spans="1:15" ht="18.75" customHeight="1">
      <c r="A332" s="962"/>
      <c r="B332" s="957" t="str">
        <f>[140]산출!B334</f>
        <v>AL.패킹바 제작설치</v>
      </c>
      <c r="C332" s="957"/>
      <c r="D332" s="958">
        <f>[140]산출!G334</f>
        <v>0</v>
      </c>
      <c r="E332" s="935" t="str">
        <f t="shared" si="107"/>
        <v>AL.패킹바제작설치M</v>
      </c>
      <c r="F332" s="896" t="str">
        <f>[140]산출!D334</f>
        <v>M</v>
      </c>
      <c r="G332" s="936">
        <f>[140]산출!F334</f>
        <v>20</v>
      </c>
      <c r="H332" s="935" t="str">
        <f t="shared" si="108"/>
        <v>AL.패킹바제작설치M</v>
      </c>
      <c r="I332" s="959">
        <f>VLOOKUP($H:$H,[140]일위목록!$A:$H,6,FALSE)</f>
        <v>5250</v>
      </c>
      <c r="J332" s="959">
        <f t="shared" si="109"/>
        <v>105000</v>
      </c>
      <c r="K332" s="959">
        <f>VLOOKUP($H:$H,[140]일위목록!$A:$H,7,FALSE)</f>
        <v>3534</v>
      </c>
      <c r="L332" s="959">
        <f t="shared" si="110"/>
        <v>70680</v>
      </c>
      <c r="M332" s="959">
        <f t="shared" si="111"/>
        <v>8784</v>
      </c>
      <c r="N332" s="959">
        <f t="shared" si="111"/>
        <v>175680</v>
      </c>
      <c r="O332" s="896" t="str">
        <f>VLOOKUP($H:$H,[140]일위목록!$A:$B,2,FALSE)</f>
        <v>제92호표</v>
      </c>
    </row>
    <row r="333" spans="1:15" ht="18.75" customHeight="1">
      <c r="A333" s="962"/>
      <c r="B333" s="957" t="str">
        <f>[140]산출!B335</f>
        <v>밀폐패킹 설치</v>
      </c>
      <c r="C333" s="957" t="str">
        <f>[140]산출!C335</f>
        <v>대형</v>
      </c>
      <c r="D333" s="958">
        <f>[140]산출!G335</f>
        <v>0</v>
      </c>
      <c r="E333" s="935" t="str">
        <f t="shared" si="107"/>
        <v>밀폐패킹설치대형M</v>
      </c>
      <c r="F333" s="896" t="str">
        <f>[140]산출!D335</f>
        <v>M</v>
      </c>
      <c r="G333" s="936">
        <f>[140]산출!F335</f>
        <v>25.2</v>
      </c>
      <c r="H333" s="935" t="str">
        <f t="shared" si="108"/>
        <v>밀폐패킹설치대형M</v>
      </c>
      <c r="I333" s="959">
        <f>VLOOKUP($H:$H,[140]일위목록!$A:$H,6,FALSE)</f>
        <v>9450</v>
      </c>
      <c r="J333" s="959">
        <f t="shared" si="109"/>
        <v>238140</v>
      </c>
      <c r="K333" s="959">
        <f>VLOOKUP($H:$H,[140]일위목록!$A:$H,7,FALSE)</f>
        <v>2397</v>
      </c>
      <c r="L333" s="959">
        <f t="shared" si="110"/>
        <v>60404</v>
      </c>
      <c r="M333" s="959">
        <f t="shared" si="111"/>
        <v>11847</v>
      </c>
      <c r="N333" s="959">
        <f t="shared" si="111"/>
        <v>298544</v>
      </c>
      <c r="O333" s="896" t="str">
        <f>VLOOKUP($H:$H,[140]일위목록!$A:$B,2,FALSE)</f>
        <v>제94호표</v>
      </c>
    </row>
    <row r="334" spans="1:15" ht="18.75" customHeight="1">
      <c r="A334" s="962"/>
      <c r="B334" s="957" t="str">
        <f>[140]산출!B336</f>
        <v>AL.사출유리후렘 제작설치</v>
      </c>
      <c r="C334" s="957" t="str">
        <f>[140]산출!C336</f>
        <v>벽부장(상부)</v>
      </c>
      <c r="D334" s="958">
        <f>[140]산출!G336</f>
        <v>0</v>
      </c>
      <c r="E334" s="935" t="str">
        <f t="shared" si="107"/>
        <v>AL.사출유리후렘제작설치벽부장(상부)M</v>
      </c>
      <c r="F334" s="896" t="str">
        <f>[140]산출!D336</f>
        <v>M</v>
      </c>
      <c r="G334" s="936">
        <f>[140]산출!F336</f>
        <v>10</v>
      </c>
      <c r="H334" s="935" t="str">
        <f t="shared" si="108"/>
        <v>AL.사출유리후렘제작설치벽부장(상부)M</v>
      </c>
      <c r="I334" s="959">
        <f>VLOOKUP($H:$H,[140]일위목록!$A:$H,6,FALSE)</f>
        <v>210000</v>
      </c>
      <c r="J334" s="959">
        <f t="shared" si="109"/>
        <v>2100000</v>
      </c>
      <c r="K334" s="959">
        <f>VLOOKUP($H:$H,[140]일위목록!$A:$H,7,FALSE)</f>
        <v>53130</v>
      </c>
      <c r="L334" s="959">
        <f t="shared" si="110"/>
        <v>531300</v>
      </c>
      <c r="M334" s="959">
        <f t="shared" si="111"/>
        <v>263130</v>
      </c>
      <c r="N334" s="959">
        <f t="shared" si="111"/>
        <v>2631300</v>
      </c>
      <c r="O334" s="896" t="str">
        <f>VLOOKUP($H:$H,[140]일위목록!$A:$B,2,FALSE)</f>
        <v>제95호표</v>
      </c>
    </row>
    <row r="335" spans="1:15" ht="18.75" customHeight="1">
      <c r="A335" s="962"/>
      <c r="B335" s="957" t="str">
        <f>[140]산출!B337</f>
        <v>AL.사출유리후렘 제작설치</v>
      </c>
      <c r="C335" s="957" t="str">
        <f>[140]산출!C337</f>
        <v>벽부장(하부)</v>
      </c>
      <c r="D335" s="958">
        <f>[140]산출!G337</f>
        <v>0</v>
      </c>
      <c r="E335" s="935" t="str">
        <f t="shared" si="107"/>
        <v>AL.사출유리후렘제작설치벽부장(하부)M</v>
      </c>
      <c r="F335" s="896" t="str">
        <f>[140]산출!D337</f>
        <v>M</v>
      </c>
      <c r="G335" s="936">
        <f>[140]산출!F337</f>
        <v>10</v>
      </c>
      <c r="H335" s="935" t="str">
        <f t="shared" si="108"/>
        <v>AL.사출유리후렘제작설치벽부장(하부)M</v>
      </c>
      <c r="I335" s="959">
        <f>VLOOKUP($H:$H,[140]일위목록!$A:$H,6,FALSE)</f>
        <v>126000</v>
      </c>
      <c r="J335" s="959">
        <f t="shared" si="109"/>
        <v>1260000</v>
      </c>
      <c r="K335" s="959">
        <f>VLOOKUP($H:$H,[140]일위목록!$A:$H,7,FALSE)</f>
        <v>35420</v>
      </c>
      <c r="L335" s="959">
        <f t="shared" si="110"/>
        <v>354200</v>
      </c>
      <c r="M335" s="959">
        <f t="shared" si="111"/>
        <v>161420</v>
      </c>
      <c r="N335" s="959">
        <f t="shared" si="111"/>
        <v>1614200</v>
      </c>
      <c r="O335" s="896" t="str">
        <f>VLOOKUP($H:$H,[140]일위목록!$A:$B,2,FALSE)</f>
        <v>제96호표</v>
      </c>
    </row>
    <row r="336" spans="1:15" ht="18.75" customHeight="1">
      <c r="A336" s="962"/>
      <c r="B336" s="957" t="str">
        <f>[140]산출!B338</f>
        <v>모터구동시스템 설치</v>
      </c>
      <c r="C336" s="957" t="str">
        <f>[140]산출!C338</f>
        <v>웜기어 전동실린더</v>
      </c>
      <c r="D336" s="958">
        <f>[140]산출!G338</f>
        <v>0</v>
      </c>
      <c r="E336" s="935" t="str">
        <f t="shared" si="107"/>
        <v>모터구동시스템설치웜기어전동실린더SET</v>
      </c>
      <c r="F336" s="896" t="str">
        <f>[140]산출!D338</f>
        <v>SET</v>
      </c>
      <c r="G336" s="936">
        <f>[140]산출!F338</f>
        <v>16</v>
      </c>
      <c r="H336" s="935" t="str">
        <f t="shared" si="108"/>
        <v>모터구동시스템설치웜기어전동실린더SET</v>
      </c>
      <c r="I336" s="959">
        <f>VLOOKUP($H:$H,[140]일위목록!$A:$H,6,FALSE)</f>
        <v>353000</v>
      </c>
      <c r="J336" s="959">
        <f t="shared" si="109"/>
        <v>5648000</v>
      </c>
      <c r="K336" s="959">
        <f>VLOOKUP($H:$H,[140]일위목록!$A:$H,7,FALSE)</f>
        <v>96655</v>
      </c>
      <c r="L336" s="959">
        <f t="shared" si="110"/>
        <v>1546480</v>
      </c>
      <c r="M336" s="959">
        <f t="shared" si="111"/>
        <v>449655</v>
      </c>
      <c r="N336" s="959">
        <f t="shared" si="111"/>
        <v>7194480</v>
      </c>
      <c r="O336" s="896" t="str">
        <f>VLOOKUP($H:$H,[140]일위목록!$A:$B,2,FALSE)</f>
        <v>제101호표</v>
      </c>
    </row>
    <row r="337" spans="1:15" ht="18.75" customHeight="1">
      <c r="A337" s="962"/>
      <c r="B337" s="957" t="str">
        <f>[140]산출!B339</f>
        <v>LM가이드시스템 가공 설치</v>
      </c>
      <c r="C337" s="957" t="str">
        <f>[140]산출!C339</f>
        <v>Ø25</v>
      </c>
      <c r="D337" s="958">
        <f>[140]산출!G339</f>
        <v>0</v>
      </c>
      <c r="E337" s="935" t="str">
        <f t="shared" si="107"/>
        <v>LM가이드시스템가공설치Ø25SET</v>
      </c>
      <c r="F337" s="896" t="str">
        <f>[140]산출!D339</f>
        <v>SET</v>
      </c>
      <c r="G337" s="936">
        <f>[140]산출!F339</f>
        <v>32</v>
      </c>
      <c r="H337" s="935" t="str">
        <f t="shared" si="108"/>
        <v>LM가이드시스템가공설치Ø25SET</v>
      </c>
      <c r="I337" s="959">
        <f>VLOOKUP($H:$H,[140]일위목록!$A:$H,6,FALSE)</f>
        <v>144000</v>
      </c>
      <c r="J337" s="959">
        <f t="shared" si="109"/>
        <v>4608000</v>
      </c>
      <c r="K337" s="959">
        <f>VLOOKUP($H:$H,[140]일위목록!$A:$H,7,FALSE)</f>
        <v>18323</v>
      </c>
      <c r="L337" s="959">
        <f t="shared" si="110"/>
        <v>586336</v>
      </c>
      <c r="M337" s="959">
        <f t="shared" si="111"/>
        <v>162323</v>
      </c>
      <c r="N337" s="959">
        <f t="shared" si="111"/>
        <v>5194336</v>
      </c>
      <c r="O337" s="896" t="str">
        <f>VLOOKUP($H:$H,[140]일위목록!$A:$B,2,FALSE)</f>
        <v>제100호표</v>
      </c>
    </row>
    <row r="338" spans="1:15" ht="18.75" customHeight="1">
      <c r="A338" s="962"/>
      <c r="B338" s="957" t="str">
        <f>[140]산출!B340</f>
        <v>베어링레일및가공 설치</v>
      </c>
      <c r="C338" s="957" t="str">
        <f>[140]산출!C340</f>
        <v>22*42 2.3T 가공</v>
      </c>
      <c r="D338" s="958">
        <f>[140]산출!G340</f>
        <v>0</v>
      </c>
      <c r="E338" s="935" t="str">
        <f t="shared" si="107"/>
        <v>베어링레일및가공설치22*422.3T가공M</v>
      </c>
      <c r="F338" s="896" t="str">
        <f>[140]산출!D340</f>
        <v>M</v>
      </c>
      <c r="G338" s="936">
        <f>[140]산출!F340</f>
        <v>20</v>
      </c>
      <c r="H338" s="935" t="str">
        <f t="shared" si="108"/>
        <v>베어링레일및가공설치22*422.3T가공M</v>
      </c>
      <c r="I338" s="959">
        <f>VLOOKUP($H:$H,[140]일위목록!$A:$H,6,FALSE)</f>
        <v>136500</v>
      </c>
      <c r="J338" s="959">
        <f t="shared" si="109"/>
        <v>2730000</v>
      </c>
      <c r="K338" s="959">
        <f>VLOOKUP($H:$H,[140]일위목록!$A:$H,7,FALSE)</f>
        <v>35420</v>
      </c>
      <c r="L338" s="959">
        <f t="shared" si="110"/>
        <v>708400</v>
      </c>
      <c r="M338" s="959">
        <f t="shared" si="111"/>
        <v>171920</v>
      </c>
      <c r="N338" s="959">
        <f t="shared" si="111"/>
        <v>3438400</v>
      </c>
      <c r="O338" s="896" t="str">
        <f>VLOOKUP($H:$H,[140]일위목록!$A:$B,2,FALSE)</f>
        <v>제102호표</v>
      </c>
    </row>
    <row r="339" spans="1:15" ht="18.75" customHeight="1">
      <c r="A339" s="962"/>
      <c r="B339" s="957" t="str">
        <f>[140]산출!B341</f>
        <v>슬라이딩베어링 가공조립</v>
      </c>
      <c r="C339" s="957" t="str">
        <f>[140]산출!C341</f>
        <v>Ø26</v>
      </c>
      <c r="D339" s="958">
        <f>[140]산출!G341</f>
        <v>0</v>
      </c>
      <c r="E339" s="935" t="str">
        <f t="shared" si="107"/>
        <v>슬라이딩베어링가공조립Ø26EA</v>
      </c>
      <c r="F339" s="896" t="str">
        <f>[140]산출!D341</f>
        <v>EA</v>
      </c>
      <c r="G339" s="936">
        <f>[140]산출!F341</f>
        <v>260</v>
      </c>
      <c r="H339" s="935" t="str">
        <f t="shared" si="108"/>
        <v>슬라이딩베어링가공조립Ø26EA</v>
      </c>
      <c r="I339" s="959">
        <f>VLOOKUP($H:$H,[140]일위목록!$A:$H,6,FALSE)</f>
        <v>6500</v>
      </c>
      <c r="J339" s="959">
        <f t="shared" si="109"/>
        <v>1690000</v>
      </c>
      <c r="K339" s="959">
        <f>VLOOKUP($H:$H,[140]일위목록!$A:$H,7,FALSE)</f>
        <v>3864</v>
      </c>
      <c r="L339" s="959">
        <f t="shared" si="110"/>
        <v>1004640</v>
      </c>
      <c r="M339" s="959">
        <f t="shared" si="111"/>
        <v>10364</v>
      </c>
      <c r="N339" s="959">
        <f t="shared" si="111"/>
        <v>2694640</v>
      </c>
      <c r="O339" s="896" t="str">
        <f>VLOOKUP($H:$H,[140]일위목록!$A:$B,2,FALSE)</f>
        <v>제104호표</v>
      </c>
    </row>
    <row r="340" spans="1:15" ht="18.75" customHeight="1">
      <c r="A340" s="962"/>
      <c r="B340" s="957" t="str">
        <f>[140]산출!B342</f>
        <v>베어링 붓싱가공조립</v>
      </c>
      <c r="C340" s="957" t="str">
        <f>[140]산출!C342</f>
        <v>#6200</v>
      </c>
      <c r="D340" s="958">
        <f>[140]산출!G342</f>
        <v>0</v>
      </c>
      <c r="E340" s="935" t="str">
        <f t="shared" si="107"/>
        <v>베어링붓싱가공조립#6200EA</v>
      </c>
      <c r="F340" s="896" t="str">
        <f>[140]산출!D342</f>
        <v>EA</v>
      </c>
      <c r="G340" s="936">
        <f>[140]산출!F342</f>
        <v>260</v>
      </c>
      <c r="H340" s="935" t="str">
        <f t="shared" si="108"/>
        <v>베어링붓싱가공조립#6200EA</v>
      </c>
      <c r="I340" s="959">
        <f>VLOOKUP($H:$H,[140]일위목록!$A:$H,6,FALSE)</f>
        <v>6000</v>
      </c>
      <c r="J340" s="959">
        <f t="shared" si="109"/>
        <v>1560000</v>
      </c>
      <c r="K340" s="959">
        <f>VLOOKUP($H:$H,[140]일위목록!$A:$H,7,FALSE)</f>
        <v>3864</v>
      </c>
      <c r="L340" s="959">
        <f t="shared" si="110"/>
        <v>1004640</v>
      </c>
      <c r="M340" s="959">
        <f t="shared" si="111"/>
        <v>9864</v>
      </c>
      <c r="N340" s="959">
        <f t="shared" si="111"/>
        <v>2564640</v>
      </c>
      <c r="O340" s="896" t="str">
        <f>VLOOKUP($H:$H,[140]일위목록!$A:$B,2,FALSE)</f>
        <v>제105호표</v>
      </c>
    </row>
    <row r="341" spans="1:15" ht="18.75" customHeight="1">
      <c r="A341" s="962"/>
      <c r="B341" s="957" t="str">
        <f>[140]산출!B343</f>
        <v>유압쇽업쇼바 제작설치</v>
      </c>
      <c r="C341" s="957" t="str">
        <f>[140]산출!C343</f>
        <v>20kg</v>
      </c>
      <c r="D341" s="958">
        <f>[140]산출!G343</f>
        <v>0</v>
      </c>
      <c r="E341" s="935" t="str">
        <f t="shared" si="107"/>
        <v>유압쇽업쇼바제작설치20kgSET</v>
      </c>
      <c r="F341" s="896" t="str">
        <f>[140]산출!D343</f>
        <v>SET</v>
      </c>
      <c r="G341" s="936">
        <f>[140]산출!F343</f>
        <v>6</v>
      </c>
      <c r="H341" s="935" t="str">
        <f t="shared" si="108"/>
        <v>유압쇽업쇼바제작설치20kgSET</v>
      </c>
      <c r="I341" s="959">
        <f>VLOOKUP($H:$H,[140]일위목록!$A:$H,6,FALSE)</f>
        <v>39224</v>
      </c>
      <c r="J341" s="959">
        <f t="shared" si="109"/>
        <v>235344</v>
      </c>
      <c r="K341" s="959">
        <f>VLOOKUP($H:$H,[140]일위목록!$A:$H,7,FALSE)</f>
        <v>3792</v>
      </c>
      <c r="L341" s="959">
        <f t="shared" si="110"/>
        <v>22752</v>
      </c>
      <c r="M341" s="959">
        <f t="shared" si="111"/>
        <v>43016</v>
      </c>
      <c r="N341" s="959">
        <f t="shared" si="111"/>
        <v>258096</v>
      </c>
      <c r="O341" s="896" t="str">
        <f>VLOOKUP($H:$H,[140]일위목록!$A:$B,2,FALSE)</f>
        <v>제90호표</v>
      </c>
    </row>
    <row r="342" spans="1:15" ht="18.75" customHeight="1">
      <c r="A342" s="962"/>
      <c r="B342" s="957" t="str">
        <f>[140]산출!B344</f>
        <v>센터베어링및스톱파 가공조립</v>
      </c>
      <c r="C342" s="957" t="str">
        <f>[140]산출!C344</f>
        <v>독립형1단</v>
      </c>
      <c r="D342" s="958">
        <f>[140]산출!G344</f>
        <v>0</v>
      </c>
      <c r="E342" s="935" t="str">
        <f t="shared" si="107"/>
        <v>센터베어링및스톱파가공조립독립형1단SET</v>
      </c>
      <c r="F342" s="896" t="str">
        <f>[140]산출!D344</f>
        <v>SET</v>
      </c>
      <c r="G342" s="936">
        <f>[140]산출!F344</f>
        <v>2</v>
      </c>
      <c r="H342" s="935" t="str">
        <f t="shared" si="108"/>
        <v>센터베어링및스톱파가공조립독립형1단SET</v>
      </c>
      <c r="I342" s="959">
        <f>VLOOKUP($H:$H,[140]일위목록!$A:$H,6,FALSE)</f>
        <v>85000</v>
      </c>
      <c r="J342" s="959">
        <f t="shared" si="109"/>
        <v>170000</v>
      </c>
      <c r="K342" s="959">
        <f>VLOOKUP($H:$H,[140]일위목록!$A:$H,7,FALSE)</f>
        <v>62887</v>
      </c>
      <c r="L342" s="959">
        <f t="shared" si="110"/>
        <v>125774</v>
      </c>
      <c r="M342" s="959">
        <f t="shared" si="111"/>
        <v>147887</v>
      </c>
      <c r="N342" s="959">
        <f t="shared" si="111"/>
        <v>295774</v>
      </c>
      <c r="O342" s="896" t="str">
        <f>VLOOKUP($H:$H,[140]일위목록!$A:$B,2,FALSE)</f>
        <v>제108호표</v>
      </c>
    </row>
    <row r="343" spans="1:15" ht="18.75" customHeight="1">
      <c r="A343" s="962"/>
      <c r="B343" s="957" t="str">
        <f>[140]산출!B345</f>
        <v>전후진 전동콘트롤 제작설치</v>
      </c>
      <c r="C343" s="957" t="str">
        <f>[140]산출!C345</f>
        <v>독립형</v>
      </c>
      <c r="D343" s="958">
        <f>[140]산출!G345</f>
        <v>0</v>
      </c>
      <c r="E343" s="935" t="str">
        <f t="shared" si="107"/>
        <v>전후진전동콘트롤제작설치독립형SET</v>
      </c>
      <c r="F343" s="896" t="str">
        <f>[140]산출!D345</f>
        <v>SET</v>
      </c>
      <c r="G343" s="936">
        <f>[140]산출!F345</f>
        <v>2</v>
      </c>
      <c r="H343" s="935" t="str">
        <f t="shared" si="108"/>
        <v>전후진전동콘트롤제작설치독립형SET</v>
      </c>
      <c r="I343" s="959">
        <f>VLOOKUP($H:$H,[140]일위목록!$A:$H,6,FALSE)</f>
        <v>400000</v>
      </c>
      <c r="J343" s="959">
        <f t="shared" si="109"/>
        <v>800000</v>
      </c>
      <c r="K343" s="959">
        <f>VLOOKUP($H:$H,[140]일위목록!$A:$H,7,FALSE)</f>
        <v>65053</v>
      </c>
      <c r="L343" s="959">
        <f t="shared" si="110"/>
        <v>130106</v>
      </c>
      <c r="M343" s="959">
        <f t="shared" si="111"/>
        <v>465053</v>
      </c>
      <c r="N343" s="959">
        <f t="shared" si="111"/>
        <v>930106</v>
      </c>
      <c r="O343" s="896" t="str">
        <f>VLOOKUP($H:$H,[140]일위목록!$A:$B,2,FALSE)</f>
        <v>제111호표</v>
      </c>
    </row>
    <row r="344" spans="1:15" s="952" customFormat="1" ht="18.75" customHeight="1">
      <c r="A344" s="962"/>
      <c r="B344" s="947" t="str">
        <f>[140]산출!B346</f>
        <v>- 수장공사</v>
      </c>
      <c r="C344" s="954"/>
      <c r="D344" s="955"/>
      <c r="E344" s="948"/>
      <c r="F344" s="949"/>
      <c r="G344" s="950"/>
      <c r="H344" s="948"/>
      <c r="I344" s="951"/>
      <c r="J344" s="951"/>
      <c r="K344" s="951"/>
      <c r="L344" s="951"/>
      <c r="M344" s="951"/>
      <c r="N344" s="951"/>
      <c r="O344" s="949"/>
    </row>
    <row r="345" spans="1:15" ht="18.75" customHeight="1">
      <c r="A345" s="962"/>
      <c r="B345" s="957" t="str">
        <f>[140]산출!B347</f>
        <v>내부도배</v>
      </c>
      <c r="C345" s="957" t="str">
        <f>[140]산출!C347</f>
        <v>세마직벽지</v>
      </c>
      <c r="D345" s="958">
        <f>[140]산출!G347</f>
        <v>0</v>
      </c>
      <c r="E345" s="935" t="str">
        <f t="shared" ref="E345:E351" si="112">SUBSTITUTE(CONCATENATE(B:B,C:C,F:F)," ","")</f>
        <v>내부도배세마직벽지M2</v>
      </c>
      <c r="F345" s="896" t="str">
        <f>[140]산출!D347</f>
        <v>M2</v>
      </c>
      <c r="G345" s="936">
        <f>[140]산출!F347</f>
        <v>59.2</v>
      </c>
      <c r="H345" s="935" t="str">
        <f t="shared" ref="H345:H351" si="113">SUBSTITUTE(CONCATENATE(B345,C345,F345)," ","")</f>
        <v>내부도배세마직벽지M2</v>
      </c>
      <c r="I345" s="959">
        <f>VLOOKUP($H:$H,[140]일위목록!$A:$H,6,FALSE)</f>
        <v>47152</v>
      </c>
      <c r="J345" s="959">
        <f t="shared" ref="J345:J351" si="114">TRUNC($G:$G*I:I)</f>
        <v>2791398</v>
      </c>
      <c r="K345" s="959">
        <f>VLOOKUP($H:$H,[140]일위목록!$A:$H,7,FALSE)</f>
        <v>5222</v>
      </c>
      <c r="L345" s="959">
        <f t="shared" ref="L345:L351" si="115">TRUNC($G:$G*K:K)</f>
        <v>309142</v>
      </c>
      <c r="M345" s="959">
        <f t="shared" ref="M345:N351" si="116">SUM(I345,K345)</f>
        <v>52374</v>
      </c>
      <c r="N345" s="959">
        <f t="shared" si="116"/>
        <v>3100540</v>
      </c>
      <c r="O345" s="896" t="str">
        <f>VLOOKUP($H:$H,[140]일위목록!$A:$B,2,FALSE)</f>
        <v>제56호표</v>
      </c>
    </row>
    <row r="346" spans="1:15" ht="18.75" customHeight="1">
      <c r="A346" s="962"/>
      <c r="B346" s="957" t="str">
        <f>[140]산출!B348</f>
        <v>바탕처리</v>
      </c>
      <c r="C346" s="957" t="str">
        <f>[140]산출!C348</f>
        <v>도배퍼티</v>
      </c>
      <c r="D346" s="958">
        <f>[140]산출!G348</f>
        <v>0</v>
      </c>
      <c r="E346" s="935" t="str">
        <f t="shared" si="112"/>
        <v>바탕처리도배퍼티M2</v>
      </c>
      <c r="F346" s="896" t="str">
        <f>[140]산출!D348</f>
        <v>M2</v>
      </c>
      <c r="G346" s="936">
        <f>[140]산출!F348</f>
        <v>59.2</v>
      </c>
      <c r="H346" s="935" t="str">
        <f t="shared" si="113"/>
        <v>바탕처리도배퍼티M2</v>
      </c>
      <c r="I346" s="959">
        <f>VLOOKUP($H:$H,[140]일위목록!$A:$H,6,FALSE)</f>
        <v>1160</v>
      </c>
      <c r="J346" s="959">
        <f t="shared" si="114"/>
        <v>68672</v>
      </c>
      <c r="K346" s="959">
        <f>VLOOKUP($H:$H,[140]일위목록!$A:$H,7,FALSE)</f>
        <v>7711</v>
      </c>
      <c r="L346" s="959">
        <f t="shared" si="115"/>
        <v>456491</v>
      </c>
      <c r="M346" s="959">
        <f t="shared" si="116"/>
        <v>8871</v>
      </c>
      <c r="N346" s="959">
        <f t="shared" si="116"/>
        <v>525163</v>
      </c>
      <c r="O346" s="896" t="str">
        <f>VLOOKUP($H:$H,[140]일위목록!$A:$B,2,FALSE)</f>
        <v>제55호표</v>
      </c>
    </row>
    <row r="347" spans="1:15" ht="18.75" customHeight="1">
      <c r="A347" s="962"/>
      <c r="B347" s="957" t="str">
        <f>[140]산출!B349</f>
        <v>합판취부</v>
      </c>
      <c r="C347" s="957" t="str">
        <f>[140]산출!C349</f>
        <v>T11.5mm 2PLY</v>
      </c>
      <c r="D347" s="958">
        <f>[140]산출!G349</f>
        <v>0</v>
      </c>
      <c r="E347" s="935" t="str">
        <f t="shared" si="112"/>
        <v>합판취부T11.5mm2PLYM2</v>
      </c>
      <c r="F347" s="896" t="str">
        <f>[140]산출!D349</f>
        <v>M2</v>
      </c>
      <c r="G347" s="936">
        <f>[140]산출!F349</f>
        <v>10</v>
      </c>
      <c r="H347" s="935" t="str">
        <f t="shared" si="113"/>
        <v>합판취부T11.5mm2PLYM2</v>
      </c>
      <c r="I347" s="959">
        <f>VLOOKUP($H:$H,[140]일위목록!$A:$H,6,FALSE)</f>
        <v>19751</v>
      </c>
      <c r="J347" s="959">
        <f t="shared" si="114"/>
        <v>197510</v>
      </c>
      <c r="K347" s="959">
        <f>VLOOKUP($H:$H,[140]일위목록!$A:$H,7,FALSE)</f>
        <v>35580</v>
      </c>
      <c r="L347" s="959">
        <f t="shared" si="115"/>
        <v>355800</v>
      </c>
      <c r="M347" s="959">
        <f t="shared" si="116"/>
        <v>55331</v>
      </c>
      <c r="N347" s="959">
        <f t="shared" si="116"/>
        <v>553310</v>
      </c>
      <c r="O347" s="896" t="str">
        <f>VLOOKUP($H:$H,[140]일위목록!$A:$B,2,FALSE)</f>
        <v>제43호표</v>
      </c>
    </row>
    <row r="348" spans="1:15" ht="18.75" customHeight="1">
      <c r="A348" s="962"/>
      <c r="B348" s="957" t="str">
        <f>[140]산출!B350</f>
        <v>합판취부</v>
      </c>
      <c r="C348" s="957" t="str">
        <f>[140]산출!C350</f>
        <v>T8.5mm 1PLY</v>
      </c>
      <c r="D348" s="958">
        <f>[140]산출!G350</f>
        <v>0</v>
      </c>
      <c r="E348" s="935" t="str">
        <f t="shared" si="112"/>
        <v>합판취부T8.5mm1PLYM2</v>
      </c>
      <c r="F348" s="896" t="str">
        <f>[140]산출!D350</f>
        <v>M2</v>
      </c>
      <c r="G348" s="936">
        <f>[140]산출!F350</f>
        <v>72</v>
      </c>
      <c r="H348" s="935" t="str">
        <f t="shared" si="113"/>
        <v>합판취부T8.5mm1PLYM2</v>
      </c>
      <c r="I348" s="959">
        <f>VLOOKUP($H:$H,[140]일위목록!$A:$H,6,FALSE)</f>
        <v>8361</v>
      </c>
      <c r="J348" s="959">
        <f t="shared" si="114"/>
        <v>601992</v>
      </c>
      <c r="K348" s="959">
        <f>VLOOKUP($H:$H,[140]일위목록!$A:$H,7,FALSE)</f>
        <v>54043</v>
      </c>
      <c r="L348" s="959">
        <f t="shared" si="115"/>
        <v>3891096</v>
      </c>
      <c r="M348" s="959">
        <f t="shared" si="116"/>
        <v>62404</v>
      </c>
      <c r="N348" s="959">
        <f t="shared" si="116"/>
        <v>4493088</v>
      </c>
      <c r="O348" s="896" t="str">
        <f>VLOOKUP($H:$H,[140]일위목록!$A:$B,2,FALSE)</f>
        <v>제44호표</v>
      </c>
    </row>
    <row r="349" spans="1:15" ht="18.75" customHeight="1">
      <c r="A349" s="962"/>
      <c r="B349" s="957" t="str">
        <f>[140]산출!B351</f>
        <v>진열장석고보드취부</v>
      </c>
      <c r="C349" s="957" t="str">
        <f>[140]산출!C351</f>
        <v>T9.5mm*2PLY</v>
      </c>
      <c r="D349" s="958">
        <f>[140]산출!G351</f>
        <v>0</v>
      </c>
      <c r="E349" s="935" t="str">
        <f t="shared" si="112"/>
        <v>진열장석고보드취부T9.5mm*2PLYM2</v>
      </c>
      <c r="F349" s="896" t="str">
        <f>[140]산출!D351</f>
        <v>M2</v>
      </c>
      <c r="G349" s="936">
        <f>[140]산출!F351</f>
        <v>6</v>
      </c>
      <c r="H349" s="935" t="str">
        <f t="shared" si="113"/>
        <v>진열장석고보드취부T9.5mm*2PLYM2</v>
      </c>
      <c r="I349" s="959">
        <f>VLOOKUP($H:$H,[140]일위목록!$A:$H,6,FALSE)</f>
        <v>18275</v>
      </c>
      <c r="J349" s="959">
        <f t="shared" si="114"/>
        <v>109650</v>
      </c>
      <c r="K349" s="959">
        <f>VLOOKUP($H:$H,[140]일위목록!$A:$H,7,FALSE)</f>
        <v>21540</v>
      </c>
      <c r="L349" s="959">
        <f t="shared" si="115"/>
        <v>129240</v>
      </c>
      <c r="M349" s="959">
        <f t="shared" si="116"/>
        <v>39815</v>
      </c>
      <c r="N349" s="959">
        <f t="shared" si="116"/>
        <v>238890</v>
      </c>
      <c r="O349" s="896" t="str">
        <f>VLOOKUP($H:$H,[140]일위목록!$A:$B,2,FALSE)</f>
        <v>제68호표</v>
      </c>
    </row>
    <row r="350" spans="1:15" ht="18.75" customHeight="1">
      <c r="A350" s="962"/>
      <c r="B350" s="957" t="str">
        <f>[140]산출!B352</f>
        <v>우레탄칼라락카도장</v>
      </c>
      <c r="C350" s="957" t="str">
        <f>[140]산출!C352</f>
        <v>철재면기준</v>
      </c>
      <c r="D350" s="958">
        <f>[140]산출!G352</f>
        <v>0</v>
      </c>
      <c r="E350" s="935" t="str">
        <f t="shared" si="112"/>
        <v>우레탄칼라락카도장철재면기준M2</v>
      </c>
      <c r="F350" s="896" t="str">
        <f>[140]산출!D352</f>
        <v>M2</v>
      </c>
      <c r="G350" s="936">
        <f>[140]산출!F352</f>
        <v>43.840400000000002</v>
      </c>
      <c r="H350" s="935" t="str">
        <f t="shared" si="113"/>
        <v>우레탄칼라락카도장철재면기준M2</v>
      </c>
      <c r="I350" s="959">
        <f>VLOOKUP($H:$H,[140]일위목록!$A:$H,6,FALSE)</f>
        <v>16103</v>
      </c>
      <c r="J350" s="959">
        <f t="shared" si="114"/>
        <v>705961</v>
      </c>
      <c r="K350" s="959">
        <f>VLOOKUP($H:$H,[140]일위목록!$A:$H,7,FALSE)</f>
        <v>22265</v>
      </c>
      <c r="L350" s="959">
        <f t="shared" si="115"/>
        <v>976106</v>
      </c>
      <c r="M350" s="959">
        <f t="shared" si="116"/>
        <v>38368</v>
      </c>
      <c r="N350" s="959">
        <f t="shared" si="116"/>
        <v>1682067</v>
      </c>
      <c r="O350" s="896" t="str">
        <f>VLOOKUP($H:$H,[140]일위목록!$A:$B,2,FALSE)</f>
        <v>제40호표</v>
      </c>
    </row>
    <row r="351" spans="1:15" ht="18.75" customHeight="1">
      <c r="A351" s="962"/>
      <c r="B351" s="957" t="str">
        <f>[140]산출!B353</f>
        <v>바탕처리</v>
      </c>
      <c r="C351" s="957" t="str">
        <f>[140]산출!C353</f>
        <v>철재면기준</v>
      </c>
      <c r="D351" s="958">
        <f>[140]산출!G353</f>
        <v>0</v>
      </c>
      <c r="E351" s="935" t="str">
        <f t="shared" si="112"/>
        <v>바탕처리철재면기준M2</v>
      </c>
      <c r="F351" s="896" t="str">
        <f>[140]산출!D353</f>
        <v>M2</v>
      </c>
      <c r="G351" s="936">
        <f>[140]산출!F353</f>
        <v>43.840400000000002</v>
      </c>
      <c r="H351" s="935" t="str">
        <f t="shared" si="113"/>
        <v>바탕처리철재면기준M2</v>
      </c>
      <c r="I351" s="959">
        <f>VLOOKUP($H:$H,[140]일위목록!$A:$H,6,FALSE)</f>
        <v>4891</v>
      </c>
      <c r="J351" s="959">
        <f t="shared" si="114"/>
        <v>214423</v>
      </c>
      <c r="K351" s="959">
        <f>VLOOKUP($H:$H,[140]일위목록!$A:$H,7,FALSE)</f>
        <v>15314</v>
      </c>
      <c r="L351" s="959">
        <f t="shared" si="115"/>
        <v>671371</v>
      </c>
      <c r="M351" s="959">
        <f t="shared" si="116"/>
        <v>20205</v>
      </c>
      <c r="N351" s="959">
        <f t="shared" si="116"/>
        <v>885794</v>
      </c>
      <c r="O351" s="896" t="str">
        <f>VLOOKUP($H:$H,[140]일위목록!$A:$B,2,FALSE)</f>
        <v>제41호표</v>
      </c>
    </row>
    <row r="352" spans="1:15" s="952" customFormat="1" ht="18.75" customHeight="1">
      <c r="A352" s="962"/>
      <c r="B352" s="947" t="str">
        <f>[140]산출!B354</f>
        <v>- 유리공사</v>
      </c>
      <c r="C352" s="954"/>
      <c r="D352" s="955"/>
      <c r="E352" s="948"/>
      <c r="F352" s="949"/>
      <c r="G352" s="950"/>
      <c r="H352" s="948"/>
      <c r="I352" s="951"/>
      <c r="J352" s="951"/>
      <c r="K352" s="951"/>
      <c r="L352" s="951"/>
      <c r="M352" s="951"/>
      <c r="N352" s="951"/>
      <c r="O352" s="949"/>
    </row>
    <row r="353" spans="1:15" ht="18.75" customHeight="1">
      <c r="A353" s="962"/>
      <c r="B353" s="957" t="str">
        <f>[140]산출!B355</f>
        <v>화이트 접합유리 끼우기</v>
      </c>
      <c r="C353" s="957" t="str">
        <f>[140]산출!C355</f>
        <v>T12.76mm (2,400*3,400기준)</v>
      </c>
      <c r="D353" s="958">
        <f>[140]산출!G355</f>
        <v>0</v>
      </c>
      <c r="E353" s="935" t="str">
        <f>SUBSTITUTE(CONCATENATE(B:B,C:C,F:F)," ","")</f>
        <v>화이트접합유리끼우기T12.76mm(2,400*3,400기준)M2</v>
      </c>
      <c r="F353" s="896" t="str">
        <f>[140]산출!D355</f>
        <v>M2</v>
      </c>
      <c r="G353" s="936">
        <f>[140]산출!F355</f>
        <v>28.200000000000003</v>
      </c>
      <c r="H353" s="935" t="str">
        <f t="shared" ref="H353:H356" si="117">SUBSTITUTE(CONCATENATE(B353,C353,F353)," ","")</f>
        <v>화이트접합유리끼우기T12.76mm(2,400*3,400기준)M2</v>
      </c>
      <c r="I353" s="959">
        <f>VLOOKUP($H:$H,[140]일위목록!$A:$H,6,FALSE)</f>
        <v>225283</v>
      </c>
      <c r="J353" s="959">
        <f>TRUNC($G:$G*I:I)</f>
        <v>6352980</v>
      </c>
      <c r="K353" s="959">
        <f>VLOOKUP($H:$H,[140]일위목록!$A:$H,7,FALSE)</f>
        <v>71881</v>
      </c>
      <c r="L353" s="959">
        <f>TRUNC($G:$G*K:K)</f>
        <v>2027044</v>
      </c>
      <c r="M353" s="959">
        <f t="shared" ref="M353:N356" si="118">SUM(I353,K353)</f>
        <v>297164</v>
      </c>
      <c r="N353" s="959">
        <f t="shared" si="118"/>
        <v>8380024</v>
      </c>
      <c r="O353" s="896" t="str">
        <f>VLOOKUP($H:$H,[140]일위목록!$A:$B,2,FALSE)</f>
        <v>제63호표</v>
      </c>
    </row>
    <row r="354" spans="1:15" ht="18.75" customHeight="1">
      <c r="A354" s="962"/>
      <c r="B354" s="957" t="str">
        <f>[140]산출!B356</f>
        <v>조명용아크릴 가공 설치</v>
      </c>
      <c r="C354" s="957" t="str">
        <f>[140]산출!C356</f>
        <v>T5mm</v>
      </c>
      <c r="D354" s="958">
        <f>[140]산출!G356</f>
        <v>0</v>
      </c>
      <c r="E354" s="935" t="str">
        <f>SUBSTITUTE(CONCATENATE(B:B,C:C,F:F)," ","")</f>
        <v>조명용아크릴가공설치T5mmm2</v>
      </c>
      <c r="F354" s="896" t="str">
        <f>[140]산출!D356</f>
        <v>m2</v>
      </c>
      <c r="G354" s="936">
        <f>[140]산출!F356</f>
        <v>1.5</v>
      </c>
      <c r="H354" s="935" t="str">
        <f t="shared" si="117"/>
        <v>조명용아크릴가공설치T5mmm2</v>
      </c>
      <c r="I354" s="959">
        <f>VLOOKUP($H:$H,[140]일위목록!$A:$H,6,FALSE)</f>
        <v>74550</v>
      </c>
      <c r="J354" s="959">
        <f>TRUNC($G:$G*I:I)</f>
        <v>111825</v>
      </c>
      <c r="K354" s="959">
        <f>VLOOKUP($H:$H,[140]일위목록!$A:$H,7,FALSE)</f>
        <v>19211</v>
      </c>
      <c r="L354" s="959">
        <f>TRUNC($G:$G*K:K)</f>
        <v>28816</v>
      </c>
      <c r="M354" s="959">
        <f t="shared" si="118"/>
        <v>93761</v>
      </c>
      <c r="N354" s="959">
        <f t="shared" si="118"/>
        <v>140641</v>
      </c>
      <c r="O354" s="896" t="str">
        <f>VLOOKUP($H:$H,[140]일위목록!$A:$B,2,FALSE)</f>
        <v>제67호표</v>
      </c>
    </row>
    <row r="355" spans="1:15" ht="18.75" customHeight="1">
      <c r="A355" s="962"/>
      <c r="B355" s="957" t="str">
        <f>[140]산출!B357</f>
        <v>코킹</v>
      </c>
      <c r="C355" s="957"/>
      <c r="D355" s="958">
        <f>[140]산출!G357</f>
        <v>0</v>
      </c>
      <c r="E355" s="935" t="str">
        <f>SUBSTITUTE(CONCATENATE(B:B,C:C,F:F)," ","")</f>
        <v>코킹M</v>
      </c>
      <c r="F355" s="896" t="str">
        <f>[140]산출!D357</f>
        <v>M</v>
      </c>
      <c r="G355" s="936">
        <f>[140]산출!F357</f>
        <v>76.92</v>
      </c>
      <c r="H355" s="935" t="str">
        <f t="shared" si="117"/>
        <v>코킹M</v>
      </c>
      <c r="I355" s="959">
        <f>VLOOKUP($H:$H,[140]일위목록!$A:$H,6,FALSE)</f>
        <v>880</v>
      </c>
      <c r="J355" s="959">
        <f>TRUNC($G:$G*I:I)</f>
        <v>67689</v>
      </c>
      <c r="K355" s="959">
        <f>VLOOKUP($H:$H,[140]일위목록!$A:$H,7,FALSE)</f>
        <v>6064</v>
      </c>
      <c r="L355" s="959">
        <f>TRUNC($G:$G*K:K)</f>
        <v>466442</v>
      </c>
      <c r="M355" s="959">
        <f t="shared" si="118"/>
        <v>6944</v>
      </c>
      <c r="N355" s="959">
        <f t="shared" si="118"/>
        <v>534131</v>
      </c>
      <c r="O355" s="896" t="str">
        <f>VLOOKUP($H:$H,[140]일위목록!$A:$B,2,FALSE)</f>
        <v>제45호표</v>
      </c>
    </row>
    <row r="356" spans="1:15" ht="18.75" customHeight="1">
      <c r="A356" s="962"/>
      <c r="B356" s="957" t="str">
        <f>[140]산출!B358</f>
        <v>면    취</v>
      </c>
      <c r="C356" s="957"/>
      <c r="D356" s="958">
        <f>[140]산출!G358</f>
        <v>0</v>
      </c>
      <c r="E356" s="935" t="str">
        <f>SUBSTITUTE(CONCATENATE(B:B,C:C,F:F)," ","")</f>
        <v>면취M</v>
      </c>
      <c r="F356" s="896" t="str">
        <f>[140]산출!D358</f>
        <v>M</v>
      </c>
      <c r="G356" s="936">
        <f>[140]산출!F358</f>
        <v>62.56</v>
      </c>
      <c r="H356" s="935" t="str">
        <f t="shared" si="117"/>
        <v>면취M</v>
      </c>
      <c r="I356" s="959">
        <f>VLOOKUP($H:$H,[140]일위목록!$A:$H,6,FALSE)</f>
        <v>11000</v>
      </c>
      <c r="J356" s="959">
        <f>TRUNC($G:$G*I:I)</f>
        <v>688160</v>
      </c>
      <c r="K356" s="959">
        <f>VLOOKUP($H:$H,[140]일위목록!$A:$H,7,FALSE)</f>
        <v>0</v>
      </c>
      <c r="L356" s="959">
        <f>TRUNC($G:$G*K:K)</f>
        <v>0</v>
      </c>
      <c r="M356" s="959">
        <f t="shared" si="118"/>
        <v>11000</v>
      </c>
      <c r="N356" s="959">
        <f t="shared" si="118"/>
        <v>688160</v>
      </c>
      <c r="O356" s="896" t="str">
        <f>VLOOKUP($H:$H,[140]일위목록!$A:$B,2,FALSE)</f>
        <v>단가-77번</v>
      </c>
    </row>
    <row r="357" spans="1:15" s="952" customFormat="1" ht="18.75" customHeight="1">
      <c r="A357" s="962"/>
      <c r="B357" s="947" t="str">
        <f>[140]산출!B359</f>
        <v>- 전기공사</v>
      </c>
      <c r="C357" s="954"/>
      <c r="D357" s="955"/>
      <c r="E357" s="948"/>
      <c r="F357" s="949"/>
      <c r="G357" s="950"/>
      <c r="H357" s="948"/>
      <c r="I357" s="951"/>
      <c r="J357" s="951"/>
      <c r="K357" s="951"/>
      <c r="L357" s="951"/>
      <c r="M357" s="951"/>
      <c r="N357" s="951"/>
      <c r="O357" s="949"/>
    </row>
    <row r="358" spans="1:15" ht="18.75" customHeight="1">
      <c r="A358" s="962"/>
      <c r="B358" s="957" t="str">
        <f>[140]산출!B360</f>
        <v>LED 포인트조명설치(벽부형)</v>
      </c>
      <c r="C358" s="957" t="str">
        <f>[140]산출!C360</f>
        <v>15W이하</v>
      </c>
      <c r="D358" s="958">
        <f>[140]산출!G360</f>
        <v>0</v>
      </c>
      <c r="E358" s="935" t="str">
        <f>SUBSTITUTE(CONCATENATE(B:B,C:C,F:F)," ","")</f>
        <v>LED포인트조명설치(벽부형)15W이하ea</v>
      </c>
      <c r="F358" s="896" t="str">
        <f>[140]산출!D360</f>
        <v>ea</v>
      </c>
      <c r="G358" s="936">
        <f>[140]산출!F360</f>
        <v>24</v>
      </c>
      <c r="H358" s="935" t="str">
        <f t="shared" ref="H358:H361" si="119">SUBSTITUTE(CONCATENATE(B358,C358,F358)," ","")</f>
        <v>LED포인트조명설치(벽부형)15W이하ea</v>
      </c>
      <c r="I358" s="959">
        <f>VLOOKUP($H:$H,[140]일위목록!$A:$H,6,FALSE)</f>
        <v>178500</v>
      </c>
      <c r="J358" s="959">
        <f>TRUNC($G:$G*I:I)</f>
        <v>4284000</v>
      </c>
      <c r="K358" s="959">
        <f>VLOOKUP($H:$H,[140]일위목록!$A:$H,7,FALSE)</f>
        <v>26372</v>
      </c>
      <c r="L358" s="959">
        <f>TRUNC($G:$G*K:K)</f>
        <v>632928</v>
      </c>
      <c r="M358" s="959">
        <f t="shared" ref="M358:N361" si="120">SUM(I358,K358)</f>
        <v>204872</v>
      </c>
      <c r="N358" s="959">
        <f t="shared" si="120"/>
        <v>4916928</v>
      </c>
      <c r="O358" s="896" t="str">
        <f>VLOOKUP($H:$H,[140]일위목록!$A:$B,2,FALSE)</f>
        <v>제81호표</v>
      </c>
    </row>
    <row r="359" spans="1:15" ht="18.75" customHeight="1">
      <c r="A359" s="962"/>
      <c r="B359" s="957" t="str">
        <f>[140]산출!B361</f>
        <v>LED bar조명설치</v>
      </c>
      <c r="C359" s="957" t="str">
        <f>[140]산출!C361</f>
        <v>30W이하</v>
      </c>
      <c r="D359" s="958">
        <f>[140]산출!G361</f>
        <v>0</v>
      </c>
      <c r="E359" s="935" t="str">
        <f>SUBSTITUTE(CONCATENATE(B:B,C:C,F:F)," ","")</f>
        <v>LEDbar조명설치30W이하M</v>
      </c>
      <c r="F359" s="896" t="str">
        <f>[140]산출!D361</f>
        <v>M</v>
      </c>
      <c r="G359" s="936">
        <f>[140]산출!F361</f>
        <v>20</v>
      </c>
      <c r="H359" s="935" t="str">
        <f t="shared" si="119"/>
        <v>LEDbar조명설치30W이하M</v>
      </c>
      <c r="I359" s="959">
        <f>VLOOKUP($H:$H,[140]일위목록!$A:$H,6,FALSE)</f>
        <v>105000</v>
      </c>
      <c r="J359" s="959">
        <f>TRUNC($G:$G*I:I)</f>
        <v>2100000</v>
      </c>
      <c r="K359" s="959">
        <f>VLOOKUP($H:$H,[140]일위목록!$A:$H,7,FALSE)</f>
        <v>26372</v>
      </c>
      <c r="L359" s="959">
        <f>TRUNC($G:$G*K:K)</f>
        <v>527440</v>
      </c>
      <c r="M359" s="959">
        <f t="shared" si="120"/>
        <v>131372</v>
      </c>
      <c r="N359" s="959">
        <f t="shared" si="120"/>
        <v>2627440</v>
      </c>
      <c r="O359" s="896" t="str">
        <f>VLOOKUP($H:$H,[140]일위목록!$A:$B,2,FALSE)</f>
        <v>제83호표</v>
      </c>
    </row>
    <row r="360" spans="1:15" ht="18.75" customHeight="1">
      <c r="A360" s="962"/>
      <c r="B360" s="957" t="str">
        <f>[140]산출!B362</f>
        <v>LED 포인트조명 컨트롤제작설치</v>
      </c>
      <c r="C360" s="957" t="str">
        <f>[140]산출!C362</f>
        <v>컨트롤러(16채널)</v>
      </c>
      <c r="D360" s="958">
        <f>[140]산출!G362</f>
        <v>0</v>
      </c>
      <c r="E360" s="935" t="str">
        <f>SUBSTITUTE(CONCATENATE(B:B,C:C,F:F)," ","")</f>
        <v>LED포인트조명컨트롤제작설치컨트롤러(16채널)set</v>
      </c>
      <c r="F360" s="896" t="str">
        <f>[140]산출!D362</f>
        <v>set</v>
      </c>
      <c r="G360" s="936">
        <f>[140]산출!F362</f>
        <v>1</v>
      </c>
      <c r="H360" s="935" t="str">
        <f t="shared" si="119"/>
        <v>LED포인트조명컨트롤제작설치컨트롤러(16채널)set</v>
      </c>
      <c r="I360" s="959">
        <f>VLOOKUP($H:$H,[140]일위목록!$A:$H,6,FALSE)</f>
        <v>650000</v>
      </c>
      <c r="J360" s="959">
        <f>TRUNC($G:$G*I:I)</f>
        <v>650000</v>
      </c>
      <c r="K360" s="959">
        <f>VLOOKUP($H:$H,[140]일위목록!$A:$H,7,FALSE)</f>
        <v>90163</v>
      </c>
      <c r="L360" s="959">
        <f>TRUNC($G:$G*K:K)</f>
        <v>90163</v>
      </c>
      <c r="M360" s="959">
        <f t="shared" si="120"/>
        <v>740163</v>
      </c>
      <c r="N360" s="959">
        <f t="shared" si="120"/>
        <v>740163</v>
      </c>
      <c r="O360" s="896" t="str">
        <f>VLOOKUP($H:$H,[140]일위목록!$A:$B,2,FALSE)</f>
        <v>제85호표</v>
      </c>
    </row>
    <row r="361" spans="1:15" ht="18.75" customHeight="1">
      <c r="A361" s="962"/>
      <c r="B361" s="957" t="str">
        <f>[140]산출!B363</f>
        <v>LED bar조명 컨트롤제작설치</v>
      </c>
      <c r="C361" s="957" t="str">
        <f>[140]산출!C363</f>
        <v>컨트롤러</v>
      </c>
      <c r="D361" s="958">
        <f>[140]산출!G363</f>
        <v>0</v>
      </c>
      <c r="E361" s="935" t="str">
        <f>SUBSTITUTE(CONCATENATE(B:B,C:C,F:F)," ","")</f>
        <v>LEDbar조명컨트롤제작설치컨트롤러set</v>
      </c>
      <c r="F361" s="896" t="str">
        <f>[140]산출!D363</f>
        <v>set</v>
      </c>
      <c r="G361" s="936">
        <f>[140]산출!F363</f>
        <v>1</v>
      </c>
      <c r="H361" s="935" t="str">
        <f t="shared" si="119"/>
        <v>LEDbar조명컨트롤제작설치컨트롤러set</v>
      </c>
      <c r="I361" s="959">
        <f>VLOOKUP($H:$H,[140]일위목록!$A:$H,6,FALSE)</f>
        <v>530000</v>
      </c>
      <c r="J361" s="959">
        <f>TRUNC($G:$G*I:I)</f>
        <v>530000</v>
      </c>
      <c r="K361" s="959">
        <f>VLOOKUP($H:$H,[140]일위목록!$A:$H,7,FALSE)</f>
        <v>112704</v>
      </c>
      <c r="L361" s="959">
        <f>TRUNC($G:$G*K:K)</f>
        <v>112704</v>
      </c>
      <c r="M361" s="959">
        <f t="shared" si="120"/>
        <v>642704</v>
      </c>
      <c r="N361" s="959">
        <f t="shared" si="120"/>
        <v>642704</v>
      </c>
      <c r="O361" s="896" t="str">
        <f>VLOOKUP($H:$H,[140]일위목록!$A:$B,2,FALSE)</f>
        <v>제87호표</v>
      </c>
    </row>
    <row r="362" spans="1:15" ht="18.75" customHeight="1">
      <c r="A362" s="962"/>
      <c r="B362" s="957"/>
      <c r="C362" s="957"/>
      <c r="D362" s="958"/>
      <c r="E362" s="935"/>
      <c r="F362" s="896"/>
      <c r="G362" s="936"/>
      <c r="H362" s="935"/>
      <c r="I362" s="959"/>
      <c r="J362" s="959"/>
      <c r="K362" s="959"/>
      <c r="L362" s="959"/>
      <c r="M362" s="959"/>
      <c r="N362" s="959"/>
      <c r="O362" s="896"/>
    </row>
    <row r="363" spans="1:15" s="952" customFormat="1" ht="18.75" customHeight="1">
      <c r="A363" s="960"/>
      <c r="B363" s="947" t="s">
        <v>6586</v>
      </c>
      <c r="C363" s="954"/>
      <c r="D363" s="961"/>
      <c r="E363" s="948"/>
      <c r="F363" s="949"/>
      <c r="G363" s="950"/>
      <c r="H363" s="948" t="str">
        <f>SUBSTITUTE(CONCATENATE(B363,C363,F363)," ","")</f>
        <v>소계</v>
      </c>
      <c r="I363" s="951"/>
      <c r="J363" s="951">
        <f>SUM(J313:J362)</f>
        <v>43691348</v>
      </c>
      <c r="K363" s="951"/>
      <c r="L363" s="951">
        <f>SUM(L313:L362)</f>
        <v>26080716</v>
      </c>
      <c r="M363" s="951"/>
      <c r="N363" s="951">
        <f>SUM(N313:N362)</f>
        <v>69772064</v>
      </c>
      <c r="O363" s="949"/>
    </row>
    <row r="364" spans="1:15" s="952" customFormat="1" ht="18.75" customHeight="1">
      <c r="A364" s="953"/>
      <c r="B364" s="947"/>
      <c r="C364" s="954"/>
      <c r="D364" s="955"/>
      <c r="E364" s="948"/>
      <c r="F364" s="949"/>
      <c r="G364" s="950"/>
      <c r="H364" s="948"/>
      <c r="I364" s="951"/>
      <c r="J364" s="951"/>
      <c r="K364" s="951"/>
      <c r="L364" s="951"/>
      <c r="M364" s="951"/>
      <c r="N364" s="951"/>
      <c r="O364" s="949"/>
    </row>
    <row r="365" spans="1:15" ht="18.75" customHeight="1">
      <c r="A365" s="962"/>
      <c r="B365" s="957"/>
      <c r="C365" s="939"/>
      <c r="D365" s="958"/>
      <c r="E365" s="935"/>
      <c r="F365" s="896"/>
      <c r="G365" s="936"/>
      <c r="H365" s="935"/>
      <c r="I365" s="959"/>
      <c r="J365" s="959"/>
      <c r="K365" s="959"/>
      <c r="L365" s="959"/>
      <c r="M365" s="959"/>
      <c r="N365" s="959"/>
      <c r="O365" s="896"/>
    </row>
    <row r="366" spans="1:15" s="952" customFormat="1" ht="18.75" customHeight="1">
      <c r="A366" s="947" t="str">
        <f>[140]산출!A373</f>
        <v>SC-205</v>
      </c>
      <c r="B366" s="947" t="str">
        <f>[140]산출!B373</f>
        <v>벽부형진열장(전동형)</v>
      </c>
      <c r="C366" s="947" t="str">
        <f>[140]산출!C373</f>
        <v>L: 12000 D: 1000 H: 3600 FH: 300 GH: 2600 UH: 700</v>
      </c>
      <c r="D366" s="955">
        <f>[140]산출!G373</f>
        <v>0</v>
      </c>
      <c r="E366" s="948" t="str">
        <f t="shared" ref="E366:E379" si="121">SUBSTITUTE(CONCATENATE(B:B,C:C,F:F)," ","")</f>
        <v>벽부형진열장(전동형)L:12000D:1000H:3600FH:300GH:2600UH:700SET</v>
      </c>
      <c r="F366" s="949" t="str">
        <f>[140]산출!D373</f>
        <v>SET</v>
      </c>
      <c r="G366" s="950">
        <f>[140]산출!F373</f>
        <v>1</v>
      </c>
      <c r="H366" s="948" t="str">
        <f t="shared" ref="H366:H379" si="122">SUBSTITUTE(CONCATENATE(B366,C366,F366)," ","")</f>
        <v>벽부형진열장(전동형)L:12000D:1000H:3600FH:300GH:2600UH:700SET</v>
      </c>
      <c r="I366" s="951"/>
      <c r="J366" s="951"/>
      <c r="K366" s="951"/>
      <c r="L366" s="951"/>
      <c r="M366" s="951"/>
      <c r="N366" s="951"/>
      <c r="O366" s="949"/>
    </row>
    <row r="367" spans="1:15" s="952" customFormat="1" ht="18.75" customHeight="1">
      <c r="A367" s="953"/>
      <c r="B367" s="947" t="str">
        <f>[140]산출!B374</f>
        <v>- 구조틀</v>
      </c>
      <c r="C367" s="954"/>
      <c r="D367" s="955">
        <f>[140]산출!G374</f>
        <v>0</v>
      </c>
      <c r="E367" s="948" t="str">
        <f t="shared" si="121"/>
        <v>-구조틀</v>
      </c>
      <c r="F367" s="949"/>
      <c r="G367" s="950"/>
      <c r="H367" s="948"/>
      <c r="I367" s="951"/>
      <c r="J367" s="951"/>
      <c r="K367" s="951"/>
      <c r="L367" s="951"/>
      <c r="M367" s="951"/>
      <c r="N367" s="951"/>
      <c r="O367" s="949"/>
    </row>
    <row r="368" spans="1:15" ht="18.75" customHeight="1">
      <c r="A368" s="962"/>
      <c r="B368" s="957" t="str">
        <f>[140]산출!B375</f>
        <v>각파이프(방청)</v>
      </c>
      <c r="C368" s="939" t="str">
        <f>[140]산출!C375</f>
        <v>50*50*1.4T</v>
      </c>
      <c r="D368" s="958">
        <f>[140]산출!G375</f>
        <v>0</v>
      </c>
      <c r="E368" s="935" t="str">
        <f t="shared" si="121"/>
        <v>각파이프(방청)50*50*1.4TM</v>
      </c>
      <c r="F368" s="896" t="str">
        <f>[140]산출!D375</f>
        <v>M</v>
      </c>
      <c r="G368" s="936">
        <f>[140]산출!F375</f>
        <v>307.70000000000005</v>
      </c>
      <c r="H368" s="935" t="str">
        <f t="shared" si="122"/>
        <v>각파이프(방청)50*50*1.4TM</v>
      </c>
      <c r="I368" s="959">
        <f>VLOOKUP($H:$H,[140]일위목록!$A:$H,6,FALSE)</f>
        <v>3111</v>
      </c>
      <c r="J368" s="959">
        <f>TRUNC($G:$G*I:I)</f>
        <v>957254</v>
      </c>
      <c r="K368" s="959">
        <f>VLOOKUP($H:$H,[140]일위목록!$A:$H,7,FALSE)</f>
        <v>16978</v>
      </c>
      <c r="L368" s="959">
        <f>TRUNC($G:$G*K:K)</f>
        <v>5224130</v>
      </c>
      <c r="M368" s="959">
        <f t="shared" ref="M368:N379" si="123">SUM(I368,K368)</f>
        <v>20089</v>
      </c>
      <c r="N368" s="959">
        <f t="shared" si="123"/>
        <v>6181384</v>
      </c>
      <c r="O368" s="896" t="str">
        <f>VLOOKUP($H:$H,[140]일위목록!$A:$B,2,FALSE)</f>
        <v>제47호표</v>
      </c>
    </row>
    <row r="369" spans="1:15" ht="18.75" customHeight="1">
      <c r="A369" s="962"/>
      <c r="B369" s="957" t="str">
        <f>[140]산출!B376</f>
        <v>각파이프(방청)</v>
      </c>
      <c r="C369" s="939" t="str">
        <f>[140]산출!C376</f>
        <v>100*50*2.3T</v>
      </c>
      <c r="D369" s="958">
        <f>[140]산출!G376</f>
        <v>0</v>
      </c>
      <c r="E369" s="935" t="str">
        <f t="shared" si="121"/>
        <v>각파이프(방청)100*50*2.3TM</v>
      </c>
      <c r="F369" s="896" t="str">
        <f>[140]산출!D376</f>
        <v>M</v>
      </c>
      <c r="G369" s="936">
        <f>[140]산출!F376</f>
        <v>55.2</v>
      </c>
      <c r="H369" s="935" t="str">
        <f t="shared" si="122"/>
        <v>각파이프(방청)100*50*2.3TM</v>
      </c>
      <c r="I369" s="959">
        <f>VLOOKUP($H:$H,[140]일위목록!$A:$H,6,FALSE)</f>
        <v>6799</v>
      </c>
      <c r="J369" s="959">
        <f>TRUNC($G:$G*I:I)</f>
        <v>375304</v>
      </c>
      <c r="K369" s="959">
        <f>VLOOKUP($H:$H,[140]일위목록!$A:$H,7,FALSE)</f>
        <v>41245</v>
      </c>
      <c r="L369" s="959">
        <f>TRUNC($G:$G*K:K)</f>
        <v>2276724</v>
      </c>
      <c r="M369" s="959">
        <f t="shared" si="123"/>
        <v>48044</v>
      </c>
      <c r="N369" s="959">
        <f t="shared" si="123"/>
        <v>2652028</v>
      </c>
      <c r="O369" s="896" t="str">
        <f>VLOOKUP($H:$H,[140]일위목록!$A:$B,2,FALSE)</f>
        <v>제48호표</v>
      </c>
    </row>
    <row r="370" spans="1:15" s="952" customFormat="1" ht="18.75" customHeight="1">
      <c r="A370" s="962"/>
      <c r="B370" s="947" t="str">
        <f>[140]산출!B377</f>
        <v>- 잡철물</v>
      </c>
      <c r="C370" s="954" t="str">
        <f>[140]산출!C377</f>
        <v xml:space="preserve"> 상부</v>
      </c>
      <c r="D370" s="955">
        <f>[140]산출!G377</f>
        <v>0</v>
      </c>
      <c r="E370" s="948" t="str">
        <f t="shared" si="121"/>
        <v>-잡철물상부</v>
      </c>
      <c r="F370" s="949"/>
      <c r="G370" s="950"/>
      <c r="H370" s="948"/>
      <c r="I370" s="951"/>
      <c r="J370" s="951"/>
      <c r="K370" s="951"/>
      <c r="L370" s="951"/>
      <c r="M370" s="951"/>
      <c r="N370" s="951"/>
      <c r="O370" s="949"/>
    </row>
    <row r="371" spans="1:15" ht="18.75" customHeight="1">
      <c r="A371" s="962"/>
      <c r="B371" s="957" t="str">
        <f>[140]산출!B378</f>
        <v>갈바후레임제작설치</v>
      </c>
      <c r="C371" s="939" t="str">
        <f>[140]산출!C378</f>
        <v>1.6T</v>
      </c>
      <c r="D371" s="958" t="str">
        <f>[140]산출!G378</f>
        <v>상부점검도어 몰딩</v>
      </c>
      <c r="E371" s="935" t="str">
        <f t="shared" si="121"/>
        <v>갈바후레임제작설치1.6TM2</v>
      </c>
      <c r="F371" s="896" t="str">
        <f>[140]산출!D378</f>
        <v>M2</v>
      </c>
      <c r="G371" s="936">
        <f>[140]산출!F378</f>
        <v>3.7800000000000002</v>
      </c>
      <c r="H371" s="935" t="str">
        <f t="shared" si="122"/>
        <v>갈바후레임제작설치1.6TM2</v>
      </c>
      <c r="I371" s="959">
        <f>VLOOKUP($H:$H,[140]일위목록!$A:$H,6,FALSE)</f>
        <v>16515</v>
      </c>
      <c r="J371" s="959">
        <f t="shared" ref="J371:J379" si="124">TRUNC($G:$G*I:I)</f>
        <v>62426</v>
      </c>
      <c r="K371" s="959">
        <f>VLOOKUP($H:$H,[140]일위목록!$A:$H,7,FALSE)</f>
        <v>65362</v>
      </c>
      <c r="L371" s="959">
        <f t="shared" ref="L371:L379" si="125">TRUNC($G:$G*K:K)</f>
        <v>247068</v>
      </c>
      <c r="M371" s="959">
        <f t="shared" si="123"/>
        <v>81877</v>
      </c>
      <c r="N371" s="959">
        <f t="shared" si="123"/>
        <v>309494</v>
      </c>
      <c r="O371" s="896" t="str">
        <f>VLOOKUP($H:$H,[140]일위목록!$A:$B,2,FALSE)</f>
        <v>제51호표</v>
      </c>
    </row>
    <row r="372" spans="1:15" ht="18.75" customHeight="1">
      <c r="A372" s="962"/>
      <c r="B372" s="957" t="str">
        <f>[140]산출!B379</f>
        <v>갈바후레임제작설치</v>
      </c>
      <c r="C372" s="939" t="str">
        <f>[140]산출!C379</f>
        <v>1.6T</v>
      </c>
      <c r="D372" s="958" t="str">
        <f>[140]산출!G379</f>
        <v>상부전면천장유리후레임</v>
      </c>
      <c r="E372" s="935" t="str">
        <f t="shared" si="121"/>
        <v>갈바후레임제작설치1.6TM2</v>
      </c>
      <c r="F372" s="896" t="str">
        <f>[140]산출!D379</f>
        <v>M2</v>
      </c>
      <c r="G372" s="936">
        <f>[140]산출!F379</f>
        <v>5.9039999999999999</v>
      </c>
      <c r="H372" s="935" t="str">
        <f t="shared" si="122"/>
        <v>갈바후레임제작설치1.6TM2</v>
      </c>
      <c r="I372" s="959">
        <f>VLOOKUP($H:$H,[140]일위목록!$A:$H,6,FALSE)</f>
        <v>16515</v>
      </c>
      <c r="J372" s="959">
        <f t="shared" si="124"/>
        <v>97504</v>
      </c>
      <c r="K372" s="959">
        <f>VLOOKUP($H:$H,[140]일위목록!$A:$H,7,FALSE)</f>
        <v>65362</v>
      </c>
      <c r="L372" s="959">
        <f t="shared" si="125"/>
        <v>385897</v>
      </c>
      <c r="M372" s="959">
        <f t="shared" si="123"/>
        <v>81877</v>
      </c>
      <c r="N372" s="959">
        <f t="shared" si="123"/>
        <v>483401</v>
      </c>
      <c r="O372" s="896" t="str">
        <f>VLOOKUP($H:$H,[140]일위목록!$A:$B,2,FALSE)</f>
        <v>제51호표</v>
      </c>
    </row>
    <row r="373" spans="1:15" ht="18.75" customHeight="1">
      <c r="A373" s="962"/>
      <c r="B373" s="957" t="str">
        <f>[140]산출!B380</f>
        <v>갈바후레임제작설치</v>
      </c>
      <c r="C373" s="939" t="str">
        <f>[140]산출!C380</f>
        <v>1.6T</v>
      </c>
      <c r="D373" s="958" t="str">
        <f>[140]산출!G380</f>
        <v>배면천장몰딩</v>
      </c>
      <c r="E373" s="935" t="str">
        <f t="shared" si="121"/>
        <v>갈바후레임제작설치1.6TM2</v>
      </c>
      <c r="F373" s="896" t="str">
        <f>[140]산출!D380</f>
        <v>M2</v>
      </c>
      <c r="G373" s="936">
        <f>[140]산출!F380</f>
        <v>7.9320000000000004</v>
      </c>
      <c r="H373" s="935" t="str">
        <f t="shared" si="122"/>
        <v>갈바후레임제작설치1.6TM2</v>
      </c>
      <c r="I373" s="959">
        <f>VLOOKUP($H:$H,[140]일위목록!$A:$H,6,FALSE)</f>
        <v>16515</v>
      </c>
      <c r="J373" s="959">
        <f t="shared" si="124"/>
        <v>130996</v>
      </c>
      <c r="K373" s="959">
        <f>VLOOKUP($H:$H,[140]일위목록!$A:$H,7,FALSE)</f>
        <v>65362</v>
      </c>
      <c r="L373" s="959">
        <f t="shared" si="125"/>
        <v>518451</v>
      </c>
      <c r="M373" s="959">
        <f t="shared" si="123"/>
        <v>81877</v>
      </c>
      <c r="N373" s="959">
        <f t="shared" si="123"/>
        <v>649447</v>
      </c>
      <c r="O373" s="896" t="str">
        <f>VLOOKUP($H:$H,[140]일위목록!$A:$B,2,FALSE)</f>
        <v>제51호표</v>
      </c>
    </row>
    <row r="374" spans="1:15" ht="18.75" customHeight="1">
      <c r="A374" s="962"/>
      <c r="B374" s="957" t="str">
        <f>[140]산출!B381</f>
        <v>갈바후레임제작설치</v>
      </c>
      <c r="C374" s="939" t="str">
        <f>[140]산출!C381</f>
        <v>1.6T</v>
      </c>
      <c r="D374" s="958" t="str">
        <f>[140]산출!G381</f>
        <v>그림걸이레일보강</v>
      </c>
      <c r="E374" s="935" t="str">
        <f t="shared" si="121"/>
        <v>갈바후레임제작설치1.6TM2</v>
      </c>
      <c r="F374" s="896" t="str">
        <f>[140]산출!D381</f>
        <v>M2</v>
      </c>
      <c r="G374" s="936">
        <f>[140]산출!F381</f>
        <v>2.46</v>
      </c>
      <c r="H374" s="935" t="str">
        <f t="shared" si="122"/>
        <v>갈바후레임제작설치1.6TM2</v>
      </c>
      <c r="I374" s="959">
        <f>VLOOKUP($H:$H,[140]일위목록!$A:$H,6,FALSE)</f>
        <v>16515</v>
      </c>
      <c r="J374" s="959">
        <f t="shared" si="124"/>
        <v>40626</v>
      </c>
      <c r="K374" s="959">
        <f>VLOOKUP($H:$H,[140]일위목록!$A:$H,7,FALSE)</f>
        <v>65362</v>
      </c>
      <c r="L374" s="959">
        <f t="shared" si="125"/>
        <v>160790</v>
      </c>
      <c r="M374" s="959">
        <f t="shared" si="123"/>
        <v>81877</v>
      </c>
      <c r="N374" s="959">
        <f t="shared" si="123"/>
        <v>201416</v>
      </c>
      <c r="O374" s="896" t="str">
        <f>VLOOKUP($H:$H,[140]일위목록!$A:$B,2,FALSE)</f>
        <v>제51호표</v>
      </c>
    </row>
    <row r="375" spans="1:15" ht="18.75" customHeight="1">
      <c r="A375" s="962"/>
      <c r="B375" s="957" t="str">
        <f>[140]산출!B382</f>
        <v>갈바후레임제작설치</v>
      </c>
      <c r="C375" s="939" t="str">
        <f>[140]산출!C382</f>
        <v>1.6T</v>
      </c>
      <c r="D375" s="958" t="str">
        <f>[140]산출!G382</f>
        <v>상부점검도어</v>
      </c>
      <c r="E375" s="935" t="str">
        <f t="shared" si="121"/>
        <v>갈바후레임제작설치1.6TM2</v>
      </c>
      <c r="F375" s="896" t="str">
        <f>[140]산출!D382</f>
        <v>M2</v>
      </c>
      <c r="G375" s="936">
        <f>[140]산출!F382</f>
        <v>6.24</v>
      </c>
      <c r="H375" s="935" t="str">
        <f t="shared" si="122"/>
        <v>갈바후레임제작설치1.6TM2</v>
      </c>
      <c r="I375" s="959">
        <f>VLOOKUP($H:$H,[140]일위목록!$A:$H,6,FALSE)</f>
        <v>16515</v>
      </c>
      <c r="J375" s="959">
        <f t="shared" si="124"/>
        <v>103053</v>
      </c>
      <c r="K375" s="959">
        <f>VLOOKUP($H:$H,[140]일위목록!$A:$H,7,FALSE)</f>
        <v>65362</v>
      </c>
      <c r="L375" s="959">
        <f t="shared" si="125"/>
        <v>407858</v>
      </c>
      <c r="M375" s="959">
        <f t="shared" si="123"/>
        <v>81877</v>
      </c>
      <c r="N375" s="959">
        <f t="shared" si="123"/>
        <v>510911</v>
      </c>
      <c r="O375" s="896" t="str">
        <f>VLOOKUP($H:$H,[140]일위목록!$A:$B,2,FALSE)</f>
        <v>제51호표</v>
      </c>
    </row>
    <row r="376" spans="1:15" ht="18.75" customHeight="1">
      <c r="A376" s="962"/>
      <c r="B376" s="957" t="str">
        <f>[140]산출!B383</f>
        <v>갈바후레임제작설치</v>
      </c>
      <c r="C376" s="939" t="str">
        <f>[140]산출!C383</f>
        <v>1.6T</v>
      </c>
      <c r="D376" s="958" t="str">
        <f>[140]산출!G383</f>
        <v>배면 사이드 몰딩</v>
      </c>
      <c r="E376" s="935" t="str">
        <f t="shared" si="121"/>
        <v>갈바후레임제작설치1.6TM2</v>
      </c>
      <c r="F376" s="896" t="str">
        <f>[140]산출!D383</f>
        <v>M2</v>
      </c>
      <c r="G376" s="936">
        <f>[140]산출!F383</f>
        <v>3.6960000000000006</v>
      </c>
      <c r="H376" s="935" t="str">
        <f t="shared" si="122"/>
        <v>갈바후레임제작설치1.6TM2</v>
      </c>
      <c r="I376" s="959">
        <f>VLOOKUP($H:$H,[140]일위목록!$A:$H,6,FALSE)</f>
        <v>16515</v>
      </c>
      <c r="J376" s="959">
        <f t="shared" si="124"/>
        <v>61039</v>
      </c>
      <c r="K376" s="959">
        <f>VLOOKUP($H:$H,[140]일위목록!$A:$H,7,FALSE)</f>
        <v>65362</v>
      </c>
      <c r="L376" s="959">
        <f t="shared" si="125"/>
        <v>241577</v>
      </c>
      <c r="M376" s="959">
        <f t="shared" si="123"/>
        <v>81877</v>
      </c>
      <c r="N376" s="959">
        <f t="shared" si="123"/>
        <v>302616</v>
      </c>
      <c r="O376" s="896" t="str">
        <f>VLOOKUP($H:$H,[140]일위목록!$A:$B,2,FALSE)</f>
        <v>제51호표</v>
      </c>
    </row>
    <row r="377" spans="1:15" ht="18.75" customHeight="1">
      <c r="A377" s="962"/>
      <c r="B377" s="957" t="str">
        <f>[140]산출!B384</f>
        <v>갈바후레임제작설치</v>
      </c>
      <c r="C377" s="939" t="str">
        <f>[140]산출!C384</f>
        <v>1.6T</v>
      </c>
      <c r="D377" s="958" t="str">
        <f>[140]산출!G384</f>
        <v>외부 측면 후레임</v>
      </c>
      <c r="E377" s="935" t="str">
        <f t="shared" si="121"/>
        <v>갈바후레임제작설치1.6TM2</v>
      </c>
      <c r="F377" s="896" t="str">
        <f>[140]산출!D384</f>
        <v>M2</v>
      </c>
      <c r="G377" s="936">
        <f>[140]산출!F384</f>
        <v>1.04</v>
      </c>
      <c r="H377" s="935" t="str">
        <f t="shared" si="122"/>
        <v>갈바후레임제작설치1.6TM2</v>
      </c>
      <c r="I377" s="959">
        <f>VLOOKUP($H:$H,[140]일위목록!$A:$H,6,FALSE)</f>
        <v>16515</v>
      </c>
      <c r="J377" s="959">
        <f t="shared" si="124"/>
        <v>17175</v>
      </c>
      <c r="K377" s="959">
        <f>VLOOKUP($H:$H,[140]일위목록!$A:$H,7,FALSE)</f>
        <v>65362</v>
      </c>
      <c r="L377" s="959">
        <f t="shared" si="125"/>
        <v>67976</v>
      </c>
      <c r="M377" s="959">
        <f t="shared" si="123"/>
        <v>81877</v>
      </c>
      <c r="N377" s="959">
        <f t="shared" si="123"/>
        <v>85151</v>
      </c>
      <c r="O377" s="896" t="str">
        <f>VLOOKUP($H:$H,[140]일위목록!$A:$B,2,FALSE)</f>
        <v>제51호표</v>
      </c>
    </row>
    <row r="378" spans="1:15" ht="18.75" customHeight="1">
      <c r="A378" s="962"/>
      <c r="B378" s="957" t="str">
        <f>[140]산출!B385</f>
        <v>갈바후레임제작설치</v>
      </c>
      <c r="C378" s="939" t="str">
        <f>[140]산출!C385</f>
        <v>1.6T</v>
      </c>
      <c r="D378" s="958" t="str">
        <f>[140]산출!G385</f>
        <v>측면 유리 몰딩</v>
      </c>
      <c r="E378" s="935" t="str">
        <f t="shared" si="121"/>
        <v>갈바후레임제작설치1.6TM2</v>
      </c>
      <c r="F378" s="896" t="str">
        <f>[140]산출!D385</f>
        <v>M2</v>
      </c>
      <c r="G378" s="936">
        <f>[140]산출!F385</f>
        <v>2.1743999999999999</v>
      </c>
      <c r="H378" s="935" t="str">
        <f t="shared" si="122"/>
        <v>갈바후레임제작설치1.6TM2</v>
      </c>
      <c r="I378" s="959">
        <f>VLOOKUP($H:$H,[140]일위목록!$A:$H,6,FALSE)</f>
        <v>16515</v>
      </c>
      <c r="J378" s="959">
        <f t="shared" si="124"/>
        <v>35910</v>
      </c>
      <c r="K378" s="959">
        <f>VLOOKUP($H:$H,[140]일위목록!$A:$H,7,FALSE)</f>
        <v>65362</v>
      </c>
      <c r="L378" s="959">
        <f t="shared" si="125"/>
        <v>142123</v>
      </c>
      <c r="M378" s="959">
        <f t="shared" si="123"/>
        <v>81877</v>
      </c>
      <c r="N378" s="959">
        <f t="shared" si="123"/>
        <v>178033</v>
      </c>
      <c r="O378" s="896" t="str">
        <f>VLOOKUP($H:$H,[140]일위목록!$A:$B,2,FALSE)</f>
        <v>제51호표</v>
      </c>
    </row>
    <row r="379" spans="1:15" ht="18.75" customHeight="1">
      <c r="A379" s="962"/>
      <c r="B379" s="957" t="str">
        <f>[140]산출!B386</f>
        <v>알루미늄판취부</v>
      </c>
      <c r="C379" s="939" t="str">
        <f>[140]산출!C386</f>
        <v>4T*900*1800</v>
      </c>
      <c r="D379" s="958" t="str">
        <f>[140]산출!G386</f>
        <v>상부점검도어 커버</v>
      </c>
      <c r="E379" s="935" t="str">
        <f t="shared" si="121"/>
        <v>알루미늄판취부4T*900*1800M2</v>
      </c>
      <c r="F379" s="896" t="str">
        <f>[140]산출!D386</f>
        <v>M2</v>
      </c>
      <c r="G379" s="936">
        <f>[140]산출!F386</f>
        <v>8.3999999999999986</v>
      </c>
      <c r="H379" s="935" t="str">
        <f t="shared" si="122"/>
        <v>알루미늄판취부4T*900*1800M2</v>
      </c>
      <c r="I379" s="959">
        <f>VLOOKUP($H:$H,[140]일위목록!$A:$H,6,FALSE)</f>
        <v>130192</v>
      </c>
      <c r="J379" s="959">
        <f t="shared" si="124"/>
        <v>1093612</v>
      </c>
      <c r="K379" s="959">
        <f>VLOOKUP($H:$H,[140]일위목록!$A:$H,7,FALSE)</f>
        <v>14745</v>
      </c>
      <c r="L379" s="959">
        <f t="shared" si="125"/>
        <v>123858</v>
      </c>
      <c r="M379" s="959">
        <f t="shared" si="123"/>
        <v>144937</v>
      </c>
      <c r="N379" s="959">
        <f t="shared" si="123"/>
        <v>1217470</v>
      </c>
      <c r="O379" s="896" t="str">
        <f>VLOOKUP($H:$H,[140]일위목록!$A:$B,2,FALSE)</f>
        <v>제69호표</v>
      </c>
    </row>
    <row r="380" spans="1:15" s="952" customFormat="1" ht="18.75" customHeight="1">
      <c r="A380" s="962"/>
      <c r="B380" s="947" t="str">
        <f>[140]산출!B387</f>
        <v>- 잡철물</v>
      </c>
      <c r="C380" s="954"/>
      <c r="D380" s="955"/>
      <c r="E380" s="948"/>
      <c r="F380" s="949"/>
      <c r="G380" s="950"/>
      <c r="H380" s="948"/>
      <c r="I380" s="951"/>
      <c r="J380" s="951"/>
      <c r="K380" s="951"/>
      <c r="L380" s="951"/>
      <c r="M380" s="951"/>
      <c r="N380" s="951"/>
      <c r="O380" s="949"/>
    </row>
    <row r="381" spans="1:15" ht="18.75" customHeight="1">
      <c r="A381" s="962"/>
      <c r="B381" s="957" t="str">
        <f>[140]산출!B388</f>
        <v>갈바후레임제작설치</v>
      </c>
      <c r="C381" s="939" t="str">
        <f>[140]산출!C388</f>
        <v>1.6T</v>
      </c>
      <c r="D381" s="958" t="str">
        <f>[140]산출!G388</f>
        <v>하부전면후레임</v>
      </c>
      <c r="E381" s="935" t="str">
        <f>SUBSTITUTE(CONCATENATE(B:B,C:C,F:F)," ","")</f>
        <v>갈바후레임제작설치1.6TM2</v>
      </c>
      <c r="F381" s="896" t="str">
        <f>[140]산출!D388</f>
        <v>M2</v>
      </c>
      <c r="G381" s="936">
        <f>[140]산출!F388</f>
        <v>5.4359999999999999</v>
      </c>
      <c r="H381" s="935" t="str">
        <f t="shared" ref="H381:H411" si="126">SUBSTITUTE(CONCATENATE(B381,C381,F381)," ","")</f>
        <v>갈바후레임제작설치1.6TM2</v>
      </c>
      <c r="I381" s="959">
        <f>VLOOKUP($H:$H,[140]일위목록!$A:$H,6,FALSE)</f>
        <v>16515</v>
      </c>
      <c r="J381" s="959">
        <f>TRUNC($G:$G*I:I)</f>
        <v>89775</v>
      </c>
      <c r="K381" s="959">
        <f>VLOOKUP($H:$H,[140]일위목록!$A:$H,7,FALSE)</f>
        <v>65362</v>
      </c>
      <c r="L381" s="959">
        <f>TRUNC($G:$G*K:K)</f>
        <v>355307</v>
      </c>
      <c r="M381" s="959">
        <f t="shared" ref="M381:N396" si="127">SUM(I381,K381)</f>
        <v>81877</v>
      </c>
      <c r="N381" s="959">
        <f t="shared" si="127"/>
        <v>445082</v>
      </c>
      <c r="O381" s="896" t="str">
        <f>VLOOKUP($H:$H,[140]일위목록!$A:$B,2,FALSE)</f>
        <v>제51호표</v>
      </c>
    </row>
    <row r="382" spans="1:15" ht="18.75" customHeight="1">
      <c r="A382" s="962"/>
      <c r="B382" s="957" t="str">
        <f>[140]산출!B389</f>
        <v>갈바후레임제작설치</v>
      </c>
      <c r="C382" s="939" t="str">
        <f>[140]산출!C389</f>
        <v>1.6T</v>
      </c>
      <c r="D382" s="958" t="str">
        <f>[140]산출!G389</f>
        <v>하부바닥받침몰딩</v>
      </c>
      <c r="E382" s="935" t="str">
        <f>SUBSTITUTE(CONCATENATE(B:B,C:C,F:F)," ","")</f>
        <v>갈바후레임제작설치1.6TM2</v>
      </c>
      <c r="F382" s="896" t="str">
        <f>[140]산출!D389</f>
        <v>M2</v>
      </c>
      <c r="G382" s="936">
        <f>[140]산출!F389</f>
        <v>2.0880000000000001</v>
      </c>
      <c r="H382" s="935" t="str">
        <f t="shared" si="126"/>
        <v>갈바후레임제작설치1.6TM2</v>
      </c>
      <c r="I382" s="959">
        <f>VLOOKUP($H:$H,[140]일위목록!$A:$H,6,FALSE)</f>
        <v>16515</v>
      </c>
      <c r="J382" s="959">
        <f>TRUNC($G:$G*I:I)</f>
        <v>34483</v>
      </c>
      <c r="K382" s="959">
        <f>VLOOKUP($H:$H,[140]일위목록!$A:$H,7,FALSE)</f>
        <v>65362</v>
      </c>
      <c r="L382" s="959">
        <f>TRUNC($G:$G*K:K)</f>
        <v>136475</v>
      </c>
      <c r="M382" s="959">
        <f t="shared" si="127"/>
        <v>81877</v>
      </c>
      <c r="N382" s="959">
        <f t="shared" si="127"/>
        <v>170958</v>
      </c>
      <c r="O382" s="896" t="str">
        <f>VLOOKUP($H:$H,[140]일위목록!$A:$B,2,FALSE)</f>
        <v>제51호표</v>
      </c>
    </row>
    <row r="383" spans="1:15" ht="18.75" customHeight="1">
      <c r="A383" s="962"/>
      <c r="B383" s="957" t="str">
        <f>[140]산출!B390</f>
        <v>갈바후레임제작설치</v>
      </c>
      <c r="C383" s="939" t="str">
        <f>[140]산출!C390</f>
        <v>1.6T</v>
      </c>
      <c r="D383" s="958" t="str">
        <f>[140]산출!G390</f>
        <v>하부 걸레받이</v>
      </c>
      <c r="E383" s="935" t="str">
        <f>SUBSTITUTE(CONCATENATE(B:B,C:C,F:F)," ","")</f>
        <v>갈바후레임제작설치1.6TM2</v>
      </c>
      <c r="F383" s="896" t="str">
        <f>[140]산출!D390</f>
        <v>M2</v>
      </c>
      <c r="G383" s="936">
        <f>[140]산출!F390</f>
        <v>1.5960000000000001</v>
      </c>
      <c r="H383" s="935" t="str">
        <f t="shared" si="126"/>
        <v>갈바후레임제작설치1.6TM2</v>
      </c>
      <c r="I383" s="959">
        <f>VLOOKUP($H:$H,[140]일위목록!$A:$H,6,FALSE)</f>
        <v>16515</v>
      </c>
      <c r="J383" s="959">
        <f>TRUNC($G:$G*I:I)</f>
        <v>26357</v>
      </c>
      <c r="K383" s="959">
        <f>VLOOKUP($H:$H,[140]일위목록!$A:$H,7,FALSE)</f>
        <v>65362</v>
      </c>
      <c r="L383" s="959">
        <f>TRUNC($G:$G*K:K)</f>
        <v>104317</v>
      </c>
      <c r="M383" s="959">
        <f t="shared" si="127"/>
        <v>81877</v>
      </c>
      <c r="N383" s="959">
        <f t="shared" si="127"/>
        <v>130674</v>
      </c>
      <c r="O383" s="896" t="str">
        <f>VLOOKUP($H:$H,[140]일위목록!$A:$B,2,FALSE)</f>
        <v>제51호표</v>
      </c>
    </row>
    <row r="384" spans="1:15" s="952" customFormat="1" ht="18.75" customHeight="1">
      <c r="A384" s="962"/>
      <c r="B384" s="947" t="str">
        <f>[140]산출!B391</f>
        <v>- SYSTEM 장치</v>
      </c>
      <c r="C384" s="954"/>
      <c r="D384" s="955"/>
      <c r="E384" s="948"/>
      <c r="F384" s="949"/>
      <c r="G384" s="950"/>
      <c r="H384" s="948"/>
      <c r="I384" s="951"/>
      <c r="J384" s="951"/>
      <c r="K384" s="951"/>
      <c r="L384" s="951"/>
      <c r="M384" s="951"/>
      <c r="N384" s="951"/>
      <c r="O384" s="949"/>
    </row>
    <row r="385" spans="1:15" ht="18.75" customHeight="1">
      <c r="A385" s="962"/>
      <c r="B385" s="957" t="str">
        <f>[140]산출!B392</f>
        <v>피아노경첩 제작설치</v>
      </c>
      <c r="C385" s="939"/>
      <c r="D385" s="958">
        <f>[140]산출!G392</f>
        <v>0</v>
      </c>
      <c r="E385" s="935" t="str">
        <f t="shared" ref="E385:E398" si="128">SUBSTITUTE(CONCATENATE(B:B,C:C,F:F)," ","")</f>
        <v>피아노경첩제작설치M</v>
      </c>
      <c r="F385" s="896" t="str">
        <f>[140]산출!D392</f>
        <v>M</v>
      </c>
      <c r="G385" s="936">
        <f>[140]산출!F392</f>
        <v>24</v>
      </c>
      <c r="H385" s="935" t="str">
        <f t="shared" si="126"/>
        <v>피아노경첩제작설치M</v>
      </c>
      <c r="I385" s="959">
        <f>VLOOKUP($H:$H,[140]일위목록!$A:$H,6,FALSE)</f>
        <v>12630</v>
      </c>
      <c r="J385" s="959">
        <f t="shared" ref="J385:J398" si="129">TRUNC($G:$G*I:I)</f>
        <v>303120</v>
      </c>
      <c r="K385" s="959">
        <f>VLOOKUP($H:$H,[140]일위목록!$A:$H,7,FALSE)</f>
        <v>10973</v>
      </c>
      <c r="L385" s="959">
        <f t="shared" ref="L385:L398" si="130">TRUNC($G:$G*K:K)</f>
        <v>263352</v>
      </c>
      <c r="M385" s="959">
        <f t="shared" si="127"/>
        <v>23603</v>
      </c>
      <c r="N385" s="959">
        <f t="shared" si="127"/>
        <v>566472</v>
      </c>
      <c r="O385" s="896" t="str">
        <f>VLOOKUP($H:$H,[140]일위목록!$A:$B,2,FALSE)</f>
        <v>제88호표</v>
      </c>
    </row>
    <row r="386" spans="1:15" ht="18.75" customHeight="1">
      <c r="A386" s="962"/>
      <c r="B386" s="957" t="str">
        <f>[140]산출!B393</f>
        <v>LOCK SET 제작설치</v>
      </c>
      <c r="C386" s="939" t="str">
        <f>[140]산출!C393</f>
        <v>시건장치</v>
      </c>
      <c r="D386" s="958">
        <f>[140]산출!G393</f>
        <v>0</v>
      </c>
      <c r="E386" s="935" t="str">
        <f t="shared" si="128"/>
        <v>LOCKSET제작설치시건장치set</v>
      </c>
      <c r="F386" s="896" t="str">
        <f>[140]산출!D393</f>
        <v>set</v>
      </c>
      <c r="G386" s="936">
        <f>[140]산출!F393</f>
        <v>3</v>
      </c>
      <c r="H386" s="935" t="str">
        <f t="shared" si="126"/>
        <v>LOCKSET제작설치시건장치set</v>
      </c>
      <c r="I386" s="959">
        <f>VLOOKUP($H:$H,[140]일위목록!$A:$H,6,FALSE)</f>
        <v>48840</v>
      </c>
      <c r="J386" s="959">
        <f t="shared" si="129"/>
        <v>146520</v>
      </c>
      <c r="K386" s="959">
        <f>VLOOKUP($H:$H,[140]일위목록!$A:$H,7,FALSE)</f>
        <v>12605</v>
      </c>
      <c r="L386" s="959">
        <f t="shared" si="130"/>
        <v>37815</v>
      </c>
      <c r="M386" s="959">
        <f t="shared" si="127"/>
        <v>61445</v>
      </c>
      <c r="N386" s="959">
        <f t="shared" si="127"/>
        <v>184335</v>
      </c>
      <c r="O386" s="896" t="str">
        <f>VLOOKUP($H:$H,[140]일위목록!$A:$B,2,FALSE)</f>
        <v>제89호표</v>
      </c>
    </row>
    <row r="387" spans="1:15" ht="18.75" customHeight="1">
      <c r="A387" s="962"/>
      <c r="B387" s="957" t="str">
        <f>[140]산출!B394</f>
        <v>AL.패킹바 제작설치</v>
      </c>
      <c r="C387" s="939"/>
      <c r="D387" s="958">
        <f>[140]산출!G394</f>
        <v>0</v>
      </c>
      <c r="E387" s="935" t="str">
        <f t="shared" si="128"/>
        <v>AL.패킹바제작설치M</v>
      </c>
      <c r="F387" s="896" t="str">
        <f>[140]산출!D394</f>
        <v>M</v>
      </c>
      <c r="G387" s="936">
        <f>[140]산출!F394</f>
        <v>24</v>
      </c>
      <c r="H387" s="935" t="str">
        <f t="shared" si="126"/>
        <v>AL.패킹바제작설치M</v>
      </c>
      <c r="I387" s="959">
        <f>VLOOKUP($H:$H,[140]일위목록!$A:$H,6,FALSE)</f>
        <v>5250</v>
      </c>
      <c r="J387" s="959">
        <f t="shared" si="129"/>
        <v>126000</v>
      </c>
      <c r="K387" s="959">
        <f>VLOOKUP($H:$H,[140]일위목록!$A:$H,7,FALSE)</f>
        <v>3534</v>
      </c>
      <c r="L387" s="959">
        <f t="shared" si="130"/>
        <v>84816</v>
      </c>
      <c r="M387" s="959">
        <f t="shared" si="127"/>
        <v>8784</v>
      </c>
      <c r="N387" s="959">
        <f t="shared" si="127"/>
        <v>210816</v>
      </c>
      <c r="O387" s="896" t="str">
        <f>VLOOKUP($H:$H,[140]일위목록!$A:$B,2,FALSE)</f>
        <v>제92호표</v>
      </c>
    </row>
    <row r="388" spans="1:15" ht="18.75" customHeight="1">
      <c r="A388" s="962"/>
      <c r="B388" s="957" t="str">
        <f>[140]산출!B395</f>
        <v>밀폐패킹 설치</v>
      </c>
      <c r="C388" s="939" t="str">
        <f>[140]산출!C395</f>
        <v>대형</v>
      </c>
      <c r="D388" s="958">
        <f>[140]산출!G395</f>
        <v>0</v>
      </c>
      <c r="E388" s="935" t="str">
        <f t="shared" si="128"/>
        <v>밀폐패킹설치대형M</v>
      </c>
      <c r="F388" s="896" t="str">
        <f>[140]산출!D395</f>
        <v>M</v>
      </c>
      <c r="G388" s="936">
        <f>[140]산출!F395</f>
        <v>29.2</v>
      </c>
      <c r="H388" s="935" t="str">
        <f t="shared" si="126"/>
        <v>밀폐패킹설치대형M</v>
      </c>
      <c r="I388" s="959">
        <f>VLOOKUP($H:$H,[140]일위목록!$A:$H,6,FALSE)</f>
        <v>9450</v>
      </c>
      <c r="J388" s="959">
        <f t="shared" si="129"/>
        <v>275940</v>
      </c>
      <c r="K388" s="959">
        <f>VLOOKUP($H:$H,[140]일위목록!$A:$H,7,FALSE)</f>
        <v>2397</v>
      </c>
      <c r="L388" s="959">
        <f t="shared" si="130"/>
        <v>69992</v>
      </c>
      <c r="M388" s="959">
        <f t="shared" si="127"/>
        <v>11847</v>
      </c>
      <c r="N388" s="959">
        <f t="shared" si="127"/>
        <v>345932</v>
      </c>
      <c r="O388" s="896" t="str">
        <f>VLOOKUP($H:$H,[140]일위목록!$A:$B,2,FALSE)</f>
        <v>제94호표</v>
      </c>
    </row>
    <row r="389" spans="1:15" ht="18.75" customHeight="1">
      <c r="A389" s="962"/>
      <c r="B389" s="957" t="str">
        <f>[140]산출!B396</f>
        <v>AL.사출유리후렘 제작설치</v>
      </c>
      <c r="C389" s="939" t="str">
        <f>[140]산출!C396</f>
        <v>벽부장(상부)</v>
      </c>
      <c r="D389" s="958">
        <f>[140]산출!G396</f>
        <v>0</v>
      </c>
      <c r="E389" s="935" t="str">
        <f t="shared" si="128"/>
        <v>AL.사출유리후렘제작설치벽부장(상부)M</v>
      </c>
      <c r="F389" s="896" t="str">
        <f>[140]산출!D396</f>
        <v>M</v>
      </c>
      <c r="G389" s="936">
        <f>[140]산출!F396</f>
        <v>12</v>
      </c>
      <c r="H389" s="935" t="str">
        <f t="shared" si="126"/>
        <v>AL.사출유리후렘제작설치벽부장(상부)M</v>
      </c>
      <c r="I389" s="959">
        <f>VLOOKUP($H:$H,[140]일위목록!$A:$H,6,FALSE)</f>
        <v>210000</v>
      </c>
      <c r="J389" s="959">
        <f t="shared" si="129"/>
        <v>2520000</v>
      </c>
      <c r="K389" s="959">
        <f>VLOOKUP($H:$H,[140]일위목록!$A:$H,7,FALSE)</f>
        <v>53130</v>
      </c>
      <c r="L389" s="959">
        <f t="shared" si="130"/>
        <v>637560</v>
      </c>
      <c r="M389" s="959">
        <f t="shared" si="127"/>
        <v>263130</v>
      </c>
      <c r="N389" s="959">
        <f t="shared" si="127"/>
        <v>3157560</v>
      </c>
      <c r="O389" s="896" t="str">
        <f>VLOOKUP($H:$H,[140]일위목록!$A:$B,2,FALSE)</f>
        <v>제95호표</v>
      </c>
    </row>
    <row r="390" spans="1:15" ht="18.75" customHeight="1">
      <c r="A390" s="962"/>
      <c r="B390" s="957" t="str">
        <f>[140]산출!B397</f>
        <v>AL.사출유리후렘 제작설치</v>
      </c>
      <c r="C390" s="939" t="str">
        <f>[140]산출!C397</f>
        <v>벽부장(하부)</v>
      </c>
      <c r="D390" s="958">
        <f>[140]산출!G397</f>
        <v>0</v>
      </c>
      <c r="E390" s="935" t="str">
        <f t="shared" si="128"/>
        <v>AL.사출유리후렘제작설치벽부장(하부)M</v>
      </c>
      <c r="F390" s="896" t="str">
        <f>[140]산출!D397</f>
        <v>M</v>
      </c>
      <c r="G390" s="936">
        <f>[140]산출!F397</f>
        <v>12</v>
      </c>
      <c r="H390" s="935" t="str">
        <f t="shared" si="126"/>
        <v>AL.사출유리후렘제작설치벽부장(하부)M</v>
      </c>
      <c r="I390" s="959">
        <f>VLOOKUP($H:$H,[140]일위목록!$A:$H,6,FALSE)</f>
        <v>126000</v>
      </c>
      <c r="J390" s="959">
        <f t="shared" si="129"/>
        <v>1512000</v>
      </c>
      <c r="K390" s="959">
        <f>VLOOKUP($H:$H,[140]일위목록!$A:$H,7,FALSE)</f>
        <v>35420</v>
      </c>
      <c r="L390" s="959">
        <f t="shared" si="130"/>
        <v>425040</v>
      </c>
      <c r="M390" s="959">
        <f t="shared" si="127"/>
        <v>161420</v>
      </c>
      <c r="N390" s="959">
        <f t="shared" si="127"/>
        <v>1937040</v>
      </c>
      <c r="O390" s="896" t="str">
        <f>VLOOKUP($H:$H,[140]일위목록!$A:$B,2,FALSE)</f>
        <v>제96호표</v>
      </c>
    </row>
    <row r="391" spans="1:15" ht="18.75" customHeight="1">
      <c r="A391" s="962"/>
      <c r="B391" s="957" t="str">
        <f>[140]산출!B398</f>
        <v>모터구동시스템 설치</v>
      </c>
      <c r="C391" s="939" t="str">
        <f>[140]산출!C398</f>
        <v>웜기어 전동실린더</v>
      </c>
      <c r="D391" s="958">
        <f>[140]산출!G398</f>
        <v>0</v>
      </c>
      <c r="E391" s="935" t="str">
        <f t="shared" si="128"/>
        <v>모터구동시스템설치웜기어전동실린더SET</v>
      </c>
      <c r="F391" s="896" t="str">
        <f>[140]산출!D398</f>
        <v>SET</v>
      </c>
      <c r="G391" s="936">
        <f>[140]산출!F398</f>
        <v>20</v>
      </c>
      <c r="H391" s="935" t="str">
        <f t="shared" si="126"/>
        <v>모터구동시스템설치웜기어전동실린더SET</v>
      </c>
      <c r="I391" s="959">
        <f>VLOOKUP($H:$H,[140]일위목록!$A:$H,6,FALSE)</f>
        <v>353000</v>
      </c>
      <c r="J391" s="959">
        <f t="shared" si="129"/>
        <v>7060000</v>
      </c>
      <c r="K391" s="959">
        <f>VLOOKUP($H:$H,[140]일위목록!$A:$H,7,FALSE)</f>
        <v>96655</v>
      </c>
      <c r="L391" s="959">
        <f t="shared" si="130"/>
        <v>1933100</v>
      </c>
      <c r="M391" s="959">
        <f t="shared" si="127"/>
        <v>449655</v>
      </c>
      <c r="N391" s="959">
        <f t="shared" si="127"/>
        <v>8993100</v>
      </c>
      <c r="O391" s="896" t="str">
        <f>VLOOKUP($H:$H,[140]일위목록!$A:$B,2,FALSE)</f>
        <v>제101호표</v>
      </c>
    </row>
    <row r="392" spans="1:15" ht="18.75" customHeight="1">
      <c r="A392" s="962"/>
      <c r="B392" s="957" t="str">
        <f>[140]산출!B399</f>
        <v>LM가이드시스템 가공 설치</v>
      </c>
      <c r="C392" s="939" t="str">
        <f>[140]산출!C399</f>
        <v>Ø25</v>
      </c>
      <c r="D392" s="958">
        <f>[140]산출!G399</f>
        <v>0</v>
      </c>
      <c r="E392" s="935" t="str">
        <f t="shared" si="128"/>
        <v>LM가이드시스템가공설치Ø25SET</v>
      </c>
      <c r="F392" s="896" t="str">
        <f>[140]산출!D399</f>
        <v>SET</v>
      </c>
      <c r="G392" s="936">
        <f>[140]산출!F399</f>
        <v>40</v>
      </c>
      <c r="H392" s="935" t="str">
        <f t="shared" si="126"/>
        <v>LM가이드시스템가공설치Ø25SET</v>
      </c>
      <c r="I392" s="959">
        <f>VLOOKUP($H:$H,[140]일위목록!$A:$H,6,FALSE)</f>
        <v>144000</v>
      </c>
      <c r="J392" s="959">
        <f t="shared" si="129"/>
        <v>5760000</v>
      </c>
      <c r="K392" s="959">
        <f>VLOOKUP($H:$H,[140]일위목록!$A:$H,7,FALSE)</f>
        <v>18323</v>
      </c>
      <c r="L392" s="959">
        <f t="shared" si="130"/>
        <v>732920</v>
      </c>
      <c r="M392" s="959">
        <f t="shared" si="127"/>
        <v>162323</v>
      </c>
      <c r="N392" s="959">
        <f t="shared" si="127"/>
        <v>6492920</v>
      </c>
      <c r="O392" s="896" t="str">
        <f>VLOOKUP($H:$H,[140]일위목록!$A:$B,2,FALSE)</f>
        <v>제100호표</v>
      </c>
    </row>
    <row r="393" spans="1:15" ht="18.75" customHeight="1">
      <c r="A393" s="962"/>
      <c r="B393" s="957" t="str">
        <f>[140]산출!B400</f>
        <v>베어링레일및가공 설치</v>
      </c>
      <c r="C393" s="939" t="str">
        <f>[140]산출!C400</f>
        <v>22*42 2.3T 가공</v>
      </c>
      <c r="D393" s="958">
        <f>[140]산출!G400</f>
        <v>0</v>
      </c>
      <c r="E393" s="935" t="str">
        <f t="shared" si="128"/>
        <v>베어링레일및가공설치22*422.3T가공M</v>
      </c>
      <c r="F393" s="896" t="str">
        <f>[140]산출!D400</f>
        <v>M</v>
      </c>
      <c r="G393" s="936">
        <f>[140]산출!F400</f>
        <v>24</v>
      </c>
      <c r="H393" s="935" t="str">
        <f t="shared" si="126"/>
        <v>베어링레일및가공설치22*422.3T가공M</v>
      </c>
      <c r="I393" s="959">
        <f>VLOOKUP($H:$H,[140]일위목록!$A:$H,6,FALSE)</f>
        <v>136500</v>
      </c>
      <c r="J393" s="959">
        <f t="shared" si="129"/>
        <v>3276000</v>
      </c>
      <c r="K393" s="959">
        <f>VLOOKUP($H:$H,[140]일위목록!$A:$H,7,FALSE)</f>
        <v>35420</v>
      </c>
      <c r="L393" s="959">
        <f t="shared" si="130"/>
        <v>850080</v>
      </c>
      <c r="M393" s="959">
        <f t="shared" si="127"/>
        <v>171920</v>
      </c>
      <c r="N393" s="959">
        <f t="shared" si="127"/>
        <v>4126080</v>
      </c>
      <c r="O393" s="896" t="str">
        <f>VLOOKUP($H:$H,[140]일위목록!$A:$B,2,FALSE)</f>
        <v>제102호표</v>
      </c>
    </row>
    <row r="394" spans="1:15" ht="18.75" customHeight="1">
      <c r="A394" s="962"/>
      <c r="B394" s="957" t="str">
        <f>[140]산출!B401</f>
        <v>슬라이딩베어링 가공조립</v>
      </c>
      <c r="C394" s="939" t="str">
        <f>[140]산출!C401</f>
        <v>Ø26</v>
      </c>
      <c r="D394" s="958">
        <f>[140]산출!G401</f>
        <v>0</v>
      </c>
      <c r="E394" s="935" t="str">
        <f t="shared" si="128"/>
        <v>슬라이딩베어링가공조립Ø26EA</v>
      </c>
      <c r="F394" s="896" t="str">
        <f>[140]산출!D401</f>
        <v>EA</v>
      </c>
      <c r="G394" s="936">
        <f>[140]산출!F401</f>
        <v>312</v>
      </c>
      <c r="H394" s="935" t="str">
        <f t="shared" si="126"/>
        <v>슬라이딩베어링가공조립Ø26EA</v>
      </c>
      <c r="I394" s="959">
        <f>VLOOKUP($H:$H,[140]일위목록!$A:$H,6,FALSE)</f>
        <v>6500</v>
      </c>
      <c r="J394" s="959">
        <f t="shared" si="129"/>
        <v>2028000</v>
      </c>
      <c r="K394" s="959">
        <f>VLOOKUP($H:$H,[140]일위목록!$A:$H,7,FALSE)</f>
        <v>3864</v>
      </c>
      <c r="L394" s="959">
        <f t="shared" si="130"/>
        <v>1205568</v>
      </c>
      <c r="M394" s="959">
        <f t="shared" si="127"/>
        <v>10364</v>
      </c>
      <c r="N394" s="959">
        <f t="shared" si="127"/>
        <v>3233568</v>
      </c>
      <c r="O394" s="896" t="str">
        <f>VLOOKUP($H:$H,[140]일위목록!$A:$B,2,FALSE)</f>
        <v>제104호표</v>
      </c>
    </row>
    <row r="395" spans="1:15" ht="18.75" customHeight="1">
      <c r="A395" s="962"/>
      <c r="B395" s="957" t="str">
        <f>[140]산출!B402</f>
        <v>베어링 붓싱가공조립</v>
      </c>
      <c r="C395" s="939" t="str">
        <f>[140]산출!C402</f>
        <v>#6200</v>
      </c>
      <c r="D395" s="958">
        <f>[140]산출!G402</f>
        <v>0</v>
      </c>
      <c r="E395" s="935" t="str">
        <f t="shared" si="128"/>
        <v>베어링붓싱가공조립#6200EA</v>
      </c>
      <c r="F395" s="896" t="str">
        <f>[140]산출!D402</f>
        <v>EA</v>
      </c>
      <c r="G395" s="936">
        <f>[140]산출!F402</f>
        <v>312</v>
      </c>
      <c r="H395" s="935" t="str">
        <f t="shared" si="126"/>
        <v>베어링붓싱가공조립#6200EA</v>
      </c>
      <c r="I395" s="959">
        <f>VLOOKUP($H:$H,[140]일위목록!$A:$H,6,FALSE)</f>
        <v>6000</v>
      </c>
      <c r="J395" s="959">
        <f t="shared" si="129"/>
        <v>1872000</v>
      </c>
      <c r="K395" s="959">
        <f>VLOOKUP($H:$H,[140]일위목록!$A:$H,7,FALSE)</f>
        <v>3864</v>
      </c>
      <c r="L395" s="959">
        <f t="shared" si="130"/>
        <v>1205568</v>
      </c>
      <c r="M395" s="959">
        <f t="shared" si="127"/>
        <v>9864</v>
      </c>
      <c r="N395" s="959">
        <f t="shared" si="127"/>
        <v>3077568</v>
      </c>
      <c r="O395" s="896" t="str">
        <f>VLOOKUP($H:$H,[140]일위목록!$A:$B,2,FALSE)</f>
        <v>제105호표</v>
      </c>
    </row>
    <row r="396" spans="1:15" ht="18.75" customHeight="1">
      <c r="A396" s="962"/>
      <c r="B396" s="957" t="str">
        <f>[140]산출!B403</f>
        <v>유압쇽업쇼바 제작설치</v>
      </c>
      <c r="C396" s="939" t="str">
        <f>[140]산출!C403</f>
        <v>20kg</v>
      </c>
      <c r="D396" s="958">
        <f>[140]산출!G403</f>
        <v>0</v>
      </c>
      <c r="E396" s="935" t="str">
        <f t="shared" si="128"/>
        <v>유압쇽업쇼바제작설치20kgSET</v>
      </c>
      <c r="F396" s="896" t="str">
        <f>[140]산출!D403</f>
        <v>SET</v>
      </c>
      <c r="G396" s="936">
        <f>[140]산출!F403</f>
        <v>6</v>
      </c>
      <c r="H396" s="935" t="str">
        <f t="shared" si="126"/>
        <v>유압쇽업쇼바제작설치20kgSET</v>
      </c>
      <c r="I396" s="959">
        <f>VLOOKUP($H:$H,[140]일위목록!$A:$H,6,FALSE)</f>
        <v>39224</v>
      </c>
      <c r="J396" s="959">
        <f t="shared" si="129"/>
        <v>235344</v>
      </c>
      <c r="K396" s="959">
        <f>VLOOKUP($H:$H,[140]일위목록!$A:$H,7,FALSE)</f>
        <v>3792</v>
      </c>
      <c r="L396" s="959">
        <f t="shared" si="130"/>
        <v>22752</v>
      </c>
      <c r="M396" s="959">
        <f t="shared" si="127"/>
        <v>43016</v>
      </c>
      <c r="N396" s="959">
        <f t="shared" si="127"/>
        <v>258096</v>
      </c>
      <c r="O396" s="896" t="str">
        <f>VLOOKUP($H:$H,[140]일위목록!$A:$B,2,FALSE)</f>
        <v>제90호표</v>
      </c>
    </row>
    <row r="397" spans="1:15" ht="18.75" customHeight="1">
      <c r="A397" s="962"/>
      <c r="B397" s="957" t="str">
        <f>[140]산출!B404</f>
        <v>센터베어링및스톱파 가공조립</v>
      </c>
      <c r="C397" s="939" t="str">
        <f>[140]산출!C404</f>
        <v>독립형1단</v>
      </c>
      <c r="D397" s="958">
        <f>[140]산출!G404</f>
        <v>0</v>
      </c>
      <c r="E397" s="935" t="str">
        <f t="shared" si="128"/>
        <v>센터베어링및스톱파가공조립독립형1단SET</v>
      </c>
      <c r="F397" s="896" t="str">
        <f>[140]산출!D404</f>
        <v>SET</v>
      </c>
      <c r="G397" s="936">
        <f>[140]산출!F404</f>
        <v>2</v>
      </c>
      <c r="H397" s="935" t="str">
        <f t="shared" si="126"/>
        <v>센터베어링및스톱파가공조립독립형1단SET</v>
      </c>
      <c r="I397" s="959">
        <f>VLOOKUP($H:$H,[140]일위목록!$A:$H,6,FALSE)</f>
        <v>85000</v>
      </c>
      <c r="J397" s="959">
        <f t="shared" si="129"/>
        <v>170000</v>
      </c>
      <c r="K397" s="959">
        <f>VLOOKUP($H:$H,[140]일위목록!$A:$H,7,FALSE)</f>
        <v>62887</v>
      </c>
      <c r="L397" s="959">
        <f t="shared" si="130"/>
        <v>125774</v>
      </c>
      <c r="M397" s="959">
        <f t="shared" ref="M397:N411" si="131">SUM(I397,K397)</f>
        <v>147887</v>
      </c>
      <c r="N397" s="959">
        <f t="shared" si="131"/>
        <v>295774</v>
      </c>
      <c r="O397" s="896" t="str">
        <f>VLOOKUP($H:$H,[140]일위목록!$A:$B,2,FALSE)</f>
        <v>제108호표</v>
      </c>
    </row>
    <row r="398" spans="1:15" ht="18.75" customHeight="1">
      <c r="A398" s="962"/>
      <c r="B398" s="957" t="str">
        <f>[140]산출!B405</f>
        <v>전후진 전동콘트롤 제작설치</v>
      </c>
      <c r="C398" s="939" t="str">
        <f>[140]산출!C405</f>
        <v>독립형</v>
      </c>
      <c r="D398" s="958">
        <f>[140]산출!G405</f>
        <v>0</v>
      </c>
      <c r="E398" s="935" t="str">
        <f t="shared" si="128"/>
        <v>전후진전동콘트롤제작설치독립형SET</v>
      </c>
      <c r="F398" s="896" t="str">
        <f>[140]산출!D405</f>
        <v>SET</v>
      </c>
      <c r="G398" s="936">
        <f>[140]산출!F405</f>
        <v>2</v>
      </c>
      <c r="H398" s="935" t="str">
        <f t="shared" si="126"/>
        <v>전후진전동콘트롤제작설치독립형SET</v>
      </c>
      <c r="I398" s="959">
        <f>VLOOKUP($H:$H,[140]일위목록!$A:$H,6,FALSE)</f>
        <v>400000</v>
      </c>
      <c r="J398" s="959">
        <f t="shared" si="129"/>
        <v>800000</v>
      </c>
      <c r="K398" s="959">
        <f>VLOOKUP($H:$H,[140]일위목록!$A:$H,7,FALSE)</f>
        <v>65053</v>
      </c>
      <c r="L398" s="959">
        <f t="shared" si="130"/>
        <v>130106</v>
      </c>
      <c r="M398" s="959">
        <f t="shared" si="131"/>
        <v>465053</v>
      </c>
      <c r="N398" s="959">
        <f t="shared" si="131"/>
        <v>930106</v>
      </c>
      <c r="O398" s="896" t="str">
        <f>VLOOKUP($H:$H,[140]일위목록!$A:$B,2,FALSE)</f>
        <v>제111호표</v>
      </c>
    </row>
    <row r="399" spans="1:15" s="952" customFormat="1" ht="18.75" customHeight="1">
      <c r="A399" s="962"/>
      <c r="B399" s="947" t="str">
        <f>[140]산출!B406</f>
        <v>- 수장공사</v>
      </c>
      <c r="C399" s="954"/>
      <c r="D399" s="955"/>
      <c r="E399" s="948"/>
      <c r="F399" s="949"/>
      <c r="G399" s="950"/>
      <c r="H399" s="948"/>
      <c r="I399" s="951"/>
      <c r="J399" s="951"/>
      <c r="K399" s="951"/>
      <c r="L399" s="951"/>
      <c r="M399" s="951"/>
      <c r="N399" s="951"/>
      <c r="O399" s="949"/>
    </row>
    <row r="400" spans="1:15" ht="18.75" customHeight="1">
      <c r="A400" s="962"/>
      <c r="B400" s="957" t="str">
        <f>[140]산출!B407</f>
        <v>내부도배</v>
      </c>
      <c r="C400" s="939" t="str">
        <f>[140]산출!C407</f>
        <v>세마직벽지</v>
      </c>
      <c r="D400" s="958">
        <f>[140]산출!G407</f>
        <v>0</v>
      </c>
      <c r="E400" s="935" t="str">
        <f t="shared" ref="E400:E406" si="132">SUBSTITUTE(CONCATENATE(B:B,C:C,F:F)," ","")</f>
        <v>내부도배세마직벽지M2</v>
      </c>
      <c r="F400" s="896" t="str">
        <f>[140]산출!D407</f>
        <v>M2</v>
      </c>
      <c r="G400" s="936">
        <f>[140]산출!F407</f>
        <v>69.599999999999994</v>
      </c>
      <c r="H400" s="935" t="str">
        <f t="shared" si="126"/>
        <v>내부도배세마직벽지M2</v>
      </c>
      <c r="I400" s="959">
        <f>VLOOKUP($H:$H,[140]일위목록!$A:$H,6,FALSE)</f>
        <v>47152</v>
      </c>
      <c r="J400" s="959">
        <f t="shared" ref="J400:J406" si="133">TRUNC($G:$G*I:I)</f>
        <v>3281779</v>
      </c>
      <c r="K400" s="959">
        <f>VLOOKUP($H:$H,[140]일위목록!$A:$H,7,FALSE)</f>
        <v>5222</v>
      </c>
      <c r="L400" s="959">
        <f t="shared" ref="L400:L406" si="134">TRUNC($G:$G*K:K)</f>
        <v>363451</v>
      </c>
      <c r="M400" s="959">
        <f t="shared" si="131"/>
        <v>52374</v>
      </c>
      <c r="N400" s="959">
        <f t="shared" si="131"/>
        <v>3645230</v>
      </c>
      <c r="O400" s="896" t="str">
        <f>VLOOKUP($H:$H,[140]일위목록!$A:$B,2,FALSE)</f>
        <v>제56호표</v>
      </c>
    </row>
    <row r="401" spans="1:15" ht="18.75" customHeight="1">
      <c r="A401" s="962"/>
      <c r="B401" s="957" t="str">
        <f>[140]산출!B408</f>
        <v>바탕처리</v>
      </c>
      <c r="C401" s="939" t="str">
        <f>[140]산출!C408</f>
        <v>도배퍼티</v>
      </c>
      <c r="D401" s="958">
        <f>[140]산출!G408</f>
        <v>0</v>
      </c>
      <c r="E401" s="935" t="str">
        <f t="shared" si="132"/>
        <v>바탕처리도배퍼티M2</v>
      </c>
      <c r="F401" s="896" t="str">
        <f>[140]산출!D408</f>
        <v>M2</v>
      </c>
      <c r="G401" s="936">
        <f>[140]산출!F408</f>
        <v>69.599999999999994</v>
      </c>
      <c r="H401" s="935" t="str">
        <f t="shared" si="126"/>
        <v>바탕처리도배퍼티M2</v>
      </c>
      <c r="I401" s="959">
        <f>VLOOKUP($H:$H,[140]일위목록!$A:$H,6,FALSE)</f>
        <v>1160</v>
      </c>
      <c r="J401" s="959">
        <f t="shared" si="133"/>
        <v>80736</v>
      </c>
      <c r="K401" s="959">
        <f>VLOOKUP($H:$H,[140]일위목록!$A:$H,7,FALSE)</f>
        <v>7711</v>
      </c>
      <c r="L401" s="959">
        <f t="shared" si="134"/>
        <v>536685</v>
      </c>
      <c r="M401" s="959">
        <f t="shared" si="131"/>
        <v>8871</v>
      </c>
      <c r="N401" s="959">
        <f t="shared" si="131"/>
        <v>617421</v>
      </c>
      <c r="O401" s="896" t="str">
        <f>VLOOKUP($H:$H,[140]일위목록!$A:$B,2,FALSE)</f>
        <v>제55호표</v>
      </c>
    </row>
    <row r="402" spans="1:15" ht="18.75" customHeight="1">
      <c r="A402" s="962"/>
      <c r="B402" s="957" t="str">
        <f>[140]산출!B409</f>
        <v>합판취부</v>
      </c>
      <c r="C402" s="939" t="str">
        <f>[140]산출!C409</f>
        <v>T11.5mm 2PLY</v>
      </c>
      <c r="D402" s="958">
        <f>[140]산출!G409</f>
        <v>0</v>
      </c>
      <c r="E402" s="935" t="str">
        <f t="shared" si="132"/>
        <v>합판취부T11.5mm2PLYM2</v>
      </c>
      <c r="F402" s="896" t="str">
        <f>[140]산출!D409</f>
        <v>M2</v>
      </c>
      <c r="G402" s="936">
        <f>[140]산출!F409</f>
        <v>12</v>
      </c>
      <c r="H402" s="935" t="str">
        <f t="shared" si="126"/>
        <v>합판취부T11.5mm2PLYM2</v>
      </c>
      <c r="I402" s="959">
        <f>VLOOKUP($H:$H,[140]일위목록!$A:$H,6,FALSE)</f>
        <v>19751</v>
      </c>
      <c r="J402" s="959">
        <f t="shared" si="133"/>
        <v>237012</v>
      </c>
      <c r="K402" s="959">
        <f>VLOOKUP($H:$H,[140]일위목록!$A:$H,7,FALSE)</f>
        <v>35580</v>
      </c>
      <c r="L402" s="959">
        <f t="shared" si="134"/>
        <v>426960</v>
      </c>
      <c r="M402" s="959">
        <f t="shared" si="131"/>
        <v>55331</v>
      </c>
      <c r="N402" s="959">
        <f t="shared" si="131"/>
        <v>663972</v>
      </c>
      <c r="O402" s="896" t="str">
        <f>VLOOKUP($H:$H,[140]일위목록!$A:$B,2,FALSE)</f>
        <v>제43호표</v>
      </c>
    </row>
    <row r="403" spans="1:15" ht="18.75" customHeight="1">
      <c r="A403" s="962"/>
      <c r="B403" s="957" t="str">
        <f>[140]산출!B410</f>
        <v>합판취부</v>
      </c>
      <c r="C403" s="939" t="str">
        <f>[140]산출!C410</f>
        <v>T8.5mm 1PLY</v>
      </c>
      <c r="D403" s="958">
        <f>[140]산출!G410</f>
        <v>0</v>
      </c>
      <c r="E403" s="935" t="str">
        <f t="shared" si="132"/>
        <v>합판취부T8.5mm1PLYM2</v>
      </c>
      <c r="F403" s="896" t="str">
        <f>[140]산출!D410</f>
        <v>M2</v>
      </c>
      <c r="G403" s="936">
        <f>[140]산출!F410</f>
        <v>86.4</v>
      </c>
      <c r="H403" s="935" t="str">
        <f t="shared" si="126"/>
        <v>합판취부T8.5mm1PLYM2</v>
      </c>
      <c r="I403" s="959">
        <f>VLOOKUP($H:$H,[140]일위목록!$A:$H,6,FALSE)</f>
        <v>8361</v>
      </c>
      <c r="J403" s="959">
        <f t="shared" si="133"/>
        <v>722390</v>
      </c>
      <c r="K403" s="959">
        <f>VLOOKUP($H:$H,[140]일위목록!$A:$H,7,FALSE)</f>
        <v>54043</v>
      </c>
      <c r="L403" s="959">
        <f t="shared" si="134"/>
        <v>4669315</v>
      </c>
      <c r="M403" s="959">
        <f t="shared" si="131"/>
        <v>62404</v>
      </c>
      <c r="N403" s="959">
        <f t="shared" si="131"/>
        <v>5391705</v>
      </c>
      <c r="O403" s="896" t="str">
        <f>VLOOKUP($H:$H,[140]일위목록!$A:$B,2,FALSE)</f>
        <v>제44호표</v>
      </c>
    </row>
    <row r="404" spans="1:15" ht="18.75" customHeight="1">
      <c r="A404" s="962"/>
      <c r="B404" s="957" t="str">
        <f>[140]산출!B411</f>
        <v>진열장석고보드취부</v>
      </c>
      <c r="C404" s="939" t="str">
        <f>[140]산출!C411</f>
        <v>T9.5mm*2PLY</v>
      </c>
      <c r="D404" s="958">
        <f>[140]산출!G411</f>
        <v>0</v>
      </c>
      <c r="E404" s="935" t="str">
        <f t="shared" si="132"/>
        <v>진열장석고보드취부T9.5mm*2PLYM2</v>
      </c>
      <c r="F404" s="896" t="str">
        <f>[140]산출!D411</f>
        <v>M2</v>
      </c>
      <c r="G404" s="936">
        <f>[140]산출!F411</f>
        <v>7.1999999999999993</v>
      </c>
      <c r="H404" s="935" t="str">
        <f t="shared" si="126"/>
        <v>진열장석고보드취부T9.5mm*2PLYM2</v>
      </c>
      <c r="I404" s="959">
        <f>VLOOKUP($H:$H,[140]일위목록!$A:$H,6,FALSE)</f>
        <v>18275</v>
      </c>
      <c r="J404" s="959">
        <f t="shared" si="133"/>
        <v>131580</v>
      </c>
      <c r="K404" s="959">
        <f>VLOOKUP($H:$H,[140]일위목록!$A:$H,7,FALSE)</f>
        <v>21540</v>
      </c>
      <c r="L404" s="959">
        <f t="shared" si="134"/>
        <v>155088</v>
      </c>
      <c r="M404" s="959">
        <f t="shared" si="131"/>
        <v>39815</v>
      </c>
      <c r="N404" s="959">
        <f t="shared" si="131"/>
        <v>286668</v>
      </c>
      <c r="O404" s="896" t="str">
        <f>VLOOKUP($H:$H,[140]일위목록!$A:$B,2,FALSE)</f>
        <v>제68호표</v>
      </c>
    </row>
    <row r="405" spans="1:15" ht="18.75" customHeight="1">
      <c r="A405" s="962"/>
      <c r="B405" s="957" t="str">
        <f>[140]산출!B412</f>
        <v>우레탄칼라락카도장</v>
      </c>
      <c r="C405" s="939" t="str">
        <f>[140]산출!C412</f>
        <v>철재면기준</v>
      </c>
      <c r="D405" s="958">
        <f>[140]산출!G412</f>
        <v>0</v>
      </c>
      <c r="E405" s="935" t="str">
        <f t="shared" si="132"/>
        <v>우레탄칼라락카도장철재면기준M2</v>
      </c>
      <c r="F405" s="896" t="str">
        <f>[140]산출!D412</f>
        <v>M2</v>
      </c>
      <c r="G405" s="936">
        <f>[140]산출!F412</f>
        <v>50.746400000000008</v>
      </c>
      <c r="H405" s="935" t="str">
        <f t="shared" si="126"/>
        <v>우레탄칼라락카도장철재면기준M2</v>
      </c>
      <c r="I405" s="959">
        <f>VLOOKUP($H:$H,[140]일위목록!$A:$H,6,FALSE)</f>
        <v>16103</v>
      </c>
      <c r="J405" s="959">
        <f t="shared" si="133"/>
        <v>817169</v>
      </c>
      <c r="K405" s="959">
        <f>VLOOKUP($H:$H,[140]일위목록!$A:$H,7,FALSE)</f>
        <v>22265</v>
      </c>
      <c r="L405" s="959">
        <f t="shared" si="134"/>
        <v>1129868</v>
      </c>
      <c r="M405" s="959">
        <f t="shared" si="131"/>
        <v>38368</v>
      </c>
      <c r="N405" s="959">
        <f t="shared" si="131"/>
        <v>1947037</v>
      </c>
      <c r="O405" s="896" t="str">
        <f>VLOOKUP($H:$H,[140]일위목록!$A:$B,2,FALSE)</f>
        <v>제40호표</v>
      </c>
    </row>
    <row r="406" spans="1:15" ht="18.75" customHeight="1">
      <c r="A406" s="962"/>
      <c r="B406" s="957" t="str">
        <f>[140]산출!B413</f>
        <v>바탕처리</v>
      </c>
      <c r="C406" s="939" t="str">
        <f>[140]산출!C413</f>
        <v>철재면기준</v>
      </c>
      <c r="D406" s="958">
        <f>[140]산출!G413</f>
        <v>0</v>
      </c>
      <c r="E406" s="935" t="str">
        <f t="shared" si="132"/>
        <v>바탕처리철재면기준M2</v>
      </c>
      <c r="F406" s="896" t="str">
        <f>[140]산출!D413</f>
        <v>M2</v>
      </c>
      <c r="G406" s="936">
        <f>[140]산출!F413</f>
        <v>50.746400000000008</v>
      </c>
      <c r="H406" s="935" t="str">
        <f t="shared" si="126"/>
        <v>바탕처리철재면기준M2</v>
      </c>
      <c r="I406" s="959">
        <f>VLOOKUP($H:$H,[140]일위목록!$A:$H,6,FALSE)</f>
        <v>4891</v>
      </c>
      <c r="J406" s="959">
        <f t="shared" si="133"/>
        <v>248200</v>
      </c>
      <c r="K406" s="959">
        <f>VLOOKUP($H:$H,[140]일위목록!$A:$H,7,FALSE)</f>
        <v>15314</v>
      </c>
      <c r="L406" s="959">
        <f t="shared" si="134"/>
        <v>777130</v>
      </c>
      <c r="M406" s="959">
        <f t="shared" si="131"/>
        <v>20205</v>
      </c>
      <c r="N406" s="959">
        <f t="shared" si="131"/>
        <v>1025330</v>
      </c>
      <c r="O406" s="896" t="str">
        <f>VLOOKUP($H:$H,[140]일위목록!$A:$B,2,FALSE)</f>
        <v>제41호표</v>
      </c>
    </row>
    <row r="407" spans="1:15" s="952" customFormat="1" ht="18.75" customHeight="1">
      <c r="A407" s="962"/>
      <c r="B407" s="947" t="str">
        <f>[140]산출!B414</f>
        <v>- 유리공사</v>
      </c>
      <c r="C407" s="954"/>
      <c r="D407" s="955"/>
      <c r="E407" s="948"/>
      <c r="F407" s="949"/>
      <c r="G407" s="950"/>
      <c r="H407" s="948"/>
      <c r="I407" s="951"/>
      <c r="J407" s="951"/>
      <c r="K407" s="951"/>
      <c r="L407" s="951"/>
      <c r="M407" s="951"/>
      <c r="N407" s="951"/>
      <c r="O407" s="949"/>
    </row>
    <row r="408" spans="1:15" ht="18.75" customHeight="1">
      <c r="A408" s="962"/>
      <c r="B408" s="957" t="str">
        <f>[140]산출!B415</f>
        <v>화이트 접합유리 끼우기</v>
      </c>
      <c r="C408" s="939" t="str">
        <f>[140]산출!C415</f>
        <v>T12.76mm (2,400*3,400기준)</v>
      </c>
      <c r="D408" s="958">
        <f>[140]산출!G415</f>
        <v>0</v>
      </c>
      <c r="E408" s="935" t="str">
        <f>SUBSTITUTE(CONCATENATE(B:B,C:C,F:F)," ","")</f>
        <v>화이트접합유리끼우기T12.76mm(2,400*3,400기준)M2</v>
      </c>
      <c r="F408" s="896" t="str">
        <f>[140]산출!D415</f>
        <v>M2</v>
      </c>
      <c r="G408" s="936">
        <f>[140]산출!F415</f>
        <v>33.840000000000003</v>
      </c>
      <c r="H408" s="935" t="str">
        <f t="shared" si="126"/>
        <v>화이트접합유리끼우기T12.76mm(2,400*3,400기준)M2</v>
      </c>
      <c r="I408" s="959">
        <f>VLOOKUP($H:$H,[140]일위목록!$A:$H,6,FALSE)</f>
        <v>225283</v>
      </c>
      <c r="J408" s="959">
        <f>TRUNC($G:$G*I:I)</f>
        <v>7623576</v>
      </c>
      <c r="K408" s="959">
        <f>VLOOKUP($H:$H,[140]일위목록!$A:$H,7,FALSE)</f>
        <v>71881</v>
      </c>
      <c r="L408" s="959">
        <f>TRUNC($G:$G*K:K)</f>
        <v>2432453</v>
      </c>
      <c r="M408" s="959">
        <f t="shared" si="131"/>
        <v>297164</v>
      </c>
      <c r="N408" s="959">
        <f t="shared" si="131"/>
        <v>10056029</v>
      </c>
      <c r="O408" s="896" t="str">
        <f>VLOOKUP($H:$H,[140]일위목록!$A:$B,2,FALSE)</f>
        <v>제63호표</v>
      </c>
    </row>
    <row r="409" spans="1:15" ht="18.75" customHeight="1">
      <c r="A409" s="962"/>
      <c r="B409" s="957" t="str">
        <f>[140]산출!B416</f>
        <v>조명용아크릴 가공 설치</v>
      </c>
      <c r="C409" s="939" t="str">
        <f>[140]산출!C416</f>
        <v>T5mm</v>
      </c>
      <c r="D409" s="958">
        <f>[140]산출!G416</f>
        <v>0</v>
      </c>
      <c r="E409" s="935" t="str">
        <f>SUBSTITUTE(CONCATENATE(B:B,C:C,F:F)," ","")</f>
        <v>조명용아크릴가공설치T5mmm2</v>
      </c>
      <c r="F409" s="896" t="str">
        <f>[140]산출!D416</f>
        <v>m2</v>
      </c>
      <c r="G409" s="936">
        <f>[140]산출!F416</f>
        <v>1.7999999999999998</v>
      </c>
      <c r="H409" s="935" t="str">
        <f t="shared" si="126"/>
        <v>조명용아크릴가공설치T5mmm2</v>
      </c>
      <c r="I409" s="959">
        <f>VLOOKUP($H:$H,[140]일위목록!$A:$H,6,FALSE)</f>
        <v>74550</v>
      </c>
      <c r="J409" s="959">
        <f>TRUNC($G:$G*I:I)</f>
        <v>134190</v>
      </c>
      <c r="K409" s="959">
        <f>VLOOKUP($H:$H,[140]일위목록!$A:$H,7,FALSE)</f>
        <v>19211</v>
      </c>
      <c r="L409" s="959">
        <f>TRUNC($G:$G*K:K)</f>
        <v>34579</v>
      </c>
      <c r="M409" s="959">
        <f t="shared" si="131"/>
        <v>93761</v>
      </c>
      <c r="N409" s="959">
        <f t="shared" si="131"/>
        <v>168769</v>
      </c>
      <c r="O409" s="896" t="str">
        <f>VLOOKUP($H:$H,[140]일위목록!$A:$B,2,FALSE)</f>
        <v>제67호표</v>
      </c>
    </row>
    <row r="410" spans="1:15" ht="18.75" customHeight="1">
      <c r="A410" s="962"/>
      <c r="B410" s="957" t="str">
        <f>[140]산출!B417</f>
        <v>코킹</v>
      </c>
      <c r="C410" s="939"/>
      <c r="D410" s="958">
        <f>[140]산출!G417</f>
        <v>0</v>
      </c>
      <c r="E410" s="935" t="str">
        <f>SUBSTITUTE(CONCATENATE(B:B,C:C,F:F)," ","")</f>
        <v>코킹M</v>
      </c>
      <c r="F410" s="896" t="str">
        <f>[140]산출!D417</f>
        <v>M</v>
      </c>
      <c r="G410" s="936">
        <f>[140]산출!F417</f>
        <v>88.92</v>
      </c>
      <c r="H410" s="935" t="str">
        <f t="shared" si="126"/>
        <v>코킹M</v>
      </c>
      <c r="I410" s="959">
        <f>VLOOKUP($H:$H,[140]일위목록!$A:$H,6,FALSE)</f>
        <v>880</v>
      </c>
      <c r="J410" s="959">
        <f>TRUNC($G:$G*I:I)</f>
        <v>78249</v>
      </c>
      <c r="K410" s="959">
        <f>VLOOKUP($H:$H,[140]일위목록!$A:$H,7,FALSE)</f>
        <v>6064</v>
      </c>
      <c r="L410" s="959">
        <f>TRUNC($G:$G*K:K)</f>
        <v>539210</v>
      </c>
      <c r="M410" s="959">
        <f t="shared" si="131"/>
        <v>6944</v>
      </c>
      <c r="N410" s="959">
        <f t="shared" si="131"/>
        <v>617459</v>
      </c>
      <c r="O410" s="896" t="str">
        <f>VLOOKUP($H:$H,[140]일위목록!$A:$B,2,FALSE)</f>
        <v>제45호표</v>
      </c>
    </row>
    <row r="411" spans="1:15" ht="18.75" customHeight="1">
      <c r="A411" s="962"/>
      <c r="B411" s="957" t="str">
        <f>[140]산출!B418</f>
        <v>면    취</v>
      </c>
      <c r="C411" s="939"/>
      <c r="D411" s="958">
        <f>[140]산출!G418</f>
        <v>0</v>
      </c>
      <c r="E411" s="935" t="str">
        <f>SUBSTITUTE(CONCATENATE(B:B,C:C,F:F)," ","")</f>
        <v>면취M</v>
      </c>
      <c r="F411" s="896" t="str">
        <f>[140]산출!D418</f>
        <v>M</v>
      </c>
      <c r="G411" s="936">
        <f>[140]산출!F418</f>
        <v>70.56</v>
      </c>
      <c r="H411" s="935" t="str">
        <f t="shared" si="126"/>
        <v>면취M</v>
      </c>
      <c r="I411" s="959">
        <f>VLOOKUP($H:$H,[140]일위목록!$A:$H,6,FALSE)</f>
        <v>11000</v>
      </c>
      <c r="J411" s="959">
        <f>TRUNC($G:$G*I:I)</f>
        <v>776160</v>
      </c>
      <c r="K411" s="959">
        <f>VLOOKUP($H:$H,[140]일위목록!$A:$H,7,FALSE)</f>
        <v>0</v>
      </c>
      <c r="L411" s="959">
        <f>TRUNC($G:$G*K:K)</f>
        <v>0</v>
      </c>
      <c r="M411" s="959">
        <f t="shared" si="131"/>
        <v>11000</v>
      </c>
      <c r="N411" s="959">
        <f t="shared" si="131"/>
        <v>776160</v>
      </c>
      <c r="O411" s="896" t="str">
        <f>VLOOKUP($H:$H,[140]일위목록!$A:$B,2,FALSE)</f>
        <v>단가-77번</v>
      </c>
    </row>
    <row r="412" spans="1:15" s="952" customFormat="1" ht="18.75" customHeight="1">
      <c r="A412" s="962"/>
      <c r="B412" s="947" t="str">
        <f>[140]산출!B419</f>
        <v>- 전기공사</v>
      </c>
      <c r="C412" s="954"/>
      <c r="D412" s="955"/>
      <c r="E412" s="948"/>
      <c r="F412" s="949"/>
      <c r="G412" s="950"/>
      <c r="H412" s="948"/>
      <c r="I412" s="951"/>
      <c r="J412" s="951"/>
      <c r="K412" s="951"/>
      <c r="L412" s="951"/>
      <c r="M412" s="951"/>
      <c r="N412" s="951"/>
      <c r="O412" s="949"/>
    </row>
    <row r="413" spans="1:15" ht="18.75" customHeight="1">
      <c r="A413" s="962"/>
      <c r="B413" s="957" t="str">
        <f>[140]산출!B420</f>
        <v>LED 포인트조명설치(벽부형)</v>
      </c>
      <c r="C413" s="939" t="str">
        <f>[140]산출!C420</f>
        <v>15W이하</v>
      </c>
      <c r="D413" s="958">
        <f>[140]산출!G420</f>
        <v>0</v>
      </c>
      <c r="E413" s="935" t="str">
        <f>SUBSTITUTE(CONCATENATE(B:B,C:C,F:F)," ","")</f>
        <v>LED포인트조명설치(벽부형)15W이하ea</v>
      </c>
      <c r="F413" s="896" t="str">
        <f>[140]산출!D420</f>
        <v>ea</v>
      </c>
      <c r="G413" s="936">
        <f>[140]산출!F420</f>
        <v>30</v>
      </c>
      <c r="H413" s="935" t="str">
        <f t="shared" ref="H413:H416" si="135">SUBSTITUTE(CONCATENATE(B413,C413,F413)," ","")</f>
        <v>LED포인트조명설치(벽부형)15W이하ea</v>
      </c>
      <c r="I413" s="959">
        <f>VLOOKUP($H:$H,[140]일위목록!$A:$H,6,FALSE)</f>
        <v>178500</v>
      </c>
      <c r="J413" s="959">
        <f>TRUNC($G:$G*I:I)</f>
        <v>5355000</v>
      </c>
      <c r="K413" s="959">
        <f>VLOOKUP($H:$H,[140]일위목록!$A:$H,7,FALSE)</f>
        <v>26372</v>
      </c>
      <c r="L413" s="959">
        <f>TRUNC($G:$G*K:K)</f>
        <v>791160</v>
      </c>
      <c r="M413" s="959">
        <f t="shared" ref="M413:N416" si="136">SUM(I413,K413)</f>
        <v>204872</v>
      </c>
      <c r="N413" s="959">
        <f t="shared" si="136"/>
        <v>6146160</v>
      </c>
      <c r="O413" s="896" t="str">
        <f>VLOOKUP($H:$H,[140]일위목록!$A:$B,2,FALSE)</f>
        <v>제81호표</v>
      </c>
    </row>
    <row r="414" spans="1:15" ht="18.75" customHeight="1">
      <c r="A414" s="962"/>
      <c r="B414" s="957" t="str">
        <f>[140]산출!B421</f>
        <v>LED bar조명설치</v>
      </c>
      <c r="C414" s="939" t="str">
        <f>[140]산출!C421</f>
        <v>30W이하</v>
      </c>
      <c r="D414" s="958">
        <f>[140]산출!G421</f>
        <v>0</v>
      </c>
      <c r="E414" s="935" t="str">
        <f>SUBSTITUTE(CONCATENATE(B:B,C:C,F:F)," ","")</f>
        <v>LEDbar조명설치30W이하M</v>
      </c>
      <c r="F414" s="896" t="str">
        <f>[140]산출!D421</f>
        <v>M</v>
      </c>
      <c r="G414" s="936">
        <f>[140]산출!F421</f>
        <v>24</v>
      </c>
      <c r="H414" s="935" t="str">
        <f t="shared" si="135"/>
        <v>LEDbar조명설치30W이하M</v>
      </c>
      <c r="I414" s="959">
        <f>VLOOKUP($H:$H,[140]일위목록!$A:$H,6,FALSE)</f>
        <v>105000</v>
      </c>
      <c r="J414" s="959">
        <f>TRUNC($G:$G*I:I)</f>
        <v>2520000</v>
      </c>
      <c r="K414" s="959">
        <f>VLOOKUP($H:$H,[140]일위목록!$A:$H,7,FALSE)</f>
        <v>26372</v>
      </c>
      <c r="L414" s="959">
        <f>TRUNC($G:$G*K:K)</f>
        <v>632928</v>
      </c>
      <c r="M414" s="959">
        <f t="shared" si="136"/>
        <v>131372</v>
      </c>
      <c r="N414" s="959">
        <f t="shared" si="136"/>
        <v>3152928</v>
      </c>
      <c r="O414" s="896" t="str">
        <f>VLOOKUP($H:$H,[140]일위목록!$A:$B,2,FALSE)</f>
        <v>제83호표</v>
      </c>
    </row>
    <row r="415" spans="1:15" ht="18.75" customHeight="1">
      <c r="A415" s="962"/>
      <c r="B415" s="957" t="str">
        <f>[140]산출!B422</f>
        <v>LED 포인트조명 컨트롤제작설치</v>
      </c>
      <c r="C415" s="939" t="str">
        <f>[140]산출!C422</f>
        <v>컨트롤러(16채널)</v>
      </c>
      <c r="D415" s="958">
        <f>[140]산출!G422</f>
        <v>0</v>
      </c>
      <c r="E415" s="935" t="str">
        <f>SUBSTITUTE(CONCATENATE(B:B,C:C,F:F)," ","")</f>
        <v>LED포인트조명컨트롤제작설치컨트롤러(16채널)set</v>
      </c>
      <c r="F415" s="896" t="str">
        <f>[140]산출!D422</f>
        <v>set</v>
      </c>
      <c r="G415" s="936">
        <f>[140]산출!F422</f>
        <v>2</v>
      </c>
      <c r="H415" s="935" t="str">
        <f t="shared" si="135"/>
        <v>LED포인트조명컨트롤제작설치컨트롤러(16채널)set</v>
      </c>
      <c r="I415" s="959">
        <f>VLOOKUP($H:$H,[140]일위목록!$A:$H,6,FALSE)</f>
        <v>650000</v>
      </c>
      <c r="J415" s="959">
        <f>TRUNC($G:$G*I:I)</f>
        <v>1300000</v>
      </c>
      <c r="K415" s="959">
        <f>VLOOKUP($H:$H,[140]일위목록!$A:$H,7,FALSE)</f>
        <v>90163</v>
      </c>
      <c r="L415" s="959">
        <f>TRUNC($G:$G*K:K)</f>
        <v>180326</v>
      </c>
      <c r="M415" s="959">
        <f t="shared" si="136"/>
        <v>740163</v>
      </c>
      <c r="N415" s="959">
        <f t="shared" si="136"/>
        <v>1480326</v>
      </c>
      <c r="O415" s="896" t="str">
        <f>VLOOKUP($H:$H,[140]일위목록!$A:$B,2,FALSE)</f>
        <v>제85호표</v>
      </c>
    </row>
    <row r="416" spans="1:15" ht="18.75" customHeight="1">
      <c r="A416" s="962"/>
      <c r="B416" s="957" t="str">
        <f>[140]산출!B423</f>
        <v>LED bar조명 컨트롤제작설치</v>
      </c>
      <c r="C416" s="939" t="str">
        <f>[140]산출!C423</f>
        <v>컨트롤러</v>
      </c>
      <c r="D416" s="958">
        <f>[140]산출!G423</f>
        <v>0</v>
      </c>
      <c r="E416" s="935" t="str">
        <f>SUBSTITUTE(CONCATENATE(B:B,C:C,F:F)," ","")</f>
        <v>LEDbar조명컨트롤제작설치컨트롤러set</v>
      </c>
      <c r="F416" s="896" t="str">
        <f>[140]산출!D423</f>
        <v>set</v>
      </c>
      <c r="G416" s="936">
        <f>[140]산출!F423</f>
        <v>2</v>
      </c>
      <c r="H416" s="935" t="str">
        <f t="shared" si="135"/>
        <v>LEDbar조명컨트롤제작설치컨트롤러set</v>
      </c>
      <c r="I416" s="959">
        <f>VLOOKUP($H:$H,[140]일위목록!$A:$H,6,FALSE)</f>
        <v>530000</v>
      </c>
      <c r="J416" s="959">
        <f>TRUNC($G:$G*I:I)</f>
        <v>1060000</v>
      </c>
      <c r="K416" s="959">
        <f>VLOOKUP($H:$H,[140]일위목록!$A:$H,7,FALSE)</f>
        <v>112704</v>
      </c>
      <c r="L416" s="959">
        <f>TRUNC($G:$G*K:K)</f>
        <v>225408</v>
      </c>
      <c r="M416" s="959">
        <f t="shared" si="136"/>
        <v>642704</v>
      </c>
      <c r="N416" s="959">
        <f t="shared" si="136"/>
        <v>1285408</v>
      </c>
      <c r="O416" s="896" t="str">
        <f>VLOOKUP($H:$H,[140]일위목록!$A:$B,2,FALSE)</f>
        <v>제87호표</v>
      </c>
    </row>
    <row r="417" spans="1:15" ht="18.75" customHeight="1">
      <c r="A417" s="956"/>
      <c r="B417" s="957"/>
      <c r="C417" s="939"/>
      <c r="D417" s="958"/>
      <c r="E417" s="935"/>
      <c r="F417" s="896"/>
      <c r="G417" s="936"/>
      <c r="H417" s="935"/>
      <c r="I417" s="959"/>
      <c r="J417" s="959"/>
      <c r="K417" s="959"/>
      <c r="L417" s="959"/>
      <c r="M417" s="959"/>
      <c r="N417" s="959"/>
      <c r="O417" s="896"/>
    </row>
    <row r="418" spans="1:15" s="952" customFormat="1" ht="18.75" customHeight="1">
      <c r="A418" s="960"/>
      <c r="B418" s="947" t="s">
        <v>6586</v>
      </c>
      <c r="C418" s="954"/>
      <c r="D418" s="961"/>
      <c r="E418" s="948"/>
      <c r="F418" s="949"/>
      <c r="G418" s="950"/>
      <c r="H418" s="948" t="str">
        <f>SUBSTITUTE(CONCATENATE(B418,C418,F418)," ","")</f>
        <v>소계</v>
      </c>
      <c r="I418" s="951"/>
      <c r="J418" s="951">
        <f>SUM(J368:J417)</f>
        <v>53576479</v>
      </c>
      <c r="K418" s="951"/>
      <c r="L418" s="951">
        <f>SUM(L368:L417)</f>
        <v>31011555</v>
      </c>
      <c r="M418" s="951"/>
      <c r="N418" s="951">
        <f>SUM(N368:N417)</f>
        <v>84588034</v>
      </c>
      <c r="O418" s="949"/>
    </row>
    <row r="419" spans="1:15" ht="18.75" customHeight="1">
      <c r="A419" s="956"/>
      <c r="B419" s="957"/>
      <c r="C419" s="939"/>
      <c r="D419" s="958"/>
      <c r="E419" s="935"/>
      <c r="F419" s="896"/>
      <c r="G419" s="936"/>
      <c r="H419" s="935"/>
      <c r="I419" s="959"/>
      <c r="J419" s="959"/>
      <c r="K419" s="959"/>
      <c r="L419" s="959"/>
      <c r="M419" s="959"/>
      <c r="N419" s="959"/>
      <c r="O419" s="896"/>
    </row>
    <row r="420" spans="1:15" ht="18.75" customHeight="1">
      <c r="A420" s="956"/>
      <c r="B420" s="957"/>
      <c r="C420" s="939"/>
      <c r="D420" s="958"/>
      <c r="E420" s="935"/>
      <c r="F420" s="896"/>
      <c r="G420" s="936"/>
      <c r="H420" s="935"/>
      <c r="I420" s="959"/>
      <c r="J420" s="959"/>
      <c r="K420" s="959"/>
      <c r="L420" s="959"/>
      <c r="M420" s="959"/>
      <c r="N420" s="959"/>
      <c r="O420" s="896"/>
    </row>
    <row r="421" spans="1:15" s="952" customFormat="1" ht="18.75" customHeight="1">
      <c r="A421" s="947" t="str">
        <f>[140]산출!A434</f>
        <v>SC-206</v>
      </c>
      <c r="B421" s="947" t="str">
        <f>[140]산출!B434</f>
        <v>고정형 양면 진열장</v>
      </c>
      <c r="C421" s="954"/>
      <c r="D421" s="955">
        <f>[140]산출!G434</f>
        <v>0</v>
      </c>
      <c r="E421" s="948" t="str">
        <f>SUBSTITUTE(CONCATENATE(B:B,C:C,F:F)," ","")</f>
        <v>고정형양면진열장SET</v>
      </c>
      <c r="F421" s="949" t="str">
        <f>[140]산출!D434</f>
        <v>SET</v>
      </c>
      <c r="G421" s="950">
        <f>[140]산출!F434</f>
        <v>2</v>
      </c>
      <c r="H421" s="948" t="str">
        <f t="shared" ref="H421" si="137">SUBSTITUTE(CONCATENATE(B421,C421,F421)," ","")</f>
        <v>고정형양면진열장SET</v>
      </c>
      <c r="I421" s="951"/>
      <c r="J421" s="951"/>
      <c r="K421" s="951"/>
      <c r="L421" s="951"/>
      <c r="M421" s="951"/>
      <c r="N421" s="951"/>
      <c r="O421" s="949"/>
    </row>
    <row r="422" spans="1:15" s="952" customFormat="1" ht="18.75" customHeight="1">
      <c r="A422" s="953"/>
      <c r="B422" s="947" t="str">
        <f>[140]산출!B435</f>
        <v>- 구조틀</v>
      </c>
      <c r="C422" s="954"/>
      <c r="D422" s="955"/>
      <c r="E422" s="948"/>
      <c r="F422" s="949"/>
      <c r="G422" s="950"/>
      <c r="H422" s="948"/>
      <c r="I422" s="951"/>
      <c r="J422" s="951"/>
      <c r="K422" s="951"/>
      <c r="L422" s="951"/>
      <c r="M422" s="951"/>
      <c r="N422" s="951"/>
      <c r="O422" s="949"/>
    </row>
    <row r="423" spans="1:15" ht="18.75" customHeight="1">
      <c r="A423" s="962"/>
      <c r="B423" s="957" t="str">
        <f>[140]산출!B436</f>
        <v>각파이프(방청)</v>
      </c>
      <c r="C423" s="957" t="str">
        <f>[140]산출!C436</f>
        <v>40*40*1.4T</v>
      </c>
      <c r="D423" s="958">
        <f>[140]산출!G436</f>
        <v>0</v>
      </c>
      <c r="E423" s="935" t="str">
        <f t="shared" ref="E423:E434" si="138">SUBSTITUTE(CONCATENATE(B:B,C:C,F:F)," ","")</f>
        <v>각파이프(방청)40*40*1.4TM</v>
      </c>
      <c r="F423" s="896" t="str">
        <f>[140]산출!D436</f>
        <v>M</v>
      </c>
      <c r="G423" s="936">
        <f>[140]산출!F436</f>
        <v>180.36</v>
      </c>
      <c r="H423" s="935" t="str">
        <f t="shared" ref="H423:H469" si="139">SUBSTITUTE(CONCATENATE(B423,C423,F423)," ","")</f>
        <v>각파이프(방청)40*40*1.4TM</v>
      </c>
      <c r="I423" s="959">
        <f>VLOOKUP($H:$H,[140]일위목록!$A:$H,6,FALSE)</f>
        <v>7195</v>
      </c>
      <c r="J423" s="959">
        <f>TRUNC($G:$G*I:I)</f>
        <v>1297690</v>
      </c>
      <c r="K423" s="959">
        <f>VLOOKUP($H:$H,[140]일위목록!$A:$H,7,FALSE)</f>
        <v>13416</v>
      </c>
      <c r="L423" s="959">
        <f>TRUNC($G:$G*K:K)</f>
        <v>2419709</v>
      </c>
      <c r="M423" s="959">
        <f t="shared" ref="M423:N438" si="140">SUM(I423,K423)</f>
        <v>20611</v>
      </c>
      <c r="N423" s="959">
        <f t="shared" si="140"/>
        <v>3717399</v>
      </c>
      <c r="O423" s="896" t="str">
        <f>VLOOKUP($H:$H,[140]일위목록!$A:$B,2,FALSE)</f>
        <v>제46호표</v>
      </c>
    </row>
    <row r="424" spans="1:15" ht="18.75" customHeight="1">
      <c r="A424" s="962"/>
      <c r="B424" s="957" t="str">
        <f>[140]산출!B437</f>
        <v>석고보드 시공</v>
      </c>
      <c r="C424" s="957" t="str">
        <f>[140]산출!C437</f>
        <v>THK9.5mm 2PLY(벽체면)</v>
      </c>
      <c r="D424" s="958">
        <f>[140]산출!G437</f>
        <v>0</v>
      </c>
      <c r="E424" s="935" t="str">
        <f t="shared" si="138"/>
        <v>석고보드시공THK9.5mm2PLY(벽체면)M2</v>
      </c>
      <c r="F424" s="896" t="str">
        <f>[140]산출!D437</f>
        <v>M2</v>
      </c>
      <c r="G424" s="936">
        <f>[140]산출!F437</f>
        <v>9.9600000000000009</v>
      </c>
      <c r="H424" s="935" t="str">
        <f t="shared" si="139"/>
        <v>석고보드시공THK9.5mm2PLY(벽체면)M2</v>
      </c>
      <c r="I424" s="959">
        <f>VLOOKUP($H:$H,[140]일위목록!$A:$H,6,FALSE)</f>
        <v>6918</v>
      </c>
      <c r="J424" s="959">
        <f>TRUNC($G:$G*I:I)</f>
        <v>68903</v>
      </c>
      <c r="K424" s="959">
        <f>VLOOKUP($H:$H,[140]일위목록!$A:$H,7,FALSE)</f>
        <v>11605</v>
      </c>
      <c r="L424" s="959">
        <f>TRUNC($G:$G*K:K)</f>
        <v>115585</v>
      </c>
      <c r="M424" s="959">
        <f t="shared" si="140"/>
        <v>18523</v>
      </c>
      <c r="N424" s="959">
        <f t="shared" si="140"/>
        <v>184488</v>
      </c>
      <c r="O424" s="896" t="str">
        <f>VLOOKUP($H:$H,[140]일위목록!$A:$B,2,FALSE)</f>
        <v>제73호표</v>
      </c>
    </row>
    <row r="425" spans="1:15" ht="18.75" customHeight="1">
      <c r="A425" s="962"/>
      <c r="B425" s="957" t="str">
        <f>[140]산출!B438</f>
        <v>친환경수성페인트</v>
      </c>
      <c r="C425" s="957" t="str">
        <f>[140]산출!C438</f>
        <v>벽체</v>
      </c>
      <c r="D425" s="958">
        <f>[140]산출!G438</f>
        <v>0</v>
      </c>
      <c r="E425" s="935" t="str">
        <f t="shared" si="138"/>
        <v>친환경수성페인트벽체M2</v>
      </c>
      <c r="F425" s="896" t="str">
        <f>[140]산출!D438</f>
        <v>M2</v>
      </c>
      <c r="G425" s="936">
        <f>[140]산출!F438</f>
        <v>9.9600000000000009</v>
      </c>
      <c r="H425" s="935" t="str">
        <f t="shared" si="139"/>
        <v>친환경수성페인트벽체M2</v>
      </c>
      <c r="I425" s="959">
        <f>VLOOKUP($H:$H,[140]일위목록!$A:$H,6,FALSE)</f>
        <v>2907</v>
      </c>
      <c r="J425" s="959">
        <f>TRUNC($G:$G*I:I)</f>
        <v>28953</v>
      </c>
      <c r="K425" s="959">
        <f>VLOOKUP($H:$H,[140]일위목록!$A:$H,7,FALSE)</f>
        <v>13962</v>
      </c>
      <c r="L425" s="959">
        <f>TRUNC($G:$G*K:K)</f>
        <v>139061</v>
      </c>
      <c r="M425" s="959">
        <f t="shared" si="140"/>
        <v>16869</v>
      </c>
      <c r="N425" s="959">
        <f t="shared" si="140"/>
        <v>168014</v>
      </c>
      <c r="O425" s="896" t="str">
        <f>VLOOKUP($H:$H,[140]일위목록!$A:$B,2,FALSE)</f>
        <v>제75호표</v>
      </c>
    </row>
    <row r="426" spans="1:15" ht="18.75" customHeight="1">
      <c r="A426" s="962"/>
      <c r="B426" s="957" t="str">
        <f>[140]산출!B439</f>
        <v>- 잡철물</v>
      </c>
      <c r="C426" s="957" t="str">
        <f>[140]산출!C439</f>
        <v xml:space="preserve"> 상부</v>
      </c>
      <c r="D426" s="958">
        <f>[140]산출!G439</f>
        <v>0</v>
      </c>
      <c r="E426" s="935" t="str">
        <f t="shared" si="138"/>
        <v>-잡철물상부</v>
      </c>
      <c r="F426" s="896"/>
      <c r="G426" s="936"/>
      <c r="H426" s="935"/>
      <c r="I426" s="959"/>
      <c r="J426" s="959"/>
      <c r="K426" s="959"/>
      <c r="L426" s="959"/>
      <c r="M426" s="959"/>
      <c r="N426" s="959"/>
      <c r="O426" s="896"/>
    </row>
    <row r="427" spans="1:15" ht="18.75" customHeight="1">
      <c r="A427" s="962"/>
      <c r="B427" s="957" t="str">
        <f>[140]산출!B440</f>
        <v>갈바후레임제작설치</v>
      </c>
      <c r="C427" s="957" t="str">
        <f>[140]산출!C440</f>
        <v>1.6T</v>
      </c>
      <c r="D427" s="958" t="str">
        <f>[140]산출!G440</f>
        <v>그림걸이레일보강</v>
      </c>
      <c r="E427" s="935" t="str">
        <f t="shared" si="138"/>
        <v>갈바후레임제작설치1.6TM2</v>
      </c>
      <c r="F427" s="896" t="str">
        <f>[140]산출!D440</f>
        <v>M2</v>
      </c>
      <c r="G427" s="936">
        <f>[140]산출!F440</f>
        <v>2.1808000000000001</v>
      </c>
      <c r="H427" s="935" t="str">
        <f t="shared" si="139"/>
        <v>갈바후레임제작설치1.6TM2</v>
      </c>
      <c r="I427" s="959">
        <f>VLOOKUP($H:$H,[140]일위목록!$A:$H,6,FALSE)</f>
        <v>16515</v>
      </c>
      <c r="J427" s="959">
        <f t="shared" ref="J427:J434" si="141">TRUNC($G:$G*I:I)</f>
        <v>36015</v>
      </c>
      <c r="K427" s="959">
        <f>VLOOKUP($H:$H,[140]일위목록!$A:$H,7,FALSE)</f>
        <v>65362</v>
      </c>
      <c r="L427" s="959">
        <f t="shared" ref="L427:L434" si="142">TRUNC($G:$G*K:K)</f>
        <v>142541</v>
      </c>
      <c r="M427" s="959">
        <f t="shared" si="140"/>
        <v>81877</v>
      </c>
      <c r="N427" s="959">
        <f t="shared" si="140"/>
        <v>178556</v>
      </c>
      <c r="O427" s="896" t="str">
        <f>VLOOKUP($H:$H,[140]일위목록!$A:$B,2,FALSE)</f>
        <v>제51호표</v>
      </c>
    </row>
    <row r="428" spans="1:15" ht="18.75" customHeight="1">
      <c r="A428" s="962"/>
      <c r="B428" s="957" t="str">
        <f>[140]산출!B441</f>
        <v>갈바후레임제작설치</v>
      </c>
      <c r="C428" s="957" t="str">
        <f>[140]산출!C441</f>
        <v>1.6T</v>
      </c>
      <c r="D428" s="958" t="str">
        <f>[140]산출!G441</f>
        <v>전면상부철판</v>
      </c>
      <c r="E428" s="935" t="str">
        <f t="shared" si="138"/>
        <v>갈바후레임제작설치1.6TM2</v>
      </c>
      <c r="F428" s="896" t="str">
        <f>[140]산출!D441</f>
        <v>M2</v>
      </c>
      <c r="G428" s="936">
        <f>[140]산출!F441</f>
        <v>1.7515999999999998</v>
      </c>
      <c r="H428" s="935" t="str">
        <f t="shared" si="139"/>
        <v>갈바후레임제작설치1.6TM2</v>
      </c>
      <c r="I428" s="959">
        <f>VLOOKUP($H:$H,[140]일위목록!$A:$H,6,FALSE)</f>
        <v>16515</v>
      </c>
      <c r="J428" s="959">
        <f t="shared" si="141"/>
        <v>28927</v>
      </c>
      <c r="K428" s="959">
        <f>VLOOKUP($H:$H,[140]일위목록!$A:$H,7,FALSE)</f>
        <v>65362</v>
      </c>
      <c r="L428" s="959">
        <f t="shared" si="142"/>
        <v>114488</v>
      </c>
      <c r="M428" s="959">
        <f t="shared" si="140"/>
        <v>81877</v>
      </c>
      <c r="N428" s="959">
        <f t="shared" si="140"/>
        <v>143415</v>
      </c>
      <c r="O428" s="896" t="str">
        <f>VLOOKUP($H:$H,[140]일위목록!$A:$B,2,FALSE)</f>
        <v>제51호표</v>
      </c>
    </row>
    <row r="429" spans="1:15" ht="18.75" customHeight="1">
      <c r="A429" s="962"/>
      <c r="B429" s="957" t="str">
        <f>[140]산출!B442</f>
        <v>갈바후레임제작설치</v>
      </c>
      <c r="C429" s="957" t="str">
        <f>[140]산출!C442</f>
        <v>1.6T</v>
      </c>
      <c r="D429" s="958" t="str">
        <f>[140]산출!G442</f>
        <v>상부레일구간</v>
      </c>
      <c r="E429" s="935" t="str">
        <f t="shared" si="138"/>
        <v>갈바후레임제작설치1.6TM2</v>
      </c>
      <c r="F429" s="896" t="str">
        <f>[140]산출!D442</f>
        <v>M2</v>
      </c>
      <c r="G429" s="936">
        <f>[140]산출!F442</f>
        <v>2.8071999999999999</v>
      </c>
      <c r="H429" s="935" t="str">
        <f t="shared" si="139"/>
        <v>갈바후레임제작설치1.6TM2</v>
      </c>
      <c r="I429" s="959">
        <f>VLOOKUP($H:$H,[140]일위목록!$A:$H,6,FALSE)</f>
        <v>16515</v>
      </c>
      <c r="J429" s="959">
        <f t="shared" si="141"/>
        <v>46360</v>
      </c>
      <c r="K429" s="959">
        <f>VLOOKUP($H:$H,[140]일위목록!$A:$H,7,FALSE)</f>
        <v>65362</v>
      </c>
      <c r="L429" s="959">
        <f t="shared" si="142"/>
        <v>183484</v>
      </c>
      <c r="M429" s="959">
        <f t="shared" si="140"/>
        <v>81877</v>
      </c>
      <c r="N429" s="959">
        <f t="shared" si="140"/>
        <v>229844</v>
      </c>
      <c r="O429" s="896" t="str">
        <f>VLOOKUP($H:$H,[140]일위목록!$A:$B,2,FALSE)</f>
        <v>제51호표</v>
      </c>
    </row>
    <row r="430" spans="1:15" ht="18.75" customHeight="1">
      <c r="A430" s="962"/>
      <c r="B430" s="957" t="str">
        <f>[140]산출!B443</f>
        <v>갈바후레임제작설치</v>
      </c>
      <c r="C430" s="957" t="str">
        <f>[140]산출!C443</f>
        <v>1.6T</v>
      </c>
      <c r="D430" s="958" t="str">
        <f>[140]산출!G443</f>
        <v>천정후레임배면,측면</v>
      </c>
      <c r="E430" s="935" t="str">
        <f t="shared" si="138"/>
        <v>갈바후레임제작설치1.6TM2</v>
      </c>
      <c r="F430" s="896" t="str">
        <f>[140]산출!D443</f>
        <v>M2</v>
      </c>
      <c r="G430" s="936">
        <f>[140]산출!F443</f>
        <v>2.4655999999999998</v>
      </c>
      <c r="H430" s="935" t="str">
        <f t="shared" si="139"/>
        <v>갈바후레임제작설치1.6TM2</v>
      </c>
      <c r="I430" s="959">
        <f>VLOOKUP($H:$H,[140]일위목록!$A:$H,6,FALSE)</f>
        <v>16515</v>
      </c>
      <c r="J430" s="959">
        <f t="shared" si="141"/>
        <v>40719</v>
      </c>
      <c r="K430" s="959">
        <f>VLOOKUP($H:$H,[140]일위목록!$A:$H,7,FALSE)</f>
        <v>65362</v>
      </c>
      <c r="L430" s="959">
        <f t="shared" si="142"/>
        <v>161156</v>
      </c>
      <c r="M430" s="959">
        <f t="shared" si="140"/>
        <v>81877</v>
      </c>
      <c r="N430" s="959">
        <f t="shared" si="140"/>
        <v>201875</v>
      </c>
      <c r="O430" s="896" t="str">
        <f>VLOOKUP($H:$H,[140]일위목록!$A:$B,2,FALSE)</f>
        <v>제51호표</v>
      </c>
    </row>
    <row r="431" spans="1:15" ht="18.75" customHeight="1">
      <c r="A431" s="962"/>
      <c r="B431" s="957" t="str">
        <f>[140]산출!B444</f>
        <v>갈바후레임제작설치</v>
      </c>
      <c r="C431" s="957" t="str">
        <f>[140]산출!C444</f>
        <v>1.6T</v>
      </c>
      <c r="D431" s="958" t="str">
        <f>[140]산출!G444</f>
        <v>천정옆판</v>
      </c>
      <c r="E431" s="935" t="str">
        <f t="shared" si="138"/>
        <v>갈바후레임제작설치1.6TM2</v>
      </c>
      <c r="F431" s="896" t="str">
        <f>[140]산출!D444</f>
        <v>M2</v>
      </c>
      <c r="G431" s="936">
        <f>[140]산출!F444</f>
        <v>0.37619999999999998</v>
      </c>
      <c r="H431" s="935" t="str">
        <f t="shared" si="139"/>
        <v>갈바후레임제작설치1.6TM2</v>
      </c>
      <c r="I431" s="959">
        <f>VLOOKUP($H:$H,[140]일위목록!$A:$H,6,FALSE)</f>
        <v>16515</v>
      </c>
      <c r="J431" s="959">
        <f t="shared" si="141"/>
        <v>6212</v>
      </c>
      <c r="K431" s="959">
        <f>VLOOKUP($H:$H,[140]일위목록!$A:$H,7,FALSE)</f>
        <v>65362</v>
      </c>
      <c r="L431" s="959">
        <f t="shared" si="142"/>
        <v>24589</v>
      </c>
      <c r="M431" s="959">
        <f t="shared" si="140"/>
        <v>81877</v>
      </c>
      <c r="N431" s="959">
        <f t="shared" si="140"/>
        <v>30801</v>
      </c>
      <c r="O431" s="896" t="str">
        <f>VLOOKUP($H:$H,[140]일위목록!$A:$B,2,FALSE)</f>
        <v>제51호표</v>
      </c>
    </row>
    <row r="432" spans="1:15" ht="18.75" customHeight="1">
      <c r="A432" s="962"/>
      <c r="B432" s="957" t="str">
        <f>[140]산출!B445</f>
        <v>갈바후레임제작설치</v>
      </c>
      <c r="C432" s="957" t="str">
        <f>[140]산출!C445</f>
        <v>1.6T</v>
      </c>
      <c r="D432" s="958" t="str">
        <f>[140]산출!G445</f>
        <v>상부문짝</v>
      </c>
      <c r="E432" s="935" t="str">
        <f t="shared" si="138"/>
        <v>갈바후레임제작설치1.6TM2</v>
      </c>
      <c r="F432" s="896" t="str">
        <f>[140]산출!D445</f>
        <v>M2</v>
      </c>
      <c r="G432" s="936">
        <f>[140]산출!F445</f>
        <v>23.599999999999998</v>
      </c>
      <c r="H432" s="935" t="str">
        <f t="shared" si="139"/>
        <v>갈바후레임제작설치1.6TM2</v>
      </c>
      <c r="I432" s="959">
        <f>VLOOKUP($H:$H,[140]일위목록!$A:$H,6,FALSE)</f>
        <v>16515</v>
      </c>
      <c r="J432" s="959">
        <f t="shared" si="141"/>
        <v>389754</v>
      </c>
      <c r="K432" s="959">
        <f>VLOOKUP($H:$H,[140]일위목록!$A:$H,7,FALSE)</f>
        <v>65362</v>
      </c>
      <c r="L432" s="959">
        <f t="shared" si="142"/>
        <v>1542543</v>
      </c>
      <c r="M432" s="959">
        <f t="shared" si="140"/>
        <v>81877</v>
      </c>
      <c r="N432" s="959">
        <f t="shared" si="140"/>
        <v>1932297</v>
      </c>
      <c r="O432" s="896" t="str">
        <f>VLOOKUP($H:$H,[140]일위목록!$A:$B,2,FALSE)</f>
        <v>제51호표</v>
      </c>
    </row>
    <row r="433" spans="1:15" ht="18.75" customHeight="1">
      <c r="A433" s="962"/>
      <c r="B433" s="957" t="str">
        <f>[140]산출!B446</f>
        <v>갈바후레임제작설치</v>
      </c>
      <c r="C433" s="957" t="str">
        <f>[140]산출!C446</f>
        <v>1.6T</v>
      </c>
      <c r="D433" s="958" t="str">
        <f>[140]산출!G446</f>
        <v>상부등박스</v>
      </c>
      <c r="E433" s="935" t="str">
        <f t="shared" si="138"/>
        <v>갈바후레임제작설치1.6TM2</v>
      </c>
      <c r="F433" s="896" t="str">
        <f>[140]산출!D446</f>
        <v>M2</v>
      </c>
      <c r="G433" s="936">
        <f>[140]산출!F446</f>
        <v>9.4539999999999988</v>
      </c>
      <c r="H433" s="935" t="str">
        <f t="shared" si="139"/>
        <v>갈바후레임제작설치1.6TM2</v>
      </c>
      <c r="I433" s="959">
        <f>VLOOKUP($H:$H,[140]일위목록!$A:$H,6,FALSE)</f>
        <v>16515</v>
      </c>
      <c r="J433" s="959">
        <f t="shared" si="141"/>
        <v>156132</v>
      </c>
      <c r="K433" s="959">
        <f>VLOOKUP($H:$H,[140]일위목록!$A:$H,7,FALSE)</f>
        <v>65362</v>
      </c>
      <c r="L433" s="959">
        <f t="shared" si="142"/>
        <v>617932</v>
      </c>
      <c r="M433" s="959">
        <f t="shared" si="140"/>
        <v>81877</v>
      </c>
      <c r="N433" s="959">
        <f t="shared" si="140"/>
        <v>774064</v>
      </c>
      <c r="O433" s="896" t="str">
        <f>VLOOKUP($H:$H,[140]일위목록!$A:$B,2,FALSE)</f>
        <v>제51호표</v>
      </c>
    </row>
    <row r="434" spans="1:15" ht="18.75" customHeight="1">
      <c r="A434" s="962"/>
      <c r="B434" s="957" t="str">
        <f>[140]산출!B447</f>
        <v>갈바후레임제작설치</v>
      </c>
      <c r="C434" s="957" t="str">
        <f>[140]산출!C447</f>
        <v>1.6T</v>
      </c>
      <c r="D434" s="958" t="str">
        <f>[140]산출!G447</f>
        <v>상부유리후레임</v>
      </c>
      <c r="E434" s="935" t="str">
        <f t="shared" si="138"/>
        <v>갈바후레임제작설치1.6TM2</v>
      </c>
      <c r="F434" s="896" t="str">
        <f>[140]산출!D447</f>
        <v>M2</v>
      </c>
      <c r="G434" s="936">
        <f>[140]산출!F447</f>
        <v>5.6816000000000004</v>
      </c>
      <c r="H434" s="935" t="str">
        <f t="shared" si="139"/>
        <v>갈바후레임제작설치1.6TM2</v>
      </c>
      <c r="I434" s="959">
        <f>VLOOKUP($H:$H,[140]일위목록!$A:$H,6,FALSE)</f>
        <v>16515</v>
      </c>
      <c r="J434" s="959">
        <f t="shared" si="141"/>
        <v>93831</v>
      </c>
      <c r="K434" s="959">
        <f>VLOOKUP($H:$H,[140]일위목록!$A:$H,7,FALSE)</f>
        <v>65362</v>
      </c>
      <c r="L434" s="959">
        <f t="shared" si="142"/>
        <v>371360</v>
      </c>
      <c r="M434" s="959">
        <f t="shared" si="140"/>
        <v>81877</v>
      </c>
      <c r="N434" s="959">
        <f t="shared" si="140"/>
        <v>465191</v>
      </c>
      <c r="O434" s="896" t="str">
        <f>VLOOKUP($H:$H,[140]일위목록!$A:$B,2,FALSE)</f>
        <v>제51호표</v>
      </c>
    </row>
    <row r="435" spans="1:15" ht="18.75" customHeight="1">
      <c r="A435" s="962"/>
      <c r="B435" s="957" t="str">
        <f>[140]산출!B448</f>
        <v>- 잡철물</v>
      </c>
      <c r="C435" s="957"/>
      <c r="D435" s="958"/>
      <c r="E435" s="935"/>
      <c r="F435" s="896"/>
      <c r="G435" s="936"/>
      <c r="H435" s="935"/>
      <c r="I435" s="959"/>
      <c r="J435" s="959"/>
      <c r="K435" s="959"/>
      <c r="L435" s="959"/>
      <c r="M435" s="959"/>
      <c r="N435" s="959"/>
      <c r="O435" s="896"/>
    </row>
    <row r="436" spans="1:15" ht="18.75" customHeight="1">
      <c r="A436" s="962"/>
      <c r="B436" s="957" t="str">
        <f>[140]산출!B449</f>
        <v>갈바후레임제작설치</v>
      </c>
      <c r="C436" s="957" t="str">
        <f>[140]산출!C449</f>
        <v>1.6T</v>
      </c>
      <c r="D436" s="958" t="str">
        <f>[140]산출!G449</f>
        <v>하부유리후레임</v>
      </c>
      <c r="E436" s="935" t="str">
        <f t="shared" ref="E436:E441" si="143">SUBSTITUTE(CONCATENATE(B:B,C:C,F:F)," ","")</f>
        <v>갈바후레임제작설치1.6TM2</v>
      </c>
      <c r="F436" s="896" t="str">
        <f>[140]산출!D449</f>
        <v>M2</v>
      </c>
      <c r="G436" s="936">
        <f>[140]산출!F449</f>
        <v>5.6816000000000004</v>
      </c>
      <c r="H436" s="935" t="str">
        <f t="shared" si="139"/>
        <v>갈바후레임제작설치1.6TM2</v>
      </c>
      <c r="I436" s="959">
        <f>VLOOKUP($H:$H,[140]일위목록!$A:$H,6,FALSE)</f>
        <v>16515</v>
      </c>
      <c r="J436" s="959">
        <f t="shared" ref="J436:J441" si="144">TRUNC($G:$G*I:I)</f>
        <v>93831</v>
      </c>
      <c r="K436" s="959">
        <f>VLOOKUP($H:$H,[140]일위목록!$A:$H,7,FALSE)</f>
        <v>65362</v>
      </c>
      <c r="L436" s="959">
        <f t="shared" ref="L436:L441" si="145">TRUNC($G:$G*K:K)</f>
        <v>371360</v>
      </c>
      <c r="M436" s="959">
        <f t="shared" si="140"/>
        <v>81877</v>
      </c>
      <c r="N436" s="959">
        <f t="shared" si="140"/>
        <v>465191</v>
      </c>
      <c r="O436" s="896" t="str">
        <f>VLOOKUP($H:$H,[140]일위목록!$A:$B,2,FALSE)</f>
        <v>제51호표</v>
      </c>
    </row>
    <row r="437" spans="1:15" ht="18.75" customHeight="1">
      <c r="A437" s="962"/>
      <c r="B437" s="957" t="str">
        <f>[140]산출!B450</f>
        <v>갈바후레임제작설치</v>
      </c>
      <c r="C437" s="957" t="str">
        <f>[140]산출!C450</f>
        <v>1.6T</v>
      </c>
      <c r="D437" s="958" t="str">
        <f>[140]산출!G450</f>
        <v>하부바닥판테두리</v>
      </c>
      <c r="E437" s="935" t="str">
        <f t="shared" si="143"/>
        <v>갈바후레임제작설치1.6TM2</v>
      </c>
      <c r="F437" s="896" t="str">
        <f>[140]산출!D450</f>
        <v>M2</v>
      </c>
      <c r="G437" s="936">
        <f>[140]산출!F450</f>
        <v>10.666400000000001</v>
      </c>
      <c r="H437" s="935" t="str">
        <f t="shared" si="139"/>
        <v>갈바후레임제작설치1.6TM2</v>
      </c>
      <c r="I437" s="959">
        <f>VLOOKUP($H:$H,[140]일위목록!$A:$H,6,FALSE)</f>
        <v>16515</v>
      </c>
      <c r="J437" s="959">
        <f t="shared" si="144"/>
        <v>176155</v>
      </c>
      <c r="K437" s="959">
        <f>VLOOKUP($H:$H,[140]일위목록!$A:$H,7,FALSE)</f>
        <v>65362</v>
      </c>
      <c r="L437" s="959">
        <f t="shared" si="145"/>
        <v>697177</v>
      </c>
      <c r="M437" s="959">
        <f t="shared" si="140"/>
        <v>81877</v>
      </c>
      <c r="N437" s="959">
        <f t="shared" si="140"/>
        <v>873332</v>
      </c>
      <c r="O437" s="896" t="str">
        <f>VLOOKUP($H:$H,[140]일위목록!$A:$B,2,FALSE)</f>
        <v>제51호표</v>
      </c>
    </row>
    <row r="438" spans="1:15" ht="18.75" customHeight="1">
      <c r="A438" s="962"/>
      <c r="B438" s="957" t="str">
        <f>[140]산출!B451</f>
        <v>갈바후레임제작설치</v>
      </c>
      <c r="C438" s="957" t="str">
        <f>[140]산출!C451</f>
        <v>1.6T</v>
      </c>
      <c r="D438" s="958" t="str">
        <f>[140]산출!G451</f>
        <v>하부레일구간전면</v>
      </c>
      <c r="E438" s="935" t="str">
        <f t="shared" si="143"/>
        <v>갈바후레임제작설치1.6TM2</v>
      </c>
      <c r="F438" s="896" t="str">
        <f>[140]산출!D451</f>
        <v>M2</v>
      </c>
      <c r="G438" s="936">
        <f>[140]산출!F451</f>
        <v>3.4567999999999999</v>
      </c>
      <c r="H438" s="935" t="str">
        <f t="shared" si="139"/>
        <v>갈바후레임제작설치1.6TM2</v>
      </c>
      <c r="I438" s="959">
        <f>VLOOKUP($H:$H,[140]일위목록!$A:$H,6,FALSE)</f>
        <v>16515</v>
      </c>
      <c r="J438" s="959">
        <f t="shared" si="144"/>
        <v>57089</v>
      </c>
      <c r="K438" s="959">
        <f>VLOOKUP($H:$H,[140]일위목록!$A:$H,7,FALSE)</f>
        <v>65362</v>
      </c>
      <c r="L438" s="959">
        <f t="shared" si="145"/>
        <v>225943</v>
      </c>
      <c r="M438" s="959">
        <f t="shared" si="140"/>
        <v>81877</v>
      </c>
      <c r="N438" s="959">
        <f t="shared" si="140"/>
        <v>283032</v>
      </c>
      <c r="O438" s="896" t="str">
        <f>VLOOKUP($H:$H,[140]일위목록!$A:$B,2,FALSE)</f>
        <v>제51호표</v>
      </c>
    </row>
    <row r="439" spans="1:15" ht="18.75" customHeight="1">
      <c r="A439" s="962"/>
      <c r="B439" s="957" t="str">
        <f>[140]산출!B452</f>
        <v>갈바후레임제작설치</v>
      </c>
      <c r="C439" s="957" t="str">
        <f>[140]산출!C452</f>
        <v>1.6T</v>
      </c>
      <c r="D439" s="958" t="str">
        <f>[140]산출!G452</f>
        <v>하부측판</v>
      </c>
      <c r="E439" s="935" t="str">
        <f t="shared" si="143"/>
        <v>갈바후레임제작설치1.6TM2</v>
      </c>
      <c r="F439" s="896" t="str">
        <f>[140]산출!D452</f>
        <v>M2</v>
      </c>
      <c r="G439" s="936">
        <f>[140]산출!F452</f>
        <v>4.3148</v>
      </c>
      <c r="H439" s="935" t="str">
        <f t="shared" si="139"/>
        <v>갈바후레임제작설치1.6TM2</v>
      </c>
      <c r="I439" s="959">
        <f>VLOOKUP($H:$H,[140]일위목록!$A:$H,6,FALSE)</f>
        <v>16515</v>
      </c>
      <c r="J439" s="959">
        <f t="shared" si="144"/>
        <v>71258</v>
      </c>
      <c r="K439" s="959">
        <f>VLOOKUP($H:$H,[140]일위목록!$A:$H,7,FALSE)</f>
        <v>65362</v>
      </c>
      <c r="L439" s="959">
        <f t="shared" si="145"/>
        <v>282023</v>
      </c>
      <c r="M439" s="959">
        <f t="shared" ref="M439:N469" si="146">SUM(I439,K439)</f>
        <v>81877</v>
      </c>
      <c r="N439" s="959">
        <f t="shared" si="146"/>
        <v>353281</v>
      </c>
      <c r="O439" s="896" t="str">
        <f>VLOOKUP($H:$H,[140]일위목록!$A:$B,2,FALSE)</f>
        <v>제51호표</v>
      </c>
    </row>
    <row r="440" spans="1:15" ht="18.75" customHeight="1">
      <c r="A440" s="962"/>
      <c r="B440" s="957" t="str">
        <f>[140]산출!B453</f>
        <v>갈바후레임제작설치</v>
      </c>
      <c r="C440" s="957" t="str">
        <f>[140]산출!C453</f>
        <v>1.6T</v>
      </c>
      <c r="D440" s="958" t="str">
        <f>[140]산출!G453</f>
        <v>하부바닥판</v>
      </c>
      <c r="E440" s="935" t="str">
        <f t="shared" si="143"/>
        <v>갈바후레임제작설치1.6TM2</v>
      </c>
      <c r="F440" s="896" t="str">
        <f>[140]산출!D453</f>
        <v>M2</v>
      </c>
      <c r="G440" s="936">
        <f>[140]산출!F453</f>
        <v>7.3311999999999999</v>
      </c>
      <c r="H440" s="935" t="str">
        <f t="shared" si="139"/>
        <v>갈바후레임제작설치1.6TM2</v>
      </c>
      <c r="I440" s="959">
        <f>VLOOKUP($H:$H,[140]일위목록!$A:$H,6,FALSE)</f>
        <v>16515</v>
      </c>
      <c r="J440" s="959">
        <f t="shared" si="144"/>
        <v>121074</v>
      </c>
      <c r="K440" s="959">
        <f>VLOOKUP($H:$H,[140]일위목록!$A:$H,7,FALSE)</f>
        <v>65362</v>
      </c>
      <c r="L440" s="959">
        <f t="shared" si="145"/>
        <v>479181</v>
      </c>
      <c r="M440" s="959">
        <f t="shared" si="146"/>
        <v>81877</v>
      </c>
      <c r="N440" s="959">
        <f t="shared" si="146"/>
        <v>600255</v>
      </c>
      <c r="O440" s="896" t="str">
        <f>VLOOKUP($H:$H,[140]일위목록!$A:$B,2,FALSE)</f>
        <v>제51호표</v>
      </c>
    </row>
    <row r="441" spans="1:15" ht="18.75" customHeight="1">
      <c r="A441" s="962"/>
      <c r="B441" s="957" t="str">
        <f>[140]산출!B454</f>
        <v>갈바후레임제작설치</v>
      </c>
      <c r="C441" s="957" t="str">
        <f>[140]산출!C454</f>
        <v>1.6T</v>
      </c>
      <c r="D441" s="958" t="str">
        <f>[140]산출!G454</f>
        <v>하부보강판</v>
      </c>
      <c r="E441" s="935" t="str">
        <f t="shared" si="143"/>
        <v>갈바후레임제작설치1.6TM2</v>
      </c>
      <c r="F441" s="896" t="str">
        <f>[140]산출!D454</f>
        <v>M2</v>
      </c>
      <c r="G441" s="936">
        <f>[140]산출!F454</f>
        <v>4.492799999999999</v>
      </c>
      <c r="H441" s="935" t="str">
        <f t="shared" si="139"/>
        <v>갈바후레임제작설치1.6TM2</v>
      </c>
      <c r="I441" s="959">
        <f>VLOOKUP($H:$H,[140]일위목록!$A:$H,6,FALSE)</f>
        <v>16515</v>
      </c>
      <c r="J441" s="959">
        <f t="shared" si="144"/>
        <v>74198</v>
      </c>
      <c r="K441" s="959">
        <f>VLOOKUP($H:$H,[140]일위목록!$A:$H,7,FALSE)</f>
        <v>65362</v>
      </c>
      <c r="L441" s="959">
        <f t="shared" si="145"/>
        <v>293658</v>
      </c>
      <c r="M441" s="959">
        <f t="shared" si="146"/>
        <v>81877</v>
      </c>
      <c r="N441" s="959">
        <f t="shared" si="146"/>
        <v>367856</v>
      </c>
      <c r="O441" s="896" t="str">
        <f>VLOOKUP($H:$H,[140]일위목록!$A:$B,2,FALSE)</f>
        <v>제51호표</v>
      </c>
    </row>
    <row r="442" spans="1:15" ht="18.75" customHeight="1">
      <c r="A442" s="962"/>
      <c r="B442" s="957" t="str">
        <f>[140]산출!B455</f>
        <v>- SYSTEM 장치</v>
      </c>
      <c r="C442" s="957"/>
      <c r="D442" s="958"/>
      <c r="E442" s="935"/>
      <c r="F442" s="896"/>
      <c r="G442" s="936"/>
      <c r="H442" s="935"/>
      <c r="I442" s="959"/>
      <c r="J442" s="959"/>
      <c r="K442" s="959"/>
      <c r="L442" s="959"/>
      <c r="M442" s="959"/>
      <c r="N442" s="959"/>
      <c r="O442" s="896"/>
    </row>
    <row r="443" spans="1:15" ht="18.75" customHeight="1">
      <c r="A443" s="962"/>
      <c r="B443" s="957" t="str">
        <f>[140]산출!B456</f>
        <v>피아노경첩 제작설치</v>
      </c>
      <c r="C443" s="957"/>
      <c r="D443" s="958">
        <f>[140]산출!G456</f>
        <v>0</v>
      </c>
      <c r="E443" s="935" t="str">
        <f t="shared" ref="E443:E456" si="147">SUBSTITUTE(CONCATENATE(B:B,C:C,F:F)," ","")</f>
        <v>피아노경첩제작설치M</v>
      </c>
      <c r="F443" s="896" t="str">
        <f>[140]산출!D456</f>
        <v>M</v>
      </c>
      <c r="G443" s="936">
        <f>[140]산출!F456</f>
        <v>23.2</v>
      </c>
      <c r="H443" s="935" t="str">
        <f t="shared" si="139"/>
        <v>피아노경첩제작설치M</v>
      </c>
      <c r="I443" s="959">
        <f>VLOOKUP($H:$H,[140]일위목록!$A:$H,6,FALSE)</f>
        <v>12630</v>
      </c>
      <c r="J443" s="959">
        <f t="shared" ref="J443:J456" si="148">TRUNC($G:$G*I:I)</f>
        <v>293016</v>
      </c>
      <c r="K443" s="959">
        <f>VLOOKUP($H:$H,[140]일위목록!$A:$H,7,FALSE)</f>
        <v>10973</v>
      </c>
      <c r="L443" s="959">
        <f t="shared" ref="L443:L456" si="149">TRUNC($G:$G*K:K)</f>
        <v>254573</v>
      </c>
      <c r="M443" s="959">
        <f t="shared" si="146"/>
        <v>23603</v>
      </c>
      <c r="N443" s="959">
        <f t="shared" si="146"/>
        <v>547589</v>
      </c>
      <c r="O443" s="896" t="str">
        <f>VLOOKUP($H:$H,[140]일위목록!$A:$B,2,FALSE)</f>
        <v>제88호표</v>
      </c>
    </row>
    <row r="444" spans="1:15" ht="18.75" customHeight="1">
      <c r="A444" s="962"/>
      <c r="B444" s="957" t="str">
        <f>[140]산출!B457</f>
        <v>LOCK SET 제작설치</v>
      </c>
      <c r="C444" s="957" t="str">
        <f>[140]산출!C457</f>
        <v>시건장치</v>
      </c>
      <c r="D444" s="958">
        <f>[140]산출!G457</f>
        <v>0</v>
      </c>
      <c r="E444" s="935" t="str">
        <f t="shared" si="147"/>
        <v>LOCKSET제작설치시건장치set</v>
      </c>
      <c r="F444" s="896" t="str">
        <f>[140]산출!D457</f>
        <v>set</v>
      </c>
      <c r="G444" s="936">
        <f>[140]산출!F457</f>
        <v>4</v>
      </c>
      <c r="H444" s="935" t="str">
        <f t="shared" si="139"/>
        <v>LOCKSET제작설치시건장치set</v>
      </c>
      <c r="I444" s="959">
        <f>VLOOKUP($H:$H,[140]일위목록!$A:$H,6,FALSE)</f>
        <v>48840</v>
      </c>
      <c r="J444" s="959">
        <f t="shared" si="148"/>
        <v>195360</v>
      </c>
      <c r="K444" s="959">
        <f>VLOOKUP($H:$H,[140]일위목록!$A:$H,7,FALSE)</f>
        <v>12605</v>
      </c>
      <c r="L444" s="959">
        <f t="shared" si="149"/>
        <v>50420</v>
      </c>
      <c r="M444" s="959">
        <f t="shared" si="146"/>
        <v>61445</v>
      </c>
      <c r="N444" s="959">
        <f t="shared" si="146"/>
        <v>245780</v>
      </c>
      <c r="O444" s="896" t="str">
        <f>VLOOKUP($H:$H,[140]일위목록!$A:$B,2,FALSE)</f>
        <v>제89호표</v>
      </c>
    </row>
    <row r="445" spans="1:15" ht="18.75" customHeight="1">
      <c r="A445" s="962"/>
      <c r="B445" s="957" t="str">
        <f>[140]산출!B458</f>
        <v>AL.패킹바 제작설치</v>
      </c>
      <c r="C445" s="957"/>
      <c r="D445" s="958">
        <f>[140]산출!G458</f>
        <v>0</v>
      </c>
      <c r="E445" s="935" t="str">
        <f t="shared" si="147"/>
        <v>AL.패킹바제작설치M</v>
      </c>
      <c r="F445" s="896" t="str">
        <f>[140]산출!D458</f>
        <v>M</v>
      </c>
      <c r="G445" s="936">
        <f>[140]산출!F458</f>
        <v>46.4</v>
      </c>
      <c r="H445" s="935" t="str">
        <f t="shared" si="139"/>
        <v>AL.패킹바제작설치M</v>
      </c>
      <c r="I445" s="959">
        <f>VLOOKUP($H:$H,[140]일위목록!$A:$H,6,FALSE)</f>
        <v>5250</v>
      </c>
      <c r="J445" s="959">
        <f t="shared" si="148"/>
        <v>243600</v>
      </c>
      <c r="K445" s="959">
        <f>VLOOKUP($H:$H,[140]일위목록!$A:$H,7,FALSE)</f>
        <v>3534</v>
      </c>
      <c r="L445" s="959">
        <f t="shared" si="149"/>
        <v>163977</v>
      </c>
      <c r="M445" s="959">
        <f t="shared" si="146"/>
        <v>8784</v>
      </c>
      <c r="N445" s="959">
        <f t="shared" si="146"/>
        <v>407577</v>
      </c>
      <c r="O445" s="896" t="str">
        <f>VLOOKUP($H:$H,[140]일위목록!$A:$B,2,FALSE)</f>
        <v>제92호표</v>
      </c>
    </row>
    <row r="446" spans="1:15" ht="18.75" customHeight="1">
      <c r="A446" s="962"/>
      <c r="B446" s="957" t="str">
        <f>[140]산출!B459</f>
        <v>밀폐패킹 설치</v>
      </c>
      <c r="C446" s="957" t="str">
        <f>[140]산출!C459</f>
        <v>소형</v>
      </c>
      <c r="D446" s="958">
        <f>[140]산출!G459</f>
        <v>0</v>
      </c>
      <c r="E446" s="935" t="str">
        <f t="shared" si="147"/>
        <v>밀폐패킹설치소형M</v>
      </c>
      <c r="F446" s="896" t="str">
        <f>[140]산출!D459</f>
        <v>M</v>
      </c>
      <c r="G446" s="936">
        <f>[140]산출!F459</f>
        <v>56.707999999999998</v>
      </c>
      <c r="H446" s="935" t="str">
        <f t="shared" si="139"/>
        <v>밀폐패킹설치소형M</v>
      </c>
      <c r="I446" s="959">
        <f>VLOOKUP($H:$H,[140]일위목록!$A:$H,6,FALSE)</f>
        <v>6300</v>
      </c>
      <c r="J446" s="959">
        <f t="shared" si="148"/>
        <v>357260</v>
      </c>
      <c r="K446" s="959">
        <f>VLOOKUP($H:$H,[140]일위목록!$A:$H,7,FALSE)</f>
        <v>2397</v>
      </c>
      <c r="L446" s="959">
        <f t="shared" si="149"/>
        <v>135929</v>
      </c>
      <c r="M446" s="959">
        <f t="shared" si="146"/>
        <v>8697</v>
      </c>
      <c r="N446" s="959">
        <f t="shared" si="146"/>
        <v>493189</v>
      </c>
      <c r="O446" s="896" t="str">
        <f>VLOOKUP($H:$H,[140]일위목록!$A:$B,2,FALSE)</f>
        <v>제93호표</v>
      </c>
    </row>
    <row r="447" spans="1:15" ht="18.75" customHeight="1">
      <c r="A447" s="962"/>
      <c r="B447" s="957" t="str">
        <f>[140]산출!B460</f>
        <v>AL.사출유리후렘 제작설치</v>
      </c>
      <c r="C447" s="957" t="str">
        <f>[140]산출!C460</f>
        <v>독립장(상부)</v>
      </c>
      <c r="D447" s="958">
        <f>[140]산출!G460</f>
        <v>0</v>
      </c>
      <c r="E447" s="935" t="str">
        <f t="shared" si="147"/>
        <v>AL.사출유리후렘제작설치독립장(상부)M</v>
      </c>
      <c r="F447" s="896" t="str">
        <f>[140]산출!D460</f>
        <v>M</v>
      </c>
      <c r="G447" s="936">
        <f>[140]산출!F460</f>
        <v>23.2</v>
      </c>
      <c r="H447" s="935" t="str">
        <f t="shared" si="139"/>
        <v>AL.사출유리후렘제작설치독립장(상부)M</v>
      </c>
      <c r="I447" s="959">
        <f>VLOOKUP($H:$H,[140]일위목록!$A:$H,6,FALSE)</f>
        <v>157500</v>
      </c>
      <c r="J447" s="959">
        <f t="shared" si="148"/>
        <v>3654000</v>
      </c>
      <c r="K447" s="959">
        <f>VLOOKUP($H:$H,[140]일위목록!$A:$H,7,FALSE)</f>
        <v>53130</v>
      </c>
      <c r="L447" s="959">
        <f t="shared" si="149"/>
        <v>1232616</v>
      </c>
      <c r="M447" s="959">
        <f t="shared" si="146"/>
        <v>210630</v>
      </c>
      <c r="N447" s="959">
        <f t="shared" si="146"/>
        <v>4886616</v>
      </c>
      <c r="O447" s="896" t="str">
        <f>VLOOKUP($H:$H,[140]일위목록!$A:$B,2,FALSE)</f>
        <v>제97호표</v>
      </c>
    </row>
    <row r="448" spans="1:15" ht="18.75" customHeight="1">
      <c r="A448" s="962"/>
      <c r="B448" s="957" t="str">
        <f>[140]산출!B461</f>
        <v>AL.사출유리후렘 제작설치</v>
      </c>
      <c r="C448" s="957" t="str">
        <f>[140]산출!C461</f>
        <v>독립장(하부)</v>
      </c>
      <c r="D448" s="958">
        <f>[140]산출!G461</f>
        <v>0</v>
      </c>
      <c r="E448" s="935" t="str">
        <f t="shared" si="147"/>
        <v>AL.사출유리후렘제작설치독립장(하부)M</v>
      </c>
      <c r="F448" s="896" t="str">
        <f>[140]산출!D461</f>
        <v>M</v>
      </c>
      <c r="G448" s="936">
        <f>[140]산출!F461</f>
        <v>23.2</v>
      </c>
      <c r="H448" s="935" t="str">
        <f t="shared" si="139"/>
        <v>AL.사출유리후렘제작설치독립장(하부)M</v>
      </c>
      <c r="I448" s="959">
        <f>VLOOKUP($H:$H,[140]일위목록!$A:$H,6,FALSE)</f>
        <v>115500</v>
      </c>
      <c r="J448" s="959">
        <f t="shared" si="148"/>
        <v>2679600</v>
      </c>
      <c r="K448" s="959">
        <f>VLOOKUP($H:$H,[140]일위목록!$A:$H,7,FALSE)</f>
        <v>35420</v>
      </c>
      <c r="L448" s="959">
        <f t="shared" si="149"/>
        <v>821744</v>
      </c>
      <c r="M448" s="959">
        <f t="shared" si="146"/>
        <v>150920</v>
      </c>
      <c r="N448" s="959">
        <f t="shared" si="146"/>
        <v>3501344</v>
      </c>
      <c r="O448" s="896" t="str">
        <f>VLOOKUP($H:$H,[140]일위목록!$A:$B,2,FALSE)</f>
        <v>제98호표</v>
      </c>
    </row>
    <row r="449" spans="1:15" ht="18.75" customHeight="1">
      <c r="A449" s="962"/>
      <c r="B449" s="957" t="str">
        <f>[140]산출!B462</f>
        <v>모터구동시스템 설치</v>
      </c>
      <c r="C449" s="957" t="str">
        <f>[140]산출!C462</f>
        <v>웜기어 전동실린더</v>
      </c>
      <c r="D449" s="958">
        <f>[140]산출!G462</f>
        <v>0</v>
      </c>
      <c r="E449" s="935" t="str">
        <f t="shared" si="147"/>
        <v>모터구동시스템설치웜기어전동실린더SET</v>
      </c>
      <c r="F449" s="896" t="str">
        <f>[140]산출!D462</f>
        <v>SET</v>
      </c>
      <c r="G449" s="936">
        <f>[140]산출!F462</f>
        <v>32</v>
      </c>
      <c r="H449" s="935" t="str">
        <f t="shared" si="139"/>
        <v>모터구동시스템설치웜기어전동실린더SET</v>
      </c>
      <c r="I449" s="959">
        <f>VLOOKUP($H:$H,[140]일위목록!$A:$H,6,FALSE)</f>
        <v>353000</v>
      </c>
      <c r="J449" s="959">
        <f t="shared" si="148"/>
        <v>11296000</v>
      </c>
      <c r="K449" s="959">
        <f>VLOOKUP($H:$H,[140]일위목록!$A:$H,7,FALSE)</f>
        <v>96655</v>
      </c>
      <c r="L449" s="959">
        <f t="shared" si="149"/>
        <v>3092960</v>
      </c>
      <c r="M449" s="959">
        <f t="shared" si="146"/>
        <v>449655</v>
      </c>
      <c r="N449" s="959">
        <f t="shared" si="146"/>
        <v>14388960</v>
      </c>
      <c r="O449" s="896" t="str">
        <f>VLOOKUP($H:$H,[140]일위목록!$A:$B,2,FALSE)</f>
        <v>제101호표</v>
      </c>
    </row>
    <row r="450" spans="1:15" ht="18.75" customHeight="1">
      <c r="A450" s="962"/>
      <c r="B450" s="957" t="str">
        <f>[140]산출!B463</f>
        <v>LM가이드시스템 가공 설치</v>
      </c>
      <c r="C450" s="957" t="str">
        <f>[140]산출!C463</f>
        <v>Ø25</v>
      </c>
      <c r="D450" s="958">
        <f>[140]산출!G463</f>
        <v>0</v>
      </c>
      <c r="E450" s="935" t="str">
        <f t="shared" si="147"/>
        <v>LM가이드시스템가공설치Ø25SET</v>
      </c>
      <c r="F450" s="896" t="str">
        <f>[140]산출!D463</f>
        <v>SET</v>
      </c>
      <c r="G450" s="936">
        <f>[140]산출!F463</f>
        <v>64</v>
      </c>
      <c r="H450" s="935" t="str">
        <f t="shared" si="139"/>
        <v>LM가이드시스템가공설치Ø25SET</v>
      </c>
      <c r="I450" s="959">
        <f>VLOOKUP($H:$H,[140]일위목록!$A:$H,6,FALSE)</f>
        <v>144000</v>
      </c>
      <c r="J450" s="959">
        <f t="shared" si="148"/>
        <v>9216000</v>
      </c>
      <c r="K450" s="959">
        <f>VLOOKUP($H:$H,[140]일위목록!$A:$H,7,FALSE)</f>
        <v>18323</v>
      </c>
      <c r="L450" s="959">
        <f t="shared" si="149"/>
        <v>1172672</v>
      </c>
      <c r="M450" s="959">
        <f t="shared" si="146"/>
        <v>162323</v>
      </c>
      <c r="N450" s="959">
        <f t="shared" si="146"/>
        <v>10388672</v>
      </c>
      <c r="O450" s="896" t="str">
        <f>VLOOKUP($H:$H,[140]일위목록!$A:$B,2,FALSE)</f>
        <v>제100호표</v>
      </c>
    </row>
    <row r="451" spans="1:15" ht="18.75" customHeight="1">
      <c r="A451" s="962"/>
      <c r="B451" s="957" t="str">
        <f>[140]산출!B464</f>
        <v>베어링레일및가공 설치</v>
      </c>
      <c r="C451" s="957" t="str">
        <f>[140]산출!C464</f>
        <v>22*42 2.3T 가공</v>
      </c>
      <c r="D451" s="958">
        <f>[140]산출!G464</f>
        <v>0</v>
      </c>
      <c r="E451" s="935" t="str">
        <f t="shared" si="147"/>
        <v>베어링레일및가공설치22*422.3T가공M</v>
      </c>
      <c r="F451" s="896" t="str">
        <f>[140]산출!D464</f>
        <v>M</v>
      </c>
      <c r="G451" s="936">
        <f>[140]산출!F464</f>
        <v>46.4</v>
      </c>
      <c r="H451" s="935" t="str">
        <f t="shared" si="139"/>
        <v>베어링레일및가공설치22*422.3T가공M</v>
      </c>
      <c r="I451" s="959">
        <f>VLOOKUP($H:$H,[140]일위목록!$A:$H,6,FALSE)</f>
        <v>136500</v>
      </c>
      <c r="J451" s="959">
        <f t="shared" si="148"/>
        <v>6333600</v>
      </c>
      <c r="K451" s="959">
        <f>VLOOKUP($H:$H,[140]일위목록!$A:$H,7,FALSE)</f>
        <v>35420</v>
      </c>
      <c r="L451" s="959">
        <f t="shared" si="149"/>
        <v>1643488</v>
      </c>
      <c r="M451" s="959">
        <f t="shared" si="146"/>
        <v>171920</v>
      </c>
      <c r="N451" s="959">
        <f t="shared" si="146"/>
        <v>7977088</v>
      </c>
      <c r="O451" s="896" t="str">
        <f>VLOOKUP($H:$H,[140]일위목록!$A:$B,2,FALSE)</f>
        <v>제102호표</v>
      </c>
    </row>
    <row r="452" spans="1:15" ht="18.75" customHeight="1">
      <c r="A452" s="962"/>
      <c r="B452" s="957" t="str">
        <f>[140]산출!B465</f>
        <v>슬라이딩베어링 가공조립</v>
      </c>
      <c r="C452" s="957" t="str">
        <f>[140]산출!C465</f>
        <v>Ø26</v>
      </c>
      <c r="D452" s="958">
        <f>[140]산출!G465</f>
        <v>0</v>
      </c>
      <c r="E452" s="935" t="str">
        <f t="shared" si="147"/>
        <v>슬라이딩베어링가공조립Ø26EA</v>
      </c>
      <c r="F452" s="896" t="str">
        <f>[140]산출!D465</f>
        <v>EA</v>
      </c>
      <c r="G452" s="936">
        <f>[140]산출!F465</f>
        <v>300</v>
      </c>
      <c r="H452" s="935" t="str">
        <f t="shared" si="139"/>
        <v>슬라이딩베어링가공조립Ø26EA</v>
      </c>
      <c r="I452" s="959">
        <f>VLOOKUP($H:$H,[140]일위목록!$A:$H,6,FALSE)</f>
        <v>6500</v>
      </c>
      <c r="J452" s="959">
        <f t="shared" si="148"/>
        <v>1950000</v>
      </c>
      <c r="K452" s="959">
        <f>VLOOKUP($H:$H,[140]일위목록!$A:$H,7,FALSE)</f>
        <v>3864</v>
      </c>
      <c r="L452" s="959">
        <f t="shared" si="149"/>
        <v>1159200</v>
      </c>
      <c r="M452" s="959">
        <f t="shared" si="146"/>
        <v>10364</v>
      </c>
      <c r="N452" s="959">
        <f t="shared" si="146"/>
        <v>3109200</v>
      </c>
      <c r="O452" s="896" t="str">
        <f>VLOOKUP($H:$H,[140]일위목록!$A:$B,2,FALSE)</f>
        <v>제104호표</v>
      </c>
    </row>
    <row r="453" spans="1:15" ht="18.75" customHeight="1">
      <c r="A453" s="962"/>
      <c r="B453" s="957" t="str">
        <f>[140]산출!B466</f>
        <v>베어링 붓싱가공조립</v>
      </c>
      <c r="C453" s="957" t="str">
        <f>[140]산출!C466</f>
        <v>#6200</v>
      </c>
      <c r="D453" s="958">
        <f>[140]산출!G466</f>
        <v>0</v>
      </c>
      <c r="E453" s="935" t="str">
        <f t="shared" si="147"/>
        <v>베어링붓싱가공조립#6200EA</v>
      </c>
      <c r="F453" s="896" t="str">
        <f>[140]산출!D466</f>
        <v>EA</v>
      </c>
      <c r="G453" s="936">
        <f>[140]산출!F466</f>
        <v>300</v>
      </c>
      <c r="H453" s="935" t="str">
        <f t="shared" si="139"/>
        <v>베어링붓싱가공조립#6200EA</v>
      </c>
      <c r="I453" s="959">
        <f>VLOOKUP($H:$H,[140]일위목록!$A:$H,6,FALSE)</f>
        <v>6000</v>
      </c>
      <c r="J453" s="959">
        <f t="shared" si="148"/>
        <v>1800000</v>
      </c>
      <c r="K453" s="959">
        <f>VLOOKUP($H:$H,[140]일위목록!$A:$H,7,FALSE)</f>
        <v>3864</v>
      </c>
      <c r="L453" s="959">
        <f t="shared" si="149"/>
        <v>1159200</v>
      </c>
      <c r="M453" s="959">
        <f t="shared" si="146"/>
        <v>9864</v>
      </c>
      <c r="N453" s="959">
        <f t="shared" si="146"/>
        <v>2959200</v>
      </c>
      <c r="O453" s="896" t="str">
        <f>VLOOKUP($H:$H,[140]일위목록!$A:$B,2,FALSE)</f>
        <v>제105호표</v>
      </c>
    </row>
    <row r="454" spans="1:15" ht="18.75" customHeight="1">
      <c r="A454" s="962"/>
      <c r="B454" s="957" t="str">
        <f>[140]산출!B467</f>
        <v>유압쇽업쇼바 제작설치</v>
      </c>
      <c r="C454" s="957" t="str">
        <f>[140]산출!C467</f>
        <v>20kg</v>
      </c>
      <c r="D454" s="958">
        <f>[140]산출!G467</f>
        <v>0</v>
      </c>
      <c r="E454" s="935" t="str">
        <f t="shared" si="147"/>
        <v>유압쇽업쇼바제작설치20kgSET</v>
      </c>
      <c r="F454" s="896" t="str">
        <f>[140]산출!D467</f>
        <v>SET</v>
      </c>
      <c r="G454" s="936">
        <f>[140]산출!F467</f>
        <v>8</v>
      </c>
      <c r="H454" s="935" t="str">
        <f t="shared" si="139"/>
        <v>유압쇽업쇼바제작설치20kgSET</v>
      </c>
      <c r="I454" s="959">
        <f>VLOOKUP($H:$H,[140]일위목록!$A:$H,6,FALSE)</f>
        <v>39224</v>
      </c>
      <c r="J454" s="959">
        <f t="shared" si="148"/>
        <v>313792</v>
      </c>
      <c r="K454" s="959">
        <f>VLOOKUP($H:$H,[140]일위목록!$A:$H,7,FALSE)</f>
        <v>3792</v>
      </c>
      <c r="L454" s="959">
        <f t="shared" si="149"/>
        <v>30336</v>
      </c>
      <c r="M454" s="959">
        <f t="shared" si="146"/>
        <v>43016</v>
      </c>
      <c r="N454" s="959">
        <f t="shared" si="146"/>
        <v>344128</v>
      </c>
      <c r="O454" s="896" t="str">
        <f>VLOOKUP($H:$H,[140]일위목록!$A:$B,2,FALSE)</f>
        <v>제90호표</v>
      </c>
    </row>
    <row r="455" spans="1:15" ht="18.75" customHeight="1">
      <c r="A455" s="962"/>
      <c r="B455" s="957" t="str">
        <f>[140]산출!B468</f>
        <v>센터베어링및스톱파 가공조립</v>
      </c>
      <c r="C455" s="957" t="str">
        <f>[140]산출!C468</f>
        <v>독립형1단</v>
      </c>
      <c r="D455" s="958">
        <f>[140]산출!G468</f>
        <v>0</v>
      </c>
      <c r="E455" s="935" t="str">
        <f t="shared" si="147"/>
        <v>센터베어링및스톱파가공조립독립형1단SET</v>
      </c>
      <c r="F455" s="896" t="str">
        <f>[140]산출!D468</f>
        <v>SET</v>
      </c>
      <c r="G455" s="936">
        <f>[140]산출!F468</f>
        <v>2</v>
      </c>
      <c r="H455" s="935" t="str">
        <f t="shared" si="139"/>
        <v>센터베어링및스톱파가공조립독립형1단SET</v>
      </c>
      <c r="I455" s="959">
        <f>VLOOKUP($H:$H,[140]일위목록!$A:$H,6,FALSE)</f>
        <v>85000</v>
      </c>
      <c r="J455" s="959">
        <f t="shared" si="148"/>
        <v>170000</v>
      </c>
      <c r="K455" s="959">
        <f>VLOOKUP($H:$H,[140]일위목록!$A:$H,7,FALSE)</f>
        <v>62887</v>
      </c>
      <c r="L455" s="959">
        <f t="shared" si="149"/>
        <v>125774</v>
      </c>
      <c r="M455" s="959">
        <f t="shared" si="146"/>
        <v>147887</v>
      </c>
      <c r="N455" s="959">
        <f t="shared" si="146"/>
        <v>295774</v>
      </c>
      <c r="O455" s="896" t="str">
        <f>VLOOKUP($H:$H,[140]일위목록!$A:$B,2,FALSE)</f>
        <v>제108호표</v>
      </c>
    </row>
    <row r="456" spans="1:15" ht="18.75" customHeight="1">
      <c r="A456" s="962"/>
      <c r="B456" s="957" t="str">
        <f>[140]산출!B469</f>
        <v>전후진 전동콘트롤 제작설치</v>
      </c>
      <c r="C456" s="957" t="str">
        <f>[140]산출!C469</f>
        <v>독립형</v>
      </c>
      <c r="D456" s="958">
        <f>[140]산출!G469</f>
        <v>0</v>
      </c>
      <c r="E456" s="935" t="str">
        <f t="shared" si="147"/>
        <v>전후진전동콘트롤제작설치독립형SET</v>
      </c>
      <c r="F456" s="896" t="str">
        <f>[140]산출!D469</f>
        <v>SET</v>
      </c>
      <c r="G456" s="936">
        <f>[140]산출!F469</f>
        <v>2</v>
      </c>
      <c r="H456" s="935" t="str">
        <f t="shared" si="139"/>
        <v>전후진전동콘트롤제작설치독립형SET</v>
      </c>
      <c r="I456" s="959">
        <f>VLOOKUP($H:$H,[140]일위목록!$A:$H,6,FALSE)</f>
        <v>400000</v>
      </c>
      <c r="J456" s="959">
        <f t="shared" si="148"/>
        <v>800000</v>
      </c>
      <c r="K456" s="959">
        <f>VLOOKUP($H:$H,[140]일위목록!$A:$H,7,FALSE)</f>
        <v>65053</v>
      </c>
      <c r="L456" s="959">
        <f t="shared" si="149"/>
        <v>130106</v>
      </c>
      <c r="M456" s="959">
        <f t="shared" si="146"/>
        <v>465053</v>
      </c>
      <c r="N456" s="959">
        <f t="shared" si="146"/>
        <v>930106</v>
      </c>
      <c r="O456" s="896" t="str">
        <f>VLOOKUP($H:$H,[140]일위목록!$A:$B,2,FALSE)</f>
        <v>제111호표</v>
      </c>
    </row>
    <row r="457" spans="1:15" ht="18.75" customHeight="1">
      <c r="A457" s="962"/>
      <c r="B457" s="957" t="str">
        <f>[140]산출!B470</f>
        <v>- 수장설치</v>
      </c>
      <c r="C457" s="957"/>
      <c r="D457" s="958"/>
      <c r="E457" s="935"/>
      <c r="F457" s="896"/>
      <c r="G457" s="936"/>
      <c r="H457" s="935"/>
      <c r="I457" s="959"/>
      <c r="J457" s="959"/>
      <c r="K457" s="959"/>
      <c r="L457" s="959"/>
      <c r="M457" s="959"/>
      <c r="N457" s="959"/>
      <c r="O457" s="896"/>
    </row>
    <row r="458" spans="1:15" ht="18.75" customHeight="1">
      <c r="A458" s="962"/>
      <c r="B458" s="957" t="str">
        <f>[140]산출!B471</f>
        <v>합판취부</v>
      </c>
      <c r="C458" s="957" t="str">
        <f>[140]산출!C471</f>
        <v>T11.5mm 2PLY</v>
      </c>
      <c r="D458" s="958">
        <f>[140]산출!G471</f>
        <v>0</v>
      </c>
      <c r="E458" s="935" t="str">
        <f>SUBSTITUTE(CONCATENATE(B:B,C:C,F:F)," ","")</f>
        <v>합판취부T11.5mm2PLYM2</v>
      </c>
      <c r="F458" s="896" t="str">
        <f>[140]산출!D471</f>
        <v>M2</v>
      </c>
      <c r="G458" s="936">
        <f>[140]산출!F471</f>
        <v>40.928000000000004</v>
      </c>
      <c r="H458" s="935" t="str">
        <f t="shared" si="139"/>
        <v>합판취부T11.5mm2PLYM2</v>
      </c>
      <c r="I458" s="959">
        <f>VLOOKUP($H:$H,[140]일위목록!$A:$H,6,FALSE)</f>
        <v>19751</v>
      </c>
      <c r="J458" s="959">
        <f>TRUNC($G:$G*I:I)</f>
        <v>808368</v>
      </c>
      <c r="K458" s="959">
        <f>VLOOKUP($H:$H,[140]일위목록!$A:$H,7,FALSE)</f>
        <v>35580</v>
      </c>
      <c r="L458" s="959">
        <f>TRUNC($G:$G*K:K)</f>
        <v>1456218</v>
      </c>
      <c r="M458" s="959">
        <f t="shared" si="146"/>
        <v>55331</v>
      </c>
      <c r="N458" s="959">
        <f t="shared" si="146"/>
        <v>2264586</v>
      </c>
      <c r="O458" s="896" t="str">
        <f>VLOOKUP($H:$H,[140]일위목록!$A:$B,2,FALSE)</f>
        <v>제43호표</v>
      </c>
    </row>
    <row r="459" spans="1:15" ht="18.75" customHeight="1">
      <c r="A459" s="962"/>
      <c r="B459" s="957" t="str">
        <f>[140]산출!B472</f>
        <v>바탕처리</v>
      </c>
      <c r="C459" s="957" t="str">
        <f>[140]산출!C472</f>
        <v>도배퍼티</v>
      </c>
      <c r="D459" s="958">
        <f>[140]산출!G472</f>
        <v>0</v>
      </c>
      <c r="E459" s="935" t="str">
        <f>SUBSTITUTE(CONCATENATE(B:B,C:C,F:F)," ","")</f>
        <v>바탕처리도배퍼티M2</v>
      </c>
      <c r="F459" s="896" t="str">
        <f>[140]산출!D472</f>
        <v>M2</v>
      </c>
      <c r="G459" s="936">
        <f>[140]산출!F472</f>
        <v>40.928000000000004</v>
      </c>
      <c r="H459" s="935" t="str">
        <f t="shared" si="139"/>
        <v>바탕처리도배퍼티M2</v>
      </c>
      <c r="I459" s="959">
        <f>VLOOKUP($H:$H,[140]일위목록!$A:$H,6,FALSE)</f>
        <v>1160</v>
      </c>
      <c r="J459" s="959">
        <f>TRUNC($G:$G*I:I)</f>
        <v>47476</v>
      </c>
      <c r="K459" s="959">
        <f>VLOOKUP($H:$H,[140]일위목록!$A:$H,7,FALSE)</f>
        <v>7711</v>
      </c>
      <c r="L459" s="959">
        <f>TRUNC($G:$G*K:K)</f>
        <v>315595</v>
      </c>
      <c r="M459" s="959">
        <f t="shared" si="146"/>
        <v>8871</v>
      </c>
      <c r="N459" s="959">
        <f t="shared" si="146"/>
        <v>363071</v>
      </c>
      <c r="O459" s="896" t="str">
        <f>VLOOKUP($H:$H,[140]일위목록!$A:$B,2,FALSE)</f>
        <v>제55호표</v>
      </c>
    </row>
    <row r="460" spans="1:15" ht="18.75" customHeight="1">
      <c r="A460" s="962"/>
      <c r="B460" s="957" t="str">
        <f>[140]산출!B473</f>
        <v>내부도배</v>
      </c>
      <c r="C460" s="957" t="str">
        <f>[140]산출!C473</f>
        <v>세마직벽지</v>
      </c>
      <c r="D460" s="958">
        <f>[140]산출!G473</f>
        <v>0</v>
      </c>
      <c r="E460" s="935" t="str">
        <f>SUBSTITUTE(CONCATENATE(B:B,C:C,F:F)," ","")</f>
        <v>내부도배세마직벽지M2</v>
      </c>
      <c r="F460" s="896" t="str">
        <f>[140]산출!D473</f>
        <v>M2</v>
      </c>
      <c r="G460" s="936">
        <f>[140]산출!F473</f>
        <v>40.928000000000004</v>
      </c>
      <c r="H460" s="935" t="str">
        <f t="shared" si="139"/>
        <v>내부도배세마직벽지M2</v>
      </c>
      <c r="I460" s="959">
        <f>VLOOKUP($H:$H,[140]일위목록!$A:$H,6,FALSE)</f>
        <v>47152</v>
      </c>
      <c r="J460" s="959">
        <f>TRUNC($G:$G*I:I)</f>
        <v>1929837</v>
      </c>
      <c r="K460" s="959">
        <f>VLOOKUP($H:$H,[140]일위목록!$A:$H,7,FALSE)</f>
        <v>5222</v>
      </c>
      <c r="L460" s="959">
        <f>TRUNC($G:$G*K:K)</f>
        <v>213726</v>
      </c>
      <c r="M460" s="959">
        <f t="shared" si="146"/>
        <v>52374</v>
      </c>
      <c r="N460" s="959">
        <f t="shared" si="146"/>
        <v>2143563</v>
      </c>
      <c r="O460" s="896" t="str">
        <f>VLOOKUP($H:$H,[140]일위목록!$A:$B,2,FALSE)</f>
        <v>제56호표</v>
      </c>
    </row>
    <row r="461" spans="1:15" ht="18.75" customHeight="1">
      <c r="A461" s="962"/>
      <c r="B461" s="957" t="str">
        <f>[140]산출!B474</f>
        <v>우레탄칼라락카도장</v>
      </c>
      <c r="C461" s="957" t="str">
        <f>[140]산출!C474</f>
        <v>철재면기준</v>
      </c>
      <c r="D461" s="958">
        <f>[140]산출!G474</f>
        <v>0</v>
      </c>
      <c r="E461" s="935" t="str">
        <f>SUBSTITUTE(CONCATENATE(B:B,C:C,F:F)," ","")</f>
        <v>우레탄칼라락카도장철재면기준M2</v>
      </c>
      <c r="F461" s="896" t="str">
        <f>[140]산출!D474</f>
        <v>M2</v>
      </c>
      <c r="G461" s="936">
        <f>[140]산출!F474</f>
        <v>84.260600000000011</v>
      </c>
      <c r="H461" s="935" t="str">
        <f t="shared" si="139"/>
        <v>우레탄칼라락카도장철재면기준M2</v>
      </c>
      <c r="I461" s="959">
        <f>VLOOKUP($H:$H,[140]일위목록!$A:$H,6,FALSE)</f>
        <v>16103</v>
      </c>
      <c r="J461" s="959">
        <f>TRUNC($G:$G*I:I)</f>
        <v>1356848</v>
      </c>
      <c r="K461" s="959">
        <f>VLOOKUP($H:$H,[140]일위목록!$A:$H,7,FALSE)</f>
        <v>22265</v>
      </c>
      <c r="L461" s="959">
        <f>TRUNC($G:$G*K:K)</f>
        <v>1876062</v>
      </c>
      <c r="M461" s="959">
        <f t="shared" si="146"/>
        <v>38368</v>
      </c>
      <c r="N461" s="959">
        <f t="shared" si="146"/>
        <v>3232910</v>
      </c>
      <c r="O461" s="896" t="str">
        <f>VLOOKUP($H:$H,[140]일위목록!$A:$B,2,FALSE)</f>
        <v>제40호표</v>
      </c>
    </row>
    <row r="462" spans="1:15" ht="18.75" customHeight="1">
      <c r="A462" s="962"/>
      <c r="B462" s="957" t="str">
        <f>[140]산출!B475</f>
        <v>바탕처리</v>
      </c>
      <c r="C462" s="957" t="str">
        <f>[140]산출!C475</f>
        <v>철재면기준</v>
      </c>
      <c r="D462" s="958">
        <f>[140]산출!G475</f>
        <v>0</v>
      </c>
      <c r="E462" s="935" t="str">
        <f>SUBSTITUTE(CONCATENATE(B:B,C:C,F:F)," ","")</f>
        <v>바탕처리철재면기준M2</v>
      </c>
      <c r="F462" s="896" t="str">
        <f>[140]산출!D475</f>
        <v>M2</v>
      </c>
      <c r="G462" s="936">
        <f>[140]산출!F475</f>
        <v>84.260600000000011</v>
      </c>
      <c r="H462" s="935" t="str">
        <f t="shared" si="139"/>
        <v>바탕처리철재면기준M2</v>
      </c>
      <c r="I462" s="959">
        <f>VLOOKUP($H:$H,[140]일위목록!$A:$H,6,FALSE)</f>
        <v>4891</v>
      </c>
      <c r="J462" s="959">
        <f>TRUNC($G:$G*I:I)</f>
        <v>412118</v>
      </c>
      <c r="K462" s="959">
        <f>VLOOKUP($H:$H,[140]일위목록!$A:$H,7,FALSE)</f>
        <v>15314</v>
      </c>
      <c r="L462" s="959">
        <f>TRUNC($G:$G*K:K)</f>
        <v>1290366</v>
      </c>
      <c r="M462" s="959">
        <f t="shared" si="146"/>
        <v>20205</v>
      </c>
      <c r="N462" s="959">
        <f t="shared" si="146"/>
        <v>1702484</v>
      </c>
      <c r="O462" s="896" t="str">
        <f>VLOOKUP($H:$H,[140]일위목록!$A:$B,2,FALSE)</f>
        <v>제41호표</v>
      </c>
    </row>
    <row r="463" spans="1:15" ht="18.75" customHeight="1">
      <c r="A463" s="962"/>
      <c r="B463" s="957" t="str">
        <f>[140]산출!B476</f>
        <v>- 유리설치</v>
      </c>
      <c r="C463" s="957"/>
      <c r="D463" s="958"/>
      <c r="E463" s="935"/>
      <c r="F463" s="896"/>
      <c r="G463" s="936"/>
      <c r="H463" s="935"/>
      <c r="I463" s="959"/>
      <c r="J463" s="959"/>
      <c r="K463" s="959"/>
      <c r="L463" s="959"/>
      <c r="M463" s="959"/>
      <c r="N463" s="959"/>
      <c r="O463" s="896"/>
    </row>
    <row r="464" spans="1:15" ht="18.75" customHeight="1">
      <c r="A464" s="962"/>
      <c r="B464" s="957" t="str">
        <f>[140]산출!B477</f>
        <v>화이트 접합유리 끼우기</v>
      </c>
      <c r="C464" s="957" t="str">
        <f>[140]산출!C477</f>
        <v>T12.76mm (2,400*3,400기준)</v>
      </c>
      <c r="D464" s="958">
        <f>[140]산출!G477</f>
        <v>0</v>
      </c>
      <c r="E464" s="935" t="str">
        <f>SUBSTITUTE(CONCATENATE(B:B,C:C,F:F)," ","")</f>
        <v>화이트접합유리끼우기T12.76mm(2,400*3,400기준)M2</v>
      </c>
      <c r="F464" s="896" t="str">
        <f>[140]산출!D477</f>
        <v>M2</v>
      </c>
      <c r="G464" s="936">
        <f>[140]산출!F477</f>
        <v>69.924999999999997</v>
      </c>
      <c r="H464" s="935" t="str">
        <f t="shared" si="139"/>
        <v>화이트접합유리끼우기T12.76mm(2,400*3,400기준)M2</v>
      </c>
      <c r="I464" s="959">
        <f>VLOOKUP($H:$H,[140]일위목록!$A:$H,6,FALSE)</f>
        <v>225283</v>
      </c>
      <c r="J464" s="959">
        <f>TRUNC($G:$G*I:I)</f>
        <v>15752913</v>
      </c>
      <c r="K464" s="959">
        <f>VLOOKUP($H:$H,[140]일위목록!$A:$H,7,FALSE)</f>
        <v>71881</v>
      </c>
      <c r="L464" s="959">
        <f>TRUNC($G:$G*K:K)</f>
        <v>5026278</v>
      </c>
      <c r="M464" s="959">
        <f t="shared" si="146"/>
        <v>297164</v>
      </c>
      <c r="N464" s="959">
        <f t="shared" si="146"/>
        <v>20779191</v>
      </c>
      <c r="O464" s="896" t="str">
        <f>VLOOKUP($H:$H,[140]일위목록!$A:$B,2,FALSE)</f>
        <v>제63호표</v>
      </c>
    </row>
    <row r="465" spans="1:15" ht="18.75" customHeight="1">
      <c r="A465" s="962"/>
      <c r="B465" s="957" t="str">
        <f>[140]산출!B478</f>
        <v>코    킹</v>
      </c>
      <c r="C465" s="957"/>
      <c r="D465" s="958">
        <f>[140]산출!G478</f>
        <v>0</v>
      </c>
      <c r="E465" s="935" t="str">
        <f>SUBSTITUTE(CONCATENATE(B:B,C:C,F:F)," ","")</f>
        <v>코킹M</v>
      </c>
      <c r="F465" s="896" t="str">
        <f>[140]산출!D478</f>
        <v>M</v>
      </c>
      <c r="G465" s="936">
        <f>[140]산출!F478</f>
        <v>132.97</v>
      </c>
      <c r="H465" s="935" t="str">
        <f t="shared" si="139"/>
        <v>코킹M</v>
      </c>
      <c r="I465" s="959">
        <f>VLOOKUP($H:$H,[140]일위목록!$A:$H,6,FALSE)</f>
        <v>880</v>
      </c>
      <c r="J465" s="959">
        <f>TRUNC($G:$G*I:I)</f>
        <v>117013</v>
      </c>
      <c r="K465" s="959">
        <f>VLOOKUP($H:$H,[140]일위목록!$A:$H,7,FALSE)</f>
        <v>6064</v>
      </c>
      <c r="L465" s="959">
        <f>TRUNC($G:$G*K:K)</f>
        <v>806330</v>
      </c>
      <c r="M465" s="959">
        <f t="shared" si="146"/>
        <v>6944</v>
      </c>
      <c r="N465" s="959">
        <f t="shared" si="146"/>
        <v>923343</v>
      </c>
      <c r="O465" s="896" t="str">
        <f>VLOOKUP($H:$H,[140]일위목록!$A:$B,2,FALSE)</f>
        <v>제45호표</v>
      </c>
    </row>
    <row r="466" spans="1:15" ht="18.75" customHeight="1">
      <c r="A466" s="962"/>
      <c r="B466" s="957" t="str">
        <f>[140]산출!B479</f>
        <v>면    취</v>
      </c>
      <c r="C466" s="957"/>
      <c r="D466" s="958">
        <f>[140]산출!G479</f>
        <v>0</v>
      </c>
      <c r="E466" s="935" t="str">
        <f>SUBSTITUTE(CONCATENATE(B:B,C:C,F:F)," ","")</f>
        <v>면취M</v>
      </c>
      <c r="F466" s="896" t="str">
        <f>[140]산출!D479</f>
        <v>M</v>
      </c>
      <c r="G466" s="936">
        <f>[140]산출!F479</f>
        <v>148.43200000000002</v>
      </c>
      <c r="H466" s="935" t="str">
        <f t="shared" si="139"/>
        <v>면취M</v>
      </c>
      <c r="I466" s="959">
        <f>VLOOKUP($H:$H,[140]일위목록!$A:$H,6,FALSE)</f>
        <v>11000</v>
      </c>
      <c r="J466" s="959">
        <f>TRUNC($G:$G*I:I)</f>
        <v>1632752</v>
      </c>
      <c r="K466" s="959">
        <f>VLOOKUP($H:$H,[140]일위목록!$A:$H,7,FALSE)</f>
        <v>0</v>
      </c>
      <c r="L466" s="959">
        <f>TRUNC($G:$G*K:K)</f>
        <v>0</v>
      </c>
      <c r="M466" s="959">
        <f t="shared" si="146"/>
        <v>11000</v>
      </c>
      <c r="N466" s="959">
        <f t="shared" si="146"/>
        <v>1632752</v>
      </c>
      <c r="O466" s="896" t="str">
        <f>VLOOKUP($H:$H,[140]일위목록!$A:$B,2,FALSE)</f>
        <v>단가-77번</v>
      </c>
    </row>
    <row r="467" spans="1:15" ht="18.75" customHeight="1">
      <c r="A467" s="962"/>
      <c r="B467" s="957" t="str">
        <f>[140]산출!B480</f>
        <v>- 조명 장치</v>
      </c>
      <c r="C467" s="957"/>
      <c r="D467" s="958"/>
      <c r="E467" s="935"/>
      <c r="F467" s="896"/>
      <c r="G467" s="936"/>
      <c r="H467" s="935"/>
      <c r="I467" s="959"/>
      <c r="J467" s="959"/>
      <c r="K467" s="959"/>
      <c r="L467" s="959"/>
      <c r="M467" s="959"/>
      <c r="N467" s="959"/>
      <c r="O467" s="896"/>
    </row>
    <row r="468" spans="1:15" ht="18.75" customHeight="1">
      <c r="A468" s="962"/>
      <c r="B468" s="957" t="str">
        <f>[140]산출!B481</f>
        <v>LED 포인트조명설치(독립장형)</v>
      </c>
      <c r="C468" s="957" t="str">
        <f>[140]산출!C481</f>
        <v>15W이하</v>
      </c>
      <c r="D468" s="958">
        <f>[140]산출!G481</f>
        <v>0</v>
      </c>
      <c r="E468" s="935" t="str">
        <f>SUBSTITUTE(CONCATENATE(B:B,C:C,F:F)," ","")</f>
        <v>LED포인트조명설치(독립장형)15W이하ea</v>
      </c>
      <c r="F468" s="896" t="str">
        <f>[140]산출!D481</f>
        <v>ea</v>
      </c>
      <c r="G468" s="936">
        <f>[140]산출!F481</f>
        <v>57.999999999999993</v>
      </c>
      <c r="H468" s="935" t="str">
        <f t="shared" si="139"/>
        <v>LED포인트조명설치(독립장형)15W이하ea</v>
      </c>
      <c r="I468" s="959">
        <f>VLOOKUP($H:$H,[140]일위목록!$A:$H,6,FALSE)</f>
        <v>115500</v>
      </c>
      <c r="J468" s="959">
        <f>TRUNC($G:$G*I:I)</f>
        <v>6699000</v>
      </c>
      <c r="K468" s="959">
        <f>VLOOKUP($H:$H,[140]일위목록!$A:$H,7,FALSE)</f>
        <v>26372</v>
      </c>
      <c r="L468" s="959">
        <f>TRUNC($G:$G*K:K)</f>
        <v>1529576</v>
      </c>
      <c r="M468" s="959">
        <f t="shared" si="146"/>
        <v>141872</v>
      </c>
      <c r="N468" s="959">
        <f t="shared" si="146"/>
        <v>8228576</v>
      </c>
      <c r="O468" s="896" t="str">
        <f>VLOOKUP($H:$H,[140]일위목록!$A:$B,2,FALSE)</f>
        <v>제82호표</v>
      </c>
    </row>
    <row r="469" spans="1:15" ht="18.75" customHeight="1">
      <c r="A469" s="962"/>
      <c r="B469" s="957" t="str">
        <f>[140]산출!B482</f>
        <v>LED 포인트조명 컨트롤제작설치</v>
      </c>
      <c r="C469" s="957" t="str">
        <f>[140]산출!C482</f>
        <v>컨트롤러(24채널)</v>
      </c>
      <c r="D469" s="958">
        <f>[140]산출!G482</f>
        <v>0</v>
      </c>
      <c r="E469" s="935" t="str">
        <f>SUBSTITUTE(CONCATENATE(B:B,C:C,F:F)," ","")</f>
        <v>LED포인트조명컨트롤제작설치컨트롤러(24채널)set</v>
      </c>
      <c r="F469" s="896" t="str">
        <f>[140]산출!D482</f>
        <v>set</v>
      </c>
      <c r="G469" s="936">
        <f>[140]산출!F482</f>
        <v>3</v>
      </c>
      <c r="H469" s="935" t="str">
        <f t="shared" si="139"/>
        <v>LED포인트조명컨트롤제작설치컨트롤러(24채널)set</v>
      </c>
      <c r="I469" s="959">
        <f>VLOOKUP($H:$H,[140]일위목록!$A:$H,6,FALSE)</f>
        <v>800000</v>
      </c>
      <c r="J469" s="959">
        <f>TRUNC($G:$G*I:I)</f>
        <v>2400000</v>
      </c>
      <c r="K469" s="959">
        <f>VLOOKUP($H:$H,[140]일위목록!$A:$H,7,FALSE)</f>
        <v>135244</v>
      </c>
      <c r="L469" s="959">
        <f>TRUNC($G:$G*K:K)</f>
        <v>405732</v>
      </c>
      <c r="M469" s="959">
        <f t="shared" si="146"/>
        <v>935244</v>
      </c>
      <c r="N469" s="959">
        <f t="shared" si="146"/>
        <v>2805732</v>
      </c>
      <c r="O469" s="896" t="str">
        <f>VLOOKUP($H:$H,[140]일위목록!$A:$B,2,FALSE)</f>
        <v>제84호표</v>
      </c>
    </row>
    <row r="470" spans="1:15" ht="18.75" customHeight="1">
      <c r="A470" s="956"/>
      <c r="B470" s="957"/>
      <c r="C470" s="939"/>
      <c r="D470" s="958"/>
      <c r="E470" s="935"/>
      <c r="F470" s="896"/>
      <c r="G470" s="936"/>
      <c r="H470" s="935"/>
      <c r="I470" s="959"/>
      <c r="J470" s="959"/>
      <c r="K470" s="959"/>
      <c r="L470" s="959"/>
      <c r="M470" s="959"/>
      <c r="N470" s="959"/>
      <c r="O470" s="896"/>
    </row>
    <row r="471" spans="1:15" s="952" customFormat="1" ht="18.75" customHeight="1">
      <c r="A471" s="960"/>
      <c r="B471" s="947" t="s">
        <v>6586</v>
      </c>
      <c r="C471" s="954"/>
      <c r="D471" s="961"/>
      <c r="E471" s="948"/>
      <c r="F471" s="949"/>
      <c r="G471" s="950"/>
      <c r="H471" s="948" t="str">
        <f>SUBSTITUTE(CONCATENATE(B471,C471,F471)," ","")</f>
        <v>소계</v>
      </c>
      <c r="I471" s="951"/>
      <c r="J471" s="951">
        <f>SUM(J423:J469)</f>
        <v>73245654</v>
      </c>
      <c r="K471" s="951"/>
      <c r="L471" s="951">
        <f>SUM(L423:L469)</f>
        <v>32274668</v>
      </c>
      <c r="M471" s="951"/>
      <c r="N471" s="951">
        <f>SUM(N423:N469)</f>
        <v>105520322</v>
      </c>
      <c r="O471" s="949"/>
    </row>
    <row r="472" spans="1:15" ht="18.75" customHeight="1">
      <c r="A472" s="956"/>
      <c r="B472" s="957"/>
      <c r="C472" s="939"/>
      <c r="D472" s="958"/>
      <c r="E472" s="935"/>
      <c r="F472" s="896"/>
      <c r="G472" s="936"/>
      <c r="H472" s="935"/>
      <c r="I472" s="959"/>
      <c r="J472" s="959"/>
      <c r="K472" s="959"/>
      <c r="L472" s="959"/>
      <c r="M472" s="959"/>
      <c r="N472" s="959"/>
      <c r="O472" s="896"/>
    </row>
    <row r="473" spans="1:15" ht="18.75" customHeight="1">
      <c r="A473" s="962"/>
      <c r="B473" s="957"/>
      <c r="C473" s="939"/>
      <c r="D473" s="958"/>
      <c r="E473" s="935"/>
      <c r="F473" s="896"/>
      <c r="G473" s="936"/>
      <c r="H473" s="935"/>
      <c r="I473" s="959"/>
      <c r="J473" s="959"/>
      <c r="K473" s="959"/>
      <c r="L473" s="959"/>
      <c r="M473" s="959"/>
      <c r="N473" s="959"/>
      <c r="O473" s="896"/>
    </row>
    <row r="474" spans="1:15" s="952" customFormat="1" ht="18.75" customHeight="1">
      <c r="A474" s="947" t="str">
        <f>[140]산출!A496</f>
        <v>SC-207</v>
      </c>
      <c r="B474" s="947" t="str">
        <f>[140]산출!B496</f>
        <v>4면 유리형 독립장</v>
      </c>
      <c r="C474" s="954" t="str">
        <f>[140]산출!C496</f>
        <v>L: 2400 D: 2400 H: 2300 FH: 300 GH: 1877 UH: 123</v>
      </c>
      <c r="D474" s="955">
        <f>[140]산출!G496</f>
        <v>0</v>
      </c>
      <c r="E474" s="948" t="str">
        <f>SUBSTITUTE(CONCATENATE(B:B,C:C,F:F)," ","")</f>
        <v>4면유리형독립장L:2400D:2400H:2300FH:300GH:1877UH:123SET</v>
      </c>
      <c r="F474" s="949" t="str">
        <f>[140]산출!D496</f>
        <v>SET</v>
      </c>
      <c r="G474" s="950">
        <f>[140]산출!F496</f>
        <v>1</v>
      </c>
      <c r="H474" s="948" t="str">
        <f t="shared" ref="H474:H482" si="150">SUBSTITUTE(CONCATENATE(B474,C474,F474)," ","")</f>
        <v>4면유리형독립장L:2400D:2400H:2300FH:300GH:1877UH:123SET</v>
      </c>
      <c r="I474" s="951"/>
      <c r="J474" s="951"/>
      <c r="K474" s="951"/>
      <c r="L474" s="951"/>
      <c r="M474" s="951"/>
      <c r="N474" s="951"/>
      <c r="O474" s="949"/>
    </row>
    <row r="475" spans="1:15" s="952" customFormat="1" ht="18.75" customHeight="1">
      <c r="A475" s="953"/>
      <c r="B475" s="947" t="str">
        <f>[140]산출!B497</f>
        <v>- 구조틀</v>
      </c>
      <c r="C475" s="954"/>
      <c r="D475" s="955"/>
      <c r="E475" s="948"/>
      <c r="F475" s="949"/>
      <c r="G475" s="950"/>
      <c r="H475" s="948"/>
      <c r="I475" s="951"/>
      <c r="J475" s="951"/>
      <c r="K475" s="951"/>
      <c r="L475" s="951"/>
      <c r="M475" s="951"/>
      <c r="N475" s="951"/>
      <c r="O475" s="949"/>
    </row>
    <row r="476" spans="1:15" ht="18.75" customHeight="1">
      <c r="A476" s="962"/>
      <c r="B476" s="957" t="str">
        <f>[140]산출!B498</f>
        <v>각파이프(방청)</v>
      </c>
      <c r="C476" s="939" t="str">
        <f>[140]산출!C498</f>
        <v>40*40*1.4T</v>
      </c>
      <c r="D476" s="958">
        <f>[140]산출!G498</f>
        <v>0</v>
      </c>
      <c r="E476" s="935" t="str">
        <f t="shared" ref="E476:E482" si="151">SUBSTITUTE(CONCATENATE(B:B,C:C,F:F)," ","")</f>
        <v>각파이프(방청)40*40*1.4TM</v>
      </c>
      <c r="F476" s="896" t="str">
        <f>[140]산출!D498</f>
        <v>M</v>
      </c>
      <c r="G476" s="936">
        <f>[140]산출!F498</f>
        <v>52.8</v>
      </c>
      <c r="H476" s="935" t="str">
        <f t="shared" si="150"/>
        <v>각파이프(방청)40*40*1.4TM</v>
      </c>
      <c r="I476" s="959">
        <f>VLOOKUP($H:$H,[140]일위목록!$A:$H,6,FALSE)</f>
        <v>7195</v>
      </c>
      <c r="J476" s="959">
        <f>TRUNC($G:$G*I:I)</f>
        <v>379896</v>
      </c>
      <c r="K476" s="959">
        <f>VLOOKUP($H:$H,[140]일위목록!$A:$H,7,FALSE)</f>
        <v>13416</v>
      </c>
      <c r="L476" s="959">
        <f>TRUNC($G:$G*K:K)</f>
        <v>708364</v>
      </c>
      <c r="M476" s="959">
        <f t="shared" ref="M476:N482" si="152">SUM(I476,K476)</f>
        <v>20611</v>
      </c>
      <c r="N476" s="959">
        <f t="shared" si="152"/>
        <v>1088260</v>
      </c>
      <c r="O476" s="896" t="str">
        <f>VLOOKUP($H:$H,[140]일위목록!$A:$B,2,FALSE)</f>
        <v>제46호표</v>
      </c>
    </row>
    <row r="477" spans="1:15" s="952" customFormat="1" ht="18.75" customHeight="1">
      <c r="A477" s="953"/>
      <c r="B477" s="947" t="str">
        <f>[140]산출!B499</f>
        <v>- 잡철물</v>
      </c>
      <c r="C477" s="954" t="str">
        <f>[140]산출!C499</f>
        <v xml:space="preserve"> 상부</v>
      </c>
      <c r="D477" s="955">
        <f>[140]산출!G499</f>
        <v>0</v>
      </c>
      <c r="E477" s="948" t="str">
        <f t="shared" si="151"/>
        <v>-잡철물상부</v>
      </c>
      <c r="F477" s="949"/>
      <c r="G477" s="950"/>
      <c r="H477" s="948"/>
      <c r="I477" s="951"/>
      <c r="J477" s="951"/>
      <c r="K477" s="951"/>
      <c r="L477" s="951"/>
      <c r="M477" s="951"/>
      <c r="N477" s="951"/>
      <c r="O477" s="949"/>
    </row>
    <row r="478" spans="1:15" ht="18.75" customHeight="1">
      <c r="A478" s="962"/>
      <c r="B478" s="957" t="str">
        <f>[140]산출!B500</f>
        <v>갈바후레임제작설치</v>
      </c>
      <c r="C478" s="939" t="str">
        <f>[140]산출!C500</f>
        <v>1.6T</v>
      </c>
      <c r="D478" s="958" t="str">
        <f>[140]산출!G500</f>
        <v>그림걸이레일보강</v>
      </c>
      <c r="E478" s="935" t="str">
        <f t="shared" si="151"/>
        <v>갈바후레임제작설치1.6TM2</v>
      </c>
      <c r="F478" s="896" t="str">
        <f>[140]산출!D500</f>
        <v>M2</v>
      </c>
      <c r="G478" s="936">
        <f>[140]산출!F500</f>
        <v>0.45119999999999999</v>
      </c>
      <c r="H478" s="935" t="str">
        <f t="shared" si="150"/>
        <v>갈바후레임제작설치1.6TM2</v>
      </c>
      <c r="I478" s="959">
        <f>VLOOKUP($H:$H,[140]일위목록!$A:$H,6,FALSE)</f>
        <v>16515</v>
      </c>
      <c r="J478" s="959">
        <f>TRUNC($G:$G*I:I)</f>
        <v>7451</v>
      </c>
      <c r="K478" s="959">
        <f>VLOOKUP($H:$H,[140]일위목록!$A:$H,7,FALSE)</f>
        <v>65362</v>
      </c>
      <c r="L478" s="959">
        <f>TRUNC($G:$G*K:K)</f>
        <v>29491</v>
      </c>
      <c r="M478" s="959">
        <f t="shared" si="152"/>
        <v>81877</v>
      </c>
      <c r="N478" s="959">
        <f t="shared" si="152"/>
        <v>36942</v>
      </c>
      <c r="O478" s="896" t="str">
        <f>VLOOKUP($H:$H,[140]일위목록!$A:$B,2,FALSE)</f>
        <v>제51호표</v>
      </c>
    </row>
    <row r="479" spans="1:15" ht="18.75" customHeight="1">
      <c r="A479" s="962"/>
      <c r="B479" s="957" t="str">
        <f>[140]산출!B501</f>
        <v>갈바후레임제작설치</v>
      </c>
      <c r="C479" s="939" t="str">
        <f>[140]산출!C501</f>
        <v>1.6T</v>
      </c>
      <c r="D479" s="958" t="str">
        <f>[140]산출!G501</f>
        <v>전면상부철판</v>
      </c>
      <c r="E479" s="935" t="str">
        <f t="shared" si="151"/>
        <v>갈바후레임제작설치1.6TM2</v>
      </c>
      <c r="F479" s="896" t="str">
        <f>[140]산출!D501</f>
        <v>M2</v>
      </c>
      <c r="G479" s="936">
        <f>[140]산출!F501</f>
        <v>0.3624</v>
      </c>
      <c r="H479" s="935" t="str">
        <f t="shared" si="150"/>
        <v>갈바후레임제작설치1.6TM2</v>
      </c>
      <c r="I479" s="959">
        <f>VLOOKUP($H:$H,[140]일위목록!$A:$H,6,FALSE)</f>
        <v>16515</v>
      </c>
      <c r="J479" s="959">
        <f>TRUNC($G:$G*I:I)</f>
        <v>5985</v>
      </c>
      <c r="K479" s="959">
        <f>VLOOKUP($H:$H,[140]일위목록!$A:$H,7,FALSE)</f>
        <v>65362</v>
      </c>
      <c r="L479" s="959">
        <f>TRUNC($G:$G*K:K)</f>
        <v>23687</v>
      </c>
      <c r="M479" s="959">
        <f t="shared" si="152"/>
        <v>81877</v>
      </c>
      <c r="N479" s="959">
        <f t="shared" si="152"/>
        <v>29672</v>
      </c>
      <c r="O479" s="896" t="str">
        <f>VLOOKUP($H:$H,[140]일위목록!$A:$B,2,FALSE)</f>
        <v>제51호표</v>
      </c>
    </row>
    <row r="480" spans="1:15" ht="18.75" customHeight="1">
      <c r="A480" s="962"/>
      <c r="B480" s="957" t="str">
        <f>[140]산출!B502</f>
        <v>갈바후레임제작설치</v>
      </c>
      <c r="C480" s="939" t="str">
        <f>[140]산출!C502</f>
        <v>1.6T</v>
      </c>
      <c r="D480" s="958" t="str">
        <f>[140]산출!G502</f>
        <v>상부레일구간</v>
      </c>
      <c r="E480" s="935" t="str">
        <f t="shared" si="151"/>
        <v>갈바후레임제작설치1.6TM2</v>
      </c>
      <c r="F480" s="896" t="str">
        <f>[140]산출!D502</f>
        <v>M2</v>
      </c>
      <c r="G480" s="936">
        <f>[140]산출!F502</f>
        <v>0.58079999999999998</v>
      </c>
      <c r="H480" s="935" t="str">
        <f t="shared" si="150"/>
        <v>갈바후레임제작설치1.6TM2</v>
      </c>
      <c r="I480" s="959">
        <f>VLOOKUP($H:$H,[140]일위목록!$A:$H,6,FALSE)</f>
        <v>16515</v>
      </c>
      <c r="J480" s="959">
        <f>TRUNC($G:$G*I:I)</f>
        <v>9591</v>
      </c>
      <c r="K480" s="959">
        <f>VLOOKUP($H:$H,[140]일위목록!$A:$H,7,FALSE)</f>
        <v>65362</v>
      </c>
      <c r="L480" s="959">
        <f>TRUNC($G:$G*K:K)</f>
        <v>37962</v>
      </c>
      <c r="M480" s="959">
        <f t="shared" si="152"/>
        <v>81877</v>
      </c>
      <c r="N480" s="959">
        <f t="shared" si="152"/>
        <v>47553</v>
      </c>
      <c r="O480" s="896" t="str">
        <f>VLOOKUP($H:$H,[140]일위목록!$A:$B,2,FALSE)</f>
        <v>제51호표</v>
      </c>
    </row>
    <row r="481" spans="1:15" ht="18.75" customHeight="1">
      <c r="A481" s="962"/>
      <c r="B481" s="957" t="str">
        <f>[140]산출!B503</f>
        <v>갈바후레임제작설치</v>
      </c>
      <c r="C481" s="939" t="str">
        <f>[140]산출!C503</f>
        <v>1.6T</v>
      </c>
      <c r="D481" s="958" t="str">
        <f>[140]산출!G503</f>
        <v>천정후레임배면,측면</v>
      </c>
      <c r="E481" s="935" t="str">
        <f t="shared" si="151"/>
        <v>갈바후레임제작설치1.6TM2</v>
      </c>
      <c r="F481" s="896" t="str">
        <f>[140]산출!D503</f>
        <v>M2</v>
      </c>
      <c r="G481" s="936">
        <f>[140]산출!F503</f>
        <v>1.3248</v>
      </c>
      <c r="H481" s="935" t="str">
        <f t="shared" si="150"/>
        <v>갈바후레임제작설치1.6TM2</v>
      </c>
      <c r="I481" s="959">
        <f>VLOOKUP($H:$H,[140]일위목록!$A:$H,6,FALSE)</f>
        <v>16515</v>
      </c>
      <c r="J481" s="959">
        <f>TRUNC($G:$G*I:I)</f>
        <v>21879</v>
      </c>
      <c r="K481" s="959">
        <f>VLOOKUP($H:$H,[140]일위목록!$A:$H,7,FALSE)</f>
        <v>65362</v>
      </c>
      <c r="L481" s="959">
        <f>TRUNC($G:$G*K:K)</f>
        <v>86591</v>
      </c>
      <c r="M481" s="959">
        <f t="shared" si="152"/>
        <v>81877</v>
      </c>
      <c r="N481" s="959">
        <f t="shared" si="152"/>
        <v>108470</v>
      </c>
      <c r="O481" s="896" t="str">
        <f>VLOOKUP($H:$H,[140]일위목록!$A:$B,2,FALSE)</f>
        <v>제51호표</v>
      </c>
    </row>
    <row r="482" spans="1:15" ht="18.75" customHeight="1">
      <c r="A482" s="962"/>
      <c r="B482" s="957" t="str">
        <f>[140]산출!B504</f>
        <v>갈바후레임제작설치</v>
      </c>
      <c r="C482" s="939" t="str">
        <f>[140]산출!C504</f>
        <v>1.6T</v>
      </c>
      <c r="D482" s="958" t="str">
        <f>[140]산출!G504</f>
        <v>천정옆판</v>
      </c>
      <c r="E482" s="935" t="str">
        <f t="shared" si="151"/>
        <v>갈바후레임제작설치1.6TM2</v>
      </c>
      <c r="F482" s="896" t="str">
        <f>[140]산출!D504</f>
        <v>M2</v>
      </c>
      <c r="G482" s="936">
        <f>[140]산출!F504</f>
        <v>1.0031999999999999</v>
      </c>
      <c r="H482" s="935" t="str">
        <f t="shared" si="150"/>
        <v>갈바후레임제작설치1.6TM2</v>
      </c>
      <c r="I482" s="959">
        <f>VLOOKUP($H:$H,[140]일위목록!$A:$H,6,FALSE)</f>
        <v>16515</v>
      </c>
      <c r="J482" s="959">
        <f>TRUNC($G:$G*I:I)</f>
        <v>16567</v>
      </c>
      <c r="K482" s="959">
        <f>VLOOKUP($H:$H,[140]일위목록!$A:$H,7,FALSE)</f>
        <v>65362</v>
      </c>
      <c r="L482" s="959">
        <f>TRUNC($G:$G*K:K)</f>
        <v>65571</v>
      </c>
      <c r="M482" s="959">
        <f t="shared" si="152"/>
        <v>81877</v>
      </c>
      <c r="N482" s="959">
        <f t="shared" si="152"/>
        <v>82138</v>
      </c>
      <c r="O482" s="896" t="str">
        <f>VLOOKUP($H:$H,[140]일위목록!$A:$B,2,FALSE)</f>
        <v>제51호표</v>
      </c>
    </row>
    <row r="483" spans="1:15" s="952" customFormat="1" ht="18.75" customHeight="1">
      <c r="A483" s="953"/>
      <c r="B483" s="947" t="str">
        <f>[140]산출!B505</f>
        <v>갈바후레임제작설치</v>
      </c>
      <c r="C483" s="954"/>
      <c r="D483" s="955"/>
      <c r="E483" s="948"/>
      <c r="F483" s="949"/>
      <c r="G483" s="950"/>
      <c r="H483" s="948"/>
      <c r="I483" s="951"/>
      <c r="J483" s="951"/>
      <c r="K483" s="951"/>
      <c r="L483" s="951"/>
      <c r="M483" s="951"/>
      <c r="N483" s="951"/>
      <c r="O483" s="949"/>
    </row>
    <row r="484" spans="1:15" ht="18.75" customHeight="1">
      <c r="A484" s="962"/>
      <c r="B484" s="957" t="str">
        <f>[140]산출!B506</f>
        <v>갈바후레임제작설치</v>
      </c>
      <c r="C484" s="939" t="str">
        <f>[140]산출!C506</f>
        <v>1.6T</v>
      </c>
      <c r="D484" s="958"/>
      <c r="E484" s="935" t="str">
        <f>SUBSTITUTE(CONCATENATE(B:B,C:C,F:F)," ","")</f>
        <v>갈바후레임제작설치1.6TM2</v>
      </c>
      <c r="F484" s="896" t="str">
        <f>[140]산출!D506</f>
        <v>M2</v>
      </c>
      <c r="G484" s="936">
        <f>[140]산출!F506</f>
        <v>1.9559999999999997</v>
      </c>
      <c r="H484" s="935" t="str">
        <f t="shared" ref="H484:H492" si="153">SUBSTITUTE(CONCATENATE(B484,C484,F484)," ","")</f>
        <v>갈바후레임제작설치1.6TM2</v>
      </c>
      <c r="I484" s="959">
        <f>VLOOKUP($H:$H,[140]일위목록!$A:$H,6,FALSE)</f>
        <v>16515</v>
      </c>
      <c r="J484" s="959">
        <f>TRUNC($G:$G*I:I)</f>
        <v>32303</v>
      </c>
      <c r="K484" s="959">
        <f>VLOOKUP($H:$H,[140]일위목록!$A:$H,7,FALSE)</f>
        <v>65362</v>
      </c>
      <c r="L484" s="959">
        <f>TRUNC($G:$G*K:K)</f>
        <v>127848</v>
      </c>
      <c r="M484" s="959">
        <f t="shared" ref="M484:N492" si="154">SUM(I484,K484)</f>
        <v>81877</v>
      </c>
      <c r="N484" s="959">
        <f t="shared" si="154"/>
        <v>160151</v>
      </c>
      <c r="O484" s="896" t="str">
        <f>VLOOKUP($H:$H,[140]일위목록!$A:$B,2,FALSE)</f>
        <v>제51호표</v>
      </c>
    </row>
    <row r="485" spans="1:15" ht="18.75" customHeight="1">
      <c r="A485" s="962"/>
      <c r="B485" s="957" t="str">
        <f>[140]산출!B507</f>
        <v>갈바후레임제작설치</v>
      </c>
      <c r="C485" s="939" t="str">
        <f>[140]산출!C507</f>
        <v>1.6T</v>
      </c>
      <c r="D485" s="958" t="str">
        <f>[140]산출!G507</f>
        <v>상부유리후레임</v>
      </c>
      <c r="E485" s="935" t="str">
        <f>SUBSTITUTE(CONCATENATE(B:B,C:C,F:F)," ","")</f>
        <v>갈바후레임제작설치1.6TM2</v>
      </c>
      <c r="F485" s="896" t="str">
        <f>[140]산출!D507</f>
        <v>M2</v>
      </c>
      <c r="G485" s="936">
        <f>[140]산출!F507</f>
        <v>2.0351999999999997</v>
      </c>
      <c r="H485" s="935" t="str">
        <f t="shared" si="153"/>
        <v>갈바후레임제작설치1.6TM2</v>
      </c>
      <c r="I485" s="959">
        <f>VLOOKUP($H:$H,[140]일위목록!$A:$H,6,FALSE)</f>
        <v>16515</v>
      </c>
      <c r="J485" s="959">
        <f>TRUNC($G:$G*I:I)</f>
        <v>33611</v>
      </c>
      <c r="K485" s="959">
        <f>VLOOKUP($H:$H,[140]일위목록!$A:$H,7,FALSE)</f>
        <v>65362</v>
      </c>
      <c r="L485" s="959">
        <f>TRUNC($G:$G*K:K)</f>
        <v>133024</v>
      </c>
      <c r="M485" s="959">
        <f t="shared" si="154"/>
        <v>81877</v>
      </c>
      <c r="N485" s="959">
        <f t="shared" si="154"/>
        <v>166635</v>
      </c>
      <c r="O485" s="896" t="str">
        <f>VLOOKUP($H:$H,[140]일위목록!$A:$B,2,FALSE)</f>
        <v>제51호표</v>
      </c>
    </row>
    <row r="486" spans="1:15" s="952" customFormat="1" ht="18.75" customHeight="1">
      <c r="A486" s="953"/>
      <c r="B486" s="947" t="str">
        <f>[140]산출!B508</f>
        <v>- 잡철물</v>
      </c>
      <c r="C486" s="954"/>
      <c r="D486" s="955"/>
      <c r="E486" s="948"/>
      <c r="F486" s="949"/>
      <c r="G486" s="950"/>
      <c r="H486" s="948"/>
      <c r="I486" s="951"/>
      <c r="J486" s="951"/>
      <c r="K486" s="951"/>
      <c r="L486" s="951"/>
      <c r="M486" s="951"/>
      <c r="N486" s="951"/>
      <c r="O486" s="949"/>
    </row>
    <row r="487" spans="1:15" ht="18.75" customHeight="1">
      <c r="A487" s="962"/>
      <c r="B487" s="957" t="str">
        <f>[140]산출!B509</f>
        <v>갈바후레임제작설치</v>
      </c>
      <c r="C487" s="939" t="str">
        <f>[140]산출!C509</f>
        <v>1.6T</v>
      </c>
      <c r="D487" s="958" t="str">
        <f>[140]산출!G509</f>
        <v>하부유리후레임</v>
      </c>
      <c r="E487" s="935" t="str">
        <f t="shared" ref="E487:E492" si="155">SUBSTITUTE(CONCATENATE(B:B,C:C,F:F)," ","")</f>
        <v>갈바후레임제작설치1.6TM2</v>
      </c>
      <c r="F487" s="896" t="str">
        <f>[140]산출!D509</f>
        <v>M2</v>
      </c>
      <c r="G487" s="936">
        <f>[140]산출!F509</f>
        <v>2.0351999999999997</v>
      </c>
      <c r="H487" s="935" t="str">
        <f t="shared" si="153"/>
        <v>갈바후레임제작설치1.6TM2</v>
      </c>
      <c r="I487" s="959">
        <f>VLOOKUP($H:$H,[140]일위목록!$A:$H,6,FALSE)</f>
        <v>16515</v>
      </c>
      <c r="J487" s="959">
        <f t="shared" ref="J487:J492" si="156">TRUNC($G:$G*I:I)</f>
        <v>33611</v>
      </c>
      <c r="K487" s="959">
        <f>VLOOKUP($H:$H,[140]일위목록!$A:$H,7,FALSE)</f>
        <v>65362</v>
      </c>
      <c r="L487" s="959">
        <f t="shared" ref="L487:L492" si="157">TRUNC($G:$G*K:K)</f>
        <v>133024</v>
      </c>
      <c r="M487" s="959">
        <f t="shared" si="154"/>
        <v>81877</v>
      </c>
      <c r="N487" s="959">
        <f t="shared" si="154"/>
        <v>166635</v>
      </c>
      <c r="O487" s="896" t="str">
        <f>VLOOKUP($H:$H,[140]일위목록!$A:$B,2,FALSE)</f>
        <v>제51호표</v>
      </c>
    </row>
    <row r="488" spans="1:15" ht="18.75" customHeight="1">
      <c r="A488" s="962"/>
      <c r="B488" s="957" t="str">
        <f>[140]산출!B510</f>
        <v>갈바후레임제작설치</v>
      </c>
      <c r="C488" s="939" t="str">
        <f>[140]산출!C510</f>
        <v>1.6T</v>
      </c>
      <c r="D488" s="958" t="str">
        <f>[140]산출!G510</f>
        <v>하부바닥판테두리</v>
      </c>
      <c r="E488" s="935" t="str">
        <f t="shared" si="155"/>
        <v>갈바후레임제작설치1.6TM2</v>
      </c>
      <c r="F488" s="896" t="str">
        <f>[140]산출!D510</f>
        <v>M2</v>
      </c>
      <c r="G488" s="936">
        <f>[140]산출!F510</f>
        <v>3.8208000000000002</v>
      </c>
      <c r="H488" s="935" t="str">
        <f t="shared" si="153"/>
        <v>갈바후레임제작설치1.6TM2</v>
      </c>
      <c r="I488" s="959">
        <f>VLOOKUP($H:$H,[140]일위목록!$A:$H,6,FALSE)</f>
        <v>16515</v>
      </c>
      <c r="J488" s="959">
        <f t="shared" si="156"/>
        <v>63100</v>
      </c>
      <c r="K488" s="959">
        <f>VLOOKUP($H:$H,[140]일위목록!$A:$H,7,FALSE)</f>
        <v>65362</v>
      </c>
      <c r="L488" s="959">
        <f t="shared" si="157"/>
        <v>249735</v>
      </c>
      <c r="M488" s="959">
        <f t="shared" si="154"/>
        <v>81877</v>
      </c>
      <c r="N488" s="959">
        <f t="shared" si="154"/>
        <v>312835</v>
      </c>
      <c r="O488" s="896" t="str">
        <f>VLOOKUP($H:$H,[140]일위목록!$A:$B,2,FALSE)</f>
        <v>제51호표</v>
      </c>
    </row>
    <row r="489" spans="1:15" ht="18.75" customHeight="1">
      <c r="A489" s="962"/>
      <c r="B489" s="957" t="str">
        <f>[140]산출!B511</f>
        <v>갈바후레임제작설치</v>
      </c>
      <c r="C489" s="939" t="str">
        <f>[140]산출!C511</f>
        <v>1.6T</v>
      </c>
      <c r="D489" s="958" t="str">
        <f>[140]산출!G511</f>
        <v>하부레일구간전면</v>
      </c>
      <c r="E489" s="935" t="str">
        <f t="shared" si="155"/>
        <v>갈바후레임제작설치1.6TM2</v>
      </c>
      <c r="F489" s="896" t="str">
        <f>[140]산출!D511</f>
        <v>M2</v>
      </c>
      <c r="G489" s="936">
        <f>[140]산출!F511</f>
        <v>0.71519999999999995</v>
      </c>
      <c r="H489" s="935" t="str">
        <f t="shared" si="153"/>
        <v>갈바후레임제작설치1.6TM2</v>
      </c>
      <c r="I489" s="959">
        <f>VLOOKUP($H:$H,[140]일위목록!$A:$H,6,FALSE)</f>
        <v>16515</v>
      </c>
      <c r="J489" s="959">
        <f t="shared" si="156"/>
        <v>11811</v>
      </c>
      <c r="K489" s="959">
        <f>VLOOKUP($H:$H,[140]일위목록!$A:$H,7,FALSE)</f>
        <v>65362</v>
      </c>
      <c r="L489" s="959">
        <f t="shared" si="157"/>
        <v>46746</v>
      </c>
      <c r="M489" s="959">
        <f t="shared" si="154"/>
        <v>81877</v>
      </c>
      <c r="N489" s="959">
        <f t="shared" si="154"/>
        <v>58557</v>
      </c>
      <c r="O489" s="896" t="str">
        <f>VLOOKUP($H:$H,[140]일위목록!$A:$B,2,FALSE)</f>
        <v>제51호표</v>
      </c>
    </row>
    <row r="490" spans="1:15" ht="18.75" customHeight="1">
      <c r="A490" s="962"/>
      <c r="B490" s="957" t="str">
        <f>[140]산출!B512</f>
        <v>갈바후레임제작설치</v>
      </c>
      <c r="C490" s="939" t="str">
        <f>[140]산출!C512</f>
        <v>1.6T</v>
      </c>
      <c r="D490" s="958" t="str">
        <f>[140]산출!G512</f>
        <v>하부측판</v>
      </c>
      <c r="E490" s="935" t="str">
        <f t="shared" si="155"/>
        <v>갈바후레임제작설치1.6TM2</v>
      </c>
      <c r="F490" s="896" t="str">
        <f>[140]산출!D512</f>
        <v>M2</v>
      </c>
      <c r="G490" s="936">
        <f>[140]산출!F512</f>
        <v>1.5456000000000001</v>
      </c>
      <c r="H490" s="935" t="str">
        <f t="shared" si="153"/>
        <v>갈바후레임제작설치1.6TM2</v>
      </c>
      <c r="I490" s="959">
        <f>VLOOKUP($H:$H,[140]일위목록!$A:$H,6,FALSE)</f>
        <v>16515</v>
      </c>
      <c r="J490" s="959">
        <f t="shared" si="156"/>
        <v>25525</v>
      </c>
      <c r="K490" s="959">
        <f>VLOOKUP($H:$H,[140]일위목록!$A:$H,7,FALSE)</f>
        <v>65362</v>
      </c>
      <c r="L490" s="959">
        <f t="shared" si="157"/>
        <v>101023</v>
      </c>
      <c r="M490" s="959">
        <f t="shared" si="154"/>
        <v>81877</v>
      </c>
      <c r="N490" s="959">
        <f t="shared" si="154"/>
        <v>126548</v>
      </c>
      <c r="O490" s="896" t="str">
        <f>VLOOKUP($H:$H,[140]일위목록!$A:$B,2,FALSE)</f>
        <v>제51호표</v>
      </c>
    </row>
    <row r="491" spans="1:15" ht="18.75" customHeight="1">
      <c r="A491" s="962"/>
      <c r="B491" s="957" t="str">
        <f>[140]산출!B513</f>
        <v>갈바후레임제작설치</v>
      </c>
      <c r="C491" s="939" t="str">
        <f>[140]산출!C513</f>
        <v>1.6T</v>
      </c>
      <c r="D491" s="958" t="str">
        <f>[140]산출!G513</f>
        <v>하부바닥판</v>
      </c>
      <c r="E491" s="935" t="str">
        <f t="shared" si="155"/>
        <v>갈바후레임제작설치1.6TM2</v>
      </c>
      <c r="F491" s="896" t="str">
        <f>[140]산출!D513</f>
        <v>M2</v>
      </c>
      <c r="G491" s="936">
        <f>[140]산출!F513</f>
        <v>1.5167999999999999</v>
      </c>
      <c r="H491" s="935" t="str">
        <f t="shared" si="153"/>
        <v>갈바후레임제작설치1.6TM2</v>
      </c>
      <c r="I491" s="959">
        <f>VLOOKUP($H:$H,[140]일위목록!$A:$H,6,FALSE)</f>
        <v>16515</v>
      </c>
      <c r="J491" s="959">
        <f t="shared" si="156"/>
        <v>25049</v>
      </c>
      <c r="K491" s="959">
        <f>VLOOKUP($H:$H,[140]일위목록!$A:$H,7,FALSE)</f>
        <v>65362</v>
      </c>
      <c r="L491" s="959">
        <f t="shared" si="157"/>
        <v>99141</v>
      </c>
      <c r="M491" s="959">
        <f t="shared" si="154"/>
        <v>81877</v>
      </c>
      <c r="N491" s="959">
        <f t="shared" si="154"/>
        <v>124190</v>
      </c>
      <c r="O491" s="896" t="str">
        <f>VLOOKUP($H:$H,[140]일위목록!$A:$B,2,FALSE)</f>
        <v>제51호표</v>
      </c>
    </row>
    <row r="492" spans="1:15" ht="18.75" customHeight="1">
      <c r="A492" s="962"/>
      <c r="B492" s="957" t="str">
        <f>[140]산출!B514</f>
        <v>갈바후레임제작설치</v>
      </c>
      <c r="C492" s="939" t="str">
        <f>[140]산출!C514</f>
        <v>1.6T</v>
      </c>
      <c r="D492" s="958" t="str">
        <f>[140]산출!G514</f>
        <v>하부보강판</v>
      </c>
      <c r="E492" s="935" t="str">
        <f t="shared" si="155"/>
        <v>갈바후레임제작설치1.6TM2</v>
      </c>
      <c r="F492" s="896" t="str">
        <f>[140]산출!D514</f>
        <v>M2</v>
      </c>
      <c r="G492" s="936">
        <f>[140]산출!F514</f>
        <v>1.4040000000000001</v>
      </c>
      <c r="H492" s="935" t="str">
        <f t="shared" si="153"/>
        <v>갈바후레임제작설치1.6TM2</v>
      </c>
      <c r="I492" s="959">
        <f>VLOOKUP($H:$H,[140]일위목록!$A:$H,6,FALSE)</f>
        <v>16515</v>
      </c>
      <c r="J492" s="959">
        <f t="shared" si="156"/>
        <v>23187</v>
      </c>
      <c r="K492" s="959">
        <f>VLOOKUP($H:$H,[140]일위목록!$A:$H,7,FALSE)</f>
        <v>65362</v>
      </c>
      <c r="L492" s="959">
        <f t="shared" si="157"/>
        <v>91768</v>
      </c>
      <c r="M492" s="959">
        <f t="shared" si="154"/>
        <v>81877</v>
      </c>
      <c r="N492" s="959">
        <f t="shared" si="154"/>
        <v>114955</v>
      </c>
      <c r="O492" s="896" t="str">
        <f>VLOOKUP($H:$H,[140]일위목록!$A:$B,2,FALSE)</f>
        <v>제51호표</v>
      </c>
    </row>
    <row r="493" spans="1:15" s="952" customFormat="1" ht="18.75" customHeight="1">
      <c r="A493" s="953"/>
      <c r="B493" s="947" t="str">
        <f>[140]산출!B515</f>
        <v>- SYSTEM 장치</v>
      </c>
      <c r="C493" s="954"/>
      <c r="D493" s="955"/>
      <c r="E493" s="948"/>
      <c r="F493" s="949"/>
      <c r="G493" s="950"/>
      <c r="H493" s="948"/>
      <c r="I493" s="951"/>
      <c r="J493" s="951"/>
      <c r="K493" s="951"/>
      <c r="L493" s="951"/>
      <c r="M493" s="951"/>
      <c r="N493" s="951"/>
      <c r="O493" s="949"/>
    </row>
    <row r="494" spans="1:15" ht="18.75" customHeight="1">
      <c r="A494" s="962"/>
      <c r="B494" s="957" t="str">
        <f>[140]산출!B516</f>
        <v>피아노경첩 제작설치</v>
      </c>
      <c r="C494" s="957"/>
      <c r="D494" s="958">
        <f>[140]산출!G516</f>
        <v>0</v>
      </c>
      <c r="E494" s="935" t="str">
        <f t="shared" ref="E494:E507" si="158">SUBSTITUTE(CONCATENATE(B:B,C:C,F:F)," ","")</f>
        <v>피아노경첩제작설치M</v>
      </c>
      <c r="F494" s="896" t="str">
        <f>[140]산출!D516</f>
        <v>M</v>
      </c>
      <c r="G494" s="936">
        <f>[140]산출!F516</f>
        <v>9.6</v>
      </c>
      <c r="H494" s="935" t="str">
        <f t="shared" ref="H494:H518" si="159">SUBSTITUTE(CONCATENATE(B494,C494,F494)," ","")</f>
        <v>피아노경첩제작설치M</v>
      </c>
      <c r="I494" s="959">
        <f>VLOOKUP($H:$H,[140]일위목록!$A:$H,6,FALSE)</f>
        <v>12630</v>
      </c>
      <c r="J494" s="959">
        <f t="shared" ref="J494:J507" si="160">TRUNC($G:$G*I:I)</f>
        <v>121248</v>
      </c>
      <c r="K494" s="959">
        <f>VLOOKUP($H:$H,[140]일위목록!$A:$H,7,FALSE)</f>
        <v>10973</v>
      </c>
      <c r="L494" s="959">
        <f t="shared" ref="L494:L507" si="161">TRUNC($G:$G*K:K)</f>
        <v>105340</v>
      </c>
      <c r="M494" s="959">
        <f t="shared" ref="M494:N509" si="162">SUM(I494,K494)</f>
        <v>23603</v>
      </c>
      <c r="N494" s="959">
        <f t="shared" si="162"/>
        <v>226588</v>
      </c>
      <c r="O494" s="896" t="str">
        <f>VLOOKUP($H:$H,[140]일위목록!$A:$B,2,FALSE)</f>
        <v>제88호표</v>
      </c>
    </row>
    <row r="495" spans="1:15" ht="18.75" customHeight="1">
      <c r="A495" s="962"/>
      <c r="B495" s="957" t="str">
        <f>[140]산출!B517</f>
        <v>LOCK SET 제작설치</v>
      </c>
      <c r="C495" s="957" t="str">
        <f>[140]산출!C517</f>
        <v>시건장치</v>
      </c>
      <c r="D495" s="958">
        <f>[140]산출!G517</f>
        <v>0</v>
      </c>
      <c r="E495" s="935" t="str">
        <f t="shared" si="158"/>
        <v>LOCKSET제작설치시건장치set</v>
      </c>
      <c r="F495" s="896" t="str">
        <f>[140]산출!D517</f>
        <v>set</v>
      </c>
      <c r="G495" s="936">
        <f>[140]산출!F517</f>
        <v>2</v>
      </c>
      <c r="H495" s="935" t="str">
        <f t="shared" si="159"/>
        <v>LOCKSET제작설치시건장치set</v>
      </c>
      <c r="I495" s="959">
        <f>VLOOKUP($H:$H,[140]일위목록!$A:$H,6,FALSE)</f>
        <v>48840</v>
      </c>
      <c r="J495" s="959">
        <f t="shared" si="160"/>
        <v>97680</v>
      </c>
      <c r="K495" s="959">
        <f>VLOOKUP($H:$H,[140]일위목록!$A:$H,7,FALSE)</f>
        <v>12605</v>
      </c>
      <c r="L495" s="959">
        <f t="shared" si="161"/>
        <v>25210</v>
      </c>
      <c r="M495" s="959">
        <f t="shared" si="162"/>
        <v>61445</v>
      </c>
      <c r="N495" s="959">
        <f t="shared" si="162"/>
        <v>122890</v>
      </c>
      <c r="O495" s="896" t="str">
        <f>VLOOKUP($H:$H,[140]일위목록!$A:$B,2,FALSE)</f>
        <v>제89호표</v>
      </c>
    </row>
    <row r="496" spans="1:15" ht="18.75" customHeight="1">
      <c r="A496" s="962"/>
      <c r="B496" s="957" t="str">
        <f>[140]산출!B518</f>
        <v>AL.패킹바 제작설치</v>
      </c>
      <c r="C496" s="957"/>
      <c r="D496" s="958">
        <f>[140]산출!G518</f>
        <v>0</v>
      </c>
      <c r="E496" s="935" t="str">
        <f t="shared" si="158"/>
        <v>AL.패킹바제작설치M</v>
      </c>
      <c r="F496" s="896" t="str">
        <f>[140]산출!D518</f>
        <v>M</v>
      </c>
      <c r="G496" s="936">
        <f>[140]산출!F518</f>
        <v>9.6</v>
      </c>
      <c r="H496" s="935" t="str">
        <f t="shared" si="159"/>
        <v>AL.패킹바제작설치M</v>
      </c>
      <c r="I496" s="959">
        <f>VLOOKUP($H:$H,[140]일위목록!$A:$H,6,FALSE)</f>
        <v>5250</v>
      </c>
      <c r="J496" s="959">
        <f t="shared" si="160"/>
        <v>50400</v>
      </c>
      <c r="K496" s="959">
        <f>VLOOKUP($H:$H,[140]일위목록!$A:$H,7,FALSE)</f>
        <v>3534</v>
      </c>
      <c r="L496" s="959">
        <f t="shared" si="161"/>
        <v>33926</v>
      </c>
      <c r="M496" s="959">
        <f t="shared" si="162"/>
        <v>8784</v>
      </c>
      <c r="N496" s="959">
        <f t="shared" si="162"/>
        <v>84326</v>
      </c>
      <c r="O496" s="896" t="str">
        <f>VLOOKUP($H:$H,[140]일위목록!$A:$B,2,FALSE)</f>
        <v>제92호표</v>
      </c>
    </row>
    <row r="497" spans="1:15" ht="18.75" customHeight="1">
      <c r="A497" s="962"/>
      <c r="B497" s="957" t="str">
        <f>[140]산출!B519</f>
        <v>밀폐패킹 설치</v>
      </c>
      <c r="C497" s="957" t="str">
        <f>[140]산출!C519</f>
        <v>소형</v>
      </c>
      <c r="D497" s="958">
        <f>[140]산출!G519</f>
        <v>0</v>
      </c>
      <c r="E497" s="935" t="str">
        <f t="shared" si="158"/>
        <v>밀폐패킹설치소형M</v>
      </c>
      <c r="F497" s="896" t="str">
        <f>[140]산출!D519</f>
        <v>M</v>
      </c>
      <c r="G497" s="936">
        <f>[140]산출!F519</f>
        <v>17.108000000000001</v>
      </c>
      <c r="H497" s="935" t="str">
        <f t="shared" si="159"/>
        <v>밀폐패킹설치소형M</v>
      </c>
      <c r="I497" s="959">
        <f>VLOOKUP($H:$H,[140]일위목록!$A:$H,6,FALSE)</f>
        <v>6300</v>
      </c>
      <c r="J497" s="959">
        <f t="shared" si="160"/>
        <v>107780</v>
      </c>
      <c r="K497" s="959">
        <f>VLOOKUP($H:$H,[140]일위목록!$A:$H,7,FALSE)</f>
        <v>2397</v>
      </c>
      <c r="L497" s="959">
        <f t="shared" si="161"/>
        <v>41007</v>
      </c>
      <c r="M497" s="959">
        <f t="shared" si="162"/>
        <v>8697</v>
      </c>
      <c r="N497" s="959">
        <f t="shared" si="162"/>
        <v>148787</v>
      </c>
      <c r="O497" s="896" t="str">
        <f>VLOOKUP($H:$H,[140]일위목록!$A:$B,2,FALSE)</f>
        <v>제93호표</v>
      </c>
    </row>
    <row r="498" spans="1:15" ht="18.75" customHeight="1">
      <c r="A498" s="962"/>
      <c r="B498" s="957" t="str">
        <f>[140]산출!B520</f>
        <v>AL.사출유리후렘 제작설치</v>
      </c>
      <c r="C498" s="957" t="str">
        <f>[140]산출!C520</f>
        <v>독립장(상부)</v>
      </c>
      <c r="D498" s="958">
        <f>[140]산출!G520</f>
        <v>0</v>
      </c>
      <c r="E498" s="935" t="str">
        <f t="shared" si="158"/>
        <v>AL.사출유리후렘제작설치독립장(상부)M</v>
      </c>
      <c r="F498" s="896" t="str">
        <f>[140]산출!D520</f>
        <v>M</v>
      </c>
      <c r="G498" s="936">
        <f>[140]산출!F520</f>
        <v>4.8</v>
      </c>
      <c r="H498" s="935" t="str">
        <f t="shared" si="159"/>
        <v>AL.사출유리후렘제작설치독립장(상부)M</v>
      </c>
      <c r="I498" s="959">
        <f>VLOOKUP($H:$H,[140]일위목록!$A:$H,6,FALSE)</f>
        <v>157500</v>
      </c>
      <c r="J498" s="959">
        <f t="shared" si="160"/>
        <v>756000</v>
      </c>
      <c r="K498" s="959">
        <f>VLOOKUP($H:$H,[140]일위목록!$A:$H,7,FALSE)</f>
        <v>53130</v>
      </c>
      <c r="L498" s="959">
        <f t="shared" si="161"/>
        <v>255024</v>
      </c>
      <c r="M498" s="959">
        <f t="shared" si="162"/>
        <v>210630</v>
      </c>
      <c r="N498" s="959">
        <f t="shared" si="162"/>
        <v>1011024</v>
      </c>
      <c r="O498" s="896" t="str">
        <f>VLOOKUP($H:$H,[140]일위목록!$A:$B,2,FALSE)</f>
        <v>제97호표</v>
      </c>
    </row>
    <row r="499" spans="1:15" ht="18.75" customHeight="1">
      <c r="A499" s="962"/>
      <c r="B499" s="957" t="str">
        <f>[140]산출!B521</f>
        <v>AL.사출유리후렘 제작설치</v>
      </c>
      <c r="C499" s="957" t="str">
        <f>[140]산출!C521</f>
        <v>독립장(하부)</v>
      </c>
      <c r="D499" s="958">
        <f>[140]산출!G521</f>
        <v>0</v>
      </c>
      <c r="E499" s="935" t="str">
        <f t="shared" si="158"/>
        <v>AL.사출유리후렘제작설치독립장(하부)M</v>
      </c>
      <c r="F499" s="896" t="str">
        <f>[140]산출!D521</f>
        <v>M</v>
      </c>
      <c r="G499" s="936">
        <f>[140]산출!F521</f>
        <v>4.8</v>
      </c>
      <c r="H499" s="935" t="str">
        <f t="shared" si="159"/>
        <v>AL.사출유리후렘제작설치독립장(하부)M</v>
      </c>
      <c r="I499" s="959">
        <f>VLOOKUP($H:$H,[140]일위목록!$A:$H,6,FALSE)</f>
        <v>115500</v>
      </c>
      <c r="J499" s="959">
        <f t="shared" si="160"/>
        <v>554400</v>
      </c>
      <c r="K499" s="959">
        <f>VLOOKUP($H:$H,[140]일위목록!$A:$H,7,FALSE)</f>
        <v>35420</v>
      </c>
      <c r="L499" s="959">
        <f t="shared" si="161"/>
        <v>170016</v>
      </c>
      <c r="M499" s="959">
        <f t="shared" si="162"/>
        <v>150920</v>
      </c>
      <c r="N499" s="959">
        <f t="shared" si="162"/>
        <v>724416</v>
      </c>
      <c r="O499" s="896" t="str">
        <f>VLOOKUP($H:$H,[140]일위목록!$A:$B,2,FALSE)</f>
        <v>제98호표</v>
      </c>
    </row>
    <row r="500" spans="1:15" ht="18.75" customHeight="1">
      <c r="A500" s="962"/>
      <c r="B500" s="957" t="str">
        <f>[140]산출!B522</f>
        <v>모터구동시스템 설치</v>
      </c>
      <c r="C500" s="957" t="str">
        <f>[140]산출!C522</f>
        <v>웜기어 전동실린더</v>
      </c>
      <c r="D500" s="958">
        <f>[140]산출!G522</f>
        <v>0</v>
      </c>
      <c r="E500" s="935" t="str">
        <f t="shared" si="158"/>
        <v>모터구동시스템설치웜기어전동실린더SET</v>
      </c>
      <c r="F500" s="896" t="str">
        <f>[140]산출!D522</f>
        <v>SET</v>
      </c>
      <c r="G500" s="936">
        <f>[140]산출!F522</f>
        <v>12</v>
      </c>
      <c r="H500" s="935" t="str">
        <f t="shared" si="159"/>
        <v>모터구동시스템설치웜기어전동실린더SET</v>
      </c>
      <c r="I500" s="959">
        <f>VLOOKUP($H:$H,[140]일위목록!$A:$H,6,FALSE)</f>
        <v>353000</v>
      </c>
      <c r="J500" s="959">
        <f t="shared" si="160"/>
        <v>4236000</v>
      </c>
      <c r="K500" s="959">
        <f>VLOOKUP($H:$H,[140]일위목록!$A:$H,7,FALSE)</f>
        <v>96655</v>
      </c>
      <c r="L500" s="959">
        <f t="shared" si="161"/>
        <v>1159860</v>
      </c>
      <c r="M500" s="959">
        <f t="shared" si="162"/>
        <v>449655</v>
      </c>
      <c r="N500" s="959">
        <f t="shared" si="162"/>
        <v>5395860</v>
      </c>
      <c r="O500" s="896" t="str">
        <f>VLOOKUP($H:$H,[140]일위목록!$A:$B,2,FALSE)</f>
        <v>제101호표</v>
      </c>
    </row>
    <row r="501" spans="1:15" ht="18.75" customHeight="1">
      <c r="A501" s="962"/>
      <c r="B501" s="957" t="str">
        <f>[140]산출!B523</f>
        <v>LM가이드시스템 가공 설치</v>
      </c>
      <c r="C501" s="957" t="str">
        <f>[140]산출!C523</f>
        <v>Ø25</v>
      </c>
      <c r="D501" s="958">
        <f>[140]산출!G523</f>
        <v>0</v>
      </c>
      <c r="E501" s="935" t="str">
        <f t="shared" si="158"/>
        <v>LM가이드시스템가공설치Ø25SET</v>
      </c>
      <c r="F501" s="896" t="str">
        <f>[140]산출!D523</f>
        <v>SET</v>
      </c>
      <c r="G501" s="936">
        <f>[140]산출!F523</f>
        <v>24</v>
      </c>
      <c r="H501" s="935" t="str">
        <f t="shared" si="159"/>
        <v>LM가이드시스템가공설치Ø25SET</v>
      </c>
      <c r="I501" s="959">
        <f>VLOOKUP($H:$H,[140]일위목록!$A:$H,6,FALSE)</f>
        <v>144000</v>
      </c>
      <c r="J501" s="959">
        <f t="shared" si="160"/>
        <v>3456000</v>
      </c>
      <c r="K501" s="959">
        <f>VLOOKUP($H:$H,[140]일위목록!$A:$H,7,FALSE)</f>
        <v>18323</v>
      </c>
      <c r="L501" s="959">
        <f t="shared" si="161"/>
        <v>439752</v>
      </c>
      <c r="M501" s="959">
        <f t="shared" si="162"/>
        <v>162323</v>
      </c>
      <c r="N501" s="959">
        <f t="shared" si="162"/>
        <v>3895752</v>
      </c>
      <c r="O501" s="896" t="str">
        <f>VLOOKUP($H:$H,[140]일위목록!$A:$B,2,FALSE)</f>
        <v>제100호표</v>
      </c>
    </row>
    <row r="502" spans="1:15" ht="18.75" customHeight="1">
      <c r="A502" s="962"/>
      <c r="B502" s="957" t="str">
        <f>[140]산출!B524</f>
        <v>베어링레일및가공 설치</v>
      </c>
      <c r="C502" s="957" t="str">
        <f>[140]산출!C524</f>
        <v>22*42 2.3T 가공</v>
      </c>
      <c r="D502" s="958">
        <f>[140]산출!G524</f>
        <v>0</v>
      </c>
      <c r="E502" s="935" t="str">
        <f t="shared" si="158"/>
        <v>베어링레일및가공설치22*422.3T가공M</v>
      </c>
      <c r="F502" s="896" t="str">
        <f>[140]산출!D524</f>
        <v>M</v>
      </c>
      <c r="G502" s="936">
        <f>[140]산출!F524</f>
        <v>4.8</v>
      </c>
      <c r="H502" s="935" t="str">
        <f t="shared" si="159"/>
        <v>베어링레일및가공설치22*422.3T가공M</v>
      </c>
      <c r="I502" s="959">
        <f>VLOOKUP($H:$H,[140]일위목록!$A:$H,6,FALSE)</f>
        <v>136500</v>
      </c>
      <c r="J502" s="959">
        <f t="shared" si="160"/>
        <v>655200</v>
      </c>
      <c r="K502" s="959">
        <f>VLOOKUP($H:$H,[140]일위목록!$A:$H,7,FALSE)</f>
        <v>35420</v>
      </c>
      <c r="L502" s="959">
        <f t="shared" si="161"/>
        <v>170016</v>
      </c>
      <c r="M502" s="959">
        <f t="shared" si="162"/>
        <v>171920</v>
      </c>
      <c r="N502" s="959">
        <f t="shared" si="162"/>
        <v>825216</v>
      </c>
      <c r="O502" s="896" t="str">
        <f>VLOOKUP($H:$H,[140]일위목록!$A:$B,2,FALSE)</f>
        <v>제102호표</v>
      </c>
    </row>
    <row r="503" spans="1:15" ht="18.75" customHeight="1">
      <c r="A503" s="962"/>
      <c r="B503" s="957" t="str">
        <f>[140]산출!B525</f>
        <v>슬라이딩베어링 가공조립</v>
      </c>
      <c r="C503" s="957" t="str">
        <f>[140]산출!C525</f>
        <v>Ø26</v>
      </c>
      <c r="D503" s="958">
        <f>[140]산출!G525</f>
        <v>0</v>
      </c>
      <c r="E503" s="935" t="str">
        <f t="shared" si="158"/>
        <v>슬라이딩베어링가공조립Ø26EA</v>
      </c>
      <c r="F503" s="896" t="str">
        <f>[140]산출!D525</f>
        <v>EA</v>
      </c>
      <c r="G503" s="936">
        <f>[140]산출!F525</f>
        <v>62</v>
      </c>
      <c r="H503" s="935" t="str">
        <f t="shared" si="159"/>
        <v>슬라이딩베어링가공조립Ø26EA</v>
      </c>
      <c r="I503" s="959">
        <f>VLOOKUP($H:$H,[140]일위목록!$A:$H,6,FALSE)</f>
        <v>6500</v>
      </c>
      <c r="J503" s="959">
        <f t="shared" si="160"/>
        <v>403000</v>
      </c>
      <c r="K503" s="959">
        <f>VLOOKUP($H:$H,[140]일위목록!$A:$H,7,FALSE)</f>
        <v>3864</v>
      </c>
      <c r="L503" s="959">
        <f t="shared" si="161"/>
        <v>239568</v>
      </c>
      <c r="M503" s="959">
        <f t="shared" si="162"/>
        <v>10364</v>
      </c>
      <c r="N503" s="959">
        <f t="shared" si="162"/>
        <v>642568</v>
      </c>
      <c r="O503" s="896" t="str">
        <f>VLOOKUP($H:$H,[140]일위목록!$A:$B,2,FALSE)</f>
        <v>제104호표</v>
      </c>
    </row>
    <row r="504" spans="1:15" ht="18.75" customHeight="1">
      <c r="A504" s="962"/>
      <c r="B504" s="957" t="str">
        <f>[140]산출!B526</f>
        <v>베어링 붓싱가공조립</v>
      </c>
      <c r="C504" s="957" t="str">
        <f>[140]산출!C526</f>
        <v>#6200</v>
      </c>
      <c r="D504" s="958">
        <f>[140]산출!G526</f>
        <v>0</v>
      </c>
      <c r="E504" s="935" t="str">
        <f t="shared" si="158"/>
        <v>베어링붓싱가공조립#6200EA</v>
      </c>
      <c r="F504" s="896" t="str">
        <f>[140]산출!D526</f>
        <v>EA</v>
      </c>
      <c r="G504" s="936">
        <f>[140]산출!F526</f>
        <v>62</v>
      </c>
      <c r="H504" s="935" t="str">
        <f t="shared" si="159"/>
        <v>베어링붓싱가공조립#6200EA</v>
      </c>
      <c r="I504" s="959">
        <f>VLOOKUP($H:$H,[140]일위목록!$A:$H,6,FALSE)</f>
        <v>6000</v>
      </c>
      <c r="J504" s="959">
        <f t="shared" si="160"/>
        <v>372000</v>
      </c>
      <c r="K504" s="959">
        <f>VLOOKUP($H:$H,[140]일위목록!$A:$H,7,FALSE)</f>
        <v>3864</v>
      </c>
      <c r="L504" s="959">
        <f t="shared" si="161"/>
        <v>239568</v>
      </c>
      <c r="M504" s="959">
        <f t="shared" si="162"/>
        <v>9864</v>
      </c>
      <c r="N504" s="959">
        <f t="shared" si="162"/>
        <v>611568</v>
      </c>
      <c r="O504" s="896" t="str">
        <f>VLOOKUP($H:$H,[140]일위목록!$A:$B,2,FALSE)</f>
        <v>제105호표</v>
      </c>
    </row>
    <row r="505" spans="1:15" ht="18.75" customHeight="1">
      <c r="A505" s="962"/>
      <c r="B505" s="957" t="str">
        <f>[140]산출!B527</f>
        <v>유압쇽업쇼바 제작설치</v>
      </c>
      <c r="C505" s="957" t="str">
        <f>[140]산출!C527</f>
        <v>20kg</v>
      </c>
      <c r="D505" s="958">
        <f>[140]산출!G527</f>
        <v>0</v>
      </c>
      <c r="E505" s="935" t="str">
        <f t="shared" si="158"/>
        <v>유압쇽업쇼바제작설치20kgSET</v>
      </c>
      <c r="F505" s="896" t="str">
        <f>[140]산출!D527</f>
        <v>SET</v>
      </c>
      <c r="G505" s="936">
        <f>[140]산출!F527</f>
        <v>4</v>
      </c>
      <c r="H505" s="935" t="str">
        <f t="shared" si="159"/>
        <v>유압쇽업쇼바제작설치20kgSET</v>
      </c>
      <c r="I505" s="959">
        <f>VLOOKUP($H:$H,[140]일위목록!$A:$H,6,FALSE)</f>
        <v>39224</v>
      </c>
      <c r="J505" s="959">
        <f t="shared" si="160"/>
        <v>156896</v>
      </c>
      <c r="K505" s="959">
        <f>VLOOKUP($H:$H,[140]일위목록!$A:$H,7,FALSE)</f>
        <v>3792</v>
      </c>
      <c r="L505" s="959">
        <f t="shared" si="161"/>
        <v>15168</v>
      </c>
      <c r="M505" s="959">
        <f t="shared" si="162"/>
        <v>43016</v>
      </c>
      <c r="N505" s="959">
        <f t="shared" si="162"/>
        <v>172064</v>
      </c>
      <c r="O505" s="896" t="str">
        <f>VLOOKUP($H:$H,[140]일위목록!$A:$B,2,FALSE)</f>
        <v>제90호표</v>
      </c>
    </row>
    <row r="506" spans="1:15" ht="18.75" customHeight="1">
      <c r="A506" s="962"/>
      <c r="B506" s="957" t="str">
        <f>[140]산출!B528</f>
        <v>센터베어링및스톱파 가공조립</v>
      </c>
      <c r="C506" s="957" t="str">
        <f>[140]산출!C528</f>
        <v>독립형1단</v>
      </c>
      <c r="D506" s="958">
        <f>[140]산출!G528</f>
        <v>0</v>
      </c>
      <c r="E506" s="935" t="str">
        <f t="shared" si="158"/>
        <v>센터베어링및스톱파가공조립독립형1단SET</v>
      </c>
      <c r="F506" s="896" t="str">
        <f>[140]산출!D528</f>
        <v>SET</v>
      </c>
      <c r="G506" s="936">
        <f>[140]산출!F528</f>
        <v>2</v>
      </c>
      <c r="H506" s="935" t="str">
        <f t="shared" si="159"/>
        <v>센터베어링및스톱파가공조립독립형1단SET</v>
      </c>
      <c r="I506" s="959">
        <f>VLOOKUP($H:$H,[140]일위목록!$A:$H,6,FALSE)</f>
        <v>85000</v>
      </c>
      <c r="J506" s="959">
        <f t="shared" si="160"/>
        <v>170000</v>
      </c>
      <c r="K506" s="959">
        <f>VLOOKUP($H:$H,[140]일위목록!$A:$H,7,FALSE)</f>
        <v>62887</v>
      </c>
      <c r="L506" s="959">
        <f t="shared" si="161"/>
        <v>125774</v>
      </c>
      <c r="M506" s="959">
        <f t="shared" si="162"/>
        <v>147887</v>
      </c>
      <c r="N506" s="959">
        <f t="shared" si="162"/>
        <v>295774</v>
      </c>
      <c r="O506" s="896" t="str">
        <f>VLOOKUP($H:$H,[140]일위목록!$A:$B,2,FALSE)</f>
        <v>제108호표</v>
      </c>
    </row>
    <row r="507" spans="1:15" ht="18.75" customHeight="1">
      <c r="A507" s="962"/>
      <c r="B507" s="957" t="str">
        <f>[140]산출!B529</f>
        <v>전후진 전동콘트롤 제작설치</v>
      </c>
      <c r="C507" s="957" t="str">
        <f>[140]산출!C529</f>
        <v>독립형</v>
      </c>
      <c r="D507" s="958">
        <f>[140]산출!G529</f>
        <v>0</v>
      </c>
      <c r="E507" s="935" t="str">
        <f t="shared" si="158"/>
        <v>전후진전동콘트롤제작설치독립형SET</v>
      </c>
      <c r="F507" s="896" t="str">
        <f>[140]산출!D529</f>
        <v>SET</v>
      </c>
      <c r="G507" s="936">
        <f>[140]산출!F529</f>
        <v>2</v>
      </c>
      <c r="H507" s="935" t="str">
        <f t="shared" si="159"/>
        <v>전후진전동콘트롤제작설치독립형SET</v>
      </c>
      <c r="I507" s="959">
        <f>VLOOKUP($H:$H,[140]일위목록!$A:$H,6,FALSE)</f>
        <v>400000</v>
      </c>
      <c r="J507" s="959">
        <f t="shared" si="160"/>
        <v>800000</v>
      </c>
      <c r="K507" s="959">
        <f>VLOOKUP($H:$H,[140]일위목록!$A:$H,7,FALSE)</f>
        <v>65053</v>
      </c>
      <c r="L507" s="959">
        <f t="shared" si="161"/>
        <v>130106</v>
      </c>
      <c r="M507" s="959">
        <f t="shared" si="162"/>
        <v>465053</v>
      </c>
      <c r="N507" s="959">
        <f t="shared" si="162"/>
        <v>930106</v>
      </c>
      <c r="O507" s="896" t="str">
        <f>VLOOKUP($H:$H,[140]일위목록!$A:$B,2,FALSE)</f>
        <v>제111호표</v>
      </c>
    </row>
    <row r="508" spans="1:15" s="952" customFormat="1" ht="18.75" customHeight="1">
      <c r="A508" s="953"/>
      <c r="B508" s="947" t="str">
        <f>[140]산출!B530</f>
        <v>- 수장설치</v>
      </c>
      <c r="C508" s="954"/>
      <c r="D508" s="955"/>
      <c r="E508" s="948"/>
      <c r="F508" s="949"/>
      <c r="G508" s="950"/>
      <c r="H508" s="948"/>
      <c r="I508" s="951"/>
      <c r="J508" s="951"/>
      <c r="K508" s="951"/>
      <c r="L508" s="951"/>
      <c r="M508" s="951"/>
      <c r="N508" s="951"/>
      <c r="O508" s="949"/>
    </row>
    <row r="509" spans="1:15" ht="18.75" customHeight="1">
      <c r="A509" s="962"/>
      <c r="B509" s="957" t="str">
        <f>[140]산출!B531</f>
        <v>합판취부</v>
      </c>
      <c r="C509" s="939" t="str">
        <f>[140]산출!C531</f>
        <v>T11.5mm 2PLY</v>
      </c>
      <c r="D509" s="958">
        <f>[140]산출!G531</f>
        <v>0</v>
      </c>
      <c r="E509" s="935" t="str">
        <f>SUBSTITUTE(CONCATENATE(B:B,C:C,F:F)," ","")</f>
        <v>합판취부T11.5mm2PLYM2</v>
      </c>
      <c r="F509" s="896" t="str">
        <f>[140]산출!D531</f>
        <v>M2</v>
      </c>
      <c r="G509" s="936">
        <f>[140]산출!F531</f>
        <v>5.76</v>
      </c>
      <c r="H509" s="935" t="str">
        <f t="shared" si="159"/>
        <v>합판취부T11.5mm2PLYM2</v>
      </c>
      <c r="I509" s="959">
        <f>VLOOKUP($H:$H,[140]일위목록!$A:$H,6,FALSE)</f>
        <v>19751</v>
      </c>
      <c r="J509" s="959">
        <f>TRUNC($G:$G*I:I)</f>
        <v>113765</v>
      </c>
      <c r="K509" s="959">
        <f>VLOOKUP($H:$H,[140]일위목록!$A:$H,7,FALSE)</f>
        <v>35580</v>
      </c>
      <c r="L509" s="959">
        <f>TRUNC($G:$G*K:K)</f>
        <v>204940</v>
      </c>
      <c r="M509" s="959">
        <f t="shared" si="162"/>
        <v>55331</v>
      </c>
      <c r="N509" s="959">
        <f t="shared" si="162"/>
        <v>318705</v>
      </c>
      <c r="O509" s="896" t="str">
        <f>VLOOKUP($H:$H,[140]일위목록!$A:$B,2,FALSE)</f>
        <v>제43호표</v>
      </c>
    </row>
    <row r="510" spans="1:15" ht="18.75" customHeight="1">
      <c r="A510" s="962"/>
      <c r="B510" s="957" t="str">
        <f>[140]산출!B532</f>
        <v>바탕처리</v>
      </c>
      <c r="C510" s="939" t="str">
        <f>[140]산출!C532</f>
        <v>도배퍼티</v>
      </c>
      <c r="D510" s="958">
        <f>[140]산출!G532</f>
        <v>0</v>
      </c>
      <c r="E510" s="935" t="str">
        <f>SUBSTITUTE(CONCATENATE(B:B,C:C,F:F)," ","")</f>
        <v>바탕처리도배퍼티M2</v>
      </c>
      <c r="F510" s="896" t="str">
        <f>[140]산출!D532</f>
        <v>M2</v>
      </c>
      <c r="G510" s="936">
        <f>[140]산출!F532</f>
        <v>5.76</v>
      </c>
      <c r="H510" s="935" t="str">
        <f t="shared" si="159"/>
        <v>바탕처리도배퍼티M2</v>
      </c>
      <c r="I510" s="959">
        <f>VLOOKUP($H:$H,[140]일위목록!$A:$H,6,FALSE)</f>
        <v>1160</v>
      </c>
      <c r="J510" s="959">
        <f>TRUNC($G:$G*I:I)</f>
        <v>6681</v>
      </c>
      <c r="K510" s="959">
        <f>VLOOKUP($H:$H,[140]일위목록!$A:$H,7,FALSE)</f>
        <v>7711</v>
      </c>
      <c r="L510" s="959">
        <f>TRUNC($G:$G*K:K)</f>
        <v>44415</v>
      </c>
      <c r="M510" s="959">
        <f t="shared" ref="M510:N518" si="163">SUM(I510,K510)</f>
        <v>8871</v>
      </c>
      <c r="N510" s="959">
        <f t="shared" si="163"/>
        <v>51096</v>
      </c>
      <c r="O510" s="896" t="str">
        <f>VLOOKUP($H:$H,[140]일위목록!$A:$B,2,FALSE)</f>
        <v>제55호표</v>
      </c>
    </row>
    <row r="511" spans="1:15" ht="18.75" customHeight="1">
      <c r="A511" s="962"/>
      <c r="B511" s="957" t="str">
        <f>[140]산출!B533</f>
        <v>내부도배</v>
      </c>
      <c r="C511" s="939" t="str">
        <f>[140]산출!C533</f>
        <v>세마직벽지</v>
      </c>
      <c r="D511" s="958">
        <f>[140]산출!G533</f>
        <v>0</v>
      </c>
      <c r="E511" s="935" t="str">
        <f>SUBSTITUTE(CONCATENATE(B:B,C:C,F:F)," ","")</f>
        <v>내부도배세마직벽지M2</v>
      </c>
      <c r="F511" s="896" t="str">
        <f>[140]산출!D533</f>
        <v>M2</v>
      </c>
      <c r="G511" s="936">
        <f>[140]산출!F533</f>
        <v>11.52</v>
      </c>
      <c r="H511" s="935" t="str">
        <f t="shared" si="159"/>
        <v>내부도배세마직벽지M2</v>
      </c>
      <c r="I511" s="959">
        <f>VLOOKUP($H:$H,[140]일위목록!$A:$H,6,FALSE)</f>
        <v>47152</v>
      </c>
      <c r="J511" s="959">
        <f>TRUNC($G:$G*I:I)</f>
        <v>543191</v>
      </c>
      <c r="K511" s="959">
        <f>VLOOKUP($H:$H,[140]일위목록!$A:$H,7,FALSE)</f>
        <v>5222</v>
      </c>
      <c r="L511" s="959">
        <f>TRUNC($G:$G*K:K)</f>
        <v>60157</v>
      </c>
      <c r="M511" s="959">
        <f t="shared" si="163"/>
        <v>52374</v>
      </c>
      <c r="N511" s="959">
        <f t="shared" si="163"/>
        <v>603348</v>
      </c>
      <c r="O511" s="896" t="str">
        <f>VLOOKUP($H:$H,[140]일위목록!$A:$B,2,FALSE)</f>
        <v>제56호표</v>
      </c>
    </row>
    <row r="512" spans="1:15" ht="18.75" customHeight="1">
      <c r="A512" s="962"/>
      <c r="B512" s="957" t="str">
        <f>[140]산출!B534</f>
        <v>우레탄칼라락카도장</v>
      </c>
      <c r="C512" s="939" t="str">
        <f>[140]산출!C534</f>
        <v>철재면기준</v>
      </c>
      <c r="D512" s="958">
        <f>[140]산출!G534</f>
        <v>0</v>
      </c>
      <c r="E512" s="935" t="str">
        <f>SUBSTITUTE(CONCATENATE(B:B,C:C,F:F)," ","")</f>
        <v>우레탄칼라락카도장철재면기준M2</v>
      </c>
      <c r="F512" s="896" t="str">
        <f>[140]산출!D534</f>
        <v>M2</v>
      </c>
      <c r="G512" s="936">
        <f>[140]산출!F534</f>
        <v>25.511199999999999</v>
      </c>
      <c r="H512" s="935" t="str">
        <f t="shared" si="159"/>
        <v>우레탄칼라락카도장철재면기준M2</v>
      </c>
      <c r="I512" s="959">
        <f>VLOOKUP($H:$H,[140]일위목록!$A:$H,6,FALSE)</f>
        <v>16103</v>
      </c>
      <c r="J512" s="959">
        <f>TRUNC($G:$G*I:I)</f>
        <v>410806</v>
      </c>
      <c r="K512" s="959">
        <f>VLOOKUP($H:$H,[140]일위목록!$A:$H,7,FALSE)</f>
        <v>22265</v>
      </c>
      <c r="L512" s="959">
        <f>TRUNC($G:$G*K:K)</f>
        <v>568006</v>
      </c>
      <c r="M512" s="959">
        <f t="shared" si="163"/>
        <v>38368</v>
      </c>
      <c r="N512" s="959">
        <f t="shared" si="163"/>
        <v>978812</v>
      </c>
      <c r="O512" s="896" t="str">
        <f>VLOOKUP($H:$H,[140]일위목록!$A:$B,2,FALSE)</f>
        <v>제40호표</v>
      </c>
    </row>
    <row r="513" spans="1:15" ht="18.75" customHeight="1">
      <c r="A513" s="962"/>
      <c r="B513" s="957" t="str">
        <f>[140]산출!B535</f>
        <v>바탕처리</v>
      </c>
      <c r="C513" s="939" t="str">
        <f>[140]산출!C535</f>
        <v>철재면기준</v>
      </c>
      <c r="D513" s="958">
        <f>[140]산출!G535</f>
        <v>0</v>
      </c>
      <c r="E513" s="935" t="str">
        <f>SUBSTITUTE(CONCATENATE(B:B,C:C,F:F)," ","")</f>
        <v>바탕처리철재면기준M2</v>
      </c>
      <c r="F513" s="896" t="str">
        <f>[140]산출!D535</f>
        <v>M2</v>
      </c>
      <c r="G513" s="936">
        <f>[140]산출!F535</f>
        <v>25.511199999999999</v>
      </c>
      <c r="H513" s="935" t="str">
        <f t="shared" si="159"/>
        <v>바탕처리철재면기준M2</v>
      </c>
      <c r="I513" s="959">
        <f>VLOOKUP($H:$H,[140]일위목록!$A:$H,6,FALSE)</f>
        <v>4891</v>
      </c>
      <c r="J513" s="959">
        <f>TRUNC($G:$G*I:I)</f>
        <v>124775</v>
      </c>
      <c r="K513" s="959">
        <f>VLOOKUP($H:$H,[140]일위목록!$A:$H,7,FALSE)</f>
        <v>15314</v>
      </c>
      <c r="L513" s="959">
        <f>TRUNC($G:$G*K:K)</f>
        <v>390678</v>
      </c>
      <c r="M513" s="959">
        <f t="shared" si="163"/>
        <v>20205</v>
      </c>
      <c r="N513" s="959">
        <f t="shared" si="163"/>
        <v>515453</v>
      </c>
      <c r="O513" s="896" t="str">
        <f>VLOOKUP($H:$H,[140]일위목록!$A:$B,2,FALSE)</f>
        <v>제41호표</v>
      </c>
    </row>
    <row r="514" spans="1:15" s="952" customFormat="1" ht="18.75" customHeight="1">
      <c r="A514" s="953"/>
      <c r="B514" s="947" t="str">
        <f>[140]산출!B536</f>
        <v>- 유리설치</v>
      </c>
      <c r="C514" s="954"/>
      <c r="D514" s="955"/>
      <c r="E514" s="948"/>
      <c r="F514" s="949"/>
      <c r="G514" s="950"/>
      <c r="H514" s="948"/>
      <c r="I514" s="951"/>
      <c r="J514" s="951"/>
      <c r="K514" s="951"/>
      <c r="L514" s="951"/>
      <c r="M514" s="951"/>
      <c r="N514" s="951"/>
      <c r="O514" s="949"/>
    </row>
    <row r="515" spans="1:15" ht="18.75" customHeight="1">
      <c r="A515" s="962"/>
      <c r="B515" s="957" t="str">
        <f>[140]산출!B537</f>
        <v>화이트 접합유리 끼우기</v>
      </c>
      <c r="C515" s="939" t="str">
        <f>[140]산출!C537</f>
        <v>T12.76mm (2,400*3,400기준)</v>
      </c>
      <c r="D515" s="958">
        <f>[140]산출!G537</f>
        <v>0</v>
      </c>
      <c r="E515" s="935" t="str">
        <f>SUBSTITUTE(CONCATENATE(B:B,C:C,F:F)," ","")</f>
        <v>화이트접합유리끼우기T12.76mm(2,400*3,400기준)M2</v>
      </c>
      <c r="F515" s="896" t="str">
        <f>[140]산출!D537</f>
        <v>M2</v>
      </c>
      <c r="G515" s="936">
        <f>[140]산출!F537</f>
        <v>20.1312</v>
      </c>
      <c r="H515" s="935" t="str">
        <f t="shared" si="159"/>
        <v>화이트접합유리끼우기T12.76mm(2,400*3,400기준)M2</v>
      </c>
      <c r="I515" s="959">
        <f>VLOOKUP($H:$H,[140]일위목록!$A:$H,6,FALSE)</f>
        <v>225283</v>
      </c>
      <c r="J515" s="959">
        <f>TRUNC($G:$G*I:I)</f>
        <v>4535217</v>
      </c>
      <c r="K515" s="959">
        <f>VLOOKUP($H:$H,[140]일위목록!$A:$H,7,FALSE)</f>
        <v>71881</v>
      </c>
      <c r="L515" s="959">
        <f>TRUNC($G:$G*K:K)</f>
        <v>1447050</v>
      </c>
      <c r="M515" s="959">
        <f t="shared" si="163"/>
        <v>297164</v>
      </c>
      <c r="N515" s="959">
        <f t="shared" si="163"/>
        <v>5982267</v>
      </c>
      <c r="O515" s="896" t="str">
        <f>VLOOKUP($H:$H,[140]일위목록!$A:$B,2,FALSE)</f>
        <v>제63호표</v>
      </c>
    </row>
    <row r="516" spans="1:15" ht="18.75" customHeight="1">
      <c r="A516" s="962"/>
      <c r="B516" s="957" t="str">
        <f>[140]산출!B538</f>
        <v>조명용아크릴 가공 설치</v>
      </c>
      <c r="C516" s="939" t="str">
        <f>[140]산출!C538</f>
        <v>T5mm</v>
      </c>
      <c r="D516" s="958">
        <f>[140]산출!G538</f>
        <v>0</v>
      </c>
      <c r="E516" s="935" t="str">
        <f>SUBSTITUTE(CONCATENATE(B:B,C:C,F:F)," ","")</f>
        <v>조명용아크릴가공설치T5mmM2</v>
      </c>
      <c r="F516" s="896" t="str">
        <f>[140]산출!D538</f>
        <v>M2</v>
      </c>
      <c r="G516" s="936">
        <f>[140]산출!F538</f>
        <v>0.36</v>
      </c>
      <c r="H516" s="935" t="str">
        <f t="shared" si="159"/>
        <v>조명용아크릴가공설치T5mmM2</v>
      </c>
      <c r="I516" s="959">
        <f>VLOOKUP($H:$H,[140]일위목록!$A:$H,6,FALSE)</f>
        <v>74550</v>
      </c>
      <c r="J516" s="959">
        <f>TRUNC($G:$G*I:I)</f>
        <v>26838</v>
      </c>
      <c r="K516" s="959">
        <f>VLOOKUP($H:$H,[140]일위목록!$A:$H,7,FALSE)</f>
        <v>19211</v>
      </c>
      <c r="L516" s="959">
        <f>TRUNC($G:$G*K:K)</f>
        <v>6915</v>
      </c>
      <c r="M516" s="959">
        <f t="shared" si="163"/>
        <v>93761</v>
      </c>
      <c r="N516" s="959">
        <f t="shared" si="163"/>
        <v>33753</v>
      </c>
      <c r="O516" s="896" t="str">
        <f>VLOOKUP($H:$H,[140]일위목록!$A:$B,2,FALSE)</f>
        <v>제67호표</v>
      </c>
    </row>
    <row r="517" spans="1:15" ht="18.75" customHeight="1">
      <c r="A517" s="962"/>
      <c r="B517" s="957" t="str">
        <f>[140]산출!B539</f>
        <v>코    킹</v>
      </c>
      <c r="C517" s="939"/>
      <c r="D517" s="958">
        <f>[140]산출!G539</f>
        <v>0</v>
      </c>
      <c r="E517" s="935" t="str">
        <f>SUBSTITUTE(CONCATENATE(B:B,C:C,F:F)," ","")</f>
        <v>코킹M</v>
      </c>
      <c r="F517" s="896" t="str">
        <f>[140]산출!D539</f>
        <v>M</v>
      </c>
      <c r="G517" s="936">
        <f>[140]산출!F539</f>
        <v>57.17</v>
      </c>
      <c r="H517" s="935" t="str">
        <f t="shared" si="159"/>
        <v>코킹M</v>
      </c>
      <c r="I517" s="959">
        <f>VLOOKUP($H:$H,[140]일위목록!$A:$H,6,FALSE)</f>
        <v>880</v>
      </c>
      <c r="J517" s="959">
        <f>TRUNC($G:$G*I:I)</f>
        <v>50309</v>
      </c>
      <c r="K517" s="959">
        <f>VLOOKUP($H:$H,[140]일위목록!$A:$H,7,FALSE)</f>
        <v>6064</v>
      </c>
      <c r="L517" s="959">
        <f>TRUNC($G:$G*K:K)</f>
        <v>346678</v>
      </c>
      <c r="M517" s="959">
        <f t="shared" si="163"/>
        <v>6944</v>
      </c>
      <c r="N517" s="959">
        <f t="shared" si="163"/>
        <v>396987</v>
      </c>
      <c r="O517" s="896" t="str">
        <f>VLOOKUP($H:$H,[140]일위목록!$A:$B,2,FALSE)</f>
        <v>제45호표</v>
      </c>
    </row>
    <row r="518" spans="1:15" ht="18.75" customHeight="1">
      <c r="A518" s="962"/>
      <c r="B518" s="957" t="str">
        <f>[140]산출!B540</f>
        <v>면    취</v>
      </c>
      <c r="C518" s="939"/>
      <c r="D518" s="958">
        <f>[140]산출!G540</f>
        <v>0</v>
      </c>
      <c r="E518" s="935" t="str">
        <f>SUBSTITUTE(CONCATENATE(B:B,C:C,F:F)," ","")</f>
        <v>면취M</v>
      </c>
      <c r="F518" s="896" t="str">
        <f>[140]산출!D540</f>
        <v>M</v>
      </c>
      <c r="G518" s="936">
        <f>[140]산출!F540</f>
        <v>68.432000000000002</v>
      </c>
      <c r="H518" s="935" t="str">
        <f t="shared" si="159"/>
        <v>면취M</v>
      </c>
      <c r="I518" s="959">
        <f>VLOOKUP($H:$H,[140]일위목록!$A:$H,6,FALSE)</f>
        <v>11000</v>
      </c>
      <c r="J518" s="959">
        <f>TRUNC($G:$G*I:I)</f>
        <v>752752</v>
      </c>
      <c r="K518" s="959">
        <f>VLOOKUP($H:$H,[140]일위목록!$A:$H,7,FALSE)</f>
        <v>0</v>
      </c>
      <c r="L518" s="959">
        <f>TRUNC($G:$G*K:K)</f>
        <v>0</v>
      </c>
      <c r="M518" s="959">
        <f t="shared" si="163"/>
        <v>11000</v>
      </c>
      <c r="N518" s="959">
        <f t="shared" si="163"/>
        <v>752752</v>
      </c>
      <c r="O518" s="896" t="str">
        <f>VLOOKUP($H:$H,[140]일위목록!$A:$B,2,FALSE)</f>
        <v>단가-77번</v>
      </c>
    </row>
    <row r="519" spans="1:15" s="952" customFormat="1" ht="18.75" customHeight="1">
      <c r="A519" s="953"/>
      <c r="B519" s="947" t="str">
        <f>[140]산출!B541</f>
        <v>- 조명 장치</v>
      </c>
      <c r="C519" s="954"/>
      <c r="D519" s="955"/>
      <c r="E519" s="948"/>
      <c r="F519" s="949"/>
      <c r="G519" s="950"/>
      <c r="H519" s="948"/>
      <c r="I519" s="951"/>
      <c r="J519" s="951"/>
      <c r="K519" s="951"/>
      <c r="L519" s="951"/>
      <c r="M519" s="951"/>
      <c r="N519" s="951"/>
      <c r="O519" s="949"/>
    </row>
    <row r="520" spans="1:15" ht="18.75" customHeight="1">
      <c r="A520" s="962"/>
      <c r="B520" s="957" t="str">
        <f>[140]산출!B542</f>
        <v>LED 포인트조명설치(독립장형)</v>
      </c>
      <c r="C520" s="939" t="str">
        <f>[140]산출!C542</f>
        <v>15W이하</v>
      </c>
      <c r="D520" s="958">
        <f>[140]산출!G542</f>
        <v>0</v>
      </c>
      <c r="E520" s="935" t="str">
        <f>SUBSTITUTE(CONCATENATE(B:B,C:C,F:F)," ","")</f>
        <v>LED포인트조명설치(독립장형)15W이하ea</v>
      </c>
      <c r="F520" s="896" t="str">
        <f>[140]산출!D542</f>
        <v>ea</v>
      </c>
      <c r="G520" s="936">
        <f>[140]산출!F542</f>
        <v>23.999999999999996</v>
      </c>
      <c r="H520" s="935" t="str">
        <f t="shared" ref="H520:H523" si="164">SUBSTITUTE(CONCATENATE(B520,C520,F520)," ","")</f>
        <v>LED포인트조명설치(독립장형)15W이하ea</v>
      </c>
      <c r="I520" s="959">
        <f>VLOOKUP($H:$H,[140]일위목록!$A:$H,6,FALSE)</f>
        <v>115500</v>
      </c>
      <c r="J520" s="959">
        <f>TRUNC($G:$G*I:I)</f>
        <v>2772000</v>
      </c>
      <c r="K520" s="959">
        <f>VLOOKUP($H:$H,[140]일위목록!$A:$H,7,FALSE)</f>
        <v>26372</v>
      </c>
      <c r="L520" s="959">
        <f>TRUNC($G:$G*K:K)</f>
        <v>632928</v>
      </c>
      <c r="M520" s="959">
        <f t="shared" ref="M520:N523" si="165">SUM(I520,K520)</f>
        <v>141872</v>
      </c>
      <c r="N520" s="959">
        <f t="shared" si="165"/>
        <v>3404928</v>
      </c>
      <c r="O520" s="896" t="str">
        <f>VLOOKUP($H:$H,[140]일위목록!$A:$B,2,FALSE)</f>
        <v>제82호표</v>
      </c>
    </row>
    <row r="521" spans="1:15" ht="18.75" customHeight="1">
      <c r="A521" s="962"/>
      <c r="B521" s="957" t="str">
        <f>[140]산출!B543</f>
        <v>LED bar조명설치</v>
      </c>
      <c r="C521" s="939" t="str">
        <f>[140]산출!C543</f>
        <v>30W이하</v>
      </c>
      <c r="D521" s="958">
        <f>[140]산출!G543</f>
        <v>0</v>
      </c>
      <c r="E521" s="935" t="str">
        <f>SUBSTITUTE(CONCATENATE(B:B,C:C,F:F)," ","")</f>
        <v>LEDbar조명설치30W이하M</v>
      </c>
      <c r="F521" s="896" t="str">
        <f>[140]산출!D543</f>
        <v>M</v>
      </c>
      <c r="G521" s="936">
        <f>[140]산출!F543</f>
        <v>4.8</v>
      </c>
      <c r="H521" s="935" t="str">
        <f t="shared" si="164"/>
        <v>LEDbar조명설치30W이하M</v>
      </c>
      <c r="I521" s="959">
        <f>VLOOKUP($H:$H,[140]일위목록!$A:$H,6,FALSE)</f>
        <v>105000</v>
      </c>
      <c r="J521" s="959">
        <f>TRUNC($G:$G*I:I)</f>
        <v>504000</v>
      </c>
      <c r="K521" s="959">
        <f>VLOOKUP($H:$H,[140]일위목록!$A:$H,7,FALSE)</f>
        <v>26372</v>
      </c>
      <c r="L521" s="959">
        <f>TRUNC($G:$G*K:K)</f>
        <v>126585</v>
      </c>
      <c r="M521" s="959">
        <f t="shared" si="165"/>
        <v>131372</v>
      </c>
      <c r="N521" s="959">
        <f t="shared" si="165"/>
        <v>630585</v>
      </c>
      <c r="O521" s="896" t="str">
        <f>VLOOKUP($H:$H,[140]일위목록!$A:$B,2,FALSE)</f>
        <v>제83호표</v>
      </c>
    </row>
    <row r="522" spans="1:15" ht="18.75" customHeight="1">
      <c r="A522" s="962"/>
      <c r="B522" s="957" t="str">
        <f>[140]산출!B544</f>
        <v>LED 포인트조명 컨트롤제작설치</v>
      </c>
      <c r="C522" s="939" t="str">
        <f>[140]산출!C544</f>
        <v>컨트롤러(24채널)</v>
      </c>
      <c r="D522" s="958">
        <f>[140]산출!G544</f>
        <v>0</v>
      </c>
      <c r="E522" s="935" t="str">
        <f>SUBSTITUTE(CONCATENATE(B:B,C:C,F:F)," ","")</f>
        <v>LED포인트조명컨트롤제작설치컨트롤러(24채널)set</v>
      </c>
      <c r="F522" s="896" t="str">
        <f>[140]산출!D544</f>
        <v>set</v>
      </c>
      <c r="G522" s="936">
        <f>[140]산출!F544</f>
        <v>1</v>
      </c>
      <c r="H522" s="935" t="str">
        <f t="shared" si="164"/>
        <v>LED포인트조명컨트롤제작설치컨트롤러(24채널)set</v>
      </c>
      <c r="I522" s="959">
        <f>VLOOKUP($H:$H,[140]일위목록!$A:$H,6,FALSE)</f>
        <v>800000</v>
      </c>
      <c r="J522" s="959">
        <f>TRUNC($G:$G*I:I)</f>
        <v>800000</v>
      </c>
      <c r="K522" s="959">
        <f>VLOOKUP($H:$H,[140]일위목록!$A:$H,7,FALSE)</f>
        <v>135244</v>
      </c>
      <c r="L522" s="959">
        <f>TRUNC($G:$G*K:K)</f>
        <v>135244</v>
      </c>
      <c r="M522" s="959">
        <f t="shared" si="165"/>
        <v>935244</v>
      </c>
      <c r="N522" s="959">
        <f t="shared" si="165"/>
        <v>935244</v>
      </c>
      <c r="O522" s="896" t="str">
        <f>VLOOKUP($H:$H,[140]일위목록!$A:$B,2,FALSE)</f>
        <v>제84호표</v>
      </c>
    </row>
    <row r="523" spans="1:15" ht="18.75" customHeight="1">
      <c r="A523" s="962"/>
      <c r="B523" s="957" t="str">
        <f>[140]산출!B545</f>
        <v>LED bar조명 컨트롤제작설치</v>
      </c>
      <c r="C523" s="939" t="str">
        <f>[140]산출!C545</f>
        <v>컨트롤러</v>
      </c>
      <c r="D523" s="958">
        <f>[140]산출!G545</f>
        <v>0</v>
      </c>
      <c r="E523" s="935" t="str">
        <f>SUBSTITUTE(CONCATENATE(B:B,C:C,F:F)," ","")</f>
        <v>LEDbar조명컨트롤제작설치컨트롤러set</v>
      </c>
      <c r="F523" s="896" t="str">
        <f>[140]산출!D545</f>
        <v>set</v>
      </c>
      <c r="G523" s="936">
        <f>[140]산출!F545</f>
        <v>1</v>
      </c>
      <c r="H523" s="935" t="str">
        <f t="shared" si="164"/>
        <v>LEDbar조명컨트롤제작설치컨트롤러set</v>
      </c>
      <c r="I523" s="959">
        <f>VLOOKUP($H:$H,[140]일위목록!$A:$H,6,FALSE)</f>
        <v>530000</v>
      </c>
      <c r="J523" s="959">
        <f>TRUNC($G:$G*I:I)</f>
        <v>530000</v>
      </c>
      <c r="K523" s="959">
        <f>VLOOKUP($H:$H,[140]일위목록!$A:$H,7,FALSE)</f>
        <v>112704</v>
      </c>
      <c r="L523" s="959">
        <f>TRUNC($G:$G*K:K)</f>
        <v>112704</v>
      </c>
      <c r="M523" s="959">
        <f t="shared" si="165"/>
        <v>642704</v>
      </c>
      <c r="N523" s="959">
        <f t="shared" si="165"/>
        <v>642704</v>
      </c>
      <c r="O523" s="896" t="str">
        <f>VLOOKUP($H:$H,[140]일위목록!$A:$B,2,FALSE)</f>
        <v>제87호표</v>
      </c>
    </row>
    <row r="524" spans="1:15" ht="18.75" customHeight="1">
      <c r="A524" s="956"/>
      <c r="B524" s="957"/>
      <c r="C524" s="939"/>
      <c r="D524" s="958"/>
      <c r="E524" s="935"/>
      <c r="F524" s="896"/>
      <c r="G524" s="936"/>
      <c r="H524" s="935"/>
      <c r="I524" s="959"/>
      <c r="J524" s="959"/>
      <c r="K524" s="959"/>
      <c r="L524" s="959"/>
      <c r="M524" s="959"/>
      <c r="N524" s="959"/>
      <c r="O524" s="896"/>
    </row>
    <row r="525" spans="1:15" s="952" customFormat="1" ht="18.75" customHeight="1">
      <c r="A525" s="960"/>
      <c r="B525" s="947" t="s">
        <v>6586</v>
      </c>
      <c r="C525" s="954"/>
      <c r="D525" s="961"/>
      <c r="E525" s="948"/>
      <c r="F525" s="949"/>
      <c r="G525" s="950"/>
      <c r="H525" s="948" t="str">
        <f>SUBSTITUTE(CONCATENATE(B525,C525,F525)," ","")</f>
        <v>소계</v>
      </c>
      <c r="I525" s="951"/>
      <c r="J525" s="951">
        <f>SUM(J476:J524)</f>
        <v>23796504</v>
      </c>
      <c r="K525" s="951"/>
      <c r="L525" s="951">
        <f>SUM(L476:L524)</f>
        <v>9160610</v>
      </c>
      <c r="M525" s="951"/>
      <c r="N525" s="951">
        <f>SUM(N476:N524)</f>
        <v>32957114</v>
      </c>
      <c r="O525" s="949"/>
    </row>
    <row r="526" spans="1:15" ht="18.75" customHeight="1">
      <c r="A526" s="956"/>
      <c r="B526" s="947"/>
      <c r="C526" s="939"/>
      <c r="D526" s="958"/>
      <c r="E526" s="935"/>
      <c r="F526" s="896"/>
      <c r="G526" s="936"/>
      <c r="H526" s="935"/>
      <c r="I526" s="959"/>
      <c r="J526" s="959"/>
      <c r="K526" s="959"/>
      <c r="L526" s="959"/>
      <c r="M526" s="959"/>
      <c r="N526" s="959"/>
      <c r="O526" s="896"/>
    </row>
    <row r="527" spans="1:15" ht="18.75" customHeight="1">
      <c r="A527" s="956"/>
      <c r="B527" s="957"/>
      <c r="C527" s="939"/>
      <c r="D527" s="958"/>
      <c r="E527" s="935"/>
      <c r="F527" s="896"/>
      <c r="G527" s="936"/>
      <c r="H527" s="935"/>
      <c r="I527" s="959"/>
      <c r="J527" s="959"/>
      <c r="K527" s="959"/>
      <c r="L527" s="959"/>
      <c r="M527" s="959"/>
      <c r="N527" s="959"/>
      <c r="O527" s="896"/>
    </row>
    <row r="528" spans="1:15" s="952" customFormat="1" ht="18.75" customHeight="1">
      <c r="A528" s="947" t="str">
        <f>[140]산출!A554</f>
        <v>SC-208</v>
      </c>
      <c r="B528" s="947" t="str">
        <f>[140]산출!B554</f>
        <v>4면 유리형 독립장</v>
      </c>
      <c r="C528" s="954" t="str">
        <f>[140]산출!C554</f>
        <v>L: 800 D: 800 H: 2300 FH: 300 GH: 1877 UH: 123</v>
      </c>
      <c r="D528" s="955">
        <f>[140]산출!G554</f>
        <v>0</v>
      </c>
      <c r="E528" s="948" t="str">
        <f>SUBSTITUTE(CONCATENATE(B:B,C:C,F:F)," ","")</f>
        <v>4면유리형독립장L:800D:800H:2300FH:300GH:1877UH:123SET</v>
      </c>
      <c r="F528" s="949" t="str">
        <f>[140]산출!D554</f>
        <v>SET</v>
      </c>
      <c r="G528" s="950">
        <f>[140]산출!F554</f>
        <v>8</v>
      </c>
      <c r="H528" s="948" t="str">
        <f t="shared" ref="H528:H539" si="166">SUBSTITUTE(CONCATENATE(B528,C528,F528)," ","")</f>
        <v>4면유리형독립장L:800D:800H:2300FH:300GH:1877UH:123SET</v>
      </c>
      <c r="I528" s="951"/>
      <c r="J528" s="951"/>
      <c r="K528" s="951"/>
      <c r="L528" s="951"/>
      <c r="M528" s="951"/>
      <c r="N528" s="951"/>
      <c r="O528" s="949"/>
    </row>
    <row r="529" spans="1:15" s="952" customFormat="1" ht="18.75" customHeight="1">
      <c r="A529" s="953"/>
      <c r="B529" s="947" t="str">
        <f>[140]산출!B555</f>
        <v>- 구조틀</v>
      </c>
      <c r="C529" s="954"/>
      <c r="D529" s="955"/>
      <c r="E529" s="948"/>
      <c r="F529" s="949"/>
      <c r="G529" s="950"/>
      <c r="H529" s="948"/>
      <c r="I529" s="951"/>
      <c r="J529" s="951"/>
      <c r="K529" s="951"/>
      <c r="L529" s="951"/>
      <c r="M529" s="951"/>
      <c r="N529" s="951"/>
      <c r="O529" s="949"/>
    </row>
    <row r="530" spans="1:15" ht="18.75" customHeight="1">
      <c r="A530" s="962"/>
      <c r="B530" s="957" t="str">
        <f>[140]산출!B556</f>
        <v>각파이프(방청)</v>
      </c>
      <c r="C530" s="939" t="str">
        <f>[140]산출!C556</f>
        <v>30*30*1.4T</v>
      </c>
      <c r="D530" s="958">
        <f>[140]산출!G556</f>
        <v>0</v>
      </c>
      <c r="E530" s="935" t="str">
        <f t="shared" ref="E530:E539" si="167">SUBSTITUTE(CONCATENATE(B:B,C:C,F:F)," ","")</f>
        <v>각파이프(방청)30*30*1.4TM</v>
      </c>
      <c r="F530" s="896" t="str">
        <f>[140]산출!D556</f>
        <v>M</v>
      </c>
      <c r="G530" s="936">
        <f>[140]산출!F556</f>
        <v>0.8</v>
      </c>
      <c r="H530" s="935" t="str">
        <f t="shared" si="166"/>
        <v>각파이프(방청)30*30*1.4TM</v>
      </c>
      <c r="I530" s="959">
        <f>VLOOKUP($H:$H,[140]일위목록!$A:$H,6,FALSE)</f>
        <v>2391</v>
      </c>
      <c r="J530" s="959">
        <f>TRUNC($G:$G*I:I)</f>
        <v>1912</v>
      </c>
      <c r="K530" s="959">
        <f>VLOOKUP($H:$H,[140]일위목록!$A:$H,7,FALSE)</f>
        <v>12131</v>
      </c>
      <c r="L530" s="959">
        <f>TRUNC($G:$G*K:K)</f>
        <v>9704</v>
      </c>
      <c r="M530" s="959">
        <f t="shared" ref="M530:N539" si="168">SUM(I530,K530)</f>
        <v>14522</v>
      </c>
      <c r="N530" s="959">
        <f t="shared" si="168"/>
        <v>11616</v>
      </c>
      <c r="O530" s="896" t="str">
        <f>VLOOKUP($H:$H,[140]일위목록!$A:$B,2,FALSE)</f>
        <v>제49호표</v>
      </c>
    </row>
    <row r="531" spans="1:15" s="952" customFormat="1" ht="18.75" customHeight="1">
      <c r="A531" s="953"/>
      <c r="B531" s="947" t="str">
        <f>[140]산출!B557</f>
        <v>- 잡철물</v>
      </c>
      <c r="C531" s="954" t="str">
        <f>[140]산출!C557</f>
        <v xml:space="preserve"> 상부</v>
      </c>
      <c r="D531" s="955">
        <f>[140]산출!G557</f>
        <v>0</v>
      </c>
      <c r="E531" s="948" t="str">
        <f t="shared" si="167"/>
        <v>-잡철물상부</v>
      </c>
      <c r="F531" s="949"/>
      <c r="G531" s="950"/>
      <c r="H531" s="948"/>
      <c r="I531" s="951"/>
      <c r="J531" s="951"/>
      <c r="K531" s="951"/>
      <c r="L531" s="951"/>
      <c r="M531" s="951"/>
      <c r="N531" s="951"/>
      <c r="O531" s="949"/>
    </row>
    <row r="532" spans="1:15" ht="18.75" customHeight="1">
      <c r="A532" s="962"/>
      <c r="B532" s="957" t="str">
        <f>[140]산출!B558</f>
        <v>갈바후레임제작설치</v>
      </c>
      <c r="C532" s="939" t="str">
        <f>[140]산출!C558</f>
        <v>1.6T</v>
      </c>
      <c r="D532" s="958" t="str">
        <f>[140]산출!G558</f>
        <v>그림걸이레일보강</v>
      </c>
      <c r="E532" s="935" t="str">
        <f t="shared" si="167"/>
        <v>갈바후레임제작설치1.6TM2</v>
      </c>
      <c r="F532" s="896" t="str">
        <f>[140]산출!D558</f>
        <v>M2</v>
      </c>
      <c r="G532" s="936">
        <f>[140]산출!F558</f>
        <v>0.15040000000000001</v>
      </c>
      <c r="H532" s="935" t="str">
        <f t="shared" si="166"/>
        <v>갈바후레임제작설치1.6TM2</v>
      </c>
      <c r="I532" s="959">
        <f>VLOOKUP($H:$H,[140]일위목록!$A:$H,6,FALSE)</f>
        <v>16515</v>
      </c>
      <c r="J532" s="959">
        <f t="shared" ref="J532:J539" si="169">TRUNC($G:$G*I:I)</f>
        <v>2483</v>
      </c>
      <c r="K532" s="959">
        <f>VLOOKUP($H:$H,[140]일위목록!$A:$H,7,FALSE)</f>
        <v>65362</v>
      </c>
      <c r="L532" s="959">
        <f t="shared" ref="L532:L539" si="170">TRUNC($G:$G*K:K)</f>
        <v>9830</v>
      </c>
      <c r="M532" s="959">
        <f t="shared" si="168"/>
        <v>81877</v>
      </c>
      <c r="N532" s="959">
        <f t="shared" si="168"/>
        <v>12313</v>
      </c>
      <c r="O532" s="896" t="str">
        <f>VLOOKUP($H:$H,[140]일위목록!$A:$B,2,FALSE)</f>
        <v>제51호표</v>
      </c>
    </row>
    <row r="533" spans="1:15" ht="18.75" customHeight="1">
      <c r="A533" s="962"/>
      <c r="B533" s="957" t="str">
        <f>[140]산출!B559</f>
        <v>갈바후레임제작설치</v>
      </c>
      <c r="C533" s="939" t="str">
        <f>[140]산출!C559</f>
        <v>1.6T</v>
      </c>
      <c r="D533" s="958" t="str">
        <f>[140]산출!G559</f>
        <v>전면상부철판</v>
      </c>
      <c r="E533" s="935" t="str">
        <f t="shared" si="167"/>
        <v>갈바후레임제작설치1.6TM2</v>
      </c>
      <c r="F533" s="896" t="str">
        <f>[140]산출!D559</f>
        <v>M2</v>
      </c>
      <c r="G533" s="936">
        <f>[140]산출!F559</f>
        <v>0.1208</v>
      </c>
      <c r="H533" s="935" t="str">
        <f t="shared" si="166"/>
        <v>갈바후레임제작설치1.6TM2</v>
      </c>
      <c r="I533" s="959">
        <f>VLOOKUP($H:$H,[140]일위목록!$A:$H,6,FALSE)</f>
        <v>16515</v>
      </c>
      <c r="J533" s="959">
        <f t="shared" si="169"/>
        <v>1995</v>
      </c>
      <c r="K533" s="959">
        <f>VLOOKUP($H:$H,[140]일위목록!$A:$H,7,FALSE)</f>
        <v>65362</v>
      </c>
      <c r="L533" s="959">
        <f t="shared" si="170"/>
        <v>7895</v>
      </c>
      <c r="M533" s="959">
        <f t="shared" si="168"/>
        <v>81877</v>
      </c>
      <c r="N533" s="959">
        <f t="shared" si="168"/>
        <v>9890</v>
      </c>
      <c r="O533" s="896" t="str">
        <f>VLOOKUP($H:$H,[140]일위목록!$A:$B,2,FALSE)</f>
        <v>제51호표</v>
      </c>
    </row>
    <row r="534" spans="1:15" ht="18.75" customHeight="1">
      <c r="A534" s="962"/>
      <c r="B534" s="957" t="str">
        <f>[140]산출!B560</f>
        <v>갈바후레임제작설치</v>
      </c>
      <c r="C534" s="939" t="str">
        <f>[140]산출!C560</f>
        <v>1.6T</v>
      </c>
      <c r="D534" s="958" t="str">
        <f>[140]산출!G560</f>
        <v>상부레일구간</v>
      </c>
      <c r="E534" s="935" t="str">
        <f t="shared" si="167"/>
        <v>갈바후레임제작설치1.6TM2</v>
      </c>
      <c r="F534" s="896" t="str">
        <f>[140]산출!D560</f>
        <v>M2</v>
      </c>
      <c r="G534" s="936">
        <f>[140]산출!F560</f>
        <v>0.19359999999999999</v>
      </c>
      <c r="H534" s="935" t="str">
        <f t="shared" si="166"/>
        <v>갈바후레임제작설치1.6TM2</v>
      </c>
      <c r="I534" s="959">
        <f>VLOOKUP($H:$H,[140]일위목록!$A:$H,6,FALSE)</f>
        <v>16515</v>
      </c>
      <c r="J534" s="959">
        <f t="shared" si="169"/>
        <v>3197</v>
      </c>
      <c r="K534" s="959">
        <f>VLOOKUP($H:$H,[140]일위목록!$A:$H,7,FALSE)</f>
        <v>65362</v>
      </c>
      <c r="L534" s="959">
        <f t="shared" si="170"/>
        <v>12654</v>
      </c>
      <c r="M534" s="959">
        <f t="shared" si="168"/>
        <v>81877</v>
      </c>
      <c r="N534" s="959">
        <f t="shared" si="168"/>
        <v>15851</v>
      </c>
      <c r="O534" s="896" t="str">
        <f>VLOOKUP($H:$H,[140]일위목록!$A:$B,2,FALSE)</f>
        <v>제51호표</v>
      </c>
    </row>
    <row r="535" spans="1:15" ht="18.75" customHeight="1">
      <c r="A535" s="962"/>
      <c r="B535" s="957" t="str">
        <f>[140]산출!B561</f>
        <v>갈바후레임제작설치</v>
      </c>
      <c r="C535" s="939" t="str">
        <f>[140]산출!C561</f>
        <v>1.6T</v>
      </c>
      <c r="D535" s="958" t="str">
        <f>[140]산출!G561</f>
        <v>천정후레임배면,측면</v>
      </c>
      <c r="E535" s="935" t="str">
        <f t="shared" si="167"/>
        <v>갈바후레임제작설치1.6TM2</v>
      </c>
      <c r="F535" s="896" t="str">
        <f>[140]산출!D561</f>
        <v>M2</v>
      </c>
      <c r="G535" s="936">
        <f>[140]산출!F561</f>
        <v>0.44159999999999999</v>
      </c>
      <c r="H535" s="935" t="str">
        <f t="shared" si="166"/>
        <v>갈바후레임제작설치1.6TM2</v>
      </c>
      <c r="I535" s="959">
        <f>VLOOKUP($H:$H,[140]일위목록!$A:$H,6,FALSE)</f>
        <v>16515</v>
      </c>
      <c r="J535" s="959">
        <f t="shared" si="169"/>
        <v>7293</v>
      </c>
      <c r="K535" s="959">
        <f>VLOOKUP($H:$H,[140]일위목록!$A:$H,7,FALSE)</f>
        <v>65362</v>
      </c>
      <c r="L535" s="959">
        <f t="shared" si="170"/>
        <v>28863</v>
      </c>
      <c r="M535" s="959">
        <f t="shared" si="168"/>
        <v>81877</v>
      </c>
      <c r="N535" s="959">
        <f t="shared" si="168"/>
        <v>36156</v>
      </c>
      <c r="O535" s="896" t="str">
        <f>VLOOKUP($H:$H,[140]일위목록!$A:$B,2,FALSE)</f>
        <v>제51호표</v>
      </c>
    </row>
    <row r="536" spans="1:15" ht="18.75" customHeight="1">
      <c r="A536" s="962"/>
      <c r="B536" s="957" t="str">
        <f>[140]산출!B562</f>
        <v>갈바후레임제작설치</v>
      </c>
      <c r="C536" s="939" t="str">
        <f>[140]산출!C562</f>
        <v>1.6T</v>
      </c>
      <c r="D536" s="958" t="str">
        <f>[140]산출!G562</f>
        <v>천정옆판</v>
      </c>
      <c r="E536" s="935" t="str">
        <f t="shared" si="167"/>
        <v>갈바후레임제작설치1.6TM2</v>
      </c>
      <c r="F536" s="896" t="str">
        <f>[140]산출!D562</f>
        <v>M2</v>
      </c>
      <c r="G536" s="936">
        <f>[140]산출!F562</f>
        <v>0.33440000000000003</v>
      </c>
      <c r="H536" s="935" t="str">
        <f t="shared" si="166"/>
        <v>갈바후레임제작설치1.6TM2</v>
      </c>
      <c r="I536" s="959">
        <f>VLOOKUP($H:$H,[140]일위목록!$A:$H,6,FALSE)</f>
        <v>16515</v>
      </c>
      <c r="J536" s="959">
        <f t="shared" si="169"/>
        <v>5522</v>
      </c>
      <c r="K536" s="959">
        <f>VLOOKUP($H:$H,[140]일위목록!$A:$H,7,FALSE)</f>
        <v>65362</v>
      </c>
      <c r="L536" s="959">
        <f t="shared" si="170"/>
        <v>21857</v>
      </c>
      <c r="M536" s="959">
        <f t="shared" si="168"/>
        <v>81877</v>
      </c>
      <c r="N536" s="959">
        <f t="shared" si="168"/>
        <v>27379</v>
      </c>
      <c r="O536" s="896" t="str">
        <f>VLOOKUP($H:$H,[140]일위목록!$A:$B,2,FALSE)</f>
        <v>제51호표</v>
      </c>
    </row>
    <row r="537" spans="1:15" ht="18.75" customHeight="1">
      <c r="A537" s="962"/>
      <c r="B537" s="957" t="str">
        <f>[140]산출!B563</f>
        <v>갈바후레임제작설치</v>
      </c>
      <c r="C537" s="939" t="str">
        <f>[140]산출!C563</f>
        <v>1.6T</v>
      </c>
      <c r="D537" s="958" t="str">
        <f>[140]산출!G563</f>
        <v>상부문짝</v>
      </c>
      <c r="E537" s="935" t="str">
        <f t="shared" si="167"/>
        <v>갈바후레임제작설치1.6TM2</v>
      </c>
      <c r="F537" s="896" t="str">
        <f>[140]산출!D563</f>
        <v>M2</v>
      </c>
      <c r="G537" s="936">
        <f>[140]산출!F563</f>
        <v>1</v>
      </c>
      <c r="H537" s="935" t="str">
        <f t="shared" si="166"/>
        <v>갈바후레임제작설치1.6TM2</v>
      </c>
      <c r="I537" s="959">
        <f>VLOOKUP($H:$H,[140]일위목록!$A:$H,6,FALSE)</f>
        <v>16515</v>
      </c>
      <c r="J537" s="959">
        <f t="shared" si="169"/>
        <v>16515</v>
      </c>
      <c r="K537" s="959">
        <f>VLOOKUP($H:$H,[140]일위목록!$A:$H,7,FALSE)</f>
        <v>65362</v>
      </c>
      <c r="L537" s="959">
        <f t="shared" si="170"/>
        <v>65362</v>
      </c>
      <c r="M537" s="959">
        <f t="shared" si="168"/>
        <v>81877</v>
      </c>
      <c r="N537" s="959">
        <f t="shared" si="168"/>
        <v>81877</v>
      </c>
      <c r="O537" s="896" t="str">
        <f>VLOOKUP($H:$H,[140]일위목록!$A:$B,2,FALSE)</f>
        <v>제51호표</v>
      </c>
    </row>
    <row r="538" spans="1:15" ht="18.75" customHeight="1">
      <c r="A538" s="962"/>
      <c r="B538" s="957" t="str">
        <f>[140]산출!B564</f>
        <v>갈바후레임제작설치</v>
      </c>
      <c r="C538" s="939" t="str">
        <f>[140]산출!C564</f>
        <v>1.6T</v>
      </c>
      <c r="D538" s="958" t="str">
        <f>[140]산출!G564</f>
        <v>상부등박스</v>
      </c>
      <c r="E538" s="935" t="str">
        <f t="shared" si="167"/>
        <v>갈바후레임제작설치1.6TM2</v>
      </c>
      <c r="F538" s="896" t="str">
        <f>[140]산출!D564</f>
        <v>M2</v>
      </c>
      <c r="G538" s="936">
        <f>[140]산출!F564</f>
        <v>0.65200000000000002</v>
      </c>
      <c r="H538" s="935" t="str">
        <f t="shared" si="166"/>
        <v>갈바후레임제작설치1.6TM2</v>
      </c>
      <c r="I538" s="959">
        <f>VLOOKUP($H:$H,[140]일위목록!$A:$H,6,FALSE)</f>
        <v>16515</v>
      </c>
      <c r="J538" s="959">
        <f t="shared" si="169"/>
        <v>10767</v>
      </c>
      <c r="K538" s="959">
        <f>VLOOKUP($H:$H,[140]일위목록!$A:$H,7,FALSE)</f>
        <v>65362</v>
      </c>
      <c r="L538" s="959">
        <f t="shared" si="170"/>
        <v>42616</v>
      </c>
      <c r="M538" s="959">
        <f t="shared" si="168"/>
        <v>81877</v>
      </c>
      <c r="N538" s="959">
        <f t="shared" si="168"/>
        <v>53383</v>
      </c>
      <c r="O538" s="896" t="str">
        <f>VLOOKUP($H:$H,[140]일위목록!$A:$B,2,FALSE)</f>
        <v>제51호표</v>
      </c>
    </row>
    <row r="539" spans="1:15" ht="18.75" customHeight="1">
      <c r="A539" s="962"/>
      <c r="B539" s="957" t="str">
        <f>[140]산출!B565</f>
        <v>갈바후레임제작설치</v>
      </c>
      <c r="C539" s="939" t="str">
        <f>[140]산출!C565</f>
        <v>1.6T</v>
      </c>
      <c r="D539" s="958" t="str">
        <f>[140]산출!G565</f>
        <v>상부유리후레임</v>
      </c>
      <c r="E539" s="935" t="str">
        <f t="shared" si="167"/>
        <v>갈바후레임제작설치1.6TM2</v>
      </c>
      <c r="F539" s="896" t="str">
        <f>[140]산출!D565</f>
        <v>M2</v>
      </c>
      <c r="G539" s="936">
        <f>[140]산출!F565</f>
        <v>0.6784</v>
      </c>
      <c r="H539" s="935" t="str">
        <f t="shared" si="166"/>
        <v>갈바후레임제작설치1.6TM2</v>
      </c>
      <c r="I539" s="959">
        <f>VLOOKUP($H:$H,[140]일위목록!$A:$H,6,FALSE)</f>
        <v>16515</v>
      </c>
      <c r="J539" s="959">
        <f t="shared" si="169"/>
        <v>11203</v>
      </c>
      <c r="K539" s="959">
        <f>VLOOKUP($H:$H,[140]일위목록!$A:$H,7,FALSE)</f>
        <v>65362</v>
      </c>
      <c r="L539" s="959">
        <f t="shared" si="170"/>
        <v>44341</v>
      </c>
      <c r="M539" s="959">
        <f t="shared" si="168"/>
        <v>81877</v>
      </c>
      <c r="N539" s="959">
        <f t="shared" si="168"/>
        <v>55544</v>
      </c>
      <c r="O539" s="896" t="str">
        <f>VLOOKUP($H:$H,[140]일위목록!$A:$B,2,FALSE)</f>
        <v>제51호표</v>
      </c>
    </row>
    <row r="540" spans="1:15" s="952" customFormat="1" ht="18.75" customHeight="1">
      <c r="A540" s="953"/>
      <c r="B540" s="947" t="str">
        <f>[140]산출!B566</f>
        <v>- 잡철물</v>
      </c>
      <c r="C540" s="954"/>
      <c r="D540" s="955"/>
      <c r="E540" s="948"/>
      <c r="F540" s="949"/>
      <c r="G540" s="950"/>
      <c r="H540" s="948"/>
      <c r="I540" s="951"/>
      <c r="J540" s="951"/>
      <c r="K540" s="951"/>
      <c r="L540" s="951"/>
      <c r="M540" s="951"/>
      <c r="N540" s="951"/>
      <c r="O540" s="949"/>
    </row>
    <row r="541" spans="1:15" ht="18.75" customHeight="1">
      <c r="A541" s="962"/>
      <c r="B541" s="957" t="str">
        <f>[140]산출!B567</f>
        <v>갈바후레임제작설치</v>
      </c>
      <c r="C541" s="939" t="str">
        <f>[140]산출!C567</f>
        <v>1.6T</v>
      </c>
      <c r="D541" s="958" t="str">
        <f>[140]산출!G567</f>
        <v>하부유리후레임</v>
      </c>
      <c r="E541" s="935" t="str">
        <f t="shared" ref="E541:E546" si="171">SUBSTITUTE(CONCATENATE(B:B,C:C,F:F)," ","")</f>
        <v>갈바후레임제작설치1.6TM2</v>
      </c>
      <c r="F541" s="896" t="str">
        <f>[140]산출!D567</f>
        <v>M2</v>
      </c>
      <c r="G541" s="936">
        <f>[140]산출!F567</f>
        <v>0.6784</v>
      </c>
      <c r="H541" s="935" t="str">
        <f t="shared" ref="H541:H546" si="172">SUBSTITUTE(CONCATENATE(B541,C541,F541)," ","")</f>
        <v>갈바후레임제작설치1.6TM2</v>
      </c>
      <c r="I541" s="959">
        <f>VLOOKUP($H:$H,[140]일위목록!$A:$H,6,FALSE)</f>
        <v>16515</v>
      </c>
      <c r="J541" s="959">
        <f t="shared" ref="J541:J546" si="173">TRUNC($G:$G*I:I)</f>
        <v>11203</v>
      </c>
      <c r="K541" s="959">
        <f>VLOOKUP($H:$H,[140]일위목록!$A:$H,7,FALSE)</f>
        <v>65362</v>
      </c>
      <c r="L541" s="959">
        <f t="shared" ref="L541:L546" si="174">TRUNC($G:$G*K:K)</f>
        <v>44341</v>
      </c>
      <c r="M541" s="959">
        <f t="shared" ref="M541:N546" si="175">SUM(I541,K541)</f>
        <v>81877</v>
      </c>
      <c r="N541" s="959">
        <f t="shared" si="175"/>
        <v>55544</v>
      </c>
      <c r="O541" s="896" t="str">
        <f>VLOOKUP($H:$H,[140]일위목록!$A:$B,2,FALSE)</f>
        <v>제51호표</v>
      </c>
    </row>
    <row r="542" spans="1:15" ht="18.75" customHeight="1">
      <c r="A542" s="962"/>
      <c r="B542" s="957" t="str">
        <f>[140]산출!B568</f>
        <v>갈바후레임제작설치</v>
      </c>
      <c r="C542" s="939" t="str">
        <f>[140]산출!C568</f>
        <v>1.6T</v>
      </c>
      <c r="D542" s="958" t="str">
        <f>[140]산출!G568</f>
        <v>하부바닥판테두리</v>
      </c>
      <c r="E542" s="935" t="str">
        <f t="shared" si="171"/>
        <v>갈바후레임제작설치1.6TM2</v>
      </c>
      <c r="F542" s="896" t="str">
        <f>[140]산출!D568</f>
        <v>M2</v>
      </c>
      <c r="G542" s="936">
        <f>[140]산출!F568</f>
        <v>1.2736000000000001</v>
      </c>
      <c r="H542" s="935" t="str">
        <f t="shared" si="172"/>
        <v>갈바후레임제작설치1.6TM2</v>
      </c>
      <c r="I542" s="959">
        <f>VLOOKUP($H:$H,[140]일위목록!$A:$H,6,FALSE)</f>
        <v>16515</v>
      </c>
      <c r="J542" s="959">
        <f t="shared" si="173"/>
        <v>21033</v>
      </c>
      <c r="K542" s="959">
        <f>VLOOKUP($H:$H,[140]일위목록!$A:$H,7,FALSE)</f>
        <v>65362</v>
      </c>
      <c r="L542" s="959">
        <f t="shared" si="174"/>
        <v>83245</v>
      </c>
      <c r="M542" s="959">
        <f t="shared" si="175"/>
        <v>81877</v>
      </c>
      <c r="N542" s="959">
        <f t="shared" si="175"/>
        <v>104278</v>
      </c>
      <c r="O542" s="896" t="str">
        <f>VLOOKUP($H:$H,[140]일위목록!$A:$B,2,FALSE)</f>
        <v>제51호표</v>
      </c>
    </row>
    <row r="543" spans="1:15" ht="18.75" customHeight="1">
      <c r="A543" s="962"/>
      <c r="B543" s="957" t="str">
        <f>[140]산출!B569</f>
        <v>갈바후레임제작설치</v>
      </c>
      <c r="C543" s="939" t="str">
        <f>[140]산출!C569</f>
        <v>1.6T</v>
      </c>
      <c r="D543" s="958" t="str">
        <f>[140]산출!G569</f>
        <v>하부레일구간전면</v>
      </c>
      <c r="E543" s="935" t="str">
        <f t="shared" si="171"/>
        <v>갈바후레임제작설치1.6TM2</v>
      </c>
      <c r="F543" s="896" t="str">
        <f>[140]산출!D569</f>
        <v>M2</v>
      </c>
      <c r="G543" s="936">
        <f>[140]산출!F569</f>
        <v>0.2384</v>
      </c>
      <c r="H543" s="935" t="str">
        <f t="shared" si="172"/>
        <v>갈바후레임제작설치1.6TM2</v>
      </c>
      <c r="I543" s="959">
        <f>VLOOKUP($H:$H,[140]일위목록!$A:$H,6,FALSE)</f>
        <v>16515</v>
      </c>
      <c r="J543" s="959">
        <f t="shared" si="173"/>
        <v>3937</v>
      </c>
      <c r="K543" s="959">
        <f>VLOOKUP($H:$H,[140]일위목록!$A:$H,7,FALSE)</f>
        <v>65362</v>
      </c>
      <c r="L543" s="959">
        <f t="shared" si="174"/>
        <v>15582</v>
      </c>
      <c r="M543" s="959">
        <f t="shared" si="175"/>
        <v>81877</v>
      </c>
      <c r="N543" s="959">
        <f t="shared" si="175"/>
        <v>19519</v>
      </c>
      <c r="O543" s="896" t="str">
        <f>VLOOKUP($H:$H,[140]일위목록!$A:$B,2,FALSE)</f>
        <v>제51호표</v>
      </c>
    </row>
    <row r="544" spans="1:15" ht="18.75" customHeight="1">
      <c r="A544" s="962"/>
      <c r="B544" s="957" t="str">
        <f>[140]산출!B570</f>
        <v>갈바후레임제작설치</v>
      </c>
      <c r="C544" s="939" t="str">
        <f>[140]산출!C570</f>
        <v>1.6T</v>
      </c>
      <c r="D544" s="958" t="str">
        <f>[140]산출!G570</f>
        <v>하부측판</v>
      </c>
      <c r="E544" s="935" t="str">
        <f t="shared" si="171"/>
        <v>갈바후레임제작설치1.6TM2</v>
      </c>
      <c r="F544" s="896" t="str">
        <f>[140]산출!D570</f>
        <v>M2</v>
      </c>
      <c r="G544" s="936">
        <f>[140]산출!F570</f>
        <v>0.51519999999999999</v>
      </c>
      <c r="H544" s="935" t="str">
        <f t="shared" si="172"/>
        <v>갈바후레임제작설치1.6TM2</v>
      </c>
      <c r="I544" s="959">
        <f>VLOOKUP($H:$H,[140]일위목록!$A:$H,6,FALSE)</f>
        <v>16515</v>
      </c>
      <c r="J544" s="959">
        <f t="shared" si="173"/>
        <v>8508</v>
      </c>
      <c r="K544" s="959">
        <f>VLOOKUP($H:$H,[140]일위목록!$A:$H,7,FALSE)</f>
        <v>65362</v>
      </c>
      <c r="L544" s="959">
        <f t="shared" si="174"/>
        <v>33674</v>
      </c>
      <c r="M544" s="959">
        <f t="shared" si="175"/>
        <v>81877</v>
      </c>
      <c r="N544" s="959">
        <f t="shared" si="175"/>
        <v>42182</v>
      </c>
      <c r="O544" s="896" t="str">
        <f>VLOOKUP($H:$H,[140]일위목록!$A:$B,2,FALSE)</f>
        <v>제51호표</v>
      </c>
    </row>
    <row r="545" spans="1:15" ht="18.75" customHeight="1">
      <c r="A545" s="962"/>
      <c r="B545" s="957" t="str">
        <f>[140]산출!B571</f>
        <v>갈바후레임제작설치</v>
      </c>
      <c r="C545" s="939" t="str">
        <f>[140]산출!C571</f>
        <v>1.6T</v>
      </c>
      <c r="D545" s="958" t="str">
        <f>[140]산출!G571</f>
        <v>하부바닥판</v>
      </c>
      <c r="E545" s="935" t="str">
        <f t="shared" si="171"/>
        <v>갈바후레임제작설치1.6TM2</v>
      </c>
      <c r="F545" s="896" t="str">
        <f>[140]산출!D571</f>
        <v>M2</v>
      </c>
      <c r="G545" s="936">
        <f>[140]산출!F571</f>
        <v>0.50560000000000005</v>
      </c>
      <c r="H545" s="935" t="str">
        <f t="shared" si="172"/>
        <v>갈바후레임제작설치1.6TM2</v>
      </c>
      <c r="I545" s="959">
        <f>VLOOKUP($H:$H,[140]일위목록!$A:$H,6,FALSE)</f>
        <v>16515</v>
      </c>
      <c r="J545" s="959">
        <f t="shared" si="173"/>
        <v>8349</v>
      </c>
      <c r="K545" s="959">
        <f>VLOOKUP($H:$H,[140]일위목록!$A:$H,7,FALSE)</f>
        <v>65362</v>
      </c>
      <c r="L545" s="959">
        <f t="shared" si="174"/>
        <v>33047</v>
      </c>
      <c r="M545" s="959">
        <f t="shared" si="175"/>
        <v>81877</v>
      </c>
      <c r="N545" s="959">
        <f t="shared" si="175"/>
        <v>41396</v>
      </c>
      <c r="O545" s="896" t="str">
        <f>VLOOKUP($H:$H,[140]일위목록!$A:$B,2,FALSE)</f>
        <v>제51호표</v>
      </c>
    </row>
    <row r="546" spans="1:15" ht="18.75" customHeight="1">
      <c r="A546" s="962"/>
      <c r="B546" s="957" t="str">
        <f>[140]산출!B572</f>
        <v>갈바후레임제작설치</v>
      </c>
      <c r="C546" s="939" t="str">
        <f>[140]산출!C572</f>
        <v>1.6T</v>
      </c>
      <c r="D546" s="958" t="str">
        <f>[140]산출!G572</f>
        <v>하부보강판</v>
      </c>
      <c r="E546" s="935" t="str">
        <f t="shared" si="171"/>
        <v>갈바후레임제작설치1.6TM2</v>
      </c>
      <c r="F546" s="896" t="str">
        <f>[140]산출!D572</f>
        <v>M2</v>
      </c>
      <c r="G546" s="936">
        <f>[140]산출!F572</f>
        <v>0.46800000000000003</v>
      </c>
      <c r="H546" s="935" t="str">
        <f t="shared" si="172"/>
        <v>갈바후레임제작설치1.6TM2</v>
      </c>
      <c r="I546" s="959">
        <f>VLOOKUP($H:$H,[140]일위목록!$A:$H,6,FALSE)</f>
        <v>16515</v>
      </c>
      <c r="J546" s="959">
        <f t="shared" si="173"/>
        <v>7729</v>
      </c>
      <c r="K546" s="959">
        <f>VLOOKUP($H:$H,[140]일위목록!$A:$H,7,FALSE)</f>
        <v>65362</v>
      </c>
      <c r="L546" s="959">
        <f t="shared" si="174"/>
        <v>30589</v>
      </c>
      <c r="M546" s="959">
        <f t="shared" si="175"/>
        <v>81877</v>
      </c>
      <c r="N546" s="959">
        <f t="shared" si="175"/>
        <v>38318</v>
      </c>
      <c r="O546" s="896" t="str">
        <f>VLOOKUP($H:$H,[140]일위목록!$A:$B,2,FALSE)</f>
        <v>제51호표</v>
      </c>
    </row>
    <row r="547" spans="1:15" s="952" customFormat="1" ht="18.75" customHeight="1">
      <c r="A547" s="953"/>
      <c r="B547" s="947" t="str">
        <f>[140]산출!B573</f>
        <v>- SYSTEM 장치</v>
      </c>
      <c r="C547" s="947"/>
      <c r="D547" s="955"/>
      <c r="E547" s="948"/>
      <c r="F547" s="949"/>
      <c r="G547" s="950"/>
      <c r="H547" s="948"/>
      <c r="I547" s="951"/>
      <c r="J547" s="951"/>
      <c r="K547" s="951"/>
      <c r="L547" s="951"/>
      <c r="M547" s="951"/>
      <c r="N547" s="951"/>
      <c r="O547" s="949"/>
    </row>
    <row r="548" spans="1:15" ht="18.75" customHeight="1">
      <c r="A548" s="962"/>
      <c r="B548" s="957" t="str">
        <f>[140]산출!B574</f>
        <v>피아노경첩 제작설치</v>
      </c>
      <c r="C548" s="957"/>
      <c r="D548" s="958">
        <f>[140]산출!G574</f>
        <v>0</v>
      </c>
      <c r="E548" s="935" t="str">
        <f t="shared" ref="E548:E562" si="176">SUBSTITUTE(CONCATENATE(B:B,C:C,F:F)," ","")</f>
        <v>피아노경첩제작설치M</v>
      </c>
      <c r="F548" s="896" t="str">
        <f>[140]산출!D574</f>
        <v>M</v>
      </c>
      <c r="G548" s="936">
        <f>[140]산출!F574</f>
        <v>1.6</v>
      </c>
      <c r="H548" s="935" t="str">
        <f t="shared" ref="H548:H562" si="177">SUBSTITUTE(CONCATENATE(B548,C548,F548)," ","")</f>
        <v>피아노경첩제작설치M</v>
      </c>
      <c r="I548" s="959">
        <f>VLOOKUP($H:$H,[140]일위목록!$A:$H,6,FALSE)</f>
        <v>12630</v>
      </c>
      <c r="J548" s="959">
        <f t="shared" ref="J548:J562" si="178">TRUNC($G:$G*I:I)</f>
        <v>20208</v>
      </c>
      <c r="K548" s="959">
        <f>VLOOKUP($H:$H,[140]일위목록!$A:$H,7,FALSE)</f>
        <v>10973</v>
      </c>
      <c r="L548" s="959">
        <f t="shared" ref="L548:L562" si="179">TRUNC($G:$G*K:K)</f>
        <v>17556</v>
      </c>
      <c r="M548" s="959">
        <f t="shared" ref="M548:N562" si="180">SUM(I548,K548)</f>
        <v>23603</v>
      </c>
      <c r="N548" s="959">
        <f t="shared" si="180"/>
        <v>37764</v>
      </c>
      <c r="O548" s="896" t="str">
        <f>VLOOKUP($H:$H,[140]일위목록!$A:$B,2,FALSE)</f>
        <v>제88호표</v>
      </c>
    </row>
    <row r="549" spans="1:15" ht="18.75" customHeight="1">
      <c r="A549" s="962"/>
      <c r="B549" s="957" t="str">
        <f>[140]산출!B575</f>
        <v>LOCK SET 제작설치</v>
      </c>
      <c r="C549" s="957" t="str">
        <f>[140]산출!C575</f>
        <v>시건장치</v>
      </c>
      <c r="D549" s="958">
        <f>[140]산출!G575</f>
        <v>0</v>
      </c>
      <c r="E549" s="935" t="str">
        <f t="shared" si="176"/>
        <v>LOCKSET제작설치시건장치set</v>
      </c>
      <c r="F549" s="896" t="str">
        <f>[140]산출!D575</f>
        <v>set</v>
      </c>
      <c r="G549" s="936">
        <f>[140]산출!F575</f>
        <v>2</v>
      </c>
      <c r="H549" s="935" t="str">
        <f t="shared" si="177"/>
        <v>LOCKSET제작설치시건장치set</v>
      </c>
      <c r="I549" s="959">
        <f>VLOOKUP($H:$H,[140]일위목록!$A:$H,6,FALSE)</f>
        <v>48840</v>
      </c>
      <c r="J549" s="959">
        <f t="shared" si="178"/>
        <v>97680</v>
      </c>
      <c r="K549" s="959">
        <f>VLOOKUP($H:$H,[140]일위목록!$A:$H,7,FALSE)</f>
        <v>12605</v>
      </c>
      <c r="L549" s="959">
        <f t="shared" si="179"/>
        <v>25210</v>
      </c>
      <c r="M549" s="959">
        <f t="shared" si="180"/>
        <v>61445</v>
      </c>
      <c r="N549" s="959">
        <f t="shared" si="180"/>
        <v>122890</v>
      </c>
      <c r="O549" s="896" t="str">
        <f>VLOOKUP($H:$H,[140]일위목록!$A:$B,2,FALSE)</f>
        <v>제89호표</v>
      </c>
    </row>
    <row r="550" spans="1:15" ht="18.75" customHeight="1">
      <c r="A550" s="962"/>
      <c r="B550" s="957" t="str">
        <f>[140]산출!B576</f>
        <v>AL.패킹바 제작설치</v>
      </c>
      <c r="C550" s="957"/>
      <c r="D550" s="958">
        <f>[140]산출!G576</f>
        <v>0</v>
      </c>
      <c r="E550" s="935" t="str">
        <f t="shared" si="176"/>
        <v>AL.패킹바제작설치M</v>
      </c>
      <c r="F550" s="896" t="str">
        <f>[140]산출!D576</f>
        <v>M</v>
      </c>
      <c r="G550" s="936">
        <f>[140]산출!F576</f>
        <v>1.6</v>
      </c>
      <c r="H550" s="935" t="str">
        <f t="shared" si="177"/>
        <v>AL.패킹바제작설치M</v>
      </c>
      <c r="I550" s="959">
        <f>VLOOKUP($H:$H,[140]일위목록!$A:$H,6,FALSE)</f>
        <v>5250</v>
      </c>
      <c r="J550" s="959">
        <f t="shared" si="178"/>
        <v>8400</v>
      </c>
      <c r="K550" s="959">
        <f>VLOOKUP($H:$H,[140]일위목록!$A:$H,7,FALSE)</f>
        <v>3534</v>
      </c>
      <c r="L550" s="959">
        <f t="shared" si="179"/>
        <v>5654</v>
      </c>
      <c r="M550" s="959">
        <f t="shared" si="180"/>
        <v>8784</v>
      </c>
      <c r="N550" s="959">
        <f t="shared" si="180"/>
        <v>14054</v>
      </c>
      <c r="O550" s="896" t="str">
        <f>VLOOKUP($H:$H,[140]일위목록!$A:$B,2,FALSE)</f>
        <v>제92호표</v>
      </c>
    </row>
    <row r="551" spans="1:15" ht="18.75" customHeight="1">
      <c r="A551" s="962"/>
      <c r="B551" s="957" t="str">
        <f>[140]산출!B577</f>
        <v>밀폐패킹 설치</v>
      </c>
      <c r="C551" s="957" t="str">
        <f>[140]산출!C577</f>
        <v>소형</v>
      </c>
      <c r="D551" s="958">
        <f>[140]산출!G577</f>
        <v>0</v>
      </c>
      <c r="E551" s="935" t="str">
        <f t="shared" si="176"/>
        <v>밀폐패킹설치소형M</v>
      </c>
      <c r="F551" s="896" t="str">
        <f>[140]산출!D577</f>
        <v>M</v>
      </c>
      <c r="G551" s="936">
        <f>[140]산출!F577</f>
        <v>5.3540000000000001</v>
      </c>
      <c r="H551" s="935" t="str">
        <f t="shared" si="177"/>
        <v>밀폐패킹설치소형M</v>
      </c>
      <c r="I551" s="959">
        <f>VLOOKUP($H:$H,[140]일위목록!$A:$H,6,FALSE)</f>
        <v>6300</v>
      </c>
      <c r="J551" s="959">
        <f t="shared" si="178"/>
        <v>33730</v>
      </c>
      <c r="K551" s="959">
        <f>VLOOKUP($H:$H,[140]일위목록!$A:$H,7,FALSE)</f>
        <v>2397</v>
      </c>
      <c r="L551" s="959">
        <f t="shared" si="179"/>
        <v>12833</v>
      </c>
      <c r="M551" s="959">
        <f t="shared" si="180"/>
        <v>8697</v>
      </c>
      <c r="N551" s="959">
        <f t="shared" si="180"/>
        <v>46563</v>
      </c>
      <c r="O551" s="896" t="str">
        <f>VLOOKUP($H:$H,[140]일위목록!$A:$B,2,FALSE)</f>
        <v>제93호표</v>
      </c>
    </row>
    <row r="552" spans="1:15" ht="18.75" customHeight="1">
      <c r="A552" s="962"/>
      <c r="B552" s="957" t="str">
        <f>[140]산출!B578</f>
        <v>AL.사출유리후렘 제작설치</v>
      </c>
      <c r="C552" s="957" t="str">
        <f>[140]산출!C578</f>
        <v>독립장(상부)</v>
      </c>
      <c r="D552" s="958">
        <f>[140]산출!G578</f>
        <v>0</v>
      </c>
      <c r="E552" s="935" t="str">
        <f t="shared" si="176"/>
        <v>AL.사출유리후렘제작설치독립장(상부)M</v>
      </c>
      <c r="F552" s="896" t="str">
        <f>[140]산출!D578</f>
        <v>M</v>
      </c>
      <c r="G552" s="936">
        <f>[140]산출!F578</f>
        <v>0.8</v>
      </c>
      <c r="H552" s="935" t="str">
        <f t="shared" si="177"/>
        <v>AL.사출유리후렘제작설치독립장(상부)M</v>
      </c>
      <c r="I552" s="959">
        <f>VLOOKUP($H:$H,[140]일위목록!$A:$H,6,FALSE)</f>
        <v>157500</v>
      </c>
      <c r="J552" s="959">
        <f t="shared" si="178"/>
        <v>126000</v>
      </c>
      <c r="K552" s="959">
        <f>VLOOKUP($H:$H,[140]일위목록!$A:$H,7,FALSE)</f>
        <v>53130</v>
      </c>
      <c r="L552" s="959">
        <f t="shared" si="179"/>
        <v>42504</v>
      </c>
      <c r="M552" s="959">
        <f t="shared" si="180"/>
        <v>210630</v>
      </c>
      <c r="N552" s="959">
        <f t="shared" si="180"/>
        <v>168504</v>
      </c>
      <c r="O552" s="896" t="str">
        <f>VLOOKUP($H:$H,[140]일위목록!$A:$B,2,FALSE)</f>
        <v>제97호표</v>
      </c>
    </row>
    <row r="553" spans="1:15" ht="18.75" customHeight="1">
      <c r="A553" s="962"/>
      <c r="B553" s="957" t="str">
        <f>[140]산출!B579</f>
        <v>AL.사출유리후렘 제작설치</v>
      </c>
      <c r="C553" s="957" t="str">
        <f>[140]산출!C579</f>
        <v>독립장(하부)</v>
      </c>
      <c r="D553" s="958">
        <f>[140]산출!G579</f>
        <v>0</v>
      </c>
      <c r="E553" s="935" t="str">
        <f t="shared" si="176"/>
        <v>AL.사출유리후렘제작설치독립장(하부)M</v>
      </c>
      <c r="F553" s="896" t="str">
        <f>[140]산출!D579</f>
        <v>M</v>
      </c>
      <c r="G553" s="936">
        <f>[140]산출!F579</f>
        <v>0.8</v>
      </c>
      <c r="H553" s="935" t="str">
        <f t="shared" si="177"/>
        <v>AL.사출유리후렘제작설치독립장(하부)M</v>
      </c>
      <c r="I553" s="959">
        <f>VLOOKUP($H:$H,[140]일위목록!$A:$H,6,FALSE)</f>
        <v>115500</v>
      </c>
      <c r="J553" s="959">
        <f t="shared" si="178"/>
        <v>92400</v>
      </c>
      <c r="K553" s="959">
        <f>VLOOKUP($H:$H,[140]일위목록!$A:$H,7,FALSE)</f>
        <v>35420</v>
      </c>
      <c r="L553" s="959">
        <f t="shared" si="179"/>
        <v>28336</v>
      </c>
      <c r="M553" s="959">
        <f t="shared" si="180"/>
        <v>150920</v>
      </c>
      <c r="N553" s="959">
        <f t="shared" si="180"/>
        <v>120736</v>
      </c>
      <c r="O553" s="896" t="str">
        <f>VLOOKUP($H:$H,[140]일위목록!$A:$B,2,FALSE)</f>
        <v>제98호표</v>
      </c>
    </row>
    <row r="554" spans="1:15" ht="18.75" customHeight="1">
      <c r="A554" s="962"/>
      <c r="B554" s="957" t="str">
        <f>[140]산출!B580</f>
        <v>모터구동시스템 설치</v>
      </c>
      <c r="C554" s="957" t="str">
        <f>[140]산출!C580</f>
        <v>웜기어 전동실린더</v>
      </c>
      <c r="D554" s="958">
        <f>[140]산출!G580</f>
        <v>0</v>
      </c>
      <c r="E554" s="935" t="str">
        <f t="shared" si="176"/>
        <v>모터구동시스템설치웜기어전동실린더SET</v>
      </c>
      <c r="F554" s="896" t="str">
        <f>[140]산출!D580</f>
        <v>SET</v>
      </c>
      <c r="G554" s="936">
        <f>[140]산출!F580</f>
        <v>2</v>
      </c>
      <c r="H554" s="935" t="str">
        <f t="shared" si="177"/>
        <v>모터구동시스템설치웜기어전동실린더SET</v>
      </c>
      <c r="I554" s="959">
        <f>VLOOKUP($H:$H,[140]일위목록!$A:$H,6,FALSE)</f>
        <v>353000</v>
      </c>
      <c r="J554" s="959">
        <f t="shared" si="178"/>
        <v>706000</v>
      </c>
      <c r="K554" s="959">
        <f>VLOOKUP($H:$H,[140]일위목록!$A:$H,7,FALSE)</f>
        <v>96655</v>
      </c>
      <c r="L554" s="959">
        <f t="shared" si="179"/>
        <v>193310</v>
      </c>
      <c r="M554" s="959">
        <f t="shared" si="180"/>
        <v>449655</v>
      </c>
      <c r="N554" s="959">
        <f t="shared" si="180"/>
        <v>899310</v>
      </c>
      <c r="O554" s="896" t="str">
        <f>VLOOKUP($H:$H,[140]일위목록!$A:$B,2,FALSE)</f>
        <v>제101호표</v>
      </c>
    </row>
    <row r="555" spans="1:15" ht="18.75" customHeight="1">
      <c r="A555" s="962"/>
      <c r="B555" s="957" t="str">
        <f>[140]산출!B581</f>
        <v>LM가이드시스템 가공 설치</v>
      </c>
      <c r="C555" s="957" t="str">
        <f>[140]산출!C581</f>
        <v>Ø25</v>
      </c>
      <c r="D555" s="958">
        <f>[140]산출!G581</f>
        <v>0</v>
      </c>
      <c r="E555" s="935" t="str">
        <f t="shared" si="176"/>
        <v>LM가이드시스템가공설치Ø25SET</v>
      </c>
      <c r="F555" s="896" t="str">
        <f>[140]산출!D581</f>
        <v>SET</v>
      </c>
      <c r="G555" s="936">
        <f>[140]산출!F581</f>
        <v>4</v>
      </c>
      <c r="H555" s="935" t="str">
        <f t="shared" si="177"/>
        <v>LM가이드시스템가공설치Ø25SET</v>
      </c>
      <c r="I555" s="959">
        <f>VLOOKUP($H:$H,[140]일위목록!$A:$H,6,FALSE)</f>
        <v>144000</v>
      </c>
      <c r="J555" s="959">
        <f t="shared" si="178"/>
        <v>576000</v>
      </c>
      <c r="K555" s="959">
        <f>VLOOKUP($H:$H,[140]일위목록!$A:$H,7,FALSE)</f>
        <v>18323</v>
      </c>
      <c r="L555" s="959">
        <f t="shared" si="179"/>
        <v>73292</v>
      </c>
      <c r="M555" s="959">
        <f t="shared" si="180"/>
        <v>162323</v>
      </c>
      <c r="N555" s="959">
        <f t="shared" si="180"/>
        <v>649292</v>
      </c>
      <c r="O555" s="896" t="str">
        <f>VLOOKUP($H:$H,[140]일위목록!$A:$B,2,FALSE)</f>
        <v>제100호표</v>
      </c>
    </row>
    <row r="556" spans="1:15" ht="18.75" customHeight="1">
      <c r="A556" s="962"/>
      <c r="B556" s="957" t="str">
        <f>[140]산출!B582</f>
        <v>베어링레일및가공 설치</v>
      </c>
      <c r="C556" s="957" t="str">
        <f>[140]산출!C582</f>
        <v>22*42 2.3T 가공</v>
      </c>
      <c r="D556" s="958">
        <f>[140]산출!G582</f>
        <v>0</v>
      </c>
      <c r="E556" s="935" t="str">
        <f t="shared" si="176"/>
        <v>베어링레일및가공설치22*422.3T가공M</v>
      </c>
      <c r="F556" s="896" t="str">
        <f>[140]산출!D582</f>
        <v>M</v>
      </c>
      <c r="G556" s="936">
        <f>[140]산출!F582</f>
        <v>1.6</v>
      </c>
      <c r="H556" s="935" t="str">
        <f t="shared" si="177"/>
        <v>베어링레일및가공설치22*422.3T가공M</v>
      </c>
      <c r="I556" s="959">
        <f>VLOOKUP($H:$H,[140]일위목록!$A:$H,6,FALSE)</f>
        <v>136500</v>
      </c>
      <c r="J556" s="959">
        <f t="shared" si="178"/>
        <v>218400</v>
      </c>
      <c r="K556" s="959">
        <f>VLOOKUP($H:$H,[140]일위목록!$A:$H,7,FALSE)</f>
        <v>35420</v>
      </c>
      <c r="L556" s="959">
        <f t="shared" si="179"/>
        <v>56672</v>
      </c>
      <c r="M556" s="959">
        <f t="shared" si="180"/>
        <v>171920</v>
      </c>
      <c r="N556" s="959">
        <f t="shared" si="180"/>
        <v>275072</v>
      </c>
      <c r="O556" s="896" t="str">
        <f>VLOOKUP($H:$H,[140]일위목록!$A:$B,2,FALSE)</f>
        <v>제102호표</v>
      </c>
    </row>
    <row r="557" spans="1:15" ht="18.75" customHeight="1">
      <c r="A557" s="962"/>
      <c r="B557" s="957" t="str">
        <f>[140]산출!B583</f>
        <v>슬라이딩베어링 가공조립</v>
      </c>
      <c r="C557" s="957" t="str">
        <f>[140]산출!C583</f>
        <v>Ø26</v>
      </c>
      <c r="D557" s="958">
        <f>[140]산출!G583</f>
        <v>0</v>
      </c>
      <c r="E557" s="935" t="str">
        <f t="shared" si="176"/>
        <v>슬라이딩베어링가공조립Ø26EA</v>
      </c>
      <c r="F557" s="896" t="str">
        <f>[140]산출!D583</f>
        <v>EA</v>
      </c>
      <c r="G557" s="936">
        <f>[140]산출!F583</f>
        <v>20</v>
      </c>
      <c r="H557" s="935" t="str">
        <f t="shared" si="177"/>
        <v>슬라이딩베어링가공조립Ø26EA</v>
      </c>
      <c r="I557" s="959">
        <f>VLOOKUP($H:$H,[140]일위목록!$A:$H,6,FALSE)</f>
        <v>6500</v>
      </c>
      <c r="J557" s="959">
        <f t="shared" si="178"/>
        <v>130000</v>
      </c>
      <c r="K557" s="959">
        <f>VLOOKUP($H:$H,[140]일위목록!$A:$H,7,FALSE)</f>
        <v>3864</v>
      </c>
      <c r="L557" s="959">
        <f t="shared" si="179"/>
        <v>77280</v>
      </c>
      <c r="M557" s="959">
        <f t="shared" si="180"/>
        <v>10364</v>
      </c>
      <c r="N557" s="959">
        <f t="shared" si="180"/>
        <v>207280</v>
      </c>
      <c r="O557" s="896" t="str">
        <f>VLOOKUP($H:$H,[140]일위목록!$A:$B,2,FALSE)</f>
        <v>제104호표</v>
      </c>
    </row>
    <row r="558" spans="1:15" ht="18.75" customHeight="1">
      <c r="A558" s="962"/>
      <c r="B558" s="957" t="str">
        <f>[140]산출!B584</f>
        <v>베어링 붓싱가공조립</v>
      </c>
      <c r="C558" s="957" t="str">
        <f>[140]산출!C584</f>
        <v>#6200</v>
      </c>
      <c r="D558" s="958">
        <f>[140]산출!G584</f>
        <v>0</v>
      </c>
      <c r="E558" s="935" t="str">
        <f t="shared" si="176"/>
        <v>베어링붓싱가공조립#6200EA</v>
      </c>
      <c r="F558" s="896" t="str">
        <f>[140]산출!D584</f>
        <v>EA</v>
      </c>
      <c r="G558" s="936">
        <f>[140]산출!F584</f>
        <v>20</v>
      </c>
      <c r="H558" s="935" t="str">
        <f t="shared" si="177"/>
        <v>베어링붓싱가공조립#6200EA</v>
      </c>
      <c r="I558" s="959">
        <f>VLOOKUP($H:$H,[140]일위목록!$A:$H,6,FALSE)</f>
        <v>6000</v>
      </c>
      <c r="J558" s="959">
        <f t="shared" si="178"/>
        <v>120000</v>
      </c>
      <c r="K558" s="959">
        <f>VLOOKUP($H:$H,[140]일위목록!$A:$H,7,FALSE)</f>
        <v>3864</v>
      </c>
      <c r="L558" s="959">
        <f t="shared" si="179"/>
        <v>77280</v>
      </c>
      <c r="M558" s="959">
        <f t="shared" si="180"/>
        <v>9864</v>
      </c>
      <c r="N558" s="959">
        <f t="shared" si="180"/>
        <v>197280</v>
      </c>
      <c r="O558" s="896" t="str">
        <f>VLOOKUP($H:$H,[140]일위목록!$A:$B,2,FALSE)</f>
        <v>제105호표</v>
      </c>
    </row>
    <row r="559" spans="1:15" ht="18.75" customHeight="1">
      <c r="A559" s="962"/>
      <c r="B559" s="957" t="str">
        <f>[140]산출!B585</f>
        <v>CASTER&amp;ADJUSTER 제작설치</v>
      </c>
      <c r="C559" s="957"/>
      <c r="D559" s="958">
        <f>[140]산출!G585</f>
        <v>0</v>
      </c>
      <c r="E559" s="935" t="str">
        <f t="shared" si="176"/>
        <v>CASTER&amp;ADJUSTER제작설치EA</v>
      </c>
      <c r="F559" s="896" t="str">
        <f>[140]산출!D585</f>
        <v>EA</v>
      </c>
      <c r="G559" s="936">
        <f>[140]산출!F585</f>
        <v>4</v>
      </c>
      <c r="H559" s="935" t="str">
        <f t="shared" si="177"/>
        <v>CASTER&amp;ADJUSTER제작설치EA</v>
      </c>
      <c r="I559" s="959">
        <f>VLOOKUP($H:$H,[140]일위목록!$A:$H,6,FALSE)</f>
        <v>51224</v>
      </c>
      <c r="J559" s="959">
        <f t="shared" si="178"/>
        <v>204896</v>
      </c>
      <c r="K559" s="959">
        <f>VLOOKUP($H:$H,[140]일위목록!$A:$H,7,FALSE)</f>
        <v>3792</v>
      </c>
      <c r="L559" s="959">
        <f t="shared" si="179"/>
        <v>15168</v>
      </c>
      <c r="M559" s="959">
        <f t="shared" si="180"/>
        <v>55016</v>
      </c>
      <c r="N559" s="959">
        <f t="shared" si="180"/>
        <v>220064</v>
      </c>
      <c r="O559" s="896" t="str">
        <f>VLOOKUP($H:$H,[140]일위목록!$A:$B,2,FALSE)</f>
        <v>제113호표</v>
      </c>
    </row>
    <row r="560" spans="1:15" ht="18.75" customHeight="1">
      <c r="A560" s="962"/>
      <c r="B560" s="957" t="str">
        <f>[140]산출!B586</f>
        <v>유압쇽업쇼바 제작설치</v>
      </c>
      <c r="C560" s="957" t="str">
        <f>[140]산출!C586</f>
        <v>20kg</v>
      </c>
      <c r="D560" s="958">
        <f>[140]산출!G586</f>
        <v>0</v>
      </c>
      <c r="E560" s="935" t="str">
        <f t="shared" si="176"/>
        <v>유압쇽업쇼바제작설치20kgSET</v>
      </c>
      <c r="F560" s="896" t="str">
        <f>[140]산출!D586</f>
        <v>SET</v>
      </c>
      <c r="G560" s="936">
        <f>[140]산출!F586</f>
        <v>2</v>
      </c>
      <c r="H560" s="935" t="str">
        <f t="shared" si="177"/>
        <v>유압쇽업쇼바제작설치20kgSET</v>
      </c>
      <c r="I560" s="959">
        <f>VLOOKUP($H:$H,[140]일위목록!$A:$H,6,FALSE)</f>
        <v>39224</v>
      </c>
      <c r="J560" s="959">
        <f t="shared" si="178"/>
        <v>78448</v>
      </c>
      <c r="K560" s="959">
        <f>VLOOKUP($H:$H,[140]일위목록!$A:$H,7,FALSE)</f>
        <v>3792</v>
      </c>
      <c r="L560" s="959">
        <f t="shared" si="179"/>
        <v>7584</v>
      </c>
      <c r="M560" s="959">
        <f t="shared" si="180"/>
        <v>43016</v>
      </c>
      <c r="N560" s="959">
        <f t="shared" si="180"/>
        <v>86032</v>
      </c>
      <c r="O560" s="896" t="str">
        <f>VLOOKUP($H:$H,[140]일위목록!$A:$B,2,FALSE)</f>
        <v>제90호표</v>
      </c>
    </row>
    <row r="561" spans="1:15" ht="18.75" customHeight="1">
      <c r="A561" s="962"/>
      <c r="B561" s="957" t="str">
        <f>[140]산출!B587</f>
        <v>센터베어링및스톱파 가공조립</v>
      </c>
      <c r="C561" s="957" t="str">
        <f>[140]산출!C587</f>
        <v>독립형1단</v>
      </c>
      <c r="D561" s="958">
        <f>[140]산출!G587</f>
        <v>0</v>
      </c>
      <c r="E561" s="935" t="str">
        <f t="shared" si="176"/>
        <v>센터베어링및스톱파가공조립독립형1단SET</v>
      </c>
      <c r="F561" s="896" t="str">
        <f>[140]산출!D587</f>
        <v>SET</v>
      </c>
      <c r="G561" s="936">
        <f>[140]산출!F587</f>
        <v>1</v>
      </c>
      <c r="H561" s="935" t="str">
        <f t="shared" si="177"/>
        <v>센터베어링및스톱파가공조립독립형1단SET</v>
      </c>
      <c r="I561" s="959">
        <f>VLOOKUP($H:$H,[140]일위목록!$A:$H,6,FALSE)</f>
        <v>85000</v>
      </c>
      <c r="J561" s="959">
        <f t="shared" si="178"/>
        <v>85000</v>
      </c>
      <c r="K561" s="959">
        <f>VLOOKUP($H:$H,[140]일위목록!$A:$H,7,FALSE)</f>
        <v>62887</v>
      </c>
      <c r="L561" s="959">
        <f t="shared" si="179"/>
        <v>62887</v>
      </c>
      <c r="M561" s="959">
        <f t="shared" si="180"/>
        <v>147887</v>
      </c>
      <c r="N561" s="959">
        <f t="shared" si="180"/>
        <v>147887</v>
      </c>
      <c r="O561" s="896" t="str">
        <f>VLOOKUP($H:$H,[140]일위목록!$A:$B,2,FALSE)</f>
        <v>제108호표</v>
      </c>
    </row>
    <row r="562" spans="1:15" ht="18.75" customHeight="1">
      <c r="A562" s="962"/>
      <c r="B562" s="957" t="str">
        <f>[140]산출!B588</f>
        <v>전후진 전동콘트롤 제작설치</v>
      </c>
      <c r="C562" s="957" t="str">
        <f>[140]산출!C588</f>
        <v>독립형</v>
      </c>
      <c r="D562" s="958">
        <f>[140]산출!G588</f>
        <v>0</v>
      </c>
      <c r="E562" s="935" t="str">
        <f t="shared" si="176"/>
        <v>전후진전동콘트롤제작설치독립형SET</v>
      </c>
      <c r="F562" s="896" t="str">
        <f>[140]산출!D588</f>
        <v>SET</v>
      </c>
      <c r="G562" s="936">
        <f>[140]산출!F588</f>
        <v>1</v>
      </c>
      <c r="H562" s="935" t="str">
        <f t="shared" si="177"/>
        <v>전후진전동콘트롤제작설치독립형SET</v>
      </c>
      <c r="I562" s="959">
        <f>VLOOKUP($H:$H,[140]일위목록!$A:$H,6,FALSE)</f>
        <v>400000</v>
      </c>
      <c r="J562" s="959">
        <f t="shared" si="178"/>
        <v>400000</v>
      </c>
      <c r="K562" s="959">
        <f>VLOOKUP($H:$H,[140]일위목록!$A:$H,7,FALSE)</f>
        <v>65053</v>
      </c>
      <c r="L562" s="959">
        <f t="shared" si="179"/>
        <v>65053</v>
      </c>
      <c r="M562" s="959">
        <f t="shared" si="180"/>
        <v>465053</v>
      </c>
      <c r="N562" s="959">
        <f t="shared" si="180"/>
        <v>465053</v>
      </c>
      <c r="O562" s="896" t="str">
        <f>VLOOKUP($H:$H,[140]일위목록!$A:$B,2,FALSE)</f>
        <v>제111호표</v>
      </c>
    </row>
    <row r="563" spans="1:15" s="952" customFormat="1" ht="18.75" customHeight="1">
      <c r="A563" s="953"/>
      <c r="B563" s="947" t="str">
        <f>[140]산출!B589</f>
        <v>- 수장설치</v>
      </c>
      <c r="C563" s="954"/>
      <c r="D563" s="955"/>
      <c r="E563" s="948"/>
      <c r="F563" s="949"/>
      <c r="G563" s="950"/>
      <c r="H563" s="948"/>
      <c r="I563" s="951"/>
      <c r="J563" s="951"/>
      <c r="K563" s="951"/>
      <c r="L563" s="951"/>
      <c r="M563" s="951"/>
      <c r="N563" s="951"/>
      <c r="O563" s="949"/>
    </row>
    <row r="564" spans="1:15" ht="18.75" customHeight="1">
      <c r="A564" s="962"/>
      <c r="B564" s="957" t="str">
        <f>[140]산출!B590</f>
        <v>코아합판취부</v>
      </c>
      <c r="C564" s="957" t="str">
        <f>[140]산출!C590</f>
        <v>T18mm</v>
      </c>
      <c r="D564" s="958">
        <f>[140]산출!G590</f>
        <v>0</v>
      </c>
      <c r="E564" s="935" t="str">
        <f>SUBSTITUTE(CONCATENATE(B:B,C:C,F:F)," ","")</f>
        <v>코아합판취부T18mmM2</v>
      </c>
      <c r="F564" s="896" t="str">
        <f>[140]산출!D590</f>
        <v>M2</v>
      </c>
      <c r="G564" s="936">
        <f>[140]산출!F590</f>
        <v>0.64000000000000012</v>
      </c>
      <c r="H564" s="935" t="str">
        <f t="shared" ref="H564:H575" si="181">SUBSTITUTE(CONCATENATE(B564,C564,F564)," ","")</f>
        <v>코아합판취부T18mmM2</v>
      </c>
      <c r="I564" s="959">
        <f>VLOOKUP($H:$H,[140]일위목록!$A:$H,6,FALSE)</f>
        <v>11597</v>
      </c>
      <c r="J564" s="959">
        <f>TRUNC($G:$G*I:I)</f>
        <v>7422</v>
      </c>
      <c r="K564" s="959">
        <f>VLOOKUP($H:$H,[140]일위목록!$A:$H,7,FALSE)</f>
        <v>19337</v>
      </c>
      <c r="L564" s="959">
        <f>TRUNC($G:$G*K:K)</f>
        <v>12375</v>
      </c>
      <c r="M564" s="959">
        <f t="shared" ref="M564:N575" si="182">SUM(I564,K564)</f>
        <v>30934</v>
      </c>
      <c r="N564" s="959">
        <f t="shared" si="182"/>
        <v>19797</v>
      </c>
      <c r="O564" s="896" t="str">
        <f>VLOOKUP($H:$H,[140]일위목록!$A:$B,2,FALSE)</f>
        <v>제57호표</v>
      </c>
    </row>
    <row r="565" spans="1:15" ht="18.75" customHeight="1">
      <c r="A565" s="962"/>
      <c r="B565" s="957" t="str">
        <f>[140]산출!B591</f>
        <v>바탕처리</v>
      </c>
      <c r="C565" s="957" t="str">
        <f>[140]산출!C591</f>
        <v>도배퍼티</v>
      </c>
      <c r="D565" s="958">
        <f>[140]산출!G591</f>
        <v>0</v>
      </c>
      <c r="E565" s="935" t="str">
        <f>SUBSTITUTE(CONCATENATE(B:B,C:C,F:F)," ","")</f>
        <v>바탕처리도배퍼티M2</v>
      </c>
      <c r="F565" s="896" t="str">
        <f>[140]산출!D591</f>
        <v>M2</v>
      </c>
      <c r="G565" s="936">
        <f>[140]산출!F591</f>
        <v>0.64000000000000012</v>
      </c>
      <c r="H565" s="935" t="str">
        <f t="shared" si="181"/>
        <v>바탕처리도배퍼티M2</v>
      </c>
      <c r="I565" s="959">
        <f>VLOOKUP($H:$H,[140]일위목록!$A:$H,6,FALSE)</f>
        <v>1160</v>
      </c>
      <c r="J565" s="959">
        <f>TRUNC($G:$G*I:I)</f>
        <v>742</v>
      </c>
      <c r="K565" s="959">
        <f>VLOOKUP($H:$H,[140]일위목록!$A:$H,7,FALSE)</f>
        <v>7711</v>
      </c>
      <c r="L565" s="959">
        <f>TRUNC($G:$G*K:K)</f>
        <v>4935</v>
      </c>
      <c r="M565" s="959">
        <f t="shared" si="182"/>
        <v>8871</v>
      </c>
      <c r="N565" s="959">
        <f t="shared" si="182"/>
        <v>5677</v>
      </c>
      <c r="O565" s="896" t="str">
        <f>VLOOKUP($H:$H,[140]일위목록!$A:$B,2,FALSE)</f>
        <v>제55호표</v>
      </c>
    </row>
    <row r="566" spans="1:15" ht="18.75" customHeight="1">
      <c r="A566" s="962"/>
      <c r="B566" s="957" t="str">
        <f>[140]산출!B592</f>
        <v>내부도배</v>
      </c>
      <c r="C566" s="957" t="str">
        <f>[140]산출!C592</f>
        <v>세마직벽지</v>
      </c>
      <c r="D566" s="958">
        <f>[140]산출!G592</f>
        <v>0</v>
      </c>
      <c r="E566" s="935" t="str">
        <f>SUBSTITUTE(CONCATENATE(B:B,C:C,F:F)," ","")</f>
        <v>내부도배세마직벽지M2</v>
      </c>
      <c r="F566" s="896" t="str">
        <f>[140]산출!D592</f>
        <v>M2</v>
      </c>
      <c r="G566" s="936">
        <f>[140]산출!F592</f>
        <v>1.2800000000000002</v>
      </c>
      <c r="H566" s="935" t="str">
        <f t="shared" si="181"/>
        <v>내부도배세마직벽지M2</v>
      </c>
      <c r="I566" s="959">
        <f>VLOOKUP($H:$H,[140]일위목록!$A:$H,6,FALSE)</f>
        <v>47152</v>
      </c>
      <c r="J566" s="959">
        <f>TRUNC($G:$G*I:I)</f>
        <v>60354</v>
      </c>
      <c r="K566" s="959">
        <f>VLOOKUP($H:$H,[140]일위목록!$A:$H,7,FALSE)</f>
        <v>5222</v>
      </c>
      <c r="L566" s="959">
        <f>TRUNC($G:$G*K:K)</f>
        <v>6684</v>
      </c>
      <c r="M566" s="959">
        <f t="shared" si="182"/>
        <v>52374</v>
      </c>
      <c r="N566" s="959">
        <f t="shared" si="182"/>
        <v>67038</v>
      </c>
      <c r="O566" s="896" t="str">
        <f>VLOOKUP($H:$H,[140]일위목록!$A:$B,2,FALSE)</f>
        <v>제56호표</v>
      </c>
    </row>
    <row r="567" spans="1:15" ht="18.75" customHeight="1">
      <c r="A567" s="962"/>
      <c r="B567" s="957" t="str">
        <f>[140]산출!B593</f>
        <v>우레탄칼라락카도장</v>
      </c>
      <c r="C567" s="957" t="str">
        <f>[140]산출!C593</f>
        <v>철재면기준</v>
      </c>
      <c r="D567" s="958">
        <f>[140]산출!G593</f>
        <v>0</v>
      </c>
      <c r="E567" s="935" t="str">
        <f>SUBSTITUTE(CONCATENATE(B:B,C:C,F:F)," ","")</f>
        <v>우레탄칼라락카도장철재면기준M2</v>
      </c>
      <c r="F567" s="896" t="str">
        <f>[140]산출!D593</f>
        <v>M2</v>
      </c>
      <c r="G567" s="936">
        <f>[140]산출!F593</f>
        <v>7.2504000000000008</v>
      </c>
      <c r="H567" s="935" t="str">
        <f t="shared" si="181"/>
        <v>우레탄칼라락카도장철재면기준M2</v>
      </c>
      <c r="I567" s="959">
        <f>VLOOKUP($H:$H,[140]일위목록!$A:$H,6,FALSE)</f>
        <v>16103</v>
      </c>
      <c r="J567" s="959">
        <f>TRUNC($G:$G*I:I)</f>
        <v>116753</v>
      </c>
      <c r="K567" s="959">
        <f>VLOOKUP($H:$H,[140]일위목록!$A:$H,7,FALSE)</f>
        <v>22265</v>
      </c>
      <c r="L567" s="959">
        <f>TRUNC($G:$G*K:K)</f>
        <v>161430</v>
      </c>
      <c r="M567" s="959">
        <f t="shared" si="182"/>
        <v>38368</v>
      </c>
      <c r="N567" s="959">
        <f t="shared" si="182"/>
        <v>278183</v>
      </c>
      <c r="O567" s="896" t="str">
        <f>VLOOKUP($H:$H,[140]일위목록!$A:$B,2,FALSE)</f>
        <v>제40호표</v>
      </c>
    </row>
    <row r="568" spans="1:15" ht="18.75" customHeight="1">
      <c r="A568" s="962"/>
      <c r="B568" s="957" t="str">
        <f>[140]산출!B594</f>
        <v>바탕처리</v>
      </c>
      <c r="C568" s="957" t="str">
        <f>[140]산출!C594</f>
        <v>철재면기준</v>
      </c>
      <c r="D568" s="958">
        <f>[140]산출!G594</f>
        <v>0</v>
      </c>
      <c r="E568" s="935" t="str">
        <f>SUBSTITUTE(CONCATENATE(B:B,C:C,F:F)," ","")</f>
        <v>바탕처리철재면기준M2</v>
      </c>
      <c r="F568" s="896" t="str">
        <f>[140]산출!D594</f>
        <v>M2</v>
      </c>
      <c r="G568" s="936">
        <f>[140]산출!F594</f>
        <v>7.2504000000000008</v>
      </c>
      <c r="H568" s="935" t="str">
        <f t="shared" si="181"/>
        <v>바탕처리철재면기준M2</v>
      </c>
      <c r="I568" s="959">
        <f>VLOOKUP($H:$H,[140]일위목록!$A:$H,6,FALSE)</f>
        <v>4891</v>
      </c>
      <c r="J568" s="959">
        <f>TRUNC($G:$G*I:I)</f>
        <v>35461</v>
      </c>
      <c r="K568" s="959">
        <f>VLOOKUP($H:$H,[140]일위목록!$A:$H,7,FALSE)</f>
        <v>15314</v>
      </c>
      <c r="L568" s="959">
        <f>TRUNC($G:$G*K:K)</f>
        <v>111032</v>
      </c>
      <c r="M568" s="959">
        <f t="shared" si="182"/>
        <v>20205</v>
      </c>
      <c r="N568" s="959">
        <f t="shared" si="182"/>
        <v>146493</v>
      </c>
      <c r="O568" s="896" t="str">
        <f>VLOOKUP($H:$H,[140]일위목록!$A:$B,2,FALSE)</f>
        <v>제41호표</v>
      </c>
    </row>
    <row r="569" spans="1:15" s="952" customFormat="1" ht="18.75" customHeight="1">
      <c r="A569" s="953"/>
      <c r="B569" s="947" t="str">
        <f>[140]산출!B595</f>
        <v>- 유리설치</v>
      </c>
      <c r="C569" s="947"/>
      <c r="D569" s="955"/>
      <c r="E569" s="948"/>
      <c r="F569" s="949"/>
      <c r="G569" s="950"/>
      <c r="H569" s="948"/>
      <c r="I569" s="951"/>
      <c r="J569" s="951"/>
      <c r="K569" s="951"/>
      <c r="L569" s="951"/>
      <c r="M569" s="951"/>
      <c r="N569" s="951"/>
      <c r="O569" s="949"/>
    </row>
    <row r="570" spans="1:15" ht="18.75" customHeight="1">
      <c r="A570" s="962"/>
      <c r="B570" s="957" t="str">
        <f>[140]산출!B596</f>
        <v>화이트 접합유리 끼우기</v>
      </c>
      <c r="C570" s="957" t="str">
        <f>[140]산출!C596</f>
        <v>T10.76mm</v>
      </c>
      <c r="D570" s="958">
        <f>[140]산출!G596</f>
        <v>0</v>
      </c>
      <c r="E570" s="935" t="str">
        <f>SUBSTITUTE(CONCATENATE(B:B,C:C,F:F)," ","")</f>
        <v>화이트접합유리끼우기T10.76mmM2</v>
      </c>
      <c r="F570" s="896" t="str">
        <f>[140]산출!D596</f>
        <v>M2</v>
      </c>
      <c r="G570" s="936">
        <f>[140]산출!F596</f>
        <v>6.7103999999999999</v>
      </c>
      <c r="H570" s="935" t="str">
        <f t="shared" si="181"/>
        <v>화이트접합유리끼우기T10.76mmM2</v>
      </c>
      <c r="I570" s="959">
        <f>VLOOKUP($H:$H,[140]일위목록!$A:$H,6,FALSE)</f>
        <v>220033</v>
      </c>
      <c r="J570" s="959">
        <f>TRUNC($G:$G*I:I)</f>
        <v>1476509</v>
      </c>
      <c r="K570" s="959">
        <f>VLOOKUP($H:$H,[140]일위목록!$A:$H,7,FALSE)</f>
        <v>41070</v>
      </c>
      <c r="L570" s="959">
        <f>TRUNC($G:$G*K:K)</f>
        <v>275596</v>
      </c>
      <c r="M570" s="959">
        <f t="shared" si="182"/>
        <v>261103</v>
      </c>
      <c r="N570" s="959">
        <f t="shared" si="182"/>
        <v>1752105</v>
      </c>
      <c r="O570" s="896" t="str">
        <f>VLOOKUP($H:$H,[140]일위목록!$A:$B,2,FALSE)</f>
        <v>제61호표</v>
      </c>
    </row>
    <row r="571" spans="1:15" ht="18.75" customHeight="1">
      <c r="A571" s="962"/>
      <c r="B571" s="957" t="str">
        <f>[140]산출!B597</f>
        <v>코    킹</v>
      </c>
      <c r="C571" s="957"/>
      <c r="D571" s="958">
        <f>[140]산출!G597</f>
        <v>0</v>
      </c>
      <c r="E571" s="935" t="str">
        <f>SUBSTITUTE(CONCATENATE(B:B,C:C,F:F)," ","")</f>
        <v>코킹M</v>
      </c>
      <c r="F571" s="896" t="str">
        <f>[140]산출!D597</f>
        <v>M</v>
      </c>
      <c r="G571" s="936">
        <f>[140]산출!F597</f>
        <v>31.57</v>
      </c>
      <c r="H571" s="935" t="str">
        <f t="shared" si="181"/>
        <v>코킹M</v>
      </c>
      <c r="I571" s="959">
        <f>VLOOKUP($H:$H,[140]일위목록!$A:$H,6,FALSE)</f>
        <v>880</v>
      </c>
      <c r="J571" s="959">
        <f>TRUNC($G:$G*I:I)</f>
        <v>27781</v>
      </c>
      <c r="K571" s="959">
        <f>VLOOKUP($H:$H,[140]일위목록!$A:$H,7,FALSE)</f>
        <v>6064</v>
      </c>
      <c r="L571" s="959">
        <f>TRUNC($G:$G*K:K)</f>
        <v>191440</v>
      </c>
      <c r="M571" s="959">
        <f t="shared" si="182"/>
        <v>6944</v>
      </c>
      <c r="N571" s="959">
        <f t="shared" si="182"/>
        <v>219221</v>
      </c>
      <c r="O571" s="896" t="str">
        <f>VLOOKUP($H:$H,[140]일위목록!$A:$B,2,FALSE)</f>
        <v>제45호표</v>
      </c>
    </row>
    <row r="572" spans="1:15" ht="18.75" customHeight="1">
      <c r="A572" s="962"/>
      <c r="B572" s="957" t="str">
        <f>[140]산출!B598</f>
        <v>면    취</v>
      </c>
      <c r="C572" s="957"/>
      <c r="D572" s="958">
        <f>[140]산출!G598</f>
        <v>0</v>
      </c>
      <c r="E572" s="935" t="str">
        <f>SUBSTITUTE(CONCATENATE(B:B,C:C,F:F)," ","")</f>
        <v>면취M</v>
      </c>
      <c r="F572" s="896" t="str">
        <f>[140]산출!D598</f>
        <v>M</v>
      </c>
      <c r="G572" s="936">
        <f>[140]산출!F598</f>
        <v>42.832000000000001</v>
      </c>
      <c r="H572" s="935" t="str">
        <f t="shared" si="181"/>
        <v>면취M</v>
      </c>
      <c r="I572" s="959">
        <f>VLOOKUP($H:$H,[140]일위목록!$A:$H,6,FALSE)</f>
        <v>11000</v>
      </c>
      <c r="J572" s="959">
        <f>TRUNC($G:$G*I:I)</f>
        <v>471152</v>
      </c>
      <c r="K572" s="959">
        <f>VLOOKUP($H:$H,[140]일위목록!$A:$H,7,FALSE)</f>
        <v>0</v>
      </c>
      <c r="L572" s="959">
        <f>TRUNC($G:$G*K:K)</f>
        <v>0</v>
      </c>
      <c r="M572" s="959">
        <f t="shared" si="182"/>
        <v>11000</v>
      </c>
      <c r="N572" s="959">
        <f t="shared" si="182"/>
        <v>471152</v>
      </c>
      <c r="O572" s="896" t="str">
        <f>VLOOKUP($H:$H,[140]일위목록!$A:$B,2,FALSE)</f>
        <v>단가-77번</v>
      </c>
    </row>
    <row r="573" spans="1:15" s="952" customFormat="1" ht="18.75" customHeight="1">
      <c r="A573" s="953"/>
      <c r="B573" s="947" t="str">
        <f>[140]산출!B599</f>
        <v>- 조명 장치</v>
      </c>
      <c r="C573" s="947"/>
      <c r="D573" s="955"/>
      <c r="E573" s="948"/>
      <c r="F573" s="949"/>
      <c r="G573" s="950"/>
      <c r="H573" s="948"/>
      <c r="I573" s="951"/>
      <c r="J573" s="951"/>
      <c r="K573" s="951"/>
      <c r="L573" s="951"/>
      <c r="M573" s="951"/>
      <c r="N573" s="951"/>
      <c r="O573" s="949"/>
    </row>
    <row r="574" spans="1:15" ht="18.75" customHeight="1">
      <c r="A574" s="962"/>
      <c r="B574" s="957" t="str">
        <f>[140]산출!B600</f>
        <v>LED 포인트조명설치(독립장형)</v>
      </c>
      <c r="C574" s="957" t="str">
        <f>[140]산출!C600</f>
        <v>15W이하</v>
      </c>
      <c r="D574" s="958">
        <f>[140]산출!G600</f>
        <v>0</v>
      </c>
      <c r="E574" s="935" t="str">
        <f>SUBSTITUTE(CONCATENATE(B:B,C:C,F:F)," ","")</f>
        <v>LED포인트조명설치(독립장형)15W이하ea</v>
      </c>
      <c r="F574" s="896" t="str">
        <f>[140]산출!D600</f>
        <v>ea</v>
      </c>
      <c r="G574" s="936">
        <f>[140]산출!F600</f>
        <v>5.0033333333333339</v>
      </c>
      <c r="H574" s="935" t="str">
        <f t="shared" si="181"/>
        <v>LED포인트조명설치(독립장형)15W이하ea</v>
      </c>
      <c r="I574" s="959">
        <f>VLOOKUP($H:$H,[140]일위목록!$A:$H,6,FALSE)</f>
        <v>115500</v>
      </c>
      <c r="J574" s="959">
        <f>TRUNC($G:$G*I:I)</f>
        <v>577885</v>
      </c>
      <c r="K574" s="959">
        <f>VLOOKUP($H:$H,[140]일위목록!$A:$H,7,FALSE)</f>
        <v>26372</v>
      </c>
      <c r="L574" s="959">
        <f>TRUNC($G:$G*K:K)</f>
        <v>131947</v>
      </c>
      <c r="M574" s="959">
        <f t="shared" si="182"/>
        <v>141872</v>
      </c>
      <c r="N574" s="959">
        <f t="shared" si="182"/>
        <v>709832</v>
      </c>
      <c r="O574" s="896" t="str">
        <f>VLOOKUP($H:$H,[140]일위목록!$A:$B,2,FALSE)</f>
        <v>제82호표</v>
      </c>
    </row>
    <row r="575" spans="1:15" ht="18.75" customHeight="1">
      <c r="A575" s="962"/>
      <c r="B575" s="957" t="str">
        <f>[140]산출!B601</f>
        <v>LED 포인트조명 컨트롤제작설치</v>
      </c>
      <c r="C575" s="957" t="str">
        <f>[140]산출!C601</f>
        <v>컨트롤러(16채널)</v>
      </c>
      <c r="D575" s="958">
        <f>[140]산출!G601</f>
        <v>0</v>
      </c>
      <c r="E575" s="935" t="str">
        <f>SUBSTITUTE(CONCATENATE(B:B,C:C,F:F)," ","")</f>
        <v>LED포인트조명컨트롤제작설치컨트롤러(16채널)set</v>
      </c>
      <c r="F575" s="896" t="str">
        <f>[140]산출!D601</f>
        <v>set</v>
      </c>
      <c r="G575" s="936">
        <f>[140]산출!F601</f>
        <v>1</v>
      </c>
      <c r="H575" s="935" t="str">
        <f t="shared" si="181"/>
        <v>LED포인트조명컨트롤제작설치컨트롤러(16채널)set</v>
      </c>
      <c r="I575" s="959">
        <f>VLOOKUP($H:$H,[140]일위목록!$A:$H,6,FALSE)</f>
        <v>650000</v>
      </c>
      <c r="J575" s="959">
        <f>TRUNC($G:$G*I:I)</f>
        <v>650000</v>
      </c>
      <c r="K575" s="959">
        <f>VLOOKUP($H:$H,[140]일위목록!$A:$H,7,FALSE)</f>
        <v>90163</v>
      </c>
      <c r="L575" s="959">
        <f>TRUNC($G:$G*K:K)</f>
        <v>90163</v>
      </c>
      <c r="M575" s="959">
        <f t="shared" si="182"/>
        <v>740163</v>
      </c>
      <c r="N575" s="959">
        <f t="shared" si="182"/>
        <v>740163</v>
      </c>
      <c r="O575" s="896" t="str">
        <f>VLOOKUP($H:$H,[140]일위목록!$A:$B,2,FALSE)</f>
        <v>제85호표</v>
      </c>
    </row>
    <row r="576" spans="1:15" ht="18.75" customHeight="1">
      <c r="A576" s="956"/>
      <c r="B576" s="957"/>
      <c r="C576" s="939"/>
      <c r="D576" s="958"/>
      <c r="E576" s="935"/>
      <c r="F576" s="896"/>
      <c r="G576" s="936"/>
      <c r="H576" s="935"/>
      <c r="I576" s="959"/>
      <c r="J576" s="959"/>
      <c r="K576" s="959"/>
      <c r="L576" s="959"/>
      <c r="M576" s="959"/>
      <c r="N576" s="959"/>
      <c r="O576" s="896"/>
    </row>
    <row r="577" spans="1:15" s="952" customFormat="1" ht="18.75" customHeight="1">
      <c r="A577" s="960"/>
      <c r="B577" s="947" t="s">
        <v>6586</v>
      </c>
      <c r="C577" s="954"/>
      <c r="D577" s="961"/>
      <c r="E577" s="948"/>
      <c r="F577" s="949"/>
      <c r="G577" s="950"/>
      <c r="H577" s="948" t="str">
        <f>SUBSTITUTE(CONCATENATE(B577,C577,F577)," ","")</f>
        <v>소계</v>
      </c>
      <c r="I577" s="951"/>
      <c r="J577" s="951">
        <f>SUM(J530:J576)</f>
        <v>6442867</v>
      </c>
      <c r="K577" s="951"/>
      <c r="L577" s="951">
        <f>SUM(L530:L576)</f>
        <v>2229821</v>
      </c>
      <c r="M577" s="951"/>
      <c r="N577" s="951">
        <f>SUM(N530:N575)</f>
        <v>8672688</v>
      </c>
      <c r="O577" s="949"/>
    </row>
    <row r="578" spans="1:15" s="952" customFormat="1" ht="18.75" customHeight="1">
      <c r="A578" s="947" t="str">
        <f>[140]산출!A612</f>
        <v>SC-209</v>
      </c>
      <c r="B578" s="947" t="str">
        <f>[140]산출!B612</f>
        <v>복합형 진열장</v>
      </c>
      <c r="C578" s="954" t="str">
        <f>[140]산출!C612</f>
        <v>L: 4500 D: 1200 H: 1800 FH: 0 GH: 0 UH: 0</v>
      </c>
      <c r="D578" s="955">
        <f>[140]산출!G612</f>
        <v>0</v>
      </c>
      <c r="E578" s="948" t="str">
        <f>SUBSTITUTE(CONCATENATE(B:B,C:C,F:F)," ","")</f>
        <v>복합형진열장L:4500D:1200H:1800FH:0GH:0UH:0SET</v>
      </c>
      <c r="F578" s="949" t="str">
        <f>[140]산출!D612</f>
        <v>SET</v>
      </c>
      <c r="G578" s="950">
        <f>[140]산출!F612</f>
        <v>8</v>
      </c>
      <c r="H578" s="948" t="str">
        <f t="shared" ref="H578:H580" si="183">SUBSTITUTE(CONCATENATE(B578,C578,F578)," ","")</f>
        <v>복합형진열장L:4500D:1200H:1800FH:0GH:0UH:0SET</v>
      </c>
      <c r="I578" s="951"/>
      <c r="J578" s="951"/>
      <c r="K578" s="951"/>
      <c r="L578" s="951"/>
      <c r="M578" s="951"/>
      <c r="N578" s="951"/>
      <c r="O578" s="949"/>
    </row>
    <row r="579" spans="1:15" ht="18.75" customHeight="1">
      <c r="A579" s="962"/>
      <c r="B579" s="957" t="str">
        <f>[140]산출!B613</f>
        <v>- 구조틀</v>
      </c>
      <c r="C579" s="939"/>
      <c r="D579" s="958"/>
      <c r="E579" s="935"/>
      <c r="F579" s="896"/>
      <c r="G579" s="936"/>
      <c r="H579" s="935"/>
      <c r="I579" s="959"/>
      <c r="J579" s="959"/>
      <c r="K579" s="959"/>
      <c r="L579" s="959"/>
      <c r="M579" s="959"/>
      <c r="N579" s="959"/>
      <c r="O579" s="896"/>
    </row>
    <row r="580" spans="1:15" ht="18.75" customHeight="1">
      <c r="A580" s="962"/>
      <c r="B580" s="957" t="str">
        <f>[140]산출!B614</f>
        <v>각파이프(방청)</v>
      </c>
      <c r="C580" s="939" t="str">
        <f>[140]산출!C614</f>
        <v>40*40*1.4T</v>
      </c>
      <c r="D580" s="958">
        <f>[140]산출!G614</f>
        <v>0</v>
      </c>
      <c r="E580" s="935" t="str">
        <f>SUBSTITUTE(CONCATENATE(B:B,C:C,F:F)," ","")</f>
        <v>각파이프(방청)40*40*1.4TM</v>
      </c>
      <c r="F580" s="896" t="str">
        <f>[140]산출!D614</f>
        <v>M</v>
      </c>
      <c r="G580" s="936">
        <f>[140]산출!F614</f>
        <v>51.6</v>
      </c>
      <c r="H580" s="935" t="str">
        <f t="shared" si="183"/>
        <v>각파이프(방청)40*40*1.4TM</v>
      </c>
      <c r="I580" s="959">
        <f>VLOOKUP($H:$H,[140]일위목록!$A:$H,6,FALSE)</f>
        <v>7195</v>
      </c>
      <c r="J580" s="959">
        <f>TRUNC($G:$G*I:I)</f>
        <v>371262</v>
      </c>
      <c r="K580" s="959">
        <f>VLOOKUP($H:$H,[140]일위목록!$A:$H,7,FALSE)</f>
        <v>13416</v>
      </c>
      <c r="L580" s="959">
        <f>TRUNC($G:$G*K:K)</f>
        <v>692265</v>
      </c>
      <c r="M580" s="959">
        <f t="shared" ref="M580:N580" si="184">SUM(I580,K580)</f>
        <v>20611</v>
      </c>
      <c r="N580" s="959">
        <f t="shared" si="184"/>
        <v>1063527</v>
      </c>
      <c r="O580" s="896" t="str">
        <f>VLOOKUP($H:$H,[140]일위목록!$A:$B,2,FALSE)</f>
        <v>제46호표</v>
      </c>
    </row>
    <row r="581" spans="1:15" ht="18.75" customHeight="1">
      <c r="A581" s="962"/>
      <c r="B581" s="957" t="str">
        <f>[140]산출!B615</f>
        <v>- 잡철물</v>
      </c>
      <c r="C581" s="939"/>
      <c r="D581" s="958"/>
      <c r="E581" s="935"/>
      <c r="F581" s="896"/>
      <c r="G581" s="936"/>
      <c r="H581" s="935"/>
      <c r="I581" s="959"/>
      <c r="J581" s="959"/>
      <c r="K581" s="959"/>
      <c r="L581" s="959"/>
      <c r="M581" s="959"/>
      <c r="N581" s="959"/>
      <c r="O581" s="896"/>
    </row>
    <row r="582" spans="1:15" ht="18.75" customHeight="1">
      <c r="A582" s="962"/>
      <c r="B582" s="957" t="str">
        <f>[140]산출!B616</f>
        <v>갈바후레임제작설치</v>
      </c>
      <c r="C582" s="939" t="str">
        <f>[140]산출!C616</f>
        <v>1.6T</v>
      </c>
      <c r="D582" s="958" t="str">
        <f>[140]산출!G616</f>
        <v>마감철판</v>
      </c>
      <c r="E582" s="935" t="str">
        <f t="shared" ref="E582:E590" si="185">SUBSTITUTE(CONCATENATE(B:B,C:C,F:F)," ","")</f>
        <v>갈바후레임제작설치1.6TM2</v>
      </c>
      <c r="F582" s="896" t="str">
        <f>[140]산출!D616</f>
        <v>M2</v>
      </c>
      <c r="G582" s="936">
        <f>[140]산출!F616</f>
        <v>12.600000000000001</v>
      </c>
      <c r="H582" s="935" t="str">
        <f t="shared" ref="H582:H608" si="186">SUBSTITUTE(CONCATENATE(B582,C582,F582)," ","")</f>
        <v>갈바후레임제작설치1.6TM2</v>
      </c>
      <c r="I582" s="959">
        <f>VLOOKUP($H:$H,[140]일위목록!$A:$H,6,FALSE)</f>
        <v>16515</v>
      </c>
      <c r="J582" s="959">
        <f t="shared" ref="J582:J590" si="187">TRUNC($G:$G*I:I)</f>
        <v>208089</v>
      </c>
      <c r="K582" s="959">
        <f>VLOOKUP($H:$H,[140]일위목록!$A:$H,7,FALSE)</f>
        <v>65362</v>
      </c>
      <c r="L582" s="959">
        <f t="shared" ref="L582:L590" si="188">TRUNC($G:$G*K:K)</f>
        <v>823561</v>
      </c>
      <c r="M582" s="959">
        <f t="shared" ref="M582:N608" si="189">SUM(I582,K582)</f>
        <v>81877</v>
      </c>
      <c r="N582" s="959">
        <f t="shared" si="189"/>
        <v>1031650</v>
      </c>
      <c r="O582" s="896" t="str">
        <f>VLOOKUP($H:$H,[140]일위목록!$A:$B,2,FALSE)</f>
        <v>제51호표</v>
      </c>
    </row>
    <row r="583" spans="1:15" ht="18.75" customHeight="1">
      <c r="A583" s="962"/>
      <c r="B583" s="957" t="str">
        <f>[140]산출!B617</f>
        <v>갈바후레임제작설치</v>
      </c>
      <c r="C583" s="939" t="str">
        <f>[140]산출!C617</f>
        <v>1.6T</v>
      </c>
      <c r="D583" s="958" t="str">
        <f>[140]산출!G617</f>
        <v>유리프레임</v>
      </c>
      <c r="E583" s="935" t="str">
        <f t="shared" si="185"/>
        <v>갈바후레임제작설치1.6TM2</v>
      </c>
      <c r="F583" s="896" t="str">
        <f>[140]산출!D617</f>
        <v>M2</v>
      </c>
      <c r="G583" s="936">
        <f>[140]산출!F617</f>
        <v>2.2620000000000005</v>
      </c>
      <c r="H583" s="935" t="str">
        <f t="shared" si="186"/>
        <v>갈바후레임제작설치1.6TM2</v>
      </c>
      <c r="I583" s="959">
        <f>VLOOKUP($H:$H,[140]일위목록!$A:$H,6,FALSE)</f>
        <v>16515</v>
      </c>
      <c r="J583" s="959">
        <f t="shared" si="187"/>
        <v>37356</v>
      </c>
      <c r="K583" s="959">
        <f>VLOOKUP($H:$H,[140]일위목록!$A:$H,7,FALSE)</f>
        <v>65362</v>
      </c>
      <c r="L583" s="959">
        <f t="shared" si="188"/>
        <v>147848</v>
      </c>
      <c r="M583" s="959">
        <f t="shared" si="189"/>
        <v>81877</v>
      </c>
      <c r="N583" s="959">
        <f t="shared" si="189"/>
        <v>185204</v>
      </c>
      <c r="O583" s="896" t="str">
        <f>VLOOKUP($H:$H,[140]일위목록!$A:$B,2,FALSE)</f>
        <v>제51호표</v>
      </c>
    </row>
    <row r="584" spans="1:15" ht="18.75" customHeight="1">
      <c r="A584" s="962"/>
      <c r="B584" s="957" t="str">
        <f>[140]산출!B618</f>
        <v>갈바후레임제작설치</v>
      </c>
      <c r="C584" s="939" t="str">
        <f>[140]산출!C618</f>
        <v>1.6T</v>
      </c>
      <c r="D584" s="958" t="str">
        <f>[140]산출!G618</f>
        <v>내부몰딩</v>
      </c>
      <c r="E584" s="935" t="str">
        <f t="shared" si="185"/>
        <v>갈바후레임제작설치1.6TM2</v>
      </c>
      <c r="F584" s="896" t="str">
        <f>[140]산출!D618</f>
        <v>M2</v>
      </c>
      <c r="G584" s="936">
        <f>[140]산출!F618</f>
        <v>2.2620000000000005</v>
      </c>
      <c r="H584" s="935" t="str">
        <f t="shared" si="186"/>
        <v>갈바후레임제작설치1.6TM2</v>
      </c>
      <c r="I584" s="959">
        <f>VLOOKUP($H:$H,[140]일위목록!$A:$H,6,FALSE)</f>
        <v>16515</v>
      </c>
      <c r="J584" s="959">
        <f t="shared" si="187"/>
        <v>37356</v>
      </c>
      <c r="K584" s="959">
        <f>VLOOKUP($H:$H,[140]일위목록!$A:$H,7,FALSE)</f>
        <v>65362</v>
      </c>
      <c r="L584" s="959">
        <f t="shared" si="188"/>
        <v>147848</v>
      </c>
      <c r="M584" s="959">
        <f t="shared" si="189"/>
        <v>81877</v>
      </c>
      <c r="N584" s="959">
        <f t="shared" si="189"/>
        <v>185204</v>
      </c>
      <c r="O584" s="896" t="str">
        <f>VLOOKUP($H:$H,[140]일위목록!$A:$B,2,FALSE)</f>
        <v>제51호표</v>
      </c>
    </row>
    <row r="585" spans="1:15" ht="18.75" customHeight="1">
      <c r="A585" s="962"/>
      <c r="B585" s="957" t="str">
        <f>[140]산출!B619</f>
        <v>갈바후레임제작설치</v>
      </c>
      <c r="C585" s="939" t="str">
        <f>[140]산출!C619</f>
        <v>1.6T</v>
      </c>
      <c r="D585" s="958" t="str">
        <f>[140]산출!G619</f>
        <v>유리프레임2</v>
      </c>
      <c r="E585" s="935" t="str">
        <f t="shared" si="185"/>
        <v>갈바후레임제작설치1.6TM2</v>
      </c>
      <c r="F585" s="896" t="str">
        <f>[140]산출!D619</f>
        <v>M2</v>
      </c>
      <c r="G585" s="936">
        <f>[140]산출!F619</f>
        <v>1.8599999999999999</v>
      </c>
      <c r="H585" s="935" t="str">
        <f t="shared" si="186"/>
        <v>갈바후레임제작설치1.6TM2</v>
      </c>
      <c r="I585" s="959">
        <f>VLOOKUP($H:$H,[140]일위목록!$A:$H,6,FALSE)</f>
        <v>16515</v>
      </c>
      <c r="J585" s="959">
        <f t="shared" si="187"/>
        <v>30717</v>
      </c>
      <c r="K585" s="959">
        <f>VLOOKUP($H:$H,[140]일위목록!$A:$H,7,FALSE)</f>
        <v>65362</v>
      </c>
      <c r="L585" s="959">
        <f t="shared" si="188"/>
        <v>121573</v>
      </c>
      <c r="M585" s="959">
        <f t="shared" si="189"/>
        <v>81877</v>
      </c>
      <c r="N585" s="959">
        <f t="shared" si="189"/>
        <v>152290</v>
      </c>
      <c r="O585" s="896" t="str">
        <f>VLOOKUP($H:$H,[140]일위목록!$A:$B,2,FALSE)</f>
        <v>제51호표</v>
      </c>
    </row>
    <row r="586" spans="1:15" ht="18.75" customHeight="1">
      <c r="A586" s="962"/>
      <c r="B586" s="957" t="str">
        <f>[140]산출!B620</f>
        <v>갈바후레임제작설치</v>
      </c>
      <c r="C586" s="939" t="str">
        <f>[140]산출!C620</f>
        <v>1.6T</v>
      </c>
      <c r="D586" s="958" t="str">
        <f>[140]산출!G620</f>
        <v>상부마감몰딩</v>
      </c>
      <c r="E586" s="935" t="str">
        <f t="shared" si="185"/>
        <v>갈바후레임제작설치1.6TM2</v>
      </c>
      <c r="F586" s="896" t="str">
        <f>[140]산출!D620</f>
        <v>M2</v>
      </c>
      <c r="G586" s="936">
        <f>[140]산출!F620</f>
        <v>0.44400000000000001</v>
      </c>
      <c r="H586" s="935" t="str">
        <f t="shared" si="186"/>
        <v>갈바후레임제작설치1.6TM2</v>
      </c>
      <c r="I586" s="959">
        <f>VLOOKUP($H:$H,[140]일위목록!$A:$H,6,FALSE)</f>
        <v>16515</v>
      </c>
      <c r="J586" s="959">
        <f t="shared" si="187"/>
        <v>7332</v>
      </c>
      <c r="K586" s="959">
        <f>VLOOKUP($H:$H,[140]일위목록!$A:$H,7,FALSE)</f>
        <v>65362</v>
      </c>
      <c r="L586" s="959">
        <f t="shared" si="188"/>
        <v>29020</v>
      </c>
      <c r="M586" s="959">
        <f t="shared" si="189"/>
        <v>81877</v>
      </c>
      <c r="N586" s="959">
        <f t="shared" si="189"/>
        <v>36352</v>
      </c>
      <c r="O586" s="896" t="str">
        <f>VLOOKUP($H:$H,[140]일위목록!$A:$B,2,FALSE)</f>
        <v>제51호표</v>
      </c>
    </row>
    <row r="587" spans="1:15" ht="18.75" customHeight="1">
      <c r="A587" s="962"/>
      <c r="B587" s="957" t="str">
        <f>[140]산출!B621</f>
        <v>갈바후레임제작설치</v>
      </c>
      <c r="C587" s="939" t="str">
        <f>[140]산출!C621</f>
        <v>1.6T</v>
      </c>
      <c r="D587" s="958" t="str">
        <f>[140]산출!G621</f>
        <v>하부마감판</v>
      </c>
      <c r="E587" s="935" t="str">
        <f t="shared" si="185"/>
        <v>갈바후레임제작설치1.6TM2</v>
      </c>
      <c r="F587" s="896" t="str">
        <f>[140]산출!D621</f>
        <v>M2</v>
      </c>
      <c r="G587" s="936">
        <f>[140]산출!F621</f>
        <v>0.26400000000000001</v>
      </c>
      <c r="H587" s="935" t="str">
        <f t="shared" si="186"/>
        <v>갈바후레임제작설치1.6TM2</v>
      </c>
      <c r="I587" s="959">
        <f>VLOOKUP($H:$H,[140]일위목록!$A:$H,6,FALSE)</f>
        <v>16515</v>
      </c>
      <c r="J587" s="959">
        <f t="shared" si="187"/>
        <v>4359</v>
      </c>
      <c r="K587" s="959">
        <f>VLOOKUP($H:$H,[140]일위목록!$A:$H,7,FALSE)</f>
        <v>65362</v>
      </c>
      <c r="L587" s="959">
        <f t="shared" si="188"/>
        <v>17255</v>
      </c>
      <c r="M587" s="959">
        <f t="shared" si="189"/>
        <v>81877</v>
      </c>
      <c r="N587" s="959">
        <f t="shared" si="189"/>
        <v>21614</v>
      </c>
      <c r="O587" s="896" t="str">
        <f>VLOOKUP($H:$H,[140]일위목록!$A:$B,2,FALSE)</f>
        <v>제51호표</v>
      </c>
    </row>
    <row r="588" spans="1:15" ht="18.75" customHeight="1">
      <c r="A588" s="962"/>
      <c r="B588" s="957" t="str">
        <f>[140]산출!B622</f>
        <v>갈바후레임제작설치</v>
      </c>
      <c r="C588" s="939" t="str">
        <f>[140]산출!C622</f>
        <v>1.6T</v>
      </c>
      <c r="D588" s="958" t="str">
        <f>[140]산출!G622</f>
        <v>배면판</v>
      </c>
      <c r="E588" s="935" t="str">
        <f t="shared" si="185"/>
        <v>갈바후레임제작설치1.6TM2</v>
      </c>
      <c r="F588" s="896" t="str">
        <f>[140]산출!D622</f>
        <v>M2</v>
      </c>
      <c r="G588" s="936">
        <f>[140]산출!F622</f>
        <v>1.7999999999999998</v>
      </c>
      <c r="H588" s="935" t="str">
        <f t="shared" si="186"/>
        <v>갈바후레임제작설치1.6TM2</v>
      </c>
      <c r="I588" s="959">
        <f>VLOOKUP($H:$H,[140]일위목록!$A:$H,6,FALSE)</f>
        <v>16515</v>
      </c>
      <c r="J588" s="959">
        <f t="shared" si="187"/>
        <v>29727</v>
      </c>
      <c r="K588" s="959">
        <f>VLOOKUP($H:$H,[140]일위목록!$A:$H,7,FALSE)</f>
        <v>65362</v>
      </c>
      <c r="L588" s="959">
        <f t="shared" si="188"/>
        <v>117651</v>
      </c>
      <c r="M588" s="959">
        <f t="shared" si="189"/>
        <v>81877</v>
      </c>
      <c r="N588" s="959">
        <f t="shared" si="189"/>
        <v>147378</v>
      </c>
      <c r="O588" s="896" t="str">
        <f>VLOOKUP($H:$H,[140]일위목록!$A:$B,2,FALSE)</f>
        <v>제51호표</v>
      </c>
    </row>
    <row r="589" spans="1:15" ht="18.75" customHeight="1">
      <c r="A589" s="962"/>
      <c r="B589" s="957" t="str">
        <f>[140]산출!B623</f>
        <v>갈바후레임제작설치</v>
      </c>
      <c r="C589" s="939" t="str">
        <f>[140]산출!C623</f>
        <v>1.6T</v>
      </c>
      <c r="D589" s="958" t="str">
        <f>[140]산출!G623</f>
        <v>외부마감판</v>
      </c>
      <c r="E589" s="935" t="str">
        <f t="shared" si="185"/>
        <v>갈바후레임제작설치1.6TM2</v>
      </c>
      <c r="F589" s="896" t="str">
        <f>[140]산출!D623</f>
        <v>M2</v>
      </c>
      <c r="G589" s="936">
        <f>[140]산출!F623</f>
        <v>1.44</v>
      </c>
      <c r="H589" s="935" t="str">
        <f t="shared" si="186"/>
        <v>갈바후레임제작설치1.6TM2</v>
      </c>
      <c r="I589" s="959">
        <f>VLOOKUP($H:$H,[140]일위목록!$A:$H,6,FALSE)</f>
        <v>16515</v>
      </c>
      <c r="J589" s="959">
        <f t="shared" si="187"/>
        <v>23781</v>
      </c>
      <c r="K589" s="959">
        <f>VLOOKUP($H:$H,[140]일위목록!$A:$H,7,FALSE)</f>
        <v>65362</v>
      </c>
      <c r="L589" s="959">
        <f t="shared" si="188"/>
        <v>94121</v>
      </c>
      <c r="M589" s="959">
        <f t="shared" si="189"/>
        <v>81877</v>
      </c>
      <c r="N589" s="959">
        <f t="shared" si="189"/>
        <v>117902</v>
      </c>
      <c r="O589" s="896" t="str">
        <f>VLOOKUP($H:$H,[140]일위목록!$A:$B,2,FALSE)</f>
        <v>제51호표</v>
      </c>
    </row>
    <row r="590" spans="1:15" ht="18.75" customHeight="1">
      <c r="A590" s="962"/>
      <c r="B590" s="957" t="str">
        <f>[140]산출!B624</f>
        <v>갈바후레임제작설치</v>
      </c>
      <c r="C590" s="939" t="str">
        <f>[140]산출!C624</f>
        <v>1.6T</v>
      </c>
      <c r="D590" s="958" t="str">
        <f>[140]산출!G624</f>
        <v>측면판</v>
      </c>
      <c r="E590" s="935" t="str">
        <f t="shared" si="185"/>
        <v>갈바후레임제작설치1.6TM2</v>
      </c>
      <c r="F590" s="896" t="str">
        <f>[140]산출!D624</f>
        <v>M2</v>
      </c>
      <c r="G590" s="936">
        <f>[140]산출!F624</f>
        <v>0.54</v>
      </c>
      <c r="H590" s="935" t="str">
        <f t="shared" si="186"/>
        <v>갈바후레임제작설치1.6TM2</v>
      </c>
      <c r="I590" s="959">
        <f>VLOOKUP($H:$H,[140]일위목록!$A:$H,6,FALSE)</f>
        <v>16515</v>
      </c>
      <c r="J590" s="959">
        <f t="shared" si="187"/>
        <v>8918</v>
      </c>
      <c r="K590" s="959">
        <f>VLOOKUP($H:$H,[140]일위목록!$A:$H,7,FALSE)</f>
        <v>65362</v>
      </c>
      <c r="L590" s="959">
        <f t="shared" si="188"/>
        <v>35295</v>
      </c>
      <c r="M590" s="959">
        <f t="shared" si="189"/>
        <v>81877</v>
      </c>
      <c r="N590" s="959">
        <f t="shared" si="189"/>
        <v>44213</v>
      </c>
      <c r="O590" s="896" t="str">
        <f>VLOOKUP($H:$H,[140]일위목록!$A:$B,2,FALSE)</f>
        <v>제51호표</v>
      </c>
    </row>
    <row r="591" spans="1:15" ht="18.75" customHeight="1">
      <c r="A591" s="962"/>
      <c r="B591" s="957" t="str">
        <f>[140]산출!B626</f>
        <v>- SYSTEM 장치</v>
      </c>
      <c r="C591" s="939"/>
      <c r="D591" s="958"/>
      <c r="E591" s="935"/>
      <c r="F591" s="896"/>
      <c r="G591" s="936"/>
      <c r="H591" s="935"/>
      <c r="I591" s="959"/>
      <c r="J591" s="959"/>
      <c r="K591" s="959"/>
      <c r="L591" s="959"/>
      <c r="M591" s="959"/>
      <c r="N591" s="959"/>
      <c r="O591" s="896"/>
    </row>
    <row r="592" spans="1:15" ht="18.75" customHeight="1">
      <c r="A592" s="962"/>
      <c r="B592" s="957" t="str">
        <f>[140]산출!B627</f>
        <v>피아노경첩 제작설치</v>
      </c>
      <c r="C592" s="939"/>
      <c r="D592" s="958">
        <f>[140]산출!G627</f>
        <v>0</v>
      </c>
      <c r="E592" s="935" t="str">
        <f>SUBSTITUTE(CONCATENATE(B:B,C:C,F:F)," ","")</f>
        <v>피아노경첩제작설치M</v>
      </c>
      <c r="F592" s="896" t="str">
        <f>[140]산출!D627</f>
        <v>M</v>
      </c>
      <c r="G592" s="936">
        <f>[140]산출!F627</f>
        <v>4.7</v>
      </c>
      <c r="H592" s="935" t="str">
        <f t="shared" si="186"/>
        <v>피아노경첩제작설치M</v>
      </c>
      <c r="I592" s="959">
        <f>VLOOKUP($H:$H,[140]일위목록!$A:$H,6,FALSE)</f>
        <v>12630</v>
      </c>
      <c r="J592" s="959">
        <f>TRUNC($G:$G*I:I)</f>
        <v>59361</v>
      </c>
      <c r="K592" s="959">
        <f>VLOOKUP($H:$H,[140]일위목록!$A:$H,7,FALSE)</f>
        <v>10973</v>
      </c>
      <c r="L592" s="959">
        <f>TRUNC($G:$G*K:K)</f>
        <v>51573</v>
      </c>
      <c r="M592" s="959">
        <f t="shared" si="189"/>
        <v>23603</v>
      </c>
      <c r="N592" s="959">
        <f t="shared" si="189"/>
        <v>110934</v>
      </c>
      <c r="O592" s="896" t="str">
        <f>VLOOKUP($H:$H,[140]일위목록!$A:$B,2,FALSE)</f>
        <v>제88호표</v>
      </c>
    </row>
    <row r="593" spans="1:15" ht="18.75" customHeight="1">
      <c r="A593" s="962"/>
      <c r="B593" s="957" t="str">
        <f>[140]산출!B628</f>
        <v>LOCK SET 제작설치</v>
      </c>
      <c r="C593" s="939" t="str">
        <f>[140]산출!C628</f>
        <v>시건장치</v>
      </c>
      <c r="D593" s="958">
        <f>[140]산출!G628</f>
        <v>0</v>
      </c>
      <c r="E593" s="935" t="str">
        <f>SUBSTITUTE(CONCATENATE(B:B,C:C,F:F)," ","")</f>
        <v>LOCKSET제작설치시건장치set</v>
      </c>
      <c r="F593" s="896" t="str">
        <f>[140]산출!D628</f>
        <v>set</v>
      </c>
      <c r="G593" s="936">
        <f>[140]산출!F628</f>
        <v>2</v>
      </c>
      <c r="H593" s="935" t="str">
        <f t="shared" si="186"/>
        <v>LOCKSET제작설치시건장치set</v>
      </c>
      <c r="I593" s="959">
        <f>VLOOKUP($H:$H,[140]일위목록!$A:$H,6,FALSE)</f>
        <v>48840</v>
      </c>
      <c r="J593" s="959">
        <f>TRUNC($G:$G*I:I)</f>
        <v>97680</v>
      </c>
      <c r="K593" s="959">
        <f>VLOOKUP($H:$H,[140]일위목록!$A:$H,7,FALSE)</f>
        <v>12605</v>
      </c>
      <c r="L593" s="959">
        <f>TRUNC($G:$G*K:K)</f>
        <v>25210</v>
      </c>
      <c r="M593" s="959">
        <f t="shared" si="189"/>
        <v>61445</v>
      </c>
      <c r="N593" s="959">
        <f t="shared" si="189"/>
        <v>122890</v>
      </c>
      <c r="O593" s="896" t="str">
        <f>VLOOKUP($H:$H,[140]일위목록!$A:$B,2,FALSE)</f>
        <v>제89호표</v>
      </c>
    </row>
    <row r="594" spans="1:15" ht="18.75" customHeight="1">
      <c r="A594" s="962"/>
      <c r="B594" s="957" t="str">
        <f>[140]산출!B629</f>
        <v>AL.패킹바 제작설치</v>
      </c>
      <c r="C594" s="939"/>
      <c r="D594" s="958">
        <f>[140]산출!G629</f>
        <v>0</v>
      </c>
      <c r="E594" s="935" t="str">
        <f>SUBSTITUTE(CONCATENATE(B:B,C:C,F:F)," ","")</f>
        <v>AL.패킹바제작설치M</v>
      </c>
      <c r="F594" s="896" t="str">
        <f>[140]산출!D629</f>
        <v>M</v>
      </c>
      <c r="G594" s="936">
        <f>[140]산출!F629</f>
        <v>14.8</v>
      </c>
      <c r="H594" s="935" t="str">
        <f t="shared" si="186"/>
        <v>AL.패킹바제작설치M</v>
      </c>
      <c r="I594" s="959">
        <f>VLOOKUP($H:$H,[140]일위목록!$A:$H,6,FALSE)</f>
        <v>5250</v>
      </c>
      <c r="J594" s="959">
        <f>TRUNC($G:$G*I:I)</f>
        <v>77700</v>
      </c>
      <c r="K594" s="959">
        <f>VLOOKUP($H:$H,[140]일위목록!$A:$H,7,FALSE)</f>
        <v>3534</v>
      </c>
      <c r="L594" s="959">
        <f>TRUNC($G:$G*K:K)</f>
        <v>52303</v>
      </c>
      <c r="M594" s="959">
        <f t="shared" si="189"/>
        <v>8784</v>
      </c>
      <c r="N594" s="959">
        <f t="shared" si="189"/>
        <v>130003</v>
      </c>
      <c r="O594" s="896" t="str">
        <f>VLOOKUP($H:$H,[140]일위목록!$A:$B,2,FALSE)</f>
        <v>제92호표</v>
      </c>
    </row>
    <row r="595" spans="1:15" ht="18.75" customHeight="1">
      <c r="A595" s="962"/>
      <c r="B595" s="957" t="str">
        <f>[140]산출!B630</f>
        <v>밀폐패킹 설치</v>
      </c>
      <c r="C595" s="939" t="str">
        <f>[140]산출!C630</f>
        <v>소형</v>
      </c>
      <c r="D595" s="958">
        <f>[140]산출!G630</f>
        <v>0</v>
      </c>
      <c r="E595" s="935" t="str">
        <f>SUBSTITUTE(CONCATENATE(B:B,C:C,F:F)," ","")</f>
        <v>밀폐패킹설치소형M</v>
      </c>
      <c r="F595" s="896" t="str">
        <f>[140]산출!D630</f>
        <v>M</v>
      </c>
      <c r="G595" s="936">
        <f>[140]산출!F630</f>
        <v>14.8</v>
      </c>
      <c r="H595" s="935" t="str">
        <f t="shared" si="186"/>
        <v>밀폐패킹설치소형M</v>
      </c>
      <c r="I595" s="959">
        <f>VLOOKUP($H:$H,[140]일위목록!$A:$H,6,FALSE)</f>
        <v>6300</v>
      </c>
      <c r="J595" s="959">
        <f>TRUNC($G:$G*I:I)</f>
        <v>93240</v>
      </c>
      <c r="K595" s="959">
        <f>VLOOKUP($H:$H,[140]일위목록!$A:$H,7,FALSE)</f>
        <v>2397</v>
      </c>
      <c r="L595" s="959">
        <f>TRUNC($G:$G*K:K)</f>
        <v>35475</v>
      </c>
      <c r="M595" s="959">
        <f t="shared" si="189"/>
        <v>8697</v>
      </c>
      <c r="N595" s="959">
        <f t="shared" si="189"/>
        <v>128715</v>
      </c>
      <c r="O595" s="896" t="str">
        <f>VLOOKUP($H:$H,[140]일위목록!$A:$B,2,FALSE)</f>
        <v>제93호표</v>
      </c>
    </row>
    <row r="596" spans="1:15" ht="18.75" customHeight="1">
      <c r="A596" s="962"/>
      <c r="B596" s="957" t="str">
        <f>[140]산출!B631</f>
        <v>- 수장공사</v>
      </c>
      <c r="C596" s="939"/>
      <c r="D596" s="958"/>
      <c r="E596" s="935"/>
      <c r="F596" s="896"/>
      <c r="G596" s="936"/>
      <c r="H596" s="935"/>
      <c r="I596" s="959"/>
      <c r="J596" s="959"/>
      <c r="K596" s="959"/>
      <c r="L596" s="959"/>
      <c r="M596" s="959"/>
      <c r="N596" s="959"/>
      <c r="O596" s="896"/>
    </row>
    <row r="597" spans="1:15" ht="18.75" customHeight="1">
      <c r="A597" s="962"/>
      <c r="B597" s="957" t="str">
        <f>[140]산출!B632</f>
        <v>코아합판취부</v>
      </c>
      <c r="C597" s="939" t="str">
        <f>[140]산출!C632</f>
        <v>T18mm</v>
      </c>
      <c r="D597" s="958">
        <f>[140]산출!G632</f>
        <v>0</v>
      </c>
      <c r="E597" s="935" t="str">
        <f>SUBSTITUTE(CONCATENATE(B:B,C:C,F:F)," ","")</f>
        <v>코아합판취부T18mmM2</v>
      </c>
      <c r="F597" s="896" t="str">
        <f>[140]산출!D632</f>
        <v>M2</v>
      </c>
      <c r="G597" s="936">
        <f>[140]산출!F632</f>
        <v>2.8800000000000003</v>
      </c>
      <c r="H597" s="935" t="str">
        <f t="shared" si="186"/>
        <v>코아합판취부T18mmM2</v>
      </c>
      <c r="I597" s="959">
        <f>VLOOKUP($H:$H,[140]일위목록!$A:$H,6,FALSE)</f>
        <v>11597</v>
      </c>
      <c r="J597" s="959">
        <f>TRUNC($G:$G*I:I)</f>
        <v>33399</v>
      </c>
      <c r="K597" s="959">
        <f>VLOOKUP($H:$H,[140]일위목록!$A:$H,7,FALSE)</f>
        <v>19337</v>
      </c>
      <c r="L597" s="959">
        <f>TRUNC($G:$G*K:K)</f>
        <v>55690</v>
      </c>
      <c r="M597" s="959">
        <f t="shared" si="189"/>
        <v>30934</v>
      </c>
      <c r="N597" s="959">
        <f t="shared" si="189"/>
        <v>89089</v>
      </c>
      <c r="O597" s="896" t="str">
        <f>VLOOKUP($H:$H,[140]일위목록!$A:$B,2,FALSE)</f>
        <v>제57호표</v>
      </c>
    </row>
    <row r="598" spans="1:15" ht="18.75" customHeight="1">
      <c r="A598" s="962"/>
      <c r="B598" s="957" t="str">
        <f>[140]산출!B633</f>
        <v>바탕처리</v>
      </c>
      <c r="C598" s="939" t="str">
        <f>[140]산출!C633</f>
        <v>도배퍼티</v>
      </c>
      <c r="D598" s="958">
        <f>[140]산출!G633</f>
        <v>0</v>
      </c>
      <c r="E598" s="935" t="str">
        <f>SUBSTITUTE(CONCATENATE(B:B,C:C,F:F)," ","")</f>
        <v>바탕처리도배퍼티M2</v>
      </c>
      <c r="F598" s="896" t="str">
        <f>[140]산출!D633</f>
        <v>M2</v>
      </c>
      <c r="G598" s="936">
        <f>[140]산출!F633</f>
        <v>24.48</v>
      </c>
      <c r="H598" s="935" t="str">
        <f t="shared" si="186"/>
        <v>바탕처리도배퍼티M2</v>
      </c>
      <c r="I598" s="959">
        <f>VLOOKUP($H:$H,[140]일위목록!$A:$H,6,FALSE)</f>
        <v>1160</v>
      </c>
      <c r="J598" s="959">
        <f>TRUNC($G:$G*I:I)</f>
        <v>28396</v>
      </c>
      <c r="K598" s="959">
        <f>VLOOKUP($H:$H,[140]일위목록!$A:$H,7,FALSE)</f>
        <v>7711</v>
      </c>
      <c r="L598" s="959">
        <f>TRUNC($G:$G*K:K)</f>
        <v>188765</v>
      </c>
      <c r="M598" s="959">
        <f t="shared" si="189"/>
        <v>8871</v>
      </c>
      <c r="N598" s="959">
        <f t="shared" si="189"/>
        <v>217161</v>
      </c>
      <c r="O598" s="896" t="str">
        <f>VLOOKUP($H:$H,[140]일위목록!$A:$B,2,FALSE)</f>
        <v>제55호표</v>
      </c>
    </row>
    <row r="599" spans="1:15" ht="18.75" customHeight="1">
      <c r="A599" s="962"/>
      <c r="B599" s="957" t="str">
        <f>[140]산출!B634</f>
        <v>내부도배</v>
      </c>
      <c r="C599" s="939" t="str">
        <f>[140]산출!C634</f>
        <v>세마직벽지</v>
      </c>
      <c r="D599" s="958">
        <f>[140]산출!G634</f>
        <v>0</v>
      </c>
      <c r="E599" s="935" t="str">
        <f>SUBSTITUTE(CONCATENATE(B:B,C:C,F:F)," ","")</f>
        <v>내부도배세마직벽지M2</v>
      </c>
      <c r="F599" s="896" t="str">
        <f>[140]산출!D634</f>
        <v>M2</v>
      </c>
      <c r="G599" s="936">
        <f>[140]산출!F634</f>
        <v>24.48</v>
      </c>
      <c r="H599" s="935" t="str">
        <f t="shared" si="186"/>
        <v>내부도배세마직벽지M2</v>
      </c>
      <c r="I599" s="959">
        <f>VLOOKUP($H:$H,[140]일위목록!$A:$H,6,FALSE)</f>
        <v>47152</v>
      </c>
      <c r="J599" s="959">
        <f>TRUNC($G:$G*I:I)</f>
        <v>1154280</v>
      </c>
      <c r="K599" s="959">
        <f>VLOOKUP($H:$H,[140]일위목록!$A:$H,7,FALSE)</f>
        <v>5222</v>
      </c>
      <c r="L599" s="959">
        <f>TRUNC($G:$G*K:K)</f>
        <v>127834</v>
      </c>
      <c r="M599" s="959">
        <f t="shared" si="189"/>
        <v>52374</v>
      </c>
      <c r="N599" s="959">
        <f t="shared" si="189"/>
        <v>1282114</v>
      </c>
      <c r="O599" s="896" t="str">
        <f>VLOOKUP($H:$H,[140]일위목록!$A:$B,2,FALSE)</f>
        <v>제56호표</v>
      </c>
    </row>
    <row r="600" spans="1:15" ht="18.75" customHeight="1">
      <c r="A600" s="962"/>
      <c r="B600" s="957" t="str">
        <f>[140]산출!B635</f>
        <v>우레탄칼라락카도장</v>
      </c>
      <c r="C600" s="939" t="str">
        <f>[140]산출!C635</f>
        <v>철재면기준</v>
      </c>
      <c r="D600" s="958">
        <f>[140]산출!G635</f>
        <v>0</v>
      </c>
      <c r="E600" s="935" t="str">
        <f>SUBSTITUTE(CONCATENATE(B:B,C:C,F:F)," ","")</f>
        <v>우레탄칼라락카도장철재면기준M2</v>
      </c>
      <c r="F600" s="896" t="str">
        <f>[140]산출!D635</f>
        <v>M2</v>
      </c>
      <c r="G600" s="936">
        <f>[140]산출!F635</f>
        <v>23.472000000000001</v>
      </c>
      <c r="H600" s="935" t="str">
        <f t="shared" si="186"/>
        <v>우레탄칼라락카도장철재면기준M2</v>
      </c>
      <c r="I600" s="959">
        <f>VLOOKUP($H:$H,[140]일위목록!$A:$H,6,FALSE)</f>
        <v>16103</v>
      </c>
      <c r="J600" s="959">
        <f>TRUNC($G:$G*I:I)</f>
        <v>377969</v>
      </c>
      <c r="K600" s="959">
        <f>VLOOKUP($H:$H,[140]일위목록!$A:$H,7,FALSE)</f>
        <v>22265</v>
      </c>
      <c r="L600" s="959">
        <f>TRUNC($G:$G*K:K)</f>
        <v>522604</v>
      </c>
      <c r="M600" s="959">
        <f t="shared" si="189"/>
        <v>38368</v>
      </c>
      <c r="N600" s="959">
        <f t="shared" si="189"/>
        <v>900573</v>
      </c>
      <c r="O600" s="896" t="str">
        <f>VLOOKUP($H:$H,[140]일위목록!$A:$B,2,FALSE)</f>
        <v>제40호표</v>
      </c>
    </row>
    <row r="601" spans="1:15" ht="18.75" customHeight="1">
      <c r="A601" s="962"/>
      <c r="B601" s="957" t="str">
        <f>[140]산출!B636</f>
        <v>바탕처리</v>
      </c>
      <c r="C601" s="939" t="str">
        <f>[140]산출!C636</f>
        <v>철재면기준</v>
      </c>
      <c r="D601" s="958">
        <f>[140]산출!G636</f>
        <v>0</v>
      </c>
      <c r="E601" s="935" t="str">
        <f>SUBSTITUTE(CONCATENATE(B:B,C:C,F:F)," ","")</f>
        <v>바탕처리철재면기준M2</v>
      </c>
      <c r="F601" s="896" t="str">
        <f>[140]산출!D636</f>
        <v>M2</v>
      </c>
      <c r="G601" s="936">
        <f>[140]산출!F636</f>
        <v>23.472000000000001</v>
      </c>
      <c r="H601" s="935" t="str">
        <f t="shared" si="186"/>
        <v>바탕처리철재면기준M2</v>
      </c>
      <c r="I601" s="959">
        <f>VLOOKUP($H:$H,[140]일위목록!$A:$H,6,FALSE)</f>
        <v>4891</v>
      </c>
      <c r="J601" s="959">
        <f>TRUNC($G:$G*I:I)</f>
        <v>114801</v>
      </c>
      <c r="K601" s="959">
        <f>VLOOKUP($H:$H,[140]일위목록!$A:$H,7,FALSE)</f>
        <v>15314</v>
      </c>
      <c r="L601" s="959">
        <f>TRUNC($G:$G*K:K)</f>
        <v>359450</v>
      </c>
      <c r="M601" s="959">
        <f t="shared" si="189"/>
        <v>20205</v>
      </c>
      <c r="N601" s="959">
        <f t="shared" si="189"/>
        <v>474251</v>
      </c>
      <c r="O601" s="896" t="str">
        <f>VLOOKUP($H:$H,[140]일위목록!$A:$B,2,FALSE)</f>
        <v>제41호표</v>
      </c>
    </row>
    <row r="602" spans="1:15" ht="18.75" customHeight="1">
      <c r="A602" s="962"/>
      <c r="B602" s="957" t="str">
        <f>[140]산출!B637</f>
        <v>- 유리공사</v>
      </c>
      <c r="C602" s="939"/>
      <c r="D602" s="958"/>
      <c r="E602" s="935"/>
      <c r="F602" s="896"/>
      <c r="G602" s="936"/>
      <c r="H602" s="935"/>
      <c r="I602" s="959"/>
      <c r="J602" s="959"/>
      <c r="K602" s="959"/>
      <c r="L602" s="959"/>
      <c r="M602" s="959"/>
      <c r="N602" s="959"/>
      <c r="O602" s="896"/>
    </row>
    <row r="603" spans="1:15" ht="18.75" customHeight="1">
      <c r="A603" s="962"/>
      <c r="B603" s="957" t="str">
        <f>[140]산출!B638</f>
        <v>화이트 접합유리 끼우기</v>
      </c>
      <c r="C603" s="939" t="str">
        <f>[140]산출!C638</f>
        <v>T10.76mm</v>
      </c>
      <c r="D603" s="958">
        <f>[140]산출!G638</f>
        <v>0</v>
      </c>
      <c r="E603" s="935" t="str">
        <f>SUBSTITUTE(CONCATENATE(B:B,C:C,F:F)," ","")</f>
        <v>화이트접합유리끼우기T10.76mmM2</v>
      </c>
      <c r="F603" s="896" t="str">
        <f>[140]산출!D638</f>
        <v>M2</v>
      </c>
      <c r="G603" s="936">
        <f>[140]산출!F638</f>
        <v>7.1475000000000009</v>
      </c>
      <c r="H603" s="935" t="str">
        <f t="shared" si="186"/>
        <v>화이트접합유리끼우기T10.76mmM2</v>
      </c>
      <c r="I603" s="959">
        <f>VLOOKUP($H:$H,[140]일위목록!$A:$H,6,FALSE)</f>
        <v>220033</v>
      </c>
      <c r="J603" s="959">
        <f>TRUNC($G:$G*I:I)</f>
        <v>1572685</v>
      </c>
      <c r="K603" s="959">
        <f>VLOOKUP($H:$H,[140]일위목록!$A:$H,7,FALSE)</f>
        <v>41070</v>
      </c>
      <c r="L603" s="959">
        <f>TRUNC($G:$G*K:K)</f>
        <v>293547</v>
      </c>
      <c r="M603" s="959">
        <f t="shared" si="189"/>
        <v>261103</v>
      </c>
      <c r="N603" s="959">
        <f t="shared" si="189"/>
        <v>1866232</v>
      </c>
      <c r="O603" s="896" t="str">
        <f>VLOOKUP($H:$H,[140]일위목록!$A:$B,2,FALSE)</f>
        <v>제61호표</v>
      </c>
    </row>
    <row r="604" spans="1:15" ht="18.75" customHeight="1">
      <c r="A604" s="962"/>
      <c r="B604" s="957" t="str">
        <f>[140]산출!B639</f>
        <v>코킹</v>
      </c>
      <c r="C604" s="939"/>
      <c r="D604" s="958">
        <f>[140]산출!G639</f>
        <v>0</v>
      </c>
      <c r="E604" s="935" t="str">
        <f>SUBSTITUTE(CONCATENATE(B:B,C:C,F:F)," ","")</f>
        <v>코킹M</v>
      </c>
      <c r="F604" s="896" t="str">
        <f>[140]산출!D639</f>
        <v>M</v>
      </c>
      <c r="G604" s="936">
        <f>[140]산출!F639</f>
        <v>47.6</v>
      </c>
      <c r="H604" s="935" t="str">
        <f t="shared" si="186"/>
        <v>코킹M</v>
      </c>
      <c r="I604" s="959">
        <f>VLOOKUP($H:$H,[140]일위목록!$A:$H,6,FALSE)</f>
        <v>880</v>
      </c>
      <c r="J604" s="959">
        <f>TRUNC($G:$G*I:I)</f>
        <v>41888</v>
      </c>
      <c r="K604" s="959">
        <f>VLOOKUP($H:$H,[140]일위목록!$A:$H,7,FALSE)</f>
        <v>6064</v>
      </c>
      <c r="L604" s="959">
        <f>TRUNC($G:$G*K:K)</f>
        <v>288646</v>
      </c>
      <c r="M604" s="959">
        <f t="shared" si="189"/>
        <v>6944</v>
      </c>
      <c r="N604" s="959">
        <f t="shared" si="189"/>
        <v>330534</v>
      </c>
      <c r="O604" s="896" t="str">
        <f>VLOOKUP($H:$H,[140]일위목록!$A:$B,2,FALSE)</f>
        <v>제45호표</v>
      </c>
    </row>
    <row r="605" spans="1:15" ht="18.75" customHeight="1">
      <c r="A605" s="962"/>
      <c r="B605" s="957" t="str">
        <f>[140]산출!B640</f>
        <v>면    취</v>
      </c>
      <c r="C605" s="939"/>
      <c r="D605" s="958">
        <f>[140]산출!G640</f>
        <v>0</v>
      </c>
      <c r="E605" s="935" t="str">
        <f>SUBSTITUTE(CONCATENATE(B:B,C:C,F:F)," ","")</f>
        <v>면취M</v>
      </c>
      <c r="F605" s="896" t="str">
        <f>[140]산출!D640</f>
        <v>M</v>
      </c>
      <c r="G605" s="936">
        <f>[140]산출!F640</f>
        <v>40</v>
      </c>
      <c r="H605" s="935" t="str">
        <f t="shared" si="186"/>
        <v>면취M</v>
      </c>
      <c r="I605" s="959">
        <f>VLOOKUP($H:$H,[140]일위목록!$A:$H,6,FALSE)</f>
        <v>11000</v>
      </c>
      <c r="J605" s="959">
        <f>TRUNC($G:$G*I:I)</f>
        <v>440000</v>
      </c>
      <c r="K605" s="959">
        <f>VLOOKUP($H:$H,[140]일위목록!$A:$H,7,FALSE)</f>
        <v>0</v>
      </c>
      <c r="L605" s="959">
        <f>TRUNC($G:$G*K:K)</f>
        <v>0</v>
      </c>
      <c r="M605" s="959">
        <f t="shared" si="189"/>
        <v>11000</v>
      </c>
      <c r="N605" s="959">
        <f t="shared" si="189"/>
        <v>440000</v>
      </c>
      <c r="O605" s="896" t="str">
        <f>VLOOKUP($H:$H,[140]일위목록!$A:$B,2,FALSE)</f>
        <v>단가-77번</v>
      </c>
    </row>
    <row r="606" spans="1:15" ht="18.75" customHeight="1">
      <c r="A606" s="962"/>
      <c r="B606" s="957" t="str">
        <f>[140]산출!B641</f>
        <v>- 전기공사</v>
      </c>
      <c r="C606" s="939"/>
      <c r="D606" s="958"/>
      <c r="E606" s="935"/>
      <c r="F606" s="896"/>
      <c r="G606" s="936"/>
      <c r="H606" s="935"/>
      <c r="I606" s="959"/>
      <c r="J606" s="959"/>
      <c r="K606" s="959"/>
      <c r="L606" s="959"/>
      <c r="M606" s="959"/>
      <c r="N606" s="959"/>
      <c r="O606" s="896"/>
    </row>
    <row r="607" spans="1:15" ht="18.75" customHeight="1">
      <c r="A607" s="962"/>
      <c r="B607" s="957" t="str">
        <f>[140]산출!B642</f>
        <v>LED 포인트조명설치(독립장형)</v>
      </c>
      <c r="C607" s="939" t="str">
        <f>[140]산출!C642</f>
        <v>15W이하</v>
      </c>
      <c r="D607" s="958">
        <f>[140]산출!G642</f>
        <v>0</v>
      </c>
      <c r="E607" s="935" t="str">
        <f>SUBSTITUTE(CONCATENATE(B:B,C:C,F:F)," ","")</f>
        <v>LED포인트조명설치(독립장형)15W이하ea</v>
      </c>
      <c r="F607" s="896" t="str">
        <f>[140]산출!D642</f>
        <v>ea</v>
      </c>
      <c r="G607" s="936">
        <f>[140]산출!F642</f>
        <v>6</v>
      </c>
      <c r="H607" s="935" t="str">
        <f t="shared" si="186"/>
        <v>LED포인트조명설치(독립장형)15W이하ea</v>
      </c>
      <c r="I607" s="959">
        <f>VLOOKUP($H:$H,[140]일위목록!$A:$H,6,FALSE)</f>
        <v>115500</v>
      </c>
      <c r="J607" s="959">
        <f>TRUNC($G:$G*I:I)</f>
        <v>693000</v>
      </c>
      <c r="K607" s="959">
        <f>VLOOKUP($H:$H,[140]일위목록!$A:$H,7,FALSE)</f>
        <v>26372</v>
      </c>
      <c r="L607" s="959">
        <f>TRUNC($G:$G*K:K)</f>
        <v>158232</v>
      </c>
      <c r="M607" s="959">
        <f t="shared" si="189"/>
        <v>141872</v>
      </c>
      <c r="N607" s="959">
        <f t="shared" si="189"/>
        <v>851232</v>
      </c>
      <c r="O607" s="896" t="str">
        <f>VLOOKUP($H:$H,[140]일위목록!$A:$B,2,FALSE)</f>
        <v>제82호표</v>
      </c>
    </row>
    <row r="608" spans="1:15" ht="18.75" customHeight="1">
      <c r="A608" s="962"/>
      <c r="B608" s="957" t="str">
        <f>[140]산출!B643</f>
        <v>LED 포인트조명 컨트롤제작설치</v>
      </c>
      <c r="C608" s="939" t="str">
        <f>[140]산출!C643</f>
        <v>컨트롤러(8채널)</v>
      </c>
      <c r="D608" s="958">
        <f>[140]산출!G643</f>
        <v>0</v>
      </c>
      <c r="E608" s="935" t="str">
        <f>SUBSTITUTE(CONCATENATE(B:B,C:C,F:F)," ","")</f>
        <v>LED포인트조명컨트롤제작설치컨트롤러(8채널)set</v>
      </c>
      <c r="F608" s="896" t="str">
        <f>[140]산출!D643</f>
        <v>set</v>
      </c>
      <c r="G608" s="936">
        <f>[140]산출!F643</f>
        <v>1</v>
      </c>
      <c r="H608" s="935" t="str">
        <f t="shared" si="186"/>
        <v>LED포인트조명컨트롤제작설치컨트롤러(8채널)set</v>
      </c>
      <c r="I608" s="959">
        <f>VLOOKUP($H:$H,[140]일위목록!$A:$H,6,FALSE)</f>
        <v>600000</v>
      </c>
      <c r="J608" s="959">
        <f>TRUNC($G:$G*I:I)</f>
        <v>600000</v>
      </c>
      <c r="K608" s="959">
        <f>VLOOKUP($H:$H,[140]일위목록!$A:$H,7,FALSE)</f>
        <v>90163</v>
      </c>
      <c r="L608" s="959">
        <f>TRUNC($G:$G*K:K)</f>
        <v>90163</v>
      </c>
      <c r="M608" s="959">
        <f t="shared" si="189"/>
        <v>690163</v>
      </c>
      <c r="N608" s="959">
        <f t="shared" si="189"/>
        <v>690163</v>
      </c>
      <c r="O608" s="896" t="str">
        <f>VLOOKUP($H:$H,[140]일위목록!$A:$B,2,FALSE)</f>
        <v>제86호표</v>
      </c>
    </row>
    <row r="609" spans="1:15" ht="18.75" customHeight="1">
      <c r="A609" s="962"/>
      <c r="B609" s="957"/>
      <c r="C609" s="939"/>
      <c r="D609" s="958"/>
      <c r="E609" s="935"/>
      <c r="F609" s="896"/>
      <c r="G609" s="936"/>
      <c r="H609" s="935"/>
      <c r="I609" s="959"/>
      <c r="J609" s="959"/>
      <c r="K609" s="959"/>
      <c r="L609" s="959"/>
      <c r="M609" s="959"/>
      <c r="N609" s="959"/>
      <c r="O609" s="896"/>
    </row>
    <row r="610" spans="1:15" s="952" customFormat="1" ht="18.75" customHeight="1">
      <c r="A610" s="960"/>
      <c r="B610" s="947" t="s">
        <v>6586</v>
      </c>
      <c r="C610" s="954"/>
      <c r="D610" s="961"/>
      <c r="E610" s="948"/>
      <c r="F610" s="949"/>
      <c r="G610" s="950"/>
      <c r="H610" s="948" t="str">
        <f>SUBSTITUTE(CONCATENATE(B610,C610,F610)," ","")</f>
        <v>소계</v>
      </c>
      <c r="I610" s="951"/>
      <c r="J610" s="951">
        <f>SUM(J580:J608)</f>
        <v>6143296</v>
      </c>
      <c r="K610" s="951"/>
      <c r="L610" s="951">
        <f>SUM(L580:L608)</f>
        <v>4475929</v>
      </c>
      <c r="M610" s="951"/>
      <c r="N610" s="951">
        <f>SUM(N580:N608)</f>
        <v>10619225</v>
      </c>
      <c r="O610" s="949"/>
    </row>
    <row r="611" spans="1:15" ht="18.75" customHeight="1">
      <c r="A611" s="962"/>
      <c r="B611" s="957"/>
      <c r="C611" s="939"/>
      <c r="D611" s="958"/>
      <c r="E611" s="935"/>
      <c r="F611" s="896"/>
      <c r="G611" s="936"/>
      <c r="H611" s="935"/>
      <c r="I611" s="959"/>
      <c r="J611" s="959"/>
      <c r="K611" s="959"/>
      <c r="L611" s="959"/>
      <c r="M611" s="959"/>
      <c r="N611" s="959"/>
      <c r="O611" s="896"/>
    </row>
    <row r="612" spans="1:15" ht="18.75" customHeight="1">
      <c r="A612" s="962"/>
      <c r="B612" s="957"/>
      <c r="C612" s="939"/>
      <c r="D612" s="958"/>
      <c r="E612" s="935"/>
      <c r="F612" s="896"/>
      <c r="G612" s="936"/>
      <c r="H612" s="935"/>
      <c r="I612" s="959"/>
      <c r="J612" s="959"/>
      <c r="K612" s="959"/>
      <c r="L612" s="959"/>
      <c r="M612" s="959"/>
      <c r="N612" s="959"/>
      <c r="O612" s="896"/>
    </row>
    <row r="613" spans="1:15" ht="18.75" customHeight="1">
      <c r="A613" s="962"/>
      <c r="B613" s="957"/>
      <c r="C613" s="939"/>
      <c r="D613" s="958"/>
      <c r="E613" s="935"/>
      <c r="F613" s="896"/>
      <c r="G613" s="936"/>
      <c r="H613" s="935"/>
      <c r="I613" s="959"/>
      <c r="J613" s="959"/>
      <c r="K613" s="959"/>
      <c r="L613" s="959"/>
      <c r="M613" s="959"/>
      <c r="N613" s="959"/>
      <c r="O613" s="896"/>
    </row>
    <row r="614" spans="1:15" ht="18.75" customHeight="1">
      <c r="A614" s="962"/>
      <c r="B614" s="957"/>
      <c r="C614" s="939"/>
      <c r="D614" s="958"/>
      <c r="E614" s="935"/>
      <c r="F614" s="896"/>
      <c r="G614" s="936"/>
      <c r="H614" s="935"/>
      <c r="I614" s="959"/>
      <c r="J614" s="959"/>
      <c r="K614" s="959"/>
      <c r="L614" s="959"/>
      <c r="M614" s="959"/>
      <c r="N614" s="959"/>
      <c r="O614" s="896"/>
    </row>
    <row r="615" spans="1:15" ht="18.75" customHeight="1">
      <c r="A615" s="962"/>
      <c r="B615" s="957"/>
      <c r="C615" s="939"/>
      <c r="D615" s="958"/>
      <c r="E615" s="935"/>
      <c r="F615" s="896"/>
      <c r="G615" s="936"/>
      <c r="H615" s="935"/>
      <c r="I615" s="959"/>
      <c r="J615" s="959"/>
      <c r="K615" s="959"/>
      <c r="L615" s="959"/>
      <c r="M615" s="959"/>
      <c r="N615" s="959"/>
      <c r="O615" s="896"/>
    </row>
    <row r="616" spans="1:15" ht="18.75" customHeight="1">
      <c r="A616" s="962"/>
      <c r="B616" s="957"/>
      <c r="C616" s="939"/>
      <c r="D616" s="958"/>
      <c r="E616" s="935"/>
      <c r="F616" s="896"/>
      <c r="G616" s="936"/>
      <c r="H616" s="935"/>
      <c r="I616" s="959"/>
      <c r="J616" s="959"/>
      <c r="K616" s="959"/>
      <c r="L616" s="959"/>
      <c r="M616" s="959"/>
      <c r="N616" s="959"/>
      <c r="O616" s="896"/>
    </row>
    <row r="617" spans="1:15" ht="18.75" customHeight="1">
      <c r="A617" s="962"/>
      <c r="B617" s="957"/>
      <c r="C617" s="939"/>
      <c r="D617" s="958"/>
      <c r="E617" s="935"/>
      <c r="F617" s="896"/>
      <c r="G617" s="936"/>
      <c r="H617" s="935"/>
      <c r="I617" s="959"/>
      <c r="J617" s="959"/>
      <c r="K617" s="959"/>
      <c r="L617" s="959"/>
      <c r="M617" s="959"/>
      <c r="N617" s="959"/>
      <c r="O617" s="896"/>
    </row>
    <row r="618" spans="1:15" ht="18.75" customHeight="1">
      <c r="A618" s="962"/>
      <c r="B618" s="957"/>
      <c r="C618" s="939"/>
      <c r="D618" s="958"/>
      <c r="E618" s="935"/>
      <c r="F618" s="896"/>
      <c r="G618" s="936"/>
      <c r="H618" s="935"/>
      <c r="I618" s="959"/>
      <c r="J618" s="959"/>
      <c r="K618" s="959"/>
      <c r="L618" s="959"/>
      <c r="M618" s="959"/>
      <c r="N618" s="959"/>
      <c r="O618" s="896"/>
    </row>
    <row r="619" spans="1:15" ht="18.75" customHeight="1">
      <c r="A619" s="962"/>
      <c r="B619" s="957"/>
      <c r="C619" s="939"/>
      <c r="D619" s="958"/>
      <c r="E619" s="935"/>
      <c r="F619" s="896"/>
      <c r="G619" s="936"/>
      <c r="H619" s="935"/>
      <c r="I619" s="959"/>
      <c r="J619" s="959"/>
      <c r="K619" s="959"/>
      <c r="L619" s="959"/>
      <c r="M619" s="959"/>
      <c r="N619" s="959"/>
      <c r="O619" s="896"/>
    </row>
    <row r="620" spans="1:15" ht="18.75" customHeight="1">
      <c r="A620" s="962"/>
      <c r="B620" s="957"/>
      <c r="C620" s="939"/>
      <c r="D620" s="958"/>
      <c r="E620" s="935"/>
      <c r="F620" s="896"/>
      <c r="G620" s="936"/>
      <c r="H620" s="935"/>
      <c r="I620" s="959"/>
      <c r="J620" s="959"/>
      <c r="K620" s="959"/>
      <c r="L620" s="959"/>
      <c r="M620" s="959"/>
      <c r="N620" s="959"/>
      <c r="O620" s="896"/>
    </row>
    <row r="621" spans="1:15" ht="18.75" customHeight="1">
      <c r="A621" s="962"/>
      <c r="B621" s="957"/>
      <c r="C621" s="939"/>
      <c r="D621" s="958"/>
      <c r="E621" s="935"/>
      <c r="F621" s="896"/>
      <c r="G621" s="936"/>
      <c r="H621" s="935"/>
      <c r="I621" s="959"/>
      <c r="J621" s="959"/>
      <c r="K621" s="959"/>
      <c r="L621" s="959"/>
      <c r="M621" s="959"/>
      <c r="N621" s="959"/>
      <c r="O621" s="896"/>
    </row>
    <row r="622" spans="1:15" ht="18.75" customHeight="1">
      <c r="A622" s="962"/>
      <c r="B622" s="957"/>
      <c r="C622" s="939"/>
      <c r="D622" s="958"/>
      <c r="E622" s="935"/>
      <c r="F622" s="896"/>
      <c r="G622" s="936"/>
      <c r="H622" s="935"/>
      <c r="I622" s="959"/>
      <c r="J622" s="959"/>
      <c r="K622" s="959"/>
      <c r="L622" s="959"/>
      <c r="M622" s="959"/>
      <c r="N622" s="959"/>
      <c r="O622" s="896"/>
    </row>
    <row r="623" spans="1:15" ht="18.75" customHeight="1">
      <c r="A623" s="962"/>
      <c r="B623" s="957"/>
      <c r="C623" s="939"/>
      <c r="D623" s="958"/>
      <c r="E623" s="935"/>
      <c r="F623" s="896"/>
      <c r="G623" s="936"/>
      <c r="H623" s="935"/>
      <c r="I623" s="959"/>
      <c r="J623" s="959"/>
      <c r="K623" s="959"/>
      <c r="L623" s="959"/>
      <c r="M623" s="959"/>
      <c r="N623" s="959"/>
      <c r="O623" s="896"/>
    </row>
    <row r="624" spans="1:15" ht="18.75" customHeight="1">
      <c r="A624" s="962"/>
      <c r="B624" s="957"/>
      <c r="C624" s="939"/>
      <c r="D624" s="958"/>
      <c r="E624" s="935"/>
      <c r="F624" s="896"/>
      <c r="G624" s="936"/>
      <c r="H624" s="935"/>
      <c r="I624" s="959"/>
      <c r="J624" s="959"/>
      <c r="K624" s="959"/>
      <c r="L624" s="959"/>
      <c r="M624" s="959"/>
      <c r="N624" s="959"/>
      <c r="O624" s="896"/>
    </row>
    <row r="625" spans="1:15" ht="18.75" customHeight="1">
      <c r="A625" s="962"/>
      <c r="B625" s="957"/>
      <c r="C625" s="939"/>
      <c r="D625" s="958"/>
      <c r="E625" s="935"/>
      <c r="F625" s="896"/>
      <c r="G625" s="936"/>
      <c r="H625" s="935"/>
      <c r="I625" s="959"/>
      <c r="J625" s="959"/>
      <c r="K625" s="959"/>
      <c r="L625" s="959"/>
      <c r="M625" s="959"/>
      <c r="N625" s="959"/>
      <c r="O625" s="896"/>
    </row>
    <row r="626" spans="1:15" ht="18.75" customHeight="1">
      <c r="A626" s="962"/>
      <c r="B626" s="957"/>
      <c r="C626" s="939"/>
      <c r="D626" s="958"/>
      <c r="E626" s="935"/>
      <c r="F626" s="896"/>
      <c r="G626" s="936"/>
      <c r="H626" s="935"/>
      <c r="I626" s="959"/>
      <c r="J626" s="959"/>
      <c r="K626" s="959"/>
      <c r="L626" s="959"/>
      <c r="M626" s="959"/>
      <c r="N626" s="959"/>
      <c r="O626" s="896"/>
    </row>
    <row r="627" spans="1:15" ht="18.75" customHeight="1">
      <c r="A627" s="962"/>
      <c r="B627" s="957"/>
      <c r="C627" s="939"/>
      <c r="D627" s="958"/>
      <c r="E627" s="935"/>
      <c r="F627" s="896"/>
      <c r="G627" s="936"/>
      <c r="H627" s="935"/>
      <c r="I627" s="959"/>
      <c r="J627" s="959"/>
      <c r="K627" s="959"/>
      <c r="L627" s="959"/>
      <c r="M627" s="959"/>
      <c r="N627" s="959"/>
      <c r="O627" s="896"/>
    </row>
    <row r="628" spans="1:15" ht="18.75" customHeight="1">
      <c r="A628" s="962"/>
      <c r="B628" s="957"/>
      <c r="C628" s="939"/>
      <c r="D628" s="958"/>
      <c r="E628" s="935"/>
      <c r="F628" s="896"/>
      <c r="G628" s="936"/>
      <c r="H628" s="935"/>
      <c r="I628" s="959"/>
      <c r="J628" s="959"/>
      <c r="K628" s="959"/>
      <c r="L628" s="959"/>
      <c r="M628" s="959"/>
      <c r="N628" s="959"/>
      <c r="O628" s="896"/>
    </row>
    <row r="629" spans="1:15" ht="18.75" customHeight="1">
      <c r="A629" s="962"/>
      <c r="B629" s="957"/>
      <c r="C629" s="939"/>
      <c r="D629" s="958"/>
      <c r="E629" s="935"/>
      <c r="F629" s="896"/>
      <c r="G629" s="936"/>
      <c r="H629" s="935"/>
      <c r="I629" s="959"/>
      <c r="J629" s="959"/>
      <c r="K629" s="959"/>
      <c r="L629" s="959"/>
      <c r="M629" s="959"/>
      <c r="N629" s="959"/>
      <c r="O629" s="896"/>
    </row>
    <row r="630" spans="1:15" ht="18.75" customHeight="1">
      <c r="A630" s="962"/>
      <c r="B630" s="957"/>
      <c r="C630" s="939"/>
      <c r="D630" s="958"/>
      <c r="E630" s="935"/>
      <c r="F630" s="896"/>
      <c r="G630" s="936"/>
      <c r="H630" s="935"/>
      <c r="I630" s="959"/>
      <c r="J630" s="959"/>
      <c r="K630" s="959"/>
      <c r="L630" s="959"/>
      <c r="M630" s="959"/>
      <c r="N630" s="959"/>
      <c r="O630" s="896"/>
    </row>
  </sheetData>
  <sheetProtection selectLockedCells="1" selectUnlockedCells="1"/>
  <mergeCells count="23">
    <mergeCell ref="C10:D10"/>
    <mergeCell ref="A1:O1"/>
    <mergeCell ref="A3:A4"/>
    <mergeCell ref="B3:B4"/>
    <mergeCell ref="C3:D4"/>
    <mergeCell ref="F3:F4"/>
    <mergeCell ref="G3:G4"/>
    <mergeCell ref="I3:J3"/>
    <mergeCell ref="K3:L3"/>
    <mergeCell ref="M3:N3"/>
    <mergeCell ref="O3:O4"/>
    <mergeCell ref="C5:D5"/>
    <mergeCell ref="C6:D6"/>
    <mergeCell ref="C7:D7"/>
    <mergeCell ref="C8:D8"/>
    <mergeCell ref="C9:D9"/>
    <mergeCell ref="C92:D92"/>
    <mergeCell ref="C12:D12"/>
    <mergeCell ref="C13:D13"/>
    <mergeCell ref="C23:D23"/>
    <mergeCell ref="C24:D24"/>
    <mergeCell ref="C27:D27"/>
    <mergeCell ref="C37:D37"/>
  </mergeCells>
  <phoneticPr fontId="1" type="noConversion"/>
  <printOptions horizontalCentered="1"/>
  <pageMargins left="0.59055118110236227" right="0.39370078740157483" top="0.47244094488188981" bottom="0.59055118110236227" header="0.59055118110236227" footer="0.39370078740157483"/>
  <pageSetup paperSize="9" scale="7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G645"/>
  <sheetViews>
    <sheetView view="pageBreakPreview" zoomScale="85" zoomScaleSheetLayoutView="85" workbookViewId="0">
      <pane ySplit="3" topLeftCell="A4" activePane="bottomLeft" state="frozen"/>
      <selection pane="bottomLeft" sqref="A1:G1"/>
    </sheetView>
  </sheetViews>
  <sheetFormatPr defaultColWidth="10" defaultRowHeight="13.5"/>
  <cols>
    <col min="1" max="1" width="18.375" style="681" bestFit="1" customWidth="1"/>
    <col min="2" max="2" width="27.25" style="682" customWidth="1"/>
    <col min="3" max="3" width="27.5" style="683" customWidth="1"/>
    <col min="4" max="4" width="9.125" style="684" customWidth="1"/>
    <col min="5" max="5" width="63" style="685" customWidth="1"/>
    <col min="6" max="6" width="9.875" style="686" customWidth="1"/>
    <col min="7" max="7" width="22.375" style="687" customWidth="1"/>
    <col min="8" max="8" width="10" style="531" customWidth="1"/>
    <col min="9" max="16384" width="10" style="531"/>
  </cols>
  <sheetData>
    <row r="1" spans="1:7" ht="42.75" customHeight="1">
      <c r="A1" s="1442" t="s">
        <v>4996</v>
      </c>
      <c r="B1" s="1443"/>
      <c r="C1" s="1443"/>
      <c r="D1" s="1443"/>
      <c r="E1" s="1443"/>
      <c r="F1" s="1443"/>
      <c r="G1" s="1443"/>
    </row>
    <row r="2" spans="1:7" s="532" customFormat="1" ht="20.25" customHeight="1">
      <c r="A2" s="1444" t="s">
        <v>4145</v>
      </c>
      <c r="B2" s="1445" t="s">
        <v>4997</v>
      </c>
      <c r="C2" s="1445" t="s">
        <v>4998</v>
      </c>
      <c r="D2" s="1446" t="s">
        <v>3</v>
      </c>
      <c r="E2" s="1447" t="s">
        <v>4999</v>
      </c>
      <c r="F2" s="1446" t="s">
        <v>4</v>
      </c>
      <c r="G2" s="1448" t="s">
        <v>2446</v>
      </c>
    </row>
    <row r="3" spans="1:7" s="533" customFormat="1" ht="21" customHeight="1">
      <c r="A3" s="1444"/>
      <c r="B3" s="1445"/>
      <c r="C3" s="1445"/>
      <c r="D3" s="1446"/>
      <c r="E3" s="1447"/>
      <c r="F3" s="1446"/>
      <c r="G3" s="1448"/>
    </row>
    <row r="4" spans="1:7" s="539" customFormat="1" ht="18.75" customHeight="1">
      <c r="A4" s="534" t="s">
        <v>5000</v>
      </c>
      <c r="B4" s="534"/>
      <c r="C4" s="534"/>
      <c r="D4" s="535"/>
      <c r="E4" s="536"/>
      <c r="F4" s="537"/>
      <c r="G4" s="538"/>
    </row>
    <row r="5" spans="1:7" s="546" customFormat="1" ht="18.75" customHeight="1">
      <c r="A5" s="540"/>
      <c r="B5" s="541"/>
      <c r="C5" s="541"/>
      <c r="D5" s="542"/>
      <c r="E5" s="543"/>
      <c r="F5" s="544"/>
      <c r="G5" s="545"/>
    </row>
    <row r="6" spans="1:7" s="546" customFormat="1" ht="18.75" customHeight="1">
      <c r="A6" s="540"/>
      <c r="B6" s="541"/>
      <c r="C6" s="541"/>
      <c r="D6" s="542"/>
      <c r="E6" s="543"/>
      <c r="F6" s="544"/>
      <c r="G6" s="545"/>
    </row>
    <row r="7" spans="1:7" s="546" customFormat="1" ht="20.25" customHeight="1">
      <c r="A7" s="547" t="s">
        <v>5001</v>
      </c>
      <c r="B7" s="548" t="s">
        <v>5002</v>
      </c>
      <c r="C7" s="549">
        <f>[140]LIST!D6</f>
        <v>4500</v>
      </c>
      <c r="D7" s="550">
        <f t="shared" ref="D7:D12" si="0">C7/1000</f>
        <v>4.5</v>
      </c>
      <c r="E7" s="536"/>
      <c r="F7" s="544"/>
      <c r="G7" s="545"/>
    </row>
    <row r="8" spans="1:7" s="546" customFormat="1" ht="20.25" customHeight="1">
      <c r="A8" s="551" t="s">
        <v>5003</v>
      </c>
      <c r="B8" s="552" t="s">
        <v>5004</v>
      </c>
      <c r="C8" s="553">
        <f>[140]LIST!E6</f>
        <v>1100</v>
      </c>
      <c r="D8" s="554">
        <f t="shared" si="0"/>
        <v>1.1000000000000001</v>
      </c>
      <c r="E8" s="536"/>
      <c r="F8" s="544"/>
      <c r="G8" s="545"/>
    </row>
    <row r="9" spans="1:7" s="546" customFormat="1" ht="20.25" customHeight="1">
      <c r="A9" s="551" t="s">
        <v>5005</v>
      </c>
      <c r="B9" s="552" t="s">
        <v>5006</v>
      </c>
      <c r="C9" s="553">
        <f>[140]LIST!F6</f>
        <v>3600</v>
      </c>
      <c r="D9" s="554">
        <f t="shared" si="0"/>
        <v>3.6</v>
      </c>
      <c r="E9" s="536"/>
      <c r="F9" s="544"/>
      <c r="G9" s="545"/>
    </row>
    <row r="10" spans="1:7" s="546" customFormat="1" ht="20.25" customHeight="1">
      <c r="A10" s="555" t="s">
        <v>5007</v>
      </c>
      <c r="B10" s="552" t="s">
        <v>5008</v>
      </c>
      <c r="C10" s="553">
        <f>[140]LIST!G6</f>
        <v>300</v>
      </c>
      <c r="D10" s="554">
        <f t="shared" si="0"/>
        <v>0.3</v>
      </c>
      <c r="E10" s="536"/>
      <c r="F10" s="544"/>
      <c r="G10" s="545"/>
    </row>
    <row r="11" spans="1:7" s="539" customFormat="1" ht="20.25" customHeight="1">
      <c r="A11" s="555" t="s">
        <v>5009</v>
      </c>
      <c r="B11" s="552" t="s">
        <v>5010</v>
      </c>
      <c r="C11" s="553">
        <f>[140]LIST!H6</f>
        <v>2600</v>
      </c>
      <c r="D11" s="554">
        <f t="shared" si="0"/>
        <v>2.6</v>
      </c>
      <c r="E11" s="556">
        <f>D11+0.22</f>
        <v>2.8200000000000003</v>
      </c>
      <c r="F11" s="544"/>
      <c r="G11" s="545"/>
    </row>
    <row r="12" spans="1:7" s="546" customFormat="1" ht="20.25" customHeight="1">
      <c r="A12" s="557" t="s">
        <v>5011</v>
      </c>
      <c r="B12" s="558" t="s">
        <v>5012</v>
      </c>
      <c r="C12" s="559">
        <f>[140]LIST!I6</f>
        <v>700</v>
      </c>
      <c r="D12" s="560">
        <f t="shared" si="0"/>
        <v>0.7</v>
      </c>
      <c r="E12" s="561"/>
      <c r="F12" s="544"/>
      <c r="G12" s="545"/>
    </row>
    <row r="13" spans="1:7" s="539" customFormat="1" ht="20.25" customHeight="1">
      <c r="A13" s="562" t="str">
        <f>[140]LIST!B6</f>
        <v>SC-101</v>
      </c>
      <c r="B13" s="563" t="str">
        <f>[140]LIST!C6</f>
        <v>벽부형진열장(전동형)</v>
      </c>
      <c r="C13" s="564" t="str">
        <f>A7&amp;": "&amp;C7&amp;" "&amp;A8&amp;": "&amp;C8&amp;" "&amp;A9&amp;": "&amp;C9&amp;" "&amp;A10&amp;": "&amp;C10&amp;" "&amp;A11&amp;": "&amp;C11&amp;" "&amp;A12&amp;": "&amp;C12</f>
        <v>L: 4500 D: 1100 H: 3600 FH: 300 GH: 2600 UH: 700</v>
      </c>
      <c r="D13" s="565" t="s">
        <v>398</v>
      </c>
      <c r="E13" s="566"/>
      <c r="F13" s="567">
        <v>1</v>
      </c>
      <c r="G13" s="568"/>
    </row>
    <row r="14" spans="1:7" s="575" customFormat="1" ht="18.75" customHeight="1">
      <c r="A14" s="569"/>
      <c r="B14" s="570" t="s">
        <v>5013</v>
      </c>
      <c r="C14" s="571"/>
      <c r="D14" s="572"/>
      <c r="E14" s="573"/>
      <c r="F14" s="544"/>
      <c r="G14" s="574"/>
    </row>
    <row r="15" spans="1:7" s="575" customFormat="1" ht="18.75" customHeight="1">
      <c r="A15" s="569"/>
      <c r="B15" s="576" t="s">
        <v>5014</v>
      </c>
      <c r="C15" s="571" t="s">
        <v>5015</v>
      </c>
      <c r="D15" s="572" t="s">
        <v>5016</v>
      </c>
      <c r="E15" s="577" t="s">
        <v>5017</v>
      </c>
      <c r="F15" s="578">
        <v>160.29999999999998</v>
      </c>
      <c r="G15" s="574"/>
    </row>
    <row r="16" spans="1:7" s="575" customFormat="1" ht="18.75" customHeight="1">
      <c r="A16" s="569"/>
      <c r="B16" s="576" t="s">
        <v>5014</v>
      </c>
      <c r="C16" s="571" t="s">
        <v>5018</v>
      </c>
      <c r="D16" s="572" t="s">
        <v>5016</v>
      </c>
      <c r="E16" s="573" t="s">
        <v>5019</v>
      </c>
      <c r="F16" s="544">
        <v>25.2</v>
      </c>
      <c r="G16" s="574"/>
    </row>
    <row r="17" spans="1:7" s="575" customFormat="1" ht="18.75" customHeight="1">
      <c r="A17" s="569"/>
      <c r="B17" s="579" t="s">
        <v>5020</v>
      </c>
      <c r="C17" s="580" t="s">
        <v>5021</v>
      </c>
      <c r="D17" s="572"/>
      <c r="E17" s="573"/>
      <c r="F17" s="544"/>
      <c r="G17" s="574"/>
    </row>
    <row r="18" spans="1:7" s="546" customFormat="1" ht="18.75" customHeight="1">
      <c r="A18" s="532"/>
      <c r="B18" s="581" t="s">
        <v>5022</v>
      </c>
      <c r="C18" s="582" t="s">
        <v>5023</v>
      </c>
      <c r="D18" s="583" t="s">
        <v>5024</v>
      </c>
      <c r="E18" s="584" t="s">
        <v>5025</v>
      </c>
      <c r="F18" s="578">
        <v>1.4175</v>
      </c>
      <c r="G18" s="585" t="s">
        <v>5026</v>
      </c>
    </row>
    <row r="19" spans="1:7" s="575" customFormat="1" ht="18.75" customHeight="1">
      <c r="A19" s="569"/>
      <c r="B19" s="571" t="s">
        <v>5022</v>
      </c>
      <c r="C19" s="586" t="s">
        <v>5023</v>
      </c>
      <c r="D19" s="572" t="s">
        <v>5024</v>
      </c>
      <c r="E19" s="587" t="s">
        <v>5027</v>
      </c>
      <c r="F19" s="588">
        <v>2.214</v>
      </c>
      <c r="G19" s="589" t="s">
        <v>5028</v>
      </c>
    </row>
    <row r="20" spans="1:7" s="575" customFormat="1" ht="18.75" customHeight="1">
      <c r="A20" s="569"/>
      <c r="B20" s="571" t="s">
        <v>5022</v>
      </c>
      <c r="C20" s="586" t="s">
        <v>5023</v>
      </c>
      <c r="D20" s="572" t="s">
        <v>5024</v>
      </c>
      <c r="E20" s="587" t="s">
        <v>5029</v>
      </c>
      <c r="F20" s="588">
        <v>2.9744999999999999</v>
      </c>
      <c r="G20" s="589" t="s">
        <v>5030</v>
      </c>
    </row>
    <row r="21" spans="1:7" s="575" customFormat="1" ht="18.75" customHeight="1">
      <c r="A21" s="569"/>
      <c r="B21" s="571" t="s">
        <v>5022</v>
      </c>
      <c r="C21" s="586" t="s">
        <v>5023</v>
      </c>
      <c r="D21" s="572" t="s">
        <v>5024</v>
      </c>
      <c r="E21" s="587" t="s">
        <v>5031</v>
      </c>
      <c r="F21" s="588">
        <v>0.92249999999999999</v>
      </c>
      <c r="G21" s="589" t="s">
        <v>5032</v>
      </c>
    </row>
    <row r="22" spans="1:7" s="546" customFormat="1" ht="18.75" customHeight="1">
      <c r="A22" s="532"/>
      <c r="B22" s="581" t="s">
        <v>5022</v>
      </c>
      <c r="C22" s="582" t="s">
        <v>5023</v>
      </c>
      <c r="D22" s="583" t="s">
        <v>5024</v>
      </c>
      <c r="E22" s="584" t="s">
        <v>5033</v>
      </c>
      <c r="F22" s="588">
        <v>4.08</v>
      </c>
      <c r="G22" s="585" t="s">
        <v>5034</v>
      </c>
    </row>
    <row r="23" spans="1:7" s="575" customFormat="1" ht="18.75" customHeight="1">
      <c r="A23" s="569"/>
      <c r="B23" s="571" t="s">
        <v>5022</v>
      </c>
      <c r="C23" s="586" t="s">
        <v>5023</v>
      </c>
      <c r="D23" s="572" t="s">
        <v>5024</v>
      </c>
      <c r="E23" s="587" t="s">
        <v>5035</v>
      </c>
      <c r="F23" s="583">
        <v>3.8640000000000008</v>
      </c>
      <c r="G23" s="589" t="s">
        <v>5036</v>
      </c>
    </row>
    <row r="24" spans="1:7" s="575" customFormat="1" ht="18.75" customHeight="1">
      <c r="A24" s="569"/>
      <c r="B24" s="571" t="s">
        <v>5022</v>
      </c>
      <c r="C24" s="586" t="s">
        <v>5023</v>
      </c>
      <c r="D24" s="572" t="s">
        <v>5024</v>
      </c>
      <c r="E24" s="587" t="s">
        <v>5037</v>
      </c>
      <c r="F24" s="590">
        <v>1.1440000000000001</v>
      </c>
      <c r="G24" s="589" t="s">
        <v>5038</v>
      </c>
    </row>
    <row r="25" spans="1:7" s="575" customFormat="1" ht="18.75" customHeight="1">
      <c r="A25" s="569"/>
      <c r="B25" s="571" t="s">
        <v>5022</v>
      </c>
      <c r="C25" s="586" t="s">
        <v>5023</v>
      </c>
      <c r="D25" s="572" t="s">
        <v>5024</v>
      </c>
      <c r="E25" s="587" t="s">
        <v>5039</v>
      </c>
      <c r="F25" s="591">
        <v>2.1743999999999999</v>
      </c>
      <c r="G25" s="589" t="s">
        <v>5040</v>
      </c>
    </row>
    <row r="26" spans="1:7" s="575" customFormat="1" ht="18.75" customHeight="1">
      <c r="A26" s="569"/>
      <c r="B26" s="571" t="s">
        <v>5041</v>
      </c>
      <c r="C26" s="586" t="s">
        <v>5042</v>
      </c>
      <c r="D26" s="572" t="s">
        <v>59</v>
      </c>
      <c r="E26" s="587" t="s">
        <v>5043</v>
      </c>
      <c r="F26" s="590">
        <v>3.15</v>
      </c>
      <c r="G26" s="589" t="s">
        <v>5044</v>
      </c>
    </row>
    <row r="27" spans="1:7" s="575" customFormat="1" ht="18.75" customHeight="1">
      <c r="A27" s="569"/>
      <c r="B27" s="579" t="s">
        <v>5020</v>
      </c>
      <c r="C27" s="580" t="s">
        <v>5045</v>
      </c>
      <c r="D27" s="572"/>
      <c r="E27" s="587"/>
      <c r="F27" s="578"/>
      <c r="G27" s="589"/>
    </row>
    <row r="28" spans="1:7" s="575" customFormat="1" ht="18.75" customHeight="1">
      <c r="A28" s="569"/>
      <c r="B28" s="571" t="s">
        <v>5022</v>
      </c>
      <c r="C28" s="586" t="s">
        <v>5046</v>
      </c>
      <c r="D28" s="572" t="s">
        <v>5024</v>
      </c>
      <c r="E28" s="587" t="s">
        <v>5047</v>
      </c>
      <c r="F28" s="590">
        <v>2.0385</v>
      </c>
      <c r="G28" s="589" t="s">
        <v>5048</v>
      </c>
    </row>
    <row r="29" spans="1:7" s="575" customFormat="1" ht="18.75" customHeight="1">
      <c r="A29" s="569"/>
      <c r="B29" s="571" t="s">
        <v>5022</v>
      </c>
      <c r="C29" s="586" t="s">
        <v>5023</v>
      </c>
      <c r="D29" s="572" t="s">
        <v>5024</v>
      </c>
      <c r="E29" s="587" t="s">
        <v>5049</v>
      </c>
      <c r="F29" s="591">
        <v>0.78299999999999992</v>
      </c>
      <c r="G29" s="589" t="s">
        <v>5050</v>
      </c>
    </row>
    <row r="30" spans="1:7" s="575" customFormat="1" ht="18.75" customHeight="1">
      <c r="A30" s="569"/>
      <c r="B30" s="571" t="s">
        <v>5022</v>
      </c>
      <c r="C30" s="586" t="s">
        <v>5023</v>
      </c>
      <c r="D30" s="572" t="s">
        <v>5024</v>
      </c>
      <c r="E30" s="587" t="s">
        <v>5051</v>
      </c>
      <c r="F30" s="591">
        <v>0.59850000000000003</v>
      </c>
      <c r="G30" s="589" t="s">
        <v>5052</v>
      </c>
    </row>
    <row r="31" spans="1:7" s="575" customFormat="1" ht="18.75" customHeight="1">
      <c r="A31" s="592"/>
      <c r="B31" s="579" t="s">
        <v>5053</v>
      </c>
      <c r="C31" s="580"/>
      <c r="D31" s="572"/>
      <c r="E31" s="574"/>
      <c r="F31" s="544"/>
      <c r="G31" s="589"/>
    </row>
    <row r="32" spans="1:7" s="575" customFormat="1" ht="18.75" customHeight="1">
      <c r="A32" s="569"/>
      <c r="B32" s="576" t="s">
        <v>5054</v>
      </c>
      <c r="C32" s="571"/>
      <c r="D32" s="572" t="s">
        <v>5016</v>
      </c>
      <c r="E32" s="593" t="s">
        <v>5055</v>
      </c>
      <c r="F32" s="588">
        <v>9</v>
      </c>
      <c r="G32" s="594"/>
    </row>
    <row r="33" spans="1:7" s="575" customFormat="1" ht="18.75" customHeight="1">
      <c r="A33" s="595"/>
      <c r="B33" s="596" t="s">
        <v>5056</v>
      </c>
      <c r="C33" s="596" t="s">
        <v>5057</v>
      </c>
      <c r="D33" s="597" t="s">
        <v>5058</v>
      </c>
      <c r="E33" s="598">
        <v>3</v>
      </c>
      <c r="F33" s="599">
        <v>3</v>
      </c>
      <c r="G33" s="600"/>
    </row>
    <row r="34" spans="1:7" s="575" customFormat="1" ht="18.75" customHeight="1">
      <c r="A34" s="569"/>
      <c r="B34" s="571" t="s">
        <v>5059</v>
      </c>
      <c r="C34" s="571"/>
      <c r="D34" s="572" t="s">
        <v>5016</v>
      </c>
      <c r="E34" s="593" t="s">
        <v>5060</v>
      </c>
      <c r="F34" s="588">
        <v>9</v>
      </c>
      <c r="G34" s="594"/>
    </row>
    <row r="35" spans="1:7" s="575" customFormat="1" ht="18.75" customHeight="1">
      <c r="A35" s="569"/>
      <c r="B35" s="589" t="s">
        <v>5061</v>
      </c>
      <c r="C35" s="586" t="s">
        <v>5062</v>
      </c>
      <c r="D35" s="572" t="s">
        <v>5016</v>
      </c>
      <c r="E35" s="593" t="s">
        <v>5063</v>
      </c>
      <c r="F35" s="588">
        <v>14.2</v>
      </c>
      <c r="G35" s="594"/>
    </row>
    <row r="36" spans="1:7" s="575" customFormat="1" ht="18.75" customHeight="1">
      <c r="A36" s="569"/>
      <c r="B36" s="576" t="s">
        <v>5064</v>
      </c>
      <c r="C36" s="571" t="s">
        <v>5065</v>
      </c>
      <c r="D36" s="572" t="s">
        <v>5016</v>
      </c>
      <c r="E36" s="593" t="s">
        <v>5001</v>
      </c>
      <c r="F36" s="544">
        <v>4.5</v>
      </c>
      <c r="G36" s="594"/>
    </row>
    <row r="37" spans="1:7" s="575" customFormat="1" ht="18.75" customHeight="1">
      <c r="A37" s="569"/>
      <c r="B37" s="576" t="s">
        <v>5064</v>
      </c>
      <c r="C37" s="571" t="s">
        <v>5066</v>
      </c>
      <c r="D37" s="572" t="s">
        <v>5016</v>
      </c>
      <c r="E37" s="593" t="s">
        <v>5001</v>
      </c>
      <c r="F37" s="544">
        <v>4.5</v>
      </c>
      <c r="G37" s="594"/>
    </row>
    <row r="38" spans="1:7" s="575" customFormat="1" ht="18.75" customHeight="1">
      <c r="A38" s="595"/>
      <c r="B38" s="601" t="s">
        <v>5067</v>
      </c>
      <c r="C38" s="602" t="s">
        <v>5068</v>
      </c>
      <c r="D38" s="603" t="s">
        <v>5069</v>
      </c>
      <c r="E38" s="598">
        <v>12</v>
      </c>
      <c r="F38" s="599">
        <v>12</v>
      </c>
      <c r="G38" s="600"/>
    </row>
    <row r="39" spans="1:7" s="575" customFormat="1" ht="18.75" customHeight="1">
      <c r="A39" s="595"/>
      <c r="B39" s="604" t="s">
        <v>5070</v>
      </c>
      <c r="C39" s="605" t="s">
        <v>5071</v>
      </c>
      <c r="D39" s="606" t="s">
        <v>5069</v>
      </c>
      <c r="E39" s="598">
        <v>24</v>
      </c>
      <c r="F39" s="599">
        <v>24</v>
      </c>
      <c r="G39" s="600"/>
    </row>
    <row r="40" spans="1:7" s="575" customFormat="1" ht="18.75" customHeight="1">
      <c r="A40" s="569"/>
      <c r="B40" s="571" t="s">
        <v>5072</v>
      </c>
      <c r="C40" s="586" t="s">
        <v>5073</v>
      </c>
      <c r="D40" s="572" t="s">
        <v>5016</v>
      </c>
      <c r="E40" s="593" t="s">
        <v>5055</v>
      </c>
      <c r="F40" s="588">
        <v>9</v>
      </c>
      <c r="G40" s="594"/>
    </row>
    <row r="41" spans="1:7" s="575" customFormat="1" ht="18.75" customHeight="1">
      <c r="A41" s="569"/>
      <c r="B41" s="576" t="s">
        <v>5074</v>
      </c>
      <c r="C41" s="586" t="s">
        <v>5075</v>
      </c>
      <c r="D41" s="572" t="s">
        <v>5076</v>
      </c>
      <c r="E41" s="593" t="s">
        <v>5077</v>
      </c>
      <c r="F41" s="588">
        <v>116</v>
      </c>
      <c r="G41" s="594"/>
    </row>
    <row r="42" spans="1:7" s="575" customFormat="1" ht="18.75" customHeight="1">
      <c r="A42" s="569"/>
      <c r="B42" s="576" t="s">
        <v>5078</v>
      </c>
      <c r="C42" s="586" t="s">
        <v>5079</v>
      </c>
      <c r="D42" s="572" t="s">
        <v>5076</v>
      </c>
      <c r="E42" s="593" t="str">
        <f>E41</f>
        <v>(L*13)*2</v>
      </c>
      <c r="F42" s="588">
        <v>116</v>
      </c>
      <c r="G42" s="594"/>
    </row>
    <row r="43" spans="1:7" s="575" customFormat="1" ht="18.75" customHeight="1">
      <c r="A43" s="595"/>
      <c r="B43" s="602" t="s">
        <v>5080</v>
      </c>
      <c r="C43" s="605" t="s">
        <v>5081</v>
      </c>
      <c r="D43" s="606" t="s">
        <v>5069</v>
      </c>
      <c r="E43" s="598">
        <v>4</v>
      </c>
      <c r="F43" s="599">
        <v>4</v>
      </c>
      <c r="G43" s="600"/>
    </row>
    <row r="44" spans="1:7" s="575" customFormat="1" ht="18.75" customHeight="1">
      <c r="A44" s="595"/>
      <c r="B44" s="601" t="s">
        <v>5082</v>
      </c>
      <c r="C44" s="605" t="s">
        <v>5083</v>
      </c>
      <c r="D44" s="606" t="s">
        <v>5069</v>
      </c>
      <c r="E44" s="598">
        <v>2</v>
      </c>
      <c r="F44" s="599">
        <v>2</v>
      </c>
      <c r="G44" s="600"/>
    </row>
    <row r="45" spans="1:7" s="575" customFormat="1" ht="18.75" customHeight="1">
      <c r="A45" s="595"/>
      <c r="B45" s="596" t="s">
        <v>5084</v>
      </c>
      <c r="C45" s="605" t="s">
        <v>5085</v>
      </c>
      <c r="D45" s="606" t="s">
        <v>5069</v>
      </c>
      <c r="E45" s="607">
        <v>2</v>
      </c>
      <c r="F45" s="599">
        <v>2</v>
      </c>
      <c r="G45" s="600"/>
    </row>
    <row r="46" spans="1:7" s="575" customFormat="1" ht="18.75" customHeight="1">
      <c r="A46" s="569"/>
      <c r="B46" s="579" t="s">
        <v>5086</v>
      </c>
      <c r="C46" s="580"/>
      <c r="D46" s="572"/>
      <c r="E46" s="587"/>
      <c r="F46" s="544"/>
      <c r="G46" s="594"/>
    </row>
    <row r="47" spans="1:7" s="546" customFormat="1" ht="18.75" customHeight="1">
      <c r="A47" s="532"/>
      <c r="B47" s="608" t="s">
        <v>5087</v>
      </c>
      <c r="C47" s="581" t="s">
        <v>5088</v>
      </c>
      <c r="D47" s="583" t="s">
        <v>5024</v>
      </c>
      <c r="E47" s="584" t="s">
        <v>5089</v>
      </c>
      <c r="F47" s="591">
        <v>31.769999999999996</v>
      </c>
      <c r="G47" s="545"/>
    </row>
    <row r="48" spans="1:7" s="546" customFormat="1" ht="18.75" customHeight="1">
      <c r="A48" s="532"/>
      <c r="B48" s="585" t="s">
        <v>5090</v>
      </c>
      <c r="C48" s="582" t="s">
        <v>5091</v>
      </c>
      <c r="D48" s="583" t="s">
        <v>5024</v>
      </c>
      <c r="E48" s="584" t="s">
        <v>5089</v>
      </c>
      <c r="F48" s="591">
        <v>31.769999999999996</v>
      </c>
      <c r="G48" s="545"/>
    </row>
    <row r="49" spans="1:7" s="546" customFormat="1" ht="18.75" customHeight="1">
      <c r="A49" s="532"/>
      <c r="B49" s="581" t="s">
        <v>5092</v>
      </c>
      <c r="C49" s="582" t="s">
        <v>5093</v>
      </c>
      <c r="D49" s="583" t="s">
        <v>59</v>
      </c>
      <c r="E49" s="584" t="s">
        <v>5094</v>
      </c>
      <c r="F49" s="590">
        <v>4.95</v>
      </c>
      <c r="G49" s="545"/>
    </row>
    <row r="50" spans="1:7" s="546" customFormat="1" ht="18.75" customHeight="1">
      <c r="A50" s="532"/>
      <c r="B50" s="581" t="s">
        <v>5092</v>
      </c>
      <c r="C50" s="582" t="s">
        <v>5095</v>
      </c>
      <c r="D50" s="583" t="s">
        <v>59</v>
      </c>
      <c r="E50" s="584" t="s">
        <v>5096</v>
      </c>
      <c r="F50" s="591">
        <v>32.4</v>
      </c>
      <c r="G50" s="545"/>
    </row>
    <row r="51" spans="1:7" s="546" customFormat="1" ht="18.75" customHeight="1">
      <c r="A51" s="532"/>
      <c r="B51" s="585" t="s">
        <v>5097</v>
      </c>
      <c r="C51" s="582" t="s">
        <v>5098</v>
      </c>
      <c r="D51" s="583" t="s">
        <v>5024</v>
      </c>
      <c r="E51" s="584" t="s">
        <v>5099</v>
      </c>
      <c r="F51" s="591">
        <v>2.6999999999999997</v>
      </c>
      <c r="G51" s="545"/>
    </row>
    <row r="52" spans="1:7" s="609" customFormat="1" ht="18.75" customHeight="1">
      <c r="A52" s="595"/>
      <c r="B52" s="596" t="s">
        <v>5100</v>
      </c>
      <c r="C52" s="596" t="s">
        <v>5101</v>
      </c>
      <c r="D52" s="606" t="s">
        <v>59</v>
      </c>
      <c r="E52" s="602" t="s">
        <v>5102</v>
      </c>
      <c r="F52" s="599">
        <v>25.360900000000001</v>
      </c>
      <c r="G52" s="600"/>
    </row>
    <row r="53" spans="1:7" s="609" customFormat="1" ht="18.75" customHeight="1">
      <c r="A53" s="595"/>
      <c r="B53" s="602" t="s">
        <v>5090</v>
      </c>
      <c r="C53" s="596" t="s">
        <v>5101</v>
      </c>
      <c r="D53" s="606" t="s">
        <v>5024</v>
      </c>
      <c r="E53" s="610" t="str">
        <f>E52</f>
        <v>3.624*L+0.16*((L*2)+(D*10))+((0.246*(H-0.5))*2+0.3*(D+D)+L*UH+0.18*(D+D+L)</v>
      </c>
      <c r="F53" s="599">
        <v>25.360900000000001</v>
      </c>
      <c r="G53" s="600"/>
    </row>
    <row r="54" spans="1:7" s="575" customFormat="1" ht="18.75" customHeight="1">
      <c r="A54" s="569"/>
      <c r="B54" s="579" t="s">
        <v>5103</v>
      </c>
      <c r="C54" s="580"/>
      <c r="D54" s="572"/>
      <c r="E54" s="587"/>
      <c r="F54" s="544"/>
      <c r="G54" s="594"/>
    </row>
    <row r="55" spans="1:7" s="575" customFormat="1" ht="18.75" customHeight="1">
      <c r="A55" s="569"/>
      <c r="B55" s="576" t="s">
        <v>5104</v>
      </c>
      <c r="C55" s="611" t="s">
        <v>5105</v>
      </c>
      <c r="D55" s="572" t="s">
        <v>59</v>
      </c>
      <c r="E55" s="587" t="s">
        <v>5106</v>
      </c>
      <c r="F55" s="591">
        <v>12.690000000000001</v>
      </c>
      <c r="G55" s="594"/>
    </row>
    <row r="56" spans="1:7" s="575" customFormat="1" ht="18.75" customHeight="1">
      <c r="A56" s="569"/>
      <c r="B56" s="576" t="s">
        <v>5107</v>
      </c>
      <c r="C56" s="571" t="s">
        <v>5108</v>
      </c>
      <c r="D56" s="572" t="s">
        <v>5109</v>
      </c>
      <c r="E56" s="587" t="s">
        <v>5110</v>
      </c>
      <c r="F56" s="591">
        <v>0.67499999999999993</v>
      </c>
      <c r="G56" s="594"/>
    </row>
    <row r="57" spans="1:7" s="575" customFormat="1" ht="18.75" customHeight="1">
      <c r="A57" s="569"/>
      <c r="B57" s="589" t="s">
        <v>5111</v>
      </c>
      <c r="C57" s="586"/>
      <c r="D57" s="572" t="s">
        <v>5016</v>
      </c>
      <c r="E57" s="587" t="s">
        <v>5112</v>
      </c>
      <c r="F57" s="591">
        <v>43.92</v>
      </c>
      <c r="G57" s="594"/>
    </row>
    <row r="58" spans="1:7" s="575" customFormat="1" ht="18.75" customHeight="1">
      <c r="A58" s="569"/>
      <c r="B58" s="589" t="s">
        <v>5113</v>
      </c>
      <c r="C58" s="586"/>
      <c r="D58" s="572" t="s">
        <v>5016</v>
      </c>
      <c r="E58" s="587" t="s">
        <v>5114</v>
      </c>
      <c r="F58" s="591">
        <v>40.56</v>
      </c>
      <c r="G58" s="594"/>
    </row>
    <row r="59" spans="1:7" s="575" customFormat="1" ht="18.75" customHeight="1">
      <c r="A59" s="569"/>
      <c r="B59" s="579" t="s">
        <v>5115</v>
      </c>
      <c r="C59" s="580"/>
      <c r="D59" s="572"/>
      <c r="E59" s="587"/>
      <c r="F59" s="544"/>
      <c r="G59" s="594"/>
    </row>
    <row r="60" spans="1:7" s="575" customFormat="1" ht="18.75" customHeight="1">
      <c r="A60" s="569"/>
      <c r="B60" s="612" t="s">
        <v>5116</v>
      </c>
      <c r="C60" s="589" t="s">
        <v>5117</v>
      </c>
      <c r="D60" s="572" t="s">
        <v>5118</v>
      </c>
      <c r="E60" s="613" t="s">
        <v>5119</v>
      </c>
      <c r="F60" s="544">
        <v>12</v>
      </c>
      <c r="G60" s="594"/>
    </row>
    <row r="61" spans="1:7" s="575" customFormat="1" ht="18.75" customHeight="1">
      <c r="A61" s="569"/>
      <c r="B61" s="571" t="s">
        <v>5120</v>
      </c>
      <c r="C61" s="571" t="s">
        <v>5121</v>
      </c>
      <c r="D61" s="572" t="s">
        <v>5016</v>
      </c>
      <c r="E61" s="613" t="s">
        <v>5060</v>
      </c>
      <c r="F61" s="544">
        <v>9</v>
      </c>
      <c r="G61" s="594"/>
    </row>
    <row r="62" spans="1:7" s="575" customFormat="1" ht="18.75" customHeight="1">
      <c r="A62" s="595"/>
      <c r="B62" s="596" t="s">
        <v>5122</v>
      </c>
      <c r="C62" s="596" t="s">
        <v>5123</v>
      </c>
      <c r="D62" s="606" t="s">
        <v>5058</v>
      </c>
      <c r="E62" s="614">
        <v>1</v>
      </c>
      <c r="F62" s="599">
        <v>1</v>
      </c>
      <c r="G62" s="600"/>
    </row>
    <row r="63" spans="1:7" s="575" customFormat="1" ht="18.75" customHeight="1">
      <c r="A63" s="595"/>
      <c r="B63" s="596" t="s">
        <v>5124</v>
      </c>
      <c r="C63" s="596" t="s">
        <v>5125</v>
      </c>
      <c r="D63" s="606" t="s">
        <v>5058</v>
      </c>
      <c r="E63" s="614">
        <v>1</v>
      </c>
      <c r="F63" s="599">
        <v>1</v>
      </c>
      <c r="G63" s="600"/>
    </row>
    <row r="64" spans="1:7" s="546" customFormat="1" ht="18.75" customHeight="1">
      <c r="A64" s="540"/>
      <c r="B64" s="541"/>
      <c r="C64" s="541"/>
      <c r="D64" s="542"/>
      <c r="E64" s="543"/>
      <c r="F64" s="544"/>
      <c r="G64" s="545"/>
    </row>
    <row r="65" spans="1:7" s="546" customFormat="1" ht="18.75" customHeight="1">
      <c r="A65" s="540"/>
      <c r="B65" s="541"/>
      <c r="C65" s="541"/>
      <c r="D65" s="542"/>
      <c r="E65" s="543"/>
      <c r="F65" s="544"/>
      <c r="G65" s="545"/>
    </row>
    <row r="66" spans="1:7" s="546" customFormat="1" ht="20.25" customHeight="1">
      <c r="A66" s="547" t="s">
        <v>5001</v>
      </c>
      <c r="B66" s="548" t="s">
        <v>5002</v>
      </c>
      <c r="C66" s="549">
        <f>[140]LIST!D7</f>
        <v>5000</v>
      </c>
      <c r="D66" s="550">
        <f t="shared" ref="D66:D71" si="1">C66/1000</f>
        <v>5</v>
      </c>
      <c r="E66" s="536"/>
      <c r="F66" s="544"/>
      <c r="G66" s="545"/>
    </row>
    <row r="67" spans="1:7" s="546" customFormat="1" ht="20.25" customHeight="1">
      <c r="A67" s="551" t="s">
        <v>5003</v>
      </c>
      <c r="B67" s="552" t="s">
        <v>5004</v>
      </c>
      <c r="C67" s="553">
        <f>[140]LIST!E7</f>
        <v>1300</v>
      </c>
      <c r="D67" s="554">
        <f t="shared" si="1"/>
        <v>1.3</v>
      </c>
      <c r="E67" s="536"/>
      <c r="F67" s="544"/>
      <c r="G67" s="545"/>
    </row>
    <row r="68" spans="1:7" s="546" customFormat="1" ht="20.25" customHeight="1">
      <c r="A68" s="551" t="s">
        <v>5005</v>
      </c>
      <c r="B68" s="552" t="s">
        <v>5006</v>
      </c>
      <c r="C68" s="553">
        <f>[140]LIST!F7</f>
        <v>3600</v>
      </c>
      <c r="D68" s="554">
        <f t="shared" si="1"/>
        <v>3.6</v>
      </c>
      <c r="E68" s="536"/>
      <c r="F68" s="544"/>
      <c r="G68" s="545"/>
    </row>
    <row r="69" spans="1:7" s="546" customFormat="1" ht="20.25" customHeight="1">
      <c r="A69" s="555" t="s">
        <v>5007</v>
      </c>
      <c r="B69" s="552" t="s">
        <v>5008</v>
      </c>
      <c r="C69" s="553">
        <f>[140]LIST!G7</f>
        <v>300</v>
      </c>
      <c r="D69" s="554">
        <f t="shared" si="1"/>
        <v>0.3</v>
      </c>
      <c r="E69" s="536"/>
      <c r="F69" s="544"/>
      <c r="G69" s="545"/>
    </row>
    <row r="70" spans="1:7" s="539" customFormat="1" ht="20.25" customHeight="1">
      <c r="A70" s="555" t="s">
        <v>5009</v>
      </c>
      <c r="B70" s="552" t="s">
        <v>5010</v>
      </c>
      <c r="C70" s="553">
        <f>[140]LIST!H7</f>
        <v>2600</v>
      </c>
      <c r="D70" s="554">
        <f t="shared" si="1"/>
        <v>2.6</v>
      </c>
      <c r="E70" s="556">
        <f>D70+0.22</f>
        <v>2.8200000000000003</v>
      </c>
      <c r="F70" s="544"/>
      <c r="G70" s="545"/>
    </row>
    <row r="71" spans="1:7" s="546" customFormat="1" ht="20.25" customHeight="1">
      <c r="A71" s="557" t="s">
        <v>5011</v>
      </c>
      <c r="B71" s="558" t="s">
        <v>5012</v>
      </c>
      <c r="C71" s="559">
        <f>[140]LIST!I7</f>
        <v>700</v>
      </c>
      <c r="D71" s="560">
        <f t="shared" si="1"/>
        <v>0.7</v>
      </c>
      <c r="E71" s="561"/>
      <c r="F71" s="544"/>
      <c r="G71" s="545"/>
    </row>
    <row r="72" spans="1:7" s="539" customFormat="1" ht="20.25" customHeight="1">
      <c r="A72" s="562" t="str">
        <f>[140]LIST!B7</f>
        <v>SC-102</v>
      </c>
      <c r="B72" s="563" t="str">
        <f>[140]LIST!C7</f>
        <v>벽부형진열장(전동형)</v>
      </c>
      <c r="C72" s="564" t="str">
        <f>A66&amp;": "&amp;C66&amp;" "&amp;A67&amp;": "&amp;C67&amp;" "&amp;A68&amp;": "&amp;C68&amp;" "&amp;A69&amp;": "&amp;C69&amp;" "&amp;A70&amp;": "&amp;C70&amp;" "&amp;A71&amp;": "&amp;C71</f>
        <v>L: 5000 D: 1300 H: 3600 FH: 300 GH: 2600 UH: 700</v>
      </c>
      <c r="D72" s="565" t="s">
        <v>398</v>
      </c>
      <c r="E72" s="566"/>
      <c r="F72" s="567">
        <v>2</v>
      </c>
      <c r="G72" s="568"/>
    </row>
    <row r="73" spans="1:7" s="575" customFormat="1" ht="18.75" customHeight="1">
      <c r="A73" s="615"/>
      <c r="B73" s="570" t="s">
        <v>5013</v>
      </c>
      <c r="C73" s="571"/>
      <c r="D73" s="572"/>
      <c r="E73" s="573"/>
      <c r="F73" s="544"/>
      <c r="G73" s="574"/>
    </row>
    <row r="74" spans="1:7" s="575" customFormat="1" ht="18.75" customHeight="1">
      <c r="A74" s="569"/>
      <c r="B74" s="576" t="s">
        <v>5014</v>
      </c>
      <c r="C74" s="571" t="s">
        <v>5015</v>
      </c>
      <c r="D74" s="572" t="s">
        <v>5016</v>
      </c>
      <c r="E74" s="577" t="s">
        <v>5017</v>
      </c>
      <c r="F74" s="578">
        <v>175.5</v>
      </c>
      <c r="G74" s="574"/>
    </row>
    <row r="75" spans="1:7" s="575" customFormat="1" ht="18.75" customHeight="1">
      <c r="A75" s="569"/>
      <c r="B75" s="576" t="s">
        <v>5014</v>
      </c>
      <c r="C75" s="571" t="s">
        <v>5018</v>
      </c>
      <c r="D75" s="572" t="s">
        <v>5016</v>
      </c>
      <c r="E75" s="573" t="s">
        <v>5019</v>
      </c>
      <c r="F75" s="544">
        <v>27.2</v>
      </c>
      <c r="G75" s="574"/>
    </row>
    <row r="76" spans="1:7" s="575" customFormat="1" ht="18.75" customHeight="1">
      <c r="A76" s="569"/>
      <c r="B76" s="579" t="s">
        <v>5020</v>
      </c>
      <c r="C76" s="580" t="s">
        <v>5021</v>
      </c>
      <c r="D76" s="572"/>
      <c r="E76" s="573"/>
      <c r="F76" s="544"/>
      <c r="G76" s="574"/>
    </row>
    <row r="77" spans="1:7" s="546" customFormat="1" ht="18.75" customHeight="1">
      <c r="A77" s="532"/>
      <c r="B77" s="581" t="s">
        <v>5022</v>
      </c>
      <c r="C77" s="582" t="s">
        <v>5023</v>
      </c>
      <c r="D77" s="583" t="s">
        <v>5024</v>
      </c>
      <c r="E77" s="584" t="s">
        <v>5025</v>
      </c>
      <c r="F77" s="578">
        <v>1.575</v>
      </c>
      <c r="G77" s="585" t="s">
        <v>5026</v>
      </c>
    </row>
    <row r="78" spans="1:7" s="575" customFormat="1" ht="18.75" customHeight="1">
      <c r="A78" s="569"/>
      <c r="B78" s="571" t="s">
        <v>5022</v>
      </c>
      <c r="C78" s="586" t="s">
        <v>5023</v>
      </c>
      <c r="D78" s="572" t="s">
        <v>5024</v>
      </c>
      <c r="E78" s="587" t="s">
        <v>5027</v>
      </c>
      <c r="F78" s="588">
        <v>2.46</v>
      </c>
      <c r="G78" s="589" t="s">
        <v>5028</v>
      </c>
    </row>
    <row r="79" spans="1:7" s="575" customFormat="1" ht="18.75" customHeight="1">
      <c r="A79" s="569"/>
      <c r="B79" s="571" t="s">
        <v>5022</v>
      </c>
      <c r="C79" s="586" t="s">
        <v>5023</v>
      </c>
      <c r="D79" s="572" t="s">
        <v>5024</v>
      </c>
      <c r="E79" s="587" t="s">
        <v>5029</v>
      </c>
      <c r="F79" s="588">
        <v>3.3050000000000002</v>
      </c>
      <c r="G79" s="589" t="s">
        <v>5030</v>
      </c>
    </row>
    <row r="80" spans="1:7" s="575" customFormat="1" ht="18.75" customHeight="1">
      <c r="A80" s="569"/>
      <c r="B80" s="571" t="s">
        <v>5022</v>
      </c>
      <c r="C80" s="586" t="s">
        <v>5023</v>
      </c>
      <c r="D80" s="572" t="s">
        <v>5024</v>
      </c>
      <c r="E80" s="587" t="s">
        <v>5031</v>
      </c>
      <c r="F80" s="588">
        <v>1.0249999999999999</v>
      </c>
      <c r="G80" s="589" t="s">
        <v>5032</v>
      </c>
    </row>
    <row r="81" spans="1:7" s="546" customFormat="1" ht="18.75" customHeight="1">
      <c r="A81" s="532"/>
      <c r="B81" s="581" t="s">
        <v>5022</v>
      </c>
      <c r="C81" s="582" t="s">
        <v>5023</v>
      </c>
      <c r="D81" s="583" t="s">
        <v>5024</v>
      </c>
      <c r="E81" s="584" t="s">
        <v>5033</v>
      </c>
      <c r="F81" s="588">
        <v>4.72</v>
      </c>
      <c r="G81" s="585" t="s">
        <v>5034</v>
      </c>
    </row>
    <row r="82" spans="1:7" s="575" customFormat="1" ht="18.75" customHeight="1">
      <c r="A82" s="569"/>
      <c r="B82" s="571" t="s">
        <v>5022</v>
      </c>
      <c r="C82" s="586" t="s">
        <v>5023</v>
      </c>
      <c r="D82" s="572" t="s">
        <v>5024</v>
      </c>
      <c r="E82" s="587" t="s">
        <v>5035</v>
      </c>
      <c r="F82" s="583">
        <v>4.2000000000000011</v>
      </c>
      <c r="G82" s="589" t="s">
        <v>5036</v>
      </c>
    </row>
    <row r="83" spans="1:7" s="575" customFormat="1" ht="18.75" customHeight="1">
      <c r="A83" s="569"/>
      <c r="B83" s="571" t="s">
        <v>5022</v>
      </c>
      <c r="C83" s="586" t="s">
        <v>5023</v>
      </c>
      <c r="D83" s="572" t="s">
        <v>5024</v>
      </c>
      <c r="E83" s="587" t="s">
        <v>5037</v>
      </c>
      <c r="F83" s="590">
        <v>1.3520000000000001</v>
      </c>
      <c r="G83" s="589" t="s">
        <v>5038</v>
      </c>
    </row>
    <row r="84" spans="1:7" s="575" customFormat="1" ht="18.75" customHeight="1">
      <c r="A84" s="569"/>
      <c r="B84" s="571" t="s">
        <v>5022</v>
      </c>
      <c r="C84" s="586" t="s">
        <v>5023</v>
      </c>
      <c r="D84" s="572" t="s">
        <v>5024</v>
      </c>
      <c r="E84" s="587" t="s">
        <v>5039</v>
      </c>
      <c r="F84" s="591">
        <v>2.1743999999999999</v>
      </c>
      <c r="G84" s="589" t="s">
        <v>5040</v>
      </c>
    </row>
    <row r="85" spans="1:7" s="575" customFormat="1" ht="18.75" customHeight="1">
      <c r="A85" s="569"/>
      <c r="B85" s="571" t="s">
        <v>5041</v>
      </c>
      <c r="C85" s="586" t="s">
        <v>5042</v>
      </c>
      <c r="D85" s="572" t="s">
        <v>59</v>
      </c>
      <c r="E85" s="587" t="s">
        <v>5043</v>
      </c>
      <c r="F85" s="590">
        <v>3.5</v>
      </c>
      <c r="G85" s="589" t="s">
        <v>5044</v>
      </c>
    </row>
    <row r="86" spans="1:7" s="575" customFormat="1" ht="18.75" customHeight="1">
      <c r="A86" s="569"/>
      <c r="B86" s="579" t="s">
        <v>5020</v>
      </c>
      <c r="C86" s="580" t="s">
        <v>5045</v>
      </c>
      <c r="D86" s="572"/>
      <c r="E86" s="587"/>
      <c r="F86" s="578"/>
      <c r="G86" s="589"/>
    </row>
    <row r="87" spans="1:7" s="575" customFormat="1" ht="18.75" customHeight="1">
      <c r="A87" s="569"/>
      <c r="B87" s="571" t="s">
        <v>5022</v>
      </c>
      <c r="C87" s="586" t="s">
        <v>5046</v>
      </c>
      <c r="D87" s="572" t="s">
        <v>5024</v>
      </c>
      <c r="E87" s="587" t="s">
        <v>5047</v>
      </c>
      <c r="F87" s="590">
        <v>2.2650000000000001</v>
      </c>
      <c r="G87" s="589" t="s">
        <v>5048</v>
      </c>
    </row>
    <row r="88" spans="1:7" s="575" customFormat="1" ht="18.75" customHeight="1">
      <c r="A88" s="569"/>
      <c r="B88" s="571" t="s">
        <v>5022</v>
      </c>
      <c r="C88" s="586" t="s">
        <v>5023</v>
      </c>
      <c r="D88" s="572" t="s">
        <v>5024</v>
      </c>
      <c r="E88" s="587" t="s">
        <v>5049</v>
      </c>
      <c r="F88" s="591">
        <v>0.86999999999999988</v>
      </c>
      <c r="G88" s="589" t="s">
        <v>5050</v>
      </c>
    </row>
    <row r="89" spans="1:7" s="575" customFormat="1" ht="18.75" customHeight="1">
      <c r="A89" s="569"/>
      <c r="B89" s="571" t="s">
        <v>5022</v>
      </c>
      <c r="C89" s="586" t="s">
        <v>5023</v>
      </c>
      <c r="D89" s="572" t="s">
        <v>5024</v>
      </c>
      <c r="E89" s="587" t="s">
        <v>5051</v>
      </c>
      <c r="F89" s="591">
        <v>0.66500000000000004</v>
      </c>
      <c r="G89" s="589" t="s">
        <v>5052</v>
      </c>
    </row>
    <row r="90" spans="1:7" s="575" customFormat="1" ht="18.75" customHeight="1">
      <c r="A90" s="592"/>
      <c r="B90" s="579" t="s">
        <v>5053</v>
      </c>
      <c r="C90" s="580"/>
      <c r="D90" s="572"/>
      <c r="E90" s="574"/>
      <c r="F90" s="544"/>
      <c r="G90" s="589"/>
    </row>
    <row r="91" spans="1:7" s="575" customFormat="1" ht="18.75" customHeight="1">
      <c r="A91" s="569"/>
      <c r="B91" s="576" t="s">
        <v>5054</v>
      </c>
      <c r="C91" s="571"/>
      <c r="D91" s="572" t="s">
        <v>5016</v>
      </c>
      <c r="E91" s="593" t="s">
        <v>5055</v>
      </c>
      <c r="F91" s="588">
        <v>10</v>
      </c>
      <c r="G91" s="594"/>
    </row>
    <row r="92" spans="1:7" s="575" customFormat="1" ht="18.75" customHeight="1">
      <c r="A92" s="595"/>
      <c r="B92" s="596" t="s">
        <v>5056</v>
      </c>
      <c r="C92" s="596" t="s">
        <v>5057</v>
      </c>
      <c r="D92" s="597" t="s">
        <v>5058</v>
      </c>
      <c r="E92" s="598">
        <v>3</v>
      </c>
      <c r="F92" s="599">
        <v>3</v>
      </c>
      <c r="G92" s="600"/>
    </row>
    <row r="93" spans="1:7" s="575" customFormat="1" ht="18.75" customHeight="1">
      <c r="A93" s="569"/>
      <c r="B93" s="571" t="s">
        <v>5059</v>
      </c>
      <c r="C93" s="571"/>
      <c r="D93" s="572" t="s">
        <v>5016</v>
      </c>
      <c r="E93" s="593" t="s">
        <v>5060</v>
      </c>
      <c r="F93" s="588">
        <v>10</v>
      </c>
      <c r="G93" s="594"/>
    </row>
    <row r="94" spans="1:7" s="575" customFormat="1" ht="18.75" customHeight="1">
      <c r="A94" s="569"/>
      <c r="B94" s="589" t="s">
        <v>5061</v>
      </c>
      <c r="C94" s="586" t="s">
        <v>5062</v>
      </c>
      <c r="D94" s="572" t="s">
        <v>5016</v>
      </c>
      <c r="E94" s="593" t="s">
        <v>5063</v>
      </c>
      <c r="F94" s="588">
        <v>15.2</v>
      </c>
      <c r="G94" s="594"/>
    </row>
    <row r="95" spans="1:7" s="575" customFormat="1" ht="18.75" customHeight="1">
      <c r="A95" s="569"/>
      <c r="B95" s="576" t="s">
        <v>5064</v>
      </c>
      <c r="C95" s="571" t="s">
        <v>5065</v>
      </c>
      <c r="D95" s="572" t="s">
        <v>5016</v>
      </c>
      <c r="E95" s="593" t="s">
        <v>5001</v>
      </c>
      <c r="F95" s="544">
        <v>5</v>
      </c>
      <c r="G95" s="594"/>
    </row>
    <row r="96" spans="1:7" s="575" customFormat="1" ht="18.75" customHeight="1">
      <c r="A96" s="569"/>
      <c r="B96" s="576" t="s">
        <v>5064</v>
      </c>
      <c r="C96" s="571" t="s">
        <v>5066</v>
      </c>
      <c r="D96" s="572" t="s">
        <v>5016</v>
      </c>
      <c r="E96" s="593" t="s">
        <v>5001</v>
      </c>
      <c r="F96" s="544">
        <v>5</v>
      </c>
      <c r="G96" s="594"/>
    </row>
    <row r="97" spans="1:7" s="575" customFormat="1" ht="18.75" customHeight="1">
      <c r="A97" s="595"/>
      <c r="B97" s="601" t="s">
        <v>5067</v>
      </c>
      <c r="C97" s="602" t="s">
        <v>5068</v>
      </c>
      <c r="D97" s="603" t="s">
        <v>5069</v>
      </c>
      <c r="E97" s="598">
        <v>12</v>
      </c>
      <c r="F97" s="599">
        <v>12</v>
      </c>
      <c r="G97" s="600"/>
    </row>
    <row r="98" spans="1:7" s="575" customFormat="1" ht="18.75" customHeight="1">
      <c r="A98" s="595"/>
      <c r="B98" s="604" t="s">
        <v>5070</v>
      </c>
      <c r="C98" s="605" t="s">
        <v>5071</v>
      </c>
      <c r="D98" s="606" t="s">
        <v>5069</v>
      </c>
      <c r="E98" s="598">
        <v>24</v>
      </c>
      <c r="F98" s="599">
        <v>24</v>
      </c>
      <c r="G98" s="600"/>
    </row>
    <row r="99" spans="1:7" s="575" customFormat="1" ht="18.75" customHeight="1">
      <c r="A99" s="569"/>
      <c r="B99" s="571" t="s">
        <v>5072</v>
      </c>
      <c r="C99" s="586" t="s">
        <v>5073</v>
      </c>
      <c r="D99" s="572" t="s">
        <v>5016</v>
      </c>
      <c r="E99" s="593" t="s">
        <v>5055</v>
      </c>
      <c r="F99" s="588">
        <v>10</v>
      </c>
      <c r="G99" s="594"/>
    </row>
    <row r="100" spans="1:7" s="575" customFormat="1" ht="18.75" customHeight="1">
      <c r="A100" s="569"/>
      <c r="B100" s="576" t="s">
        <v>5074</v>
      </c>
      <c r="C100" s="586" t="s">
        <v>5075</v>
      </c>
      <c r="D100" s="572" t="s">
        <v>5076</v>
      </c>
      <c r="E100" s="593" t="s">
        <v>5077</v>
      </c>
      <c r="F100" s="588">
        <v>130</v>
      </c>
      <c r="G100" s="594"/>
    </row>
    <row r="101" spans="1:7" s="575" customFormat="1" ht="18.75" customHeight="1">
      <c r="A101" s="569"/>
      <c r="B101" s="576" t="s">
        <v>5078</v>
      </c>
      <c r="C101" s="586" t="s">
        <v>5079</v>
      </c>
      <c r="D101" s="572" t="s">
        <v>5076</v>
      </c>
      <c r="E101" s="593" t="str">
        <f>E100</f>
        <v>(L*13)*2</v>
      </c>
      <c r="F101" s="588">
        <v>130</v>
      </c>
      <c r="G101" s="594"/>
    </row>
    <row r="102" spans="1:7" s="575" customFormat="1" ht="18.75" customHeight="1">
      <c r="A102" s="595"/>
      <c r="B102" s="602" t="s">
        <v>5080</v>
      </c>
      <c r="C102" s="605" t="s">
        <v>5081</v>
      </c>
      <c r="D102" s="606" t="s">
        <v>5069</v>
      </c>
      <c r="E102" s="598">
        <v>4</v>
      </c>
      <c r="F102" s="599">
        <v>4</v>
      </c>
      <c r="G102" s="600"/>
    </row>
    <row r="103" spans="1:7" s="575" customFormat="1" ht="18.75" customHeight="1">
      <c r="A103" s="595"/>
      <c r="B103" s="601" t="s">
        <v>5082</v>
      </c>
      <c r="C103" s="605" t="s">
        <v>5083</v>
      </c>
      <c r="D103" s="606" t="s">
        <v>5069</v>
      </c>
      <c r="E103" s="598">
        <v>2</v>
      </c>
      <c r="F103" s="599">
        <v>2</v>
      </c>
      <c r="G103" s="600"/>
    </row>
    <row r="104" spans="1:7" s="575" customFormat="1" ht="18.75" customHeight="1">
      <c r="A104" s="595"/>
      <c r="B104" s="596" t="s">
        <v>5084</v>
      </c>
      <c r="C104" s="605" t="s">
        <v>5085</v>
      </c>
      <c r="D104" s="606" t="s">
        <v>5069</v>
      </c>
      <c r="E104" s="607">
        <v>2</v>
      </c>
      <c r="F104" s="599">
        <v>2</v>
      </c>
      <c r="G104" s="600"/>
    </row>
    <row r="105" spans="1:7" s="575" customFormat="1" ht="18.75" customHeight="1">
      <c r="A105" s="569"/>
      <c r="B105" s="579" t="s">
        <v>5086</v>
      </c>
      <c r="C105" s="580"/>
      <c r="D105" s="572"/>
      <c r="E105" s="587"/>
      <c r="F105" s="544"/>
      <c r="G105" s="594"/>
    </row>
    <row r="106" spans="1:7" s="546" customFormat="1" ht="18.75" customHeight="1">
      <c r="A106" s="532"/>
      <c r="B106" s="608" t="s">
        <v>5087</v>
      </c>
      <c r="C106" s="581" t="s">
        <v>5088</v>
      </c>
      <c r="D106" s="583" t="s">
        <v>5024</v>
      </c>
      <c r="E106" s="584" t="s">
        <v>5126</v>
      </c>
      <c r="F106" s="591">
        <v>37.86</v>
      </c>
      <c r="G106" s="545"/>
    </row>
    <row r="107" spans="1:7" s="546" customFormat="1" ht="18.75" customHeight="1">
      <c r="A107" s="532"/>
      <c r="B107" s="585" t="s">
        <v>5090</v>
      </c>
      <c r="C107" s="582" t="s">
        <v>5091</v>
      </c>
      <c r="D107" s="583" t="s">
        <v>5024</v>
      </c>
      <c r="E107" s="584" t="s">
        <v>5126</v>
      </c>
      <c r="F107" s="591">
        <v>37.86</v>
      </c>
      <c r="G107" s="545"/>
    </row>
    <row r="108" spans="1:7" s="546" customFormat="1" ht="18.75" customHeight="1">
      <c r="A108" s="532"/>
      <c r="B108" s="581" t="s">
        <v>5092</v>
      </c>
      <c r="C108" s="582" t="s">
        <v>5093</v>
      </c>
      <c r="D108" s="583" t="s">
        <v>59</v>
      </c>
      <c r="E108" s="584" t="s">
        <v>5094</v>
      </c>
      <c r="F108" s="590">
        <v>6.5</v>
      </c>
      <c r="G108" s="545"/>
    </row>
    <row r="109" spans="1:7" s="546" customFormat="1" ht="18.75" customHeight="1">
      <c r="A109" s="532"/>
      <c r="B109" s="581" t="s">
        <v>5092</v>
      </c>
      <c r="C109" s="582" t="s">
        <v>5095</v>
      </c>
      <c r="D109" s="583" t="s">
        <v>59</v>
      </c>
      <c r="E109" s="584" t="s">
        <v>5096</v>
      </c>
      <c r="F109" s="591">
        <v>36</v>
      </c>
      <c r="G109" s="545"/>
    </row>
    <row r="110" spans="1:7" s="546" customFormat="1" ht="18.75" customHeight="1">
      <c r="A110" s="532"/>
      <c r="B110" s="585" t="s">
        <v>5097</v>
      </c>
      <c r="C110" s="582" t="s">
        <v>5098</v>
      </c>
      <c r="D110" s="583" t="s">
        <v>5024</v>
      </c>
      <c r="E110" s="584" t="s">
        <v>5127</v>
      </c>
      <c r="F110" s="591">
        <v>4</v>
      </c>
      <c r="G110" s="545"/>
    </row>
    <row r="111" spans="1:7" s="609" customFormat="1" ht="18.75" customHeight="1">
      <c r="A111" s="595"/>
      <c r="B111" s="596" t="s">
        <v>5100</v>
      </c>
      <c r="C111" s="596" t="s">
        <v>5101</v>
      </c>
      <c r="D111" s="606" t="s">
        <v>59</v>
      </c>
      <c r="E111" s="602" t="s">
        <v>5102</v>
      </c>
      <c r="F111" s="599">
        <v>28.111400000000003</v>
      </c>
      <c r="G111" s="600"/>
    </row>
    <row r="112" spans="1:7" s="609" customFormat="1" ht="18.75" customHeight="1">
      <c r="A112" s="595"/>
      <c r="B112" s="602" t="s">
        <v>5090</v>
      </c>
      <c r="C112" s="596" t="s">
        <v>5101</v>
      </c>
      <c r="D112" s="606" t="s">
        <v>5024</v>
      </c>
      <c r="E112" s="610" t="str">
        <f>E111</f>
        <v>3.624*L+0.16*((L*2)+(D*10))+((0.246*(H-0.5))*2+0.3*(D+D)+L*UH+0.18*(D+D+L)</v>
      </c>
      <c r="F112" s="599">
        <v>28.111400000000003</v>
      </c>
      <c r="G112" s="600"/>
    </row>
    <row r="113" spans="1:7" s="575" customFormat="1" ht="18.75" customHeight="1">
      <c r="A113" s="569"/>
      <c r="B113" s="579" t="s">
        <v>5103</v>
      </c>
      <c r="C113" s="580"/>
      <c r="D113" s="572"/>
      <c r="E113" s="587"/>
      <c r="F113" s="544"/>
      <c r="G113" s="594"/>
    </row>
    <row r="114" spans="1:7" s="575" customFormat="1" ht="18.75" customHeight="1">
      <c r="A114" s="569"/>
      <c r="B114" s="576" t="s">
        <v>5104</v>
      </c>
      <c r="C114" s="611" t="s">
        <v>5105</v>
      </c>
      <c r="D114" s="572" t="s">
        <v>59</v>
      </c>
      <c r="E114" s="587" t="s">
        <v>5106</v>
      </c>
      <c r="F114" s="591">
        <v>14.100000000000001</v>
      </c>
      <c r="G114" s="594"/>
    </row>
    <row r="115" spans="1:7" s="575" customFormat="1" ht="18.75" customHeight="1">
      <c r="A115" s="569"/>
      <c r="B115" s="576" t="s">
        <v>5107</v>
      </c>
      <c r="C115" s="571" t="s">
        <v>5108</v>
      </c>
      <c r="D115" s="572" t="s">
        <v>5109</v>
      </c>
      <c r="E115" s="587" t="s">
        <v>5110</v>
      </c>
      <c r="F115" s="591">
        <v>0.75</v>
      </c>
      <c r="G115" s="594"/>
    </row>
    <row r="116" spans="1:7" s="575" customFormat="1" ht="18.75" customHeight="1">
      <c r="A116" s="569"/>
      <c r="B116" s="589" t="s">
        <v>5111</v>
      </c>
      <c r="C116" s="586"/>
      <c r="D116" s="572" t="s">
        <v>5016</v>
      </c>
      <c r="E116" s="587" t="s">
        <v>5112</v>
      </c>
      <c r="F116" s="591">
        <v>46.92</v>
      </c>
      <c r="G116" s="594"/>
    </row>
    <row r="117" spans="1:7" s="575" customFormat="1" ht="18.75" customHeight="1">
      <c r="A117" s="569"/>
      <c r="B117" s="589" t="s">
        <v>5113</v>
      </c>
      <c r="C117" s="586"/>
      <c r="D117" s="572" t="s">
        <v>5016</v>
      </c>
      <c r="E117" s="587" t="s">
        <v>5114</v>
      </c>
      <c r="F117" s="591">
        <v>42.56</v>
      </c>
      <c r="G117" s="594"/>
    </row>
    <row r="118" spans="1:7" s="575" customFormat="1" ht="18.75" customHeight="1">
      <c r="A118" s="569"/>
      <c r="B118" s="579" t="s">
        <v>5115</v>
      </c>
      <c r="C118" s="580"/>
      <c r="D118" s="572"/>
      <c r="E118" s="587"/>
      <c r="F118" s="544"/>
      <c r="G118" s="594"/>
    </row>
    <row r="119" spans="1:7" s="575" customFormat="1" ht="18.75" customHeight="1">
      <c r="A119" s="569"/>
      <c r="B119" s="612" t="s">
        <v>5116</v>
      </c>
      <c r="C119" s="589" t="s">
        <v>5117</v>
      </c>
      <c r="D119" s="572" t="s">
        <v>5118</v>
      </c>
      <c r="E119" s="613" t="s">
        <v>5119</v>
      </c>
      <c r="F119" s="544">
        <v>13</v>
      </c>
      <c r="G119" s="594"/>
    </row>
    <row r="120" spans="1:7" s="575" customFormat="1" ht="18.75" customHeight="1">
      <c r="A120" s="569"/>
      <c r="B120" s="571" t="s">
        <v>5120</v>
      </c>
      <c r="C120" s="571" t="s">
        <v>5121</v>
      </c>
      <c r="D120" s="572" t="s">
        <v>5016</v>
      </c>
      <c r="E120" s="613" t="s">
        <v>5060</v>
      </c>
      <c r="F120" s="544">
        <v>10</v>
      </c>
      <c r="G120" s="594"/>
    </row>
    <row r="121" spans="1:7" s="575" customFormat="1" ht="18.75" customHeight="1">
      <c r="A121" s="595"/>
      <c r="B121" s="596" t="s">
        <v>5122</v>
      </c>
      <c r="C121" s="596" t="s">
        <v>5123</v>
      </c>
      <c r="D121" s="606" t="s">
        <v>5058</v>
      </c>
      <c r="E121" s="614">
        <v>1</v>
      </c>
      <c r="F121" s="599">
        <v>1</v>
      </c>
      <c r="G121" s="600"/>
    </row>
    <row r="122" spans="1:7" s="575" customFormat="1" ht="18.75" customHeight="1">
      <c r="A122" s="595"/>
      <c r="B122" s="596" t="s">
        <v>5124</v>
      </c>
      <c r="C122" s="596" t="s">
        <v>5125</v>
      </c>
      <c r="D122" s="606" t="s">
        <v>5058</v>
      </c>
      <c r="E122" s="614">
        <v>1</v>
      </c>
      <c r="F122" s="599">
        <v>1</v>
      </c>
      <c r="G122" s="600"/>
    </row>
    <row r="123" spans="1:7" s="575" customFormat="1" ht="18.75" customHeight="1">
      <c r="A123" s="595"/>
      <c r="B123" s="596"/>
      <c r="C123" s="596"/>
      <c r="D123" s="606"/>
      <c r="E123" s="614"/>
      <c r="F123" s="599"/>
      <c r="G123" s="600"/>
    </row>
    <row r="124" spans="1:7" s="622" customFormat="1" ht="18.75" customHeight="1">
      <c r="A124" s="616"/>
      <c r="B124" s="617"/>
      <c r="C124" s="617"/>
      <c r="D124" s="618"/>
      <c r="E124" s="619"/>
      <c r="F124" s="620"/>
      <c r="G124" s="621"/>
    </row>
    <row r="125" spans="1:7" s="546" customFormat="1" ht="20.25" customHeight="1">
      <c r="A125" s="547" t="s">
        <v>5001</v>
      </c>
      <c r="B125" s="548" t="s">
        <v>5002</v>
      </c>
      <c r="C125" s="549">
        <f>[140]LIST!D13</f>
        <v>5000</v>
      </c>
      <c r="D125" s="550">
        <f t="shared" ref="D125:D130" si="2">C125/1000</f>
        <v>5</v>
      </c>
      <c r="E125" s="536"/>
      <c r="F125" s="544"/>
      <c r="G125" s="545"/>
    </row>
    <row r="126" spans="1:7" s="546" customFormat="1" ht="20.25" customHeight="1">
      <c r="A126" s="551" t="s">
        <v>5003</v>
      </c>
      <c r="B126" s="552" t="s">
        <v>5004</v>
      </c>
      <c r="C126" s="553">
        <f>[140]LIST!E13</f>
        <v>1200</v>
      </c>
      <c r="D126" s="554">
        <f t="shared" si="2"/>
        <v>1.2</v>
      </c>
      <c r="E126" s="536"/>
      <c r="F126" s="544"/>
      <c r="G126" s="545"/>
    </row>
    <row r="127" spans="1:7" s="546" customFormat="1" ht="20.25" customHeight="1">
      <c r="A127" s="551" t="s">
        <v>5005</v>
      </c>
      <c r="B127" s="552" t="s">
        <v>5006</v>
      </c>
      <c r="C127" s="553">
        <f>[140]LIST!F13</f>
        <v>3600</v>
      </c>
      <c r="D127" s="554">
        <f t="shared" si="2"/>
        <v>3.6</v>
      </c>
      <c r="E127" s="536"/>
      <c r="F127" s="544"/>
      <c r="G127" s="545"/>
    </row>
    <row r="128" spans="1:7" s="546" customFormat="1" ht="20.25" customHeight="1">
      <c r="A128" s="555" t="s">
        <v>5007</v>
      </c>
      <c r="B128" s="552" t="s">
        <v>5008</v>
      </c>
      <c r="C128" s="553">
        <f>[140]LIST!G13</f>
        <v>300</v>
      </c>
      <c r="D128" s="554">
        <f t="shared" si="2"/>
        <v>0.3</v>
      </c>
      <c r="E128" s="536"/>
      <c r="F128" s="544"/>
      <c r="G128" s="545"/>
    </row>
    <row r="129" spans="1:7" s="539" customFormat="1" ht="20.25" customHeight="1">
      <c r="A129" s="555" t="s">
        <v>5009</v>
      </c>
      <c r="B129" s="552" t="s">
        <v>5010</v>
      </c>
      <c r="C129" s="553">
        <f>[140]LIST!H13</f>
        <v>2600</v>
      </c>
      <c r="D129" s="554">
        <f t="shared" si="2"/>
        <v>2.6</v>
      </c>
      <c r="E129" s="556">
        <f>D129+0.22</f>
        <v>2.8200000000000003</v>
      </c>
      <c r="F129" s="544"/>
      <c r="G129" s="545"/>
    </row>
    <row r="130" spans="1:7" s="546" customFormat="1" ht="20.25" customHeight="1">
      <c r="A130" s="557" t="s">
        <v>5011</v>
      </c>
      <c r="B130" s="558" t="s">
        <v>5012</v>
      </c>
      <c r="C130" s="559">
        <f>[140]LIST!I13</f>
        <v>700</v>
      </c>
      <c r="D130" s="560">
        <f t="shared" si="2"/>
        <v>0.7</v>
      </c>
      <c r="E130" s="561"/>
      <c r="F130" s="544"/>
      <c r="G130" s="545"/>
    </row>
    <row r="131" spans="1:7" s="539" customFormat="1" ht="20.25" customHeight="1">
      <c r="A131" s="623" t="str">
        <f>[140]LIST!B13</f>
        <v>SC-201</v>
      </c>
      <c r="B131" s="563" t="str">
        <f>[140]LIST!C13</f>
        <v>벽부형진열장(전동형)</v>
      </c>
      <c r="C131" s="564" t="str">
        <f>A125&amp;": "&amp;C125&amp;" "&amp;A126&amp;": "&amp;C126&amp;" "&amp;A127&amp;": "&amp;C127&amp;" "&amp;A128&amp;": "&amp;C128&amp;" "&amp;A129&amp;": "&amp;C129&amp;" "&amp;A130&amp;": "&amp;C130</f>
        <v>L: 5000 D: 1200 H: 3600 FH: 300 GH: 2600 UH: 700</v>
      </c>
      <c r="D131" s="565" t="s">
        <v>398</v>
      </c>
      <c r="E131" s="566"/>
      <c r="F131" s="567">
        <v>2</v>
      </c>
      <c r="G131" s="568"/>
    </row>
    <row r="132" spans="1:7" s="575" customFormat="1" ht="18.75" customHeight="1">
      <c r="A132" s="615"/>
      <c r="B132" s="570" t="s">
        <v>5013</v>
      </c>
      <c r="C132" s="571"/>
      <c r="D132" s="572"/>
      <c r="E132" s="573"/>
      <c r="F132" s="544"/>
      <c r="G132" s="574"/>
    </row>
    <row r="133" spans="1:7" s="575" customFormat="1" ht="18.75" customHeight="1">
      <c r="A133" s="569"/>
      <c r="B133" s="576" t="s">
        <v>5014</v>
      </c>
      <c r="C133" s="571" t="s">
        <v>5015</v>
      </c>
      <c r="D133" s="572" t="s">
        <v>5016</v>
      </c>
      <c r="E133" s="577" t="s">
        <v>5017</v>
      </c>
      <c r="F133" s="578">
        <v>172.89999999999998</v>
      </c>
      <c r="G133" s="574"/>
    </row>
    <row r="134" spans="1:7" s="575" customFormat="1" ht="18.75" customHeight="1">
      <c r="A134" s="569"/>
      <c r="B134" s="576" t="s">
        <v>5014</v>
      </c>
      <c r="C134" s="571" t="s">
        <v>5018</v>
      </c>
      <c r="D134" s="572" t="s">
        <v>5016</v>
      </c>
      <c r="E134" s="573" t="s">
        <v>5019</v>
      </c>
      <c r="F134" s="544">
        <v>27.2</v>
      </c>
      <c r="G134" s="574"/>
    </row>
    <row r="135" spans="1:7" s="575" customFormat="1" ht="18.75" customHeight="1">
      <c r="A135" s="569"/>
      <c r="B135" s="579" t="s">
        <v>5020</v>
      </c>
      <c r="C135" s="580" t="s">
        <v>5021</v>
      </c>
      <c r="D135" s="572"/>
      <c r="E135" s="573"/>
      <c r="F135" s="544"/>
      <c r="G135" s="574"/>
    </row>
    <row r="136" spans="1:7" s="546" customFormat="1" ht="18.75" customHeight="1">
      <c r="A136" s="532"/>
      <c r="B136" s="581" t="s">
        <v>5022</v>
      </c>
      <c r="C136" s="582" t="s">
        <v>5023</v>
      </c>
      <c r="D136" s="583" t="s">
        <v>5024</v>
      </c>
      <c r="E136" s="584" t="s">
        <v>5025</v>
      </c>
      <c r="F136" s="578">
        <v>1.575</v>
      </c>
      <c r="G136" s="585" t="s">
        <v>5026</v>
      </c>
    </row>
    <row r="137" spans="1:7" s="575" customFormat="1" ht="18.75" customHeight="1">
      <c r="A137" s="569"/>
      <c r="B137" s="571" t="s">
        <v>5022</v>
      </c>
      <c r="C137" s="586" t="s">
        <v>5023</v>
      </c>
      <c r="D137" s="572" t="s">
        <v>5024</v>
      </c>
      <c r="E137" s="587" t="s">
        <v>5027</v>
      </c>
      <c r="F137" s="588">
        <v>2.46</v>
      </c>
      <c r="G137" s="589" t="s">
        <v>5028</v>
      </c>
    </row>
    <row r="138" spans="1:7" s="575" customFormat="1" ht="18.75" customHeight="1">
      <c r="A138" s="569"/>
      <c r="B138" s="571" t="s">
        <v>5022</v>
      </c>
      <c r="C138" s="586" t="s">
        <v>5023</v>
      </c>
      <c r="D138" s="572" t="s">
        <v>5024</v>
      </c>
      <c r="E138" s="587" t="s">
        <v>5029</v>
      </c>
      <c r="F138" s="588">
        <v>3.3050000000000002</v>
      </c>
      <c r="G138" s="589" t="s">
        <v>5030</v>
      </c>
    </row>
    <row r="139" spans="1:7" s="575" customFormat="1" ht="18.75" customHeight="1">
      <c r="A139" s="569"/>
      <c r="B139" s="571" t="s">
        <v>5022</v>
      </c>
      <c r="C139" s="586" t="s">
        <v>5023</v>
      </c>
      <c r="D139" s="572" t="s">
        <v>5024</v>
      </c>
      <c r="E139" s="587" t="s">
        <v>5031</v>
      </c>
      <c r="F139" s="588">
        <v>1.0249999999999999</v>
      </c>
      <c r="G139" s="589" t="s">
        <v>5032</v>
      </c>
    </row>
    <row r="140" spans="1:7" s="546" customFormat="1" ht="18.75" customHeight="1">
      <c r="A140" s="532"/>
      <c r="B140" s="581" t="s">
        <v>5022</v>
      </c>
      <c r="C140" s="582" t="s">
        <v>5023</v>
      </c>
      <c r="D140" s="583" t="s">
        <v>5024</v>
      </c>
      <c r="E140" s="584" t="s">
        <v>5033</v>
      </c>
      <c r="F140" s="588">
        <v>4.4800000000000004</v>
      </c>
      <c r="G140" s="585" t="s">
        <v>5034</v>
      </c>
    </row>
    <row r="141" spans="1:7" s="575" customFormat="1" ht="18.75" customHeight="1">
      <c r="A141" s="569"/>
      <c r="B141" s="571" t="s">
        <v>5022</v>
      </c>
      <c r="C141" s="586" t="s">
        <v>5023</v>
      </c>
      <c r="D141" s="572" t="s">
        <v>5024</v>
      </c>
      <c r="E141" s="587" t="s">
        <v>5035</v>
      </c>
      <c r="F141" s="583">
        <v>4.032</v>
      </c>
      <c r="G141" s="589" t="s">
        <v>5036</v>
      </c>
    </row>
    <row r="142" spans="1:7" s="575" customFormat="1" ht="18.75" customHeight="1">
      <c r="A142" s="569"/>
      <c r="B142" s="571" t="s">
        <v>5022</v>
      </c>
      <c r="C142" s="586" t="s">
        <v>5023</v>
      </c>
      <c r="D142" s="572" t="s">
        <v>5024</v>
      </c>
      <c r="E142" s="587" t="s">
        <v>5037</v>
      </c>
      <c r="F142" s="590">
        <v>1.248</v>
      </c>
      <c r="G142" s="589" t="s">
        <v>5038</v>
      </c>
    </row>
    <row r="143" spans="1:7" s="575" customFormat="1" ht="18.75" customHeight="1">
      <c r="A143" s="569"/>
      <c r="B143" s="571" t="s">
        <v>5022</v>
      </c>
      <c r="C143" s="586" t="s">
        <v>5023</v>
      </c>
      <c r="D143" s="572" t="s">
        <v>5024</v>
      </c>
      <c r="E143" s="587" t="s">
        <v>5039</v>
      </c>
      <c r="F143" s="591">
        <v>2.1743999999999999</v>
      </c>
      <c r="G143" s="589" t="s">
        <v>5040</v>
      </c>
    </row>
    <row r="144" spans="1:7" s="575" customFormat="1" ht="18.75" customHeight="1">
      <c r="A144" s="569"/>
      <c r="B144" s="571" t="s">
        <v>5041</v>
      </c>
      <c r="C144" s="586" t="s">
        <v>5042</v>
      </c>
      <c r="D144" s="572" t="s">
        <v>59</v>
      </c>
      <c r="E144" s="587" t="s">
        <v>5043</v>
      </c>
      <c r="F144" s="590">
        <v>3.5</v>
      </c>
      <c r="G144" s="589" t="s">
        <v>5044</v>
      </c>
    </row>
    <row r="145" spans="1:7" s="575" customFormat="1" ht="18.75" customHeight="1">
      <c r="A145" s="569"/>
      <c r="B145" s="579" t="s">
        <v>5020</v>
      </c>
      <c r="C145" s="580" t="s">
        <v>5045</v>
      </c>
      <c r="D145" s="572"/>
      <c r="E145" s="587"/>
      <c r="F145" s="578"/>
      <c r="G145" s="589"/>
    </row>
    <row r="146" spans="1:7" s="575" customFormat="1" ht="18.75" customHeight="1">
      <c r="A146" s="569"/>
      <c r="B146" s="571" t="s">
        <v>5022</v>
      </c>
      <c r="C146" s="586" t="s">
        <v>5046</v>
      </c>
      <c r="D146" s="572" t="s">
        <v>5024</v>
      </c>
      <c r="E146" s="587" t="s">
        <v>5047</v>
      </c>
      <c r="F146" s="590">
        <v>2.2650000000000001</v>
      </c>
      <c r="G146" s="589" t="s">
        <v>5048</v>
      </c>
    </row>
    <row r="147" spans="1:7" s="575" customFormat="1" ht="18.75" customHeight="1">
      <c r="A147" s="569"/>
      <c r="B147" s="571" t="s">
        <v>5022</v>
      </c>
      <c r="C147" s="586" t="s">
        <v>5023</v>
      </c>
      <c r="D147" s="572" t="s">
        <v>5024</v>
      </c>
      <c r="E147" s="587" t="s">
        <v>5049</v>
      </c>
      <c r="F147" s="591">
        <v>0.86999999999999988</v>
      </c>
      <c r="G147" s="589" t="s">
        <v>5050</v>
      </c>
    </row>
    <row r="148" spans="1:7" s="575" customFormat="1" ht="18.75" customHeight="1">
      <c r="A148" s="569"/>
      <c r="B148" s="571" t="s">
        <v>5022</v>
      </c>
      <c r="C148" s="586" t="s">
        <v>5023</v>
      </c>
      <c r="D148" s="572" t="s">
        <v>5024</v>
      </c>
      <c r="E148" s="587" t="s">
        <v>5051</v>
      </c>
      <c r="F148" s="591">
        <v>0.66500000000000004</v>
      </c>
      <c r="G148" s="589" t="s">
        <v>5052</v>
      </c>
    </row>
    <row r="149" spans="1:7" s="575" customFormat="1" ht="18.75" customHeight="1">
      <c r="A149" s="592"/>
      <c r="B149" s="579" t="s">
        <v>5053</v>
      </c>
      <c r="C149" s="580"/>
      <c r="D149" s="572"/>
      <c r="E149" s="574"/>
      <c r="F149" s="544"/>
      <c r="G149" s="589"/>
    </row>
    <row r="150" spans="1:7" s="575" customFormat="1" ht="18.75" customHeight="1">
      <c r="A150" s="569"/>
      <c r="B150" s="576" t="s">
        <v>5054</v>
      </c>
      <c r="C150" s="571"/>
      <c r="D150" s="572" t="s">
        <v>5016</v>
      </c>
      <c r="E150" s="593" t="s">
        <v>5055</v>
      </c>
      <c r="F150" s="588">
        <v>10</v>
      </c>
      <c r="G150" s="594"/>
    </row>
    <row r="151" spans="1:7" s="575" customFormat="1" ht="18.75" customHeight="1">
      <c r="A151" s="595"/>
      <c r="B151" s="596" t="s">
        <v>5056</v>
      </c>
      <c r="C151" s="596" t="s">
        <v>5057</v>
      </c>
      <c r="D151" s="597" t="s">
        <v>5058</v>
      </c>
      <c r="E151" s="598">
        <v>3</v>
      </c>
      <c r="F151" s="599">
        <v>3</v>
      </c>
      <c r="G151" s="600"/>
    </row>
    <row r="152" spans="1:7" s="575" customFormat="1" ht="18.75" customHeight="1">
      <c r="A152" s="569"/>
      <c r="B152" s="571" t="s">
        <v>5059</v>
      </c>
      <c r="C152" s="571"/>
      <c r="D152" s="572" t="s">
        <v>5016</v>
      </c>
      <c r="E152" s="593" t="s">
        <v>5060</v>
      </c>
      <c r="F152" s="588">
        <v>10</v>
      </c>
      <c r="G152" s="594"/>
    </row>
    <row r="153" spans="1:7" s="575" customFormat="1" ht="18.75" customHeight="1">
      <c r="A153" s="569"/>
      <c r="B153" s="589" t="s">
        <v>5061</v>
      </c>
      <c r="C153" s="586" t="s">
        <v>5062</v>
      </c>
      <c r="D153" s="572" t="s">
        <v>5016</v>
      </c>
      <c r="E153" s="593" t="s">
        <v>5063</v>
      </c>
      <c r="F153" s="588">
        <v>15.2</v>
      </c>
      <c r="G153" s="594"/>
    </row>
    <row r="154" spans="1:7" s="575" customFormat="1" ht="18.75" customHeight="1">
      <c r="A154" s="569"/>
      <c r="B154" s="576" t="s">
        <v>5064</v>
      </c>
      <c r="C154" s="571" t="s">
        <v>5065</v>
      </c>
      <c r="D154" s="572" t="s">
        <v>5016</v>
      </c>
      <c r="E154" s="593" t="s">
        <v>5001</v>
      </c>
      <c r="F154" s="544">
        <v>5</v>
      </c>
      <c r="G154" s="594"/>
    </row>
    <row r="155" spans="1:7" s="575" customFormat="1" ht="18.75" customHeight="1">
      <c r="A155" s="569"/>
      <c r="B155" s="576" t="s">
        <v>5064</v>
      </c>
      <c r="C155" s="571" t="s">
        <v>5066</v>
      </c>
      <c r="D155" s="572" t="s">
        <v>5016</v>
      </c>
      <c r="E155" s="593" t="s">
        <v>5001</v>
      </c>
      <c r="F155" s="544">
        <v>5</v>
      </c>
      <c r="G155" s="594"/>
    </row>
    <row r="156" spans="1:7" s="575" customFormat="1" ht="18.75" customHeight="1">
      <c r="A156" s="595"/>
      <c r="B156" s="601" t="s">
        <v>5067</v>
      </c>
      <c r="C156" s="602" t="s">
        <v>5068</v>
      </c>
      <c r="D156" s="603" t="s">
        <v>5069</v>
      </c>
      <c r="E156" s="598">
        <v>12</v>
      </c>
      <c r="F156" s="599">
        <v>12</v>
      </c>
      <c r="G156" s="600"/>
    </row>
    <row r="157" spans="1:7" s="575" customFormat="1" ht="18.75" customHeight="1">
      <c r="A157" s="595"/>
      <c r="B157" s="604" t="s">
        <v>5070</v>
      </c>
      <c r="C157" s="605" t="s">
        <v>5071</v>
      </c>
      <c r="D157" s="606" t="s">
        <v>5069</v>
      </c>
      <c r="E157" s="598">
        <v>24</v>
      </c>
      <c r="F157" s="599">
        <v>24</v>
      </c>
      <c r="G157" s="600"/>
    </row>
    <row r="158" spans="1:7" s="575" customFormat="1" ht="18.75" customHeight="1">
      <c r="A158" s="569"/>
      <c r="B158" s="571" t="s">
        <v>5072</v>
      </c>
      <c r="C158" s="586" t="s">
        <v>5073</v>
      </c>
      <c r="D158" s="572" t="s">
        <v>5016</v>
      </c>
      <c r="E158" s="593" t="s">
        <v>5055</v>
      </c>
      <c r="F158" s="588">
        <v>10</v>
      </c>
      <c r="G158" s="594"/>
    </row>
    <row r="159" spans="1:7" s="575" customFormat="1" ht="18.75" customHeight="1">
      <c r="A159" s="569"/>
      <c r="B159" s="576" t="s">
        <v>5074</v>
      </c>
      <c r="C159" s="586" t="s">
        <v>5075</v>
      </c>
      <c r="D159" s="572" t="s">
        <v>5076</v>
      </c>
      <c r="E159" s="593" t="s">
        <v>5077</v>
      </c>
      <c r="F159" s="588">
        <v>130</v>
      </c>
      <c r="G159" s="594"/>
    </row>
    <row r="160" spans="1:7" s="575" customFormat="1" ht="18.75" customHeight="1">
      <c r="A160" s="569"/>
      <c r="B160" s="576" t="s">
        <v>5078</v>
      </c>
      <c r="C160" s="586" t="s">
        <v>5079</v>
      </c>
      <c r="D160" s="572" t="s">
        <v>5076</v>
      </c>
      <c r="E160" s="593" t="str">
        <f>E159</f>
        <v>(L*13)*2</v>
      </c>
      <c r="F160" s="588">
        <v>130</v>
      </c>
      <c r="G160" s="594"/>
    </row>
    <row r="161" spans="1:7" s="575" customFormat="1" ht="18.75" customHeight="1">
      <c r="A161" s="595"/>
      <c r="B161" s="602" t="s">
        <v>5080</v>
      </c>
      <c r="C161" s="605" t="s">
        <v>5081</v>
      </c>
      <c r="D161" s="606" t="s">
        <v>5069</v>
      </c>
      <c r="E161" s="598">
        <v>4</v>
      </c>
      <c r="F161" s="599">
        <v>4</v>
      </c>
      <c r="G161" s="600"/>
    </row>
    <row r="162" spans="1:7" s="575" customFormat="1" ht="18.75" customHeight="1">
      <c r="A162" s="595"/>
      <c r="B162" s="601" t="s">
        <v>5082</v>
      </c>
      <c r="C162" s="605" t="s">
        <v>5083</v>
      </c>
      <c r="D162" s="606" t="s">
        <v>5069</v>
      </c>
      <c r="E162" s="598">
        <v>2</v>
      </c>
      <c r="F162" s="599">
        <v>2</v>
      </c>
      <c r="G162" s="600"/>
    </row>
    <row r="163" spans="1:7" s="575" customFormat="1" ht="18.75" customHeight="1">
      <c r="A163" s="595"/>
      <c r="B163" s="596" t="s">
        <v>5084</v>
      </c>
      <c r="C163" s="605" t="s">
        <v>5085</v>
      </c>
      <c r="D163" s="606" t="s">
        <v>5069</v>
      </c>
      <c r="E163" s="607">
        <v>2</v>
      </c>
      <c r="F163" s="599">
        <v>2</v>
      </c>
      <c r="G163" s="600"/>
    </row>
    <row r="164" spans="1:7" s="575" customFormat="1" ht="18.75" customHeight="1">
      <c r="A164" s="569"/>
      <c r="B164" s="579" t="s">
        <v>5086</v>
      </c>
      <c r="C164" s="580"/>
      <c r="D164" s="572"/>
      <c r="E164" s="587"/>
      <c r="F164" s="544"/>
      <c r="G164" s="594"/>
    </row>
    <row r="165" spans="1:7" s="546" customFormat="1" ht="18.75" customHeight="1">
      <c r="A165" s="532"/>
      <c r="B165" s="608" t="s">
        <v>5087</v>
      </c>
      <c r="C165" s="581" t="s">
        <v>5088</v>
      </c>
      <c r="D165" s="583" t="s">
        <v>5024</v>
      </c>
      <c r="E165" s="584" t="s">
        <v>5128</v>
      </c>
      <c r="F165" s="591">
        <v>36.14</v>
      </c>
      <c r="G165" s="545"/>
    </row>
    <row r="166" spans="1:7" s="546" customFormat="1" ht="18.75" customHeight="1">
      <c r="A166" s="532"/>
      <c r="B166" s="585" t="s">
        <v>5090</v>
      </c>
      <c r="C166" s="582" t="s">
        <v>5091</v>
      </c>
      <c r="D166" s="583" t="s">
        <v>5024</v>
      </c>
      <c r="E166" s="584" t="s">
        <v>5128</v>
      </c>
      <c r="F166" s="591">
        <v>36.14</v>
      </c>
      <c r="G166" s="545"/>
    </row>
    <row r="167" spans="1:7" s="546" customFormat="1" ht="18.75" customHeight="1">
      <c r="A167" s="532"/>
      <c r="B167" s="581" t="s">
        <v>5092</v>
      </c>
      <c r="C167" s="582" t="s">
        <v>5093</v>
      </c>
      <c r="D167" s="583" t="s">
        <v>59</v>
      </c>
      <c r="E167" s="584" t="s">
        <v>5094</v>
      </c>
      <c r="F167" s="590">
        <v>6</v>
      </c>
      <c r="G167" s="545"/>
    </row>
    <row r="168" spans="1:7" s="546" customFormat="1" ht="18.75" customHeight="1">
      <c r="A168" s="532"/>
      <c r="B168" s="581" t="s">
        <v>5092</v>
      </c>
      <c r="C168" s="582" t="s">
        <v>5095</v>
      </c>
      <c r="D168" s="583" t="s">
        <v>59</v>
      </c>
      <c r="E168" s="584" t="s">
        <v>5096</v>
      </c>
      <c r="F168" s="591">
        <v>36</v>
      </c>
      <c r="G168" s="545"/>
    </row>
    <row r="169" spans="1:7" s="546" customFormat="1" ht="18.75" customHeight="1">
      <c r="A169" s="532"/>
      <c r="B169" s="585" t="s">
        <v>5097</v>
      </c>
      <c r="C169" s="582" t="s">
        <v>5098</v>
      </c>
      <c r="D169" s="583" t="s">
        <v>5024</v>
      </c>
      <c r="E169" s="584" t="s">
        <v>5129</v>
      </c>
      <c r="F169" s="591">
        <v>3.5</v>
      </c>
      <c r="G169" s="545"/>
    </row>
    <row r="170" spans="1:7" s="609" customFormat="1" ht="18.75" customHeight="1">
      <c r="A170" s="595"/>
      <c r="B170" s="596" t="s">
        <v>5100</v>
      </c>
      <c r="C170" s="596" t="s">
        <v>5101</v>
      </c>
      <c r="D170" s="606" t="s">
        <v>59</v>
      </c>
      <c r="E170" s="602" t="s">
        <v>5102</v>
      </c>
      <c r="F170" s="599">
        <v>27.599400000000003</v>
      </c>
      <c r="G170" s="600"/>
    </row>
    <row r="171" spans="1:7" s="609" customFormat="1" ht="18.75" customHeight="1">
      <c r="A171" s="595"/>
      <c r="B171" s="602" t="s">
        <v>5090</v>
      </c>
      <c r="C171" s="596" t="s">
        <v>5101</v>
      </c>
      <c r="D171" s="606" t="s">
        <v>5024</v>
      </c>
      <c r="E171" s="610" t="str">
        <f>E170</f>
        <v>3.624*L+0.16*((L*2)+(D*10))+((0.246*(H-0.5))*2+0.3*(D+D)+L*UH+0.18*(D+D+L)</v>
      </c>
      <c r="F171" s="599">
        <v>27.599400000000003</v>
      </c>
      <c r="G171" s="600"/>
    </row>
    <row r="172" spans="1:7" s="575" customFormat="1" ht="18.75" customHeight="1">
      <c r="A172" s="569"/>
      <c r="B172" s="579" t="s">
        <v>5103</v>
      </c>
      <c r="C172" s="580"/>
      <c r="D172" s="572"/>
      <c r="E172" s="587"/>
      <c r="F172" s="544"/>
      <c r="G172" s="594"/>
    </row>
    <row r="173" spans="1:7" s="575" customFormat="1" ht="18.75" customHeight="1">
      <c r="A173" s="569"/>
      <c r="B173" s="576" t="s">
        <v>5104</v>
      </c>
      <c r="C173" s="611" t="s">
        <v>5105</v>
      </c>
      <c r="D173" s="572" t="s">
        <v>59</v>
      </c>
      <c r="E173" s="587" t="s">
        <v>5106</v>
      </c>
      <c r="F173" s="591">
        <v>14.100000000000001</v>
      </c>
      <c r="G173" s="594"/>
    </row>
    <row r="174" spans="1:7" s="575" customFormat="1" ht="18.75" customHeight="1">
      <c r="A174" s="569"/>
      <c r="B174" s="576" t="s">
        <v>5107</v>
      </c>
      <c r="C174" s="571" t="s">
        <v>5108</v>
      </c>
      <c r="D174" s="572" t="s">
        <v>5109</v>
      </c>
      <c r="E174" s="587" t="s">
        <v>5110</v>
      </c>
      <c r="F174" s="591">
        <v>0.75</v>
      </c>
      <c r="G174" s="594"/>
    </row>
    <row r="175" spans="1:7" s="575" customFormat="1" ht="18.75" customHeight="1">
      <c r="A175" s="569"/>
      <c r="B175" s="589" t="s">
        <v>5111</v>
      </c>
      <c r="C175" s="586"/>
      <c r="D175" s="572" t="s">
        <v>5016</v>
      </c>
      <c r="E175" s="587" t="s">
        <v>5112</v>
      </c>
      <c r="F175" s="591">
        <v>46.92</v>
      </c>
      <c r="G175" s="594"/>
    </row>
    <row r="176" spans="1:7" s="575" customFormat="1" ht="18.75" customHeight="1">
      <c r="A176" s="569"/>
      <c r="B176" s="589" t="s">
        <v>5113</v>
      </c>
      <c r="C176" s="586"/>
      <c r="D176" s="572" t="s">
        <v>5016</v>
      </c>
      <c r="E176" s="587" t="s">
        <v>5114</v>
      </c>
      <c r="F176" s="591">
        <v>42.56</v>
      </c>
      <c r="G176" s="594"/>
    </row>
    <row r="177" spans="1:7" s="575" customFormat="1" ht="18.75" customHeight="1">
      <c r="A177" s="569"/>
      <c r="B177" s="579" t="s">
        <v>5115</v>
      </c>
      <c r="C177" s="580"/>
      <c r="D177" s="572"/>
      <c r="E177" s="587"/>
      <c r="F177" s="544"/>
      <c r="G177" s="594"/>
    </row>
    <row r="178" spans="1:7" s="575" customFormat="1" ht="18.75" customHeight="1">
      <c r="A178" s="569"/>
      <c r="B178" s="612" t="s">
        <v>5116</v>
      </c>
      <c r="C178" s="589" t="s">
        <v>5117</v>
      </c>
      <c r="D178" s="572" t="s">
        <v>5118</v>
      </c>
      <c r="E178" s="613" t="s">
        <v>5119</v>
      </c>
      <c r="F178" s="544">
        <v>13</v>
      </c>
      <c r="G178" s="594"/>
    </row>
    <row r="179" spans="1:7" s="575" customFormat="1" ht="18.75" customHeight="1">
      <c r="A179" s="569"/>
      <c r="B179" s="571" t="s">
        <v>5120</v>
      </c>
      <c r="C179" s="571" t="s">
        <v>5121</v>
      </c>
      <c r="D179" s="572" t="s">
        <v>5016</v>
      </c>
      <c r="E179" s="613" t="s">
        <v>5060</v>
      </c>
      <c r="F179" s="544">
        <v>10</v>
      </c>
      <c r="G179" s="594"/>
    </row>
    <row r="180" spans="1:7" s="575" customFormat="1" ht="18.75" customHeight="1">
      <c r="A180" s="595"/>
      <c r="B180" s="596" t="s">
        <v>5122</v>
      </c>
      <c r="C180" s="596" t="s">
        <v>5123</v>
      </c>
      <c r="D180" s="606" t="s">
        <v>5058</v>
      </c>
      <c r="E180" s="614">
        <v>1</v>
      </c>
      <c r="F180" s="599">
        <v>1</v>
      </c>
      <c r="G180" s="600"/>
    </row>
    <row r="181" spans="1:7" s="575" customFormat="1" ht="18.75" customHeight="1">
      <c r="A181" s="595"/>
      <c r="B181" s="596" t="s">
        <v>5124</v>
      </c>
      <c r="C181" s="596" t="s">
        <v>5125</v>
      </c>
      <c r="D181" s="606" t="s">
        <v>5058</v>
      </c>
      <c r="E181" s="614">
        <v>1</v>
      </c>
      <c r="F181" s="599">
        <v>1</v>
      </c>
      <c r="G181" s="600"/>
    </row>
    <row r="182" spans="1:7" s="575" customFormat="1" ht="18.75" customHeight="1">
      <c r="A182" s="595"/>
      <c r="B182" s="596"/>
      <c r="C182" s="596"/>
      <c r="D182" s="606"/>
      <c r="E182" s="614"/>
      <c r="F182" s="599"/>
      <c r="G182" s="600"/>
    </row>
    <row r="183" spans="1:7" s="546" customFormat="1" ht="18.75" customHeight="1">
      <c r="A183" s="540"/>
      <c r="B183" s="541"/>
      <c r="C183" s="541"/>
      <c r="D183" s="542"/>
      <c r="E183" s="543"/>
      <c r="F183" s="544"/>
      <c r="G183" s="545"/>
    </row>
    <row r="184" spans="1:7" s="546" customFormat="1" ht="18.75" customHeight="1">
      <c r="A184" s="540"/>
      <c r="B184" s="541"/>
      <c r="C184" s="541"/>
      <c r="D184" s="542"/>
      <c r="E184" s="543"/>
      <c r="F184" s="544"/>
      <c r="G184" s="545"/>
    </row>
    <row r="185" spans="1:7" s="546" customFormat="1" ht="18.75" customHeight="1">
      <c r="A185" s="532"/>
      <c r="B185" s="581"/>
      <c r="C185" s="624"/>
      <c r="D185" s="583"/>
      <c r="E185" s="625"/>
      <c r="F185" s="544"/>
      <c r="G185" s="545"/>
    </row>
    <row r="186" spans="1:7" s="546" customFormat="1" ht="18.75" customHeight="1">
      <c r="A186" s="532"/>
      <c r="B186" s="581"/>
      <c r="C186" s="624"/>
      <c r="D186" s="583"/>
      <c r="E186" s="625"/>
      <c r="F186" s="544"/>
      <c r="G186" s="545"/>
    </row>
    <row r="187" spans="1:7" s="546" customFormat="1" ht="20.25" customHeight="1">
      <c r="A187" s="547" t="s">
        <v>5001</v>
      </c>
      <c r="B187" s="548" t="s">
        <v>5002</v>
      </c>
      <c r="C187" s="549">
        <f>[140]LIST!D14</f>
        <v>6000</v>
      </c>
      <c r="D187" s="550">
        <f t="shared" ref="D187:D192" si="3">C187/1000</f>
        <v>6</v>
      </c>
      <c r="E187" s="536"/>
      <c r="F187" s="544"/>
      <c r="G187" s="545"/>
    </row>
    <row r="188" spans="1:7" s="546" customFormat="1" ht="20.25" customHeight="1">
      <c r="A188" s="551" t="s">
        <v>5003</v>
      </c>
      <c r="B188" s="552" t="s">
        <v>5004</v>
      </c>
      <c r="C188" s="553">
        <f>[140]LIST!E14</f>
        <v>1000</v>
      </c>
      <c r="D188" s="554">
        <f t="shared" si="3"/>
        <v>1</v>
      </c>
      <c r="E188" s="536"/>
      <c r="F188" s="544"/>
      <c r="G188" s="545"/>
    </row>
    <row r="189" spans="1:7" s="546" customFormat="1" ht="20.25" customHeight="1">
      <c r="A189" s="551" t="s">
        <v>5005</v>
      </c>
      <c r="B189" s="552" t="s">
        <v>5006</v>
      </c>
      <c r="C189" s="553">
        <f>[140]LIST!F14</f>
        <v>3600</v>
      </c>
      <c r="D189" s="554">
        <f t="shared" si="3"/>
        <v>3.6</v>
      </c>
      <c r="E189" s="536"/>
      <c r="F189" s="544"/>
      <c r="G189" s="545"/>
    </row>
    <row r="190" spans="1:7" s="546" customFormat="1" ht="20.25" customHeight="1">
      <c r="A190" s="555" t="s">
        <v>5007</v>
      </c>
      <c r="B190" s="552" t="s">
        <v>5008</v>
      </c>
      <c r="C190" s="553">
        <f>[140]LIST!G14</f>
        <v>300</v>
      </c>
      <c r="D190" s="554">
        <f t="shared" si="3"/>
        <v>0.3</v>
      </c>
      <c r="E190" s="536"/>
      <c r="F190" s="544"/>
      <c r="G190" s="545"/>
    </row>
    <row r="191" spans="1:7" s="539" customFormat="1" ht="20.25" customHeight="1">
      <c r="A191" s="555" t="s">
        <v>5009</v>
      </c>
      <c r="B191" s="552" t="s">
        <v>5010</v>
      </c>
      <c r="C191" s="553">
        <f>[140]LIST!H14</f>
        <v>2600</v>
      </c>
      <c r="D191" s="554">
        <f t="shared" si="3"/>
        <v>2.6</v>
      </c>
      <c r="E191" s="556">
        <f>D191+0.22</f>
        <v>2.8200000000000003</v>
      </c>
      <c r="F191" s="544"/>
      <c r="G191" s="545"/>
    </row>
    <row r="192" spans="1:7" s="546" customFormat="1" ht="20.25" customHeight="1">
      <c r="A192" s="557" t="s">
        <v>5011</v>
      </c>
      <c r="B192" s="558" t="s">
        <v>5012</v>
      </c>
      <c r="C192" s="559">
        <f>[140]LIST!I14</f>
        <v>700</v>
      </c>
      <c r="D192" s="560">
        <f t="shared" si="3"/>
        <v>0.7</v>
      </c>
      <c r="E192" s="561"/>
      <c r="F192" s="544"/>
      <c r="G192" s="545"/>
    </row>
    <row r="193" spans="1:7" s="539" customFormat="1" ht="20.25" customHeight="1">
      <c r="A193" s="562" t="str">
        <f>[140]LIST!B14</f>
        <v>SC-202</v>
      </c>
      <c r="B193" s="563" t="str">
        <f>[140]LIST!C14</f>
        <v>벽부형진열장(전동형)</v>
      </c>
      <c r="C193" s="564" t="str">
        <f>A187&amp;": "&amp;C187&amp;" "&amp;A188&amp;": "&amp;C188&amp;" "&amp;A189&amp;": "&amp;C189&amp;" "&amp;A190&amp;": "&amp;C190&amp;" "&amp;A191&amp;": "&amp;C191&amp;" "&amp;A192&amp;": "&amp;C192</f>
        <v>L: 6000 D: 1000 H: 3600 FH: 300 GH: 2600 UH: 700</v>
      </c>
      <c r="D193" s="565" t="s">
        <v>398</v>
      </c>
      <c r="E193" s="566"/>
      <c r="F193" s="567">
        <v>4</v>
      </c>
      <c r="G193" s="568"/>
    </row>
    <row r="194" spans="1:7" s="575" customFormat="1" ht="18.75" customHeight="1">
      <c r="A194" s="615"/>
      <c r="B194" s="570" t="s">
        <v>5013</v>
      </c>
      <c r="C194" s="571"/>
      <c r="D194" s="572"/>
      <c r="E194" s="573"/>
      <c r="F194" s="544"/>
      <c r="G194" s="574"/>
    </row>
    <row r="195" spans="1:7" s="575" customFormat="1" ht="18.75" customHeight="1">
      <c r="A195" s="569"/>
      <c r="B195" s="576" t="s">
        <v>5014</v>
      </c>
      <c r="C195" s="571" t="s">
        <v>5015</v>
      </c>
      <c r="D195" s="572" t="s">
        <v>5016</v>
      </c>
      <c r="E195" s="577" t="s">
        <v>5017</v>
      </c>
      <c r="F195" s="578">
        <v>187.7</v>
      </c>
      <c r="G195" s="574"/>
    </row>
    <row r="196" spans="1:7" s="575" customFormat="1" ht="18.75" customHeight="1">
      <c r="A196" s="569"/>
      <c r="B196" s="576" t="s">
        <v>5014</v>
      </c>
      <c r="C196" s="571" t="s">
        <v>5018</v>
      </c>
      <c r="D196" s="572" t="s">
        <v>5016</v>
      </c>
      <c r="E196" s="573" t="s">
        <v>5019</v>
      </c>
      <c r="F196" s="544">
        <v>31.2</v>
      </c>
      <c r="G196" s="574"/>
    </row>
    <row r="197" spans="1:7" s="575" customFormat="1" ht="18.75" customHeight="1">
      <c r="A197" s="569"/>
      <c r="B197" s="579" t="s">
        <v>5020</v>
      </c>
      <c r="C197" s="580" t="s">
        <v>5021</v>
      </c>
      <c r="D197" s="572"/>
      <c r="E197" s="573"/>
      <c r="F197" s="544"/>
      <c r="G197" s="574"/>
    </row>
    <row r="198" spans="1:7" s="546" customFormat="1" ht="18.75" customHeight="1">
      <c r="A198" s="532"/>
      <c r="B198" s="581" t="s">
        <v>5022</v>
      </c>
      <c r="C198" s="582" t="s">
        <v>5023</v>
      </c>
      <c r="D198" s="583" t="s">
        <v>5024</v>
      </c>
      <c r="E198" s="584" t="s">
        <v>5025</v>
      </c>
      <c r="F198" s="578">
        <v>1.8900000000000001</v>
      </c>
      <c r="G198" s="585" t="s">
        <v>5026</v>
      </c>
    </row>
    <row r="199" spans="1:7" s="575" customFormat="1" ht="18.75" customHeight="1">
      <c r="A199" s="569"/>
      <c r="B199" s="571" t="s">
        <v>5022</v>
      </c>
      <c r="C199" s="586" t="s">
        <v>5023</v>
      </c>
      <c r="D199" s="572" t="s">
        <v>5024</v>
      </c>
      <c r="E199" s="587" t="s">
        <v>5027</v>
      </c>
      <c r="F199" s="588">
        <v>2.952</v>
      </c>
      <c r="G199" s="589" t="s">
        <v>5028</v>
      </c>
    </row>
    <row r="200" spans="1:7" s="575" customFormat="1" ht="18.75" customHeight="1">
      <c r="A200" s="569"/>
      <c r="B200" s="571" t="s">
        <v>5022</v>
      </c>
      <c r="C200" s="586" t="s">
        <v>5023</v>
      </c>
      <c r="D200" s="572" t="s">
        <v>5024</v>
      </c>
      <c r="E200" s="587" t="s">
        <v>5029</v>
      </c>
      <c r="F200" s="588">
        <v>3.9660000000000002</v>
      </c>
      <c r="G200" s="589" t="s">
        <v>5030</v>
      </c>
    </row>
    <row r="201" spans="1:7" s="575" customFormat="1" ht="18.75" customHeight="1">
      <c r="A201" s="569"/>
      <c r="B201" s="571" t="s">
        <v>5022</v>
      </c>
      <c r="C201" s="586" t="s">
        <v>5023</v>
      </c>
      <c r="D201" s="572" t="s">
        <v>5024</v>
      </c>
      <c r="E201" s="587" t="s">
        <v>5031</v>
      </c>
      <c r="F201" s="588">
        <v>1.23</v>
      </c>
      <c r="G201" s="589" t="s">
        <v>5032</v>
      </c>
    </row>
    <row r="202" spans="1:7" s="546" customFormat="1" ht="18.75" customHeight="1">
      <c r="A202" s="532"/>
      <c r="B202" s="581" t="s">
        <v>5022</v>
      </c>
      <c r="C202" s="582" t="s">
        <v>5023</v>
      </c>
      <c r="D202" s="583" t="s">
        <v>5024</v>
      </c>
      <c r="E202" s="584" t="s">
        <v>5033</v>
      </c>
      <c r="F202" s="588">
        <v>4.32</v>
      </c>
      <c r="G202" s="585" t="s">
        <v>5034</v>
      </c>
    </row>
    <row r="203" spans="1:7" s="575" customFormat="1" ht="18.75" customHeight="1">
      <c r="A203" s="569"/>
      <c r="B203" s="571" t="s">
        <v>5022</v>
      </c>
      <c r="C203" s="586" t="s">
        <v>5023</v>
      </c>
      <c r="D203" s="572" t="s">
        <v>5024</v>
      </c>
      <c r="E203" s="587" t="s">
        <v>5035</v>
      </c>
      <c r="F203" s="583">
        <v>3.6960000000000006</v>
      </c>
      <c r="G203" s="589" t="s">
        <v>5036</v>
      </c>
    </row>
    <row r="204" spans="1:7" s="575" customFormat="1" ht="18.75" customHeight="1">
      <c r="A204" s="569"/>
      <c r="B204" s="571" t="s">
        <v>5022</v>
      </c>
      <c r="C204" s="586" t="s">
        <v>5023</v>
      </c>
      <c r="D204" s="572" t="s">
        <v>5024</v>
      </c>
      <c r="E204" s="587" t="s">
        <v>5037</v>
      </c>
      <c r="F204" s="590">
        <v>1.04</v>
      </c>
      <c r="G204" s="589" t="s">
        <v>5038</v>
      </c>
    </row>
    <row r="205" spans="1:7" s="575" customFormat="1" ht="18.75" customHeight="1">
      <c r="A205" s="569"/>
      <c r="B205" s="571" t="s">
        <v>5022</v>
      </c>
      <c r="C205" s="586" t="s">
        <v>5023</v>
      </c>
      <c r="D205" s="572" t="s">
        <v>5024</v>
      </c>
      <c r="E205" s="587" t="s">
        <v>5039</v>
      </c>
      <c r="F205" s="591">
        <v>2.1743999999999999</v>
      </c>
      <c r="G205" s="589" t="s">
        <v>5040</v>
      </c>
    </row>
    <row r="206" spans="1:7" s="575" customFormat="1" ht="18.75" customHeight="1">
      <c r="A206" s="569"/>
      <c r="B206" s="571" t="s">
        <v>5041</v>
      </c>
      <c r="C206" s="586" t="s">
        <v>5042</v>
      </c>
      <c r="D206" s="572" t="s">
        <v>59</v>
      </c>
      <c r="E206" s="587" t="s">
        <v>5043</v>
      </c>
      <c r="F206" s="590">
        <v>4.1999999999999993</v>
      </c>
      <c r="G206" s="589" t="s">
        <v>5044</v>
      </c>
    </row>
    <row r="207" spans="1:7" s="575" customFormat="1" ht="18.75" customHeight="1">
      <c r="A207" s="569"/>
      <c r="B207" s="579" t="s">
        <v>5020</v>
      </c>
      <c r="C207" s="580" t="s">
        <v>5045</v>
      </c>
      <c r="D207" s="572"/>
      <c r="E207" s="587"/>
      <c r="F207" s="578"/>
      <c r="G207" s="589"/>
    </row>
    <row r="208" spans="1:7" s="575" customFormat="1" ht="18.75" customHeight="1">
      <c r="A208" s="569"/>
      <c r="B208" s="571" t="s">
        <v>5022</v>
      </c>
      <c r="C208" s="586" t="s">
        <v>5046</v>
      </c>
      <c r="D208" s="572" t="s">
        <v>5024</v>
      </c>
      <c r="E208" s="587" t="s">
        <v>5047</v>
      </c>
      <c r="F208" s="590">
        <v>2.718</v>
      </c>
      <c r="G208" s="589" t="s">
        <v>5048</v>
      </c>
    </row>
    <row r="209" spans="1:7" s="575" customFormat="1" ht="18.75" customHeight="1">
      <c r="A209" s="569"/>
      <c r="B209" s="571" t="s">
        <v>5022</v>
      </c>
      <c r="C209" s="586" t="s">
        <v>5023</v>
      </c>
      <c r="D209" s="572" t="s">
        <v>5024</v>
      </c>
      <c r="E209" s="587" t="s">
        <v>5049</v>
      </c>
      <c r="F209" s="591">
        <v>1.044</v>
      </c>
      <c r="G209" s="589" t="s">
        <v>5050</v>
      </c>
    </row>
    <row r="210" spans="1:7" s="575" customFormat="1" ht="18.75" customHeight="1">
      <c r="A210" s="569"/>
      <c r="B210" s="571" t="s">
        <v>5022</v>
      </c>
      <c r="C210" s="586" t="s">
        <v>5023</v>
      </c>
      <c r="D210" s="572" t="s">
        <v>5024</v>
      </c>
      <c r="E210" s="587" t="s">
        <v>5051</v>
      </c>
      <c r="F210" s="591">
        <v>0.79800000000000004</v>
      </c>
      <c r="G210" s="589" t="s">
        <v>5052</v>
      </c>
    </row>
    <row r="211" spans="1:7" s="575" customFormat="1" ht="18.75" customHeight="1">
      <c r="A211" s="592"/>
      <c r="B211" s="579" t="s">
        <v>5053</v>
      </c>
      <c r="C211" s="580"/>
      <c r="D211" s="572"/>
      <c r="E211" s="574"/>
      <c r="F211" s="544"/>
      <c r="G211" s="589"/>
    </row>
    <row r="212" spans="1:7" s="575" customFormat="1" ht="18.75" customHeight="1">
      <c r="A212" s="569"/>
      <c r="B212" s="576" t="s">
        <v>5054</v>
      </c>
      <c r="C212" s="571"/>
      <c r="D212" s="572" t="s">
        <v>5016</v>
      </c>
      <c r="E212" s="593" t="s">
        <v>5055</v>
      </c>
      <c r="F212" s="588">
        <v>12</v>
      </c>
      <c r="G212" s="594"/>
    </row>
    <row r="213" spans="1:7" s="575" customFormat="1" ht="18.75" customHeight="1">
      <c r="A213" s="595"/>
      <c r="B213" s="596" t="s">
        <v>5056</v>
      </c>
      <c r="C213" s="596" t="s">
        <v>5057</v>
      </c>
      <c r="D213" s="597" t="s">
        <v>5058</v>
      </c>
      <c r="E213" s="598">
        <v>3</v>
      </c>
      <c r="F213" s="599">
        <v>3</v>
      </c>
      <c r="G213" s="600"/>
    </row>
    <row r="214" spans="1:7" s="575" customFormat="1" ht="18.75" customHeight="1">
      <c r="A214" s="569"/>
      <c r="B214" s="571" t="s">
        <v>5059</v>
      </c>
      <c r="C214" s="571"/>
      <c r="D214" s="572" t="s">
        <v>5016</v>
      </c>
      <c r="E214" s="593" t="s">
        <v>5060</v>
      </c>
      <c r="F214" s="588">
        <v>12</v>
      </c>
      <c r="G214" s="594"/>
    </row>
    <row r="215" spans="1:7" s="575" customFormat="1" ht="18.75" customHeight="1">
      <c r="A215" s="569"/>
      <c r="B215" s="589" t="s">
        <v>5061</v>
      </c>
      <c r="C215" s="586" t="s">
        <v>5062</v>
      </c>
      <c r="D215" s="572" t="s">
        <v>5016</v>
      </c>
      <c r="E215" s="593" t="s">
        <v>5063</v>
      </c>
      <c r="F215" s="588">
        <v>17.2</v>
      </c>
      <c r="G215" s="594"/>
    </row>
    <row r="216" spans="1:7" s="575" customFormat="1" ht="18.75" customHeight="1">
      <c r="A216" s="569"/>
      <c r="B216" s="576" t="s">
        <v>5064</v>
      </c>
      <c r="C216" s="571" t="s">
        <v>5065</v>
      </c>
      <c r="D216" s="572" t="s">
        <v>5016</v>
      </c>
      <c r="E216" s="593" t="s">
        <v>5001</v>
      </c>
      <c r="F216" s="544">
        <v>6</v>
      </c>
      <c r="G216" s="594"/>
    </row>
    <row r="217" spans="1:7" s="575" customFormat="1" ht="18.75" customHeight="1">
      <c r="A217" s="569"/>
      <c r="B217" s="576" t="s">
        <v>5064</v>
      </c>
      <c r="C217" s="571" t="s">
        <v>5066</v>
      </c>
      <c r="D217" s="572" t="s">
        <v>5016</v>
      </c>
      <c r="E217" s="593" t="s">
        <v>5001</v>
      </c>
      <c r="F217" s="544">
        <v>6</v>
      </c>
      <c r="G217" s="594"/>
    </row>
    <row r="218" spans="1:7" s="575" customFormat="1" ht="18.75" customHeight="1">
      <c r="A218" s="595"/>
      <c r="B218" s="601" t="s">
        <v>5067</v>
      </c>
      <c r="C218" s="602" t="s">
        <v>5068</v>
      </c>
      <c r="D218" s="603" t="s">
        <v>5069</v>
      </c>
      <c r="E218" s="598">
        <v>16</v>
      </c>
      <c r="F218" s="599">
        <v>16</v>
      </c>
      <c r="G218" s="600"/>
    </row>
    <row r="219" spans="1:7" s="575" customFormat="1" ht="18.75" customHeight="1">
      <c r="A219" s="595"/>
      <c r="B219" s="604" t="s">
        <v>5070</v>
      </c>
      <c r="C219" s="605" t="s">
        <v>5071</v>
      </c>
      <c r="D219" s="606" t="s">
        <v>5069</v>
      </c>
      <c r="E219" s="598">
        <v>32</v>
      </c>
      <c r="F219" s="599">
        <v>32</v>
      </c>
      <c r="G219" s="600"/>
    </row>
    <row r="220" spans="1:7" s="575" customFormat="1" ht="18.75" customHeight="1">
      <c r="A220" s="569"/>
      <c r="B220" s="571" t="s">
        <v>5072</v>
      </c>
      <c r="C220" s="586" t="s">
        <v>5073</v>
      </c>
      <c r="D220" s="572" t="s">
        <v>5016</v>
      </c>
      <c r="E220" s="593" t="s">
        <v>5055</v>
      </c>
      <c r="F220" s="588">
        <v>12</v>
      </c>
      <c r="G220" s="594"/>
    </row>
    <row r="221" spans="1:7" s="575" customFormat="1" ht="18.75" customHeight="1">
      <c r="A221" s="569"/>
      <c r="B221" s="576" t="s">
        <v>5074</v>
      </c>
      <c r="C221" s="586" t="s">
        <v>5075</v>
      </c>
      <c r="D221" s="572" t="s">
        <v>5076</v>
      </c>
      <c r="E221" s="593" t="s">
        <v>5077</v>
      </c>
      <c r="F221" s="588">
        <v>156</v>
      </c>
      <c r="G221" s="594"/>
    </row>
    <row r="222" spans="1:7" s="575" customFormat="1" ht="18.75" customHeight="1">
      <c r="A222" s="569"/>
      <c r="B222" s="576" t="s">
        <v>5078</v>
      </c>
      <c r="C222" s="586" t="s">
        <v>5079</v>
      </c>
      <c r="D222" s="572" t="s">
        <v>5076</v>
      </c>
      <c r="E222" s="593" t="str">
        <f>E221</f>
        <v>(L*13)*2</v>
      </c>
      <c r="F222" s="588">
        <v>156</v>
      </c>
      <c r="G222" s="594"/>
    </row>
    <row r="223" spans="1:7" s="575" customFormat="1" ht="18.75" customHeight="1">
      <c r="A223" s="595"/>
      <c r="B223" s="602" t="s">
        <v>5080</v>
      </c>
      <c r="C223" s="605" t="s">
        <v>5081</v>
      </c>
      <c r="D223" s="606" t="s">
        <v>5069</v>
      </c>
      <c r="E223" s="598">
        <v>4</v>
      </c>
      <c r="F223" s="599">
        <v>4</v>
      </c>
      <c r="G223" s="600"/>
    </row>
    <row r="224" spans="1:7" s="575" customFormat="1" ht="18.75" customHeight="1">
      <c r="A224" s="595"/>
      <c r="B224" s="601" t="s">
        <v>5082</v>
      </c>
      <c r="C224" s="605" t="s">
        <v>5083</v>
      </c>
      <c r="D224" s="606" t="s">
        <v>5069</v>
      </c>
      <c r="E224" s="598">
        <v>2</v>
      </c>
      <c r="F224" s="599">
        <v>2</v>
      </c>
      <c r="G224" s="600"/>
    </row>
    <row r="225" spans="1:7" s="575" customFormat="1" ht="18.75" customHeight="1">
      <c r="A225" s="595"/>
      <c r="B225" s="596" t="s">
        <v>5084</v>
      </c>
      <c r="C225" s="605" t="s">
        <v>5085</v>
      </c>
      <c r="D225" s="606" t="s">
        <v>5069</v>
      </c>
      <c r="E225" s="607">
        <v>2</v>
      </c>
      <c r="F225" s="599">
        <v>2</v>
      </c>
      <c r="G225" s="600"/>
    </row>
    <row r="226" spans="1:7" s="575" customFormat="1" ht="18.75" customHeight="1">
      <c r="A226" s="569"/>
      <c r="B226" s="579" t="s">
        <v>5086</v>
      </c>
      <c r="C226" s="580"/>
      <c r="D226" s="572"/>
      <c r="E226" s="587"/>
      <c r="F226" s="544"/>
      <c r="G226" s="594"/>
    </row>
    <row r="227" spans="1:7" s="546" customFormat="1" ht="18.75" customHeight="1">
      <c r="A227" s="532"/>
      <c r="B227" s="608" t="s">
        <v>5087</v>
      </c>
      <c r="C227" s="581" t="s">
        <v>5088</v>
      </c>
      <c r="D227" s="583" t="s">
        <v>5024</v>
      </c>
      <c r="E227" s="584" t="s">
        <v>5089</v>
      </c>
      <c r="F227" s="591">
        <v>38.4</v>
      </c>
      <c r="G227" s="545"/>
    </row>
    <row r="228" spans="1:7" s="546" customFormat="1" ht="18.75" customHeight="1">
      <c r="A228" s="532"/>
      <c r="B228" s="585" t="s">
        <v>5090</v>
      </c>
      <c r="C228" s="582" t="s">
        <v>5091</v>
      </c>
      <c r="D228" s="583" t="s">
        <v>5024</v>
      </c>
      <c r="E228" s="584" t="s">
        <v>5089</v>
      </c>
      <c r="F228" s="591">
        <v>38.4</v>
      </c>
      <c r="G228" s="545"/>
    </row>
    <row r="229" spans="1:7" s="546" customFormat="1" ht="18.75" customHeight="1">
      <c r="A229" s="532"/>
      <c r="B229" s="581" t="s">
        <v>5092</v>
      </c>
      <c r="C229" s="582" t="s">
        <v>5093</v>
      </c>
      <c r="D229" s="583" t="s">
        <v>59</v>
      </c>
      <c r="E229" s="584" t="s">
        <v>5094</v>
      </c>
      <c r="F229" s="590">
        <v>6</v>
      </c>
      <c r="G229" s="545"/>
    </row>
    <row r="230" spans="1:7" s="546" customFormat="1" ht="18.75" customHeight="1">
      <c r="A230" s="532"/>
      <c r="B230" s="581" t="s">
        <v>5092</v>
      </c>
      <c r="C230" s="582" t="s">
        <v>5095</v>
      </c>
      <c r="D230" s="583" t="s">
        <v>59</v>
      </c>
      <c r="E230" s="584" t="s">
        <v>5096</v>
      </c>
      <c r="F230" s="591">
        <v>43.2</v>
      </c>
      <c r="G230" s="545"/>
    </row>
    <row r="231" spans="1:7" s="546" customFormat="1" ht="18.75" customHeight="1">
      <c r="A231" s="532"/>
      <c r="B231" s="585" t="s">
        <v>5097</v>
      </c>
      <c r="C231" s="582" t="s">
        <v>5098</v>
      </c>
      <c r="D231" s="583" t="s">
        <v>5024</v>
      </c>
      <c r="E231" s="584" t="s">
        <v>5099</v>
      </c>
      <c r="F231" s="591">
        <v>3.5999999999999996</v>
      </c>
      <c r="G231" s="545"/>
    </row>
    <row r="232" spans="1:7" s="609" customFormat="1" ht="18.75" customHeight="1">
      <c r="A232" s="595"/>
      <c r="B232" s="596" t="s">
        <v>5100</v>
      </c>
      <c r="C232" s="596" t="s">
        <v>5101</v>
      </c>
      <c r="D232" s="606" t="s">
        <v>59</v>
      </c>
      <c r="E232" s="602" t="s">
        <v>5102</v>
      </c>
      <c r="F232" s="599">
        <v>30.028399999999998</v>
      </c>
      <c r="G232" s="600"/>
    </row>
    <row r="233" spans="1:7" s="609" customFormat="1" ht="18.75" customHeight="1">
      <c r="A233" s="595"/>
      <c r="B233" s="602" t="s">
        <v>5090</v>
      </c>
      <c r="C233" s="596" t="s">
        <v>5101</v>
      </c>
      <c r="D233" s="606" t="s">
        <v>5024</v>
      </c>
      <c r="E233" s="610" t="str">
        <f>E232</f>
        <v>3.624*L+0.16*((L*2)+(D*10))+((0.246*(H-0.5))*2+0.3*(D+D)+L*UH+0.18*(D+D+L)</v>
      </c>
      <c r="F233" s="599">
        <v>30.028399999999998</v>
      </c>
      <c r="G233" s="600"/>
    </row>
    <row r="234" spans="1:7" s="575" customFormat="1" ht="18.75" customHeight="1">
      <c r="A234" s="569"/>
      <c r="B234" s="579" t="s">
        <v>5103</v>
      </c>
      <c r="C234" s="580"/>
      <c r="D234" s="572"/>
      <c r="E234" s="587"/>
      <c r="F234" s="544"/>
      <c r="G234" s="594"/>
    </row>
    <row r="235" spans="1:7" s="575" customFormat="1" ht="18.75" customHeight="1">
      <c r="A235" s="569"/>
      <c r="B235" s="576" t="s">
        <v>5104</v>
      </c>
      <c r="C235" s="611" t="s">
        <v>5105</v>
      </c>
      <c r="D235" s="572" t="s">
        <v>59</v>
      </c>
      <c r="E235" s="587" t="s">
        <v>5106</v>
      </c>
      <c r="F235" s="591">
        <v>16.920000000000002</v>
      </c>
      <c r="G235" s="594"/>
    </row>
    <row r="236" spans="1:7" s="575" customFormat="1" ht="18.75" customHeight="1">
      <c r="A236" s="569"/>
      <c r="B236" s="576" t="s">
        <v>5107</v>
      </c>
      <c r="C236" s="571" t="s">
        <v>5108</v>
      </c>
      <c r="D236" s="572" t="s">
        <v>5109</v>
      </c>
      <c r="E236" s="587" t="s">
        <v>5110</v>
      </c>
      <c r="F236" s="591">
        <v>0.89999999999999991</v>
      </c>
      <c r="G236" s="594"/>
    </row>
    <row r="237" spans="1:7" s="575" customFormat="1" ht="18.75" customHeight="1">
      <c r="A237" s="569"/>
      <c r="B237" s="589" t="s">
        <v>5111</v>
      </c>
      <c r="C237" s="586"/>
      <c r="D237" s="572" t="s">
        <v>5016</v>
      </c>
      <c r="E237" s="587" t="s">
        <v>5112</v>
      </c>
      <c r="F237" s="591">
        <v>52.92</v>
      </c>
      <c r="G237" s="594"/>
    </row>
    <row r="238" spans="1:7" s="575" customFormat="1" ht="18.75" customHeight="1">
      <c r="A238" s="569"/>
      <c r="B238" s="589" t="s">
        <v>5113</v>
      </c>
      <c r="C238" s="586"/>
      <c r="D238" s="572" t="s">
        <v>5016</v>
      </c>
      <c r="E238" s="587" t="s">
        <v>5114</v>
      </c>
      <c r="F238" s="591">
        <v>46.56</v>
      </c>
      <c r="G238" s="594"/>
    </row>
    <row r="239" spans="1:7" s="575" customFormat="1" ht="18.75" customHeight="1">
      <c r="A239" s="569"/>
      <c r="B239" s="579" t="s">
        <v>5115</v>
      </c>
      <c r="C239" s="580"/>
      <c r="D239" s="572"/>
      <c r="E239" s="587"/>
      <c r="F239" s="544"/>
      <c r="G239" s="594"/>
    </row>
    <row r="240" spans="1:7" s="575" customFormat="1" ht="18.75" customHeight="1">
      <c r="A240" s="569"/>
      <c r="B240" s="612" t="s">
        <v>5116</v>
      </c>
      <c r="C240" s="589" t="s">
        <v>5117</v>
      </c>
      <c r="D240" s="572" t="s">
        <v>5118</v>
      </c>
      <c r="E240" s="613" t="s">
        <v>5119</v>
      </c>
      <c r="F240" s="544">
        <v>15</v>
      </c>
      <c r="G240" s="594"/>
    </row>
    <row r="241" spans="1:7" s="575" customFormat="1" ht="18.75" customHeight="1">
      <c r="A241" s="569"/>
      <c r="B241" s="571" t="s">
        <v>5120</v>
      </c>
      <c r="C241" s="571" t="s">
        <v>5121</v>
      </c>
      <c r="D241" s="572" t="s">
        <v>5016</v>
      </c>
      <c r="E241" s="613" t="s">
        <v>5060</v>
      </c>
      <c r="F241" s="544">
        <v>12</v>
      </c>
      <c r="G241" s="594"/>
    </row>
    <row r="242" spans="1:7" s="575" customFormat="1" ht="18.75" customHeight="1">
      <c r="A242" s="595"/>
      <c r="B242" s="596" t="s">
        <v>5122</v>
      </c>
      <c r="C242" s="596" t="s">
        <v>5123</v>
      </c>
      <c r="D242" s="606" t="s">
        <v>5058</v>
      </c>
      <c r="E242" s="614">
        <v>1</v>
      </c>
      <c r="F242" s="599">
        <v>1</v>
      </c>
      <c r="G242" s="600"/>
    </row>
    <row r="243" spans="1:7" s="575" customFormat="1" ht="18.75" customHeight="1">
      <c r="A243" s="595"/>
      <c r="B243" s="596" t="s">
        <v>5124</v>
      </c>
      <c r="C243" s="596" t="s">
        <v>5125</v>
      </c>
      <c r="D243" s="606" t="s">
        <v>5058</v>
      </c>
      <c r="E243" s="614">
        <v>1</v>
      </c>
      <c r="F243" s="599">
        <v>1</v>
      </c>
      <c r="G243" s="600"/>
    </row>
    <row r="244" spans="1:7" s="575" customFormat="1" ht="18.75" customHeight="1">
      <c r="A244" s="595"/>
      <c r="B244" s="596"/>
      <c r="C244" s="596"/>
      <c r="D244" s="606"/>
      <c r="E244" s="614"/>
      <c r="F244" s="599"/>
      <c r="G244" s="600"/>
    </row>
    <row r="245" spans="1:7" s="546" customFormat="1" ht="18.75" customHeight="1">
      <c r="A245" s="532"/>
      <c r="B245" s="581"/>
      <c r="C245" s="624"/>
      <c r="D245" s="583"/>
      <c r="E245" s="625"/>
      <c r="F245" s="544"/>
      <c r="G245" s="545"/>
    </row>
    <row r="246" spans="1:7" s="546" customFormat="1" ht="18.75" customHeight="1">
      <c r="A246" s="532"/>
      <c r="B246" s="581"/>
      <c r="C246" s="624"/>
      <c r="D246" s="583"/>
      <c r="E246" s="625"/>
      <c r="F246" s="544"/>
      <c r="G246" s="545"/>
    </row>
    <row r="247" spans="1:7" s="546" customFormat="1" ht="20.25" customHeight="1">
      <c r="A247" s="547" t="s">
        <v>5001</v>
      </c>
      <c r="B247" s="548" t="s">
        <v>5002</v>
      </c>
      <c r="C247" s="549">
        <f>[140]LIST!D15</f>
        <v>8000</v>
      </c>
      <c r="D247" s="550">
        <f t="shared" ref="D247:D252" si="4">C247/1000</f>
        <v>8</v>
      </c>
      <c r="E247" s="536"/>
      <c r="F247" s="544"/>
      <c r="G247" s="545"/>
    </row>
    <row r="248" spans="1:7" s="546" customFormat="1" ht="20.25" customHeight="1">
      <c r="A248" s="551" t="s">
        <v>5003</v>
      </c>
      <c r="B248" s="552" t="s">
        <v>5004</v>
      </c>
      <c r="C248" s="553">
        <f>[140]LIST!E15</f>
        <v>1000</v>
      </c>
      <c r="D248" s="554">
        <f t="shared" si="4"/>
        <v>1</v>
      </c>
      <c r="E248" s="536"/>
      <c r="F248" s="544"/>
      <c r="G248" s="545"/>
    </row>
    <row r="249" spans="1:7" s="546" customFormat="1" ht="20.25" customHeight="1">
      <c r="A249" s="551" t="s">
        <v>5005</v>
      </c>
      <c r="B249" s="552" t="s">
        <v>5006</v>
      </c>
      <c r="C249" s="553">
        <f>[140]LIST!F15</f>
        <v>3600</v>
      </c>
      <c r="D249" s="554">
        <f t="shared" si="4"/>
        <v>3.6</v>
      </c>
      <c r="E249" s="536"/>
      <c r="F249" s="544"/>
      <c r="G249" s="545"/>
    </row>
    <row r="250" spans="1:7" s="546" customFormat="1" ht="20.25" customHeight="1">
      <c r="A250" s="555" t="s">
        <v>5007</v>
      </c>
      <c r="B250" s="552" t="s">
        <v>5008</v>
      </c>
      <c r="C250" s="553">
        <f>[140]LIST!G15</f>
        <v>300</v>
      </c>
      <c r="D250" s="554">
        <f t="shared" si="4"/>
        <v>0.3</v>
      </c>
      <c r="E250" s="536"/>
      <c r="F250" s="544"/>
      <c r="G250" s="545"/>
    </row>
    <row r="251" spans="1:7" s="539" customFormat="1" ht="20.25" customHeight="1">
      <c r="A251" s="555" t="s">
        <v>5009</v>
      </c>
      <c r="B251" s="552" t="s">
        <v>5010</v>
      </c>
      <c r="C251" s="553">
        <f>[140]LIST!H15</f>
        <v>2600</v>
      </c>
      <c r="D251" s="554">
        <f t="shared" si="4"/>
        <v>2.6</v>
      </c>
      <c r="E251" s="556">
        <f>D251+0.22</f>
        <v>2.8200000000000003</v>
      </c>
      <c r="F251" s="544"/>
      <c r="G251" s="545"/>
    </row>
    <row r="252" spans="1:7" s="546" customFormat="1" ht="20.25" customHeight="1">
      <c r="A252" s="557" t="s">
        <v>5011</v>
      </c>
      <c r="B252" s="558" t="s">
        <v>5012</v>
      </c>
      <c r="C252" s="559">
        <f>[140]LIST!I15</f>
        <v>700</v>
      </c>
      <c r="D252" s="560">
        <f t="shared" si="4"/>
        <v>0.7</v>
      </c>
      <c r="E252" s="561"/>
      <c r="F252" s="544"/>
      <c r="G252" s="545"/>
    </row>
    <row r="253" spans="1:7" s="539" customFormat="1" ht="20.25" customHeight="1">
      <c r="A253" s="562" t="str">
        <f>[140]LIST!B15</f>
        <v>SC-203</v>
      </c>
      <c r="B253" s="563" t="str">
        <f>[140]LIST!C15</f>
        <v>벽부형진열장(전동형)</v>
      </c>
      <c r="C253" s="564" t="str">
        <f>A247&amp;": "&amp;C247&amp;" "&amp;A248&amp;": "&amp;C248&amp;" "&amp;A249&amp;": "&amp;C249&amp;" "&amp;A250&amp;": "&amp;C250&amp;" "&amp;A251&amp;": "&amp;C251&amp;" "&amp;A252&amp;": "&amp;C252</f>
        <v>L: 8000 D: 1000 H: 3600 FH: 300 GH: 2600 UH: 700</v>
      </c>
      <c r="D253" s="565" t="s">
        <v>398</v>
      </c>
      <c r="E253" s="566"/>
      <c r="F253" s="567">
        <v>3</v>
      </c>
      <c r="G253" s="568"/>
    </row>
    <row r="254" spans="1:7" s="575" customFormat="1" ht="18.75" customHeight="1">
      <c r="A254" s="615"/>
      <c r="B254" s="570" t="s">
        <v>5013</v>
      </c>
      <c r="C254" s="571"/>
      <c r="D254" s="572"/>
      <c r="E254" s="573"/>
      <c r="F254" s="544"/>
      <c r="G254" s="574"/>
    </row>
    <row r="255" spans="1:7" s="575" customFormat="1" ht="18.75" customHeight="1">
      <c r="A255" s="569"/>
      <c r="B255" s="576" t="s">
        <v>5014</v>
      </c>
      <c r="C255" s="571" t="s">
        <v>5015</v>
      </c>
      <c r="D255" s="572" t="s">
        <v>5016</v>
      </c>
      <c r="E255" s="577" t="s">
        <v>5017</v>
      </c>
      <c r="F255" s="578">
        <v>227.7</v>
      </c>
      <c r="G255" s="574"/>
    </row>
    <row r="256" spans="1:7" s="575" customFormat="1" ht="18.75" customHeight="1">
      <c r="A256" s="569"/>
      <c r="B256" s="576" t="s">
        <v>5014</v>
      </c>
      <c r="C256" s="571" t="s">
        <v>5018</v>
      </c>
      <c r="D256" s="572" t="s">
        <v>5016</v>
      </c>
      <c r="E256" s="573" t="s">
        <v>5019</v>
      </c>
      <c r="F256" s="544">
        <v>39.200000000000003</v>
      </c>
      <c r="G256" s="574"/>
    </row>
    <row r="257" spans="1:7" s="575" customFormat="1" ht="18.75" customHeight="1">
      <c r="A257" s="569"/>
      <c r="B257" s="579" t="s">
        <v>5020</v>
      </c>
      <c r="C257" s="580" t="s">
        <v>5021</v>
      </c>
      <c r="D257" s="572"/>
      <c r="E257" s="573"/>
      <c r="F257" s="544"/>
      <c r="G257" s="574"/>
    </row>
    <row r="258" spans="1:7" s="546" customFormat="1" ht="18.75" customHeight="1">
      <c r="A258" s="532"/>
      <c r="B258" s="581" t="s">
        <v>5022</v>
      </c>
      <c r="C258" s="582" t="s">
        <v>5023</v>
      </c>
      <c r="D258" s="583" t="s">
        <v>5024</v>
      </c>
      <c r="E258" s="584" t="s">
        <v>5025</v>
      </c>
      <c r="F258" s="578">
        <v>2.52</v>
      </c>
      <c r="G258" s="585" t="s">
        <v>5026</v>
      </c>
    </row>
    <row r="259" spans="1:7" s="575" customFormat="1" ht="18.75" customHeight="1">
      <c r="A259" s="569"/>
      <c r="B259" s="571" t="s">
        <v>5022</v>
      </c>
      <c r="C259" s="586" t="s">
        <v>5023</v>
      </c>
      <c r="D259" s="572" t="s">
        <v>5024</v>
      </c>
      <c r="E259" s="587" t="s">
        <v>5027</v>
      </c>
      <c r="F259" s="588">
        <v>3.9359999999999999</v>
      </c>
      <c r="G259" s="589" t="s">
        <v>5028</v>
      </c>
    </row>
    <row r="260" spans="1:7" s="575" customFormat="1" ht="18.75" customHeight="1">
      <c r="A260" s="569"/>
      <c r="B260" s="571" t="s">
        <v>5022</v>
      </c>
      <c r="C260" s="586" t="s">
        <v>5023</v>
      </c>
      <c r="D260" s="572" t="s">
        <v>5024</v>
      </c>
      <c r="E260" s="587" t="s">
        <v>5029</v>
      </c>
      <c r="F260" s="588">
        <v>5.2880000000000003</v>
      </c>
      <c r="G260" s="589" t="s">
        <v>5030</v>
      </c>
    </row>
    <row r="261" spans="1:7" s="575" customFormat="1" ht="18.75" customHeight="1">
      <c r="A261" s="569"/>
      <c r="B261" s="571" t="s">
        <v>5022</v>
      </c>
      <c r="C261" s="586" t="s">
        <v>5023</v>
      </c>
      <c r="D261" s="572" t="s">
        <v>5024</v>
      </c>
      <c r="E261" s="587" t="s">
        <v>5031</v>
      </c>
      <c r="F261" s="588">
        <v>1.64</v>
      </c>
      <c r="G261" s="589" t="s">
        <v>5032</v>
      </c>
    </row>
    <row r="262" spans="1:7" s="546" customFormat="1" ht="18.75" customHeight="1">
      <c r="A262" s="532"/>
      <c r="B262" s="581" t="s">
        <v>5022</v>
      </c>
      <c r="C262" s="582" t="s">
        <v>5023</v>
      </c>
      <c r="D262" s="583" t="s">
        <v>5024</v>
      </c>
      <c r="E262" s="584" t="s">
        <v>5033</v>
      </c>
      <c r="F262" s="588">
        <v>4.96</v>
      </c>
      <c r="G262" s="585" t="s">
        <v>5034</v>
      </c>
    </row>
    <row r="263" spans="1:7" s="575" customFormat="1" ht="18.75" customHeight="1">
      <c r="A263" s="569"/>
      <c r="B263" s="571" t="s">
        <v>5022</v>
      </c>
      <c r="C263" s="586" t="s">
        <v>5023</v>
      </c>
      <c r="D263" s="572" t="s">
        <v>5024</v>
      </c>
      <c r="E263" s="587" t="s">
        <v>5035</v>
      </c>
      <c r="F263" s="583">
        <v>3.6960000000000006</v>
      </c>
      <c r="G263" s="589" t="s">
        <v>5036</v>
      </c>
    </row>
    <row r="264" spans="1:7" s="575" customFormat="1" ht="18.75" customHeight="1">
      <c r="A264" s="569"/>
      <c r="B264" s="571" t="s">
        <v>5022</v>
      </c>
      <c r="C264" s="586" t="s">
        <v>5023</v>
      </c>
      <c r="D264" s="572" t="s">
        <v>5024</v>
      </c>
      <c r="E264" s="587" t="s">
        <v>5037</v>
      </c>
      <c r="F264" s="590">
        <v>1.04</v>
      </c>
      <c r="G264" s="589" t="s">
        <v>5038</v>
      </c>
    </row>
    <row r="265" spans="1:7" s="575" customFormat="1" ht="18.75" customHeight="1">
      <c r="A265" s="569"/>
      <c r="B265" s="571" t="s">
        <v>5022</v>
      </c>
      <c r="C265" s="586" t="s">
        <v>5023</v>
      </c>
      <c r="D265" s="572" t="s">
        <v>5024</v>
      </c>
      <c r="E265" s="587" t="s">
        <v>5039</v>
      </c>
      <c r="F265" s="591">
        <v>2.1743999999999999</v>
      </c>
      <c r="G265" s="589" t="s">
        <v>5040</v>
      </c>
    </row>
    <row r="266" spans="1:7" s="575" customFormat="1" ht="18.75" customHeight="1">
      <c r="A266" s="569"/>
      <c r="B266" s="571" t="s">
        <v>5041</v>
      </c>
      <c r="C266" s="586" t="s">
        <v>5042</v>
      </c>
      <c r="D266" s="572" t="s">
        <v>59</v>
      </c>
      <c r="E266" s="587" t="s">
        <v>5043</v>
      </c>
      <c r="F266" s="590">
        <v>5.6</v>
      </c>
      <c r="G266" s="589" t="s">
        <v>5044</v>
      </c>
    </row>
    <row r="267" spans="1:7" s="575" customFormat="1" ht="18.75" customHeight="1">
      <c r="A267" s="569"/>
      <c r="B267" s="579" t="s">
        <v>5020</v>
      </c>
      <c r="C267" s="580" t="s">
        <v>5045</v>
      </c>
      <c r="D267" s="572"/>
      <c r="E267" s="587"/>
      <c r="F267" s="578"/>
      <c r="G267" s="589"/>
    </row>
    <row r="268" spans="1:7" s="575" customFormat="1" ht="18.75" customHeight="1">
      <c r="A268" s="569"/>
      <c r="B268" s="571" t="s">
        <v>5022</v>
      </c>
      <c r="C268" s="586" t="s">
        <v>5046</v>
      </c>
      <c r="D268" s="572" t="s">
        <v>5024</v>
      </c>
      <c r="E268" s="587" t="s">
        <v>5047</v>
      </c>
      <c r="F268" s="590">
        <v>3.6240000000000001</v>
      </c>
      <c r="G268" s="589" t="s">
        <v>5048</v>
      </c>
    </row>
    <row r="269" spans="1:7" s="575" customFormat="1" ht="18.75" customHeight="1">
      <c r="A269" s="569"/>
      <c r="B269" s="571" t="s">
        <v>5022</v>
      </c>
      <c r="C269" s="586" t="s">
        <v>5023</v>
      </c>
      <c r="D269" s="572" t="s">
        <v>5024</v>
      </c>
      <c r="E269" s="587" t="s">
        <v>5049</v>
      </c>
      <c r="F269" s="591">
        <v>1.3919999999999999</v>
      </c>
      <c r="G269" s="589" t="s">
        <v>5050</v>
      </c>
    </row>
    <row r="270" spans="1:7" s="575" customFormat="1" ht="18.75" customHeight="1">
      <c r="A270" s="569"/>
      <c r="B270" s="571" t="s">
        <v>5022</v>
      </c>
      <c r="C270" s="586" t="s">
        <v>5023</v>
      </c>
      <c r="D270" s="572" t="s">
        <v>5024</v>
      </c>
      <c r="E270" s="587" t="s">
        <v>5051</v>
      </c>
      <c r="F270" s="591">
        <v>1.0640000000000001</v>
      </c>
      <c r="G270" s="589" t="s">
        <v>5052</v>
      </c>
    </row>
    <row r="271" spans="1:7" s="575" customFormat="1" ht="18.75" customHeight="1">
      <c r="A271" s="592"/>
      <c r="B271" s="579" t="s">
        <v>5053</v>
      </c>
      <c r="C271" s="580"/>
      <c r="D271" s="572"/>
      <c r="E271" s="574"/>
      <c r="F271" s="544"/>
      <c r="G271" s="589"/>
    </row>
    <row r="272" spans="1:7" s="575" customFormat="1" ht="18.75" customHeight="1">
      <c r="A272" s="569"/>
      <c r="B272" s="576" t="s">
        <v>5054</v>
      </c>
      <c r="C272" s="571"/>
      <c r="D272" s="572" t="s">
        <v>5016</v>
      </c>
      <c r="E272" s="593" t="s">
        <v>5055</v>
      </c>
      <c r="F272" s="588">
        <v>16</v>
      </c>
      <c r="G272" s="594"/>
    </row>
    <row r="273" spans="1:7" s="575" customFormat="1" ht="18.75" customHeight="1">
      <c r="A273" s="595"/>
      <c r="B273" s="596" t="s">
        <v>5056</v>
      </c>
      <c r="C273" s="596" t="s">
        <v>5057</v>
      </c>
      <c r="D273" s="597" t="s">
        <v>5058</v>
      </c>
      <c r="E273" s="598">
        <v>3</v>
      </c>
      <c r="F273" s="599">
        <v>3</v>
      </c>
      <c r="G273" s="600"/>
    </row>
    <row r="274" spans="1:7" s="575" customFormat="1" ht="18.75" customHeight="1">
      <c r="A274" s="569"/>
      <c r="B274" s="571" t="s">
        <v>5059</v>
      </c>
      <c r="C274" s="571"/>
      <c r="D274" s="572" t="s">
        <v>5016</v>
      </c>
      <c r="E274" s="593" t="s">
        <v>5060</v>
      </c>
      <c r="F274" s="588">
        <v>16</v>
      </c>
      <c r="G274" s="594"/>
    </row>
    <row r="275" spans="1:7" s="575" customFormat="1" ht="18.75" customHeight="1">
      <c r="A275" s="569"/>
      <c r="B275" s="589" t="s">
        <v>5061</v>
      </c>
      <c r="C275" s="586" t="s">
        <v>5062</v>
      </c>
      <c r="D275" s="572" t="s">
        <v>5016</v>
      </c>
      <c r="E275" s="593" t="s">
        <v>5063</v>
      </c>
      <c r="F275" s="588">
        <v>21.2</v>
      </c>
      <c r="G275" s="594"/>
    </row>
    <row r="276" spans="1:7" s="575" customFormat="1" ht="18.75" customHeight="1">
      <c r="A276" s="569"/>
      <c r="B276" s="576" t="s">
        <v>5064</v>
      </c>
      <c r="C276" s="571" t="s">
        <v>5065</v>
      </c>
      <c r="D276" s="572" t="s">
        <v>5016</v>
      </c>
      <c r="E276" s="593" t="s">
        <v>5001</v>
      </c>
      <c r="F276" s="544">
        <v>8</v>
      </c>
      <c r="G276" s="594"/>
    </row>
    <row r="277" spans="1:7" s="575" customFormat="1" ht="18.75" customHeight="1">
      <c r="A277" s="569"/>
      <c r="B277" s="576" t="s">
        <v>5064</v>
      </c>
      <c r="C277" s="571" t="s">
        <v>5066</v>
      </c>
      <c r="D277" s="572" t="s">
        <v>5016</v>
      </c>
      <c r="E277" s="593" t="s">
        <v>5001</v>
      </c>
      <c r="F277" s="544">
        <v>8</v>
      </c>
      <c r="G277" s="594"/>
    </row>
    <row r="278" spans="1:7" s="575" customFormat="1" ht="18.75" customHeight="1">
      <c r="A278" s="595"/>
      <c r="B278" s="601" t="s">
        <v>5067</v>
      </c>
      <c r="C278" s="602" t="s">
        <v>5068</v>
      </c>
      <c r="D278" s="603" t="s">
        <v>5069</v>
      </c>
      <c r="E278" s="598">
        <v>12</v>
      </c>
      <c r="F278" s="599">
        <v>12</v>
      </c>
      <c r="G278" s="600"/>
    </row>
    <row r="279" spans="1:7" s="575" customFormat="1" ht="18.75" customHeight="1">
      <c r="A279" s="595"/>
      <c r="B279" s="604" t="s">
        <v>5070</v>
      </c>
      <c r="C279" s="605" t="s">
        <v>5071</v>
      </c>
      <c r="D279" s="606" t="s">
        <v>5069</v>
      </c>
      <c r="E279" s="598">
        <v>24</v>
      </c>
      <c r="F279" s="599">
        <v>24</v>
      </c>
      <c r="G279" s="600"/>
    </row>
    <row r="280" spans="1:7" s="575" customFormat="1" ht="18.75" customHeight="1">
      <c r="A280" s="569"/>
      <c r="B280" s="571" t="s">
        <v>5072</v>
      </c>
      <c r="C280" s="586" t="s">
        <v>5073</v>
      </c>
      <c r="D280" s="572" t="s">
        <v>5016</v>
      </c>
      <c r="E280" s="593" t="s">
        <v>5055</v>
      </c>
      <c r="F280" s="588">
        <v>16</v>
      </c>
      <c r="G280" s="594"/>
    </row>
    <row r="281" spans="1:7" s="575" customFormat="1" ht="18.75" customHeight="1">
      <c r="A281" s="569"/>
      <c r="B281" s="576" t="s">
        <v>5074</v>
      </c>
      <c r="C281" s="586" t="s">
        <v>5075</v>
      </c>
      <c r="D281" s="572" t="s">
        <v>5076</v>
      </c>
      <c r="E281" s="593" t="s">
        <v>5077</v>
      </c>
      <c r="F281" s="588">
        <v>208</v>
      </c>
      <c r="G281" s="594"/>
    </row>
    <row r="282" spans="1:7" s="575" customFormat="1" ht="18.75" customHeight="1">
      <c r="A282" s="569"/>
      <c r="B282" s="576" t="s">
        <v>5078</v>
      </c>
      <c r="C282" s="586" t="s">
        <v>5079</v>
      </c>
      <c r="D282" s="572" t="s">
        <v>5076</v>
      </c>
      <c r="E282" s="593" t="str">
        <f>E281</f>
        <v>(L*13)*2</v>
      </c>
      <c r="F282" s="588">
        <v>208</v>
      </c>
      <c r="G282" s="594"/>
    </row>
    <row r="283" spans="1:7" s="575" customFormat="1" ht="18.75" customHeight="1">
      <c r="A283" s="595"/>
      <c r="B283" s="602" t="s">
        <v>5080</v>
      </c>
      <c r="C283" s="605" t="s">
        <v>5081</v>
      </c>
      <c r="D283" s="606" t="s">
        <v>5069</v>
      </c>
      <c r="E283" s="598">
        <v>6</v>
      </c>
      <c r="F283" s="599">
        <v>6</v>
      </c>
      <c r="G283" s="600"/>
    </row>
    <row r="284" spans="1:7" s="575" customFormat="1" ht="18.75" customHeight="1">
      <c r="A284" s="595"/>
      <c r="B284" s="601" t="s">
        <v>5082</v>
      </c>
      <c r="C284" s="605" t="s">
        <v>5083</v>
      </c>
      <c r="D284" s="606" t="s">
        <v>5069</v>
      </c>
      <c r="E284" s="598">
        <v>2</v>
      </c>
      <c r="F284" s="599">
        <v>2</v>
      </c>
      <c r="G284" s="600"/>
    </row>
    <row r="285" spans="1:7" s="575" customFormat="1" ht="18.75" customHeight="1">
      <c r="A285" s="595"/>
      <c r="B285" s="596" t="s">
        <v>5084</v>
      </c>
      <c r="C285" s="605" t="s">
        <v>5085</v>
      </c>
      <c r="D285" s="606" t="s">
        <v>5069</v>
      </c>
      <c r="E285" s="607">
        <v>2</v>
      </c>
      <c r="F285" s="599">
        <v>2</v>
      </c>
      <c r="G285" s="600"/>
    </row>
    <row r="286" spans="1:7" s="575" customFormat="1" ht="18.75" customHeight="1">
      <c r="A286" s="569"/>
      <c r="B286" s="579" t="s">
        <v>5086</v>
      </c>
      <c r="C286" s="580"/>
      <c r="D286" s="572"/>
      <c r="E286" s="587"/>
      <c r="F286" s="544"/>
      <c r="G286" s="594"/>
    </row>
    <row r="287" spans="1:7" s="546" customFormat="1" ht="18.75" customHeight="1">
      <c r="A287" s="532"/>
      <c r="B287" s="608" t="s">
        <v>5087</v>
      </c>
      <c r="C287" s="581" t="s">
        <v>5088</v>
      </c>
      <c r="D287" s="583" t="s">
        <v>5024</v>
      </c>
      <c r="E287" s="584" t="s">
        <v>5089</v>
      </c>
      <c r="F287" s="591">
        <v>48.8</v>
      </c>
      <c r="G287" s="545"/>
    </row>
    <row r="288" spans="1:7" s="546" customFormat="1" ht="18.75" customHeight="1">
      <c r="A288" s="532"/>
      <c r="B288" s="585" t="s">
        <v>5090</v>
      </c>
      <c r="C288" s="582" t="s">
        <v>5091</v>
      </c>
      <c r="D288" s="583" t="s">
        <v>5024</v>
      </c>
      <c r="E288" s="584" t="s">
        <v>5089</v>
      </c>
      <c r="F288" s="591">
        <v>48.8</v>
      </c>
      <c r="G288" s="545"/>
    </row>
    <row r="289" spans="1:7" s="546" customFormat="1" ht="18.75" customHeight="1">
      <c r="A289" s="532"/>
      <c r="B289" s="581" t="s">
        <v>5092</v>
      </c>
      <c r="C289" s="582" t="s">
        <v>5093</v>
      </c>
      <c r="D289" s="583" t="s">
        <v>59</v>
      </c>
      <c r="E289" s="584" t="s">
        <v>5094</v>
      </c>
      <c r="F289" s="590">
        <v>8</v>
      </c>
      <c r="G289" s="545"/>
    </row>
    <row r="290" spans="1:7" s="546" customFormat="1" ht="18.75" customHeight="1">
      <c r="A290" s="532"/>
      <c r="B290" s="581" t="s">
        <v>5092</v>
      </c>
      <c r="C290" s="582" t="s">
        <v>5095</v>
      </c>
      <c r="D290" s="583" t="s">
        <v>59</v>
      </c>
      <c r="E290" s="584" t="s">
        <v>5096</v>
      </c>
      <c r="F290" s="591">
        <v>57.6</v>
      </c>
      <c r="G290" s="545"/>
    </row>
    <row r="291" spans="1:7" s="546" customFormat="1" ht="18.75" customHeight="1">
      <c r="A291" s="532"/>
      <c r="B291" s="585" t="s">
        <v>5097</v>
      </c>
      <c r="C291" s="582" t="s">
        <v>5098</v>
      </c>
      <c r="D291" s="583" t="s">
        <v>5024</v>
      </c>
      <c r="E291" s="584" t="s">
        <v>5099</v>
      </c>
      <c r="F291" s="591">
        <v>4.8</v>
      </c>
      <c r="G291" s="545"/>
    </row>
    <row r="292" spans="1:7" s="609" customFormat="1" ht="18.75" customHeight="1">
      <c r="A292" s="595"/>
      <c r="B292" s="596" t="s">
        <v>5100</v>
      </c>
      <c r="C292" s="596" t="s">
        <v>5101</v>
      </c>
      <c r="D292" s="606" t="s">
        <v>59</v>
      </c>
      <c r="E292" s="602" t="s">
        <v>5102</v>
      </c>
      <c r="F292" s="599">
        <v>36.934400000000004</v>
      </c>
      <c r="G292" s="600"/>
    </row>
    <row r="293" spans="1:7" s="609" customFormat="1" ht="18.75" customHeight="1">
      <c r="A293" s="595"/>
      <c r="B293" s="602" t="s">
        <v>5090</v>
      </c>
      <c r="C293" s="596" t="s">
        <v>5101</v>
      </c>
      <c r="D293" s="606" t="s">
        <v>5024</v>
      </c>
      <c r="E293" s="610" t="str">
        <f>E292</f>
        <v>3.624*L+0.16*((L*2)+(D*10))+((0.246*(H-0.5))*2+0.3*(D+D)+L*UH+0.18*(D+D+L)</v>
      </c>
      <c r="F293" s="599">
        <v>36.934400000000004</v>
      </c>
      <c r="G293" s="600"/>
    </row>
    <row r="294" spans="1:7" s="575" customFormat="1" ht="18.75" customHeight="1">
      <c r="A294" s="569"/>
      <c r="B294" s="579" t="s">
        <v>5103</v>
      </c>
      <c r="C294" s="580"/>
      <c r="D294" s="572"/>
      <c r="E294" s="587"/>
      <c r="F294" s="544"/>
      <c r="G294" s="594"/>
    </row>
    <row r="295" spans="1:7" s="575" customFormat="1" ht="18.75" customHeight="1">
      <c r="A295" s="569"/>
      <c r="B295" s="576" t="s">
        <v>5104</v>
      </c>
      <c r="C295" s="611" t="s">
        <v>5105</v>
      </c>
      <c r="D295" s="572" t="s">
        <v>59</v>
      </c>
      <c r="E295" s="587" t="s">
        <v>5106</v>
      </c>
      <c r="F295" s="591">
        <v>22.560000000000002</v>
      </c>
      <c r="G295" s="594"/>
    </row>
    <row r="296" spans="1:7" s="575" customFormat="1" ht="18.75" customHeight="1">
      <c r="A296" s="569"/>
      <c r="B296" s="576" t="s">
        <v>5107</v>
      </c>
      <c r="C296" s="571" t="s">
        <v>5108</v>
      </c>
      <c r="D296" s="572" t="s">
        <v>5109</v>
      </c>
      <c r="E296" s="587" t="s">
        <v>5110</v>
      </c>
      <c r="F296" s="591">
        <v>1.2</v>
      </c>
      <c r="G296" s="594"/>
    </row>
    <row r="297" spans="1:7" s="575" customFormat="1" ht="18.75" customHeight="1">
      <c r="A297" s="569"/>
      <c r="B297" s="589" t="s">
        <v>5111</v>
      </c>
      <c r="C297" s="586"/>
      <c r="D297" s="572" t="s">
        <v>5016</v>
      </c>
      <c r="E297" s="587" t="s">
        <v>5112</v>
      </c>
      <c r="F297" s="591">
        <v>64.92</v>
      </c>
      <c r="G297" s="594"/>
    </row>
    <row r="298" spans="1:7" s="575" customFormat="1" ht="18.75" customHeight="1">
      <c r="A298" s="569"/>
      <c r="B298" s="589" t="s">
        <v>5113</v>
      </c>
      <c r="C298" s="586"/>
      <c r="D298" s="572" t="s">
        <v>5016</v>
      </c>
      <c r="E298" s="587" t="s">
        <v>5114</v>
      </c>
      <c r="F298" s="591">
        <v>54.56</v>
      </c>
      <c r="G298" s="594"/>
    </row>
    <row r="299" spans="1:7" s="575" customFormat="1" ht="18.75" customHeight="1">
      <c r="A299" s="569"/>
      <c r="B299" s="579" t="s">
        <v>5115</v>
      </c>
      <c r="C299" s="580"/>
      <c r="D299" s="572"/>
      <c r="E299" s="587"/>
      <c r="F299" s="544"/>
      <c r="G299" s="594"/>
    </row>
    <row r="300" spans="1:7" s="575" customFormat="1" ht="18.75" customHeight="1">
      <c r="A300" s="569"/>
      <c r="B300" s="612" t="s">
        <v>5116</v>
      </c>
      <c r="C300" s="589" t="s">
        <v>5117</v>
      </c>
      <c r="D300" s="572" t="s">
        <v>5118</v>
      </c>
      <c r="E300" s="613" t="s">
        <v>5119</v>
      </c>
      <c r="F300" s="544">
        <v>20</v>
      </c>
      <c r="G300" s="594"/>
    </row>
    <row r="301" spans="1:7" s="575" customFormat="1" ht="18.75" customHeight="1">
      <c r="A301" s="569"/>
      <c r="B301" s="571" t="s">
        <v>5120</v>
      </c>
      <c r="C301" s="571" t="s">
        <v>5121</v>
      </c>
      <c r="D301" s="572" t="s">
        <v>5016</v>
      </c>
      <c r="E301" s="613" t="s">
        <v>5060</v>
      </c>
      <c r="F301" s="544">
        <v>16</v>
      </c>
      <c r="G301" s="594"/>
    </row>
    <row r="302" spans="1:7" s="575" customFormat="1" ht="18.75" customHeight="1">
      <c r="A302" s="595"/>
      <c r="B302" s="596" t="s">
        <v>5122</v>
      </c>
      <c r="C302" s="596" t="s">
        <v>5130</v>
      </c>
      <c r="D302" s="606" t="s">
        <v>5058</v>
      </c>
      <c r="E302" s="614">
        <v>1</v>
      </c>
      <c r="F302" s="599">
        <v>1</v>
      </c>
      <c r="G302" s="600"/>
    </row>
    <row r="303" spans="1:7" s="575" customFormat="1" ht="18.75" customHeight="1">
      <c r="A303" s="595"/>
      <c r="B303" s="596" t="s">
        <v>5124</v>
      </c>
      <c r="C303" s="596" t="s">
        <v>5125</v>
      </c>
      <c r="D303" s="606" t="s">
        <v>5058</v>
      </c>
      <c r="E303" s="614">
        <v>1</v>
      </c>
      <c r="F303" s="599">
        <v>1</v>
      </c>
      <c r="G303" s="600"/>
    </row>
    <row r="304" spans="1:7" s="575" customFormat="1" ht="18.75" customHeight="1">
      <c r="A304" s="595"/>
      <c r="B304" s="596"/>
      <c r="C304" s="596"/>
      <c r="D304" s="606"/>
      <c r="E304" s="614"/>
      <c r="F304" s="599"/>
      <c r="G304" s="600"/>
    </row>
    <row r="305" spans="1:7" s="546" customFormat="1" ht="18.75" customHeight="1">
      <c r="A305" s="532"/>
      <c r="B305" s="581"/>
      <c r="C305" s="624"/>
      <c r="D305" s="583"/>
      <c r="E305" s="625"/>
      <c r="F305" s="544"/>
      <c r="G305" s="545"/>
    </row>
    <row r="306" spans="1:7" s="546" customFormat="1" ht="18.75" customHeight="1">
      <c r="A306" s="532"/>
      <c r="B306" s="581"/>
      <c r="C306" s="624"/>
      <c r="D306" s="583"/>
      <c r="E306" s="625"/>
      <c r="F306" s="544"/>
      <c r="G306" s="545"/>
    </row>
    <row r="307" spans="1:7" s="546" customFormat="1" ht="20.25" customHeight="1">
      <c r="A307" s="547" t="s">
        <v>5001</v>
      </c>
      <c r="B307" s="548" t="s">
        <v>5002</v>
      </c>
      <c r="C307" s="549">
        <f>[140]LIST!D16</f>
        <v>10000</v>
      </c>
      <c r="D307" s="550">
        <f t="shared" ref="D307:D312" si="5">C307/1000</f>
        <v>10</v>
      </c>
      <c r="E307" s="536"/>
      <c r="F307" s="544"/>
      <c r="G307" s="545"/>
    </row>
    <row r="308" spans="1:7" s="546" customFormat="1" ht="20.25" customHeight="1">
      <c r="A308" s="551" t="s">
        <v>5003</v>
      </c>
      <c r="B308" s="552" t="s">
        <v>5004</v>
      </c>
      <c r="C308" s="553">
        <f>[140]LIST!E16</f>
        <v>1000</v>
      </c>
      <c r="D308" s="554">
        <f t="shared" si="5"/>
        <v>1</v>
      </c>
      <c r="E308" s="536"/>
      <c r="F308" s="544"/>
      <c r="G308" s="545"/>
    </row>
    <row r="309" spans="1:7" s="546" customFormat="1" ht="20.25" customHeight="1">
      <c r="A309" s="551" t="s">
        <v>5005</v>
      </c>
      <c r="B309" s="552" t="s">
        <v>5006</v>
      </c>
      <c r="C309" s="553">
        <f>[140]LIST!F16</f>
        <v>3600</v>
      </c>
      <c r="D309" s="554">
        <f t="shared" si="5"/>
        <v>3.6</v>
      </c>
      <c r="E309" s="536"/>
      <c r="F309" s="544"/>
      <c r="G309" s="545"/>
    </row>
    <row r="310" spans="1:7" s="546" customFormat="1" ht="20.25" customHeight="1">
      <c r="A310" s="555" t="s">
        <v>5007</v>
      </c>
      <c r="B310" s="552" t="s">
        <v>5008</v>
      </c>
      <c r="C310" s="553">
        <f>[140]LIST!G16</f>
        <v>300</v>
      </c>
      <c r="D310" s="554">
        <f t="shared" si="5"/>
        <v>0.3</v>
      </c>
      <c r="E310" s="536"/>
      <c r="F310" s="544"/>
      <c r="G310" s="545"/>
    </row>
    <row r="311" spans="1:7" s="539" customFormat="1" ht="20.25" customHeight="1">
      <c r="A311" s="555" t="s">
        <v>5009</v>
      </c>
      <c r="B311" s="552" t="s">
        <v>5010</v>
      </c>
      <c r="C311" s="553">
        <f>[140]LIST!H16</f>
        <v>2600</v>
      </c>
      <c r="D311" s="554">
        <f t="shared" si="5"/>
        <v>2.6</v>
      </c>
      <c r="E311" s="556">
        <f>D311+0.22</f>
        <v>2.8200000000000003</v>
      </c>
      <c r="F311" s="544"/>
      <c r="G311" s="545"/>
    </row>
    <row r="312" spans="1:7" s="546" customFormat="1" ht="20.25" customHeight="1">
      <c r="A312" s="557" t="s">
        <v>5011</v>
      </c>
      <c r="B312" s="558" t="s">
        <v>5012</v>
      </c>
      <c r="C312" s="559">
        <f>[140]LIST!I16</f>
        <v>700</v>
      </c>
      <c r="D312" s="560">
        <f t="shared" si="5"/>
        <v>0.7</v>
      </c>
      <c r="E312" s="561"/>
      <c r="F312" s="544"/>
      <c r="G312" s="545"/>
    </row>
    <row r="313" spans="1:7" s="539" customFormat="1" ht="20.25" customHeight="1">
      <c r="A313" s="562" t="str">
        <f>[140]LIST!B16</f>
        <v>SC-204</v>
      </c>
      <c r="B313" s="563" t="str">
        <f>[140]LIST!C16</f>
        <v>벽부형진열장(전동형)</v>
      </c>
      <c r="C313" s="564" t="str">
        <f>A307&amp;": "&amp;C307&amp;" "&amp;A308&amp;": "&amp;C308&amp;" "&amp;A309&amp;": "&amp;C309&amp;" "&amp;A310&amp;": "&amp;C310&amp;" "&amp;A311&amp;": "&amp;C311&amp;" "&amp;A312&amp;": "&amp;C312</f>
        <v>L: 10000 D: 1000 H: 3600 FH: 300 GH: 2600 UH: 700</v>
      </c>
      <c r="D313" s="565" t="s">
        <v>398</v>
      </c>
      <c r="E313" s="566"/>
      <c r="F313" s="567">
        <v>2</v>
      </c>
      <c r="G313" s="568"/>
    </row>
    <row r="314" spans="1:7" s="575" customFormat="1" ht="18.75" customHeight="1">
      <c r="A314" s="615"/>
      <c r="B314" s="570" t="s">
        <v>5013</v>
      </c>
      <c r="C314" s="571"/>
      <c r="D314" s="572"/>
      <c r="E314" s="573"/>
      <c r="F314" s="544"/>
      <c r="G314" s="574"/>
    </row>
    <row r="315" spans="1:7" s="575" customFormat="1" ht="18.75" customHeight="1">
      <c r="A315" s="569"/>
      <c r="B315" s="576" t="s">
        <v>5014</v>
      </c>
      <c r="C315" s="571" t="s">
        <v>5015</v>
      </c>
      <c r="D315" s="572" t="s">
        <v>5016</v>
      </c>
      <c r="E315" s="577" t="s">
        <v>5017</v>
      </c>
      <c r="F315" s="578">
        <v>267.70000000000005</v>
      </c>
      <c r="G315" s="574"/>
    </row>
    <row r="316" spans="1:7" s="575" customFormat="1" ht="18.75" customHeight="1">
      <c r="A316" s="569"/>
      <c r="B316" s="576" t="s">
        <v>5014</v>
      </c>
      <c r="C316" s="571" t="s">
        <v>5018</v>
      </c>
      <c r="D316" s="572" t="s">
        <v>5016</v>
      </c>
      <c r="E316" s="573" t="s">
        <v>5019</v>
      </c>
      <c r="F316" s="544">
        <v>47.2</v>
      </c>
      <c r="G316" s="574"/>
    </row>
    <row r="317" spans="1:7" s="575" customFormat="1" ht="18.75" customHeight="1">
      <c r="A317" s="569"/>
      <c r="B317" s="579" t="s">
        <v>5020</v>
      </c>
      <c r="C317" s="580" t="s">
        <v>5021</v>
      </c>
      <c r="D317" s="572"/>
      <c r="E317" s="573"/>
      <c r="F317" s="544"/>
      <c r="G317" s="574"/>
    </row>
    <row r="318" spans="1:7" s="546" customFormat="1" ht="18.75" customHeight="1">
      <c r="A318" s="532"/>
      <c r="B318" s="581" t="s">
        <v>5022</v>
      </c>
      <c r="C318" s="582" t="s">
        <v>5023</v>
      </c>
      <c r="D318" s="583" t="s">
        <v>5024</v>
      </c>
      <c r="E318" s="584" t="s">
        <v>5025</v>
      </c>
      <c r="F318" s="578">
        <v>3.15</v>
      </c>
      <c r="G318" s="585" t="s">
        <v>5026</v>
      </c>
    </row>
    <row r="319" spans="1:7" s="575" customFormat="1" ht="18.75" customHeight="1">
      <c r="A319" s="569"/>
      <c r="B319" s="571" t="s">
        <v>5022</v>
      </c>
      <c r="C319" s="586" t="s">
        <v>5023</v>
      </c>
      <c r="D319" s="572" t="s">
        <v>5024</v>
      </c>
      <c r="E319" s="587" t="s">
        <v>5027</v>
      </c>
      <c r="F319" s="588">
        <v>4.92</v>
      </c>
      <c r="G319" s="589" t="s">
        <v>5028</v>
      </c>
    </row>
    <row r="320" spans="1:7" s="575" customFormat="1" ht="18.75" customHeight="1">
      <c r="A320" s="569"/>
      <c r="B320" s="571" t="s">
        <v>5022</v>
      </c>
      <c r="C320" s="586" t="s">
        <v>5023</v>
      </c>
      <c r="D320" s="572" t="s">
        <v>5024</v>
      </c>
      <c r="E320" s="587" t="s">
        <v>5029</v>
      </c>
      <c r="F320" s="588">
        <v>6.61</v>
      </c>
      <c r="G320" s="589" t="s">
        <v>5030</v>
      </c>
    </row>
    <row r="321" spans="1:7" s="575" customFormat="1" ht="18.75" customHeight="1">
      <c r="A321" s="569"/>
      <c r="B321" s="571" t="s">
        <v>5022</v>
      </c>
      <c r="C321" s="586" t="s">
        <v>5023</v>
      </c>
      <c r="D321" s="572" t="s">
        <v>5024</v>
      </c>
      <c r="E321" s="587" t="s">
        <v>5031</v>
      </c>
      <c r="F321" s="588">
        <v>2.0499999999999998</v>
      </c>
      <c r="G321" s="589" t="s">
        <v>5032</v>
      </c>
    </row>
    <row r="322" spans="1:7" s="546" customFormat="1" ht="18.75" customHeight="1">
      <c r="A322" s="532"/>
      <c r="B322" s="581" t="s">
        <v>5022</v>
      </c>
      <c r="C322" s="582" t="s">
        <v>5023</v>
      </c>
      <c r="D322" s="583" t="s">
        <v>5024</v>
      </c>
      <c r="E322" s="584" t="s">
        <v>5033</v>
      </c>
      <c r="F322" s="588">
        <v>5.6000000000000005</v>
      </c>
      <c r="G322" s="585" t="s">
        <v>5034</v>
      </c>
    </row>
    <row r="323" spans="1:7" s="575" customFormat="1" ht="18.75" customHeight="1">
      <c r="A323" s="569"/>
      <c r="B323" s="571" t="s">
        <v>5022</v>
      </c>
      <c r="C323" s="586" t="s">
        <v>5023</v>
      </c>
      <c r="D323" s="572" t="s">
        <v>5024</v>
      </c>
      <c r="E323" s="587" t="s">
        <v>5035</v>
      </c>
      <c r="F323" s="583">
        <v>3.6960000000000006</v>
      </c>
      <c r="G323" s="589" t="s">
        <v>5036</v>
      </c>
    </row>
    <row r="324" spans="1:7" s="575" customFormat="1" ht="18.75" customHeight="1">
      <c r="A324" s="569"/>
      <c r="B324" s="571" t="s">
        <v>5022</v>
      </c>
      <c r="C324" s="586" t="s">
        <v>5023</v>
      </c>
      <c r="D324" s="572" t="s">
        <v>5024</v>
      </c>
      <c r="E324" s="587" t="s">
        <v>5037</v>
      </c>
      <c r="F324" s="590">
        <v>1.04</v>
      </c>
      <c r="G324" s="589" t="s">
        <v>5038</v>
      </c>
    </row>
    <row r="325" spans="1:7" s="575" customFormat="1" ht="18.75" customHeight="1">
      <c r="A325" s="569"/>
      <c r="B325" s="571" t="s">
        <v>5022</v>
      </c>
      <c r="C325" s="586" t="s">
        <v>5023</v>
      </c>
      <c r="D325" s="572" t="s">
        <v>5024</v>
      </c>
      <c r="E325" s="587" t="s">
        <v>5039</v>
      </c>
      <c r="F325" s="591">
        <v>2.1743999999999999</v>
      </c>
      <c r="G325" s="589" t="s">
        <v>5040</v>
      </c>
    </row>
    <row r="326" spans="1:7" s="575" customFormat="1" ht="18.75" customHeight="1">
      <c r="A326" s="569"/>
      <c r="B326" s="571" t="s">
        <v>5041</v>
      </c>
      <c r="C326" s="586" t="s">
        <v>5042</v>
      </c>
      <c r="D326" s="572" t="s">
        <v>59</v>
      </c>
      <c r="E326" s="587" t="s">
        <v>5043</v>
      </c>
      <c r="F326" s="590">
        <v>7</v>
      </c>
      <c r="G326" s="589" t="s">
        <v>5044</v>
      </c>
    </row>
    <row r="327" spans="1:7" s="575" customFormat="1" ht="18.75" customHeight="1">
      <c r="A327" s="569"/>
      <c r="B327" s="579" t="s">
        <v>5020</v>
      </c>
      <c r="C327" s="580" t="s">
        <v>5045</v>
      </c>
      <c r="D327" s="572"/>
      <c r="E327" s="587"/>
      <c r="F327" s="578"/>
      <c r="G327" s="589"/>
    </row>
    <row r="328" spans="1:7" s="575" customFormat="1" ht="18.75" customHeight="1">
      <c r="A328" s="569"/>
      <c r="B328" s="571" t="s">
        <v>5022</v>
      </c>
      <c r="C328" s="586" t="s">
        <v>5046</v>
      </c>
      <c r="D328" s="572" t="s">
        <v>5024</v>
      </c>
      <c r="E328" s="587" t="s">
        <v>5047</v>
      </c>
      <c r="F328" s="590">
        <v>4.53</v>
      </c>
      <c r="G328" s="589" t="s">
        <v>5048</v>
      </c>
    </row>
    <row r="329" spans="1:7" s="575" customFormat="1" ht="18.75" customHeight="1">
      <c r="A329" s="569"/>
      <c r="B329" s="571" t="s">
        <v>5022</v>
      </c>
      <c r="C329" s="586" t="s">
        <v>5023</v>
      </c>
      <c r="D329" s="572" t="s">
        <v>5024</v>
      </c>
      <c r="E329" s="587" t="s">
        <v>5049</v>
      </c>
      <c r="F329" s="591">
        <v>1.7399999999999998</v>
      </c>
      <c r="G329" s="589" t="s">
        <v>5050</v>
      </c>
    </row>
    <row r="330" spans="1:7" s="575" customFormat="1" ht="18.75" customHeight="1">
      <c r="A330" s="569"/>
      <c r="B330" s="571" t="s">
        <v>5022</v>
      </c>
      <c r="C330" s="586" t="s">
        <v>5023</v>
      </c>
      <c r="D330" s="572" t="s">
        <v>5024</v>
      </c>
      <c r="E330" s="587" t="s">
        <v>5051</v>
      </c>
      <c r="F330" s="591">
        <v>1.33</v>
      </c>
      <c r="G330" s="589" t="s">
        <v>5052</v>
      </c>
    </row>
    <row r="331" spans="1:7" s="575" customFormat="1" ht="18.75" customHeight="1">
      <c r="A331" s="592"/>
      <c r="B331" s="579" t="s">
        <v>5053</v>
      </c>
      <c r="C331" s="580"/>
      <c r="D331" s="572"/>
      <c r="E331" s="574"/>
      <c r="F331" s="544"/>
      <c r="G331" s="589"/>
    </row>
    <row r="332" spans="1:7" s="575" customFormat="1" ht="18.75" customHeight="1">
      <c r="A332" s="569"/>
      <c r="B332" s="576" t="s">
        <v>5054</v>
      </c>
      <c r="C332" s="571"/>
      <c r="D332" s="572" t="s">
        <v>5016</v>
      </c>
      <c r="E332" s="593" t="s">
        <v>5055</v>
      </c>
      <c r="F332" s="588">
        <v>20</v>
      </c>
      <c r="G332" s="594"/>
    </row>
    <row r="333" spans="1:7" s="575" customFormat="1" ht="18.75" customHeight="1">
      <c r="A333" s="595"/>
      <c r="B333" s="596" t="s">
        <v>5056</v>
      </c>
      <c r="C333" s="596" t="s">
        <v>5057</v>
      </c>
      <c r="D333" s="597" t="s">
        <v>5058</v>
      </c>
      <c r="E333" s="598">
        <v>3</v>
      </c>
      <c r="F333" s="599">
        <v>3</v>
      </c>
      <c r="G333" s="600"/>
    </row>
    <row r="334" spans="1:7" s="575" customFormat="1" ht="18.75" customHeight="1">
      <c r="A334" s="569"/>
      <c r="B334" s="571" t="s">
        <v>5059</v>
      </c>
      <c r="C334" s="571"/>
      <c r="D334" s="572" t="s">
        <v>5016</v>
      </c>
      <c r="E334" s="593" t="s">
        <v>5060</v>
      </c>
      <c r="F334" s="588">
        <v>20</v>
      </c>
      <c r="G334" s="594"/>
    </row>
    <row r="335" spans="1:7" s="575" customFormat="1" ht="18.75" customHeight="1">
      <c r="A335" s="569"/>
      <c r="B335" s="589" t="s">
        <v>5061</v>
      </c>
      <c r="C335" s="586" t="s">
        <v>5062</v>
      </c>
      <c r="D335" s="572" t="s">
        <v>5016</v>
      </c>
      <c r="E335" s="593" t="s">
        <v>5063</v>
      </c>
      <c r="F335" s="588">
        <v>25.2</v>
      </c>
      <c r="G335" s="594"/>
    </row>
    <row r="336" spans="1:7" s="575" customFormat="1" ht="18.75" customHeight="1">
      <c r="A336" s="569"/>
      <c r="B336" s="576" t="s">
        <v>5064</v>
      </c>
      <c r="C336" s="571" t="s">
        <v>5065</v>
      </c>
      <c r="D336" s="572" t="s">
        <v>5016</v>
      </c>
      <c r="E336" s="593" t="s">
        <v>5001</v>
      </c>
      <c r="F336" s="544">
        <v>10</v>
      </c>
      <c r="G336" s="594"/>
    </row>
    <row r="337" spans="1:7" s="575" customFormat="1" ht="18.75" customHeight="1">
      <c r="A337" s="569"/>
      <c r="B337" s="576" t="s">
        <v>5064</v>
      </c>
      <c r="C337" s="571" t="s">
        <v>5066</v>
      </c>
      <c r="D337" s="572" t="s">
        <v>5016</v>
      </c>
      <c r="E337" s="593" t="s">
        <v>5001</v>
      </c>
      <c r="F337" s="544">
        <v>10</v>
      </c>
      <c r="G337" s="594"/>
    </row>
    <row r="338" spans="1:7" s="575" customFormat="1" ht="18.75" customHeight="1">
      <c r="A338" s="595"/>
      <c r="B338" s="601" t="s">
        <v>5067</v>
      </c>
      <c r="C338" s="602" t="s">
        <v>5068</v>
      </c>
      <c r="D338" s="603" t="s">
        <v>5069</v>
      </c>
      <c r="E338" s="598">
        <v>16</v>
      </c>
      <c r="F338" s="599">
        <v>16</v>
      </c>
      <c r="G338" s="600"/>
    </row>
    <row r="339" spans="1:7" s="575" customFormat="1" ht="18.75" customHeight="1">
      <c r="A339" s="595"/>
      <c r="B339" s="604" t="s">
        <v>5070</v>
      </c>
      <c r="C339" s="605" t="s">
        <v>5071</v>
      </c>
      <c r="D339" s="606" t="s">
        <v>5069</v>
      </c>
      <c r="E339" s="598">
        <v>32</v>
      </c>
      <c r="F339" s="599">
        <v>32</v>
      </c>
      <c r="G339" s="600"/>
    </row>
    <row r="340" spans="1:7" s="575" customFormat="1" ht="18.75" customHeight="1">
      <c r="A340" s="569"/>
      <c r="B340" s="571" t="s">
        <v>5072</v>
      </c>
      <c r="C340" s="586" t="s">
        <v>5073</v>
      </c>
      <c r="D340" s="572" t="s">
        <v>5016</v>
      </c>
      <c r="E340" s="593" t="s">
        <v>5055</v>
      </c>
      <c r="F340" s="588">
        <v>20</v>
      </c>
      <c r="G340" s="594"/>
    </row>
    <row r="341" spans="1:7" s="575" customFormat="1" ht="18.75" customHeight="1">
      <c r="A341" s="569"/>
      <c r="B341" s="576" t="s">
        <v>5074</v>
      </c>
      <c r="C341" s="586" t="s">
        <v>5075</v>
      </c>
      <c r="D341" s="572" t="s">
        <v>5076</v>
      </c>
      <c r="E341" s="593" t="s">
        <v>5077</v>
      </c>
      <c r="F341" s="588">
        <v>260</v>
      </c>
      <c r="G341" s="594"/>
    </row>
    <row r="342" spans="1:7" s="575" customFormat="1" ht="18.75" customHeight="1">
      <c r="A342" s="569"/>
      <c r="B342" s="576" t="s">
        <v>5078</v>
      </c>
      <c r="C342" s="586" t="s">
        <v>5079</v>
      </c>
      <c r="D342" s="572" t="s">
        <v>5076</v>
      </c>
      <c r="E342" s="593" t="str">
        <f>E341</f>
        <v>(L*13)*2</v>
      </c>
      <c r="F342" s="588">
        <v>260</v>
      </c>
      <c r="G342" s="594"/>
    </row>
    <row r="343" spans="1:7" s="575" customFormat="1" ht="18.75" customHeight="1">
      <c r="A343" s="595"/>
      <c r="B343" s="602" t="s">
        <v>5080</v>
      </c>
      <c r="C343" s="605" t="s">
        <v>5081</v>
      </c>
      <c r="D343" s="606" t="s">
        <v>5069</v>
      </c>
      <c r="E343" s="598">
        <v>6</v>
      </c>
      <c r="F343" s="599">
        <v>6</v>
      </c>
      <c r="G343" s="600"/>
    </row>
    <row r="344" spans="1:7" s="575" customFormat="1" ht="18.75" customHeight="1">
      <c r="A344" s="595"/>
      <c r="B344" s="601" t="s">
        <v>5082</v>
      </c>
      <c r="C344" s="605" t="s">
        <v>5083</v>
      </c>
      <c r="D344" s="606" t="s">
        <v>5069</v>
      </c>
      <c r="E344" s="598">
        <v>2</v>
      </c>
      <c r="F344" s="599">
        <v>2</v>
      </c>
      <c r="G344" s="600"/>
    </row>
    <row r="345" spans="1:7" s="575" customFormat="1" ht="18.75" customHeight="1">
      <c r="A345" s="595"/>
      <c r="B345" s="596" t="s">
        <v>5084</v>
      </c>
      <c r="C345" s="605" t="s">
        <v>5085</v>
      </c>
      <c r="D345" s="606" t="s">
        <v>5069</v>
      </c>
      <c r="E345" s="607">
        <v>2</v>
      </c>
      <c r="F345" s="599">
        <v>2</v>
      </c>
      <c r="G345" s="600"/>
    </row>
    <row r="346" spans="1:7" s="575" customFormat="1" ht="18.75" customHeight="1">
      <c r="A346" s="569"/>
      <c r="B346" s="579" t="s">
        <v>5086</v>
      </c>
      <c r="C346" s="580"/>
      <c r="D346" s="572"/>
      <c r="E346" s="587"/>
      <c r="F346" s="544"/>
      <c r="G346" s="594"/>
    </row>
    <row r="347" spans="1:7" s="546" customFormat="1" ht="18.75" customHeight="1">
      <c r="A347" s="532"/>
      <c r="B347" s="608" t="s">
        <v>5087</v>
      </c>
      <c r="C347" s="581" t="s">
        <v>5088</v>
      </c>
      <c r="D347" s="583" t="s">
        <v>5024</v>
      </c>
      <c r="E347" s="584" t="s">
        <v>5089</v>
      </c>
      <c r="F347" s="591">
        <v>59.2</v>
      </c>
      <c r="G347" s="545"/>
    </row>
    <row r="348" spans="1:7" s="546" customFormat="1" ht="18.75" customHeight="1">
      <c r="A348" s="532"/>
      <c r="B348" s="585" t="s">
        <v>5090</v>
      </c>
      <c r="C348" s="582" t="s">
        <v>5091</v>
      </c>
      <c r="D348" s="583" t="s">
        <v>5024</v>
      </c>
      <c r="E348" s="584" t="s">
        <v>5089</v>
      </c>
      <c r="F348" s="591">
        <v>59.2</v>
      </c>
      <c r="G348" s="545"/>
    </row>
    <row r="349" spans="1:7" s="546" customFormat="1" ht="18.75" customHeight="1">
      <c r="A349" s="532"/>
      <c r="B349" s="581" t="s">
        <v>5092</v>
      </c>
      <c r="C349" s="582" t="s">
        <v>5093</v>
      </c>
      <c r="D349" s="583" t="s">
        <v>59</v>
      </c>
      <c r="E349" s="584" t="s">
        <v>5094</v>
      </c>
      <c r="F349" s="590">
        <v>10</v>
      </c>
      <c r="G349" s="545"/>
    </row>
    <row r="350" spans="1:7" s="546" customFormat="1" ht="18.75" customHeight="1">
      <c r="A350" s="532"/>
      <c r="B350" s="581" t="s">
        <v>5092</v>
      </c>
      <c r="C350" s="582" t="s">
        <v>5095</v>
      </c>
      <c r="D350" s="583" t="s">
        <v>59</v>
      </c>
      <c r="E350" s="584" t="s">
        <v>5096</v>
      </c>
      <c r="F350" s="591">
        <v>72</v>
      </c>
      <c r="G350" s="545"/>
    </row>
    <row r="351" spans="1:7" s="546" customFormat="1" ht="18.75" customHeight="1">
      <c r="A351" s="532"/>
      <c r="B351" s="585" t="s">
        <v>5097</v>
      </c>
      <c r="C351" s="582" t="s">
        <v>5098</v>
      </c>
      <c r="D351" s="583" t="s">
        <v>5024</v>
      </c>
      <c r="E351" s="584" t="s">
        <v>5099</v>
      </c>
      <c r="F351" s="591">
        <v>6</v>
      </c>
      <c r="G351" s="545"/>
    </row>
    <row r="352" spans="1:7" s="609" customFormat="1" ht="18.75" customHeight="1">
      <c r="A352" s="595"/>
      <c r="B352" s="596" t="s">
        <v>5100</v>
      </c>
      <c r="C352" s="596" t="s">
        <v>5101</v>
      </c>
      <c r="D352" s="606" t="s">
        <v>59</v>
      </c>
      <c r="E352" s="602" t="s">
        <v>5102</v>
      </c>
      <c r="F352" s="599">
        <v>43.840400000000002</v>
      </c>
      <c r="G352" s="600"/>
    </row>
    <row r="353" spans="1:7" s="609" customFormat="1" ht="18.75" customHeight="1">
      <c r="A353" s="595"/>
      <c r="B353" s="602" t="s">
        <v>5090</v>
      </c>
      <c r="C353" s="596" t="s">
        <v>5101</v>
      </c>
      <c r="D353" s="606" t="s">
        <v>5024</v>
      </c>
      <c r="E353" s="610" t="str">
        <f>E352</f>
        <v>3.624*L+0.16*((L*2)+(D*10))+((0.246*(H-0.5))*2+0.3*(D+D)+L*UH+0.18*(D+D+L)</v>
      </c>
      <c r="F353" s="599">
        <v>43.840400000000002</v>
      </c>
      <c r="G353" s="600"/>
    </row>
    <row r="354" spans="1:7" s="575" customFormat="1" ht="18.75" customHeight="1">
      <c r="A354" s="569"/>
      <c r="B354" s="579" t="s">
        <v>5103</v>
      </c>
      <c r="C354" s="580"/>
      <c r="D354" s="572"/>
      <c r="E354" s="587"/>
      <c r="F354" s="544"/>
      <c r="G354" s="594"/>
    </row>
    <row r="355" spans="1:7" s="575" customFormat="1" ht="18.75" customHeight="1">
      <c r="A355" s="569"/>
      <c r="B355" s="576" t="s">
        <v>5104</v>
      </c>
      <c r="C355" s="611" t="s">
        <v>5105</v>
      </c>
      <c r="D355" s="572" t="s">
        <v>59</v>
      </c>
      <c r="E355" s="587" t="s">
        <v>5106</v>
      </c>
      <c r="F355" s="591">
        <v>28.200000000000003</v>
      </c>
      <c r="G355" s="594"/>
    </row>
    <row r="356" spans="1:7" s="575" customFormat="1" ht="18.75" customHeight="1">
      <c r="A356" s="569"/>
      <c r="B356" s="576" t="s">
        <v>5107</v>
      </c>
      <c r="C356" s="571" t="s">
        <v>5108</v>
      </c>
      <c r="D356" s="572" t="s">
        <v>5109</v>
      </c>
      <c r="E356" s="587" t="s">
        <v>5110</v>
      </c>
      <c r="F356" s="591">
        <v>1.5</v>
      </c>
      <c r="G356" s="594"/>
    </row>
    <row r="357" spans="1:7" s="575" customFormat="1" ht="18.75" customHeight="1">
      <c r="A357" s="569"/>
      <c r="B357" s="589" t="s">
        <v>5111</v>
      </c>
      <c r="C357" s="586"/>
      <c r="D357" s="572" t="s">
        <v>5016</v>
      </c>
      <c r="E357" s="587" t="s">
        <v>5112</v>
      </c>
      <c r="F357" s="591">
        <v>76.92</v>
      </c>
      <c r="G357" s="594"/>
    </row>
    <row r="358" spans="1:7" s="575" customFormat="1" ht="18.75" customHeight="1">
      <c r="A358" s="569"/>
      <c r="B358" s="589" t="s">
        <v>5113</v>
      </c>
      <c r="C358" s="586"/>
      <c r="D358" s="572" t="s">
        <v>5016</v>
      </c>
      <c r="E358" s="587" t="s">
        <v>5114</v>
      </c>
      <c r="F358" s="591">
        <v>62.56</v>
      </c>
      <c r="G358" s="594"/>
    </row>
    <row r="359" spans="1:7" s="575" customFormat="1" ht="18.75" customHeight="1">
      <c r="A359" s="569"/>
      <c r="B359" s="579" t="s">
        <v>5115</v>
      </c>
      <c r="C359" s="580"/>
      <c r="D359" s="572"/>
      <c r="E359" s="587"/>
      <c r="F359" s="544"/>
      <c r="G359" s="594"/>
    </row>
    <row r="360" spans="1:7" s="575" customFormat="1" ht="18.75" customHeight="1">
      <c r="A360" s="569"/>
      <c r="B360" s="612" t="s">
        <v>5116</v>
      </c>
      <c r="C360" s="589" t="s">
        <v>5117</v>
      </c>
      <c r="D360" s="572" t="s">
        <v>5118</v>
      </c>
      <c r="E360" s="613" t="s">
        <v>5119</v>
      </c>
      <c r="F360" s="544">
        <v>24</v>
      </c>
      <c r="G360" s="594"/>
    </row>
    <row r="361" spans="1:7" s="575" customFormat="1" ht="18.75" customHeight="1">
      <c r="A361" s="569"/>
      <c r="B361" s="571" t="s">
        <v>5120</v>
      </c>
      <c r="C361" s="571" t="s">
        <v>5121</v>
      </c>
      <c r="D361" s="572" t="s">
        <v>5016</v>
      </c>
      <c r="E361" s="613" t="s">
        <v>5060</v>
      </c>
      <c r="F361" s="544">
        <v>20</v>
      </c>
      <c r="G361" s="594"/>
    </row>
    <row r="362" spans="1:7" s="575" customFormat="1" ht="18.75" customHeight="1">
      <c r="A362" s="595"/>
      <c r="B362" s="596" t="s">
        <v>5122</v>
      </c>
      <c r="C362" s="596" t="s">
        <v>5123</v>
      </c>
      <c r="D362" s="606" t="s">
        <v>5058</v>
      </c>
      <c r="E362" s="614">
        <v>1</v>
      </c>
      <c r="F362" s="599">
        <v>1</v>
      </c>
      <c r="G362" s="600"/>
    </row>
    <row r="363" spans="1:7" s="575" customFormat="1" ht="18.75" customHeight="1">
      <c r="A363" s="595"/>
      <c r="B363" s="596" t="s">
        <v>5124</v>
      </c>
      <c r="C363" s="596" t="s">
        <v>5125</v>
      </c>
      <c r="D363" s="606" t="s">
        <v>5058</v>
      </c>
      <c r="E363" s="614">
        <v>1</v>
      </c>
      <c r="F363" s="599">
        <v>1</v>
      </c>
      <c r="G363" s="600"/>
    </row>
    <row r="364" spans="1:7" s="575" customFormat="1" ht="18.75" customHeight="1">
      <c r="A364" s="595"/>
      <c r="B364" s="596"/>
      <c r="C364" s="596"/>
      <c r="D364" s="606"/>
      <c r="E364" s="614"/>
      <c r="F364" s="599"/>
      <c r="G364" s="600"/>
    </row>
    <row r="365" spans="1:7" s="546" customFormat="1" ht="18.75" customHeight="1">
      <c r="A365" s="532"/>
      <c r="B365" s="581"/>
      <c r="C365" s="624"/>
      <c r="D365" s="583"/>
      <c r="E365" s="625"/>
      <c r="F365" s="544"/>
      <c r="G365" s="545"/>
    </row>
    <row r="366" spans="1:7" s="546" customFormat="1" ht="18.75" customHeight="1">
      <c r="A366" s="532"/>
      <c r="B366" s="581"/>
      <c r="C366" s="624"/>
      <c r="D366" s="583"/>
      <c r="E366" s="625"/>
      <c r="F366" s="544"/>
      <c r="G366" s="545"/>
    </row>
    <row r="367" spans="1:7" s="546" customFormat="1" ht="20.25" customHeight="1">
      <c r="A367" s="547" t="s">
        <v>5001</v>
      </c>
      <c r="B367" s="548" t="s">
        <v>5002</v>
      </c>
      <c r="C367" s="549">
        <f>[140]LIST!D17</f>
        <v>12000</v>
      </c>
      <c r="D367" s="550">
        <f t="shared" ref="D367:D372" si="6">C367/1000</f>
        <v>12</v>
      </c>
      <c r="E367" s="536"/>
      <c r="F367" s="544"/>
      <c r="G367" s="545"/>
    </row>
    <row r="368" spans="1:7" s="546" customFormat="1" ht="20.25" customHeight="1">
      <c r="A368" s="551" t="s">
        <v>5003</v>
      </c>
      <c r="B368" s="552" t="s">
        <v>5004</v>
      </c>
      <c r="C368" s="553">
        <f>[140]LIST!E17</f>
        <v>1000</v>
      </c>
      <c r="D368" s="554">
        <f t="shared" si="6"/>
        <v>1</v>
      </c>
      <c r="E368" s="536"/>
      <c r="F368" s="544"/>
      <c r="G368" s="545"/>
    </row>
    <row r="369" spans="1:7" s="546" customFormat="1" ht="20.25" customHeight="1">
      <c r="A369" s="551" t="s">
        <v>5005</v>
      </c>
      <c r="B369" s="552" t="s">
        <v>5006</v>
      </c>
      <c r="C369" s="553">
        <f>[140]LIST!F17</f>
        <v>3600</v>
      </c>
      <c r="D369" s="554">
        <f t="shared" si="6"/>
        <v>3.6</v>
      </c>
      <c r="E369" s="536"/>
      <c r="F369" s="544"/>
      <c r="G369" s="545"/>
    </row>
    <row r="370" spans="1:7" s="546" customFormat="1" ht="20.25" customHeight="1">
      <c r="A370" s="555" t="s">
        <v>5007</v>
      </c>
      <c r="B370" s="552" t="s">
        <v>5008</v>
      </c>
      <c r="C370" s="553">
        <f>[140]LIST!G17</f>
        <v>300</v>
      </c>
      <c r="D370" s="554">
        <f t="shared" si="6"/>
        <v>0.3</v>
      </c>
      <c r="E370" s="536"/>
      <c r="F370" s="544"/>
      <c r="G370" s="545"/>
    </row>
    <row r="371" spans="1:7" s="539" customFormat="1" ht="20.25" customHeight="1">
      <c r="A371" s="555" t="s">
        <v>5009</v>
      </c>
      <c r="B371" s="552" t="s">
        <v>5010</v>
      </c>
      <c r="C371" s="553">
        <f>[140]LIST!H17</f>
        <v>2600</v>
      </c>
      <c r="D371" s="554">
        <f t="shared" si="6"/>
        <v>2.6</v>
      </c>
      <c r="E371" s="626">
        <f>D371+0.22</f>
        <v>2.8200000000000003</v>
      </c>
      <c r="F371" s="544"/>
      <c r="G371" s="545"/>
    </row>
    <row r="372" spans="1:7" s="546" customFormat="1" ht="20.25" customHeight="1">
      <c r="A372" s="557" t="s">
        <v>5011</v>
      </c>
      <c r="B372" s="558" t="s">
        <v>5012</v>
      </c>
      <c r="C372" s="559">
        <f>[140]LIST!I17</f>
        <v>700</v>
      </c>
      <c r="D372" s="560">
        <f t="shared" si="6"/>
        <v>0.7</v>
      </c>
      <c r="E372" s="561"/>
      <c r="F372" s="544"/>
      <c r="G372" s="545"/>
    </row>
    <row r="373" spans="1:7" s="539" customFormat="1" ht="20.25" customHeight="1">
      <c r="A373" s="562" t="str">
        <f>[140]LIST!B17</f>
        <v>SC-205</v>
      </c>
      <c r="B373" s="563" t="str">
        <f>[140]LIST!C17</f>
        <v>벽부형진열장(전동형)</v>
      </c>
      <c r="C373" s="564" t="str">
        <f>A367&amp;": "&amp;C367&amp;" "&amp;A368&amp;": "&amp;C368&amp;" "&amp;A369&amp;": "&amp;C369&amp;" "&amp;A370&amp;": "&amp;C370&amp;" "&amp;A371&amp;": "&amp;C371&amp;" "&amp;A372&amp;": "&amp;C372</f>
        <v>L: 12000 D: 1000 H: 3600 FH: 300 GH: 2600 UH: 700</v>
      </c>
      <c r="D373" s="565" t="s">
        <v>398</v>
      </c>
      <c r="E373" s="566"/>
      <c r="F373" s="567">
        <v>1</v>
      </c>
      <c r="G373" s="568"/>
    </row>
    <row r="374" spans="1:7" s="575" customFormat="1" ht="18.75" customHeight="1">
      <c r="A374" s="615"/>
      <c r="B374" s="570" t="s">
        <v>5013</v>
      </c>
      <c r="C374" s="571"/>
      <c r="D374" s="572"/>
      <c r="E374" s="573"/>
      <c r="F374" s="544"/>
      <c r="G374" s="574"/>
    </row>
    <row r="375" spans="1:7" s="575" customFormat="1" ht="18.75" customHeight="1">
      <c r="A375" s="569"/>
      <c r="B375" s="576" t="s">
        <v>5014</v>
      </c>
      <c r="C375" s="571" t="s">
        <v>5015</v>
      </c>
      <c r="D375" s="572" t="s">
        <v>5016</v>
      </c>
      <c r="E375" s="577" t="s">
        <v>5017</v>
      </c>
      <c r="F375" s="578">
        <v>307.70000000000005</v>
      </c>
      <c r="G375" s="574"/>
    </row>
    <row r="376" spans="1:7" s="575" customFormat="1" ht="18.75" customHeight="1">
      <c r="A376" s="569"/>
      <c r="B376" s="576" t="s">
        <v>5014</v>
      </c>
      <c r="C376" s="571" t="s">
        <v>5018</v>
      </c>
      <c r="D376" s="572" t="s">
        <v>5016</v>
      </c>
      <c r="E376" s="573" t="s">
        <v>5019</v>
      </c>
      <c r="F376" s="544">
        <v>55.2</v>
      </c>
      <c r="G376" s="574"/>
    </row>
    <row r="377" spans="1:7" s="575" customFormat="1" ht="18.75" customHeight="1">
      <c r="A377" s="569"/>
      <c r="B377" s="579" t="s">
        <v>5020</v>
      </c>
      <c r="C377" s="580" t="s">
        <v>5021</v>
      </c>
      <c r="D377" s="572"/>
      <c r="E377" s="573"/>
      <c r="F377" s="544"/>
      <c r="G377" s="574"/>
    </row>
    <row r="378" spans="1:7" s="546" customFormat="1" ht="18.75" customHeight="1">
      <c r="A378" s="532"/>
      <c r="B378" s="581" t="s">
        <v>5022</v>
      </c>
      <c r="C378" s="582" t="s">
        <v>5023</v>
      </c>
      <c r="D378" s="583" t="s">
        <v>5024</v>
      </c>
      <c r="E378" s="584" t="s">
        <v>5025</v>
      </c>
      <c r="F378" s="578">
        <v>3.7800000000000002</v>
      </c>
      <c r="G378" s="585" t="s">
        <v>5026</v>
      </c>
    </row>
    <row r="379" spans="1:7" s="575" customFormat="1" ht="18.75" customHeight="1">
      <c r="A379" s="569"/>
      <c r="B379" s="571" t="s">
        <v>5022</v>
      </c>
      <c r="C379" s="586" t="s">
        <v>5023</v>
      </c>
      <c r="D379" s="572" t="s">
        <v>5024</v>
      </c>
      <c r="E379" s="587" t="s">
        <v>5027</v>
      </c>
      <c r="F379" s="588">
        <v>5.9039999999999999</v>
      </c>
      <c r="G379" s="589" t="s">
        <v>5028</v>
      </c>
    </row>
    <row r="380" spans="1:7" s="575" customFormat="1" ht="18.75" customHeight="1">
      <c r="A380" s="569"/>
      <c r="B380" s="571" t="s">
        <v>5022</v>
      </c>
      <c r="C380" s="586" t="s">
        <v>5023</v>
      </c>
      <c r="D380" s="572" t="s">
        <v>5024</v>
      </c>
      <c r="E380" s="587" t="s">
        <v>5029</v>
      </c>
      <c r="F380" s="588">
        <v>7.9320000000000004</v>
      </c>
      <c r="G380" s="589" t="s">
        <v>5030</v>
      </c>
    </row>
    <row r="381" spans="1:7" s="575" customFormat="1" ht="18.75" customHeight="1">
      <c r="A381" s="569"/>
      <c r="B381" s="571" t="s">
        <v>5022</v>
      </c>
      <c r="C381" s="586" t="s">
        <v>5023</v>
      </c>
      <c r="D381" s="572" t="s">
        <v>5024</v>
      </c>
      <c r="E381" s="587" t="s">
        <v>5031</v>
      </c>
      <c r="F381" s="588">
        <v>2.46</v>
      </c>
      <c r="G381" s="589" t="s">
        <v>5032</v>
      </c>
    </row>
    <row r="382" spans="1:7" s="546" customFormat="1" ht="18.75" customHeight="1">
      <c r="A382" s="532"/>
      <c r="B382" s="581" t="s">
        <v>5022</v>
      </c>
      <c r="C382" s="582" t="s">
        <v>5023</v>
      </c>
      <c r="D382" s="583" t="s">
        <v>5024</v>
      </c>
      <c r="E382" s="584" t="s">
        <v>5033</v>
      </c>
      <c r="F382" s="588">
        <v>6.24</v>
      </c>
      <c r="G382" s="585" t="s">
        <v>5034</v>
      </c>
    </row>
    <row r="383" spans="1:7" s="575" customFormat="1" ht="18.75" customHeight="1">
      <c r="A383" s="569"/>
      <c r="B383" s="571" t="s">
        <v>5022</v>
      </c>
      <c r="C383" s="586" t="s">
        <v>5023</v>
      </c>
      <c r="D383" s="572" t="s">
        <v>5024</v>
      </c>
      <c r="E383" s="587" t="s">
        <v>5035</v>
      </c>
      <c r="F383" s="583">
        <v>3.6960000000000006</v>
      </c>
      <c r="G383" s="589" t="s">
        <v>5036</v>
      </c>
    </row>
    <row r="384" spans="1:7" s="575" customFormat="1" ht="18.75" customHeight="1">
      <c r="A384" s="569"/>
      <c r="B384" s="571" t="s">
        <v>5022</v>
      </c>
      <c r="C384" s="586" t="s">
        <v>5023</v>
      </c>
      <c r="D384" s="572" t="s">
        <v>5024</v>
      </c>
      <c r="E384" s="587" t="s">
        <v>5037</v>
      </c>
      <c r="F384" s="590">
        <v>1.04</v>
      </c>
      <c r="G384" s="589" t="s">
        <v>5038</v>
      </c>
    </row>
    <row r="385" spans="1:7" s="575" customFormat="1" ht="18.75" customHeight="1">
      <c r="A385" s="569"/>
      <c r="B385" s="571" t="s">
        <v>5022</v>
      </c>
      <c r="C385" s="586" t="s">
        <v>5023</v>
      </c>
      <c r="D385" s="572" t="s">
        <v>5024</v>
      </c>
      <c r="E385" s="587" t="s">
        <v>5039</v>
      </c>
      <c r="F385" s="591">
        <v>2.1743999999999999</v>
      </c>
      <c r="G385" s="589" t="s">
        <v>5040</v>
      </c>
    </row>
    <row r="386" spans="1:7" s="575" customFormat="1" ht="18.75" customHeight="1">
      <c r="A386" s="569"/>
      <c r="B386" s="571" t="s">
        <v>5041</v>
      </c>
      <c r="C386" s="586" t="s">
        <v>5042</v>
      </c>
      <c r="D386" s="572" t="s">
        <v>59</v>
      </c>
      <c r="E386" s="587" t="s">
        <v>5043</v>
      </c>
      <c r="F386" s="590">
        <v>8.3999999999999986</v>
      </c>
      <c r="G386" s="589" t="s">
        <v>5044</v>
      </c>
    </row>
    <row r="387" spans="1:7" s="575" customFormat="1" ht="18.75" customHeight="1">
      <c r="A387" s="569"/>
      <c r="B387" s="579" t="s">
        <v>5020</v>
      </c>
      <c r="C387" s="580" t="s">
        <v>5045</v>
      </c>
      <c r="D387" s="572"/>
      <c r="E387" s="587"/>
      <c r="F387" s="578"/>
      <c r="G387" s="589"/>
    </row>
    <row r="388" spans="1:7" s="575" customFormat="1" ht="18.75" customHeight="1">
      <c r="A388" s="569"/>
      <c r="B388" s="571" t="s">
        <v>5022</v>
      </c>
      <c r="C388" s="586" t="s">
        <v>5046</v>
      </c>
      <c r="D388" s="572" t="s">
        <v>5024</v>
      </c>
      <c r="E388" s="587" t="s">
        <v>5047</v>
      </c>
      <c r="F388" s="590">
        <v>5.4359999999999999</v>
      </c>
      <c r="G388" s="589" t="s">
        <v>5048</v>
      </c>
    </row>
    <row r="389" spans="1:7" s="575" customFormat="1" ht="18.75" customHeight="1">
      <c r="A389" s="569"/>
      <c r="B389" s="571" t="s">
        <v>5022</v>
      </c>
      <c r="C389" s="586" t="s">
        <v>5023</v>
      </c>
      <c r="D389" s="572" t="s">
        <v>5024</v>
      </c>
      <c r="E389" s="587" t="s">
        <v>5049</v>
      </c>
      <c r="F389" s="591">
        <v>2.0880000000000001</v>
      </c>
      <c r="G389" s="589" t="s">
        <v>5050</v>
      </c>
    </row>
    <row r="390" spans="1:7" s="575" customFormat="1" ht="18.75" customHeight="1">
      <c r="A390" s="569"/>
      <c r="B390" s="571" t="s">
        <v>5022</v>
      </c>
      <c r="C390" s="586" t="s">
        <v>5023</v>
      </c>
      <c r="D390" s="572" t="s">
        <v>5024</v>
      </c>
      <c r="E390" s="587" t="s">
        <v>5051</v>
      </c>
      <c r="F390" s="591">
        <v>1.5960000000000001</v>
      </c>
      <c r="G390" s="589" t="s">
        <v>5052</v>
      </c>
    </row>
    <row r="391" spans="1:7" s="575" customFormat="1" ht="18.75" customHeight="1">
      <c r="A391" s="592"/>
      <c r="B391" s="579" t="s">
        <v>5053</v>
      </c>
      <c r="C391" s="580"/>
      <c r="D391" s="572"/>
      <c r="E391" s="574"/>
      <c r="F391" s="544"/>
      <c r="G391" s="589"/>
    </row>
    <row r="392" spans="1:7" s="575" customFormat="1" ht="18.75" customHeight="1">
      <c r="A392" s="569"/>
      <c r="B392" s="576" t="s">
        <v>5054</v>
      </c>
      <c r="C392" s="571"/>
      <c r="D392" s="572" t="s">
        <v>5016</v>
      </c>
      <c r="E392" s="593" t="s">
        <v>5055</v>
      </c>
      <c r="F392" s="588">
        <v>24</v>
      </c>
      <c r="G392" s="594"/>
    </row>
    <row r="393" spans="1:7" s="575" customFormat="1" ht="18.75" customHeight="1">
      <c r="A393" s="595"/>
      <c r="B393" s="596" t="s">
        <v>5056</v>
      </c>
      <c r="C393" s="596" t="s">
        <v>5057</v>
      </c>
      <c r="D393" s="597" t="s">
        <v>5058</v>
      </c>
      <c r="E393" s="598">
        <v>3</v>
      </c>
      <c r="F393" s="599">
        <v>3</v>
      </c>
      <c r="G393" s="600"/>
    </row>
    <row r="394" spans="1:7" s="575" customFormat="1" ht="18.75" customHeight="1">
      <c r="A394" s="569"/>
      <c r="B394" s="571" t="s">
        <v>5059</v>
      </c>
      <c r="C394" s="571"/>
      <c r="D394" s="572" t="s">
        <v>5016</v>
      </c>
      <c r="E394" s="593" t="s">
        <v>5060</v>
      </c>
      <c r="F394" s="588">
        <v>24</v>
      </c>
      <c r="G394" s="594"/>
    </row>
    <row r="395" spans="1:7" s="575" customFormat="1" ht="18.75" customHeight="1">
      <c r="A395" s="569"/>
      <c r="B395" s="589" t="s">
        <v>5061</v>
      </c>
      <c r="C395" s="586" t="s">
        <v>5062</v>
      </c>
      <c r="D395" s="572" t="s">
        <v>5016</v>
      </c>
      <c r="E395" s="593" t="s">
        <v>5063</v>
      </c>
      <c r="F395" s="588">
        <v>29.2</v>
      </c>
      <c r="G395" s="594"/>
    </row>
    <row r="396" spans="1:7" s="575" customFormat="1" ht="18.75" customHeight="1">
      <c r="A396" s="569"/>
      <c r="B396" s="576" t="s">
        <v>5064</v>
      </c>
      <c r="C396" s="571" t="s">
        <v>5065</v>
      </c>
      <c r="D396" s="572" t="s">
        <v>5016</v>
      </c>
      <c r="E396" s="593" t="s">
        <v>5001</v>
      </c>
      <c r="F396" s="544">
        <v>12</v>
      </c>
      <c r="G396" s="594"/>
    </row>
    <row r="397" spans="1:7" s="575" customFormat="1" ht="18.75" customHeight="1">
      <c r="A397" s="569"/>
      <c r="B397" s="576" t="s">
        <v>5064</v>
      </c>
      <c r="C397" s="571" t="s">
        <v>5066</v>
      </c>
      <c r="D397" s="572" t="s">
        <v>5016</v>
      </c>
      <c r="E397" s="593" t="s">
        <v>5001</v>
      </c>
      <c r="F397" s="544">
        <v>12</v>
      </c>
      <c r="G397" s="594"/>
    </row>
    <row r="398" spans="1:7" s="575" customFormat="1" ht="18.75" customHeight="1">
      <c r="A398" s="627"/>
      <c r="B398" s="601" t="s">
        <v>5067</v>
      </c>
      <c r="C398" s="602" t="s">
        <v>5068</v>
      </c>
      <c r="D398" s="603" t="s">
        <v>5069</v>
      </c>
      <c r="E398" s="598">
        <v>20</v>
      </c>
      <c r="F398" s="599">
        <v>20</v>
      </c>
      <c r="G398" s="600"/>
    </row>
    <row r="399" spans="1:7" s="575" customFormat="1" ht="18.75" customHeight="1">
      <c r="A399" s="627"/>
      <c r="B399" s="604" t="s">
        <v>5070</v>
      </c>
      <c r="C399" s="605" t="s">
        <v>5071</v>
      </c>
      <c r="D399" s="606" t="s">
        <v>5069</v>
      </c>
      <c r="E399" s="598">
        <v>40</v>
      </c>
      <c r="F399" s="599">
        <v>40</v>
      </c>
      <c r="G399" s="600"/>
    </row>
    <row r="400" spans="1:7" s="575" customFormat="1" ht="18.75" customHeight="1">
      <c r="A400" s="569"/>
      <c r="B400" s="571" t="s">
        <v>5072</v>
      </c>
      <c r="C400" s="586" t="s">
        <v>5073</v>
      </c>
      <c r="D400" s="572" t="s">
        <v>5016</v>
      </c>
      <c r="E400" s="593" t="s">
        <v>5055</v>
      </c>
      <c r="F400" s="588">
        <v>24</v>
      </c>
      <c r="G400" s="594"/>
    </row>
    <row r="401" spans="1:7" s="575" customFormat="1" ht="18.75" customHeight="1">
      <c r="A401" s="569"/>
      <c r="B401" s="576" t="s">
        <v>5074</v>
      </c>
      <c r="C401" s="586" t="s">
        <v>5075</v>
      </c>
      <c r="D401" s="572" t="s">
        <v>5076</v>
      </c>
      <c r="E401" s="593" t="s">
        <v>5077</v>
      </c>
      <c r="F401" s="588">
        <v>312</v>
      </c>
      <c r="G401" s="594"/>
    </row>
    <row r="402" spans="1:7" s="575" customFormat="1" ht="18.75" customHeight="1">
      <c r="A402" s="569"/>
      <c r="B402" s="576" t="s">
        <v>5078</v>
      </c>
      <c r="C402" s="586" t="s">
        <v>5079</v>
      </c>
      <c r="D402" s="572" t="s">
        <v>5076</v>
      </c>
      <c r="E402" s="593" t="str">
        <f>E401</f>
        <v>(L*13)*2</v>
      </c>
      <c r="F402" s="588">
        <v>312</v>
      </c>
      <c r="G402" s="594"/>
    </row>
    <row r="403" spans="1:7" s="575" customFormat="1" ht="18.75" customHeight="1">
      <c r="A403" s="595"/>
      <c r="B403" s="602" t="s">
        <v>5080</v>
      </c>
      <c r="C403" s="605" t="s">
        <v>5081</v>
      </c>
      <c r="D403" s="606" t="s">
        <v>5069</v>
      </c>
      <c r="E403" s="598">
        <v>6</v>
      </c>
      <c r="F403" s="599">
        <v>6</v>
      </c>
      <c r="G403" s="600"/>
    </row>
    <row r="404" spans="1:7" s="575" customFormat="1" ht="18.75" customHeight="1">
      <c r="A404" s="595"/>
      <c r="B404" s="601" t="s">
        <v>5082</v>
      </c>
      <c r="C404" s="605" t="s">
        <v>5083</v>
      </c>
      <c r="D404" s="606" t="s">
        <v>5069</v>
      </c>
      <c r="E404" s="598">
        <v>2</v>
      </c>
      <c r="F404" s="599">
        <v>2</v>
      </c>
      <c r="G404" s="600"/>
    </row>
    <row r="405" spans="1:7" s="575" customFormat="1" ht="18.75" customHeight="1">
      <c r="A405" s="595"/>
      <c r="B405" s="596" t="s">
        <v>5084</v>
      </c>
      <c r="C405" s="605" t="s">
        <v>5085</v>
      </c>
      <c r="D405" s="606" t="s">
        <v>5069</v>
      </c>
      <c r="E405" s="607">
        <v>2</v>
      </c>
      <c r="F405" s="599">
        <v>2</v>
      </c>
      <c r="G405" s="600"/>
    </row>
    <row r="406" spans="1:7" s="575" customFormat="1" ht="18.75" customHeight="1">
      <c r="A406" s="569"/>
      <c r="B406" s="579" t="s">
        <v>5086</v>
      </c>
      <c r="C406" s="580"/>
      <c r="D406" s="572"/>
      <c r="E406" s="587"/>
      <c r="F406" s="544"/>
      <c r="G406" s="594"/>
    </row>
    <row r="407" spans="1:7" s="546" customFormat="1" ht="18.75" customHeight="1">
      <c r="A407" s="532"/>
      <c r="B407" s="608" t="s">
        <v>5087</v>
      </c>
      <c r="C407" s="581" t="s">
        <v>5088</v>
      </c>
      <c r="D407" s="583" t="s">
        <v>5024</v>
      </c>
      <c r="E407" s="584" t="s">
        <v>5089</v>
      </c>
      <c r="F407" s="591">
        <v>69.599999999999994</v>
      </c>
      <c r="G407" s="545"/>
    </row>
    <row r="408" spans="1:7" s="546" customFormat="1" ht="18.75" customHeight="1">
      <c r="A408" s="532"/>
      <c r="B408" s="585" t="s">
        <v>5090</v>
      </c>
      <c r="C408" s="582" t="s">
        <v>5091</v>
      </c>
      <c r="D408" s="583" t="s">
        <v>5024</v>
      </c>
      <c r="E408" s="584" t="s">
        <v>5089</v>
      </c>
      <c r="F408" s="591">
        <v>69.599999999999994</v>
      </c>
      <c r="G408" s="545"/>
    </row>
    <row r="409" spans="1:7" s="546" customFormat="1" ht="18.75" customHeight="1">
      <c r="A409" s="532"/>
      <c r="B409" s="581" t="s">
        <v>5092</v>
      </c>
      <c r="C409" s="582" t="s">
        <v>5093</v>
      </c>
      <c r="D409" s="583" t="s">
        <v>59</v>
      </c>
      <c r="E409" s="584" t="s">
        <v>5094</v>
      </c>
      <c r="F409" s="590">
        <v>12</v>
      </c>
      <c r="G409" s="545"/>
    </row>
    <row r="410" spans="1:7" s="546" customFormat="1" ht="18.75" customHeight="1">
      <c r="A410" s="532"/>
      <c r="B410" s="581" t="s">
        <v>5092</v>
      </c>
      <c r="C410" s="582" t="s">
        <v>5095</v>
      </c>
      <c r="D410" s="583" t="s">
        <v>59</v>
      </c>
      <c r="E410" s="584" t="s">
        <v>5096</v>
      </c>
      <c r="F410" s="591">
        <v>86.4</v>
      </c>
      <c r="G410" s="545"/>
    </row>
    <row r="411" spans="1:7" s="546" customFormat="1" ht="18.75" customHeight="1">
      <c r="A411" s="532"/>
      <c r="B411" s="585" t="s">
        <v>5097</v>
      </c>
      <c r="C411" s="582" t="s">
        <v>5098</v>
      </c>
      <c r="D411" s="583" t="s">
        <v>5024</v>
      </c>
      <c r="E411" s="584" t="s">
        <v>5099</v>
      </c>
      <c r="F411" s="591">
        <v>7.1999999999999993</v>
      </c>
      <c r="G411" s="545"/>
    </row>
    <row r="412" spans="1:7" s="609" customFormat="1" ht="18.75" customHeight="1">
      <c r="A412" s="595"/>
      <c r="B412" s="596" t="s">
        <v>5100</v>
      </c>
      <c r="C412" s="596" t="s">
        <v>5101</v>
      </c>
      <c r="D412" s="606" t="s">
        <v>59</v>
      </c>
      <c r="E412" s="602" t="s">
        <v>5102</v>
      </c>
      <c r="F412" s="599">
        <v>50.746400000000008</v>
      </c>
      <c r="G412" s="600"/>
    </row>
    <row r="413" spans="1:7" s="609" customFormat="1" ht="18.75" customHeight="1">
      <c r="A413" s="595"/>
      <c r="B413" s="602" t="s">
        <v>5090</v>
      </c>
      <c r="C413" s="596" t="s">
        <v>5101</v>
      </c>
      <c r="D413" s="606" t="s">
        <v>5024</v>
      </c>
      <c r="E413" s="610" t="str">
        <f>E412</f>
        <v>3.624*L+0.16*((L*2)+(D*10))+((0.246*(H-0.5))*2+0.3*(D+D)+L*UH+0.18*(D+D+L)</v>
      </c>
      <c r="F413" s="599">
        <v>50.746400000000008</v>
      </c>
      <c r="G413" s="600"/>
    </row>
    <row r="414" spans="1:7" s="575" customFormat="1" ht="18.75" customHeight="1">
      <c r="A414" s="569"/>
      <c r="B414" s="579" t="s">
        <v>5103</v>
      </c>
      <c r="C414" s="580"/>
      <c r="D414" s="572"/>
      <c r="E414" s="587"/>
      <c r="F414" s="544"/>
      <c r="G414" s="594"/>
    </row>
    <row r="415" spans="1:7" s="575" customFormat="1" ht="18.75" customHeight="1">
      <c r="A415" s="569"/>
      <c r="B415" s="576" t="s">
        <v>5104</v>
      </c>
      <c r="C415" s="611" t="s">
        <v>5105</v>
      </c>
      <c r="D415" s="572" t="s">
        <v>59</v>
      </c>
      <c r="E415" s="587" t="s">
        <v>5106</v>
      </c>
      <c r="F415" s="591">
        <v>33.840000000000003</v>
      </c>
      <c r="G415" s="594"/>
    </row>
    <row r="416" spans="1:7" s="575" customFormat="1" ht="18.75" customHeight="1">
      <c r="A416" s="569"/>
      <c r="B416" s="576" t="s">
        <v>5107</v>
      </c>
      <c r="C416" s="571" t="s">
        <v>5108</v>
      </c>
      <c r="D416" s="572" t="s">
        <v>5109</v>
      </c>
      <c r="E416" s="587" t="s">
        <v>5110</v>
      </c>
      <c r="F416" s="591">
        <v>1.7999999999999998</v>
      </c>
      <c r="G416" s="594"/>
    </row>
    <row r="417" spans="1:7" s="575" customFormat="1" ht="18.75" customHeight="1">
      <c r="A417" s="569"/>
      <c r="B417" s="589" t="s">
        <v>5111</v>
      </c>
      <c r="C417" s="586"/>
      <c r="D417" s="572" t="s">
        <v>5016</v>
      </c>
      <c r="E417" s="587" t="s">
        <v>5112</v>
      </c>
      <c r="F417" s="591">
        <v>88.92</v>
      </c>
      <c r="G417" s="594"/>
    </row>
    <row r="418" spans="1:7" s="575" customFormat="1" ht="18.75" customHeight="1">
      <c r="A418" s="569"/>
      <c r="B418" s="589" t="s">
        <v>5113</v>
      </c>
      <c r="C418" s="586"/>
      <c r="D418" s="572" t="s">
        <v>5016</v>
      </c>
      <c r="E418" s="587" t="s">
        <v>5114</v>
      </c>
      <c r="F418" s="591">
        <v>70.56</v>
      </c>
      <c r="G418" s="594"/>
    </row>
    <row r="419" spans="1:7" s="575" customFormat="1" ht="18.75" customHeight="1">
      <c r="A419" s="569"/>
      <c r="B419" s="579" t="s">
        <v>5115</v>
      </c>
      <c r="C419" s="580"/>
      <c r="D419" s="572"/>
      <c r="E419" s="587"/>
      <c r="F419" s="544"/>
      <c r="G419" s="594"/>
    </row>
    <row r="420" spans="1:7" s="575" customFormat="1" ht="18.75" customHeight="1">
      <c r="A420" s="569"/>
      <c r="B420" s="612" t="s">
        <v>5116</v>
      </c>
      <c r="C420" s="589" t="s">
        <v>5117</v>
      </c>
      <c r="D420" s="572" t="s">
        <v>5118</v>
      </c>
      <c r="E420" s="613" t="s">
        <v>5119</v>
      </c>
      <c r="F420" s="544">
        <v>30</v>
      </c>
      <c r="G420" s="594"/>
    </row>
    <row r="421" spans="1:7" s="575" customFormat="1" ht="18.75" customHeight="1">
      <c r="A421" s="569"/>
      <c r="B421" s="571" t="s">
        <v>5120</v>
      </c>
      <c r="C421" s="571" t="s">
        <v>5121</v>
      </c>
      <c r="D421" s="572" t="s">
        <v>5016</v>
      </c>
      <c r="E421" s="613" t="s">
        <v>5060</v>
      </c>
      <c r="F421" s="544">
        <v>24</v>
      </c>
      <c r="G421" s="594"/>
    </row>
    <row r="422" spans="1:7" s="575" customFormat="1" ht="18.75" customHeight="1">
      <c r="A422" s="595"/>
      <c r="B422" s="596" t="s">
        <v>5122</v>
      </c>
      <c r="C422" s="596" t="s">
        <v>5123</v>
      </c>
      <c r="D422" s="606" t="s">
        <v>5058</v>
      </c>
      <c r="E422" s="614">
        <v>2</v>
      </c>
      <c r="F422" s="599">
        <v>2</v>
      </c>
      <c r="G422" s="600"/>
    </row>
    <row r="423" spans="1:7" s="575" customFormat="1" ht="18.75" customHeight="1">
      <c r="A423" s="595"/>
      <c r="B423" s="596" t="s">
        <v>5124</v>
      </c>
      <c r="C423" s="596" t="s">
        <v>5125</v>
      </c>
      <c r="D423" s="606" t="s">
        <v>5058</v>
      </c>
      <c r="E423" s="614">
        <v>2</v>
      </c>
      <c r="F423" s="599">
        <v>2</v>
      </c>
      <c r="G423" s="600"/>
    </row>
    <row r="424" spans="1:7" s="575" customFormat="1" ht="18.75" customHeight="1">
      <c r="A424" s="595"/>
      <c r="B424" s="596"/>
      <c r="C424" s="596"/>
      <c r="D424" s="606"/>
      <c r="E424" s="614"/>
      <c r="F424" s="599"/>
      <c r="G424" s="600"/>
    </row>
    <row r="425" spans="1:7" s="546" customFormat="1" ht="18.75" customHeight="1">
      <c r="A425" s="532"/>
      <c r="B425" s="581"/>
      <c r="C425" s="624"/>
      <c r="D425" s="583"/>
      <c r="E425" s="625"/>
      <c r="F425" s="544"/>
      <c r="G425" s="545"/>
    </row>
    <row r="426" spans="1:7" s="632" customFormat="1" ht="20.25" customHeight="1">
      <c r="A426" s="627"/>
      <c r="B426" s="628"/>
      <c r="C426" s="629"/>
      <c r="D426" s="630"/>
      <c r="E426" s="631"/>
      <c r="F426" s="620"/>
      <c r="G426" s="621"/>
    </row>
    <row r="427" spans="1:7" ht="20.25" customHeight="1">
      <c r="A427" s="532"/>
      <c r="B427" s="633"/>
      <c r="C427" s="634"/>
      <c r="D427" s="583"/>
      <c r="E427" s="635"/>
      <c r="F427" s="544"/>
      <c r="G427" s="545"/>
    </row>
    <row r="428" spans="1:7" s="636" customFormat="1" ht="18.75" customHeight="1">
      <c r="A428" s="547" t="s">
        <v>5001</v>
      </c>
      <c r="B428" s="548" t="s">
        <v>5002</v>
      </c>
      <c r="C428" s="549">
        <f>[140]LIST!D19</f>
        <v>11600</v>
      </c>
      <c r="D428" s="550">
        <f t="shared" ref="D428:D433" si="7">C428/1000</f>
        <v>11.6</v>
      </c>
      <c r="E428" s="536"/>
      <c r="F428" s="537"/>
      <c r="G428" s="538"/>
    </row>
    <row r="429" spans="1:7" s="636" customFormat="1" ht="18.75" customHeight="1">
      <c r="A429" s="551" t="s">
        <v>5003</v>
      </c>
      <c r="B429" s="552" t="s">
        <v>5004</v>
      </c>
      <c r="C429" s="553">
        <f>[140]LIST!E19</f>
        <v>1800</v>
      </c>
      <c r="D429" s="554">
        <f t="shared" si="7"/>
        <v>1.8</v>
      </c>
      <c r="E429" s="536"/>
      <c r="F429" s="537"/>
      <c r="G429" s="538"/>
    </row>
    <row r="430" spans="1:7" s="636" customFormat="1" ht="18.75" customHeight="1">
      <c r="A430" s="551" t="s">
        <v>5005</v>
      </c>
      <c r="B430" s="552" t="s">
        <v>5006</v>
      </c>
      <c r="C430" s="553">
        <f>[140]LIST!F19</f>
        <v>3000</v>
      </c>
      <c r="D430" s="554">
        <f t="shared" si="7"/>
        <v>3</v>
      </c>
      <c r="E430" s="536"/>
      <c r="F430" s="537"/>
      <c r="G430" s="538"/>
    </row>
    <row r="431" spans="1:7" s="636" customFormat="1" ht="18.75" customHeight="1">
      <c r="A431" s="555" t="s">
        <v>5007</v>
      </c>
      <c r="B431" s="552" t="s">
        <v>5008</v>
      </c>
      <c r="C431" s="553">
        <f>[140]LIST!G19</f>
        <v>300</v>
      </c>
      <c r="D431" s="554">
        <f t="shared" si="7"/>
        <v>0.3</v>
      </c>
      <c r="E431" s="536"/>
      <c r="F431" s="537"/>
      <c r="G431" s="538"/>
    </row>
    <row r="432" spans="1:7" ht="18.75" customHeight="1">
      <c r="A432" s="555" t="s">
        <v>5009</v>
      </c>
      <c r="B432" s="552" t="s">
        <v>5010</v>
      </c>
      <c r="C432" s="553">
        <f>[140]LIST!H19</f>
        <v>2577</v>
      </c>
      <c r="D432" s="554">
        <f t="shared" si="7"/>
        <v>2.577</v>
      </c>
      <c r="E432" s="556">
        <f>D432+0.22</f>
        <v>2.7970000000000002</v>
      </c>
      <c r="F432" s="537"/>
      <c r="G432" s="538"/>
    </row>
    <row r="433" spans="1:7" s="638" customFormat="1" ht="18.75" customHeight="1">
      <c r="A433" s="557" t="s">
        <v>5011</v>
      </c>
      <c r="B433" s="558" t="s">
        <v>5012</v>
      </c>
      <c r="C433" s="553">
        <f>[140]LIST!I19</f>
        <v>123</v>
      </c>
      <c r="D433" s="560">
        <f t="shared" si="7"/>
        <v>0.123</v>
      </c>
      <c r="E433" s="561"/>
      <c r="F433" s="544"/>
      <c r="G433" s="637"/>
    </row>
    <row r="434" spans="1:7" s="642" customFormat="1" ht="18.75" customHeight="1">
      <c r="A434" s="563" t="str">
        <f>[140]LIST!B19</f>
        <v>SC-206</v>
      </c>
      <c r="B434" s="563" t="str">
        <f>[140]LIST!C19</f>
        <v>고정형 양면 진열장</v>
      </c>
      <c r="C434" s="564" t="str">
        <f>A428&amp;": "&amp;C428&amp;" "&amp;A429&amp;": "&amp;C429&amp;" "&amp;A430&amp;": "&amp;C430&amp;" "&amp;A431&amp;": "&amp;C431&amp;" "&amp;A432&amp;": "&amp;C432&amp;" "&amp;A433&amp;": "&amp;C433</f>
        <v>L: 11600 D: 1800 H: 3000 FH: 300 GH: 2577 UH: 123</v>
      </c>
      <c r="D434" s="565" t="s">
        <v>398</v>
      </c>
      <c r="E434" s="639"/>
      <c r="F434" s="640">
        <v>2</v>
      </c>
      <c r="G434" s="641"/>
    </row>
    <row r="435" spans="1:7" s="642" customFormat="1" ht="18.75" customHeight="1">
      <c r="A435" s="643"/>
      <c r="B435" s="570" t="s">
        <v>5013</v>
      </c>
      <c r="C435" s="571"/>
      <c r="D435" s="572"/>
      <c r="E435" s="574"/>
      <c r="F435" s="544"/>
      <c r="G435" s="574"/>
    </row>
    <row r="436" spans="1:7" s="642" customFormat="1" ht="18.75" customHeight="1">
      <c r="A436" s="569"/>
      <c r="B436" s="576" t="s">
        <v>5014</v>
      </c>
      <c r="C436" s="571" t="s">
        <v>5131</v>
      </c>
      <c r="D436" s="572" t="s">
        <v>5016</v>
      </c>
      <c r="E436" s="593" t="s">
        <v>5132</v>
      </c>
      <c r="F436" s="544">
        <v>180.36</v>
      </c>
      <c r="G436" s="574"/>
    </row>
    <row r="437" spans="1:7" s="546" customFormat="1" ht="18.75" customHeight="1">
      <c r="A437" s="532"/>
      <c r="B437" s="644" t="s">
        <v>5133</v>
      </c>
      <c r="C437" s="644" t="s">
        <v>5134</v>
      </c>
      <c r="D437" s="583" t="s">
        <v>5024</v>
      </c>
      <c r="E437" s="584" t="s">
        <v>5135</v>
      </c>
      <c r="F437" s="591">
        <v>9.9600000000000009</v>
      </c>
      <c r="G437" s="545"/>
    </row>
    <row r="438" spans="1:7" s="642" customFormat="1" ht="18.75" customHeight="1">
      <c r="A438" s="569"/>
      <c r="B438" s="644" t="s">
        <v>5136</v>
      </c>
      <c r="C438" s="644" t="s">
        <v>5137</v>
      </c>
      <c r="D438" s="583" t="s">
        <v>5024</v>
      </c>
      <c r="E438" s="584" t="s">
        <v>5135</v>
      </c>
      <c r="F438" s="591">
        <v>9.9600000000000009</v>
      </c>
      <c r="G438" s="574"/>
    </row>
    <row r="439" spans="1:7" s="642" customFormat="1" ht="18.75" customHeight="1">
      <c r="A439" s="592"/>
      <c r="B439" s="579" t="s">
        <v>5020</v>
      </c>
      <c r="C439" s="580" t="s">
        <v>5021</v>
      </c>
      <c r="D439" s="572"/>
      <c r="E439" s="574"/>
      <c r="F439" s="544"/>
      <c r="G439" s="574"/>
    </row>
    <row r="440" spans="1:7" s="642" customFormat="1" ht="18.75" customHeight="1">
      <c r="A440" s="569"/>
      <c r="B440" s="576" t="s">
        <v>5022</v>
      </c>
      <c r="C440" s="586" t="s">
        <v>5023</v>
      </c>
      <c r="D440" s="572" t="s">
        <v>5024</v>
      </c>
      <c r="E440" s="574" t="s">
        <v>5138</v>
      </c>
      <c r="F440" s="544">
        <v>2.1808000000000001</v>
      </c>
      <c r="G440" s="571" t="s">
        <v>5032</v>
      </c>
    </row>
    <row r="441" spans="1:7" s="642" customFormat="1" ht="18.75" customHeight="1">
      <c r="A441" s="569"/>
      <c r="B441" s="576" t="s">
        <v>5022</v>
      </c>
      <c r="C441" s="586" t="s">
        <v>5023</v>
      </c>
      <c r="D441" s="572" t="s">
        <v>5024</v>
      </c>
      <c r="E441" s="574" t="s">
        <v>5139</v>
      </c>
      <c r="F441" s="544">
        <v>1.7515999999999998</v>
      </c>
      <c r="G441" s="589" t="s">
        <v>5140</v>
      </c>
    </row>
    <row r="442" spans="1:7" s="642" customFormat="1" ht="18.75" customHeight="1">
      <c r="A442" s="569"/>
      <c r="B442" s="576" t="s">
        <v>5022</v>
      </c>
      <c r="C442" s="586" t="s">
        <v>5023</v>
      </c>
      <c r="D442" s="572" t="s">
        <v>5024</v>
      </c>
      <c r="E442" s="574" t="s">
        <v>5141</v>
      </c>
      <c r="F442" s="544">
        <v>2.8071999999999999</v>
      </c>
      <c r="G442" s="589" t="s">
        <v>5142</v>
      </c>
    </row>
    <row r="443" spans="1:7" s="642" customFormat="1" ht="18.75" customHeight="1">
      <c r="A443" s="569"/>
      <c r="B443" s="576" t="s">
        <v>5022</v>
      </c>
      <c r="C443" s="586" t="s">
        <v>5023</v>
      </c>
      <c r="D443" s="572" t="s">
        <v>5024</v>
      </c>
      <c r="E443" s="574" t="s">
        <v>5143</v>
      </c>
      <c r="F443" s="544">
        <v>2.4655999999999998</v>
      </c>
      <c r="G443" s="589" t="s">
        <v>5144</v>
      </c>
    </row>
    <row r="444" spans="1:7" s="642" customFormat="1" ht="18.75" customHeight="1">
      <c r="A444" s="569"/>
      <c r="B444" s="576" t="s">
        <v>5022</v>
      </c>
      <c r="C444" s="586" t="s">
        <v>5023</v>
      </c>
      <c r="D444" s="572" t="s">
        <v>5024</v>
      </c>
      <c r="E444" s="574" t="s">
        <v>5145</v>
      </c>
      <c r="F444" s="544">
        <v>0.37619999999999998</v>
      </c>
      <c r="G444" s="589" t="s">
        <v>5146</v>
      </c>
    </row>
    <row r="445" spans="1:7" s="642" customFormat="1" ht="18.75" customHeight="1">
      <c r="A445" s="569"/>
      <c r="B445" s="576" t="s">
        <v>5022</v>
      </c>
      <c r="C445" s="586" t="s">
        <v>5023</v>
      </c>
      <c r="D445" s="572" t="s">
        <v>5024</v>
      </c>
      <c r="E445" s="574" t="s">
        <v>5147</v>
      </c>
      <c r="F445" s="544">
        <v>23.599999999999998</v>
      </c>
      <c r="G445" s="589" t="s">
        <v>5148</v>
      </c>
    </row>
    <row r="446" spans="1:7" s="642" customFormat="1" ht="18.75" customHeight="1">
      <c r="A446" s="569"/>
      <c r="B446" s="576" t="s">
        <v>5022</v>
      </c>
      <c r="C446" s="586" t="s">
        <v>5023</v>
      </c>
      <c r="D446" s="572" t="s">
        <v>5024</v>
      </c>
      <c r="E446" s="574" t="s">
        <v>5149</v>
      </c>
      <c r="F446" s="544">
        <v>9.4539999999999988</v>
      </c>
      <c r="G446" s="589" t="s">
        <v>5150</v>
      </c>
    </row>
    <row r="447" spans="1:7" s="642" customFormat="1" ht="18.75" customHeight="1">
      <c r="A447" s="569"/>
      <c r="B447" s="576" t="s">
        <v>5022</v>
      </c>
      <c r="C447" s="586" t="s">
        <v>5023</v>
      </c>
      <c r="D447" s="572" t="s">
        <v>5024</v>
      </c>
      <c r="E447" s="574" t="s">
        <v>5151</v>
      </c>
      <c r="F447" s="544">
        <v>5.6816000000000004</v>
      </c>
      <c r="G447" s="589" t="s">
        <v>5152</v>
      </c>
    </row>
    <row r="448" spans="1:7" s="642" customFormat="1" ht="18.75" customHeight="1">
      <c r="A448" s="592"/>
      <c r="B448" s="579" t="s">
        <v>5020</v>
      </c>
      <c r="C448" s="580" t="s">
        <v>5045</v>
      </c>
      <c r="D448" s="572"/>
      <c r="E448" s="574"/>
      <c r="F448" s="544"/>
      <c r="G448" s="579"/>
    </row>
    <row r="449" spans="1:7" s="642" customFormat="1" ht="18.75" customHeight="1">
      <c r="A449" s="569"/>
      <c r="B449" s="576" t="s">
        <v>5022</v>
      </c>
      <c r="C449" s="586" t="s">
        <v>5023</v>
      </c>
      <c r="D449" s="572" t="s">
        <v>5024</v>
      </c>
      <c r="E449" s="574" t="s">
        <v>5151</v>
      </c>
      <c r="F449" s="544">
        <v>5.6816000000000004</v>
      </c>
      <c r="G449" s="589" t="s">
        <v>5153</v>
      </c>
    </row>
    <row r="450" spans="1:7" s="642" customFormat="1" ht="18.75" customHeight="1">
      <c r="A450" s="569"/>
      <c r="B450" s="576" t="s">
        <v>5022</v>
      </c>
      <c r="C450" s="586" t="s">
        <v>5023</v>
      </c>
      <c r="D450" s="572" t="s">
        <v>5024</v>
      </c>
      <c r="E450" s="574" t="s">
        <v>5154</v>
      </c>
      <c r="F450" s="544">
        <v>10.666400000000001</v>
      </c>
      <c r="G450" s="589" t="s">
        <v>5155</v>
      </c>
    </row>
    <row r="451" spans="1:7" s="642" customFormat="1" ht="18.75" customHeight="1">
      <c r="A451" s="569"/>
      <c r="B451" s="576" t="s">
        <v>5022</v>
      </c>
      <c r="C451" s="586" t="s">
        <v>5023</v>
      </c>
      <c r="D451" s="572" t="s">
        <v>5024</v>
      </c>
      <c r="E451" s="574" t="s">
        <v>5156</v>
      </c>
      <c r="F451" s="544">
        <v>3.4567999999999999</v>
      </c>
      <c r="G451" s="589" t="s">
        <v>5157</v>
      </c>
    </row>
    <row r="452" spans="1:7" s="642" customFormat="1" ht="18.75" customHeight="1">
      <c r="A452" s="569"/>
      <c r="B452" s="576" t="s">
        <v>5022</v>
      </c>
      <c r="C452" s="586" t="s">
        <v>5023</v>
      </c>
      <c r="D452" s="572" t="s">
        <v>5024</v>
      </c>
      <c r="E452" s="594" t="s">
        <v>5158</v>
      </c>
      <c r="F452" s="544">
        <v>4.3148</v>
      </c>
      <c r="G452" s="589" t="s">
        <v>5159</v>
      </c>
    </row>
    <row r="453" spans="1:7" s="642" customFormat="1" ht="18.75" customHeight="1">
      <c r="A453" s="569"/>
      <c r="B453" s="576" t="s">
        <v>5022</v>
      </c>
      <c r="C453" s="586" t="s">
        <v>5023</v>
      </c>
      <c r="D453" s="572" t="s">
        <v>5024</v>
      </c>
      <c r="E453" s="594" t="s">
        <v>5160</v>
      </c>
      <c r="F453" s="544">
        <v>7.3311999999999999</v>
      </c>
      <c r="G453" s="589" t="s">
        <v>5161</v>
      </c>
    </row>
    <row r="454" spans="1:7" s="642" customFormat="1" ht="18.75" customHeight="1">
      <c r="A454" s="569"/>
      <c r="B454" s="576" t="s">
        <v>5022</v>
      </c>
      <c r="C454" s="586" t="s">
        <v>5023</v>
      </c>
      <c r="D454" s="572" t="s">
        <v>5024</v>
      </c>
      <c r="E454" s="594" t="s">
        <v>5162</v>
      </c>
      <c r="F454" s="544">
        <v>4.492799999999999</v>
      </c>
      <c r="G454" s="589" t="s">
        <v>5163</v>
      </c>
    </row>
    <row r="455" spans="1:7" s="642" customFormat="1" ht="18.75" customHeight="1">
      <c r="A455" s="592"/>
      <c r="B455" s="579" t="s">
        <v>5053</v>
      </c>
      <c r="C455" s="580"/>
      <c r="D455" s="572"/>
      <c r="E455" s="574"/>
      <c r="F455" s="544"/>
      <c r="G455" s="589"/>
    </row>
    <row r="456" spans="1:7" s="642" customFormat="1" ht="18.75" customHeight="1">
      <c r="A456" s="569"/>
      <c r="B456" s="576" t="s">
        <v>5054</v>
      </c>
      <c r="C456" s="571"/>
      <c r="D456" s="572" t="s">
        <v>5016</v>
      </c>
      <c r="E456" s="593" t="s">
        <v>5055</v>
      </c>
      <c r="F456" s="588">
        <v>23.2</v>
      </c>
      <c r="G456" s="594"/>
    </row>
    <row r="457" spans="1:7" s="642" customFormat="1" ht="18.75" customHeight="1">
      <c r="A457" s="595"/>
      <c r="B457" s="596" t="s">
        <v>5056</v>
      </c>
      <c r="C457" s="596" t="s">
        <v>5057</v>
      </c>
      <c r="D457" s="597" t="s">
        <v>5058</v>
      </c>
      <c r="E457" s="598">
        <v>4</v>
      </c>
      <c r="F457" s="599">
        <v>4</v>
      </c>
      <c r="G457" s="600"/>
    </row>
    <row r="458" spans="1:7" s="642" customFormat="1" ht="18.75" customHeight="1">
      <c r="A458" s="569"/>
      <c r="B458" s="571" t="s">
        <v>5059</v>
      </c>
      <c r="C458" s="571"/>
      <c r="D458" s="572" t="s">
        <v>5016</v>
      </c>
      <c r="E458" s="593" t="s">
        <v>5164</v>
      </c>
      <c r="F458" s="588">
        <v>46.4</v>
      </c>
      <c r="G458" s="594"/>
    </row>
    <row r="459" spans="1:7" s="642" customFormat="1" ht="18.75" customHeight="1">
      <c r="A459" s="569"/>
      <c r="B459" s="589" t="s">
        <v>5061</v>
      </c>
      <c r="C459" s="586" t="s">
        <v>5165</v>
      </c>
      <c r="D459" s="572" t="s">
        <v>5016</v>
      </c>
      <c r="E459" s="593" t="s">
        <v>5166</v>
      </c>
      <c r="F459" s="588">
        <v>56.707999999999998</v>
      </c>
      <c r="G459" s="594"/>
    </row>
    <row r="460" spans="1:7" s="642" customFormat="1" ht="18.75" customHeight="1">
      <c r="A460" s="569"/>
      <c r="B460" s="576" t="s">
        <v>5064</v>
      </c>
      <c r="C460" s="571" t="s">
        <v>5167</v>
      </c>
      <c r="D460" s="572" t="s">
        <v>5016</v>
      </c>
      <c r="E460" s="593" t="s">
        <v>5055</v>
      </c>
      <c r="F460" s="544">
        <v>23.2</v>
      </c>
      <c r="G460" s="594"/>
    </row>
    <row r="461" spans="1:7" s="642" customFormat="1" ht="18.75" customHeight="1">
      <c r="A461" s="569"/>
      <c r="B461" s="576" t="s">
        <v>5064</v>
      </c>
      <c r="C461" s="571" t="s">
        <v>5168</v>
      </c>
      <c r="D461" s="572" t="s">
        <v>5016</v>
      </c>
      <c r="E461" s="593" t="s">
        <v>5055</v>
      </c>
      <c r="F461" s="544">
        <v>23.2</v>
      </c>
      <c r="G461" s="594"/>
    </row>
    <row r="462" spans="1:7" s="642" customFormat="1" ht="18.75" customHeight="1">
      <c r="A462" s="595"/>
      <c r="B462" s="645" t="s">
        <v>5067</v>
      </c>
      <c r="C462" s="602" t="s">
        <v>5068</v>
      </c>
      <c r="D462" s="603" t="s">
        <v>5069</v>
      </c>
      <c r="E462" s="598">
        <v>32</v>
      </c>
      <c r="F462" s="599">
        <v>32</v>
      </c>
      <c r="G462" s="600"/>
    </row>
    <row r="463" spans="1:7" s="642" customFormat="1" ht="18.75" customHeight="1">
      <c r="A463" s="595"/>
      <c r="B463" s="604" t="s">
        <v>5070</v>
      </c>
      <c r="C463" s="605" t="s">
        <v>5071</v>
      </c>
      <c r="D463" s="606" t="s">
        <v>5069</v>
      </c>
      <c r="E463" s="598">
        <v>64</v>
      </c>
      <c r="F463" s="599">
        <v>64</v>
      </c>
      <c r="G463" s="600"/>
    </row>
    <row r="464" spans="1:7" s="642" customFormat="1" ht="18.75" customHeight="1">
      <c r="A464" s="569"/>
      <c r="B464" s="646" t="s">
        <v>5072</v>
      </c>
      <c r="C464" s="586" t="s">
        <v>5073</v>
      </c>
      <c r="D464" s="572" t="s">
        <v>5016</v>
      </c>
      <c r="E464" s="593" t="s">
        <v>5169</v>
      </c>
      <c r="F464" s="588">
        <v>46.4</v>
      </c>
      <c r="G464" s="594"/>
    </row>
    <row r="465" spans="1:7" s="642" customFormat="1" ht="18.75" customHeight="1">
      <c r="A465" s="569"/>
      <c r="B465" s="576" t="s">
        <v>5074</v>
      </c>
      <c r="C465" s="586" t="s">
        <v>5075</v>
      </c>
      <c r="D465" s="572" t="s">
        <v>5076</v>
      </c>
      <c r="E465" s="593" t="s">
        <v>5077</v>
      </c>
      <c r="F465" s="588">
        <v>300</v>
      </c>
      <c r="G465" s="594"/>
    </row>
    <row r="466" spans="1:7" s="642" customFormat="1" ht="18.75" customHeight="1">
      <c r="A466" s="569"/>
      <c r="B466" s="576" t="s">
        <v>5078</v>
      </c>
      <c r="C466" s="586" t="s">
        <v>5079</v>
      </c>
      <c r="D466" s="572" t="s">
        <v>5076</v>
      </c>
      <c r="E466" s="593" t="str">
        <f>E465</f>
        <v>(L*13)*2</v>
      </c>
      <c r="F466" s="588">
        <v>300</v>
      </c>
      <c r="G466" s="594"/>
    </row>
    <row r="467" spans="1:7" s="642" customFormat="1" ht="18.75" customHeight="1">
      <c r="A467" s="595"/>
      <c r="B467" s="602" t="s">
        <v>5080</v>
      </c>
      <c r="C467" s="605" t="s">
        <v>5081</v>
      </c>
      <c r="D467" s="606" t="s">
        <v>5069</v>
      </c>
      <c r="E467" s="598">
        <v>8</v>
      </c>
      <c r="F467" s="599">
        <v>8</v>
      </c>
      <c r="G467" s="600"/>
    </row>
    <row r="468" spans="1:7" s="642" customFormat="1" ht="18.75" customHeight="1">
      <c r="A468" s="595"/>
      <c r="B468" s="645" t="s">
        <v>5082</v>
      </c>
      <c r="C468" s="605" t="s">
        <v>5083</v>
      </c>
      <c r="D468" s="606" t="s">
        <v>5069</v>
      </c>
      <c r="E468" s="598">
        <v>2</v>
      </c>
      <c r="F468" s="599">
        <v>2</v>
      </c>
      <c r="G468" s="600"/>
    </row>
    <row r="469" spans="1:7" s="642" customFormat="1" ht="18.75" customHeight="1">
      <c r="A469" s="595"/>
      <c r="B469" s="647" t="s">
        <v>5084</v>
      </c>
      <c r="C469" s="605" t="s">
        <v>5085</v>
      </c>
      <c r="D469" s="606" t="s">
        <v>5069</v>
      </c>
      <c r="E469" s="648">
        <v>2</v>
      </c>
      <c r="F469" s="599">
        <v>2</v>
      </c>
      <c r="G469" s="600"/>
    </row>
    <row r="470" spans="1:7" s="642" customFormat="1" ht="18.75" customHeight="1">
      <c r="A470" s="569"/>
      <c r="B470" s="579" t="s">
        <v>5170</v>
      </c>
      <c r="C470" s="580"/>
      <c r="D470" s="572"/>
      <c r="E470" s="574"/>
      <c r="F470" s="544"/>
      <c r="G470" s="594"/>
    </row>
    <row r="471" spans="1:7" s="642" customFormat="1" ht="18.75" customHeight="1">
      <c r="A471" s="569"/>
      <c r="B471" s="581" t="s">
        <v>5092</v>
      </c>
      <c r="C471" s="582" t="s">
        <v>5093</v>
      </c>
      <c r="D471" s="572" t="s">
        <v>5024</v>
      </c>
      <c r="E471" s="571" t="s">
        <v>5171</v>
      </c>
      <c r="F471" s="544">
        <v>40.928000000000004</v>
      </c>
      <c r="G471" s="575"/>
    </row>
    <row r="472" spans="1:7" s="642" customFormat="1" ht="18.75" customHeight="1">
      <c r="A472" s="569"/>
      <c r="B472" s="589" t="s">
        <v>5172</v>
      </c>
      <c r="C472" s="586" t="s">
        <v>5091</v>
      </c>
      <c r="D472" s="572" t="s">
        <v>5024</v>
      </c>
      <c r="E472" s="571" t="s">
        <v>5171</v>
      </c>
      <c r="F472" s="544">
        <v>40.928000000000004</v>
      </c>
      <c r="G472" s="594"/>
    </row>
    <row r="473" spans="1:7" s="642" customFormat="1" ht="18.75" customHeight="1">
      <c r="A473" s="592"/>
      <c r="B473" s="576" t="s">
        <v>5087</v>
      </c>
      <c r="C473" s="571" t="s">
        <v>5088</v>
      </c>
      <c r="D473" s="572" t="s">
        <v>5024</v>
      </c>
      <c r="E473" s="571" t="s">
        <v>5171</v>
      </c>
      <c r="F473" s="544">
        <v>40.928000000000004</v>
      </c>
      <c r="G473" s="594"/>
    </row>
    <row r="474" spans="1:7" s="642" customFormat="1" ht="18.75" customHeight="1">
      <c r="A474" s="595"/>
      <c r="B474" s="596" t="s">
        <v>5100</v>
      </c>
      <c r="C474" s="596" t="s">
        <v>5101</v>
      </c>
      <c r="D474" s="606" t="s">
        <v>59</v>
      </c>
      <c r="E474" s="649" t="s">
        <v>5102</v>
      </c>
      <c r="F474" s="599">
        <v>84.260600000000011</v>
      </c>
      <c r="G474" s="600"/>
    </row>
    <row r="475" spans="1:7" s="642" customFormat="1" ht="18.75" customHeight="1">
      <c r="A475" s="595"/>
      <c r="B475" s="602" t="s">
        <v>5172</v>
      </c>
      <c r="C475" s="596" t="s">
        <v>5101</v>
      </c>
      <c r="D475" s="606" t="s">
        <v>5024</v>
      </c>
      <c r="E475" s="649" t="str">
        <f>E474</f>
        <v>3.624*L+0.16*((L*2)+(D*10))+((0.246*(H-0.5))*2+0.3*(D+D)+L*UH+0.18*(D+D+L)</v>
      </c>
      <c r="F475" s="599">
        <v>84.260600000000011</v>
      </c>
      <c r="G475" s="600"/>
    </row>
    <row r="476" spans="1:7" s="642" customFormat="1" ht="18.75" customHeight="1">
      <c r="A476" s="569"/>
      <c r="B476" s="579" t="s">
        <v>5173</v>
      </c>
      <c r="C476" s="580"/>
      <c r="D476" s="572"/>
      <c r="E476" s="574"/>
      <c r="F476" s="650"/>
      <c r="G476" s="594"/>
    </row>
    <row r="477" spans="1:7" s="642" customFormat="1" ht="18.75" customHeight="1">
      <c r="A477" s="569"/>
      <c r="B477" s="576" t="s">
        <v>5104</v>
      </c>
      <c r="C477" s="611" t="s">
        <v>5105</v>
      </c>
      <c r="D477" s="572" t="s">
        <v>59</v>
      </c>
      <c r="E477" s="574" t="s">
        <v>5174</v>
      </c>
      <c r="F477" s="544">
        <v>69.924999999999997</v>
      </c>
      <c r="G477" s="594"/>
    </row>
    <row r="478" spans="1:7" s="651" customFormat="1" ht="18.75" customHeight="1">
      <c r="A478" s="569"/>
      <c r="B478" s="589" t="s">
        <v>5175</v>
      </c>
      <c r="C478" s="571"/>
      <c r="D478" s="572" t="s">
        <v>5016</v>
      </c>
      <c r="E478" s="574" t="s">
        <v>5176</v>
      </c>
      <c r="F478" s="544">
        <v>132.97</v>
      </c>
      <c r="G478" s="594"/>
    </row>
    <row r="479" spans="1:7" s="642" customFormat="1" ht="18.75" customHeight="1">
      <c r="A479" s="569"/>
      <c r="B479" s="589" t="s">
        <v>5113</v>
      </c>
      <c r="C479" s="586"/>
      <c r="D479" s="572" t="s">
        <v>5016</v>
      </c>
      <c r="E479" s="574" t="s">
        <v>5177</v>
      </c>
      <c r="F479" s="544">
        <v>148.43200000000002</v>
      </c>
      <c r="G479" s="594"/>
    </row>
    <row r="480" spans="1:7" s="642" customFormat="1" ht="18.75" customHeight="1">
      <c r="A480" s="569"/>
      <c r="B480" s="579" t="s">
        <v>5178</v>
      </c>
      <c r="C480" s="580"/>
      <c r="D480" s="572"/>
      <c r="E480" s="574"/>
      <c r="F480" s="650"/>
      <c r="G480" s="594"/>
    </row>
    <row r="481" spans="1:7" s="642" customFormat="1" ht="18.75" customHeight="1">
      <c r="A481" s="569"/>
      <c r="B481" s="652" t="s">
        <v>5179</v>
      </c>
      <c r="C481" s="653" t="s">
        <v>5117</v>
      </c>
      <c r="D481" s="572" t="s">
        <v>5118</v>
      </c>
      <c r="E481" s="613" t="s">
        <v>5180</v>
      </c>
      <c r="F481" s="544">
        <v>57.999999999999993</v>
      </c>
      <c r="G481" s="594"/>
    </row>
    <row r="482" spans="1:7" ht="20.25" customHeight="1">
      <c r="A482" s="595"/>
      <c r="B482" s="596" t="s">
        <v>5122</v>
      </c>
      <c r="C482" s="654" t="s">
        <v>5130</v>
      </c>
      <c r="D482" s="606" t="s">
        <v>5058</v>
      </c>
      <c r="E482" s="614">
        <v>3</v>
      </c>
      <c r="F482" s="599">
        <v>3</v>
      </c>
      <c r="G482" s="600"/>
    </row>
    <row r="483" spans="1:7" ht="20.25" customHeight="1">
      <c r="A483" s="595"/>
      <c r="B483" s="596"/>
      <c r="C483" s="654"/>
      <c r="D483" s="606"/>
      <c r="E483" s="614"/>
      <c r="F483" s="599"/>
      <c r="G483" s="600"/>
    </row>
    <row r="484" spans="1:7" ht="20.25" customHeight="1">
      <c r="A484" s="595"/>
      <c r="B484" s="596"/>
      <c r="C484" s="654"/>
      <c r="D484" s="606"/>
      <c r="E484" s="614"/>
      <c r="F484" s="599"/>
      <c r="G484" s="600"/>
    </row>
    <row r="485" spans="1:7" ht="18.75" customHeight="1">
      <c r="A485" s="532"/>
      <c r="B485" s="581"/>
      <c r="C485" s="634"/>
      <c r="D485" s="583"/>
      <c r="E485" s="543"/>
      <c r="F485" s="544"/>
      <c r="G485" s="545"/>
    </row>
    <row r="486" spans="1:7" ht="20.25" customHeight="1">
      <c r="A486" s="532"/>
      <c r="B486" s="633"/>
      <c r="C486" s="581"/>
      <c r="D486" s="583"/>
      <c r="E486" s="543"/>
      <c r="F486" s="544"/>
      <c r="G486" s="545"/>
    </row>
    <row r="487" spans="1:7" ht="20.25" customHeight="1">
      <c r="A487" s="532"/>
      <c r="B487" s="581"/>
      <c r="C487" s="655"/>
      <c r="D487" s="583"/>
      <c r="E487" s="656"/>
      <c r="F487" s="544"/>
      <c r="G487" s="545"/>
    </row>
    <row r="488" spans="1:7" ht="20.25" customHeight="1">
      <c r="A488" s="532"/>
      <c r="B488" s="581"/>
      <c r="C488" s="655"/>
      <c r="D488" s="583"/>
      <c r="E488" s="656"/>
      <c r="F488" s="544"/>
      <c r="G488" s="545"/>
    </row>
    <row r="489" spans="1:7" ht="20.25" customHeight="1">
      <c r="A489" s="532"/>
      <c r="B489" s="581"/>
      <c r="C489" s="655"/>
      <c r="D489" s="583"/>
      <c r="E489" s="656"/>
      <c r="F489" s="544"/>
      <c r="G489" s="545"/>
    </row>
    <row r="490" spans="1:7" s="636" customFormat="1" ht="18.75" customHeight="1">
      <c r="A490" s="547" t="s">
        <v>5001</v>
      </c>
      <c r="B490" s="548" t="s">
        <v>5002</v>
      </c>
      <c r="C490" s="549">
        <f>[140]LIST!D21</f>
        <v>2400</v>
      </c>
      <c r="D490" s="550">
        <f t="shared" ref="D490:D495" si="8">C490/1000</f>
        <v>2.4</v>
      </c>
      <c r="E490" s="536"/>
      <c r="F490" s="537"/>
      <c r="G490" s="538"/>
    </row>
    <row r="491" spans="1:7" s="636" customFormat="1" ht="18.75" customHeight="1">
      <c r="A491" s="551" t="s">
        <v>5003</v>
      </c>
      <c r="B491" s="552" t="s">
        <v>5004</v>
      </c>
      <c r="C491" s="553">
        <f>[140]LIST!E21</f>
        <v>2400</v>
      </c>
      <c r="D491" s="554">
        <f t="shared" si="8"/>
        <v>2.4</v>
      </c>
      <c r="E491" s="536"/>
      <c r="F491" s="537"/>
      <c r="G491" s="538"/>
    </row>
    <row r="492" spans="1:7" s="636" customFormat="1" ht="18.75" customHeight="1">
      <c r="A492" s="551" t="s">
        <v>5005</v>
      </c>
      <c r="B492" s="552" t="s">
        <v>5006</v>
      </c>
      <c r="C492" s="553">
        <f>[140]LIST!F21</f>
        <v>2300</v>
      </c>
      <c r="D492" s="554">
        <f t="shared" si="8"/>
        <v>2.2999999999999998</v>
      </c>
      <c r="E492" s="536"/>
      <c r="F492" s="537"/>
      <c r="G492" s="538"/>
    </row>
    <row r="493" spans="1:7" s="636" customFormat="1" ht="18.75" customHeight="1">
      <c r="A493" s="555" t="s">
        <v>5007</v>
      </c>
      <c r="B493" s="552" t="s">
        <v>5008</v>
      </c>
      <c r="C493" s="553">
        <f>[140]LIST!G21</f>
        <v>300</v>
      </c>
      <c r="D493" s="554">
        <f t="shared" si="8"/>
        <v>0.3</v>
      </c>
      <c r="E493" s="536"/>
      <c r="F493" s="537"/>
      <c r="G493" s="538"/>
    </row>
    <row r="494" spans="1:7" ht="18.75" customHeight="1">
      <c r="A494" s="555" t="s">
        <v>5009</v>
      </c>
      <c r="B494" s="552" t="s">
        <v>5010</v>
      </c>
      <c r="C494" s="553">
        <f>[140]LIST!H21</f>
        <v>1877</v>
      </c>
      <c r="D494" s="554">
        <f t="shared" si="8"/>
        <v>1.877</v>
      </c>
      <c r="E494" s="556"/>
      <c r="F494" s="537"/>
      <c r="G494" s="538"/>
    </row>
    <row r="495" spans="1:7" s="638" customFormat="1" ht="18.75" customHeight="1">
      <c r="A495" s="557" t="s">
        <v>5011</v>
      </c>
      <c r="B495" s="558" t="s">
        <v>5012</v>
      </c>
      <c r="C495" s="553">
        <f>[140]LIST!I21</f>
        <v>123</v>
      </c>
      <c r="D495" s="560">
        <f t="shared" si="8"/>
        <v>0.123</v>
      </c>
      <c r="E495" s="561"/>
      <c r="F495" s="544"/>
      <c r="G495" s="637"/>
    </row>
    <row r="496" spans="1:7" s="642" customFormat="1" ht="18.75" customHeight="1">
      <c r="A496" s="563" t="str">
        <f>[140]LIST!B21</f>
        <v>SC-207</v>
      </c>
      <c r="B496" s="563" t="str">
        <f>[140]LIST!C21</f>
        <v>4면 유리형 독립장</v>
      </c>
      <c r="C496" s="564" t="str">
        <f>A490&amp;": "&amp;C490&amp;" "&amp;A491&amp;": "&amp;C491&amp;" "&amp;A492&amp;": "&amp;C492&amp;" "&amp;A493&amp;": "&amp;C493&amp;" "&amp;A494&amp;": "&amp;C494&amp;" "&amp;A495&amp;": "&amp;C495</f>
        <v>L: 2400 D: 2400 H: 2300 FH: 300 GH: 1877 UH: 123</v>
      </c>
      <c r="D496" s="565" t="s">
        <v>398</v>
      </c>
      <c r="E496" s="639"/>
      <c r="F496" s="640">
        <v>1</v>
      </c>
      <c r="G496" s="641"/>
    </row>
    <row r="497" spans="1:7" s="642" customFormat="1" ht="18.75" customHeight="1">
      <c r="A497" s="643"/>
      <c r="B497" s="570" t="s">
        <v>5013</v>
      </c>
      <c r="C497" s="571"/>
      <c r="D497" s="572"/>
      <c r="E497" s="574"/>
      <c r="F497" s="544"/>
      <c r="G497" s="574"/>
    </row>
    <row r="498" spans="1:7" s="642" customFormat="1" ht="18.75" customHeight="1">
      <c r="A498" s="569"/>
      <c r="B498" s="576" t="s">
        <v>5014</v>
      </c>
      <c r="C498" s="571" t="s">
        <v>5131</v>
      </c>
      <c r="D498" s="572" t="s">
        <v>5016</v>
      </c>
      <c r="E498" s="593" t="s">
        <v>5181</v>
      </c>
      <c r="F498" s="544">
        <v>52.8</v>
      </c>
      <c r="G498" s="574"/>
    </row>
    <row r="499" spans="1:7" s="642" customFormat="1" ht="18.75" customHeight="1">
      <c r="A499" s="592"/>
      <c r="B499" s="579" t="s">
        <v>5020</v>
      </c>
      <c r="C499" s="580" t="s">
        <v>5021</v>
      </c>
      <c r="D499" s="572"/>
      <c r="E499" s="574"/>
      <c r="F499" s="544"/>
      <c r="G499" s="574"/>
    </row>
    <row r="500" spans="1:7" s="642" customFormat="1" ht="18.75" customHeight="1">
      <c r="A500" s="569"/>
      <c r="B500" s="576" t="s">
        <v>5022</v>
      </c>
      <c r="C500" s="586" t="s">
        <v>5023</v>
      </c>
      <c r="D500" s="572" t="s">
        <v>5024</v>
      </c>
      <c r="E500" s="574" t="s">
        <v>5138</v>
      </c>
      <c r="F500" s="544">
        <v>0.45119999999999999</v>
      </c>
      <c r="G500" s="571" t="s">
        <v>5032</v>
      </c>
    </row>
    <row r="501" spans="1:7" s="642" customFormat="1" ht="18.75" customHeight="1">
      <c r="A501" s="569"/>
      <c r="B501" s="576" t="s">
        <v>5022</v>
      </c>
      <c r="C501" s="586" t="s">
        <v>5023</v>
      </c>
      <c r="D501" s="572" t="s">
        <v>5024</v>
      </c>
      <c r="E501" s="574" t="s">
        <v>5139</v>
      </c>
      <c r="F501" s="544">
        <v>0.3624</v>
      </c>
      <c r="G501" s="589" t="s">
        <v>5140</v>
      </c>
    </row>
    <row r="502" spans="1:7" s="642" customFormat="1" ht="18.75" customHeight="1">
      <c r="A502" s="569"/>
      <c r="B502" s="576" t="s">
        <v>5022</v>
      </c>
      <c r="C502" s="586" t="s">
        <v>5023</v>
      </c>
      <c r="D502" s="572" t="s">
        <v>5024</v>
      </c>
      <c r="E502" s="574" t="s">
        <v>5141</v>
      </c>
      <c r="F502" s="544">
        <v>0.58079999999999998</v>
      </c>
      <c r="G502" s="589" t="s">
        <v>5142</v>
      </c>
    </row>
    <row r="503" spans="1:7" s="642" customFormat="1" ht="18.75" customHeight="1">
      <c r="A503" s="569"/>
      <c r="B503" s="576" t="s">
        <v>5022</v>
      </c>
      <c r="C503" s="586" t="s">
        <v>5023</v>
      </c>
      <c r="D503" s="572" t="s">
        <v>5024</v>
      </c>
      <c r="E503" s="574" t="s">
        <v>5182</v>
      </c>
      <c r="F503" s="544">
        <v>1.3248</v>
      </c>
      <c r="G503" s="589" t="s">
        <v>5144</v>
      </c>
    </row>
    <row r="504" spans="1:7" s="642" customFormat="1" ht="18.75" customHeight="1">
      <c r="A504" s="569"/>
      <c r="B504" s="576" t="s">
        <v>5022</v>
      </c>
      <c r="C504" s="586" t="s">
        <v>5023</v>
      </c>
      <c r="D504" s="572" t="s">
        <v>5024</v>
      </c>
      <c r="E504" s="574" t="s">
        <v>5183</v>
      </c>
      <c r="F504" s="544">
        <v>1.0031999999999999</v>
      </c>
      <c r="G504" s="589" t="s">
        <v>5146</v>
      </c>
    </row>
    <row r="505" spans="1:7" s="642" customFormat="1" ht="18.75" customHeight="1">
      <c r="A505" s="569"/>
      <c r="B505" s="576" t="s">
        <v>5022</v>
      </c>
      <c r="C505" s="586" t="s">
        <v>5023</v>
      </c>
      <c r="D505" s="572" t="s">
        <v>5024</v>
      </c>
      <c r="E505" s="574" t="s">
        <v>5147</v>
      </c>
      <c r="F505" s="544">
        <v>6.7600000000000007</v>
      </c>
      <c r="G505" s="589" t="s">
        <v>5148</v>
      </c>
    </row>
    <row r="506" spans="1:7" s="642" customFormat="1" ht="18.75" customHeight="1">
      <c r="A506" s="569"/>
      <c r="B506" s="576" t="s">
        <v>5022</v>
      </c>
      <c r="C506" s="586" t="s">
        <v>5023</v>
      </c>
      <c r="D506" s="572" t="s">
        <v>5024</v>
      </c>
      <c r="E506" s="574" t="s">
        <v>5149</v>
      </c>
      <c r="F506" s="544">
        <v>1.9559999999999997</v>
      </c>
      <c r="G506" s="589" t="s">
        <v>5150</v>
      </c>
    </row>
    <row r="507" spans="1:7" s="642" customFormat="1" ht="18.75" customHeight="1">
      <c r="A507" s="569"/>
      <c r="B507" s="576" t="s">
        <v>5022</v>
      </c>
      <c r="C507" s="586" t="s">
        <v>5023</v>
      </c>
      <c r="D507" s="572" t="s">
        <v>5024</v>
      </c>
      <c r="E507" s="574" t="s">
        <v>5151</v>
      </c>
      <c r="F507" s="544">
        <v>2.0351999999999997</v>
      </c>
      <c r="G507" s="589" t="s">
        <v>5152</v>
      </c>
    </row>
    <row r="508" spans="1:7" s="642" customFormat="1" ht="18.75" customHeight="1">
      <c r="A508" s="592"/>
      <c r="B508" s="579" t="s">
        <v>5020</v>
      </c>
      <c r="C508" s="580" t="s">
        <v>5045</v>
      </c>
      <c r="D508" s="572"/>
      <c r="E508" s="574"/>
      <c r="F508" s="544"/>
      <c r="G508" s="579"/>
    </row>
    <row r="509" spans="1:7" s="642" customFormat="1" ht="18.75" customHeight="1">
      <c r="A509" s="569"/>
      <c r="B509" s="576" t="s">
        <v>5022</v>
      </c>
      <c r="C509" s="586" t="s">
        <v>5023</v>
      </c>
      <c r="D509" s="572" t="s">
        <v>5024</v>
      </c>
      <c r="E509" s="574" t="s">
        <v>5151</v>
      </c>
      <c r="F509" s="544">
        <v>2.0351999999999997</v>
      </c>
      <c r="G509" s="589" t="s">
        <v>5153</v>
      </c>
    </row>
    <row r="510" spans="1:7" s="642" customFormat="1" ht="18.75" customHeight="1">
      <c r="A510" s="569"/>
      <c r="B510" s="576" t="s">
        <v>5022</v>
      </c>
      <c r="C510" s="586" t="s">
        <v>5023</v>
      </c>
      <c r="D510" s="572" t="s">
        <v>5024</v>
      </c>
      <c r="E510" s="574" t="s">
        <v>5154</v>
      </c>
      <c r="F510" s="544">
        <v>3.8208000000000002</v>
      </c>
      <c r="G510" s="589" t="s">
        <v>5155</v>
      </c>
    </row>
    <row r="511" spans="1:7" s="642" customFormat="1" ht="18.75" customHeight="1">
      <c r="A511" s="569"/>
      <c r="B511" s="576" t="s">
        <v>5022</v>
      </c>
      <c r="C511" s="586" t="s">
        <v>5023</v>
      </c>
      <c r="D511" s="572" t="s">
        <v>5024</v>
      </c>
      <c r="E511" s="574" t="s">
        <v>5156</v>
      </c>
      <c r="F511" s="544">
        <v>0.71519999999999995</v>
      </c>
      <c r="G511" s="589" t="s">
        <v>5157</v>
      </c>
    </row>
    <row r="512" spans="1:7" s="642" customFormat="1" ht="18.75" customHeight="1">
      <c r="A512" s="569"/>
      <c r="B512" s="576" t="s">
        <v>5022</v>
      </c>
      <c r="C512" s="586" t="s">
        <v>5023</v>
      </c>
      <c r="D512" s="572" t="s">
        <v>5024</v>
      </c>
      <c r="E512" s="594" t="s">
        <v>5158</v>
      </c>
      <c r="F512" s="544">
        <v>1.5456000000000001</v>
      </c>
      <c r="G512" s="589" t="s">
        <v>5159</v>
      </c>
    </row>
    <row r="513" spans="1:7" s="642" customFormat="1" ht="18.75" customHeight="1">
      <c r="A513" s="569"/>
      <c r="B513" s="576" t="s">
        <v>5022</v>
      </c>
      <c r="C513" s="586" t="s">
        <v>5023</v>
      </c>
      <c r="D513" s="572" t="s">
        <v>5024</v>
      </c>
      <c r="E513" s="594" t="s">
        <v>5160</v>
      </c>
      <c r="F513" s="544">
        <v>1.5167999999999999</v>
      </c>
      <c r="G513" s="589" t="s">
        <v>5161</v>
      </c>
    </row>
    <row r="514" spans="1:7" s="642" customFormat="1" ht="18.75" customHeight="1">
      <c r="A514" s="569"/>
      <c r="B514" s="576" t="s">
        <v>5022</v>
      </c>
      <c r="C514" s="586" t="s">
        <v>5023</v>
      </c>
      <c r="D514" s="572" t="s">
        <v>5024</v>
      </c>
      <c r="E514" s="594" t="s">
        <v>5162</v>
      </c>
      <c r="F514" s="544">
        <v>1.4040000000000001</v>
      </c>
      <c r="G514" s="589" t="s">
        <v>5163</v>
      </c>
    </row>
    <row r="515" spans="1:7" s="642" customFormat="1" ht="18.75" customHeight="1">
      <c r="A515" s="592"/>
      <c r="B515" s="579" t="s">
        <v>5053</v>
      </c>
      <c r="C515" s="580"/>
      <c r="D515" s="572"/>
      <c r="E515" s="574"/>
      <c r="F515" s="544"/>
      <c r="G515" s="589"/>
    </row>
    <row r="516" spans="1:7" s="642" customFormat="1" ht="18.75" customHeight="1">
      <c r="A516" s="569"/>
      <c r="B516" s="576" t="s">
        <v>5054</v>
      </c>
      <c r="C516" s="571"/>
      <c r="D516" s="572" t="s">
        <v>5016</v>
      </c>
      <c r="E516" s="593" t="s">
        <v>5184</v>
      </c>
      <c r="F516" s="588">
        <v>9.6</v>
      </c>
      <c r="G516" s="594"/>
    </row>
    <row r="517" spans="1:7" s="642" customFormat="1" ht="18.75" customHeight="1">
      <c r="A517" s="595"/>
      <c r="B517" s="596" t="s">
        <v>5056</v>
      </c>
      <c r="C517" s="596" t="s">
        <v>5057</v>
      </c>
      <c r="D517" s="597" t="s">
        <v>5058</v>
      </c>
      <c r="E517" s="598">
        <v>2</v>
      </c>
      <c r="F517" s="599">
        <v>2</v>
      </c>
      <c r="G517" s="600"/>
    </row>
    <row r="518" spans="1:7" s="642" customFormat="1" ht="18.75" customHeight="1">
      <c r="A518" s="569"/>
      <c r="B518" s="571" t="s">
        <v>5059</v>
      </c>
      <c r="C518" s="571"/>
      <c r="D518" s="572" t="s">
        <v>5016</v>
      </c>
      <c r="E518" s="593" t="s">
        <v>5185</v>
      </c>
      <c r="F518" s="588">
        <v>9.6</v>
      </c>
      <c r="G518" s="594"/>
    </row>
    <row r="519" spans="1:7" s="642" customFormat="1" ht="18.75" customHeight="1">
      <c r="A519" s="569"/>
      <c r="B519" s="589" t="s">
        <v>5061</v>
      </c>
      <c r="C519" s="586" t="s">
        <v>5165</v>
      </c>
      <c r="D519" s="572" t="s">
        <v>5016</v>
      </c>
      <c r="E519" s="593" t="s">
        <v>5186</v>
      </c>
      <c r="F519" s="588">
        <v>17.108000000000001</v>
      </c>
      <c r="G519" s="594"/>
    </row>
    <row r="520" spans="1:7" s="642" customFormat="1" ht="18.75" customHeight="1">
      <c r="A520" s="569"/>
      <c r="B520" s="576" t="s">
        <v>5064</v>
      </c>
      <c r="C520" s="571" t="s">
        <v>5167</v>
      </c>
      <c r="D520" s="572" t="s">
        <v>5016</v>
      </c>
      <c r="E520" s="593" t="s">
        <v>5055</v>
      </c>
      <c r="F520" s="544">
        <v>4.8</v>
      </c>
      <c r="G520" s="594"/>
    </row>
    <row r="521" spans="1:7" s="642" customFormat="1" ht="18.75" customHeight="1">
      <c r="A521" s="569"/>
      <c r="B521" s="576" t="s">
        <v>5064</v>
      </c>
      <c r="C521" s="571" t="s">
        <v>5168</v>
      </c>
      <c r="D521" s="572" t="s">
        <v>5016</v>
      </c>
      <c r="E521" s="593" t="s">
        <v>5055</v>
      </c>
      <c r="F521" s="544">
        <v>4.8</v>
      </c>
      <c r="G521" s="594"/>
    </row>
    <row r="522" spans="1:7" s="642" customFormat="1" ht="18.75" customHeight="1">
      <c r="A522" s="595"/>
      <c r="B522" s="645" t="s">
        <v>5067</v>
      </c>
      <c r="C522" s="602" t="s">
        <v>5068</v>
      </c>
      <c r="D522" s="603" t="s">
        <v>5069</v>
      </c>
      <c r="E522" s="598">
        <v>12</v>
      </c>
      <c r="F522" s="599">
        <v>12</v>
      </c>
      <c r="G522" s="600"/>
    </row>
    <row r="523" spans="1:7" s="642" customFormat="1" ht="18.75" customHeight="1">
      <c r="A523" s="595"/>
      <c r="B523" s="604" t="s">
        <v>5070</v>
      </c>
      <c r="C523" s="605" t="s">
        <v>5071</v>
      </c>
      <c r="D523" s="606" t="s">
        <v>5069</v>
      </c>
      <c r="E523" s="598">
        <v>24</v>
      </c>
      <c r="F523" s="599">
        <v>24</v>
      </c>
      <c r="G523" s="600"/>
    </row>
    <row r="524" spans="1:7" s="642" customFormat="1" ht="18.75" customHeight="1">
      <c r="A524" s="569"/>
      <c r="B524" s="646" t="s">
        <v>5072</v>
      </c>
      <c r="C524" s="586" t="s">
        <v>5073</v>
      </c>
      <c r="D524" s="572" t="s">
        <v>5016</v>
      </c>
      <c r="E524" s="593" t="s">
        <v>5055</v>
      </c>
      <c r="F524" s="588">
        <v>4.8</v>
      </c>
      <c r="G524" s="594"/>
    </row>
    <row r="525" spans="1:7" s="642" customFormat="1" ht="18.75" customHeight="1">
      <c r="A525" s="569"/>
      <c r="B525" s="576" t="s">
        <v>5074</v>
      </c>
      <c r="C525" s="586" t="s">
        <v>5075</v>
      </c>
      <c r="D525" s="572" t="s">
        <v>5076</v>
      </c>
      <c r="E525" s="593" t="s">
        <v>5077</v>
      </c>
      <c r="F525" s="588">
        <v>62</v>
      </c>
      <c r="G525" s="594"/>
    </row>
    <row r="526" spans="1:7" s="642" customFormat="1" ht="18.75" customHeight="1">
      <c r="A526" s="569"/>
      <c r="B526" s="576" t="s">
        <v>5078</v>
      </c>
      <c r="C526" s="586" t="s">
        <v>5079</v>
      </c>
      <c r="D526" s="572" t="s">
        <v>5076</v>
      </c>
      <c r="E526" s="593" t="str">
        <f>E525</f>
        <v>(L*13)*2</v>
      </c>
      <c r="F526" s="588">
        <v>62</v>
      </c>
      <c r="G526" s="594"/>
    </row>
    <row r="527" spans="1:7" s="642" customFormat="1" ht="18.75" customHeight="1">
      <c r="A527" s="595"/>
      <c r="B527" s="602" t="s">
        <v>5080</v>
      </c>
      <c r="C527" s="605" t="s">
        <v>5081</v>
      </c>
      <c r="D527" s="606" t="s">
        <v>5069</v>
      </c>
      <c r="E527" s="598">
        <v>4</v>
      </c>
      <c r="F527" s="599">
        <v>4</v>
      </c>
      <c r="G527" s="600"/>
    </row>
    <row r="528" spans="1:7" s="642" customFormat="1" ht="18.75" customHeight="1">
      <c r="A528" s="595"/>
      <c r="B528" s="645" t="s">
        <v>5082</v>
      </c>
      <c r="C528" s="605" t="s">
        <v>5083</v>
      </c>
      <c r="D528" s="606" t="s">
        <v>5069</v>
      </c>
      <c r="E528" s="598">
        <v>2</v>
      </c>
      <c r="F528" s="599">
        <v>2</v>
      </c>
      <c r="G528" s="600"/>
    </row>
    <row r="529" spans="1:7" s="642" customFormat="1" ht="18.75" customHeight="1">
      <c r="A529" s="595"/>
      <c r="B529" s="647" t="s">
        <v>5084</v>
      </c>
      <c r="C529" s="605" t="s">
        <v>5085</v>
      </c>
      <c r="D529" s="606" t="s">
        <v>5069</v>
      </c>
      <c r="E529" s="648">
        <v>2</v>
      </c>
      <c r="F529" s="599">
        <v>2</v>
      </c>
      <c r="G529" s="600"/>
    </row>
    <row r="530" spans="1:7" s="642" customFormat="1" ht="18.75" customHeight="1">
      <c r="A530" s="569"/>
      <c r="B530" s="579" t="s">
        <v>5170</v>
      </c>
      <c r="C530" s="580"/>
      <c r="D530" s="572"/>
      <c r="E530" s="574"/>
      <c r="F530" s="544"/>
      <c r="G530" s="594"/>
    </row>
    <row r="531" spans="1:7" s="642" customFormat="1" ht="18.75" customHeight="1">
      <c r="A531" s="569"/>
      <c r="B531" s="581" t="s">
        <v>5092</v>
      </c>
      <c r="C531" s="582" t="s">
        <v>5093</v>
      </c>
      <c r="D531" s="572" t="s">
        <v>5024</v>
      </c>
      <c r="E531" s="571" t="s">
        <v>5187</v>
      </c>
      <c r="F531" s="544">
        <v>5.76</v>
      </c>
      <c r="G531" s="575"/>
    </row>
    <row r="532" spans="1:7" s="642" customFormat="1" ht="18.75" customHeight="1">
      <c r="A532" s="569"/>
      <c r="B532" s="589" t="s">
        <v>5172</v>
      </c>
      <c r="C532" s="586" t="s">
        <v>5091</v>
      </c>
      <c r="D532" s="572" t="s">
        <v>5024</v>
      </c>
      <c r="E532" s="571" t="s">
        <v>5187</v>
      </c>
      <c r="F532" s="544">
        <v>5.76</v>
      </c>
      <c r="G532" s="594"/>
    </row>
    <row r="533" spans="1:7" s="642" customFormat="1" ht="18.75" customHeight="1">
      <c r="A533" s="592"/>
      <c r="B533" s="576" t="s">
        <v>5087</v>
      </c>
      <c r="C533" s="571" t="s">
        <v>5088</v>
      </c>
      <c r="D533" s="572" t="s">
        <v>5024</v>
      </c>
      <c r="E533" s="571" t="s">
        <v>5188</v>
      </c>
      <c r="F533" s="544">
        <v>11.52</v>
      </c>
      <c r="G533" s="594"/>
    </row>
    <row r="534" spans="1:7" s="642" customFormat="1" ht="18.75" customHeight="1">
      <c r="A534" s="595"/>
      <c r="B534" s="596" t="s">
        <v>5100</v>
      </c>
      <c r="C534" s="596" t="s">
        <v>5101</v>
      </c>
      <c r="D534" s="606" t="s">
        <v>59</v>
      </c>
      <c r="E534" s="649" t="s">
        <v>5102</v>
      </c>
      <c r="F534" s="599">
        <v>25.511199999999999</v>
      </c>
      <c r="G534" s="600"/>
    </row>
    <row r="535" spans="1:7" s="642" customFormat="1" ht="18.75" customHeight="1">
      <c r="A535" s="595"/>
      <c r="B535" s="602" t="s">
        <v>5172</v>
      </c>
      <c r="C535" s="596" t="s">
        <v>5101</v>
      </c>
      <c r="D535" s="606" t="s">
        <v>5024</v>
      </c>
      <c r="E535" s="649" t="str">
        <f>E534</f>
        <v>3.624*L+0.16*((L*2)+(D*10))+((0.246*(H-0.5))*2+0.3*(D+D)+L*UH+0.18*(D+D+L)</v>
      </c>
      <c r="F535" s="599">
        <v>25.511199999999999</v>
      </c>
      <c r="G535" s="600"/>
    </row>
    <row r="536" spans="1:7" s="642" customFormat="1" ht="18.75" customHeight="1">
      <c r="A536" s="569"/>
      <c r="B536" s="579" t="s">
        <v>5173</v>
      </c>
      <c r="C536" s="580"/>
      <c r="D536" s="572"/>
      <c r="E536" s="574"/>
      <c r="F536" s="650"/>
      <c r="G536" s="594"/>
    </row>
    <row r="537" spans="1:7" s="642" customFormat="1" ht="18.75" customHeight="1">
      <c r="A537" s="569"/>
      <c r="B537" s="576" t="s">
        <v>5104</v>
      </c>
      <c r="C537" s="611" t="s">
        <v>5105</v>
      </c>
      <c r="D537" s="572" t="s">
        <v>59</v>
      </c>
      <c r="E537" s="574" t="s">
        <v>5189</v>
      </c>
      <c r="F537" s="544">
        <v>20.1312</v>
      </c>
      <c r="G537" s="594"/>
    </row>
    <row r="538" spans="1:7" s="642" customFormat="1" ht="18.75" customHeight="1">
      <c r="A538" s="592"/>
      <c r="B538" s="576" t="s">
        <v>5107</v>
      </c>
      <c r="C538" s="571" t="s">
        <v>5108</v>
      </c>
      <c r="D538" s="572" t="s">
        <v>59</v>
      </c>
      <c r="E538" s="574" t="s">
        <v>5110</v>
      </c>
      <c r="F538" s="544">
        <v>0.36</v>
      </c>
      <c r="G538" s="594"/>
    </row>
    <row r="539" spans="1:7" s="651" customFormat="1" ht="18.75" customHeight="1">
      <c r="A539" s="569"/>
      <c r="B539" s="589" t="s">
        <v>5175</v>
      </c>
      <c r="C539" s="571"/>
      <c r="D539" s="572" t="s">
        <v>5016</v>
      </c>
      <c r="E539" s="574" t="s">
        <v>5176</v>
      </c>
      <c r="F539" s="544">
        <v>57.17</v>
      </c>
      <c r="G539" s="594"/>
    </row>
    <row r="540" spans="1:7" s="642" customFormat="1" ht="18.75" customHeight="1">
      <c r="A540" s="569"/>
      <c r="B540" s="589" t="s">
        <v>5113</v>
      </c>
      <c r="C540" s="586"/>
      <c r="D540" s="572" t="s">
        <v>5016</v>
      </c>
      <c r="E540" s="574" t="s">
        <v>5177</v>
      </c>
      <c r="F540" s="544">
        <v>68.432000000000002</v>
      </c>
      <c r="G540" s="594"/>
    </row>
    <row r="541" spans="1:7" s="642" customFormat="1" ht="18.75" customHeight="1">
      <c r="A541" s="569"/>
      <c r="B541" s="579" t="s">
        <v>5178</v>
      </c>
      <c r="C541" s="580"/>
      <c r="D541" s="572"/>
      <c r="E541" s="574"/>
      <c r="F541" s="650"/>
      <c r="G541" s="594"/>
    </row>
    <row r="542" spans="1:7" s="642" customFormat="1" ht="18.75" customHeight="1">
      <c r="A542" s="569"/>
      <c r="B542" s="652" t="s">
        <v>5179</v>
      </c>
      <c r="C542" s="653" t="s">
        <v>5117</v>
      </c>
      <c r="D542" s="572" t="s">
        <v>5118</v>
      </c>
      <c r="E542" s="613" t="s">
        <v>5190</v>
      </c>
      <c r="F542" s="544">
        <v>23.999999999999996</v>
      </c>
      <c r="G542" s="594"/>
    </row>
    <row r="543" spans="1:7" s="642" customFormat="1" ht="18.75" customHeight="1">
      <c r="A543" s="595"/>
      <c r="B543" s="571" t="s">
        <v>5120</v>
      </c>
      <c r="C543" s="657" t="s">
        <v>5121</v>
      </c>
      <c r="D543" s="572" t="s">
        <v>5016</v>
      </c>
      <c r="E543" s="613" t="s">
        <v>5060</v>
      </c>
      <c r="F543" s="544">
        <v>4.8</v>
      </c>
      <c r="G543" s="594"/>
    </row>
    <row r="544" spans="1:7" ht="20.25" customHeight="1">
      <c r="A544" s="595"/>
      <c r="B544" s="596" t="s">
        <v>5122</v>
      </c>
      <c r="C544" s="654" t="s">
        <v>5130</v>
      </c>
      <c r="D544" s="606" t="s">
        <v>5058</v>
      </c>
      <c r="E544" s="614">
        <v>1</v>
      </c>
      <c r="F544" s="599">
        <v>1</v>
      </c>
      <c r="G544" s="600"/>
    </row>
    <row r="545" spans="1:7" ht="20.25" customHeight="1">
      <c r="A545" s="532"/>
      <c r="B545" s="647" t="s">
        <v>5124</v>
      </c>
      <c r="C545" s="596" t="s">
        <v>5125</v>
      </c>
      <c r="D545" s="606" t="s">
        <v>5058</v>
      </c>
      <c r="E545" s="614">
        <v>1</v>
      </c>
      <c r="F545" s="599">
        <v>1</v>
      </c>
      <c r="G545" s="600"/>
    </row>
    <row r="546" spans="1:7" ht="20.25" customHeight="1">
      <c r="A546" s="532"/>
      <c r="B546" s="633"/>
      <c r="C546" s="634"/>
      <c r="D546" s="583"/>
      <c r="E546" s="635"/>
      <c r="F546" s="544"/>
      <c r="G546" s="545"/>
    </row>
    <row r="547" spans="1:7" ht="20.25" customHeight="1">
      <c r="A547" s="532"/>
      <c r="B547" s="633"/>
      <c r="C547" s="634"/>
      <c r="D547" s="583"/>
      <c r="E547" s="635"/>
      <c r="F547" s="544"/>
      <c r="G547" s="545"/>
    </row>
    <row r="548" spans="1:7" s="636" customFormat="1" ht="18.75" customHeight="1">
      <c r="A548" s="547" t="s">
        <v>5001</v>
      </c>
      <c r="B548" s="548" t="s">
        <v>5002</v>
      </c>
      <c r="C548" s="549">
        <f>[140]LIST!D22</f>
        <v>800</v>
      </c>
      <c r="D548" s="550">
        <f t="shared" ref="D548:D553" si="9">C548/1000</f>
        <v>0.8</v>
      </c>
      <c r="E548" s="536"/>
      <c r="F548" s="537"/>
      <c r="G548" s="538"/>
    </row>
    <row r="549" spans="1:7" s="636" customFormat="1" ht="18.75" customHeight="1">
      <c r="A549" s="551" t="s">
        <v>5003</v>
      </c>
      <c r="B549" s="552" t="s">
        <v>5004</v>
      </c>
      <c r="C549" s="553">
        <f>[140]LIST!E22</f>
        <v>800</v>
      </c>
      <c r="D549" s="554">
        <f t="shared" si="9"/>
        <v>0.8</v>
      </c>
      <c r="E549" s="536"/>
      <c r="F549" s="537"/>
      <c r="G549" s="538"/>
    </row>
    <row r="550" spans="1:7" s="636" customFormat="1" ht="18.75" customHeight="1">
      <c r="A550" s="551" t="s">
        <v>5005</v>
      </c>
      <c r="B550" s="552" t="s">
        <v>5006</v>
      </c>
      <c r="C550" s="553">
        <f>[140]LIST!F22</f>
        <v>2300</v>
      </c>
      <c r="D550" s="554">
        <f t="shared" si="9"/>
        <v>2.2999999999999998</v>
      </c>
      <c r="E550" s="536"/>
      <c r="F550" s="537"/>
      <c r="G550" s="538"/>
    </row>
    <row r="551" spans="1:7" s="636" customFormat="1" ht="18.75" customHeight="1">
      <c r="A551" s="555" t="s">
        <v>5007</v>
      </c>
      <c r="B551" s="552" t="s">
        <v>5008</v>
      </c>
      <c r="C551" s="553">
        <f>[140]LIST!G22</f>
        <v>300</v>
      </c>
      <c r="D551" s="554">
        <f t="shared" si="9"/>
        <v>0.3</v>
      </c>
      <c r="E551" s="536"/>
      <c r="F551" s="537"/>
      <c r="G551" s="538"/>
    </row>
    <row r="552" spans="1:7" ht="18.75" customHeight="1">
      <c r="A552" s="555" t="s">
        <v>5009</v>
      </c>
      <c r="B552" s="552" t="s">
        <v>5010</v>
      </c>
      <c r="C552" s="553">
        <f>[140]LIST!H22</f>
        <v>1877</v>
      </c>
      <c r="D552" s="554">
        <f t="shared" si="9"/>
        <v>1.877</v>
      </c>
      <c r="E552" s="556">
        <f>D552+0.22</f>
        <v>2.097</v>
      </c>
      <c r="F552" s="537"/>
      <c r="G552" s="538"/>
    </row>
    <row r="553" spans="1:7" s="638" customFormat="1" ht="18.75" customHeight="1">
      <c r="A553" s="557" t="s">
        <v>5011</v>
      </c>
      <c r="B553" s="558" t="s">
        <v>5012</v>
      </c>
      <c r="C553" s="553">
        <f>[140]LIST!I22</f>
        <v>123</v>
      </c>
      <c r="D553" s="560">
        <f t="shared" si="9"/>
        <v>0.123</v>
      </c>
      <c r="E553" s="561"/>
      <c r="F553" s="544"/>
      <c r="G553" s="637"/>
    </row>
    <row r="554" spans="1:7" s="642" customFormat="1" ht="18.75" customHeight="1">
      <c r="A554" s="563" t="str">
        <f>[140]LIST!B22</f>
        <v>SC-208</v>
      </c>
      <c r="B554" s="563" t="str">
        <f>[140]LIST!C22</f>
        <v>4면 유리형 독립장</v>
      </c>
      <c r="C554" s="564" t="str">
        <f>A548&amp;": "&amp;C548&amp;" "&amp;A549&amp;": "&amp;C549&amp;" "&amp;A550&amp;": "&amp;C550&amp;" "&amp;A551&amp;": "&amp;C551&amp;" "&amp;A552&amp;": "&amp;C552&amp;" "&amp;A553&amp;": "&amp;C553</f>
        <v>L: 800 D: 800 H: 2300 FH: 300 GH: 1877 UH: 123</v>
      </c>
      <c r="D554" s="565" t="s">
        <v>398</v>
      </c>
      <c r="E554" s="639"/>
      <c r="F554" s="640">
        <v>8</v>
      </c>
      <c r="G554" s="641"/>
    </row>
    <row r="555" spans="1:7" s="642" customFormat="1" ht="18.75" customHeight="1">
      <c r="A555" s="643"/>
      <c r="B555" s="570" t="s">
        <v>5013</v>
      </c>
      <c r="C555" s="571"/>
      <c r="D555" s="572"/>
      <c r="E555" s="574"/>
      <c r="F555" s="544"/>
      <c r="G555" s="574"/>
    </row>
    <row r="556" spans="1:7" s="642" customFormat="1" ht="18.75" customHeight="1">
      <c r="A556" s="569"/>
      <c r="B556" s="576" t="s">
        <v>5014</v>
      </c>
      <c r="C556" s="571" t="s">
        <v>5191</v>
      </c>
      <c r="D556" s="572" t="s">
        <v>5016</v>
      </c>
      <c r="E556" s="593" t="s">
        <v>5001</v>
      </c>
      <c r="F556" s="544">
        <v>0.8</v>
      </c>
      <c r="G556" s="574"/>
    </row>
    <row r="557" spans="1:7" s="642" customFormat="1" ht="18.75" customHeight="1">
      <c r="A557" s="592"/>
      <c r="B557" s="579" t="s">
        <v>5020</v>
      </c>
      <c r="C557" s="580" t="s">
        <v>5021</v>
      </c>
      <c r="D557" s="572"/>
      <c r="E557" s="574"/>
      <c r="F557" s="544"/>
      <c r="G557" s="574"/>
    </row>
    <row r="558" spans="1:7" s="642" customFormat="1" ht="18.75" customHeight="1">
      <c r="A558" s="569"/>
      <c r="B558" s="576" t="s">
        <v>5022</v>
      </c>
      <c r="C558" s="586" t="s">
        <v>5023</v>
      </c>
      <c r="D558" s="572" t="s">
        <v>5024</v>
      </c>
      <c r="E558" s="574" t="s">
        <v>5138</v>
      </c>
      <c r="F558" s="544">
        <v>0.15040000000000001</v>
      </c>
      <c r="G558" s="571" t="s">
        <v>5032</v>
      </c>
    </row>
    <row r="559" spans="1:7" s="642" customFormat="1" ht="18.75" customHeight="1">
      <c r="A559" s="569"/>
      <c r="B559" s="576" t="s">
        <v>5022</v>
      </c>
      <c r="C559" s="586" t="s">
        <v>5023</v>
      </c>
      <c r="D559" s="572" t="s">
        <v>5024</v>
      </c>
      <c r="E559" s="574" t="s">
        <v>5139</v>
      </c>
      <c r="F559" s="544">
        <v>0.1208</v>
      </c>
      <c r="G559" s="589" t="s">
        <v>5140</v>
      </c>
    </row>
    <row r="560" spans="1:7" s="642" customFormat="1" ht="18.75" customHeight="1">
      <c r="A560" s="569"/>
      <c r="B560" s="576" t="s">
        <v>5022</v>
      </c>
      <c r="C560" s="586" t="s">
        <v>5023</v>
      </c>
      <c r="D560" s="572" t="s">
        <v>5024</v>
      </c>
      <c r="E560" s="574" t="s">
        <v>5141</v>
      </c>
      <c r="F560" s="544">
        <v>0.19359999999999999</v>
      </c>
      <c r="G560" s="589" t="s">
        <v>5142</v>
      </c>
    </row>
    <row r="561" spans="1:7" s="642" customFormat="1" ht="18.75" customHeight="1">
      <c r="A561" s="569"/>
      <c r="B561" s="576" t="s">
        <v>5022</v>
      </c>
      <c r="C561" s="586" t="s">
        <v>5023</v>
      </c>
      <c r="D561" s="572" t="s">
        <v>5024</v>
      </c>
      <c r="E561" s="574" t="s">
        <v>5182</v>
      </c>
      <c r="F561" s="544">
        <v>0.44159999999999999</v>
      </c>
      <c r="G561" s="589" t="s">
        <v>5144</v>
      </c>
    </row>
    <row r="562" spans="1:7" s="642" customFormat="1" ht="18.75" customHeight="1">
      <c r="A562" s="569"/>
      <c r="B562" s="576" t="s">
        <v>5022</v>
      </c>
      <c r="C562" s="586" t="s">
        <v>5023</v>
      </c>
      <c r="D562" s="572" t="s">
        <v>5024</v>
      </c>
      <c r="E562" s="574" t="s">
        <v>5183</v>
      </c>
      <c r="F562" s="544">
        <v>0.33440000000000003</v>
      </c>
      <c r="G562" s="589" t="s">
        <v>5146</v>
      </c>
    </row>
    <row r="563" spans="1:7" s="642" customFormat="1" ht="18.75" customHeight="1">
      <c r="A563" s="569"/>
      <c r="B563" s="576" t="s">
        <v>5022</v>
      </c>
      <c r="C563" s="586" t="s">
        <v>5023</v>
      </c>
      <c r="D563" s="572" t="s">
        <v>5024</v>
      </c>
      <c r="E563" s="574" t="s">
        <v>5147</v>
      </c>
      <c r="F563" s="544">
        <v>1</v>
      </c>
      <c r="G563" s="589" t="s">
        <v>5148</v>
      </c>
    </row>
    <row r="564" spans="1:7" s="642" customFormat="1" ht="18.75" customHeight="1">
      <c r="A564" s="569"/>
      <c r="B564" s="576" t="s">
        <v>5022</v>
      </c>
      <c r="C564" s="586" t="s">
        <v>5023</v>
      </c>
      <c r="D564" s="572" t="s">
        <v>5024</v>
      </c>
      <c r="E564" s="574" t="s">
        <v>5149</v>
      </c>
      <c r="F564" s="544">
        <v>0.65200000000000002</v>
      </c>
      <c r="G564" s="589" t="s">
        <v>5150</v>
      </c>
    </row>
    <row r="565" spans="1:7" s="642" customFormat="1" ht="18.75" customHeight="1">
      <c r="A565" s="569"/>
      <c r="B565" s="576" t="s">
        <v>5022</v>
      </c>
      <c r="C565" s="586" t="s">
        <v>5023</v>
      </c>
      <c r="D565" s="572" t="s">
        <v>5024</v>
      </c>
      <c r="E565" s="574" t="s">
        <v>5151</v>
      </c>
      <c r="F565" s="544">
        <v>0.6784</v>
      </c>
      <c r="G565" s="589" t="s">
        <v>5152</v>
      </c>
    </row>
    <row r="566" spans="1:7" s="642" customFormat="1" ht="18.75" customHeight="1">
      <c r="A566" s="592"/>
      <c r="B566" s="579" t="s">
        <v>5020</v>
      </c>
      <c r="C566" s="580" t="s">
        <v>5045</v>
      </c>
      <c r="D566" s="572"/>
      <c r="E566" s="574"/>
      <c r="F566" s="544"/>
      <c r="G566" s="579"/>
    </row>
    <row r="567" spans="1:7" s="642" customFormat="1" ht="18.75" customHeight="1">
      <c r="A567" s="569"/>
      <c r="B567" s="576" t="s">
        <v>5022</v>
      </c>
      <c r="C567" s="586" t="s">
        <v>5023</v>
      </c>
      <c r="D567" s="572" t="s">
        <v>5024</v>
      </c>
      <c r="E567" s="574" t="s">
        <v>5151</v>
      </c>
      <c r="F567" s="544">
        <v>0.6784</v>
      </c>
      <c r="G567" s="589" t="s">
        <v>5153</v>
      </c>
    </row>
    <row r="568" spans="1:7" s="642" customFormat="1" ht="18.75" customHeight="1">
      <c r="A568" s="569"/>
      <c r="B568" s="576" t="s">
        <v>5022</v>
      </c>
      <c r="C568" s="586" t="s">
        <v>5023</v>
      </c>
      <c r="D568" s="572" t="s">
        <v>5024</v>
      </c>
      <c r="E568" s="574" t="s">
        <v>5154</v>
      </c>
      <c r="F568" s="544">
        <v>1.2736000000000001</v>
      </c>
      <c r="G568" s="589" t="s">
        <v>5155</v>
      </c>
    </row>
    <row r="569" spans="1:7" s="642" customFormat="1" ht="18.75" customHeight="1">
      <c r="A569" s="569"/>
      <c r="B569" s="576" t="s">
        <v>5022</v>
      </c>
      <c r="C569" s="586" t="s">
        <v>5023</v>
      </c>
      <c r="D569" s="572" t="s">
        <v>5024</v>
      </c>
      <c r="E569" s="574" t="s">
        <v>5156</v>
      </c>
      <c r="F569" s="544">
        <v>0.2384</v>
      </c>
      <c r="G569" s="589" t="s">
        <v>5157</v>
      </c>
    </row>
    <row r="570" spans="1:7" s="642" customFormat="1" ht="18.75" customHeight="1">
      <c r="A570" s="569"/>
      <c r="B570" s="576" t="s">
        <v>5022</v>
      </c>
      <c r="C570" s="586" t="s">
        <v>5023</v>
      </c>
      <c r="D570" s="572" t="s">
        <v>5024</v>
      </c>
      <c r="E570" s="594" t="s">
        <v>5158</v>
      </c>
      <c r="F570" s="544">
        <v>0.51519999999999999</v>
      </c>
      <c r="G570" s="589" t="s">
        <v>5159</v>
      </c>
    </row>
    <row r="571" spans="1:7" s="642" customFormat="1" ht="18.75" customHeight="1">
      <c r="A571" s="569"/>
      <c r="B571" s="576" t="s">
        <v>5022</v>
      </c>
      <c r="C571" s="586" t="s">
        <v>5023</v>
      </c>
      <c r="D571" s="572" t="s">
        <v>5024</v>
      </c>
      <c r="E571" s="594" t="s">
        <v>5160</v>
      </c>
      <c r="F571" s="544">
        <v>0.50560000000000005</v>
      </c>
      <c r="G571" s="589" t="s">
        <v>5161</v>
      </c>
    </row>
    <row r="572" spans="1:7" s="642" customFormat="1" ht="18.75" customHeight="1">
      <c r="A572" s="569"/>
      <c r="B572" s="576" t="s">
        <v>5022</v>
      </c>
      <c r="C572" s="586" t="s">
        <v>5023</v>
      </c>
      <c r="D572" s="572" t="s">
        <v>5024</v>
      </c>
      <c r="E572" s="594" t="s">
        <v>5162</v>
      </c>
      <c r="F572" s="544">
        <v>0.46800000000000003</v>
      </c>
      <c r="G572" s="589" t="s">
        <v>5163</v>
      </c>
    </row>
    <row r="573" spans="1:7" s="642" customFormat="1" ht="18.75" customHeight="1">
      <c r="A573" s="592"/>
      <c r="B573" s="579" t="s">
        <v>5053</v>
      </c>
      <c r="C573" s="580"/>
      <c r="D573" s="572"/>
      <c r="E573" s="574"/>
      <c r="F573" s="544"/>
      <c r="G573" s="589"/>
    </row>
    <row r="574" spans="1:7" s="642" customFormat="1" ht="18.75" customHeight="1">
      <c r="A574" s="569"/>
      <c r="B574" s="576" t="s">
        <v>5054</v>
      </c>
      <c r="C574" s="571"/>
      <c r="D574" s="572" t="s">
        <v>5016</v>
      </c>
      <c r="E574" s="593" t="s">
        <v>5055</v>
      </c>
      <c r="F574" s="588">
        <v>1.6</v>
      </c>
      <c r="G574" s="594"/>
    </row>
    <row r="575" spans="1:7" s="642" customFormat="1" ht="18.75" customHeight="1">
      <c r="A575" s="595"/>
      <c r="B575" s="596" t="s">
        <v>5056</v>
      </c>
      <c r="C575" s="596" t="s">
        <v>5057</v>
      </c>
      <c r="D575" s="597" t="s">
        <v>5058</v>
      </c>
      <c r="E575" s="598">
        <v>2</v>
      </c>
      <c r="F575" s="599">
        <v>2</v>
      </c>
      <c r="G575" s="600"/>
    </row>
    <row r="576" spans="1:7" s="642" customFormat="1" ht="18.75" customHeight="1">
      <c r="A576" s="569"/>
      <c r="B576" s="571" t="s">
        <v>5059</v>
      </c>
      <c r="C576" s="571"/>
      <c r="D576" s="572" t="s">
        <v>5016</v>
      </c>
      <c r="E576" s="593" t="s">
        <v>5060</v>
      </c>
      <c r="F576" s="588">
        <v>1.6</v>
      </c>
      <c r="G576" s="594"/>
    </row>
    <row r="577" spans="1:7" s="642" customFormat="1" ht="18.75" customHeight="1">
      <c r="A577" s="569"/>
      <c r="B577" s="589" t="s">
        <v>5061</v>
      </c>
      <c r="C577" s="586" t="s">
        <v>5165</v>
      </c>
      <c r="D577" s="572" t="s">
        <v>5016</v>
      </c>
      <c r="E577" s="593" t="s">
        <v>5063</v>
      </c>
      <c r="F577" s="588">
        <v>5.3540000000000001</v>
      </c>
      <c r="G577" s="594"/>
    </row>
    <row r="578" spans="1:7" s="642" customFormat="1" ht="18.75" customHeight="1">
      <c r="A578" s="569"/>
      <c r="B578" s="576" t="s">
        <v>5064</v>
      </c>
      <c r="C578" s="571" t="s">
        <v>5167</v>
      </c>
      <c r="D578" s="572" t="s">
        <v>5016</v>
      </c>
      <c r="E578" s="593" t="s">
        <v>5001</v>
      </c>
      <c r="F578" s="544">
        <v>0.8</v>
      </c>
      <c r="G578" s="594"/>
    </row>
    <row r="579" spans="1:7" s="642" customFormat="1" ht="18.75" customHeight="1">
      <c r="A579" s="569"/>
      <c r="B579" s="576" t="s">
        <v>5064</v>
      </c>
      <c r="C579" s="571" t="s">
        <v>5168</v>
      </c>
      <c r="D579" s="572" t="s">
        <v>5016</v>
      </c>
      <c r="E579" s="593" t="s">
        <v>5001</v>
      </c>
      <c r="F579" s="544">
        <v>0.8</v>
      </c>
      <c r="G579" s="594"/>
    </row>
    <row r="580" spans="1:7" s="642" customFormat="1" ht="18.75" customHeight="1">
      <c r="A580" s="595"/>
      <c r="B580" s="645" t="s">
        <v>5067</v>
      </c>
      <c r="C580" s="602" t="s">
        <v>5068</v>
      </c>
      <c r="D580" s="603" t="s">
        <v>5069</v>
      </c>
      <c r="E580" s="598">
        <v>2</v>
      </c>
      <c r="F580" s="599">
        <v>2</v>
      </c>
      <c r="G580" s="600"/>
    </row>
    <row r="581" spans="1:7" s="642" customFormat="1" ht="18.75" customHeight="1">
      <c r="A581" s="595"/>
      <c r="B581" s="604" t="s">
        <v>5070</v>
      </c>
      <c r="C581" s="605" t="s">
        <v>5071</v>
      </c>
      <c r="D581" s="606" t="s">
        <v>5069</v>
      </c>
      <c r="E581" s="598">
        <v>4</v>
      </c>
      <c r="F581" s="599">
        <v>4</v>
      </c>
      <c r="G581" s="600"/>
    </row>
    <row r="582" spans="1:7" s="642" customFormat="1" ht="18.75" customHeight="1">
      <c r="A582" s="569"/>
      <c r="B582" s="646" t="s">
        <v>5072</v>
      </c>
      <c r="C582" s="586" t="s">
        <v>5073</v>
      </c>
      <c r="D582" s="572" t="s">
        <v>5016</v>
      </c>
      <c r="E582" s="593" t="s">
        <v>5055</v>
      </c>
      <c r="F582" s="588">
        <v>1.6</v>
      </c>
      <c r="G582" s="594"/>
    </row>
    <row r="583" spans="1:7" s="642" customFormat="1" ht="18.75" customHeight="1">
      <c r="A583" s="569"/>
      <c r="B583" s="576" t="s">
        <v>5074</v>
      </c>
      <c r="C583" s="586" t="s">
        <v>5075</v>
      </c>
      <c r="D583" s="572" t="s">
        <v>5076</v>
      </c>
      <c r="E583" s="593" t="s">
        <v>5077</v>
      </c>
      <c r="F583" s="588">
        <v>20</v>
      </c>
      <c r="G583" s="594"/>
    </row>
    <row r="584" spans="1:7" s="642" customFormat="1" ht="18.75" customHeight="1">
      <c r="A584" s="569"/>
      <c r="B584" s="576" t="s">
        <v>5078</v>
      </c>
      <c r="C584" s="586" t="s">
        <v>5079</v>
      </c>
      <c r="D584" s="572" t="s">
        <v>5076</v>
      </c>
      <c r="E584" s="593" t="str">
        <f>E583</f>
        <v>(L*13)*2</v>
      </c>
      <c r="F584" s="588">
        <v>20</v>
      </c>
      <c r="G584" s="594"/>
    </row>
    <row r="585" spans="1:7" s="642" customFormat="1" ht="18.75" customHeight="1">
      <c r="A585" s="595"/>
      <c r="B585" s="596" t="s">
        <v>5192</v>
      </c>
      <c r="C585" s="658"/>
      <c r="D585" s="606" t="s">
        <v>5076</v>
      </c>
      <c r="E585" s="598">
        <v>4</v>
      </c>
      <c r="F585" s="599">
        <v>4</v>
      </c>
      <c r="G585" s="600"/>
    </row>
    <row r="586" spans="1:7" s="642" customFormat="1" ht="18.75" customHeight="1">
      <c r="A586" s="595"/>
      <c r="B586" s="602" t="s">
        <v>5080</v>
      </c>
      <c r="C586" s="605" t="s">
        <v>5081</v>
      </c>
      <c r="D586" s="606" t="s">
        <v>5069</v>
      </c>
      <c r="E586" s="598">
        <v>2</v>
      </c>
      <c r="F586" s="599">
        <v>2</v>
      </c>
      <c r="G586" s="600"/>
    </row>
    <row r="587" spans="1:7" s="642" customFormat="1" ht="18.75" customHeight="1">
      <c r="A587" s="595"/>
      <c r="B587" s="645" t="s">
        <v>5082</v>
      </c>
      <c r="C587" s="605" t="s">
        <v>5083</v>
      </c>
      <c r="D587" s="606" t="s">
        <v>5069</v>
      </c>
      <c r="E587" s="598">
        <v>1</v>
      </c>
      <c r="F587" s="599">
        <v>1</v>
      </c>
      <c r="G587" s="600"/>
    </row>
    <row r="588" spans="1:7" s="642" customFormat="1" ht="18.75" customHeight="1">
      <c r="A588" s="595"/>
      <c r="B588" s="647" t="s">
        <v>5084</v>
      </c>
      <c r="C588" s="605" t="s">
        <v>5085</v>
      </c>
      <c r="D588" s="606" t="s">
        <v>5069</v>
      </c>
      <c r="E588" s="648">
        <v>1</v>
      </c>
      <c r="F588" s="599">
        <v>1</v>
      </c>
      <c r="G588" s="600"/>
    </row>
    <row r="589" spans="1:7" s="642" customFormat="1" ht="18.75" customHeight="1">
      <c r="A589" s="569"/>
      <c r="B589" s="579" t="s">
        <v>5170</v>
      </c>
      <c r="C589" s="580"/>
      <c r="D589" s="572"/>
      <c r="E589" s="574"/>
      <c r="F589" s="544"/>
      <c r="G589" s="594"/>
    </row>
    <row r="590" spans="1:7" s="642" customFormat="1" ht="18.75" customHeight="1">
      <c r="A590" s="569"/>
      <c r="B590" s="576" t="s">
        <v>5193</v>
      </c>
      <c r="C590" s="571" t="s">
        <v>5194</v>
      </c>
      <c r="D590" s="572" t="s">
        <v>5024</v>
      </c>
      <c r="E590" s="571" t="s">
        <v>5187</v>
      </c>
      <c r="F590" s="544">
        <v>0.64000000000000012</v>
      </c>
      <c r="G590" s="575"/>
    </row>
    <row r="591" spans="1:7" s="642" customFormat="1" ht="18.75" customHeight="1">
      <c r="A591" s="569"/>
      <c r="B591" s="589" t="s">
        <v>5172</v>
      </c>
      <c r="C591" s="586" t="s">
        <v>5091</v>
      </c>
      <c r="D591" s="572" t="s">
        <v>5024</v>
      </c>
      <c r="E591" s="571" t="s">
        <v>5187</v>
      </c>
      <c r="F591" s="544">
        <v>0.64000000000000012</v>
      </c>
      <c r="G591" s="594"/>
    </row>
    <row r="592" spans="1:7" s="642" customFormat="1" ht="18.75" customHeight="1">
      <c r="A592" s="592"/>
      <c r="B592" s="576" t="s">
        <v>5087</v>
      </c>
      <c r="C592" s="571" t="s">
        <v>5088</v>
      </c>
      <c r="D592" s="572" t="s">
        <v>5024</v>
      </c>
      <c r="E592" s="571" t="s">
        <v>5188</v>
      </c>
      <c r="F592" s="544">
        <v>1.2800000000000002</v>
      </c>
      <c r="G592" s="594"/>
    </row>
    <row r="593" spans="1:7" s="642" customFormat="1" ht="18.75" customHeight="1">
      <c r="A593" s="595"/>
      <c r="B593" s="596" t="s">
        <v>5100</v>
      </c>
      <c r="C593" s="596" t="s">
        <v>5101</v>
      </c>
      <c r="D593" s="606" t="s">
        <v>59</v>
      </c>
      <c r="E593" s="649" t="s">
        <v>5102</v>
      </c>
      <c r="F593" s="599">
        <v>7.2504000000000008</v>
      </c>
      <c r="G593" s="600"/>
    </row>
    <row r="594" spans="1:7" s="642" customFormat="1" ht="18.75" customHeight="1">
      <c r="A594" s="595"/>
      <c r="B594" s="602" t="s">
        <v>5172</v>
      </c>
      <c r="C594" s="596" t="s">
        <v>5101</v>
      </c>
      <c r="D594" s="606" t="s">
        <v>5024</v>
      </c>
      <c r="E594" s="649" t="str">
        <f>E593</f>
        <v>3.624*L+0.16*((L*2)+(D*10))+((0.246*(H-0.5))*2+0.3*(D+D)+L*UH+0.18*(D+D+L)</v>
      </c>
      <c r="F594" s="599">
        <v>7.2504000000000008</v>
      </c>
      <c r="G594" s="600"/>
    </row>
    <row r="595" spans="1:7" s="642" customFormat="1" ht="18.75" customHeight="1">
      <c r="A595" s="569"/>
      <c r="B595" s="579" t="s">
        <v>5173</v>
      </c>
      <c r="C595" s="580"/>
      <c r="D595" s="572"/>
      <c r="E595" s="574"/>
      <c r="F595" s="650"/>
      <c r="G595" s="594"/>
    </row>
    <row r="596" spans="1:7" s="642" customFormat="1" ht="18.75" customHeight="1">
      <c r="A596" s="569"/>
      <c r="B596" s="576" t="s">
        <v>5104</v>
      </c>
      <c r="C596" s="571" t="s">
        <v>5195</v>
      </c>
      <c r="D596" s="572" t="s">
        <v>59</v>
      </c>
      <c r="E596" s="574" t="s">
        <v>5189</v>
      </c>
      <c r="F596" s="544">
        <v>6.7103999999999999</v>
      </c>
      <c r="G596" s="594"/>
    </row>
    <row r="597" spans="1:7" s="651" customFormat="1" ht="18.75" customHeight="1">
      <c r="A597" s="569"/>
      <c r="B597" s="589" t="s">
        <v>5175</v>
      </c>
      <c r="C597" s="571"/>
      <c r="D597" s="572" t="s">
        <v>5016</v>
      </c>
      <c r="E597" s="574" t="s">
        <v>5176</v>
      </c>
      <c r="F597" s="544">
        <v>31.57</v>
      </c>
      <c r="G597" s="594"/>
    </row>
    <row r="598" spans="1:7" s="642" customFormat="1" ht="18.75" customHeight="1">
      <c r="A598" s="569"/>
      <c r="B598" s="589" t="s">
        <v>5113</v>
      </c>
      <c r="C598" s="586"/>
      <c r="D598" s="572" t="s">
        <v>5016</v>
      </c>
      <c r="E598" s="574" t="s">
        <v>5177</v>
      </c>
      <c r="F598" s="544">
        <v>42.832000000000001</v>
      </c>
      <c r="G598" s="594"/>
    </row>
    <row r="599" spans="1:7" s="642" customFormat="1" ht="18.75" customHeight="1">
      <c r="A599" s="569"/>
      <c r="B599" s="579" t="s">
        <v>5178</v>
      </c>
      <c r="C599" s="580"/>
      <c r="D599" s="572"/>
      <c r="E599" s="574"/>
      <c r="F599" s="650"/>
      <c r="G599" s="594"/>
    </row>
    <row r="600" spans="1:7" s="642" customFormat="1" ht="18.75" customHeight="1">
      <c r="A600" s="569"/>
      <c r="B600" s="652" t="s">
        <v>5179</v>
      </c>
      <c r="C600" s="653" t="s">
        <v>5117</v>
      </c>
      <c r="D600" s="572" t="s">
        <v>5118</v>
      </c>
      <c r="E600" s="613" t="s">
        <v>5196</v>
      </c>
      <c r="F600" s="544">
        <v>5.0033333333333339</v>
      </c>
      <c r="G600" s="594"/>
    </row>
    <row r="601" spans="1:7" ht="20.25" customHeight="1">
      <c r="A601" s="595"/>
      <c r="B601" s="596" t="s">
        <v>5122</v>
      </c>
      <c r="C601" s="654" t="s">
        <v>5123</v>
      </c>
      <c r="D601" s="606" t="s">
        <v>5058</v>
      </c>
      <c r="E601" s="614">
        <v>1</v>
      </c>
      <c r="F601" s="599">
        <v>1</v>
      </c>
      <c r="G601" s="600"/>
    </row>
    <row r="602" spans="1:7" ht="20.25" customHeight="1">
      <c r="A602" s="532"/>
      <c r="B602" s="633"/>
      <c r="C602" s="634"/>
      <c r="D602" s="583"/>
      <c r="E602" s="635"/>
      <c r="F602" s="544"/>
      <c r="G602" s="545"/>
    </row>
    <row r="603" spans="1:7" ht="20.25" customHeight="1">
      <c r="A603" s="532"/>
      <c r="B603" s="633"/>
      <c r="C603" s="634"/>
      <c r="D603" s="583"/>
      <c r="E603" s="635"/>
      <c r="F603" s="544"/>
      <c r="G603" s="545"/>
    </row>
    <row r="604" spans="1:7" ht="20.25" customHeight="1">
      <c r="A604" s="532"/>
      <c r="B604" s="633"/>
      <c r="C604" s="634"/>
      <c r="D604" s="583"/>
      <c r="E604" s="635"/>
      <c r="F604" s="544"/>
      <c r="G604" s="545"/>
    </row>
    <row r="605" spans="1:7" s="636" customFormat="1" ht="18.75" customHeight="1">
      <c r="A605" s="532"/>
      <c r="B605" s="581"/>
      <c r="C605" s="655"/>
      <c r="D605" s="583"/>
      <c r="E605" s="656"/>
      <c r="F605" s="544"/>
      <c r="G605" s="545"/>
    </row>
    <row r="606" spans="1:7" s="662" customFormat="1" ht="18.75" customHeight="1">
      <c r="A606" s="547" t="s">
        <v>5001</v>
      </c>
      <c r="B606" s="548" t="s">
        <v>5002</v>
      </c>
      <c r="C606" s="549">
        <f>[140]LIST!D23</f>
        <v>4500</v>
      </c>
      <c r="D606" s="550">
        <f t="shared" ref="D606:D611" si="10">C606/1000</f>
        <v>4.5</v>
      </c>
      <c r="E606" s="659"/>
      <c r="F606" s="660"/>
      <c r="G606" s="661"/>
    </row>
    <row r="607" spans="1:7" s="662" customFormat="1" ht="18.75" customHeight="1">
      <c r="A607" s="551" t="s">
        <v>5003</v>
      </c>
      <c r="B607" s="663" t="s">
        <v>5004</v>
      </c>
      <c r="C607" s="664">
        <f>[140]LIST!E23</f>
        <v>1200</v>
      </c>
      <c r="D607" s="554">
        <f t="shared" si="10"/>
        <v>1.2</v>
      </c>
      <c r="E607" s="659"/>
      <c r="F607" s="660"/>
      <c r="G607" s="661"/>
    </row>
    <row r="608" spans="1:7" s="662" customFormat="1" ht="18.75" customHeight="1">
      <c r="A608" s="551" t="s">
        <v>5005</v>
      </c>
      <c r="B608" s="663" t="s">
        <v>5006</v>
      </c>
      <c r="C608" s="664">
        <f>[140]LIST!F23</f>
        <v>1800</v>
      </c>
      <c r="D608" s="554">
        <f t="shared" si="10"/>
        <v>1.8</v>
      </c>
      <c r="E608" s="659"/>
      <c r="F608" s="660"/>
      <c r="G608" s="661"/>
    </row>
    <row r="609" spans="1:7" s="662" customFormat="1" ht="18.75" customHeight="1">
      <c r="A609" s="555" t="s">
        <v>5007</v>
      </c>
      <c r="B609" s="663" t="s">
        <v>5008</v>
      </c>
      <c r="C609" s="664">
        <f>[140]LIST!G30</f>
        <v>0</v>
      </c>
      <c r="D609" s="554">
        <f t="shared" si="10"/>
        <v>0</v>
      </c>
      <c r="E609" s="659"/>
      <c r="F609" s="660"/>
      <c r="G609" s="661"/>
    </row>
    <row r="610" spans="1:7" s="662" customFormat="1" ht="18.75" customHeight="1">
      <c r="A610" s="555" t="s">
        <v>5009</v>
      </c>
      <c r="B610" s="663" t="s">
        <v>5010</v>
      </c>
      <c r="C610" s="664">
        <f>[140]LIST!H30</f>
        <v>0</v>
      </c>
      <c r="D610" s="554">
        <f t="shared" si="10"/>
        <v>0</v>
      </c>
      <c r="E610" s="556"/>
      <c r="F610" s="660"/>
      <c r="G610" s="661"/>
    </row>
    <row r="611" spans="1:7" s="638" customFormat="1" ht="18.75" customHeight="1">
      <c r="A611" s="557" t="s">
        <v>5011</v>
      </c>
      <c r="B611" s="558" t="s">
        <v>5012</v>
      </c>
      <c r="C611" s="559">
        <f>[140]LIST!I30</f>
        <v>0</v>
      </c>
      <c r="D611" s="560">
        <f t="shared" si="10"/>
        <v>0</v>
      </c>
      <c r="E611" s="659"/>
      <c r="F611" s="660"/>
      <c r="G611" s="661"/>
    </row>
    <row r="612" spans="1:7" s="662" customFormat="1" ht="18.75" customHeight="1">
      <c r="A612" s="563" t="str">
        <f>[140]LIST!B23</f>
        <v>SC-209</v>
      </c>
      <c r="B612" s="563" t="str">
        <f>[140]LIST!C23</f>
        <v>복합형 진열장</v>
      </c>
      <c r="C612" s="564" t="str">
        <f>A606&amp;": "&amp;C606&amp;" "&amp;A607&amp;": "&amp;C607&amp;" "&amp;A608&amp;": "&amp;C608&amp;" "&amp;A609&amp;": "&amp;C609&amp;" "&amp;A610&amp;": "&amp;C610&amp;" "&amp;A611&amp;": "&amp;C611</f>
        <v>L: 4500 D: 1200 H: 1800 FH: 0 GH: 0 UH: 0</v>
      </c>
      <c r="D612" s="565" t="s">
        <v>398</v>
      </c>
      <c r="E612" s="665"/>
      <c r="F612" s="640">
        <v>8</v>
      </c>
      <c r="G612" s="666"/>
    </row>
    <row r="613" spans="1:7" s="662" customFormat="1" ht="18.75" customHeight="1">
      <c r="A613" s="534"/>
      <c r="B613" s="570" t="s">
        <v>5013</v>
      </c>
      <c r="C613" s="574"/>
      <c r="D613" s="572"/>
      <c r="E613" s="573"/>
      <c r="F613" s="667"/>
      <c r="G613" s="661"/>
    </row>
    <row r="614" spans="1:7" s="662" customFormat="1" ht="18.75" customHeight="1">
      <c r="A614" s="668"/>
      <c r="B614" s="576" t="s">
        <v>5197</v>
      </c>
      <c r="C614" s="571" t="s">
        <v>5131</v>
      </c>
      <c r="D614" s="572" t="s">
        <v>204</v>
      </c>
      <c r="E614" s="573" t="s">
        <v>5198</v>
      </c>
      <c r="F614" s="544">
        <v>51.6</v>
      </c>
      <c r="G614" s="661"/>
    </row>
    <row r="615" spans="1:7" s="662" customFormat="1" ht="18.75" customHeight="1">
      <c r="A615" s="668"/>
      <c r="B615" s="570" t="s">
        <v>5199</v>
      </c>
      <c r="C615" s="571"/>
      <c r="D615" s="572"/>
      <c r="E615" s="573"/>
      <c r="F615" s="544"/>
      <c r="G615" s="661"/>
    </row>
    <row r="616" spans="1:7" s="662" customFormat="1" ht="18.75" customHeight="1">
      <c r="A616" s="668"/>
      <c r="B616" s="571" t="s">
        <v>5022</v>
      </c>
      <c r="C616" s="586" t="s">
        <v>5023</v>
      </c>
      <c r="D616" s="572" t="s">
        <v>59</v>
      </c>
      <c r="E616" s="573" t="s">
        <v>5200</v>
      </c>
      <c r="F616" s="544">
        <v>12.600000000000001</v>
      </c>
      <c r="G616" s="574" t="s">
        <v>5201</v>
      </c>
    </row>
    <row r="617" spans="1:7" s="662" customFormat="1" ht="18.75" customHeight="1">
      <c r="A617" s="668"/>
      <c r="B617" s="571" t="s">
        <v>5022</v>
      </c>
      <c r="C617" s="586" t="s">
        <v>5023</v>
      </c>
      <c r="D617" s="572" t="s">
        <v>59</v>
      </c>
      <c r="E617" s="573" t="s">
        <v>5202</v>
      </c>
      <c r="F617" s="544">
        <v>2.2620000000000005</v>
      </c>
      <c r="G617" s="589" t="s">
        <v>5203</v>
      </c>
    </row>
    <row r="618" spans="1:7" s="662" customFormat="1" ht="18.75" customHeight="1">
      <c r="A618" s="668"/>
      <c r="B618" s="571" t="s">
        <v>5022</v>
      </c>
      <c r="C618" s="586" t="s">
        <v>5023</v>
      </c>
      <c r="D618" s="572" t="s">
        <v>59</v>
      </c>
      <c r="E618" s="573" t="s">
        <v>5202</v>
      </c>
      <c r="F618" s="544">
        <v>2.2620000000000005</v>
      </c>
      <c r="G618" s="589" t="s">
        <v>5204</v>
      </c>
    </row>
    <row r="619" spans="1:7" s="636" customFormat="1" ht="18.75" customHeight="1">
      <c r="A619" s="534"/>
      <c r="B619" s="581" t="s">
        <v>5022</v>
      </c>
      <c r="C619" s="582" t="s">
        <v>5023</v>
      </c>
      <c r="D619" s="583" t="s">
        <v>59</v>
      </c>
      <c r="E619" s="577" t="s">
        <v>5205</v>
      </c>
      <c r="F619" s="544">
        <v>1.8599999999999999</v>
      </c>
      <c r="G619" s="585" t="s">
        <v>5206</v>
      </c>
    </row>
    <row r="620" spans="1:7" s="636" customFormat="1" ht="18.75" customHeight="1">
      <c r="A620" s="534"/>
      <c r="B620" s="581" t="s">
        <v>5022</v>
      </c>
      <c r="C620" s="582" t="s">
        <v>5023</v>
      </c>
      <c r="D620" s="583" t="s">
        <v>59</v>
      </c>
      <c r="E620" s="577" t="s">
        <v>5207</v>
      </c>
      <c r="F620" s="544">
        <v>0.44400000000000001</v>
      </c>
      <c r="G620" s="585" t="s">
        <v>5208</v>
      </c>
    </row>
    <row r="621" spans="1:7" s="636" customFormat="1" ht="18.75" customHeight="1">
      <c r="A621" s="534"/>
      <c r="B621" s="581" t="s">
        <v>5022</v>
      </c>
      <c r="C621" s="582" t="s">
        <v>5023</v>
      </c>
      <c r="D621" s="583" t="s">
        <v>59</v>
      </c>
      <c r="E621" s="577" t="s">
        <v>5209</v>
      </c>
      <c r="F621" s="544">
        <v>0.26400000000000001</v>
      </c>
      <c r="G621" s="585" t="s">
        <v>5210</v>
      </c>
    </row>
    <row r="622" spans="1:7" s="636" customFormat="1" ht="18.75" customHeight="1">
      <c r="A622" s="534"/>
      <c r="B622" s="581" t="s">
        <v>5022</v>
      </c>
      <c r="C622" s="582" t="s">
        <v>5023</v>
      </c>
      <c r="D622" s="583" t="s">
        <v>59</v>
      </c>
      <c r="E622" s="577" t="s">
        <v>5211</v>
      </c>
      <c r="F622" s="544">
        <v>1.7999999999999998</v>
      </c>
      <c r="G622" s="585" t="s">
        <v>5212</v>
      </c>
    </row>
    <row r="623" spans="1:7" s="636" customFormat="1" ht="18.75" customHeight="1">
      <c r="A623" s="534"/>
      <c r="B623" s="581" t="s">
        <v>5022</v>
      </c>
      <c r="C623" s="582" t="s">
        <v>5023</v>
      </c>
      <c r="D623" s="583" t="s">
        <v>59</v>
      </c>
      <c r="E623" s="577" t="s">
        <v>5213</v>
      </c>
      <c r="F623" s="544">
        <v>1.44</v>
      </c>
      <c r="G623" s="585" t="s">
        <v>5214</v>
      </c>
    </row>
    <row r="624" spans="1:7" s="636" customFormat="1" ht="18.75" customHeight="1">
      <c r="A624" s="534"/>
      <c r="B624" s="581" t="s">
        <v>5022</v>
      </c>
      <c r="C624" s="582" t="s">
        <v>5023</v>
      </c>
      <c r="D624" s="583" t="s">
        <v>59</v>
      </c>
      <c r="E624" s="577" t="s">
        <v>5215</v>
      </c>
      <c r="F624" s="544">
        <v>0.54</v>
      </c>
      <c r="G624" s="585" t="s">
        <v>5216</v>
      </c>
    </row>
    <row r="625" spans="1:7" s="636" customFormat="1" ht="18.75" customHeight="1">
      <c r="A625" s="534"/>
      <c r="B625" s="581"/>
      <c r="C625" s="582"/>
      <c r="D625" s="583"/>
      <c r="E625" s="577" t="s">
        <v>5217</v>
      </c>
      <c r="F625" s="544"/>
      <c r="G625" s="585"/>
    </row>
    <row r="626" spans="1:7" s="662" customFormat="1" ht="18.75" customHeight="1">
      <c r="A626" s="668"/>
      <c r="B626" s="580" t="s">
        <v>5218</v>
      </c>
      <c r="C626" s="586"/>
      <c r="D626" s="572"/>
      <c r="E626" s="573"/>
      <c r="F626" s="544"/>
      <c r="G626" s="661"/>
    </row>
    <row r="627" spans="1:7" s="662" customFormat="1" ht="18.75" customHeight="1">
      <c r="A627" s="668"/>
      <c r="B627" s="576" t="s">
        <v>5054</v>
      </c>
      <c r="C627" s="571"/>
      <c r="D627" s="572" t="s">
        <v>204</v>
      </c>
      <c r="E627" s="573" t="s">
        <v>5219</v>
      </c>
      <c r="F627" s="544">
        <v>4.7</v>
      </c>
      <c r="G627" s="661"/>
    </row>
    <row r="628" spans="1:7" s="662" customFormat="1" ht="18.75" customHeight="1">
      <c r="A628" s="669"/>
      <c r="B628" s="596" t="s">
        <v>5056</v>
      </c>
      <c r="C628" s="596" t="s">
        <v>5057</v>
      </c>
      <c r="D628" s="597" t="s">
        <v>5058</v>
      </c>
      <c r="E628" s="670">
        <v>2</v>
      </c>
      <c r="F628" s="599">
        <v>2</v>
      </c>
      <c r="G628" s="671"/>
    </row>
    <row r="629" spans="1:7" s="662" customFormat="1" ht="18.75" customHeight="1">
      <c r="A629" s="668"/>
      <c r="B629" s="571" t="s">
        <v>5220</v>
      </c>
      <c r="C629" s="586"/>
      <c r="D629" s="572" t="s">
        <v>204</v>
      </c>
      <c r="E629" s="573" t="s">
        <v>5221</v>
      </c>
      <c r="F629" s="544">
        <v>14.8</v>
      </c>
      <c r="G629" s="661"/>
    </row>
    <row r="630" spans="1:7" s="662" customFormat="1" ht="18.75" customHeight="1">
      <c r="A630" s="668"/>
      <c r="B630" s="571" t="s">
        <v>5222</v>
      </c>
      <c r="C630" s="586" t="s">
        <v>5223</v>
      </c>
      <c r="D630" s="572" t="s">
        <v>204</v>
      </c>
      <c r="E630" s="573" t="s">
        <v>5221</v>
      </c>
      <c r="F630" s="544">
        <v>14.8</v>
      </c>
      <c r="G630" s="661"/>
    </row>
    <row r="631" spans="1:7" s="662" customFormat="1" ht="18.75" customHeight="1">
      <c r="A631" s="668"/>
      <c r="B631" s="579" t="s">
        <v>5224</v>
      </c>
      <c r="C631" s="672"/>
      <c r="D631" s="572"/>
      <c r="E631" s="573"/>
      <c r="F631" s="544"/>
      <c r="G631" s="661"/>
    </row>
    <row r="632" spans="1:7" s="662" customFormat="1" ht="18.75" customHeight="1">
      <c r="A632" s="668"/>
      <c r="B632" s="576" t="s">
        <v>5193</v>
      </c>
      <c r="C632" s="571" t="s">
        <v>5225</v>
      </c>
      <c r="D632" s="572" t="s">
        <v>59</v>
      </c>
      <c r="E632" s="573" t="s">
        <v>5226</v>
      </c>
      <c r="F632" s="544">
        <v>2.8800000000000003</v>
      </c>
      <c r="G632" s="661"/>
    </row>
    <row r="633" spans="1:7" s="662" customFormat="1" ht="18.75" customHeight="1">
      <c r="A633" s="668"/>
      <c r="B633" s="571" t="s">
        <v>5172</v>
      </c>
      <c r="C633" s="571" t="s">
        <v>5091</v>
      </c>
      <c r="D633" s="673" t="s">
        <v>59</v>
      </c>
      <c r="E633" s="573" t="s">
        <v>5227</v>
      </c>
      <c r="F633" s="544">
        <v>24.48</v>
      </c>
      <c r="G633" s="661"/>
    </row>
    <row r="634" spans="1:7" s="662" customFormat="1" ht="18.75" customHeight="1">
      <c r="A634" s="668"/>
      <c r="B634" s="571" t="s">
        <v>5087</v>
      </c>
      <c r="C634" s="571" t="s">
        <v>5228</v>
      </c>
      <c r="D634" s="673" t="s">
        <v>59</v>
      </c>
      <c r="E634" s="573" t="s">
        <v>5227</v>
      </c>
      <c r="F634" s="544">
        <v>24.48</v>
      </c>
      <c r="G634" s="661"/>
    </row>
    <row r="635" spans="1:7" s="662" customFormat="1" ht="18.75" customHeight="1">
      <c r="A635" s="669"/>
      <c r="B635" s="602" t="s">
        <v>5100</v>
      </c>
      <c r="C635" s="658" t="s">
        <v>5101</v>
      </c>
      <c r="D635" s="606" t="s">
        <v>59</v>
      </c>
      <c r="E635" s="674" t="s">
        <v>5229</v>
      </c>
      <c r="F635" s="599">
        <v>23.472000000000001</v>
      </c>
      <c r="G635" s="671"/>
    </row>
    <row r="636" spans="1:7" s="662" customFormat="1" ht="18.75" customHeight="1">
      <c r="A636" s="669"/>
      <c r="B636" s="596" t="s">
        <v>5172</v>
      </c>
      <c r="C636" s="658" t="s">
        <v>5230</v>
      </c>
      <c r="D636" s="606" t="s">
        <v>59</v>
      </c>
      <c r="E636" s="670" t="str">
        <f>E635</f>
        <v>12.6+2.26+2.26+1.86+0.44+0.26+1.8+1.44+1.08</v>
      </c>
      <c r="F636" s="599">
        <v>23.472000000000001</v>
      </c>
      <c r="G636" s="671"/>
    </row>
    <row r="637" spans="1:7" s="662" customFormat="1" ht="18.75" customHeight="1">
      <c r="A637" s="668"/>
      <c r="B637" s="675" t="s">
        <v>5231</v>
      </c>
      <c r="C637" s="676"/>
      <c r="D637" s="572"/>
      <c r="E637" s="573"/>
      <c r="F637" s="544"/>
      <c r="G637" s="661"/>
    </row>
    <row r="638" spans="1:7" s="662" customFormat="1" ht="18.75" customHeight="1">
      <c r="A638" s="668"/>
      <c r="B638" s="576" t="s">
        <v>5104</v>
      </c>
      <c r="C638" s="571" t="s">
        <v>5195</v>
      </c>
      <c r="D638" s="572" t="s">
        <v>59</v>
      </c>
      <c r="E638" s="573" t="s">
        <v>5232</v>
      </c>
      <c r="F638" s="544">
        <v>7.1475000000000009</v>
      </c>
      <c r="G638" s="661"/>
    </row>
    <row r="639" spans="1:7" s="662" customFormat="1" ht="18.75" customHeight="1">
      <c r="A639" s="668"/>
      <c r="B639" s="677" t="s">
        <v>5111</v>
      </c>
      <c r="C639" s="672"/>
      <c r="D639" s="572" t="s">
        <v>204</v>
      </c>
      <c r="E639" s="573" t="s">
        <v>5233</v>
      </c>
      <c r="F639" s="544">
        <v>47.6</v>
      </c>
      <c r="G639" s="661"/>
    </row>
    <row r="640" spans="1:7" s="662" customFormat="1" ht="18.75" customHeight="1">
      <c r="A640" s="668"/>
      <c r="B640" s="576" t="s">
        <v>5234</v>
      </c>
      <c r="C640" s="571"/>
      <c r="D640" s="572" t="s">
        <v>204</v>
      </c>
      <c r="E640" s="573" t="s">
        <v>5235</v>
      </c>
      <c r="F640" s="544">
        <v>40</v>
      </c>
      <c r="G640" s="661"/>
    </row>
    <row r="641" spans="1:7" s="636" customFormat="1" ht="18.75" customHeight="1">
      <c r="A641" s="668"/>
      <c r="B641" s="675" t="s">
        <v>5236</v>
      </c>
      <c r="C641" s="586"/>
      <c r="D641" s="572"/>
      <c r="E641" s="573"/>
      <c r="F641" s="544"/>
      <c r="G641" s="661"/>
    </row>
    <row r="642" spans="1:7" s="679" customFormat="1" ht="18.75" customHeight="1">
      <c r="A642" s="669"/>
      <c r="B642" s="612" t="s">
        <v>5179</v>
      </c>
      <c r="C642" s="678" t="s">
        <v>5117</v>
      </c>
      <c r="D642" s="606" t="s">
        <v>5118</v>
      </c>
      <c r="E642" s="670">
        <v>6</v>
      </c>
      <c r="F642" s="599">
        <v>6</v>
      </c>
      <c r="G642" s="671"/>
    </row>
    <row r="643" spans="1:7" s="680" customFormat="1" ht="20.25" customHeight="1">
      <c r="A643" s="669"/>
      <c r="B643" s="596" t="s">
        <v>5122</v>
      </c>
      <c r="C643" s="654" t="s">
        <v>5237</v>
      </c>
      <c r="D643" s="606" t="s">
        <v>5058</v>
      </c>
      <c r="E643" s="670">
        <v>1</v>
      </c>
      <c r="F643" s="599">
        <v>1</v>
      </c>
      <c r="G643" s="671"/>
    </row>
    <row r="644" spans="1:7" ht="20.25" customHeight="1">
      <c r="A644" s="532"/>
      <c r="B644" s="581"/>
      <c r="C644" s="655"/>
      <c r="D644" s="583"/>
      <c r="E644" s="656"/>
      <c r="F644" s="544"/>
      <c r="G644" s="545"/>
    </row>
    <row r="645" spans="1:7" ht="20.25" customHeight="1">
      <c r="A645" s="532"/>
      <c r="B645" s="581"/>
      <c r="C645" s="655"/>
      <c r="D645" s="583"/>
      <c r="E645" s="656"/>
      <c r="F645" s="544"/>
      <c r="G645" s="545"/>
    </row>
  </sheetData>
  <mergeCells count="8">
    <mergeCell ref="A1:G1"/>
    <mergeCell ref="A2:A3"/>
    <mergeCell ref="B2:B3"/>
    <mergeCell ref="C2:C3"/>
    <mergeCell ref="D2:D3"/>
    <mergeCell ref="E2:E3"/>
    <mergeCell ref="F2:F3"/>
    <mergeCell ref="G2:G3"/>
  </mergeCells>
  <phoneticPr fontId="1" type="noConversion"/>
  <printOptions horizontalCentered="1"/>
  <pageMargins left="0.59055118110236227" right="0.39370078740157483" top="0.59055118110236227" bottom="0.59055118110236227" header="0.39370078740157483" footer="0.19685039370078741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I636"/>
  <sheetViews>
    <sheetView view="pageBreakPreview" topLeftCell="B1" zoomScale="110" zoomScaleNormal="85" zoomScaleSheetLayoutView="110" workbookViewId="0">
      <pane ySplit="2" topLeftCell="A3" activePane="bottomLeft" state="frozen"/>
      <selection activeCell="B17" sqref="B17"/>
      <selection pane="bottomLeft" activeCell="B1" sqref="B1:I1"/>
    </sheetView>
  </sheetViews>
  <sheetFormatPr defaultColWidth="10" defaultRowHeight="16.5"/>
  <cols>
    <col min="1" max="1" width="33.125" style="716" hidden="1" customWidth="1"/>
    <col min="2" max="2" width="9.375" style="716" customWidth="1"/>
    <col min="3" max="3" width="38" style="716" customWidth="1"/>
    <col min="4" max="4" width="29" style="716" customWidth="1"/>
    <col min="5" max="5" width="8.75" style="716" customWidth="1"/>
    <col min="6" max="8" width="23.125" style="716" customWidth="1"/>
    <col min="9" max="9" width="35.625" style="716" customWidth="1"/>
    <col min="10" max="16384" width="10" style="716"/>
  </cols>
  <sheetData>
    <row r="1" spans="1:9" s="688" customFormat="1" ht="38.25" customHeight="1">
      <c r="B1" s="1449" t="s">
        <v>5238</v>
      </c>
      <c r="C1" s="1450"/>
      <c r="D1" s="1450"/>
      <c r="E1" s="1450"/>
      <c r="F1" s="1450"/>
      <c r="G1" s="1450"/>
      <c r="H1" s="1450"/>
      <c r="I1" s="1450"/>
    </row>
    <row r="2" spans="1:9" s="688" customFormat="1" ht="17.25" customHeight="1">
      <c r="B2" s="689"/>
      <c r="C2" s="690"/>
      <c r="D2" s="690"/>
      <c r="E2" s="690"/>
      <c r="F2" s="690"/>
      <c r="G2" s="690"/>
      <c r="H2" s="690"/>
      <c r="I2" s="690"/>
    </row>
    <row r="3" spans="1:9" s="694" customFormat="1" ht="37.5" customHeight="1">
      <c r="A3" s="691" t="s">
        <v>5239</v>
      </c>
      <c r="B3" s="692" t="s">
        <v>5240</v>
      </c>
      <c r="C3" s="692" t="s">
        <v>5241</v>
      </c>
      <c r="D3" s="692" t="s">
        <v>5242</v>
      </c>
      <c r="E3" s="692" t="s">
        <v>5243</v>
      </c>
      <c r="F3" s="693" t="s">
        <v>5244</v>
      </c>
      <c r="G3" s="693" t="s">
        <v>5245</v>
      </c>
      <c r="H3" s="693" t="s">
        <v>5246</v>
      </c>
      <c r="I3" s="692" t="s">
        <v>5247</v>
      </c>
    </row>
    <row r="4" spans="1:9" s="688" customFormat="1" ht="27.4" customHeight="1">
      <c r="A4" s="695" t="str">
        <f t="shared" ref="A4:A67" si="0">SUBSTITUTE(CONCATENATE(C:C,D:D,E:E)," ","")</f>
        <v>철구조물가공조립KG</v>
      </c>
      <c r="B4" s="696" t="s">
        <v>5248</v>
      </c>
      <c r="C4" s="697" t="str">
        <f>VLOOKUP($B:$B,[140]일위대가!$A:$K,2,FALSE)</f>
        <v>철구조물가공조립</v>
      </c>
      <c r="D4" s="697" t="str">
        <f>IF(VLOOKUP(B:B,[140]일위대가!A:K,3,FALSE)="","",VLOOKUP(B:B,[140]일위대가!A:K,3,FALSE))</f>
        <v/>
      </c>
      <c r="E4" s="698" t="str">
        <f>VLOOKUP($B:$B,[140]일위대가!$A:$K,5,FALSE)</f>
        <v>KG</v>
      </c>
      <c r="F4" s="697">
        <f>'일위대가 (진열장)'!H18</f>
        <v>3171</v>
      </c>
      <c r="G4" s="697">
        <f>'일위대가 (진열장)'!J18</f>
        <v>5851</v>
      </c>
      <c r="H4" s="697">
        <f>F4+G4</f>
        <v>9022</v>
      </c>
      <c r="I4" s="699"/>
    </row>
    <row r="5" spans="1:9" s="688" customFormat="1" ht="27.4" customHeight="1">
      <c r="A5" s="695" t="str">
        <f t="shared" si="0"/>
        <v>잡철물제작설치보통기준TON</v>
      </c>
      <c r="B5" s="696" t="s">
        <v>5249</v>
      </c>
      <c r="C5" s="697" t="str">
        <f>VLOOKUP($B:$B,[140]일위대가!$A:$K,2,FALSE)</f>
        <v>잡철물제작설치</v>
      </c>
      <c r="D5" s="697" t="str">
        <f>IF(VLOOKUP(B:B,[140]일위대가!A:K,3,FALSE)="","",VLOOKUP(B:B,[140]일위대가!A:K,3,FALSE))</f>
        <v>보통기준</v>
      </c>
      <c r="E5" s="698" t="str">
        <f>VLOOKUP($B:$B,[140]일위대가!$A:$K,5,FALSE)</f>
        <v>TON</v>
      </c>
      <c r="F5" s="697">
        <f>'일위대가 (진열장)'!H34</f>
        <v>2681033</v>
      </c>
      <c r="G5" s="697">
        <f>'일위대가 (진열장)'!J34</f>
        <v>3658382</v>
      </c>
      <c r="H5" s="697">
        <f>F5+G5</f>
        <v>6339415</v>
      </c>
      <c r="I5" s="699"/>
    </row>
    <row r="6" spans="1:9" s="688" customFormat="1" ht="27.4" customHeight="1">
      <c r="A6" s="695" t="str">
        <f t="shared" si="0"/>
        <v>잡철물제작설치복잡기준TON</v>
      </c>
      <c r="B6" s="696" t="s">
        <v>5250</v>
      </c>
      <c r="C6" s="697" t="str">
        <f>VLOOKUP($B:$B,[140]일위대가!$A:$K,2,FALSE)</f>
        <v>잡철물제작설치</v>
      </c>
      <c r="D6" s="697" t="str">
        <f>IF(VLOOKUP(B:B,[140]일위대가!A:K,3,FALSE)="","",VLOOKUP(B:B,[140]일위대가!A:K,3,FALSE))</f>
        <v>복잡기준</v>
      </c>
      <c r="E6" s="698" t="str">
        <f>VLOOKUP($B:$B,[140]일위대가!$A:$K,5,FALSE)</f>
        <v>TON</v>
      </c>
      <c r="F6" s="697">
        <f>'일위대가 (진열장)'!H50</f>
        <v>3124257</v>
      </c>
      <c r="G6" s="697">
        <f>'일위대가 (진열장)'!J50</f>
        <v>4268113</v>
      </c>
      <c r="H6" s="697">
        <f>F6+G6</f>
        <v>7392370</v>
      </c>
      <c r="I6" s="699"/>
    </row>
    <row r="7" spans="1:9" s="688" customFormat="1" ht="27.4" customHeight="1">
      <c r="A7" s="695" t="str">
        <f t="shared" si="0"/>
        <v>잡철물설치T1.2GALV.M2</v>
      </c>
      <c r="B7" s="696" t="s">
        <v>5251</v>
      </c>
      <c r="C7" s="697" t="str">
        <f>VLOOKUP($B:$B,[140]일위대가!$A:$K,2,FALSE)</f>
        <v>잡철물설치</v>
      </c>
      <c r="D7" s="697" t="str">
        <f>IF(VLOOKUP(B:B,[140]일위대가!A:K,3,FALSE)="","",VLOOKUP(B:B,[140]일위대가!A:K,3,FALSE))</f>
        <v>T1.2 GALV.</v>
      </c>
      <c r="E7" s="698" t="str">
        <f>VLOOKUP($B:$B,[140]일위대가!$A:$K,5,FALSE)</f>
        <v>M2</v>
      </c>
      <c r="F7" s="697">
        <f>'일위대가 (진열장)'!H54</f>
        <v>24211</v>
      </c>
      <c r="G7" s="697">
        <f>'일위대가 (진열장)'!J54</f>
        <v>33077</v>
      </c>
      <c r="H7" s="697">
        <f t="shared" ref="H7:H41" si="1">F7+G7</f>
        <v>57288</v>
      </c>
      <c r="I7" s="699"/>
    </row>
    <row r="8" spans="1:9" s="688" customFormat="1" ht="27.4" customHeight="1">
      <c r="A8" s="695" t="str">
        <f t="shared" si="0"/>
        <v>잡철물설치T1.5ST'LM2</v>
      </c>
      <c r="B8" s="696" t="s">
        <v>5252</v>
      </c>
      <c r="C8" s="697" t="str">
        <f>VLOOKUP($B:$B,[140]일위대가!$A:$K,2,FALSE)</f>
        <v>잡철물설치</v>
      </c>
      <c r="D8" s="697" t="str">
        <f>IF(VLOOKUP(B:B,[140]일위대가!A:K,3,FALSE)="","",VLOOKUP(B:B,[140]일위대가!A:K,3,FALSE))</f>
        <v>T1.5 ST'L</v>
      </c>
      <c r="E8" s="698" t="str">
        <f>VLOOKUP($B:$B,[140]일위대가!$A:$K,5,FALSE)</f>
        <v>M2</v>
      </c>
      <c r="F8" s="697">
        <f>'일위대가 (진열장)'!H57</f>
        <v>29428</v>
      </c>
      <c r="G8" s="697">
        <f>'일위대가 (진열장)'!J57</f>
        <v>40204</v>
      </c>
      <c r="H8" s="697">
        <f t="shared" si="1"/>
        <v>69632</v>
      </c>
      <c r="I8" s="699"/>
    </row>
    <row r="9" spans="1:9" s="688" customFormat="1" ht="27.4" customHeight="1">
      <c r="A9" s="695" t="str">
        <f t="shared" si="0"/>
        <v>잡철물설치T1.6GALV.M2</v>
      </c>
      <c r="B9" s="696" t="s">
        <v>5253</v>
      </c>
      <c r="C9" s="697" t="str">
        <f>VLOOKUP($B:$B,[140]일위대가!$A:$K,2,FALSE)</f>
        <v>잡철물설치</v>
      </c>
      <c r="D9" s="697" t="str">
        <f>IF(VLOOKUP(B:B,[140]일위대가!A:K,3,FALSE)="","",VLOOKUP(B:B,[140]일위대가!A:K,3,FALSE))</f>
        <v>T1.6 GALV.</v>
      </c>
      <c r="E9" s="698" t="str">
        <f>VLOOKUP($B:$B,[140]일위대가!$A:$K,5,FALSE)</f>
        <v>M2</v>
      </c>
      <c r="F9" s="697">
        <f>'일위대가 (진열장)'!H60</f>
        <v>39831</v>
      </c>
      <c r="G9" s="697">
        <f>'일위대가 (진열장)'!J60</f>
        <v>54417</v>
      </c>
      <c r="H9" s="697">
        <f t="shared" si="1"/>
        <v>94248</v>
      </c>
      <c r="I9" s="699"/>
    </row>
    <row r="10" spans="1:9" s="688" customFormat="1" ht="27.4" customHeight="1">
      <c r="A10" s="695" t="str">
        <f t="shared" si="0"/>
        <v>잡철물설치T2.0ST'LM2</v>
      </c>
      <c r="B10" s="696" t="s">
        <v>5254</v>
      </c>
      <c r="C10" s="697" t="str">
        <f>VLOOKUP($B:$B,[140]일위대가!$A:$K,2,FALSE)</f>
        <v>잡철물설치</v>
      </c>
      <c r="D10" s="697" t="str">
        <f>IF(VLOOKUP(B:B,[140]일위대가!A:K,3,FALSE)="","",VLOOKUP(B:B,[140]일위대가!A:K,3,FALSE))</f>
        <v>T2.0 ST'L</v>
      </c>
      <c r="E10" s="698" t="str">
        <f>VLOOKUP($B:$B,[140]일위대가!$A:$K,5,FALSE)</f>
        <v>M2</v>
      </c>
      <c r="F10" s="697">
        <f>'일위대가 (진열장)'!H63</f>
        <v>49078</v>
      </c>
      <c r="G10" s="697">
        <f>'일위대가 (진열장)'!J63</f>
        <v>67050</v>
      </c>
      <c r="H10" s="697">
        <f t="shared" si="1"/>
        <v>116128</v>
      </c>
      <c r="I10" s="699"/>
    </row>
    <row r="11" spans="1:9" s="688" customFormat="1" ht="27.4" customHeight="1">
      <c r="A11" s="695" t="str">
        <f t="shared" si="0"/>
        <v>잡철물설치T2.3ST'LM2</v>
      </c>
      <c r="B11" s="696" t="s">
        <v>5255</v>
      </c>
      <c r="C11" s="697" t="str">
        <f>VLOOKUP($B:$B,[140]일위대가!$A:$K,2,FALSE)</f>
        <v>잡철물설치</v>
      </c>
      <c r="D11" s="697" t="str">
        <f>IF(VLOOKUP(B:B,[140]일위대가!A:K,3,FALSE)="","",VLOOKUP(B:B,[140]일위대가!A:K,3,FALSE))</f>
        <v>T2.3 ST'L</v>
      </c>
      <c r="E11" s="698" t="str">
        <f>VLOOKUP($B:$B,[140]일위대가!$A:$K,5,FALSE)</f>
        <v>M2</v>
      </c>
      <c r="F11" s="697">
        <f>'일위대가 (진열장)'!H66</f>
        <v>56450</v>
      </c>
      <c r="G11" s="697">
        <f>'일위대가 (진열장)'!J66</f>
        <v>77122</v>
      </c>
      <c r="H11" s="697">
        <f t="shared" si="1"/>
        <v>133572</v>
      </c>
      <c r="I11" s="699"/>
    </row>
    <row r="12" spans="1:9" s="688" customFormat="1" ht="27.4" customHeight="1">
      <c r="A12" s="695" t="str">
        <f t="shared" si="0"/>
        <v>잡철물설치T3.2ST'LM2</v>
      </c>
      <c r="B12" s="696" t="s">
        <v>5256</v>
      </c>
      <c r="C12" s="697" t="str">
        <f>VLOOKUP($B:$B,[140]일위대가!$A:$K,2,FALSE)</f>
        <v>잡철물설치</v>
      </c>
      <c r="D12" s="697" t="str">
        <f>IF(VLOOKUP(B:B,[140]일위대가!A:K,3,FALSE)="","",VLOOKUP(B:B,[140]일위대가!A:K,3,FALSE))</f>
        <v>T3.2 ST'L</v>
      </c>
      <c r="E12" s="698" t="str">
        <f>VLOOKUP($B:$B,[140]일위대가!$A:$K,5,FALSE)</f>
        <v>M2</v>
      </c>
      <c r="F12" s="697">
        <f>'일위대가 (진열장)'!H69</f>
        <v>67373</v>
      </c>
      <c r="G12" s="697">
        <f>'일위대가 (진열장)'!J69</f>
        <v>91925</v>
      </c>
      <c r="H12" s="697">
        <f t="shared" si="1"/>
        <v>159298</v>
      </c>
      <c r="I12" s="699"/>
    </row>
    <row r="13" spans="1:9" s="688" customFormat="1" ht="27.4" customHeight="1">
      <c r="A13" s="695" t="str">
        <f t="shared" si="0"/>
        <v>잡철물설치T4.0ST'LM2</v>
      </c>
      <c r="B13" s="696" t="s">
        <v>5257</v>
      </c>
      <c r="C13" s="697" t="str">
        <f>VLOOKUP($B:$B,[140]일위대가!$A:$K,2,FALSE)</f>
        <v>잡철물설치</v>
      </c>
      <c r="D13" s="697" t="str">
        <f>IF(VLOOKUP(B:B,[140]일위대가!A:K,3,FALSE)="","",VLOOKUP(B:B,[140]일위대가!A:K,3,FALSE))</f>
        <v>T4.0 ST'L</v>
      </c>
      <c r="E13" s="698" t="str">
        <f>VLOOKUP($B:$B,[140]일위대가!$A:$K,5,FALSE)</f>
        <v>M2</v>
      </c>
      <c r="F13" s="697">
        <f>'일위대가 (진열장)'!H72</f>
        <v>98062</v>
      </c>
      <c r="G13" s="697">
        <f>'일위대가 (진열장)'!J72</f>
        <v>133972</v>
      </c>
      <c r="H13" s="697">
        <f t="shared" si="1"/>
        <v>232034</v>
      </c>
      <c r="I13" s="699"/>
    </row>
    <row r="14" spans="1:9" s="688" customFormat="1" ht="27.4" customHeight="1">
      <c r="A14" s="695" t="str">
        <f t="shared" si="0"/>
        <v>잡철물설치T5.0ST'LM2</v>
      </c>
      <c r="B14" s="696" t="s">
        <v>5258</v>
      </c>
      <c r="C14" s="697" t="str">
        <f>VLOOKUP($B:$B,[140]일위대가!$A:$K,2,FALSE)</f>
        <v>잡철물설치</v>
      </c>
      <c r="D14" s="697" t="str">
        <f>IF(VLOOKUP(B:B,[140]일위대가!A:K,3,FALSE)="","",VLOOKUP(B:B,[140]일위대가!A:K,3,FALSE))</f>
        <v>T5.0 ST'L</v>
      </c>
      <c r="E14" s="698" t="str">
        <f>VLOOKUP($B:$B,[140]일위대가!$A:$K,5,FALSE)</f>
        <v>M2</v>
      </c>
      <c r="F14" s="697">
        <f>'일위대가 (진열장)'!H75</f>
        <v>123054</v>
      </c>
      <c r="G14" s="697">
        <f>'일위대가 (진열장)'!J75</f>
        <v>168116</v>
      </c>
      <c r="H14" s="697">
        <f t="shared" si="1"/>
        <v>291170</v>
      </c>
      <c r="I14" s="699"/>
    </row>
    <row r="15" spans="1:9" s="688" customFormat="1" ht="27.4" customHeight="1">
      <c r="A15" s="695" t="str">
        <f t="shared" si="0"/>
        <v>절단가공T1.2GALV.M</v>
      </c>
      <c r="B15" s="696" t="s">
        <v>5259</v>
      </c>
      <c r="C15" s="697" t="str">
        <f>VLOOKUP($B:$B,[140]일위대가!$A:$K,2,FALSE)</f>
        <v>절단가공</v>
      </c>
      <c r="D15" s="697" t="str">
        <f>IF(VLOOKUP(B:B,[140]일위대가!A:K,3,FALSE)="","",VLOOKUP(B:B,[140]일위대가!A:K,3,FALSE))</f>
        <v>T1.2 GALV.</v>
      </c>
      <c r="E15" s="698" t="str">
        <f>VLOOKUP($B:$B,[140]일위대가!$A:$K,5,FALSE)</f>
        <v>M</v>
      </c>
      <c r="F15" s="697">
        <f>VLOOKUP($B:$B,[140]일위대가!$D:$K,5,FALSE)</f>
        <v>0</v>
      </c>
      <c r="G15" s="697">
        <f>'일위대가 (진열장)'!J82</f>
        <v>1708</v>
      </c>
      <c r="H15" s="697">
        <f t="shared" si="1"/>
        <v>1708</v>
      </c>
      <c r="I15" s="699"/>
    </row>
    <row r="16" spans="1:9" s="688" customFormat="1" ht="27.4" customHeight="1">
      <c r="A16" s="695" t="str">
        <f t="shared" si="0"/>
        <v>절단가공T1.6GALV.M</v>
      </c>
      <c r="B16" s="696" t="s">
        <v>5260</v>
      </c>
      <c r="C16" s="697" t="str">
        <f>VLOOKUP($B:$B,[140]일위대가!$A:$K,2,FALSE)</f>
        <v>절단가공</v>
      </c>
      <c r="D16" s="697" t="str">
        <f>IF(VLOOKUP(B:B,[140]일위대가!A:K,3,FALSE)="","",VLOOKUP(B:B,[140]일위대가!A:K,3,FALSE))</f>
        <v>T1.6 GALV.</v>
      </c>
      <c r="E16" s="698" t="str">
        <f>VLOOKUP($B:$B,[140]일위대가!$A:$K,5,FALSE)</f>
        <v>M</v>
      </c>
      <c r="F16" s="697">
        <f>VLOOKUP($B:$B,[140]일위대가!$D:$K,5,FALSE)</f>
        <v>0</v>
      </c>
      <c r="G16" s="697">
        <f>'일위대가 (진열장)'!J88</f>
        <v>2049</v>
      </c>
      <c r="H16" s="697">
        <f t="shared" si="1"/>
        <v>2049</v>
      </c>
      <c r="I16" s="699"/>
    </row>
    <row r="17" spans="1:9" s="688" customFormat="1" ht="27.4" customHeight="1">
      <c r="A17" s="695" t="str">
        <f t="shared" si="0"/>
        <v>절단가공T2.0ST'LM</v>
      </c>
      <c r="B17" s="696" t="s">
        <v>5261</v>
      </c>
      <c r="C17" s="697" t="str">
        <f>VLOOKUP($B:$B,[140]일위대가!$A:$K,2,FALSE)</f>
        <v>절단가공</v>
      </c>
      <c r="D17" s="697" t="str">
        <f>IF(VLOOKUP(B:B,[140]일위대가!A:K,3,FALSE)="","",VLOOKUP(B:B,[140]일위대가!A:K,3,FALSE))</f>
        <v>T2.0 ST'L</v>
      </c>
      <c r="E17" s="698" t="str">
        <f>VLOOKUP($B:$B,[140]일위대가!$A:$K,5,FALSE)</f>
        <v>M</v>
      </c>
      <c r="F17" s="697">
        <f>VLOOKUP($B:$B,[140]일위대가!$D:$K,5,FALSE)</f>
        <v>0</v>
      </c>
      <c r="G17" s="697">
        <f>'일위대가 (진열장)'!J91</f>
        <v>2391</v>
      </c>
      <c r="H17" s="697">
        <f t="shared" si="1"/>
        <v>2391</v>
      </c>
      <c r="I17" s="699"/>
    </row>
    <row r="18" spans="1:9" s="688" customFormat="1" ht="27.4" customHeight="1">
      <c r="A18" s="695" t="str">
        <f t="shared" si="0"/>
        <v>절단가공T2.3ST'LM</v>
      </c>
      <c r="B18" s="696" t="s">
        <v>5262</v>
      </c>
      <c r="C18" s="697" t="str">
        <f>VLOOKUP($B:$B,[140]일위대가!$A:$K,2,FALSE)</f>
        <v>절단가공</v>
      </c>
      <c r="D18" s="697" t="str">
        <f>IF(VLOOKUP(B:B,[140]일위대가!A:K,3,FALSE)="","",VLOOKUP(B:B,[140]일위대가!A:K,3,FALSE))</f>
        <v>T2.3 ST'L</v>
      </c>
      <c r="E18" s="698" t="str">
        <f>VLOOKUP($B:$B,[140]일위대가!$A:$K,5,FALSE)</f>
        <v>M</v>
      </c>
      <c r="F18" s="697">
        <f>VLOOKUP($B:$B,[140]일위대가!$D:$K,5,FALSE)</f>
        <v>0</v>
      </c>
      <c r="G18" s="697">
        <f>'일위대가 (진열장)'!J94</f>
        <v>2562</v>
      </c>
      <c r="H18" s="697">
        <f t="shared" si="1"/>
        <v>2562</v>
      </c>
      <c r="I18" s="699"/>
    </row>
    <row r="19" spans="1:9" s="688" customFormat="1" ht="27.4" customHeight="1">
      <c r="A19" s="695" t="str">
        <f t="shared" si="0"/>
        <v>절단가공T3.2ST'LM</v>
      </c>
      <c r="B19" s="696" t="s">
        <v>5263</v>
      </c>
      <c r="C19" s="697" t="str">
        <f>VLOOKUP($B:$B,[140]일위대가!$A:$K,2,FALSE)</f>
        <v>절단가공</v>
      </c>
      <c r="D19" s="697" t="str">
        <f>IF(VLOOKUP(B:B,[140]일위대가!A:K,3,FALSE)="","",VLOOKUP(B:B,[140]일위대가!A:K,3,FALSE))</f>
        <v>T3.2 ST'L</v>
      </c>
      <c r="E19" s="698" t="str">
        <f>VLOOKUP($B:$B,[140]일위대가!$A:$K,5,FALSE)</f>
        <v>M</v>
      </c>
      <c r="F19" s="697">
        <f>VLOOKUP($B:$B,[140]일위대가!$D:$K,5,FALSE)</f>
        <v>0</v>
      </c>
      <c r="G19" s="697">
        <f>'일위대가 (진열장)'!J97</f>
        <v>3074</v>
      </c>
      <c r="H19" s="697">
        <f t="shared" si="1"/>
        <v>3074</v>
      </c>
      <c r="I19" s="699"/>
    </row>
    <row r="20" spans="1:9" s="688" customFormat="1" ht="27.4" customHeight="1">
      <c r="A20" s="695" t="str">
        <f t="shared" si="0"/>
        <v>절단가공T4.0ST'LM</v>
      </c>
      <c r="B20" s="696" t="s">
        <v>5264</v>
      </c>
      <c r="C20" s="697" t="str">
        <f>VLOOKUP($B:$B,[140]일위대가!$A:$K,2,FALSE)</f>
        <v>절단가공</v>
      </c>
      <c r="D20" s="697" t="str">
        <f>IF(VLOOKUP(B:B,[140]일위대가!A:K,3,FALSE)="","",VLOOKUP(B:B,[140]일위대가!A:K,3,FALSE))</f>
        <v>T4.0 ST'L</v>
      </c>
      <c r="E20" s="698" t="str">
        <f>VLOOKUP($B:$B,[140]일위대가!$A:$K,5,FALSE)</f>
        <v>M</v>
      </c>
      <c r="F20" s="697">
        <f>VLOOKUP($B:$B,[140]일위대가!$D:$K,5,FALSE)</f>
        <v>0</v>
      </c>
      <c r="G20" s="697">
        <f>'일위대가 (진열장)'!J100</f>
        <v>3416</v>
      </c>
      <c r="H20" s="697">
        <f t="shared" si="1"/>
        <v>3416</v>
      </c>
      <c r="I20" s="699"/>
    </row>
    <row r="21" spans="1:9" s="688" customFormat="1" ht="27.4" customHeight="1">
      <c r="A21" s="695" t="str">
        <f t="shared" si="0"/>
        <v>절단가공T5.0ST'LM</v>
      </c>
      <c r="B21" s="696" t="s">
        <v>5265</v>
      </c>
      <c r="C21" s="697" t="str">
        <f>VLOOKUP($B:$B,[140]일위대가!$A:$K,2,FALSE)</f>
        <v>절단가공</v>
      </c>
      <c r="D21" s="697" t="str">
        <f>IF(VLOOKUP(B:B,[140]일위대가!A:K,3,FALSE)="","",VLOOKUP(B:B,[140]일위대가!A:K,3,FALSE))</f>
        <v>T5.0 ST'L</v>
      </c>
      <c r="E21" s="698" t="str">
        <f>VLOOKUP($B:$B,[140]일위대가!$A:$K,5,FALSE)</f>
        <v>M</v>
      </c>
      <c r="F21" s="697">
        <f>VLOOKUP($B:$B,[140]일위대가!$D:$K,5,FALSE)</f>
        <v>0</v>
      </c>
      <c r="G21" s="697">
        <f>'일위대가 (진열장)'!J103</f>
        <v>3757</v>
      </c>
      <c r="H21" s="697">
        <f t="shared" si="1"/>
        <v>3757</v>
      </c>
      <c r="I21" s="699"/>
    </row>
    <row r="22" spans="1:9" s="688" customFormat="1" ht="27.4" customHeight="1">
      <c r="A22" s="695" t="str">
        <f t="shared" si="0"/>
        <v>절단가공T8.0ST'LM</v>
      </c>
      <c r="B22" s="696" t="s">
        <v>5266</v>
      </c>
      <c r="C22" s="697" t="str">
        <f>VLOOKUP($B:$B,[140]일위대가!$A:$K,2,FALSE)</f>
        <v>절단가공</v>
      </c>
      <c r="D22" s="697" t="str">
        <f>IF(VLOOKUP(B:B,[140]일위대가!A:K,3,FALSE)="","",VLOOKUP(B:B,[140]일위대가!A:K,3,FALSE))</f>
        <v>T8.0 ST'L</v>
      </c>
      <c r="E22" s="698" t="str">
        <f>VLOOKUP($B:$B,[140]일위대가!$A:$K,5,FALSE)</f>
        <v>M</v>
      </c>
      <c r="F22" s="697">
        <f>VLOOKUP($B:$B,[140]일위대가!$D:$K,5,FALSE)</f>
        <v>0</v>
      </c>
      <c r="G22" s="697">
        <f>'일위대가 (진열장)'!J106</f>
        <v>4099</v>
      </c>
      <c r="H22" s="697">
        <f t="shared" si="1"/>
        <v>4099</v>
      </c>
      <c r="I22" s="699"/>
    </row>
    <row r="23" spans="1:9" s="688" customFormat="1" ht="27.4" customHeight="1">
      <c r="A23" s="695" t="str">
        <f t="shared" si="0"/>
        <v>절단가공T1.2SST'L.M</v>
      </c>
      <c r="B23" s="696" t="s">
        <v>5267</v>
      </c>
      <c r="C23" s="697" t="str">
        <f>VLOOKUP($B:$B,[140]일위대가!$A:$K,2,FALSE)</f>
        <v>절단가공</v>
      </c>
      <c r="D23" s="697" t="str">
        <f>IF(VLOOKUP(B:B,[140]일위대가!A:K,3,FALSE)="","",VLOOKUP(B:B,[140]일위대가!A:K,3,FALSE))</f>
        <v>T1.2 S ST'L.</v>
      </c>
      <c r="E23" s="698" t="str">
        <f>VLOOKUP($B:$B,[140]일위대가!$A:$K,5,FALSE)</f>
        <v>M</v>
      </c>
      <c r="F23" s="697">
        <f>VLOOKUP($B:$B,[140]일위대가!$D:$K,5,FALSE)</f>
        <v>0</v>
      </c>
      <c r="G23" s="697">
        <f>'일위대가 (진열장)'!J109</f>
        <v>3416</v>
      </c>
      <c r="H23" s="697">
        <f t="shared" si="1"/>
        <v>3416</v>
      </c>
      <c r="I23" s="699"/>
    </row>
    <row r="24" spans="1:9" s="688" customFormat="1" ht="27.4" customHeight="1">
      <c r="A24" s="695" t="str">
        <f t="shared" si="0"/>
        <v>프레나가공T1.2GALV.M</v>
      </c>
      <c r="B24" s="696" t="s">
        <v>5268</v>
      </c>
      <c r="C24" s="697" t="str">
        <f>VLOOKUP($B:$B,[140]일위대가!$A:$K,2,FALSE)</f>
        <v>프레나가공</v>
      </c>
      <c r="D24" s="697" t="str">
        <f>IF(VLOOKUP(B:B,[140]일위대가!A:K,3,FALSE)="","",VLOOKUP(B:B,[140]일위대가!A:K,3,FALSE))</f>
        <v>T1.2 GALV.</v>
      </c>
      <c r="E24" s="698" t="str">
        <f>VLOOKUP($B:$B,[140]일위대가!$A:$K,5,FALSE)</f>
        <v>M</v>
      </c>
      <c r="F24" s="697">
        <f>VLOOKUP($B:$B,[140]일위대가!$D:$K,5,FALSE)</f>
        <v>0</v>
      </c>
      <c r="G24" s="697">
        <f>'일위대가 (진열장)'!J116</f>
        <v>1831</v>
      </c>
      <c r="H24" s="697">
        <f t="shared" si="1"/>
        <v>1831</v>
      </c>
      <c r="I24" s="699"/>
    </row>
    <row r="25" spans="1:9" s="688" customFormat="1" ht="27.4" customHeight="1">
      <c r="A25" s="695" t="str">
        <f t="shared" si="0"/>
        <v>프레나가공T1.6GALV.M</v>
      </c>
      <c r="B25" s="696" t="s">
        <v>5269</v>
      </c>
      <c r="C25" s="697" t="str">
        <f>VLOOKUP($B:$B,[140]일위대가!$A:$K,2,FALSE)</f>
        <v>프레나가공</v>
      </c>
      <c r="D25" s="697" t="str">
        <f>IF(VLOOKUP(B:B,[140]일위대가!A:K,3,FALSE)="","",VLOOKUP(B:B,[140]일위대가!A:K,3,FALSE))</f>
        <v>T1.6 GALV.</v>
      </c>
      <c r="E25" s="698" t="str">
        <f>VLOOKUP($B:$B,[140]일위대가!$A:$K,5,FALSE)</f>
        <v>M</v>
      </c>
      <c r="F25" s="697">
        <f>VLOOKUP($B:$B,[140]일위대가!$D:$K,5,FALSE)</f>
        <v>0</v>
      </c>
      <c r="G25" s="697">
        <f>'일위대가 (진열장)'!J123</f>
        <v>2197</v>
      </c>
      <c r="H25" s="697">
        <f t="shared" si="1"/>
        <v>2197</v>
      </c>
      <c r="I25" s="699"/>
    </row>
    <row r="26" spans="1:9" s="688" customFormat="1" ht="27.4" customHeight="1">
      <c r="A26" s="695" t="str">
        <f t="shared" si="0"/>
        <v>프레나가공T2.0ST'LM</v>
      </c>
      <c r="B26" s="696" t="s">
        <v>5270</v>
      </c>
      <c r="C26" s="697" t="str">
        <f>VLOOKUP($B:$B,[140]일위대가!$A:$K,2,FALSE)</f>
        <v>프레나가공</v>
      </c>
      <c r="D26" s="697" t="str">
        <f>IF(VLOOKUP(B:B,[140]일위대가!A:K,3,FALSE)="","",VLOOKUP(B:B,[140]일위대가!A:K,3,FALSE))</f>
        <v>T2.0 ST'L</v>
      </c>
      <c r="E26" s="698" t="str">
        <f>VLOOKUP($B:$B,[140]일위대가!$A:$K,5,FALSE)</f>
        <v>M</v>
      </c>
      <c r="F26" s="697">
        <f>VLOOKUP($B:$B,[140]일위대가!$D:$K,5,FALSE)</f>
        <v>0</v>
      </c>
      <c r="G26" s="697">
        <f>'일위대가 (진열장)'!J126</f>
        <v>2563</v>
      </c>
      <c r="H26" s="697">
        <f t="shared" si="1"/>
        <v>2563</v>
      </c>
      <c r="I26" s="699"/>
    </row>
    <row r="27" spans="1:9" s="688" customFormat="1" ht="27.4" customHeight="1">
      <c r="A27" s="695" t="str">
        <f t="shared" si="0"/>
        <v>프레나가공T2.3ST'LM</v>
      </c>
      <c r="B27" s="696" t="s">
        <v>5271</v>
      </c>
      <c r="C27" s="697" t="str">
        <f>VLOOKUP($B:$B,[140]일위대가!$A:$K,2,FALSE)</f>
        <v>프레나가공</v>
      </c>
      <c r="D27" s="697" t="str">
        <f>IF(VLOOKUP(B:B,[140]일위대가!A:K,3,FALSE)="","",VLOOKUP(B:B,[140]일위대가!A:K,3,FALSE))</f>
        <v>T2.3 ST'L</v>
      </c>
      <c r="E27" s="698" t="str">
        <f>VLOOKUP($B:$B,[140]일위대가!$A:$K,5,FALSE)</f>
        <v>M</v>
      </c>
      <c r="F27" s="697">
        <f>VLOOKUP($B:$B,[140]일위대가!$D:$K,5,FALSE)</f>
        <v>0</v>
      </c>
      <c r="G27" s="697">
        <f>'일위대가 (진열장)'!J129</f>
        <v>2746</v>
      </c>
      <c r="H27" s="697">
        <f t="shared" si="1"/>
        <v>2746</v>
      </c>
      <c r="I27" s="699"/>
    </row>
    <row r="28" spans="1:9" s="688" customFormat="1" ht="27.4" customHeight="1">
      <c r="A28" s="695" t="str">
        <f t="shared" si="0"/>
        <v>프레나가공T3.2ST'LM</v>
      </c>
      <c r="B28" s="696" t="s">
        <v>5272</v>
      </c>
      <c r="C28" s="697" t="str">
        <f>VLOOKUP($B:$B,[140]일위대가!$A:$K,2,FALSE)</f>
        <v>프레나가공</v>
      </c>
      <c r="D28" s="697" t="str">
        <f>IF(VLOOKUP(B:B,[140]일위대가!A:K,3,FALSE)="","",VLOOKUP(B:B,[140]일위대가!A:K,3,FALSE))</f>
        <v>T3.2 ST'L</v>
      </c>
      <c r="E28" s="698" t="str">
        <f>VLOOKUP($B:$B,[140]일위대가!$A:$K,5,FALSE)</f>
        <v>M</v>
      </c>
      <c r="F28" s="697">
        <f>VLOOKUP($B:$B,[140]일위대가!$D:$K,5,FALSE)</f>
        <v>0</v>
      </c>
      <c r="G28" s="697">
        <f>'일위대가 (진열장)'!J132</f>
        <v>3295</v>
      </c>
      <c r="H28" s="697">
        <f t="shared" si="1"/>
        <v>3295</v>
      </c>
      <c r="I28" s="699"/>
    </row>
    <row r="29" spans="1:9" s="688" customFormat="1" ht="27.4" customHeight="1">
      <c r="A29" s="695" t="str">
        <f t="shared" si="0"/>
        <v>프레나가공T4.0ST'LM</v>
      </c>
      <c r="B29" s="696" t="s">
        <v>5273</v>
      </c>
      <c r="C29" s="697" t="str">
        <f>VLOOKUP($B:$B,[140]일위대가!$A:$K,2,FALSE)</f>
        <v>프레나가공</v>
      </c>
      <c r="D29" s="697" t="str">
        <f>IF(VLOOKUP(B:B,[140]일위대가!A:K,3,FALSE)="","",VLOOKUP(B:B,[140]일위대가!A:K,3,FALSE))</f>
        <v>T4.0 ST'L</v>
      </c>
      <c r="E29" s="698" t="str">
        <f>VLOOKUP($B:$B,[140]일위대가!$A:$K,5,FALSE)</f>
        <v>M</v>
      </c>
      <c r="F29" s="697">
        <f>VLOOKUP($B:$B,[140]일위대가!$D:$K,5,FALSE)</f>
        <v>0</v>
      </c>
      <c r="G29" s="697">
        <f>'일위대가 (진열장)'!J135</f>
        <v>3662</v>
      </c>
      <c r="H29" s="697">
        <f t="shared" si="1"/>
        <v>3662</v>
      </c>
      <c r="I29" s="699"/>
    </row>
    <row r="30" spans="1:9" s="688" customFormat="1" ht="27.4" customHeight="1">
      <c r="A30" s="695" t="str">
        <f t="shared" si="0"/>
        <v>프레나가공T5.0ST'LM</v>
      </c>
      <c r="B30" s="696" t="s">
        <v>5274</v>
      </c>
      <c r="C30" s="697" t="str">
        <f>VLOOKUP($B:$B,[140]일위대가!$A:$K,2,FALSE)</f>
        <v>프레나가공</v>
      </c>
      <c r="D30" s="697" t="str">
        <f>IF(VLOOKUP(B:B,[140]일위대가!A:K,3,FALSE)="","",VLOOKUP(B:B,[140]일위대가!A:K,3,FALSE))</f>
        <v>T5.0 ST'L</v>
      </c>
      <c r="E30" s="698" t="str">
        <f>VLOOKUP($B:$B,[140]일위대가!$A:$K,5,FALSE)</f>
        <v>M</v>
      </c>
      <c r="F30" s="697">
        <f>VLOOKUP($B:$B,[140]일위대가!$D:$K,5,FALSE)</f>
        <v>0</v>
      </c>
      <c r="G30" s="697">
        <f>'일위대가 (진열장)'!J138</f>
        <v>4028</v>
      </c>
      <c r="H30" s="697">
        <f t="shared" si="1"/>
        <v>4028</v>
      </c>
      <c r="I30" s="699"/>
    </row>
    <row r="31" spans="1:9" s="688" customFormat="1" ht="27.4" customHeight="1">
      <c r="A31" s="695" t="str">
        <f t="shared" si="0"/>
        <v>프레나가공T8.0ST'LM</v>
      </c>
      <c r="B31" s="696" t="s">
        <v>5275</v>
      </c>
      <c r="C31" s="697" t="str">
        <f>VLOOKUP($B:$B,[140]일위대가!$A:$K,2,FALSE)</f>
        <v>프레나가공</v>
      </c>
      <c r="D31" s="697" t="str">
        <f>IF(VLOOKUP(B:B,[140]일위대가!A:K,3,FALSE)="","",VLOOKUP(B:B,[140]일위대가!A:K,3,FALSE))</f>
        <v>T8.0 ST'L</v>
      </c>
      <c r="E31" s="698" t="str">
        <f>VLOOKUP($B:$B,[140]일위대가!$A:$K,5,FALSE)</f>
        <v>M</v>
      </c>
      <c r="F31" s="697">
        <f>VLOOKUP($B:$B,[140]일위대가!$D:$K,5,FALSE)</f>
        <v>0</v>
      </c>
      <c r="G31" s="697">
        <f>'일위대가 (진열장)'!J141</f>
        <v>4394</v>
      </c>
      <c r="H31" s="697">
        <f t="shared" si="1"/>
        <v>4394</v>
      </c>
      <c r="I31" s="699"/>
    </row>
    <row r="32" spans="1:9" s="688" customFormat="1" ht="27.4" customHeight="1">
      <c r="A32" s="695" t="str">
        <f t="shared" si="0"/>
        <v>프레나가공T1.2SST'L.M</v>
      </c>
      <c r="B32" s="696" t="s">
        <v>5276</v>
      </c>
      <c r="C32" s="697" t="str">
        <f>VLOOKUP($B:$B,[140]일위대가!$A:$K,2,FALSE)</f>
        <v>프레나가공</v>
      </c>
      <c r="D32" s="697" t="str">
        <f>IF(VLOOKUP(B:B,[140]일위대가!A:K,3,FALSE)="","",VLOOKUP(B:B,[140]일위대가!A:K,3,FALSE))</f>
        <v>T1.2 S ST'L.</v>
      </c>
      <c r="E32" s="698" t="str">
        <f>VLOOKUP($B:$B,[140]일위대가!$A:$K,5,FALSE)</f>
        <v>M</v>
      </c>
      <c r="F32" s="697">
        <f>VLOOKUP($B:$B,[140]일위대가!$D:$K,5,FALSE)</f>
        <v>0</v>
      </c>
      <c r="G32" s="697">
        <f>'일위대가 (진열장)'!J144</f>
        <v>3662</v>
      </c>
      <c r="H32" s="697">
        <f t="shared" si="1"/>
        <v>3662</v>
      </c>
      <c r="I32" s="699"/>
    </row>
    <row r="33" spans="1:9" s="688" customFormat="1" ht="27.4" customHeight="1">
      <c r="A33" s="695" t="str">
        <f t="shared" si="0"/>
        <v>절곡가공T1.2GALV.M</v>
      </c>
      <c r="B33" s="696" t="s">
        <v>5277</v>
      </c>
      <c r="C33" s="697" t="str">
        <f>VLOOKUP($B:$B,[140]일위대가!$A:$K,2,FALSE)</f>
        <v>절곡가공</v>
      </c>
      <c r="D33" s="697" t="str">
        <f>IF(VLOOKUP(B:B,[140]일위대가!A:K,3,FALSE)="","",VLOOKUP(B:B,[140]일위대가!A:K,3,FALSE))</f>
        <v>T1.2 GALV.</v>
      </c>
      <c r="E33" s="698" t="str">
        <f>VLOOKUP($B:$B,[140]일위대가!$A:$K,5,FALSE)</f>
        <v>M</v>
      </c>
      <c r="F33" s="697">
        <f>VLOOKUP($B:$B,[140]일위대가!$D:$K,5,FALSE)</f>
        <v>0</v>
      </c>
      <c r="G33" s="697">
        <f>'일위대가 (진열장)'!J151</f>
        <v>1679</v>
      </c>
      <c r="H33" s="697">
        <f t="shared" si="1"/>
        <v>1679</v>
      </c>
      <c r="I33" s="699"/>
    </row>
    <row r="34" spans="1:9" s="688" customFormat="1" ht="27.4" customHeight="1">
      <c r="A34" s="695" t="str">
        <f t="shared" si="0"/>
        <v>절곡가공T1.6GALV.M</v>
      </c>
      <c r="B34" s="696" t="s">
        <v>5278</v>
      </c>
      <c r="C34" s="697" t="str">
        <f>VLOOKUP($B:$B,[140]일위대가!$A:$K,2,FALSE)</f>
        <v>절곡가공</v>
      </c>
      <c r="D34" s="697" t="str">
        <f>IF(VLOOKUP(B:B,[140]일위대가!A:K,3,FALSE)="","",VLOOKUP(B:B,[140]일위대가!A:K,3,FALSE))</f>
        <v>T1.6 GALV.</v>
      </c>
      <c r="E34" s="698" t="str">
        <f>VLOOKUP($B:$B,[140]일위대가!$A:$K,5,FALSE)</f>
        <v>M</v>
      </c>
      <c r="F34" s="697">
        <f>VLOOKUP($B:$B,[140]일위대가!$D:$K,5,FALSE)</f>
        <v>0</v>
      </c>
      <c r="G34" s="697">
        <f>'일위대가 (진열장)'!J158</f>
        <v>2014</v>
      </c>
      <c r="H34" s="697">
        <f t="shared" si="1"/>
        <v>2014</v>
      </c>
      <c r="I34" s="699"/>
    </row>
    <row r="35" spans="1:9" s="688" customFormat="1" ht="27.4" customHeight="1">
      <c r="A35" s="695" t="str">
        <f t="shared" si="0"/>
        <v>절곡가공T2.0ST'LM</v>
      </c>
      <c r="B35" s="696" t="s">
        <v>5279</v>
      </c>
      <c r="C35" s="697" t="str">
        <f>VLOOKUP($B:$B,[140]일위대가!$A:$K,2,FALSE)</f>
        <v>절곡가공</v>
      </c>
      <c r="D35" s="697" t="str">
        <f>IF(VLOOKUP(B:B,[140]일위대가!A:K,3,FALSE)="","",VLOOKUP(B:B,[140]일위대가!A:K,3,FALSE))</f>
        <v>T2.0 ST'L</v>
      </c>
      <c r="E35" s="698" t="str">
        <f>VLOOKUP($B:$B,[140]일위대가!$A:$K,5,FALSE)</f>
        <v>M</v>
      </c>
      <c r="F35" s="697">
        <f>VLOOKUP($B:$B,[140]일위대가!$D:$K,5,FALSE)</f>
        <v>0</v>
      </c>
      <c r="G35" s="697">
        <f>'일위대가 (진열장)'!J161</f>
        <v>2350</v>
      </c>
      <c r="H35" s="697">
        <f t="shared" si="1"/>
        <v>2350</v>
      </c>
      <c r="I35" s="699"/>
    </row>
    <row r="36" spans="1:9" s="688" customFormat="1" ht="27.4" customHeight="1">
      <c r="A36" s="695" t="str">
        <f t="shared" si="0"/>
        <v>절곡가공T2.3ST'LM</v>
      </c>
      <c r="B36" s="696" t="s">
        <v>5280</v>
      </c>
      <c r="C36" s="697" t="str">
        <f>VLOOKUP($B:$B,[140]일위대가!$A:$K,2,FALSE)</f>
        <v>절곡가공</v>
      </c>
      <c r="D36" s="697" t="str">
        <f>IF(VLOOKUP(B:B,[140]일위대가!A:K,3,FALSE)="","",VLOOKUP(B:B,[140]일위대가!A:K,3,FALSE))</f>
        <v>T2.3 ST'L</v>
      </c>
      <c r="E36" s="698" t="str">
        <f>VLOOKUP($B:$B,[140]일위대가!$A:$K,5,FALSE)</f>
        <v>M</v>
      </c>
      <c r="F36" s="697">
        <f>VLOOKUP($B:$B,[140]일위대가!$D:$K,5,FALSE)</f>
        <v>0</v>
      </c>
      <c r="G36" s="697">
        <f>'일위대가 (진열장)'!J164</f>
        <v>2518</v>
      </c>
      <c r="H36" s="697">
        <f t="shared" si="1"/>
        <v>2518</v>
      </c>
      <c r="I36" s="699"/>
    </row>
    <row r="37" spans="1:9" s="688" customFormat="1" ht="27.4" customHeight="1">
      <c r="A37" s="695" t="str">
        <f t="shared" si="0"/>
        <v>절곡가공T3.2ST'LM</v>
      </c>
      <c r="B37" s="696" t="s">
        <v>5281</v>
      </c>
      <c r="C37" s="697" t="str">
        <f>VLOOKUP($B:$B,[140]일위대가!$A:$K,2,FALSE)</f>
        <v>절곡가공</v>
      </c>
      <c r="D37" s="697" t="str">
        <f>IF(VLOOKUP(B:B,[140]일위대가!A:K,3,FALSE)="","",VLOOKUP(B:B,[140]일위대가!A:K,3,FALSE))</f>
        <v>T3.2 ST'L</v>
      </c>
      <c r="E37" s="698" t="str">
        <f>VLOOKUP($B:$B,[140]일위대가!$A:$K,5,FALSE)</f>
        <v>M</v>
      </c>
      <c r="F37" s="697">
        <f>VLOOKUP($B:$B,[140]일위대가!$D:$K,5,FALSE)</f>
        <v>0</v>
      </c>
      <c r="G37" s="697">
        <f>'일위대가 (진열장)'!J167</f>
        <v>3022</v>
      </c>
      <c r="H37" s="697">
        <f t="shared" si="1"/>
        <v>3022</v>
      </c>
      <c r="I37" s="699"/>
    </row>
    <row r="38" spans="1:9" s="688" customFormat="1" ht="27.4" customHeight="1">
      <c r="A38" s="695" t="str">
        <f t="shared" si="0"/>
        <v>절곡가공T4.0ST'LM</v>
      </c>
      <c r="B38" s="696" t="s">
        <v>5282</v>
      </c>
      <c r="C38" s="697" t="str">
        <f>VLOOKUP($B:$B,[140]일위대가!$A:$K,2,FALSE)</f>
        <v>절곡가공</v>
      </c>
      <c r="D38" s="697" t="str">
        <f>IF(VLOOKUP(B:B,[140]일위대가!A:K,3,FALSE)="","",VLOOKUP(B:B,[140]일위대가!A:K,3,FALSE))</f>
        <v>T4.0 ST'L</v>
      </c>
      <c r="E38" s="698" t="str">
        <f>VLOOKUP($B:$B,[140]일위대가!$A:$K,5,FALSE)</f>
        <v>M</v>
      </c>
      <c r="F38" s="697">
        <f>VLOOKUP($B:$B,[140]일위대가!$D:$K,5,FALSE)</f>
        <v>0</v>
      </c>
      <c r="G38" s="697">
        <f>'일위대가 (진열장)'!J170</f>
        <v>3358</v>
      </c>
      <c r="H38" s="697">
        <f t="shared" si="1"/>
        <v>3358</v>
      </c>
      <c r="I38" s="699"/>
    </row>
    <row r="39" spans="1:9" s="688" customFormat="1" ht="27.4" customHeight="1">
      <c r="A39" s="695" t="str">
        <f t="shared" si="0"/>
        <v>절곡가공T5.0ST'LM</v>
      </c>
      <c r="B39" s="696" t="s">
        <v>5283</v>
      </c>
      <c r="C39" s="697" t="str">
        <f>VLOOKUP($B:$B,[140]일위대가!$A:$K,2,FALSE)</f>
        <v>절곡가공</v>
      </c>
      <c r="D39" s="697" t="str">
        <f>IF(VLOOKUP(B:B,[140]일위대가!A:K,3,FALSE)="","",VLOOKUP(B:B,[140]일위대가!A:K,3,FALSE))</f>
        <v>T5.0 ST'L</v>
      </c>
      <c r="E39" s="698" t="str">
        <f>VLOOKUP($B:$B,[140]일위대가!$A:$K,5,FALSE)</f>
        <v>M</v>
      </c>
      <c r="F39" s="697">
        <f>VLOOKUP($B:$B,[140]일위대가!$D:$K,5,FALSE)</f>
        <v>0</v>
      </c>
      <c r="G39" s="697">
        <f>'일위대가 (진열장)'!J173</f>
        <v>3693</v>
      </c>
      <c r="H39" s="697">
        <f t="shared" si="1"/>
        <v>3693</v>
      </c>
      <c r="I39" s="699"/>
    </row>
    <row r="40" spans="1:9" s="688" customFormat="1" ht="27.4" customHeight="1">
      <c r="A40" s="695" t="str">
        <f t="shared" si="0"/>
        <v>절곡가공T8.0ST'LM</v>
      </c>
      <c r="B40" s="696" t="s">
        <v>5284</v>
      </c>
      <c r="C40" s="697" t="str">
        <f>VLOOKUP($B:$B,[140]일위대가!$A:$K,2,FALSE)</f>
        <v>절곡가공</v>
      </c>
      <c r="D40" s="697" t="str">
        <f>IF(VLOOKUP(B:B,[140]일위대가!A:K,3,FALSE)="","",VLOOKUP(B:B,[140]일위대가!A:K,3,FALSE))</f>
        <v>T8.0 ST'L</v>
      </c>
      <c r="E40" s="698" t="str">
        <f>VLOOKUP($B:$B,[140]일위대가!$A:$K,5,FALSE)</f>
        <v>M</v>
      </c>
      <c r="F40" s="697">
        <f>VLOOKUP($B:$B,[140]일위대가!$D:$K,5,FALSE)</f>
        <v>0</v>
      </c>
      <c r="G40" s="697">
        <f>'일위대가 (진열장)'!J176</f>
        <v>4029</v>
      </c>
      <c r="H40" s="697">
        <f t="shared" si="1"/>
        <v>4029</v>
      </c>
      <c r="I40" s="699"/>
    </row>
    <row r="41" spans="1:9" s="688" customFormat="1" ht="27.4" customHeight="1">
      <c r="A41" s="695" t="str">
        <f t="shared" si="0"/>
        <v>절곡가공T1.2SST'L.M</v>
      </c>
      <c r="B41" s="696" t="s">
        <v>5285</v>
      </c>
      <c r="C41" s="697" t="str">
        <f>VLOOKUP($B:$B,[140]일위대가!$A:$K,2,FALSE)</f>
        <v>절곡가공</v>
      </c>
      <c r="D41" s="697" t="str">
        <f>IF(VLOOKUP(B:B,[140]일위대가!A:K,3,FALSE)="","",VLOOKUP(B:B,[140]일위대가!A:K,3,FALSE))</f>
        <v>T1.2 S ST'L.</v>
      </c>
      <c r="E41" s="698" t="str">
        <f>VLOOKUP($B:$B,[140]일위대가!$A:$K,5,FALSE)</f>
        <v>M</v>
      </c>
      <c r="F41" s="697">
        <f>VLOOKUP($B:$B,[140]일위대가!$D:$K,5,FALSE)</f>
        <v>0</v>
      </c>
      <c r="G41" s="697">
        <f>'일위대가 (진열장)'!J179</f>
        <v>3358</v>
      </c>
      <c r="H41" s="697">
        <f t="shared" si="1"/>
        <v>3358</v>
      </c>
      <c r="I41" s="699"/>
    </row>
    <row r="42" spans="1:9" s="688" customFormat="1" ht="27.4" customHeight="1">
      <c r="A42" s="695" t="str">
        <f t="shared" si="0"/>
        <v>절단가공,용접제작M</v>
      </c>
      <c r="B42" s="696" t="s">
        <v>5286</v>
      </c>
      <c r="C42" s="697" t="str">
        <f>VLOOKUP($B:$B,[140]일위대가!$A:$K,2,FALSE)</f>
        <v>절단가공,용접제작</v>
      </c>
      <c r="D42" s="697" t="str">
        <f>IF(VLOOKUP(B:B,[140]일위대가!A:K,3,FALSE)="","",VLOOKUP(B:B,[140]일위대가!A:K,3,FALSE))</f>
        <v/>
      </c>
      <c r="E42" s="698" t="str">
        <f>VLOOKUP($B:$B,[140]일위대가!$A:$K,5,FALSE)</f>
        <v>M</v>
      </c>
      <c r="F42" s="697">
        <f>'일위대가 (진열장)'!H189</f>
        <v>30</v>
      </c>
      <c r="G42" s="697">
        <f>'일위대가 (진열장)'!J189</f>
        <v>2160</v>
      </c>
      <c r="H42" s="697">
        <f>F42+G42</f>
        <v>2190</v>
      </c>
      <c r="I42" s="699"/>
    </row>
    <row r="43" spans="1:9" s="688" customFormat="1" ht="27.4" customHeight="1">
      <c r="A43" s="695" t="str">
        <f t="shared" si="0"/>
        <v>우레탄칼라락카도장철재면기준M2</v>
      </c>
      <c r="B43" s="696" t="s">
        <v>5287</v>
      </c>
      <c r="C43" s="697" t="str">
        <f>VLOOKUP($B:$B,[140]일위대가!$A:$K,2,FALSE)</f>
        <v>우레탄칼라락카도장</v>
      </c>
      <c r="D43" s="697" t="str">
        <f>IF(VLOOKUP(B:B,[140]일위대가!A:K,3,FALSE)="","",VLOOKUP(B:B,[140]일위대가!A:K,3,FALSE))</f>
        <v>철재면기준</v>
      </c>
      <c r="E43" s="698" t="str">
        <f>VLOOKUP($B:$B,[140]일위대가!$A:$K,5,FALSE)</f>
        <v>M2</v>
      </c>
      <c r="F43" s="697">
        <f>'일위대가 (진열장)'!H208</f>
        <v>16103</v>
      </c>
      <c r="G43" s="697">
        <f>'일위대가 (진열장)'!J208</f>
        <v>22265</v>
      </c>
      <c r="H43" s="697">
        <f>F43+G43</f>
        <v>38368</v>
      </c>
      <c r="I43" s="699"/>
    </row>
    <row r="44" spans="1:9" s="688" customFormat="1" ht="27.4" customHeight="1">
      <c r="A44" s="695" t="str">
        <f t="shared" si="0"/>
        <v>바탕처리철재면기준M2</v>
      </c>
      <c r="B44" s="696" t="s">
        <v>5288</v>
      </c>
      <c r="C44" s="697" t="str">
        <f>VLOOKUP($B:$B,[140]일위대가!$A:$K,2,FALSE)</f>
        <v>바탕처리</v>
      </c>
      <c r="D44" s="697" t="str">
        <f>IF(VLOOKUP(B:B,[140]일위대가!A:K,3,FALSE)="","",VLOOKUP(B:B,[140]일위대가!A:K,3,FALSE))</f>
        <v>철재면기준</v>
      </c>
      <c r="E44" s="698" t="str">
        <f>VLOOKUP($B:$B,[140]일위대가!$A:$K,5,FALSE)</f>
        <v>M2</v>
      </c>
      <c r="F44" s="697">
        <f>'일위대가 (진열장)'!H217</f>
        <v>4891</v>
      </c>
      <c r="G44" s="697">
        <f>'일위대가 (진열장)'!J217</f>
        <v>15314</v>
      </c>
      <c r="H44" s="697">
        <f>F44+G44</f>
        <v>20205</v>
      </c>
      <c r="I44" s="699"/>
    </row>
    <row r="45" spans="1:9" s="688" customFormat="1" ht="27.4" customHeight="1">
      <c r="A45" s="695" t="str">
        <f t="shared" si="0"/>
        <v>방청페인트M2</v>
      </c>
      <c r="B45" s="696" t="s">
        <v>5289</v>
      </c>
      <c r="C45" s="697" t="str">
        <f>VLOOKUP($B:$B,[140]일위대가!$A:$K,2,FALSE)</f>
        <v>방청페인트</v>
      </c>
      <c r="D45" s="697" t="str">
        <f>IF(VLOOKUP(B:B,[140]일위대가!A:K,3,FALSE)="","",VLOOKUP(B:B,[140]일위대가!A:K,3,FALSE))</f>
        <v/>
      </c>
      <c r="E45" s="698" t="str">
        <f>VLOOKUP($B:$B,[140]일위대가!$A:$K,5,FALSE)</f>
        <v>M2</v>
      </c>
      <c r="F45" s="697">
        <f>'일위대가 (진열장)'!H230</f>
        <v>1577</v>
      </c>
      <c r="G45" s="697">
        <f>'일위대가 (진열장)'!J230</f>
        <v>6287</v>
      </c>
      <c r="H45" s="697">
        <f t="shared" ref="H45:H108" si="2">F45+G45</f>
        <v>7864</v>
      </c>
      <c r="I45" s="699"/>
    </row>
    <row r="46" spans="1:9" s="688" customFormat="1" ht="27.4" customHeight="1">
      <c r="A46" s="695" t="str">
        <f t="shared" si="0"/>
        <v>합판취부T11.5mm2PLYM2</v>
      </c>
      <c r="B46" s="696" t="s">
        <v>5290</v>
      </c>
      <c r="C46" s="697" t="str">
        <f>VLOOKUP($B:$B,[140]일위대가!$A:$K,2,FALSE)</f>
        <v>합판취부</v>
      </c>
      <c r="D46" s="697" t="str">
        <f>IF(VLOOKUP(B:B,[140]일위대가!A:K,3,FALSE)="","",VLOOKUP(B:B,[140]일위대가!A:K,3,FALSE))</f>
        <v>T11.5mm 2PLY</v>
      </c>
      <c r="E46" s="698" t="str">
        <f>VLOOKUP($B:$B,[140]일위대가!$A:$K,5,FALSE)</f>
        <v>M2</v>
      </c>
      <c r="F46" s="697">
        <f>'일위대가 (진열장)'!H241</f>
        <v>19751</v>
      </c>
      <c r="G46" s="697">
        <f>'일위대가 (진열장)'!J241</f>
        <v>35580</v>
      </c>
      <c r="H46" s="697">
        <f t="shared" si="2"/>
        <v>55331</v>
      </c>
      <c r="I46" s="699"/>
    </row>
    <row r="47" spans="1:9" s="688" customFormat="1" ht="27.4" customHeight="1">
      <c r="A47" s="695" t="str">
        <f t="shared" si="0"/>
        <v>합판취부T8.5mm1PLYM2</v>
      </c>
      <c r="B47" s="696" t="s">
        <v>5291</v>
      </c>
      <c r="C47" s="697" t="str">
        <f>VLOOKUP($B:$B,[140]일위대가!$A:$K,2,FALSE)</f>
        <v>합판취부</v>
      </c>
      <c r="D47" s="697" t="str">
        <f>IF(VLOOKUP(B:B,[140]일위대가!A:K,3,FALSE)="","",VLOOKUP(B:B,[140]일위대가!A:K,3,FALSE))</f>
        <v>T8.5mm 1PLY</v>
      </c>
      <c r="E47" s="698" t="str">
        <f>VLOOKUP($B:$B,[140]일위대가!$A:$K,5,FALSE)</f>
        <v>M2</v>
      </c>
      <c r="F47" s="697">
        <f>'일위대가 (진열장)'!H251</f>
        <v>8361</v>
      </c>
      <c r="G47" s="697">
        <f>'일위대가 (진열장)'!J251</f>
        <v>54043</v>
      </c>
      <c r="H47" s="697">
        <f>F47+G47</f>
        <v>62404</v>
      </c>
      <c r="I47" s="699"/>
    </row>
    <row r="48" spans="1:9" s="688" customFormat="1" ht="27.4" customHeight="1">
      <c r="A48" s="695" t="str">
        <f t="shared" si="0"/>
        <v>코킹M</v>
      </c>
      <c r="B48" s="696" t="s">
        <v>5292</v>
      </c>
      <c r="C48" s="697" t="str">
        <f>VLOOKUP($B:$B,[140]일위대가!$A:$K,2,FALSE)</f>
        <v>코킹</v>
      </c>
      <c r="D48" s="697" t="str">
        <f>IF(VLOOKUP(B:B,[140]일위대가!A:K,3,FALSE)="","",VLOOKUP(B:B,[140]일위대가!A:K,3,FALSE))</f>
        <v/>
      </c>
      <c r="E48" s="698" t="str">
        <f>VLOOKUP($B:$B,[140]일위대가!$A:$K,5,FALSE)</f>
        <v>M</v>
      </c>
      <c r="F48" s="697">
        <f>'일위대가 (진열장)'!H259</f>
        <v>880</v>
      </c>
      <c r="G48" s="697">
        <f>'일위대가 (진열장)'!J259</f>
        <v>6064</v>
      </c>
      <c r="H48" s="697">
        <f t="shared" si="2"/>
        <v>6944</v>
      </c>
      <c r="I48" s="699"/>
    </row>
    <row r="49" spans="1:9" s="688" customFormat="1" ht="27.4" customHeight="1">
      <c r="A49" s="695" t="str">
        <f t="shared" si="0"/>
        <v>각파이프(방청)40*40*1.4TM</v>
      </c>
      <c r="B49" s="696" t="s">
        <v>5293</v>
      </c>
      <c r="C49" s="697" t="str">
        <f>VLOOKUP($B:$B,[140]일위대가!$A:$K,2,FALSE)</f>
        <v>각파이프(방청)</v>
      </c>
      <c r="D49" s="697" t="str">
        <f>IF(VLOOKUP(B:B,[140]일위대가!A:K,3,FALSE)="","",VLOOKUP(B:B,[140]일위대가!A:K,3,FALSE))</f>
        <v>40*40*1.4T</v>
      </c>
      <c r="E49" s="698" t="str">
        <f>VLOOKUP($B:$B,[140]일위대가!$A:$K,5,FALSE)</f>
        <v>M</v>
      </c>
      <c r="F49" s="697">
        <f>'일위대가 (진열장)'!H267</f>
        <v>7195</v>
      </c>
      <c r="G49" s="697">
        <f>'일위대가 (진열장)'!J267</f>
        <v>13416</v>
      </c>
      <c r="H49" s="697">
        <f t="shared" si="2"/>
        <v>20611</v>
      </c>
      <c r="I49" s="699"/>
    </row>
    <row r="50" spans="1:9" s="688" customFormat="1" ht="27.4" customHeight="1">
      <c r="A50" s="695" t="str">
        <f t="shared" si="0"/>
        <v>각파이프(방청)50*50*1.4TM</v>
      </c>
      <c r="B50" s="696" t="s">
        <v>5294</v>
      </c>
      <c r="C50" s="697" t="str">
        <f>VLOOKUP($B:$B,[140]일위대가!$A:$K,2,FALSE)</f>
        <v>각파이프(방청)</v>
      </c>
      <c r="D50" s="697" t="str">
        <f>IF(VLOOKUP(B:B,[140]일위대가!A:K,3,FALSE)="","",VLOOKUP(B:B,[140]일위대가!A:K,3,FALSE))</f>
        <v>50*50*1.4T</v>
      </c>
      <c r="E50" s="698" t="str">
        <f>VLOOKUP($B:$B,[140]일위대가!$A:$K,5,FALSE)</f>
        <v>M</v>
      </c>
      <c r="F50" s="697">
        <f>'일위대가 (진열장)'!H275</f>
        <v>3111</v>
      </c>
      <c r="G50" s="697">
        <f>'일위대가 (진열장)'!J275</f>
        <v>16978</v>
      </c>
      <c r="H50" s="697">
        <f t="shared" si="2"/>
        <v>20089</v>
      </c>
      <c r="I50" s="699"/>
    </row>
    <row r="51" spans="1:9" s="688" customFormat="1" ht="27.4" customHeight="1">
      <c r="A51" s="695" t="str">
        <f t="shared" si="0"/>
        <v>각파이프(방청)100*50*2.3TM</v>
      </c>
      <c r="B51" s="696" t="s">
        <v>5295</v>
      </c>
      <c r="C51" s="697" t="str">
        <f>VLOOKUP($B:$B,[140]일위대가!$A:$K,2,FALSE)</f>
        <v>각파이프(방청)</v>
      </c>
      <c r="D51" s="697" t="str">
        <f>IF(VLOOKUP(B:B,[140]일위대가!A:K,3,FALSE)="","",VLOOKUP(B:B,[140]일위대가!A:K,3,FALSE))</f>
        <v>100*50*2.3T</v>
      </c>
      <c r="E51" s="698" t="str">
        <f>VLOOKUP($B:$B,[140]일위대가!$A:$K,5,FALSE)</f>
        <v>M</v>
      </c>
      <c r="F51" s="697">
        <f>'일위대가 (진열장)'!H283</f>
        <v>6799</v>
      </c>
      <c r="G51" s="697">
        <f>'일위대가 (진열장)'!J283</f>
        <v>41245</v>
      </c>
      <c r="H51" s="697">
        <f t="shared" si="2"/>
        <v>48044</v>
      </c>
      <c r="I51" s="699"/>
    </row>
    <row r="52" spans="1:9" s="688" customFormat="1" ht="27.4" customHeight="1">
      <c r="A52" s="695" t="str">
        <f t="shared" si="0"/>
        <v>각파이프(방청)30*30*1.4TM</v>
      </c>
      <c r="B52" s="696" t="s">
        <v>5296</v>
      </c>
      <c r="C52" s="697" t="str">
        <f>VLOOKUP($B:$B,[140]일위대가!$A:$K,2,FALSE)</f>
        <v>각파이프(방청)</v>
      </c>
      <c r="D52" s="697" t="str">
        <f>IF(VLOOKUP(B:B,[140]일위대가!A:K,3,FALSE)="","",VLOOKUP(B:B,[140]일위대가!A:K,3,FALSE))</f>
        <v>30*30*1.4T</v>
      </c>
      <c r="E52" s="698" t="str">
        <f>VLOOKUP($B:$B,[140]일위대가!$A:$K,5,FALSE)</f>
        <v>M</v>
      </c>
      <c r="F52" s="697">
        <f>'일위대가 (진열장)'!H291</f>
        <v>2391</v>
      </c>
      <c r="G52" s="697">
        <f>VLOOKUP($B:$B,[140]일위대가!$D:$K,7,FALSE)</f>
        <v>12131</v>
      </c>
      <c r="H52" s="697">
        <f t="shared" si="2"/>
        <v>14522</v>
      </c>
      <c r="I52" s="699"/>
    </row>
    <row r="53" spans="1:9" s="688" customFormat="1" ht="27.4" customHeight="1">
      <c r="A53" s="695" t="str">
        <f t="shared" si="0"/>
        <v>L-형강(방청)50*50*4TM</v>
      </c>
      <c r="B53" s="696" t="s">
        <v>5297</v>
      </c>
      <c r="C53" s="697" t="str">
        <f>VLOOKUP($B:$B,[140]일위대가!$A:$K,2,FALSE)</f>
        <v>L-형강(방청)</v>
      </c>
      <c r="D53" s="697" t="str">
        <f>IF(VLOOKUP(B:B,[140]일위대가!A:K,3,FALSE)="","",VLOOKUP(B:B,[140]일위대가!A:K,3,FALSE))</f>
        <v>50*50*4T</v>
      </c>
      <c r="E53" s="698" t="str">
        <f>VLOOKUP($B:$B,[140]일위대가!$A:$K,5,FALSE)</f>
        <v>M</v>
      </c>
      <c r="F53" s="697">
        <f>'일위대가 (진열장)'!H299</f>
        <v>4069</v>
      </c>
      <c r="G53" s="697">
        <f>'일위대가 (진열장)'!J299</f>
        <v>24580</v>
      </c>
      <c r="H53" s="697">
        <f t="shared" si="2"/>
        <v>28649</v>
      </c>
      <c r="I53" s="699"/>
    </row>
    <row r="54" spans="1:9" s="688" customFormat="1" ht="27.4" customHeight="1">
      <c r="A54" s="695" t="str">
        <f t="shared" si="0"/>
        <v>갈바후레임제작설치1.6TM2</v>
      </c>
      <c r="B54" s="696" t="s">
        <v>5298</v>
      </c>
      <c r="C54" s="697" t="str">
        <f>VLOOKUP($B:$B,[140]일위대가!$A:$K,2,FALSE)</f>
        <v>갈바후레임제작설치</v>
      </c>
      <c r="D54" s="697" t="str">
        <f>IF(VLOOKUP(B:B,[140]일위대가!A:K,3,FALSE)="","",VLOOKUP(B:B,[140]일위대가!A:K,3,FALSE))</f>
        <v>1.6T</v>
      </c>
      <c r="E54" s="698" t="str">
        <f>VLOOKUP($B:$B,[140]일위대가!$A:$K,5,FALSE)</f>
        <v>M2</v>
      </c>
      <c r="F54" s="697">
        <f>'일위대가 (진열장)'!H308</f>
        <v>16515</v>
      </c>
      <c r="G54" s="697">
        <f>'일위대가 (진열장)'!J308</f>
        <v>65362</v>
      </c>
      <c r="H54" s="697">
        <f t="shared" si="2"/>
        <v>81877</v>
      </c>
      <c r="I54" s="699"/>
    </row>
    <row r="55" spans="1:9" s="688" customFormat="1" ht="27.4" customHeight="1">
      <c r="A55" s="695" t="str">
        <f t="shared" si="0"/>
        <v>갈바후레임제작설치1.2TM2</v>
      </c>
      <c r="B55" s="696" t="s">
        <v>5299</v>
      </c>
      <c r="C55" s="697" t="str">
        <f>VLOOKUP($B:$B,[140]일위대가!$A:$K,2,FALSE)</f>
        <v>갈바후레임제작설치</v>
      </c>
      <c r="D55" s="697" t="str">
        <f>IF(VLOOKUP(B:B,[140]일위대가!A:K,3,FALSE)="","",VLOOKUP(B:B,[140]일위대가!A:K,3,FALSE))</f>
        <v>1.2T</v>
      </c>
      <c r="E55" s="698" t="str">
        <f>VLOOKUP($B:$B,[140]일위대가!$A:$K,5,FALSE)</f>
        <v>M2</v>
      </c>
      <c r="F55" s="697">
        <f>'일위대가 (진열장)'!H317</f>
        <v>11947</v>
      </c>
      <c r="G55" s="697">
        <f>'일위대가 (진열장)'!J317</f>
        <v>42289</v>
      </c>
      <c r="H55" s="697">
        <f t="shared" si="2"/>
        <v>54236</v>
      </c>
      <c r="I55" s="699"/>
    </row>
    <row r="56" spans="1:9" s="688" customFormat="1" ht="27.4" customHeight="1">
      <c r="A56" s="695" t="str">
        <f t="shared" si="0"/>
        <v>제품출하M</v>
      </c>
      <c r="B56" s="696" t="s">
        <v>5300</v>
      </c>
      <c r="C56" s="697" t="str">
        <f>VLOOKUP($B:$B,[140]일위대가!$A:$K,2,FALSE)</f>
        <v>제품출하</v>
      </c>
      <c r="D56" s="697" t="str">
        <f>IF(VLOOKUP(B:B,[140]일위대가!A:K,3,FALSE)="","",VLOOKUP(B:B,[140]일위대가!A:K,3,FALSE))</f>
        <v/>
      </c>
      <c r="E56" s="698" t="str">
        <f>VLOOKUP($B:$B,[140]일위대가!$A:$K,5,FALSE)</f>
        <v>M</v>
      </c>
      <c r="F56" s="697">
        <f>'일위대가 (진열장)'!H323</f>
        <v>0</v>
      </c>
      <c r="G56" s="697">
        <f>'일위대가 (진열장)'!J323</f>
        <v>720</v>
      </c>
      <c r="H56" s="697">
        <f t="shared" si="2"/>
        <v>720</v>
      </c>
      <c r="I56" s="699"/>
    </row>
    <row r="57" spans="1:9" s="688" customFormat="1" ht="27.4" customHeight="1">
      <c r="A57" s="695" t="str">
        <f t="shared" si="0"/>
        <v>그림걸이레일몰딩1.6TM</v>
      </c>
      <c r="B57" s="696" t="s">
        <v>5301</v>
      </c>
      <c r="C57" s="697" t="str">
        <f>VLOOKUP($B:$B,[140]일위대가!$A:$K,2,FALSE)</f>
        <v>그림걸이레일몰딩</v>
      </c>
      <c r="D57" s="697" t="str">
        <f>IF(VLOOKUP(B:B,[140]일위대가!A:K,3,FALSE)="","",VLOOKUP(B:B,[140]일위대가!A:K,3,FALSE))</f>
        <v>1.6T</v>
      </c>
      <c r="E57" s="698" t="str">
        <f>VLOOKUP($B:$B,[140]일위대가!$A:$K,5,FALSE)</f>
        <v>M</v>
      </c>
      <c r="F57" s="697">
        <f>'일위대가 (진열장)'!H331</f>
        <v>6673</v>
      </c>
      <c r="G57" s="697">
        <f>'일위대가 (진열장)'!J331</f>
        <v>16820</v>
      </c>
      <c r="H57" s="697">
        <f t="shared" si="2"/>
        <v>23493</v>
      </c>
      <c r="I57" s="699"/>
    </row>
    <row r="58" spans="1:9" s="688" customFormat="1" ht="27.4" customHeight="1">
      <c r="A58" s="695" t="str">
        <f t="shared" si="0"/>
        <v>바탕처리도배퍼티M2</v>
      </c>
      <c r="B58" s="696" t="s">
        <v>5302</v>
      </c>
      <c r="C58" s="697" t="str">
        <f>VLOOKUP($B:$B,[140]일위대가!$A:$K,2,FALSE)</f>
        <v>바탕처리</v>
      </c>
      <c r="D58" s="697" t="str">
        <f>IF(VLOOKUP(B:B,[140]일위대가!A:K,3,FALSE)="","",VLOOKUP(B:B,[140]일위대가!A:K,3,FALSE))</f>
        <v>도배퍼티</v>
      </c>
      <c r="E58" s="698" t="str">
        <f>VLOOKUP($B:$B,[140]일위대가!$A:$K,5,FALSE)</f>
        <v>M2</v>
      </c>
      <c r="F58" s="697">
        <f>'일위대가 (진열장)'!H342</f>
        <v>1160</v>
      </c>
      <c r="G58" s="697">
        <f>'일위대가 (진열장)'!J342</f>
        <v>7711</v>
      </c>
      <c r="H58" s="697">
        <f t="shared" si="2"/>
        <v>8871</v>
      </c>
      <c r="I58" s="699"/>
    </row>
    <row r="59" spans="1:9" s="688" customFormat="1" ht="27.4" customHeight="1">
      <c r="A59" s="695" t="str">
        <f t="shared" si="0"/>
        <v>내부도배세마직벽지M2</v>
      </c>
      <c r="B59" s="696" t="s">
        <v>5303</v>
      </c>
      <c r="C59" s="697" t="str">
        <f>VLOOKUP($B:$B,[140]일위대가!$A:$K,2,FALSE)</f>
        <v>내부도배</v>
      </c>
      <c r="D59" s="697" t="str">
        <f>IF(VLOOKUP(B:B,[140]일위대가!A:K,3,FALSE)="","",VLOOKUP(B:B,[140]일위대가!A:K,3,FALSE))</f>
        <v>세마직벽지</v>
      </c>
      <c r="E59" s="698" t="str">
        <f>VLOOKUP($B:$B,[140]일위대가!$A:$K,5,FALSE)</f>
        <v>M2</v>
      </c>
      <c r="F59" s="697">
        <f>'일위대가 (진열장)'!H352</f>
        <v>47152</v>
      </c>
      <c r="G59" s="697">
        <f>'일위대가 (진열장)'!J352</f>
        <v>5222</v>
      </c>
      <c r="H59" s="697">
        <f t="shared" si="2"/>
        <v>52374</v>
      </c>
      <c r="I59" s="699"/>
    </row>
    <row r="60" spans="1:9" s="688" customFormat="1" ht="27.4" customHeight="1">
      <c r="A60" s="695" t="str">
        <f t="shared" si="0"/>
        <v>코아합판취부T18mmM2</v>
      </c>
      <c r="B60" s="696" t="s">
        <v>5304</v>
      </c>
      <c r="C60" s="697" t="str">
        <f>VLOOKUP($B:$B,[140]일위대가!$A:$K,2,FALSE)</f>
        <v>코아합판취부</v>
      </c>
      <c r="D60" s="697" t="str">
        <f>IF(VLOOKUP(B:B,[140]일위대가!A:K,3,FALSE)="","",VLOOKUP(B:B,[140]일위대가!A:K,3,FALSE))</f>
        <v>T18mm</v>
      </c>
      <c r="E60" s="698" t="str">
        <f>VLOOKUP($B:$B,[140]일위대가!$A:$K,5,FALSE)</f>
        <v>M2</v>
      </c>
      <c r="F60" s="697">
        <f>'일위대가 (진열장)'!H362</f>
        <v>11597</v>
      </c>
      <c r="G60" s="697">
        <f>'일위대가 (진열장)'!J362</f>
        <v>19337</v>
      </c>
      <c r="H60" s="697">
        <f t="shared" si="2"/>
        <v>30934</v>
      </c>
      <c r="I60" s="699"/>
    </row>
    <row r="61" spans="1:9" s="688" customFormat="1" ht="27.4" customHeight="1">
      <c r="A61" s="695" t="str">
        <f t="shared" si="0"/>
        <v>저반사접합유리끼우기(투과율99%)T10.76mmM2</v>
      </c>
      <c r="B61" s="696" t="s">
        <v>5305</v>
      </c>
      <c r="C61" s="697" t="str">
        <f>VLOOKUP($B:$B,[140]일위대가!$A:$K,2,FALSE)</f>
        <v>저반사 접합유리 끼우기(투과율99%)</v>
      </c>
      <c r="D61" s="697" t="str">
        <f>IF(VLOOKUP(B:B,[140]일위대가!A:K,3,FALSE)="","",VLOOKUP(B:B,[140]일위대가!A:K,3,FALSE))</f>
        <v>T10.76mm</v>
      </c>
      <c r="E61" s="698" t="str">
        <f>VLOOKUP($B:$B,[140]일위대가!$A:$K,5,FALSE)</f>
        <v>M2</v>
      </c>
      <c r="F61" s="697">
        <f>'일위대가 (진열장)'!H372</f>
        <v>1575111</v>
      </c>
      <c r="G61" s="697">
        <f>'일위대가 (진열장)'!J372</f>
        <v>41070</v>
      </c>
      <c r="H61" s="697">
        <f t="shared" si="2"/>
        <v>1616181</v>
      </c>
      <c r="I61" s="699"/>
    </row>
    <row r="62" spans="1:9" s="688" customFormat="1" ht="27.4" customHeight="1">
      <c r="A62" s="695" t="str">
        <f t="shared" si="0"/>
        <v>저반사접합유리끼우기(투과율98%)T10.76mmM2</v>
      </c>
      <c r="B62" s="696" t="s">
        <v>5306</v>
      </c>
      <c r="C62" s="697" t="str">
        <f>VLOOKUP($B:$B,[140]일위대가!$A:$K,2,FALSE)</f>
        <v>저반사 접합유리 끼우기(투과율98%)</v>
      </c>
      <c r="D62" s="697" t="str">
        <f>IF(VLOOKUP(B:B,[140]일위대가!A:K,3,FALSE)="","",VLOOKUP(B:B,[140]일위대가!A:K,3,FALSE))</f>
        <v>T10.76mm</v>
      </c>
      <c r="E62" s="698" t="str">
        <f>VLOOKUP($B:$B,[140]일위대가!$A:$K,5,FALSE)</f>
        <v>M2</v>
      </c>
      <c r="F62" s="697">
        <f>'일위대가 (진열장)'!H382</f>
        <v>1312611</v>
      </c>
      <c r="G62" s="697">
        <f>'일위대가 (진열장)'!J382</f>
        <v>41070</v>
      </c>
      <c r="H62" s="697">
        <f t="shared" si="2"/>
        <v>1353681</v>
      </c>
      <c r="I62" s="699"/>
    </row>
    <row r="63" spans="1:9" s="688" customFormat="1" ht="27.4" customHeight="1">
      <c r="A63" s="695" t="str">
        <f t="shared" si="0"/>
        <v>저반사접합유리끼우기(투과율96%)T10.76mmM2</v>
      </c>
      <c r="B63" s="696" t="s">
        <v>5307</v>
      </c>
      <c r="C63" s="697" t="str">
        <f>VLOOKUP($B:$B,[140]일위대가!$A:$K,2,FALSE)</f>
        <v>저반사 접합유리 끼우기(투과율96%)</v>
      </c>
      <c r="D63" s="697" t="str">
        <f>IF(VLOOKUP(B:B,[140]일위대가!A:K,3,FALSE)="","",VLOOKUP(B:B,[140]일위대가!A:K,3,FALSE))</f>
        <v>T10.76mm</v>
      </c>
      <c r="E63" s="698" t="str">
        <f>VLOOKUP($B:$B,[140]일위대가!$A:$K,5,FALSE)</f>
        <v>M2</v>
      </c>
      <c r="F63" s="697">
        <f>'일위대가 (진열장)'!H392</f>
        <v>1029111</v>
      </c>
      <c r="G63" s="697">
        <f>'일위대가 (진열장)'!J392</f>
        <v>41070</v>
      </c>
      <c r="H63" s="697">
        <f t="shared" si="2"/>
        <v>1070181</v>
      </c>
      <c r="I63" s="699"/>
    </row>
    <row r="64" spans="1:9" s="688" customFormat="1" ht="27.4" customHeight="1">
      <c r="A64" s="695" t="str">
        <f t="shared" si="0"/>
        <v>화이트접합유리끼우기T10.76mmM2</v>
      </c>
      <c r="B64" s="696" t="s">
        <v>5308</v>
      </c>
      <c r="C64" s="697" t="str">
        <f>VLOOKUP($B:$B,[140]일위대가!$A:$K,2,FALSE)</f>
        <v>화이트 접합유리 끼우기</v>
      </c>
      <c r="D64" s="697" t="str">
        <f>IF(VLOOKUP(B:B,[140]일위대가!A:K,3,FALSE)="","",VLOOKUP(B:B,[140]일위대가!A:K,3,FALSE))</f>
        <v>T10.76mm</v>
      </c>
      <c r="E64" s="698" t="str">
        <f>VLOOKUP($B:$B,[140]일위대가!$A:$K,5,FALSE)</f>
        <v>M2</v>
      </c>
      <c r="F64" s="697">
        <f>'일위대가 (진열장)'!H402</f>
        <v>220033</v>
      </c>
      <c r="G64" s="697">
        <f>'일위대가 (진열장)'!J402</f>
        <v>41070</v>
      </c>
      <c r="H64" s="697">
        <f t="shared" si="2"/>
        <v>261103</v>
      </c>
      <c r="I64" s="699"/>
    </row>
    <row r="65" spans="1:9" s="688" customFormat="1" ht="27.4" customHeight="1">
      <c r="A65" s="695" t="str">
        <f t="shared" si="0"/>
        <v>투명접합유리끼우기T12.76mm(2,400*3,000기준)M2</v>
      </c>
      <c r="B65" s="696" t="s">
        <v>5309</v>
      </c>
      <c r="C65" s="697" t="str">
        <f>VLOOKUP($B:$B,[140]일위대가!$A:$K,2,FALSE)</f>
        <v>투명 접합유리 끼우기</v>
      </c>
      <c r="D65" s="697" t="str">
        <f>IF(VLOOKUP(B:B,[140]일위대가!A:K,3,FALSE)="","",VLOOKUP(B:B,[140]일위대가!A:K,3,FALSE))</f>
        <v>T12.76mm (2,400*3,000기준)</v>
      </c>
      <c r="E65" s="698" t="str">
        <f>VLOOKUP($B:$B,[140]일위대가!$A:$K,5,FALSE)</f>
        <v>M2</v>
      </c>
      <c r="F65" s="697">
        <f>'일위대가 (진열장)'!H412</f>
        <v>150261</v>
      </c>
      <c r="G65" s="697">
        <f>'일위대가 (진열장)'!J412</f>
        <v>71881</v>
      </c>
      <c r="H65" s="697">
        <f>F65+G65</f>
        <v>222142</v>
      </c>
      <c r="I65" s="699"/>
    </row>
    <row r="66" spans="1:9" s="688" customFormat="1" ht="27.4" customHeight="1">
      <c r="A66" s="695" t="str">
        <f t="shared" si="0"/>
        <v>화이트접합유리끼우기T12.76mm(2,400*3,400기준)M2</v>
      </c>
      <c r="B66" s="696" t="s">
        <v>5310</v>
      </c>
      <c r="C66" s="697" t="str">
        <f>VLOOKUP($B:$B,[140]일위대가!$A:$K,2,FALSE)</f>
        <v>화이트 접합유리 끼우기</v>
      </c>
      <c r="D66" s="697" t="str">
        <f>IF(VLOOKUP(B:B,[140]일위대가!A:K,3,FALSE)="","",VLOOKUP(B:B,[140]일위대가!A:K,3,FALSE))</f>
        <v>T12.76mm (2,400*3,400기준)</v>
      </c>
      <c r="E66" s="698" t="str">
        <f>VLOOKUP($B:$B,[140]일위대가!$A:$K,5,FALSE)</f>
        <v>M2</v>
      </c>
      <c r="F66" s="697">
        <f>'일위대가 (진열장)'!H422</f>
        <v>225283</v>
      </c>
      <c r="G66" s="697">
        <f>'일위대가 (진열장)'!J422</f>
        <v>71881</v>
      </c>
      <c r="H66" s="697">
        <f>F66+G66</f>
        <v>297164</v>
      </c>
      <c r="I66" s="699"/>
    </row>
    <row r="67" spans="1:9" s="688" customFormat="1" ht="27.4" customHeight="1">
      <c r="A67" s="695" t="str">
        <f t="shared" si="0"/>
        <v>강화유리끼우기T12mmM2</v>
      </c>
      <c r="B67" s="696" t="s">
        <v>5311</v>
      </c>
      <c r="C67" s="697" t="str">
        <f>VLOOKUP($B:$B,[140]일위대가!$A:$K,2,FALSE)</f>
        <v>강화유리 끼우기</v>
      </c>
      <c r="D67" s="697" t="str">
        <f>IF(VLOOKUP(B:B,[140]일위대가!A:K,3,FALSE)="","",VLOOKUP(B:B,[140]일위대가!A:K,3,FALSE))</f>
        <v>T12mm</v>
      </c>
      <c r="E67" s="698" t="str">
        <f>VLOOKUP($B:$B,[140]일위대가!$A:$K,5,FALSE)</f>
        <v>M2</v>
      </c>
      <c r="F67" s="697">
        <f>'일위대가 (진열장)'!H432</f>
        <v>40011</v>
      </c>
      <c r="G67" s="697">
        <f>'일위대가 (진열장)'!J432</f>
        <v>71881</v>
      </c>
      <c r="H67" s="697">
        <f>F67+G67</f>
        <v>111892</v>
      </c>
      <c r="I67" s="699"/>
    </row>
    <row r="68" spans="1:9" s="688" customFormat="1" ht="27.4" customHeight="1">
      <c r="A68" s="695" t="str">
        <f t="shared" ref="A68:A118" si="3">SUBSTITUTE(CONCATENATE(C:C,D:D,E:E)," ","")</f>
        <v>강화유리끼우기T10mmM2</v>
      </c>
      <c r="B68" s="696" t="s">
        <v>5312</v>
      </c>
      <c r="C68" s="697" t="str">
        <f>VLOOKUP($B:$B,[140]일위대가!$A:$K,2,FALSE)</f>
        <v>강화유리 끼우기</v>
      </c>
      <c r="D68" s="697" t="str">
        <f>IF(VLOOKUP(B:B,[140]일위대가!A:K,3,FALSE)="","",VLOOKUP(B:B,[140]일위대가!A:K,3,FALSE))</f>
        <v>T10mm</v>
      </c>
      <c r="E68" s="698" t="str">
        <f>VLOOKUP($B:$B,[140]일위대가!$A:$K,5,FALSE)</f>
        <v>M2</v>
      </c>
      <c r="F68" s="697">
        <f>'일위대가 (진열장)'!H443</f>
        <v>33711</v>
      </c>
      <c r="G68" s="697">
        <f>'일위대가 (진열장)'!J443</f>
        <v>41070</v>
      </c>
      <c r="H68" s="697">
        <f>F68+G68</f>
        <v>74781</v>
      </c>
      <c r="I68" s="699"/>
    </row>
    <row r="69" spans="1:9" s="688" customFormat="1" ht="27.4" customHeight="1">
      <c r="A69" s="695" t="str">
        <f t="shared" si="3"/>
        <v>강화유리끼우기T8mmM2</v>
      </c>
      <c r="B69" s="696" t="s">
        <v>5313</v>
      </c>
      <c r="C69" s="697" t="str">
        <f>VLOOKUP($B:$B,[140]일위대가!$A:$K,2,FALSE)</f>
        <v>강화유리 끼우기</v>
      </c>
      <c r="D69" s="697" t="str">
        <f>IF(VLOOKUP(B:B,[140]일위대가!A:K,3,FALSE)="","",VLOOKUP(B:B,[140]일위대가!A:K,3,FALSE))</f>
        <v>T8mm</v>
      </c>
      <c r="E69" s="698" t="str">
        <f>VLOOKUP($B:$B,[140]일위대가!$A:$K,5,FALSE)</f>
        <v>M2</v>
      </c>
      <c r="F69" s="697">
        <f>'일위대가 (진열장)'!H454</f>
        <v>33711</v>
      </c>
      <c r="G69" s="697">
        <f>'일위대가 (진열장)'!J454</f>
        <v>37445</v>
      </c>
      <c r="H69" s="697">
        <f>F69+G69</f>
        <v>71156</v>
      </c>
      <c r="I69" s="699"/>
    </row>
    <row r="70" spans="1:9" s="688" customFormat="1" ht="27.4" customHeight="1">
      <c r="A70" s="695" t="str">
        <f t="shared" si="3"/>
        <v>조명용아크릴가공설치T5mmM2</v>
      </c>
      <c r="B70" s="696" t="s">
        <v>5314</v>
      </c>
      <c r="C70" s="697" t="str">
        <f>VLOOKUP($B:$B,[140]일위대가!$A:$K,2,FALSE)</f>
        <v>조명용아크릴 가공 설치</v>
      </c>
      <c r="D70" s="697" t="str">
        <f>IF(VLOOKUP(B:B,[140]일위대가!A:K,3,FALSE)="","",VLOOKUP(B:B,[140]일위대가!A:K,3,FALSE))</f>
        <v>T5mm</v>
      </c>
      <c r="E70" s="698" t="str">
        <f>VLOOKUP($B:$B,[140]일위대가!$A:$K,5,FALSE)</f>
        <v>M2</v>
      </c>
      <c r="F70" s="697">
        <f>'일위대가 (진열장)'!H461</f>
        <v>74550</v>
      </c>
      <c r="G70" s="697">
        <f>'일위대가 (진열장)'!J461</f>
        <v>19211</v>
      </c>
      <c r="H70" s="697">
        <f t="shared" si="2"/>
        <v>93761</v>
      </c>
      <c r="I70" s="699"/>
    </row>
    <row r="71" spans="1:9" s="688" customFormat="1" ht="27.4" customHeight="1">
      <c r="A71" s="695" t="str">
        <f t="shared" si="3"/>
        <v>진열장석고보드취부T9.5mm*2PLYM2</v>
      </c>
      <c r="B71" s="696" t="s">
        <v>5315</v>
      </c>
      <c r="C71" s="697" t="str">
        <f>VLOOKUP($B:$B,[140]일위대가!$A:$K,2,FALSE)</f>
        <v>진열장석고보드취부</v>
      </c>
      <c r="D71" s="697" t="str">
        <f>IF(VLOOKUP(B:B,[140]일위대가!A:K,3,FALSE)="","",VLOOKUP(B:B,[140]일위대가!A:K,3,FALSE))</f>
        <v>T9.5mm*2PLY</v>
      </c>
      <c r="E71" s="698" t="str">
        <f>VLOOKUP($B:$B,[140]일위대가!$A:$K,5,FALSE)</f>
        <v>M2</v>
      </c>
      <c r="F71" s="697">
        <f>'일위대가 (진열장)'!H474</f>
        <v>18275</v>
      </c>
      <c r="G71" s="697">
        <f>'일위대가 (진열장)'!J474</f>
        <v>21540</v>
      </c>
      <c r="H71" s="697">
        <f t="shared" si="2"/>
        <v>39815</v>
      </c>
      <c r="I71" s="699"/>
    </row>
    <row r="72" spans="1:9" s="688" customFormat="1" ht="27.4" customHeight="1">
      <c r="A72" s="695" t="str">
        <f t="shared" si="3"/>
        <v>알루미늄판취부4T*900*1800M2</v>
      </c>
      <c r="B72" s="696" t="s">
        <v>5316</v>
      </c>
      <c r="C72" s="697" t="str">
        <f>VLOOKUP($B:$B,[140]일위대가!$A:$K,2,FALSE)</f>
        <v>알루미늄판취부</v>
      </c>
      <c r="D72" s="697" t="str">
        <f>IF(VLOOKUP(B:B,[140]일위대가!A:K,3,FALSE)="","",VLOOKUP(B:B,[140]일위대가!A:K,3,FALSE))</f>
        <v>4T*900*1800</v>
      </c>
      <c r="E72" s="698" t="str">
        <f>VLOOKUP($B:$B,[140]일위대가!$A:$K,5,FALSE)</f>
        <v>M2</v>
      </c>
      <c r="F72" s="697">
        <f>'일위대가 (진열장)'!H484</f>
        <v>130192</v>
      </c>
      <c r="G72" s="697">
        <f>'일위대가 (진열장)'!J484</f>
        <v>14745</v>
      </c>
      <c r="H72" s="697">
        <f t="shared" si="2"/>
        <v>144937</v>
      </c>
      <c r="I72" s="699"/>
    </row>
    <row r="73" spans="1:9" s="688" customFormat="1" ht="27.4" customHeight="1">
      <c r="A73" s="695" t="str">
        <f t="shared" si="3"/>
        <v>진열장석고보드취부T9.5mm*1PLYM2</v>
      </c>
      <c r="B73" s="696" t="s">
        <v>5317</v>
      </c>
      <c r="C73" s="697" t="str">
        <f>VLOOKUP($B:$B,[140]일위대가!$A:$K,2,FALSE)</f>
        <v>진열장석고보드취부</v>
      </c>
      <c r="D73" s="697" t="str">
        <f>IF(VLOOKUP(B:B,[140]일위대가!A:K,3,FALSE)="","",VLOOKUP(B:B,[140]일위대가!A:K,3,FALSE))</f>
        <v>T9.5mm*1PLY</v>
      </c>
      <c r="E73" s="698" t="str">
        <f>VLOOKUP($B:$B,[140]일위대가!$A:$K,5,FALSE)</f>
        <v>M2</v>
      </c>
      <c r="F73" s="697">
        <f>'일위대가 (진열장)'!H496</f>
        <v>14510</v>
      </c>
      <c r="G73" s="697">
        <f>'일위대가 (진열장)'!J496</f>
        <v>18197</v>
      </c>
      <c r="H73" s="697">
        <f t="shared" si="2"/>
        <v>32707</v>
      </c>
      <c r="I73" s="699"/>
    </row>
    <row r="74" spans="1:9" s="688" customFormat="1" ht="27.4" customHeight="1">
      <c r="A74" s="695" t="str">
        <f t="shared" si="3"/>
        <v>먹메김㎡</v>
      </c>
      <c r="B74" s="696" t="s">
        <v>5318</v>
      </c>
      <c r="C74" s="697" t="str">
        <f>VLOOKUP($B:$B,[140]일위대가!$A:$K,2,FALSE)</f>
        <v>먹메김</v>
      </c>
      <c r="D74" s="697" t="str">
        <f>IF(VLOOKUP(B:B,[140]일위대가!A:K,3,FALSE)="","",VLOOKUP(B:B,[140]일위대가!A:K,3,FALSE))</f>
        <v/>
      </c>
      <c r="E74" s="698" t="str">
        <f>VLOOKUP($B:$B,[140]일위대가!$A:$K,5,FALSE)</f>
        <v>㎡</v>
      </c>
      <c r="F74" s="697">
        <f>'일위대가 (진열장)'!H504</f>
        <v>0</v>
      </c>
      <c r="G74" s="697">
        <f>'일위대가 (진열장)'!J504</f>
        <v>5826</v>
      </c>
      <c r="H74" s="697">
        <f t="shared" si="2"/>
        <v>5826</v>
      </c>
      <c r="I74" s="699"/>
    </row>
    <row r="75" spans="1:9" s="688" customFormat="1" ht="27.4" customHeight="1">
      <c r="A75" s="695" t="str">
        <f t="shared" si="3"/>
        <v>석고보드시공THK9.5mm2PLY(천장면)M2</v>
      </c>
      <c r="B75" s="696" t="s">
        <v>5319</v>
      </c>
      <c r="C75" s="697" t="str">
        <f>VLOOKUP($B:$B,[140]일위대가!$A:$K,2,FALSE)</f>
        <v>석고보드 시공</v>
      </c>
      <c r="D75" s="697" t="str">
        <f>IF(VLOOKUP(B:B,[140]일위대가!A:K,3,FALSE)="","",VLOOKUP(B:B,[140]일위대가!A:K,3,FALSE))</f>
        <v>THK9.5mm 2PLY(천장면)</v>
      </c>
      <c r="E75" s="698" t="str">
        <f>VLOOKUP($B:$B,[140]일위대가!$A:$K,5,FALSE)</f>
        <v>M2</v>
      </c>
      <c r="F75" s="697">
        <f>'일위대가 (진열장)'!H516</f>
        <v>6952</v>
      </c>
      <c r="G75" s="697">
        <f>'일위대가 (진열장)'!J516</f>
        <v>15088</v>
      </c>
      <c r="H75" s="697">
        <f t="shared" si="2"/>
        <v>22040</v>
      </c>
      <c r="I75" s="699"/>
    </row>
    <row r="76" spans="1:9" s="688" customFormat="1" ht="27.4" customHeight="1">
      <c r="A76" s="695" t="str">
        <f t="shared" si="3"/>
        <v>석고보드시공THK9.5mm2PLY(벽체면)M2</v>
      </c>
      <c r="B76" s="696" t="s">
        <v>5320</v>
      </c>
      <c r="C76" s="697" t="str">
        <f>VLOOKUP($B:$B,[140]일위대가!$A:$K,2,FALSE)</f>
        <v>석고보드 시공</v>
      </c>
      <c r="D76" s="697" t="str">
        <f>IF(VLOOKUP(B:B,[140]일위대가!A:K,3,FALSE)="","",VLOOKUP(B:B,[140]일위대가!A:K,3,FALSE))</f>
        <v>THK9.5mm 2PLY(벽체면)</v>
      </c>
      <c r="E76" s="698" t="str">
        <f>VLOOKUP($B:$B,[140]일위대가!$A:$K,5,FALSE)</f>
        <v>M2</v>
      </c>
      <c r="F76" s="697">
        <f>'일위대가 (진열장)'!H528</f>
        <v>6918</v>
      </c>
      <c r="G76" s="697">
        <f>'일위대가 (진열장)'!J528</f>
        <v>11605</v>
      </c>
      <c r="H76" s="697">
        <f t="shared" si="2"/>
        <v>18523</v>
      </c>
      <c r="I76" s="699"/>
    </row>
    <row r="77" spans="1:9" s="688" customFormat="1" ht="27.4" customHeight="1">
      <c r="A77" s="695" t="str">
        <f t="shared" si="3"/>
        <v>석고보드시공THK9.5mm1PLY(벽체면)M2</v>
      </c>
      <c r="B77" s="696" t="s">
        <v>5321</v>
      </c>
      <c r="C77" s="697" t="str">
        <f>VLOOKUP($B:$B,[140]일위대가!$A:$K,2,FALSE)</f>
        <v>석고보드 시공</v>
      </c>
      <c r="D77" s="697" t="str">
        <f>IF(VLOOKUP(B:B,[140]일위대가!A:K,3,FALSE)="","",VLOOKUP(B:B,[140]일위대가!A:K,3,FALSE))</f>
        <v>THK9.5mm 1PLY(벽체면)</v>
      </c>
      <c r="E77" s="698" t="str">
        <f>VLOOKUP($B:$B,[140]일위대가!$A:$K,5,FALSE)</f>
        <v>M2</v>
      </c>
      <c r="F77" s="697">
        <f>'일위대가 (진열장)'!H538</f>
        <v>3236</v>
      </c>
      <c r="G77" s="697">
        <f>'일위대가 (진열장)'!J538</f>
        <v>8262</v>
      </c>
      <c r="H77" s="697">
        <f t="shared" si="2"/>
        <v>11498</v>
      </c>
      <c r="I77" s="699"/>
    </row>
    <row r="78" spans="1:9" s="688" customFormat="1" ht="27.4" customHeight="1">
      <c r="A78" s="695" t="str">
        <f t="shared" si="3"/>
        <v>친환경수성페인트벽체M2</v>
      </c>
      <c r="B78" s="696" t="s">
        <v>5322</v>
      </c>
      <c r="C78" s="697" t="str">
        <f>VLOOKUP($B:$B,[140]일위대가!$A:$K,2,FALSE)</f>
        <v>친환경수성페인트</v>
      </c>
      <c r="D78" s="697" t="str">
        <f>IF(VLOOKUP(B:B,[140]일위대가!A:K,3,FALSE)="","",VLOOKUP(B:B,[140]일위대가!A:K,3,FALSE))</f>
        <v>벽체</v>
      </c>
      <c r="E78" s="698" t="str">
        <f>VLOOKUP($B:$B,[140]일위대가!$A:$K,5,FALSE)</f>
        <v>M2</v>
      </c>
      <c r="F78" s="697">
        <f>'일위대가 (진열장)'!H551</f>
        <v>2907</v>
      </c>
      <c r="G78" s="697">
        <f>'일위대가 (진열장)'!J551</f>
        <v>13962</v>
      </c>
      <c r="H78" s="697">
        <f t="shared" si="2"/>
        <v>16869</v>
      </c>
      <c r="I78" s="699"/>
    </row>
    <row r="79" spans="1:9" s="688" customFormat="1" ht="27.4" customHeight="1">
      <c r="A79" s="695" t="str">
        <f t="shared" si="3"/>
        <v>바탕만들기목재석고면M2</v>
      </c>
      <c r="B79" s="696" t="s">
        <v>5323</v>
      </c>
      <c r="C79" s="697" t="str">
        <f>VLOOKUP($B:$B,[140]일위대가!$A:$K,2,FALSE)</f>
        <v>바탕만들기</v>
      </c>
      <c r="D79" s="697" t="str">
        <f>IF(VLOOKUP(B:B,[140]일위대가!A:K,3,FALSE)="","",VLOOKUP(B:B,[140]일위대가!A:K,3,FALSE))</f>
        <v>목재 석고면</v>
      </c>
      <c r="E79" s="698" t="str">
        <f>VLOOKUP($B:$B,[140]일위대가!$A:$K,5,FALSE)</f>
        <v>M2</v>
      </c>
      <c r="F79" s="697">
        <f>'일위대가 (진열장)'!H563</f>
        <v>1648</v>
      </c>
      <c r="G79" s="697">
        <f>'일위대가 (진열장)'!J563</f>
        <v>14434</v>
      </c>
      <c r="H79" s="697">
        <f t="shared" si="2"/>
        <v>16082</v>
      </c>
      <c r="I79" s="699"/>
    </row>
    <row r="80" spans="1:9" s="688" customFormat="1" ht="27.4" customHeight="1">
      <c r="A80" s="695" t="str">
        <f t="shared" si="3"/>
        <v>칼라락카칠목재석고면M2</v>
      </c>
      <c r="B80" s="696" t="s">
        <v>5324</v>
      </c>
      <c r="C80" s="697" t="str">
        <f>VLOOKUP($B:$B,[140]일위대가!$A:$K,2,FALSE)</f>
        <v>칼라락카칠</v>
      </c>
      <c r="D80" s="697" t="str">
        <f>IF(VLOOKUP(B:B,[140]일위대가!A:K,3,FALSE)="","",VLOOKUP(B:B,[140]일위대가!A:K,3,FALSE))</f>
        <v>목재 석고면</v>
      </c>
      <c r="E80" s="698" t="str">
        <f>VLOOKUP($B:$B,[140]일위대가!$A:$K,5,FALSE)</f>
        <v>M2</v>
      </c>
      <c r="F80" s="697">
        <f>'일위대가 (진열장)'!H578</f>
        <v>8199</v>
      </c>
      <c r="G80" s="697">
        <f>'일위대가 (진열장)'!J578</f>
        <v>22265</v>
      </c>
      <c r="H80" s="697">
        <f t="shared" si="2"/>
        <v>30464</v>
      </c>
      <c r="I80" s="699"/>
    </row>
    <row r="81" spans="1:9" s="688" customFormat="1" ht="27.4" customHeight="1">
      <c r="A81" s="695" t="str">
        <f t="shared" si="3"/>
        <v>mdf취부T9mm㎡</v>
      </c>
      <c r="B81" s="696" t="s">
        <v>5325</v>
      </c>
      <c r="C81" s="697" t="str">
        <f>VLOOKUP($B:$B,[140]일위대가!$A:$K,2,FALSE)</f>
        <v>mdf 취부</v>
      </c>
      <c r="D81" s="697" t="str">
        <f>IF(VLOOKUP(B:B,[140]일위대가!A:K,3,FALSE)="","",VLOOKUP(B:B,[140]일위대가!A:K,3,FALSE))</f>
        <v>T9mm</v>
      </c>
      <c r="E81" s="698" t="str">
        <f>VLOOKUP($B:$B,[140]일위대가!$A:$K,5,FALSE)</f>
        <v>㎡</v>
      </c>
      <c r="F81" s="697">
        <f>'일위대가 (진열장)'!H589</f>
        <v>5441</v>
      </c>
      <c r="G81" s="697">
        <f>'일위대가 (진열장)'!J589</f>
        <v>13937</v>
      </c>
      <c r="H81" s="697">
        <f t="shared" si="2"/>
        <v>19378</v>
      </c>
      <c r="I81" s="699"/>
    </row>
    <row r="82" spans="1:9" s="688" customFormat="1" ht="27.4" customHeight="1">
      <c r="A82" s="695" t="str">
        <f t="shared" si="3"/>
        <v>유물보조대MDF9mm위천도배㎡</v>
      </c>
      <c r="B82" s="696" t="s">
        <v>5326</v>
      </c>
      <c r="C82" s="697" t="str">
        <f>VLOOKUP($B:$B,[140]일위대가!$A:$K,2,FALSE)</f>
        <v>유물보조대</v>
      </c>
      <c r="D82" s="697" t="str">
        <f>IF(VLOOKUP(B:B,[140]일위대가!A:K,3,FALSE)="","",VLOOKUP(B:B,[140]일위대가!A:K,3,FALSE))</f>
        <v>MDF 9mm위 천도배</v>
      </c>
      <c r="E82" s="698" t="str">
        <f>VLOOKUP($B:$B,[140]일위대가!$A:$K,5,FALSE)</f>
        <v>㎡</v>
      </c>
      <c r="F82" s="697">
        <f>'일위대가 (진열장)'!H597</f>
        <v>56440</v>
      </c>
      <c r="G82" s="697">
        <f>'일위대가 (진열장)'!J597</f>
        <v>28212</v>
      </c>
      <c r="H82" s="697">
        <f t="shared" si="2"/>
        <v>84652</v>
      </c>
      <c r="I82" s="699"/>
    </row>
    <row r="83" spans="1:9" s="688" customFormat="1" ht="27.4" customHeight="1">
      <c r="A83" s="695" t="str">
        <f t="shared" si="3"/>
        <v>레일트랙m</v>
      </c>
      <c r="B83" s="696" t="s">
        <v>5327</v>
      </c>
      <c r="C83" s="697" t="str">
        <f>VLOOKUP($B:$B,[140]일위대가!$A:$K,2,FALSE)</f>
        <v>레일트랙</v>
      </c>
      <c r="D83" s="697" t="str">
        <f>IF(VLOOKUP(B:B,[140]일위대가!A:K,3,FALSE)="","",VLOOKUP(B:B,[140]일위대가!A:K,3,FALSE))</f>
        <v/>
      </c>
      <c r="E83" s="698" t="str">
        <f>VLOOKUP($B:$B,[140]일위대가!$A:$K,5,FALSE)</f>
        <v>m</v>
      </c>
      <c r="F83" s="697">
        <f>'일위대가 (진열장)'!H605</f>
        <v>25514</v>
      </c>
      <c r="G83" s="697">
        <f>'일위대가 (진열장)'!J605</f>
        <v>56802</v>
      </c>
      <c r="H83" s="697">
        <f t="shared" si="2"/>
        <v>82316</v>
      </c>
      <c r="I83" s="699"/>
    </row>
    <row r="84" spans="1:9" s="688" customFormat="1" ht="27.4" customHeight="1">
      <c r="A84" s="695" t="str">
        <f t="shared" si="3"/>
        <v>LED포인트조명설치(벽부형)15W이하ea</v>
      </c>
      <c r="B84" s="696" t="s">
        <v>5328</v>
      </c>
      <c r="C84" s="697" t="str">
        <f>VLOOKUP($B:$B,[140]일위대가!$A:$K,2,FALSE)</f>
        <v>LED 포인트조명설치(벽부형)</v>
      </c>
      <c r="D84" s="697" t="str">
        <f>IF(VLOOKUP(B:B,[140]일위대가!A:K,3,FALSE)="","",VLOOKUP(B:B,[140]일위대가!A:K,3,FALSE))</f>
        <v>15W이하</v>
      </c>
      <c r="E84" s="698" t="str">
        <f>VLOOKUP($B:$B,[140]일위대가!$A:$K,5,FALSE)</f>
        <v>ea</v>
      </c>
      <c r="F84" s="697">
        <f>'일위대가 (진열장)'!H613</f>
        <v>178500</v>
      </c>
      <c r="G84" s="697">
        <f>'일위대가 (진열장)'!J613</f>
        <v>26372</v>
      </c>
      <c r="H84" s="697">
        <f t="shared" si="2"/>
        <v>204872</v>
      </c>
      <c r="I84" s="699"/>
    </row>
    <row r="85" spans="1:9" s="688" customFormat="1" ht="27.4" customHeight="1">
      <c r="A85" s="695" t="str">
        <f t="shared" si="3"/>
        <v>LED포인트조명설치(독립장형)15W이하ea</v>
      </c>
      <c r="B85" s="696" t="s">
        <v>5329</v>
      </c>
      <c r="C85" s="697" t="str">
        <f>VLOOKUP($B:$B,[140]일위대가!$A:$K,2,FALSE)</f>
        <v>LED 포인트조명설치(독립장형)</v>
      </c>
      <c r="D85" s="697" t="str">
        <f>IF(VLOOKUP(B:B,[140]일위대가!A:K,3,FALSE)="","",VLOOKUP(B:B,[140]일위대가!A:K,3,FALSE))</f>
        <v>15W이하</v>
      </c>
      <c r="E85" s="698" t="str">
        <f>VLOOKUP($B:$B,[140]일위대가!$A:$K,5,FALSE)</f>
        <v>ea</v>
      </c>
      <c r="F85" s="697">
        <f>'일위대가 (진열장)'!H621</f>
        <v>115500</v>
      </c>
      <c r="G85" s="697">
        <f>'일위대가 (진열장)'!J621</f>
        <v>26372</v>
      </c>
      <c r="H85" s="697">
        <f t="shared" si="2"/>
        <v>141872</v>
      </c>
      <c r="I85" s="699"/>
    </row>
    <row r="86" spans="1:9" s="688" customFormat="1" ht="27.4" customHeight="1">
      <c r="A86" s="695" t="str">
        <f t="shared" si="3"/>
        <v>LEDbar조명설치30W이하M</v>
      </c>
      <c r="B86" s="696" t="s">
        <v>5330</v>
      </c>
      <c r="C86" s="697" t="str">
        <f>VLOOKUP($B:$B,[140]일위대가!$A:$K,2,FALSE)</f>
        <v>LED bar조명설치</v>
      </c>
      <c r="D86" s="697" t="str">
        <f>IF(VLOOKUP(B:B,[140]일위대가!A:K,3,FALSE)="","",VLOOKUP(B:B,[140]일위대가!A:K,3,FALSE))</f>
        <v>30W이하</v>
      </c>
      <c r="E86" s="698" t="str">
        <f>VLOOKUP($B:$B,[140]일위대가!$A:$K,5,FALSE)</f>
        <v>M</v>
      </c>
      <c r="F86" s="697">
        <f>'일위대가 (진열장)'!H629</f>
        <v>105000</v>
      </c>
      <c r="G86" s="697">
        <f>'일위대가 (진열장)'!J629</f>
        <v>26372</v>
      </c>
      <c r="H86" s="697">
        <f t="shared" si="2"/>
        <v>131372</v>
      </c>
      <c r="I86" s="699"/>
    </row>
    <row r="87" spans="1:9" s="688" customFormat="1" ht="27.4" customHeight="1">
      <c r="A87" s="695" t="str">
        <f t="shared" si="3"/>
        <v>LED포인트조명컨트롤제작설치컨트롤러(24채널)set</v>
      </c>
      <c r="B87" s="696" t="s">
        <v>5331</v>
      </c>
      <c r="C87" s="697" t="str">
        <f>VLOOKUP($B:$B,[140]일위대가!$A:$K,2,FALSE)</f>
        <v>LED 포인트조명 컨트롤제작설치</v>
      </c>
      <c r="D87" s="697" t="str">
        <f>IF(VLOOKUP(B:B,[140]일위대가!A:K,3,FALSE)="","",VLOOKUP(B:B,[140]일위대가!A:K,3,FALSE))</f>
        <v>컨트롤러(24채널)</v>
      </c>
      <c r="E87" s="698" t="str">
        <f>VLOOKUP($B:$B,[140]일위대가!$A:$K,5,FALSE)</f>
        <v>set</v>
      </c>
      <c r="F87" s="697">
        <f>'일위대가 (진열장)'!H637</f>
        <v>800000</v>
      </c>
      <c r="G87" s="697">
        <f>'일위대가 (진열장)'!J637</f>
        <v>135244</v>
      </c>
      <c r="H87" s="697">
        <f t="shared" si="2"/>
        <v>935244</v>
      </c>
      <c r="I87" s="699"/>
    </row>
    <row r="88" spans="1:9" s="688" customFormat="1" ht="27.4" customHeight="1">
      <c r="A88" s="695" t="str">
        <f t="shared" si="3"/>
        <v>LED포인트조명컨트롤제작설치컨트롤러(16채널)set</v>
      </c>
      <c r="B88" s="696" t="s">
        <v>5332</v>
      </c>
      <c r="C88" s="697" t="str">
        <f>VLOOKUP($B:$B,[140]일위대가!$A:$K,2,FALSE)</f>
        <v>LED 포인트조명 컨트롤제작설치</v>
      </c>
      <c r="D88" s="697" t="str">
        <f>IF(VLOOKUP(B:B,[140]일위대가!A:K,3,FALSE)="","",VLOOKUP(B:B,[140]일위대가!A:K,3,FALSE))</f>
        <v>컨트롤러(16채널)</v>
      </c>
      <c r="E88" s="698" t="str">
        <f>VLOOKUP($B:$B,[140]일위대가!$A:$K,5,FALSE)</f>
        <v>set</v>
      </c>
      <c r="F88" s="697">
        <f>'일위대가 (진열장)'!H645</f>
        <v>650000</v>
      </c>
      <c r="G88" s="697">
        <f>'일위대가 (진열장)'!J645</f>
        <v>90163</v>
      </c>
      <c r="H88" s="697">
        <f t="shared" si="2"/>
        <v>740163</v>
      </c>
      <c r="I88" s="699"/>
    </row>
    <row r="89" spans="1:9" s="688" customFormat="1" ht="27.4" customHeight="1">
      <c r="A89" s="695" t="str">
        <f t="shared" si="3"/>
        <v>LED포인트조명컨트롤제작설치컨트롤러(8채널)set</v>
      </c>
      <c r="B89" s="696" t="s">
        <v>5333</v>
      </c>
      <c r="C89" s="697" t="str">
        <f>VLOOKUP($B:$B,[140]일위대가!$A:$K,2,FALSE)</f>
        <v>LED 포인트조명 컨트롤제작설치</v>
      </c>
      <c r="D89" s="697" t="str">
        <f>IF(VLOOKUP(B:B,[140]일위대가!A:K,3,FALSE)="","",VLOOKUP(B:B,[140]일위대가!A:K,3,FALSE))</f>
        <v>컨트롤러(8채널)</v>
      </c>
      <c r="E89" s="698" t="str">
        <f>VLOOKUP($B:$B,[140]일위대가!$A:$K,5,FALSE)</f>
        <v>set</v>
      </c>
      <c r="F89" s="697">
        <f>'일위대가 (진열장)'!H653</f>
        <v>600000</v>
      </c>
      <c r="G89" s="697">
        <f>'일위대가 (진열장)'!J653</f>
        <v>90163</v>
      </c>
      <c r="H89" s="697">
        <f t="shared" si="2"/>
        <v>690163</v>
      </c>
      <c r="I89" s="699"/>
    </row>
    <row r="90" spans="1:9" s="688" customFormat="1" ht="27.4" customHeight="1">
      <c r="A90" s="695" t="str">
        <f t="shared" si="3"/>
        <v>LEDbar조명컨트롤제작설치컨트롤러set</v>
      </c>
      <c r="B90" s="696" t="s">
        <v>5334</v>
      </c>
      <c r="C90" s="697" t="str">
        <f>VLOOKUP($B:$B,[140]일위대가!$A:$K,2,FALSE)</f>
        <v>LED bar조명 컨트롤제작설치</v>
      </c>
      <c r="D90" s="697" t="str">
        <f>IF(VLOOKUP(B:B,[140]일위대가!A:K,3,FALSE)="","",VLOOKUP(B:B,[140]일위대가!A:K,3,FALSE))</f>
        <v>컨트롤러</v>
      </c>
      <c r="E90" s="698" t="str">
        <f>VLOOKUP($B:$B,[140]일위대가!$A:$K,5,FALSE)</f>
        <v>set</v>
      </c>
      <c r="F90" s="697">
        <f>'일위대가 (진열장)'!H662</f>
        <v>530000</v>
      </c>
      <c r="G90" s="697">
        <f>'일위대가 (진열장)'!J662</f>
        <v>112704</v>
      </c>
      <c r="H90" s="697">
        <f t="shared" si="2"/>
        <v>642704</v>
      </c>
      <c r="I90" s="699"/>
    </row>
    <row r="91" spans="1:9" s="688" customFormat="1" ht="27.4" customHeight="1">
      <c r="A91" s="695" t="str">
        <f t="shared" si="3"/>
        <v>피아노경첩제작설치M</v>
      </c>
      <c r="B91" s="696" t="s">
        <v>5335</v>
      </c>
      <c r="C91" s="697" t="str">
        <f>VLOOKUP($B:$B,[140]일위대가!$A:$K,2,FALSE)</f>
        <v>피아노경첩 제작설치</v>
      </c>
      <c r="D91" s="697" t="str">
        <f>IF(VLOOKUP(B:B,[140]일위대가!A:K,3,FALSE)="","",VLOOKUP(B:B,[140]일위대가!A:K,3,FALSE))</f>
        <v/>
      </c>
      <c r="E91" s="698" t="str">
        <f>VLOOKUP($B:$B,[140]일위대가!$A:$K,5,FALSE)</f>
        <v>M</v>
      </c>
      <c r="F91" s="697">
        <f>'일위대가 (진열장)'!H670</f>
        <v>12630</v>
      </c>
      <c r="G91" s="697">
        <f>'일위대가 (진열장)'!J670</f>
        <v>10973</v>
      </c>
      <c r="H91" s="697">
        <f t="shared" si="2"/>
        <v>23603</v>
      </c>
      <c r="I91" s="699"/>
    </row>
    <row r="92" spans="1:9" s="688" customFormat="1" ht="27.4" customHeight="1">
      <c r="A92" s="695" t="str">
        <f t="shared" si="3"/>
        <v>LOCKSET제작설치시건장치set</v>
      </c>
      <c r="B92" s="696" t="s">
        <v>5336</v>
      </c>
      <c r="C92" s="697" t="str">
        <f>VLOOKUP($B:$B,[140]일위대가!$A:$K,2,FALSE)</f>
        <v>LOCK SET 제작설치</v>
      </c>
      <c r="D92" s="697" t="str">
        <f>IF(VLOOKUP(B:B,[140]일위대가!A:K,3,FALSE)="","",VLOOKUP(B:B,[140]일위대가!A:K,3,FALSE))</f>
        <v>시건장치</v>
      </c>
      <c r="E92" s="698" t="str">
        <f>VLOOKUP($B:$B,[140]일위대가!$A:$K,5,FALSE)</f>
        <v>set</v>
      </c>
      <c r="F92" s="697">
        <f>'일위대가 (진열장)'!H681</f>
        <v>48840</v>
      </c>
      <c r="G92" s="697">
        <f>'일위대가 (진열장)'!J681</f>
        <v>12605</v>
      </c>
      <c r="H92" s="697">
        <f t="shared" si="2"/>
        <v>61445</v>
      </c>
      <c r="I92" s="699"/>
    </row>
    <row r="93" spans="1:9" s="688" customFormat="1" ht="27.4" customHeight="1">
      <c r="A93" s="695" t="str">
        <f t="shared" si="3"/>
        <v>유압쇽업쇼바제작설치20kgset</v>
      </c>
      <c r="B93" s="696" t="s">
        <v>5337</v>
      </c>
      <c r="C93" s="697" t="str">
        <f>VLOOKUP($B:$B,[140]일위대가!$A:$K,2,FALSE)</f>
        <v>유압쇽업쇼바 제작설치</v>
      </c>
      <c r="D93" s="697" t="str">
        <f>IF(VLOOKUP(B:B,[140]일위대가!A:K,3,FALSE)="","",VLOOKUP(B:B,[140]일위대가!A:K,3,FALSE))</f>
        <v>20kg</v>
      </c>
      <c r="E93" s="698" t="str">
        <f>VLOOKUP($B:$B,[140]일위대가!$A:$K,5,FALSE)</f>
        <v>set</v>
      </c>
      <c r="F93" s="697">
        <f>'일위대가 (진열장)'!H690</f>
        <v>39224</v>
      </c>
      <c r="G93" s="697">
        <f>'일위대가 (진열장)'!J690</f>
        <v>3792</v>
      </c>
      <c r="H93" s="697">
        <f t="shared" si="2"/>
        <v>43016</v>
      </c>
      <c r="I93" s="699"/>
    </row>
    <row r="94" spans="1:9" s="688" customFormat="1" ht="27.4" customHeight="1">
      <c r="A94" s="695" t="str">
        <f t="shared" si="3"/>
        <v>유압쇽업쇼바제작설치40kgset</v>
      </c>
      <c r="B94" s="696" t="s">
        <v>5338</v>
      </c>
      <c r="C94" s="697" t="str">
        <f>VLOOKUP($B:$B,[140]일위대가!$A:$K,2,FALSE)</f>
        <v>유압쇽업쇼바 제작설치</v>
      </c>
      <c r="D94" s="697" t="str">
        <f>IF(VLOOKUP(B:B,[140]일위대가!A:K,3,FALSE)="","",VLOOKUP(B:B,[140]일위대가!A:K,3,FALSE))</f>
        <v>40kg</v>
      </c>
      <c r="E94" s="698" t="str">
        <f>VLOOKUP($B:$B,[140]일위대가!$A:$K,5,FALSE)</f>
        <v>set</v>
      </c>
      <c r="F94" s="697">
        <f>'일위대가 (진열장)'!H699</f>
        <v>49224</v>
      </c>
      <c r="G94" s="697">
        <f>'일위대가 (진열장)'!J699</f>
        <v>3792</v>
      </c>
      <c r="H94" s="697">
        <f t="shared" si="2"/>
        <v>53016</v>
      </c>
      <c r="I94" s="699"/>
    </row>
    <row r="95" spans="1:9" s="688" customFormat="1" ht="27.4" customHeight="1">
      <c r="A95" s="695" t="str">
        <f t="shared" si="3"/>
        <v>AL.패킹바제작설치M</v>
      </c>
      <c r="B95" s="696" t="s">
        <v>5339</v>
      </c>
      <c r="C95" s="697" t="str">
        <f>VLOOKUP($B:$B,[140]일위대가!$A:$K,2,FALSE)</f>
        <v>AL.패킹바 제작설치</v>
      </c>
      <c r="D95" s="697" t="str">
        <f>IF(VLOOKUP(B:B,[140]일위대가!A:K,3,FALSE)="","",VLOOKUP(B:B,[140]일위대가!A:K,3,FALSE))</f>
        <v/>
      </c>
      <c r="E95" s="698" t="str">
        <f>VLOOKUP($B:$B,[140]일위대가!$A:$K,5,FALSE)</f>
        <v>M</v>
      </c>
      <c r="F95" s="697">
        <f>'일위대가 (진열장)'!H707</f>
        <v>5250</v>
      </c>
      <c r="G95" s="697">
        <f>'일위대가 (진열장)'!J707</f>
        <v>3534</v>
      </c>
      <c r="H95" s="697">
        <f t="shared" si="2"/>
        <v>8784</v>
      </c>
      <c r="I95" s="699"/>
    </row>
    <row r="96" spans="1:9" s="688" customFormat="1" ht="27.4" customHeight="1">
      <c r="A96" s="695" t="str">
        <f t="shared" si="3"/>
        <v>밀폐패킹설치소형M</v>
      </c>
      <c r="B96" s="696" t="s">
        <v>5340</v>
      </c>
      <c r="C96" s="697" t="str">
        <f>VLOOKUP($B:$B,[140]일위대가!$A:$K,2,FALSE)</f>
        <v>밀폐패킹 설치</v>
      </c>
      <c r="D96" s="697" t="str">
        <f>IF(VLOOKUP(B:B,[140]일위대가!A:K,3,FALSE)="","",VLOOKUP(B:B,[140]일위대가!A:K,3,FALSE))</f>
        <v>소형</v>
      </c>
      <c r="E96" s="698" t="str">
        <f>VLOOKUP($B:$B,[140]일위대가!$A:$K,5,FALSE)</f>
        <v>M</v>
      </c>
      <c r="F96" s="697">
        <f>'일위대가 (진열장)'!H715</f>
        <v>6300</v>
      </c>
      <c r="G96" s="697">
        <f>'일위대가 (진열장)'!J715</f>
        <v>2397</v>
      </c>
      <c r="H96" s="697">
        <f t="shared" si="2"/>
        <v>8697</v>
      </c>
      <c r="I96" s="699"/>
    </row>
    <row r="97" spans="1:9" s="688" customFormat="1" ht="27.4" customHeight="1">
      <c r="A97" s="695" t="str">
        <f t="shared" si="3"/>
        <v>밀폐패킹설치대형M</v>
      </c>
      <c r="B97" s="696" t="s">
        <v>5341</v>
      </c>
      <c r="C97" s="697" t="str">
        <f>VLOOKUP($B:$B,[140]일위대가!$A:$K,2,FALSE)</f>
        <v>밀폐패킹 설치</v>
      </c>
      <c r="D97" s="697" t="str">
        <f>IF(VLOOKUP(B:B,[140]일위대가!A:K,3,FALSE)="","",VLOOKUP(B:B,[140]일위대가!A:K,3,FALSE))</f>
        <v>대형</v>
      </c>
      <c r="E97" s="698" t="str">
        <f>VLOOKUP($B:$B,[140]일위대가!$A:$K,5,FALSE)</f>
        <v>M</v>
      </c>
      <c r="F97" s="697">
        <f>'일위대가 (진열장)'!H723</f>
        <v>9450</v>
      </c>
      <c r="G97" s="697">
        <f>'일위대가 (진열장)'!J723</f>
        <v>2397</v>
      </c>
      <c r="H97" s="697">
        <f t="shared" si="2"/>
        <v>11847</v>
      </c>
      <c r="I97" s="699"/>
    </row>
    <row r="98" spans="1:9" s="688" customFormat="1" ht="27.4" customHeight="1">
      <c r="A98" s="695" t="str">
        <f t="shared" si="3"/>
        <v>AL.사출유리후렘제작설치벽부장(상부)M</v>
      </c>
      <c r="B98" s="696" t="s">
        <v>5342</v>
      </c>
      <c r="C98" s="697" t="str">
        <f>VLOOKUP($B:$B,[140]일위대가!$A:$K,2,FALSE)</f>
        <v>AL.사출유리후렘 제작설치</v>
      </c>
      <c r="D98" s="697" t="str">
        <f>IF(VLOOKUP(B:B,[140]일위대가!A:K,3,FALSE)="","",VLOOKUP(B:B,[140]일위대가!A:K,3,FALSE))</f>
        <v>벽부장(상부)</v>
      </c>
      <c r="E98" s="698" t="str">
        <f>VLOOKUP($B:$B,[140]일위대가!$A:$K,5,FALSE)</f>
        <v>M</v>
      </c>
      <c r="F98" s="697">
        <f>'일위대가 (진열장)'!H731</f>
        <v>210000</v>
      </c>
      <c r="G98" s="697">
        <f>'일위대가 (진열장)'!J731</f>
        <v>53130</v>
      </c>
      <c r="H98" s="697">
        <f t="shared" si="2"/>
        <v>263130</v>
      </c>
      <c r="I98" s="699"/>
    </row>
    <row r="99" spans="1:9" s="688" customFormat="1" ht="27.4" customHeight="1">
      <c r="A99" s="695" t="str">
        <f t="shared" si="3"/>
        <v>AL.사출유리후렘제작설치벽부장(하부)M</v>
      </c>
      <c r="B99" s="696" t="s">
        <v>5343</v>
      </c>
      <c r="C99" s="697" t="str">
        <f>VLOOKUP($B:$B,[140]일위대가!$A:$K,2,FALSE)</f>
        <v>AL.사출유리후렘 제작설치</v>
      </c>
      <c r="D99" s="697" t="str">
        <f>IF(VLOOKUP(B:B,[140]일위대가!A:K,3,FALSE)="","",VLOOKUP(B:B,[140]일위대가!A:K,3,FALSE))</f>
        <v>벽부장(하부)</v>
      </c>
      <c r="E99" s="698" t="str">
        <f>VLOOKUP($B:$B,[140]일위대가!$A:$K,5,FALSE)</f>
        <v>M</v>
      </c>
      <c r="F99" s="697">
        <f>'일위대가 (진열장)'!H739</f>
        <v>126000</v>
      </c>
      <c r="G99" s="697">
        <f>'일위대가 (진열장)'!J739</f>
        <v>35420</v>
      </c>
      <c r="H99" s="697">
        <f t="shared" si="2"/>
        <v>161420</v>
      </c>
      <c r="I99" s="699"/>
    </row>
    <row r="100" spans="1:9" s="688" customFormat="1" ht="27.4" customHeight="1">
      <c r="A100" s="695" t="str">
        <f t="shared" si="3"/>
        <v>AL.사출유리후렘제작설치독립장(상부)M</v>
      </c>
      <c r="B100" s="696" t="s">
        <v>5344</v>
      </c>
      <c r="C100" s="697" t="str">
        <f>VLOOKUP($B:$B,[140]일위대가!$A:$K,2,FALSE)</f>
        <v>AL.사출유리후렘 제작설치</v>
      </c>
      <c r="D100" s="697" t="str">
        <f>IF(VLOOKUP(B:B,[140]일위대가!A:K,3,FALSE)="","",VLOOKUP(B:B,[140]일위대가!A:K,3,FALSE))</f>
        <v>독립장(상부)</v>
      </c>
      <c r="E100" s="698" t="str">
        <f>VLOOKUP($B:$B,[140]일위대가!$A:$K,5,FALSE)</f>
        <v>M</v>
      </c>
      <c r="F100" s="697">
        <f>'일위대가 (진열장)'!H747</f>
        <v>157500</v>
      </c>
      <c r="G100" s="697">
        <f>'일위대가 (진열장)'!J747</f>
        <v>53130</v>
      </c>
      <c r="H100" s="697">
        <f t="shared" si="2"/>
        <v>210630</v>
      </c>
      <c r="I100" s="699"/>
    </row>
    <row r="101" spans="1:9" s="688" customFormat="1" ht="27.4" customHeight="1">
      <c r="A101" s="695" t="str">
        <f t="shared" si="3"/>
        <v>AL.사출유리후렘제작설치독립장(하부)M</v>
      </c>
      <c r="B101" s="696" t="s">
        <v>5345</v>
      </c>
      <c r="C101" s="697" t="str">
        <f>VLOOKUP($B:$B,[140]일위대가!$A:$K,2,FALSE)</f>
        <v>AL.사출유리후렘 제작설치</v>
      </c>
      <c r="D101" s="697" t="str">
        <f>IF(VLOOKUP(B:B,[140]일위대가!A:K,3,FALSE)="","",VLOOKUP(B:B,[140]일위대가!A:K,3,FALSE))</f>
        <v>독립장(하부)</v>
      </c>
      <c r="E101" s="698" t="str">
        <f>VLOOKUP($B:$B,[140]일위대가!$A:$K,5,FALSE)</f>
        <v>M</v>
      </c>
      <c r="F101" s="697">
        <f>'일위대가 (진열장)'!H755</f>
        <v>115500</v>
      </c>
      <c r="G101" s="697">
        <f>'일위대가 (진열장)'!J755</f>
        <v>35420</v>
      </c>
      <c r="H101" s="697">
        <f t="shared" si="2"/>
        <v>150920</v>
      </c>
      <c r="I101" s="699"/>
    </row>
    <row r="102" spans="1:9" s="688" customFormat="1" ht="27.4" customHeight="1">
      <c r="A102" s="695" t="str">
        <f t="shared" si="3"/>
        <v>AL.사출유리후렘제작설치독립장(하부)M</v>
      </c>
      <c r="B102" s="696" t="s">
        <v>5346</v>
      </c>
      <c r="C102" s="697" t="str">
        <f>VLOOKUP($B:$B,[140]일위대가!$A:$K,2,FALSE)</f>
        <v>AL.사출유리후렘 제작설치</v>
      </c>
      <c r="D102" s="697" t="str">
        <f>IF(VLOOKUP(B:B,[140]일위대가!A:K,3,FALSE)="","",VLOOKUP(B:B,[140]일위대가!A:K,3,FALSE))</f>
        <v>독립장(하부)</v>
      </c>
      <c r="E102" s="698" t="str">
        <f>VLOOKUP($B:$B,[140]일위대가!$A:$K,5,FALSE)</f>
        <v>M</v>
      </c>
      <c r="F102" s="697">
        <f>'일위대가 (진열장)'!H763</f>
        <v>115500</v>
      </c>
      <c r="G102" s="697">
        <f>'일위대가 (진열장)'!J763</f>
        <v>13415</v>
      </c>
      <c r="H102" s="697">
        <f t="shared" si="2"/>
        <v>128915</v>
      </c>
      <c r="I102" s="699"/>
    </row>
    <row r="103" spans="1:9" s="688" customFormat="1" ht="27.4" customHeight="1">
      <c r="A103" s="695" t="str">
        <f t="shared" si="3"/>
        <v>LM가이드시스템가공설치Ø25SET</v>
      </c>
      <c r="B103" s="696" t="s">
        <v>5347</v>
      </c>
      <c r="C103" s="697" t="str">
        <f>VLOOKUP($B:$B,[140]일위대가!$A:$K,2,FALSE)</f>
        <v>LM가이드시스템가공설치</v>
      </c>
      <c r="D103" s="697" t="str">
        <f>IF(VLOOKUP(B:B,[140]일위대가!A:K,3,FALSE)="","",VLOOKUP(B:B,[140]일위대가!A:K,3,FALSE))</f>
        <v>Ø25</v>
      </c>
      <c r="E103" s="698" t="str">
        <f>VLOOKUP($B:$B,[140]일위대가!$A:$K,5,FALSE)</f>
        <v>SET</v>
      </c>
      <c r="F103" s="697">
        <f>'일위대가 (진열장)'!H773</f>
        <v>144000</v>
      </c>
      <c r="G103" s="697">
        <f>'일위대가 (진열장)'!J773</f>
        <v>18323</v>
      </c>
      <c r="H103" s="697">
        <f t="shared" si="2"/>
        <v>162323</v>
      </c>
      <c r="I103" s="699"/>
    </row>
    <row r="104" spans="1:9" s="688" customFormat="1" ht="27.4" customHeight="1">
      <c r="A104" s="695" t="str">
        <f t="shared" si="3"/>
        <v>모터구동시스템설치웜기어전동실린더SET</v>
      </c>
      <c r="B104" s="696" t="s">
        <v>5348</v>
      </c>
      <c r="C104" s="697" t="str">
        <f>VLOOKUP($B:$B,[140]일위대가!$A:$K,2,FALSE)</f>
        <v>모터구동시스템 설치</v>
      </c>
      <c r="D104" s="697" t="str">
        <f>IF(VLOOKUP(B:B,[140]일위대가!A:K,3,FALSE)="","",VLOOKUP(B:B,[140]일위대가!A:K,3,FALSE))</f>
        <v>웜기어 전동실린더</v>
      </c>
      <c r="E104" s="698" t="str">
        <f>VLOOKUP($B:$B,[140]일위대가!$A:$K,5,FALSE)</f>
        <v>SET</v>
      </c>
      <c r="F104" s="697">
        <f>'일위대가 (진열장)'!H784</f>
        <v>353000</v>
      </c>
      <c r="G104" s="697">
        <f>'일위대가 (진열장)'!J784</f>
        <v>96655</v>
      </c>
      <c r="H104" s="697">
        <f t="shared" si="2"/>
        <v>449655</v>
      </c>
      <c r="I104" s="699"/>
    </row>
    <row r="105" spans="1:9" s="688" customFormat="1" ht="27.4" customHeight="1">
      <c r="A105" s="695" t="str">
        <f t="shared" si="3"/>
        <v>베어링레일및가공설치22*422.3T가공M</v>
      </c>
      <c r="B105" s="696" t="s">
        <v>5349</v>
      </c>
      <c r="C105" s="697" t="str">
        <f>VLOOKUP($B:$B,[140]일위대가!$A:$K,2,FALSE)</f>
        <v>베어링레일및가공 설치</v>
      </c>
      <c r="D105" s="697" t="str">
        <f>IF(VLOOKUP(B:B,[140]일위대가!A:K,3,FALSE)="","",VLOOKUP(B:B,[140]일위대가!A:K,3,FALSE))</f>
        <v>22*42 2.3T 가공</v>
      </c>
      <c r="E105" s="698" t="str">
        <f>VLOOKUP($B:$B,[140]일위대가!$A:$K,5,FALSE)</f>
        <v>M</v>
      </c>
      <c r="F105" s="697">
        <f>'일위대가 (진열장)'!H792</f>
        <v>136500</v>
      </c>
      <c r="G105" s="697">
        <f>'일위대가 (진열장)'!J792</f>
        <v>35420</v>
      </c>
      <c r="H105" s="697">
        <f t="shared" si="2"/>
        <v>171920</v>
      </c>
      <c r="I105" s="699"/>
    </row>
    <row r="106" spans="1:9" s="688" customFormat="1" ht="27.4" customHeight="1">
      <c r="A106" s="695" t="str">
        <f t="shared" si="3"/>
        <v>베어링레일및가공설치22*422.3T가공(2단)M</v>
      </c>
      <c r="B106" s="696" t="s">
        <v>5350</v>
      </c>
      <c r="C106" s="697" t="str">
        <f>VLOOKUP($B:$B,[140]일위대가!$A:$K,2,FALSE)</f>
        <v>베어링레일및가공 설치</v>
      </c>
      <c r="D106" s="697" t="str">
        <f>IF(VLOOKUP(B:B,[140]일위대가!A:K,3,FALSE)="","",VLOOKUP(B:B,[140]일위대가!A:K,3,FALSE))</f>
        <v>22*42 2.3T 가공(2단)</v>
      </c>
      <c r="E106" s="698" t="str">
        <f>VLOOKUP($B:$B,[140]일위대가!$A:$K,5,FALSE)</f>
        <v>M</v>
      </c>
      <c r="F106" s="697">
        <f>'일위대가 (진열장)'!H800</f>
        <v>273000</v>
      </c>
      <c r="G106" s="697">
        <f>'일위대가 (진열장)'!J800</f>
        <v>70841</v>
      </c>
      <c r="H106" s="697">
        <f t="shared" si="2"/>
        <v>343841</v>
      </c>
      <c r="I106" s="699"/>
    </row>
    <row r="107" spans="1:9" s="688" customFormat="1" ht="27.4" customHeight="1">
      <c r="A107" s="695" t="str">
        <f t="shared" si="3"/>
        <v>슬라이딩베어링가공조립Ø26ea</v>
      </c>
      <c r="B107" s="696" t="s">
        <v>5351</v>
      </c>
      <c r="C107" s="697" t="str">
        <f>VLOOKUP($B:$B,[140]일위대가!$A:$K,2,FALSE)</f>
        <v>슬라이딩베어링 가공조립</v>
      </c>
      <c r="D107" s="697" t="str">
        <f>IF(VLOOKUP(B:B,[140]일위대가!A:K,3,FALSE)="","",VLOOKUP(B:B,[140]일위대가!A:K,3,FALSE))</f>
        <v>Ø26</v>
      </c>
      <c r="E107" s="698" t="str">
        <f>VLOOKUP($B:$B,[140]일위대가!$A:$K,5,FALSE)</f>
        <v>ea</v>
      </c>
      <c r="F107" s="697">
        <f>'일위대가 (진열장)'!H808</f>
        <v>6500</v>
      </c>
      <c r="G107" s="697">
        <f>'일위대가 (진열장)'!J808</f>
        <v>3864</v>
      </c>
      <c r="H107" s="697">
        <f t="shared" si="2"/>
        <v>10364</v>
      </c>
      <c r="I107" s="699"/>
    </row>
    <row r="108" spans="1:9" s="688" customFormat="1" ht="27.4" customHeight="1">
      <c r="A108" s="695" t="str">
        <f t="shared" si="3"/>
        <v>베어링붓싱가공조립#6200ea</v>
      </c>
      <c r="B108" s="696" t="s">
        <v>5352</v>
      </c>
      <c r="C108" s="697" t="str">
        <f>VLOOKUP($B:$B,[140]일위대가!$A:$K,2,FALSE)</f>
        <v>베어링 붓싱가공조립</v>
      </c>
      <c r="D108" s="697" t="str">
        <f>IF(VLOOKUP(B:B,[140]일위대가!A:K,3,FALSE)="","",VLOOKUP(B:B,[140]일위대가!A:K,3,FALSE))</f>
        <v>#6200</v>
      </c>
      <c r="E108" s="698" t="str">
        <f>VLOOKUP($B:$B,[140]일위대가!$A:$K,5,FALSE)</f>
        <v>ea</v>
      </c>
      <c r="F108" s="697">
        <f>'일위대가 (진열장)'!H816</f>
        <v>6000</v>
      </c>
      <c r="G108" s="697">
        <f>'일위대가 (진열장)'!J816</f>
        <v>3864</v>
      </c>
      <c r="H108" s="697">
        <f t="shared" si="2"/>
        <v>9864</v>
      </c>
      <c r="I108" s="699"/>
    </row>
    <row r="109" spans="1:9" s="688" customFormat="1" ht="27.4" customHeight="1">
      <c r="A109" s="695" t="str">
        <f t="shared" si="3"/>
        <v>그림걸이레일설치M</v>
      </c>
      <c r="B109" s="696" t="s">
        <v>5353</v>
      </c>
      <c r="C109" s="697" t="str">
        <f>VLOOKUP($B:$B,[140]일위대가!$A:$K,2,FALSE)</f>
        <v>그림걸이레일 설치</v>
      </c>
      <c r="D109" s="697" t="str">
        <f>IF(VLOOKUP(B:B,[140]일위대가!A:K,3,FALSE)="","",VLOOKUP(B:B,[140]일위대가!A:K,3,FALSE))</f>
        <v/>
      </c>
      <c r="E109" s="698" t="str">
        <f>VLOOKUP($B:$B,[140]일위대가!$A:$K,5,FALSE)</f>
        <v>M</v>
      </c>
      <c r="F109" s="697">
        <f>'일위대가 (진열장)'!H824</f>
        <v>6500</v>
      </c>
      <c r="G109" s="697">
        <f>'일위대가 (진열장)'!J824</f>
        <v>4294</v>
      </c>
      <c r="H109" s="697">
        <f t="shared" ref="H109:H118" si="4">F109+G109</f>
        <v>10794</v>
      </c>
      <c r="I109" s="699"/>
    </row>
    <row r="110" spans="1:9" s="688" customFormat="1" ht="27.4" customHeight="1">
      <c r="A110" s="695" t="str">
        <f t="shared" si="3"/>
        <v>센터베어링및스톱파가공조립벽부형SET</v>
      </c>
      <c r="B110" s="696" t="s">
        <v>5354</v>
      </c>
      <c r="C110" s="697" t="str">
        <f>VLOOKUP($B:$B,[140]일위대가!$A:$K,2,FALSE)</f>
        <v>센터베어링및스톱파 가공조립</v>
      </c>
      <c r="D110" s="697" t="str">
        <f>IF(VLOOKUP(B:B,[140]일위대가!A:K,3,FALSE)="","",VLOOKUP(B:B,[140]일위대가!A:K,3,FALSE))</f>
        <v>벽부형</v>
      </c>
      <c r="E110" s="698" t="str">
        <f>VLOOKUP($B:$B,[140]일위대가!$A:$K,5,FALSE)</f>
        <v>SET</v>
      </c>
      <c r="F110" s="697">
        <f>'일위대가 (진열장)'!H835</f>
        <v>95000</v>
      </c>
      <c r="G110" s="697">
        <f>'일위대가 (진열장)'!J835</f>
        <v>52541</v>
      </c>
      <c r="H110" s="697">
        <f t="shared" si="4"/>
        <v>147541</v>
      </c>
      <c r="I110" s="699"/>
    </row>
    <row r="111" spans="1:9" s="688" customFormat="1" ht="27.4" customHeight="1">
      <c r="A111" s="695" t="str">
        <f t="shared" si="3"/>
        <v>센터베어링및스톱파가공조립독립형1단SET</v>
      </c>
      <c r="B111" s="696" t="s">
        <v>5355</v>
      </c>
      <c r="C111" s="697" t="str">
        <f>VLOOKUP($B:$B,[140]일위대가!$A:$K,2,FALSE)</f>
        <v>센터베어링및스톱파 가공조립</v>
      </c>
      <c r="D111" s="697" t="str">
        <f>IF(VLOOKUP(B:B,[140]일위대가!A:K,3,FALSE)="","",VLOOKUP(B:B,[140]일위대가!A:K,3,FALSE))</f>
        <v>독립형1단</v>
      </c>
      <c r="E111" s="698" t="str">
        <f>VLOOKUP($B:$B,[140]일위대가!$A:$K,5,FALSE)</f>
        <v>SET</v>
      </c>
      <c r="F111" s="697">
        <f>'일위대가 (진열장)'!H846</f>
        <v>85000</v>
      </c>
      <c r="G111" s="697">
        <f>'일위대가 (진열장)'!J846</f>
        <v>62887</v>
      </c>
      <c r="H111" s="697">
        <f t="shared" si="4"/>
        <v>147887</v>
      </c>
      <c r="I111" s="699"/>
    </row>
    <row r="112" spans="1:9" s="688" customFormat="1" ht="27.4" customHeight="1">
      <c r="A112" s="695" t="str">
        <f t="shared" si="3"/>
        <v>센터베어링및스톱파가공조립독립형2단SET</v>
      </c>
      <c r="B112" s="696" t="s">
        <v>5356</v>
      </c>
      <c r="C112" s="697" t="str">
        <f>VLOOKUP($B:$B,[140]일위대가!$A:$K,2,FALSE)</f>
        <v>센터베어링및스톱파 가공조립</v>
      </c>
      <c r="D112" s="697" t="str">
        <f>IF(VLOOKUP(B:B,[140]일위대가!A:K,3,FALSE)="","",VLOOKUP(B:B,[140]일위대가!A:K,3,FALSE))</f>
        <v>독립형2단</v>
      </c>
      <c r="E112" s="698" t="str">
        <f>VLOOKUP($B:$B,[140]일위대가!$A:$K,5,FALSE)</f>
        <v>SET</v>
      </c>
      <c r="F112" s="697">
        <f>'일위대가 (진열장)'!H857</f>
        <v>130000</v>
      </c>
      <c r="G112" s="697">
        <f>'일위대가 (진열장)'!J857</f>
        <v>69932</v>
      </c>
      <c r="H112" s="697">
        <f t="shared" si="4"/>
        <v>199932</v>
      </c>
      <c r="I112" s="699"/>
    </row>
    <row r="113" spans="1:9" s="688" customFormat="1" ht="27.4" customHeight="1">
      <c r="A113" s="695" t="str">
        <f t="shared" si="3"/>
        <v>전후진전동콘트롤제작설치벽부형SET</v>
      </c>
      <c r="B113" s="696" t="s">
        <v>5357</v>
      </c>
      <c r="C113" s="697" t="str">
        <f>VLOOKUP($B:$B,[140]일위대가!$A:$K,2,FALSE)</f>
        <v>전후진 전동콘트롤 제작설치</v>
      </c>
      <c r="D113" s="697" t="str">
        <f>IF(VLOOKUP(B:B,[140]일위대가!A:K,3,FALSE)="","",VLOOKUP(B:B,[140]일위대가!A:K,3,FALSE))</f>
        <v>벽부형</v>
      </c>
      <c r="E113" s="698" t="str">
        <f>VLOOKUP($B:$B,[140]일위대가!$A:$K,5,FALSE)</f>
        <v>SET</v>
      </c>
      <c r="F113" s="697">
        <f>'일위대가 (진열장)'!H865</f>
        <v>900000</v>
      </c>
      <c r="G113" s="697">
        <f>'일위대가 (진열장)'!J865</f>
        <v>65053</v>
      </c>
      <c r="H113" s="697">
        <f t="shared" si="4"/>
        <v>965053</v>
      </c>
      <c r="I113" s="699"/>
    </row>
    <row r="114" spans="1:9" s="688" customFormat="1" ht="27.4" customHeight="1">
      <c r="A114" s="695" t="str">
        <f t="shared" si="3"/>
        <v>전후진전동콘트롤제작설치독립형SET</v>
      </c>
      <c r="B114" s="696" t="s">
        <v>5358</v>
      </c>
      <c r="C114" s="697" t="str">
        <f>VLOOKUP($B:$B,[140]일위대가!$A:$K,2,FALSE)</f>
        <v>전후진 전동콘트롤 제작설치</v>
      </c>
      <c r="D114" s="697" t="str">
        <f>IF(VLOOKUP(B:B,[140]일위대가!A:K,3,FALSE)="","",VLOOKUP(B:B,[140]일위대가!A:K,3,FALSE))</f>
        <v>독립형</v>
      </c>
      <c r="E114" s="698" t="str">
        <f>VLOOKUP($B:$B,[140]일위대가!$A:$K,5,FALSE)</f>
        <v>SET</v>
      </c>
      <c r="F114" s="697">
        <f>'일위대가 (진열장)'!H873</f>
        <v>400000</v>
      </c>
      <c r="G114" s="697">
        <f>'일위대가 (진열장)'!J873</f>
        <v>65053</v>
      </c>
      <c r="H114" s="697">
        <f t="shared" si="4"/>
        <v>465053</v>
      </c>
      <c r="I114" s="699"/>
    </row>
    <row r="115" spans="1:9" s="688" customFormat="1" ht="27.4" customHeight="1">
      <c r="A115" s="695" t="str">
        <f t="shared" si="3"/>
        <v>LED전반조명CASE제작설치도장포함M</v>
      </c>
      <c r="B115" s="696" t="s">
        <v>5359</v>
      </c>
      <c r="C115" s="697" t="str">
        <f>VLOOKUP($B:$B,[140]일위대가!$A:$K,2,FALSE)</f>
        <v>LED전반조명CASE제작설치</v>
      </c>
      <c r="D115" s="697" t="str">
        <f>IF(VLOOKUP(B:B,[140]일위대가!A:K,3,FALSE)="","",VLOOKUP(B:B,[140]일위대가!A:K,3,FALSE))</f>
        <v>도장포함</v>
      </c>
      <c r="E115" s="698" t="str">
        <f>VLOOKUP($B:$B,[140]일위대가!$A:$K,5,FALSE)</f>
        <v>M</v>
      </c>
      <c r="F115" s="697">
        <f>'일위대가 (진열장)'!H884</f>
        <v>50493</v>
      </c>
      <c r="G115" s="697">
        <f>'일위대가 (진열장)'!J884</f>
        <v>84131</v>
      </c>
      <c r="H115" s="697">
        <f t="shared" si="4"/>
        <v>134624</v>
      </c>
      <c r="I115" s="699"/>
    </row>
    <row r="116" spans="1:9" s="688" customFormat="1" ht="27.4" customHeight="1">
      <c r="A116" s="695" t="str">
        <f t="shared" si="3"/>
        <v>CASTER&amp;ADJUSTER제작설치ea</v>
      </c>
      <c r="B116" s="696" t="s">
        <v>5360</v>
      </c>
      <c r="C116" s="697" t="str">
        <f>VLOOKUP($B:$B,[140]일위대가!$A:$K,2,FALSE)</f>
        <v>CASTER&amp;ADJUSTER 제작설치</v>
      </c>
      <c r="D116" s="697" t="str">
        <f>IF(VLOOKUP(B:B,[140]일위대가!A:K,3,FALSE)="","",VLOOKUP(B:B,[140]일위대가!A:K,3,FALSE))</f>
        <v/>
      </c>
      <c r="E116" s="698" t="str">
        <f>VLOOKUP($B:$B,[140]일위대가!$A:$K,5,FALSE)</f>
        <v>ea</v>
      </c>
      <c r="F116" s="697">
        <f>'일위대가 (진열장)'!H893</f>
        <v>51224</v>
      </c>
      <c r="G116" s="697">
        <f>'일위대가 (진열장)'!J893</f>
        <v>3792</v>
      </c>
      <c r="H116" s="697">
        <f t="shared" si="4"/>
        <v>55016</v>
      </c>
      <c r="I116" s="699"/>
    </row>
    <row r="117" spans="1:9" s="688" customFormat="1" ht="27.4" customHeight="1">
      <c r="A117" s="695" t="str">
        <f t="shared" si="3"/>
        <v>5면장유리후레임T3.2M2</v>
      </c>
      <c r="B117" s="696" t="s">
        <v>5361</v>
      </c>
      <c r="C117" s="697" t="str">
        <f>VLOOKUP($B:$B,[140]일위대가!$A:$K,2,FALSE)</f>
        <v>5면장 유리후레임</v>
      </c>
      <c r="D117" s="697" t="str">
        <f>IF(VLOOKUP(B:B,[140]일위대가!A:K,3,FALSE)="","",VLOOKUP(B:B,[140]일위대가!A:K,3,FALSE))</f>
        <v>T3.2</v>
      </c>
      <c r="E117" s="698" t="str">
        <f>VLOOKUP($B:$B,[140]일위대가!$A:$K,5,FALSE)</f>
        <v>M2</v>
      </c>
      <c r="F117" s="697">
        <f>'일위대가 (진열장)'!H900</f>
        <v>92822</v>
      </c>
      <c r="G117" s="697">
        <f>'일위대가 (진열장)'!J900</f>
        <v>96177</v>
      </c>
      <c r="H117" s="697">
        <f t="shared" si="4"/>
        <v>188999</v>
      </c>
      <c r="I117" s="699"/>
    </row>
    <row r="118" spans="1:9" s="688" customFormat="1" ht="27.4" customHeight="1">
      <c r="A118" s="695" t="str">
        <f t="shared" si="3"/>
        <v>인테리어필름붙임넓은면M2</v>
      </c>
      <c r="B118" s="696" t="s">
        <v>5362</v>
      </c>
      <c r="C118" s="697" t="str">
        <f>VLOOKUP($B:$B,[140]일위대가!$A:$K,2,FALSE)</f>
        <v>인테리어필름붙임</v>
      </c>
      <c r="D118" s="697" t="str">
        <f>IF(VLOOKUP(B:B,[140]일위대가!A:K,3,FALSE)="","",VLOOKUP(B:B,[140]일위대가!A:K,3,FALSE))</f>
        <v>넓은면</v>
      </c>
      <c r="E118" s="698" t="str">
        <f>VLOOKUP($B:$B,[140]일위대가!$A:$K,5,FALSE)</f>
        <v>M2</v>
      </c>
      <c r="F118" s="697">
        <f>'일위대가 (진열장)'!H909</f>
        <v>40973</v>
      </c>
      <c r="G118" s="697">
        <f>'일위대가 (진열장)'!J909</f>
        <v>33799</v>
      </c>
      <c r="H118" s="697">
        <f t="shared" si="4"/>
        <v>74772</v>
      </c>
      <c r="I118" s="699"/>
    </row>
    <row r="119" spans="1:9" s="688" customFormat="1" ht="27.4" customHeight="1">
      <c r="A119" s="695"/>
      <c r="B119" s="700"/>
      <c r="C119" s="701"/>
      <c r="D119" s="701"/>
      <c r="E119" s="702"/>
      <c r="F119" s="701"/>
      <c r="G119" s="701"/>
      <c r="H119" s="701"/>
      <c r="I119" s="703"/>
    </row>
    <row r="120" spans="1:9" s="688" customFormat="1" ht="27.4" customHeight="1">
      <c r="A120" s="695"/>
      <c r="B120" s="700"/>
      <c r="C120" s="701"/>
      <c r="D120" s="701"/>
      <c r="E120" s="702"/>
      <c r="F120" s="701"/>
      <c r="G120" s="701"/>
      <c r="H120" s="701"/>
      <c r="I120" s="703"/>
    </row>
    <row r="121" spans="1:9" s="709" customFormat="1" ht="27.4" customHeight="1">
      <c r="A121" s="704"/>
      <c r="B121" s="705"/>
      <c r="C121" s="706"/>
      <c r="D121" s="706"/>
      <c r="E121" s="707"/>
      <c r="F121" s="706"/>
      <c r="G121" s="706"/>
      <c r="H121" s="706"/>
      <c r="I121" s="708"/>
    </row>
    <row r="122" spans="1:9" s="709" customFormat="1" ht="27.4" customHeight="1">
      <c r="A122" s="704"/>
      <c r="B122" s="705"/>
      <c r="C122" s="706"/>
      <c r="D122" s="706"/>
      <c r="E122" s="707"/>
      <c r="F122" s="706"/>
      <c r="G122" s="706"/>
      <c r="H122" s="706"/>
      <c r="I122" s="708"/>
    </row>
    <row r="123" spans="1:9" s="709" customFormat="1" ht="27.4" customHeight="1">
      <c r="A123" s="704"/>
      <c r="B123" s="705"/>
      <c r="C123" s="706"/>
      <c r="D123" s="706"/>
      <c r="E123" s="707"/>
      <c r="F123" s="706"/>
      <c r="G123" s="706"/>
      <c r="H123" s="706"/>
      <c r="I123" s="708"/>
    </row>
    <row r="124" spans="1:9" s="709" customFormat="1" ht="27.4" customHeight="1">
      <c r="A124" s="704"/>
      <c r="B124" s="705"/>
      <c r="C124" s="706"/>
      <c r="D124" s="706"/>
      <c r="E124" s="707"/>
      <c r="F124" s="706"/>
      <c r="G124" s="706"/>
      <c r="H124" s="706"/>
      <c r="I124" s="708"/>
    </row>
    <row r="125" spans="1:9" s="709" customFormat="1" ht="27.4" customHeight="1">
      <c r="A125" s="704"/>
      <c r="B125" s="705"/>
      <c r="C125" s="706"/>
      <c r="D125" s="706"/>
      <c r="E125" s="707"/>
      <c r="F125" s="706"/>
      <c r="G125" s="706"/>
      <c r="H125" s="706"/>
      <c r="I125" s="708"/>
    </row>
    <row r="126" spans="1:9" s="709" customFormat="1" ht="27.4" customHeight="1">
      <c r="A126" s="704"/>
      <c r="B126" s="705"/>
      <c r="C126" s="706"/>
      <c r="D126" s="706"/>
      <c r="E126" s="707"/>
      <c r="F126" s="706"/>
      <c r="G126" s="706"/>
      <c r="H126" s="706"/>
      <c r="I126" s="708"/>
    </row>
    <row r="127" spans="1:9" s="709" customFormat="1" ht="27.4" customHeight="1">
      <c r="A127" s="704"/>
      <c r="B127" s="705"/>
      <c r="C127" s="706"/>
      <c r="D127" s="706"/>
      <c r="E127" s="707"/>
      <c r="F127" s="706"/>
      <c r="G127" s="706"/>
      <c r="H127" s="706"/>
      <c r="I127" s="708"/>
    </row>
    <row r="128" spans="1:9" s="709" customFormat="1" ht="27.4" customHeight="1">
      <c r="A128" s="704"/>
      <c r="B128" s="705"/>
      <c r="C128" s="706"/>
      <c r="D128" s="706"/>
      <c r="E128" s="707"/>
      <c r="F128" s="706"/>
      <c r="G128" s="706"/>
      <c r="H128" s="706"/>
      <c r="I128" s="708"/>
    </row>
    <row r="129" spans="1:9" s="709" customFormat="1" ht="27.4" customHeight="1">
      <c r="A129" s="704"/>
      <c r="B129" s="705"/>
      <c r="C129" s="706"/>
      <c r="D129" s="706"/>
      <c r="E129" s="707"/>
      <c r="F129" s="706"/>
      <c r="G129" s="706"/>
      <c r="H129" s="706"/>
      <c r="I129" s="708"/>
    </row>
    <row r="130" spans="1:9" s="709" customFormat="1" ht="27.4" customHeight="1">
      <c r="A130" s="704"/>
      <c r="B130" s="705"/>
      <c r="C130" s="706"/>
      <c r="D130" s="706"/>
      <c r="E130" s="707"/>
      <c r="F130" s="706"/>
      <c r="G130" s="706"/>
      <c r="H130" s="706"/>
      <c r="I130" s="708"/>
    </row>
    <row r="131" spans="1:9" s="709" customFormat="1" ht="27.4" customHeight="1">
      <c r="A131" s="704"/>
      <c r="B131" s="705"/>
      <c r="C131" s="706"/>
      <c r="D131" s="706"/>
      <c r="E131" s="707"/>
      <c r="F131" s="706"/>
      <c r="G131" s="706"/>
      <c r="H131" s="706"/>
      <c r="I131" s="708"/>
    </row>
    <row r="132" spans="1:9" s="709" customFormat="1" ht="27.4" customHeight="1">
      <c r="A132" s="704"/>
      <c r="B132" s="705"/>
      <c r="C132" s="706"/>
      <c r="D132" s="706"/>
      <c r="E132" s="707"/>
      <c r="F132" s="706"/>
      <c r="G132" s="706"/>
      <c r="H132" s="706"/>
      <c r="I132" s="708"/>
    </row>
    <row r="133" spans="1:9" s="709" customFormat="1" ht="27.4" customHeight="1">
      <c r="A133" s="704"/>
      <c r="B133" s="705"/>
      <c r="C133" s="706"/>
      <c r="D133" s="706"/>
      <c r="E133" s="707"/>
      <c r="F133" s="706"/>
      <c r="G133" s="706"/>
      <c r="H133" s="706"/>
      <c r="I133" s="708"/>
    </row>
    <row r="134" spans="1:9" s="709" customFormat="1" ht="27.4" customHeight="1">
      <c r="A134" s="704"/>
      <c r="B134" s="705"/>
      <c r="C134" s="706"/>
      <c r="D134" s="706"/>
      <c r="E134" s="707"/>
      <c r="F134" s="706"/>
      <c r="G134" s="706"/>
      <c r="H134" s="706"/>
      <c r="I134" s="708"/>
    </row>
    <row r="135" spans="1:9" s="709" customFormat="1" ht="27.4" customHeight="1">
      <c r="A135" s="704"/>
      <c r="B135" s="705"/>
      <c r="C135" s="706"/>
      <c r="D135" s="706"/>
      <c r="E135" s="707"/>
      <c r="F135" s="706"/>
      <c r="G135" s="706"/>
      <c r="H135" s="706"/>
      <c r="I135" s="708"/>
    </row>
    <row r="136" spans="1:9" s="709" customFormat="1" ht="27.4" customHeight="1">
      <c r="A136" s="704"/>
      <c r="B136" s="705"/>
      <c r="C136" s="706"/>
      <c r="D136" s="706"/>
      <c r="E136" s="707"/>
      <c r="F136" s="706"/>
      <c r="G136" s="706"/>
      <c r="H136" s="706"/>
      <c r="I136" s="708"/>
    </row>
    <row r="137" spans="1:9" s="709" customFormat="1" ht="27.4" customHeight="1">
      <c r="A137" s="704"/>
      <c r="B137" s="705"/>
      <c r="C137" s="706"/>
      <c r="D137" s="706"/>
      <c r="E137" s="707"/>
      <c r="F137" s="706"/>
      <c r="G137" s="706"/>
      <c r="H137" s="706"/>
      <c r="I137" s="708"/>
    </row>
    <row r="138" spans="1:9" s="709" customFormat="1" ht="27.4" customHeight="1">
      <c r="A138" s="704"/>
      <c r="B138" s="705"/>
      <c r="C138" s="706"/>
      <c r="D138" s="706"/>
      <c r="E138" s="707"/>
      <c r="F138" s="706"/>
      <c r="G138" s="706"/>
      <c r="H138" s="706"/>
      <c r="I138" s="708"/>
    </row>
    <row r="139" spans="1:9" s="709" customFormat="1" ht="27.4" customHeight="1">
      <c r="A139" s="704"/>
      <c r="B139" s="705"/>
      <c r="C139" s="706"/>
      <c r="D139" s="706"/>
      <c r="E139" s="707"/>
      <c r="F139" s="706"/>
      <c r="G139" s="706"/>
      <c r="H139" s="706"/>
      <c r="I139" s="708"/>
    </row>
    <row r="140" spans="1:9" s="709" customFormat="1" ht="27.4" customHeight="1">
      <c r="A140" s="704"/>
      <c r="B140" s="705"/>
      <c r="C140" s="706"/>
      <c r="D140" s="706"/>
      <c r="E140" s="707"/>
      <c r="F140" s="706"/>
      <c r="G140" s="706"/>
      <c r="H140" s="706"/>
      <c r="I140" s="708"/>
    </row>
    <row r="141" spans="1:9" s="709" customFormat="1" ht="27.4" customHeight="1">
      <c r="A141" s="704"/>
      <c r="B141" s="705"/>
      <c r="C141" s="706"/>
      <c r="D141" s="706"/>
      <c r="E141" s="707"/>
      <c r="F141" s="706"/>
      <c r="G141" s="706"/>
      <c r="H141" s="706"/>
      <c r="I141" s="708"/>
    </row>
    <row r="142" spans="1:9" s="709" customFormat="1" ht="27.4" customHeight="1">
      <c r="A142" s="704"/>
      <c r="B142" s="705"/>
      <c r="C142" s="706"/>
      <c r="D142" s="706"/>
      <c r="E142" s="707"/>
      <c r="F142" s="706"/>
      <c r="G142" s="706"/>
      <c r="H142" s="706"/>
      <c r="I142" s="708"/>
    </row>
    <row r="143" spans="1:9" s="709" customFormat="1" ht="27.4" customHeight="1">
      <c r="A143" s="704"/>
      <c r="B143" s="705"/>
      <c r="C143" s="706"/>
      <c r="D143" s="706"/>
      <c r="E143" s="707"/>
      <c r="F143" s="706"/>
      <c r="G143" s="706"/>
      <c r="H143" s="706"/>
      <c r="I143" s="708"/>
    </row>
    <row r="144" spans="1:9" s="709" customFormat="1" ht="27.4" customHeight="1">
      <c r="A144" s="704"/>
      <c r="B144" s="705"/>
      <c r="C144" s="706"/>
      <c r="D144" s="706"/>
      <c r="E144" s="707"/>
      <c r="F144" s="706"/>
      <c r="G144" s="706"/>
      <c r="H144" s="706"/>
      <c r="I144" s="708"/>
    </row>
    <row r="145" spans="1:9" s="709" customFormat="1" ht="27.4" customHeight="1">
      <c r="A145" s="704"/>
      <c r="B145" s="705"/>
      <c r="C145" s="706"/>
      <c r="D145" s="706"/>
      <c r="E145" s="707"/>
      <c r="F145" s="706"/>
      <c r="G145" s="706"/>
      <c r="H145" s="706"/>
      <c r="I145" s="708"/>
    </row>
    <row r="146" spans="1:9" s="709" customFormat="1" ht="27.4" customHeight="1">
      <c r="A146" s="704"/>
      <c r="B146" s="705"/>
      <c r="C146" s="706"/>
      <c r="D146" s="706"/>
      <c r="E146" s="707"/>
      <c r="F146" s="706"/>
      <c r="G146" s="706"/>
      <c r="H146" s="706"/>
      <c r="I146" s="708"/>
    </row>
    <row r="147" spans="1:9" s="709" customFormat="1" ht="27.4" customHeight="1">
      <c r="A147" s="704"/>
      <c r="B147" s="705"/>
      <c r="C147" s="706"/>
      <c r="D147" s="706"/>
      <c r="E147" s="707"/>
      <c r="F147" s="706"/>
      <c r="G147" s="706"/>
      <c r="H147" s="706"/>
      <c r="I147" s="708"/>
    </row>
    <row r="148" spans="1:9" s="709" customFormat="1" ht="27.4" customHeight="1">
      <c r="A148" s="704"/>
      <c r="B148" s="705"/>
      <c r="C148" s="706"/>
      <c r="D148" s="706"/>
      <c r="E148" s="707"/>
      <c r="F148" s="706"/>
      <c r="G148" s="706"/>
      <c r="H148" s="706"/>
      <c r="I148" s="708"/>
    </row>
    <row r="149" spans="1:9" s="709" customFormat="1" ht="27.4" customHeight="1">
      <c r="A149" s="704"/>
      <c r="B149" s="705"/>
      <c r="C149" s="706"/>
      <c r="D149" s="706"/>
      <c r="E149" s="707"/>
      <c r="F149" s="706"/>
      <c r="G149" s="706"/>
      <c r="H149" s="706"/>
      <c r="I149" s="708"/>
    </row>
    <row r="150" spans="1:9" s="709" customFormat="1" ht="27.4" customHeight="1">
      <c r="A150" s="704"/>
      <c r="B150" s="705"/>
      <c r="C150" s="706"/>
      <c r="D150" s="706"/>
      <c r="E150" s="707"/>
      <c r="F150" s="706"/>
      <c r="G150" s="706"/>
      <c r="H150" s="706"/>
      <c r="I150" s="708"/>
    </row>
    <row r="151" spans="1:9" s="709" customFormat="1" ht="27.4" customHeight="1">
      <c r="A151" s="704"/>
      <c r="B151" s="705"/>
      <c r="C151" s="706"/>
      <c r="D151" s="706"/>
      <c r="E151" s="707"/>
      <c r="F151" s="706"/>
      <c r="G151" s="706"/>
      <c r="H151" s="706"/>
      <c r="I151" s="708"/>
    </row>
    <row r="152" spans="1:9" s="709" customFormat="1" ht="27.4" customHeight="1">
      <c r="A152" s="704"/>
      <c r="B152" s="705"/>
      <c r="C152" s="706"/>
      <c r="D152" s="706"/>
      <c r="E152" s="707"/>
      <c r="F152" s="706"/>
      <c r="G152" s="706"/>
      <c r="H152" s="706"/>
      <c r="I152" s="708"/>
    </row>
    <row r="166" spans="1:9" s="714" customFormat="1" ht="27.4" customHeight="1">
      <c r="A166" s="710" t="s">
        <v>5363</v>
      </c>
      <c r="B166" s="710" t="s">
        <v>5364</v>
      </c>
      <c r="C166" s="710" t="s">
        <v>5365</v>
      </c>
      <c r="D166" s="710" t="s">
        <v>5366</v>
      </c>
      <c r="E166" s="710" t="s">
        <v>5367</v>
      </c>
      <c r="F166" s="711" t="s">
        <v>5368</v>
      </c>
      <c r="G166" s="711" t="s">
        <v>5369</v>
      </c>
      <c r="H166" s="712"/>
      <c r="I166" s="713"/>
    </row>
    <row r="167" spans="1:9" s="709" customFormat="1" ht="27.4" customHeight="1">
      <c r="A167" s="704" t="str">
        <f t="shared" ref="A167:A230" si="5">SUBSTITUTE(CONCATENATE(C:C,D:D,E:E)," ","")</f>
        <v>L-형강50*50*4TKg</v>
      </c>
      <c r="B167" s="715" t="s">
        <v>5370</v>
      </c>
      <c r="C167" s="706" t="str">
        <f>VLOOKUP($B:$B,[140]단가!$B:$K,2,FALSE)</f>
        <v>L-형강</v>
      </c>
      <c r="D167" s="706" t="str">
        <f>IF(VLOOKUP(B:B,[140]단가!B:K,3,FALSE)="","",VLOOKUP(B:B,[140]단가!B:K,3,FALSE))</f>
        <v>50*50*4T</v>
      </c>
      <c r="E167" s="707" t="str">
        <f>VLOOKUP($B:$B,[140]단가!$B:$K,4,FALSE)</f>
        <v>Kg</v>
      </c>
      <c r="F167" s="706">
        <f>VLOOKUP($B:$B,[140]단가!$B:$L,11,FALSE)</f>
        <v>875</v>
      </c>
      <c r="G167" s="706"/>
      <c r="H167" s="712"/>
      <c r="I167" s="713"/>
    </row>
    <row r="168" spans="1:9" s="709" customFormat="1" ht="27.4" customHeight="1">
      <c r="A168" s="704" t="str">
        <f t="shared" si="5"/>
        <v>철판T1.2GALV.M2</v>
      </c>
      <c r="B168" s="715" t="s">
        <v>5371</v>
      </c>
      <c r="C168" s="706" t="str">
        <f>VLOOKUP($B:$B,[140]단가!$B:$K,2,FALSE)</f>
        <v>철판</v>
      </c>
      <c r="D168" s="706" t="str">
        <f>IF(VLOOKUP(B:B,[140]단가!B:K,3,FALSE)="","",VLOOKUP(B:B,[140]단가!B:K,3,FALSE))</f>
        <v>T1.2 GALV.</v>
      </c>
      <c r="E168" s="707" t="str">
        <f>VLOOKUP($B:$B,[140]단가!$B:$K,4,FALSE)</f>
        <v>M2</v>
      </c>
      <c r="F168" s="706">
        <f>VLOOKUP($B:$B,[140]단가!$B:$L,11,FALSE)</f>
        <v>9232</v>
      </c>
      <c r="G168" s="706"/>
      <c r="H168" s="712"/>
      <c r="I168" s="713"/>
    </row>
    <row r="169" spans="1:9" s="709" customFormat="1" ht="27.4" customHeight="1">
      <c r="A169" s="704" t="str">
        <f t="shared" si="5"/>
        <v>철판T1.6GALV.M2</v>
      </c>
      <c r="B169" s="715" t="s">
        <v>5372</v>
      </c>
      <c r="C169" s="706" t="str">
        <f>VLOOKUP($B:$B,[140]단가!$B:$K,2,FALSE)</f>
        <v>철판</v>
      </c>
      <c r="D169" s="706" t="str">
        <f>IF(VLOOKUP(B:B,[140]단가!B:K,3,FALSE)="","",VLOOKUP(B:B,[140]단가!B:K,3,FALSE))</f>
        <v>T1.6 GALV.</v>
      </c>
      <c r="E169" s="707" t="str">
        <f>VLOOKUP($B:$B,[140]단가!$B:$K,4,FALSE)</f>
        <v>M2</v>
      </c>
      <c r="F169" s="706">
        <f>VLOOKUP($B:$B,[140]단가!$B:$L,11,FALSE)</f>
        <v>12232</v>
      </c>
      <c r="G169" s="706"/>
      <c r="H169" s="712"/>
      <c r="I169" s="713"/>
    </row>
    <row r="170" spans="1:9" s="709" customFormat="1" ht="27.4" customHeight="1">
      <c r="A170" s="704" t="str">
        <f t="shared" si="5"/>
        <v>철판T3.2GALV.M2</v>
      </c>
      <c r="B170" s="715" t="s">
        <v>5373</v>
      </c>
      <c r="C170" s="706" t="str">
        <f>VLOOKUP($B:$B,[140]단가!$B:$K,2,FALSE)</f>
        <v>철판</v>
      </c>
      <c r="D170" s="706" t="str">
        <f>IF(VLOOKUP(B:B,[140]단가!B:K,3,FALSE)="","",VLOOKUP(B:B,[140]단가!B:K,3,FALSE))</f>
        <v>T3.2 GALV.</v>
      </c>
      <c r="E170" s="707" t="str">
        <f>VLOOKUP($B:$B,[140]단가!$B:$K,4,FALSE)</f>
        <v>M2</v>
      </c>
      <c r="F170" s="706">
        <f>VLOOKUP($B:$B,[140]단가!$B:$L,11,FALSE)</f>
        <v>21030</v>
      </c>
      <c r="G170" s="706"/>
      <c r="H170" s="712"/>
      <c r="I170" s="713"/>
    </row>
    <row r="171" spans="1:9" s="709" customFormat="1" ht="27.4" customHeight="1">
      <c r="A171" s="704" t="str">
        <f t="shared" si="5"/>
        <v>각파이프30*30*1.4TKg</v>
      </c>
      <c r="B171" s="715" t="s">
        <v>5374</v>
      </c>
      <c r="C171" s="706" t="str">
        <f>VLOOKUP($B:$B,[140]단가!$B:$K,2,FALSE)</f>
        <v>각파이프</v>
      </c>
      <c r="D171" s="706" t="str">
        <f>IF(VLOOKUP(B:B,[140]단가!B:K,3,FALSE)="","",VLOOKUP(B:B,[140]단가!B:K,3,FALSE))</f>
        <v>30*30*1.4T</v>
      </c>
      <c r="E171" s="707" t="str">
        <f>VLOOKUP($B:$B,[140]단가!$B:$K,4,FALSE)</f>
        <v>Kg</v>
      </c>
      <c r="F171" s="706">
        <f>VLOOKUP($B:$B,[140]단가!$B:$L,11,FALSE)</f>
        <v>1018</v>
      </c>
      <c r="G171" s="706"/>
      <c r="H171" s="712"/>
      <c r="I171" s="713"/>
    </row>
    <row r="172" spans="1:9" s="709" customFormat="1" ht="27.4" customHeight="1">
      <c r="A172" s="704" t="str">
        <f t="shared" si="5"/>
        <v>각파이프40*20*2.3TKg</v>
      </c>
      <c r="B172" s="715" t="s">
        <v>5375</v>
      </c>
      <c r="C172" s="706" t="str">
        <f>VLOOKUP($B:$B,[140]단가!$B:$K,2,FALSE)</f>
        <v>각파이프</v>
      </c>
      <c r="D172" s="706" t="str">
        <f>IF(VLOOKUP(B:B,[140]단가!B:K,3,FALSE)="","",VLOOKUP(B:B,[140]단가!B:K,3,FALSE))</f>
        <v>40*20*2.3T</v>
      </c>
      <c r="E172" s="707" t="str">
        <f>VLOOKUP($B:$B,[140]단가!$B:$K,4,FALSE)</f>
        <v>Kg</v>
      </c>
      <c r="F172" s="706">
        <f>VLOOKUP($B:$B,[140]단가!$B:$L,11,FALSE)</f>
        <v>857</v>
      </c>
      <c r="G172" s="706"/>
      <c r="H172" s="712"/>
      <c r="I172" s="713"/>
    </row>
    <row r="173" spans="1:9" s="709" customFormat="1" ht="27.4" customHeight="1">
      <c r="A173" s="704" t="str">
        <f t="shared" si="5"/>
        <v>각파이프40*40*1.4TKg</v>
      </c>
      <c r="B173" s="715" t="s">
        <v>5376</v>
      </c>
      <c r="C173" s="706" t="str">
        <f>VLOOKUP($B:$B,[140]단가!$B:$K,2,FALSE)</f>
        <v>각파이프</v>
      </c>
      <c r="D173" s="706" t="str">
        <f>IF(VLOOKUP(B:B,[140]단가!B:K,3,FALSE)="","",VLOOKUP(B:B,[140]단가!B:K,3,FALSE))</f>
        <v>40*40*1.4T</v>
      </c>
      <c r="E173" s="707" t="str">
        <f>VLOOKUP($B:$B,[140]단가!$B:$K,4,FALSE)</f>
        <v>Kg</v>
      </c>
      <c r="F173" s="706">
        <f>VLOOKUP($B:$B,[140]단가!$B:$L,11,FALSE)</f>
        <v>1009</v>
      </c>
      <c r="G173" s="706"/>
      <c r="H173" s="712"/>
      <c r="I173" s="713"/>
    </row>
    <row r="174" spans="1:9" s="709" customFormat="1" ht="27.4" customHeight="1">
      <c r="A174" s="704" t="str">
        <f t="shared" si="5"/>
        <v>각파이프50*50*1.4TKg</v>
      </c>
      <c r="B174" s="715" t="s">
        <v>5377</v>
      </c>
      <c r="C174" s="706" t="str">
        <f>VLOOKUP($B:$B,[140]단가!$B:$K,2,FALSE)</f>
        <v>각파이프</v>
      </c>
      <c r="D174" s="706" t="str">
        <f>IF(VLOOKUP(B:B,[140]단가!B:K,3,FALSE)="","",VLOOKUP(B:B,[140]단가!B:K,3,FALSE))</f>
        <v>50*50*1.4T</v>
      </c>
      <c r="E174" s="707" t="str">
        <f>VLOOKUP($B:$B,[140]단가!$B:$K,4,FALSE)</f>
        <v>Kg</v>
      </c>
      <c r="F174" s="706">
        <f>VLOOKUP($B:$B,[140]단가!$B:$L,11,FALSE)</f>
        <v>1007</v>
      </c>
      <c r="G174" s="706"/>
      <c r="H174" s="712"/>
      <c r="I174" s="713"/>
    </row>
    <row r="175" spans="1:9" s="709" customFormat="1" ht="27.4" customHeight="1">
      <c r="A175" s="704" t="str">
        <f t="shared" si="5"/>
        <v>각파이프100*50*2.3TKg</v>
      </c>
      <c r="B175" s="715" t="s">
        <v>5378</v>
      </c>
      <c r="C175" s="706" t="str">
        <f>VLOOKUP($B:$B,[140]단가!$B:$K,2,FALSE)</f>
        <v>각파이프</v>
      </c>
      <c r="D175" s="706" t="str">
        <f>IF(VLOOKUP(B:B,[140]단가!B:K,3,FALSE)="","",VLOOKUP(B:B,[140]단가!B:K,3,FALSE))</f>
        <v>100*50*2.3T</v>
      </c>
      <c r="E175" s="707" t="str">
        <f>VLOOKUP($B:$B,[140]단가!$B:$K,4,FALSE)</f>
        <v>Kg</v>
      </c>
      <c r="F175" s="706">
        <f>VLOOKUP($B:$B,[140]단가!$B:$L,11,FALSE)</f>
        <v>871</v>
      </c>
      <c r="G175" s="706"/>
      <c r="H175" s="712"/>
      <c r="I175" s="713"/>
    </row>
    <row r="176" spans="1:9" s="709" customFormat="1" ht="27.4" customHeight="1">
      <c r="A176" s="704" t="str">
        <f t="shared" si="5"/>
        <v>일반용철못N25Kg</v>
      </c>
      <c r="B176" s="715" t="s">
        <v>5379</v>
      </c>
      <c r="C176" s="706" t="str">
        <f>VLOOKUP($B:$B,[140]단가!$B:$K,2,FALSE)</f>
        <v>일반용철못</v>
      </c>
      <c r="D176" s="706" t="str">
        <f>IF(VLOOKUP(B:B,[140]단가!B:K,3,FALSE)="","",VLOOKUP(B:B,[140]단가!B:K,3,FALSE))</f>
        <v>N25</v>
      </c>
      <c r="E176" s="707" t="str">
        <f>VLOOKUP($B:$B,[140]단가!$B:$K,4,FALSE)</f>
        <v>Kg</v>
      </c>
      <c r="F176" s="706">
        <f>VLOOKUP($B:$B,[140]단가!$B:$L,11,FALSE)</f>
        <v>1540</v>
      </c>
      <c r="G176" s="706"/>
      <c r="H176" s="712"/>
      <c r="I176" s="713"/>
    </row>
    <row r="177" spans="1:9" s="709" customFormat="1" ht="27.4" customHeight="1">
      <c r="A177" s="704" t="str">
        <f t="shared" si="5"/>
        <v>일반용철못N50Kg</v>
      </c>
      <c r="B177" s="715" t="s">
        <v>5380</v>
      </c>
      <c r="C177" s="706" t="str">
        <f>VLOOKUP($B:$B,[140]단가!$B:$K,2,FALSE)</f>
        <v>일반용철못</v>
      </c>
      <c r="D177" s="706" t="str">
        <f>IF(VLOOKUP(B:B,[140]단가!B:K,3,FALSE)="","",VLOOKUP(B:B,[140]단가!B:K,3,FALSE))</f>
        <v>N50</v>
      </c>
      <c r="E177" s="707" t="str">
        <f>VLOOKUP($B:$B,[140]단가!$B:$K,4,FALSE)</f>
        <v>Kg</v>
      </c>
      <c r="F177" s="706">
        <f>VLOOKUP($B:$B,[140]단가!$B:$L,11,FALSE)</f>
        <v>1385</v>
      </c>
      <c r="G177" s="706"/>
      <c r="H177" s="712"/>
      <c r="I177" s="713"/>
    </row>
    <row r="178" spans="1:9" s="709" customFormat="1" ht="27.4" customHeight="1">
      <c r="A178" s="704" t="str">
        <f t="shared" si="5"/>
        <v>일반용철못N75Kg</v>
      </c>
      <c r="B178" s="715" t="s">
        <v>5381</v>
      </c>
      <c r="C178" s="706" t="str">
        <f>VLOOKUP($B:$B,[140]단가!$B:$K,2,FALSE)</f>
        <v>일반용철못</v>
      </c>
      <c r="D178" s="706" t="str">
        <f>IF(VLOOKUP(B:B,[140]단가!B:K,3,FALSE)="","",VLOOKUP(B:B,[140]단가!B:K,3,FALSE))</f>
        <v>N75</v>
      </c>
      <c r="E178" s="707" t="str">
        <f>VLOOKUP($B:$B,[140]단가!$B:$K,4,FALSE)</f>
        <v>Kg</v>
      </c>
      <c r="F178" s="706">
        <f>VLOOKUP($B:$B,[140]단가!$B:$L,11,FALSE)</f>
        <v>1375</v>
      </c>
      <c r="G178" s="706"/>
      <c r="H178" s="712"/>
      <c r="I178" s="713"/>
    </row>
    <row r="179" spans="1:9" s="709" customFormat="1" ht="27.4" customHeight="1">
      <c r="A179" s="704" t="str">
        <f t="shared" si="5"/>
        <v>전산볼트M8M</v>
      </c>
      <c r="B179" s="715" t="s">
        <v>5382</v>
      </c>
      <c r="C179" s="706" t="str">
        <f>VLOOKUP($B:$B,[140]단가!$B:$K,2,FALSE)</f>
        <v>전산볼트</v>
      </c>
      <c r="D179" s="706" t="str">
        <f>IF(VLOOKUP(B:B,[140]단가!B:K,3,FALSE)="","",VLOOKUP(B:B,[140]단가!B:K,3,FALSE))</f>
        <v>M8</v>
      </c>
      <c r="E179" s="707" t="str">
        <f>VLOOKUP($B:$B,[140]단가!$B:$K,4,FALSE)</f>
        <v>M</v>
      </c>
      <c r="F179" s="706">
        <f>VLOOKUP($B:$B,[140]단가!$B:$L,11,FALSE)</f>
        <v>584</v>
      </c>
      <c r="G179" s="706"/>
      <c r="H179" s="712"/>
      <c r="I179" s="713"/>
    </row>
    <row r="180" spans="1:9" s="709" customFormat="1" ht="27.4" customHeight="1">
      <c r="A180" s="704" t="str">
        <f t="shared" si="5"/>
        <v>스트롱앙카Ø6mmEA</v>
      </c>
      <c r="B180" s="715" t="s">
        <v>5383</v>
      </c>
      <c r="C180" s="706" t="str">
        <f>VLOOKUP($B:$B,[140]단가!$B:$K,2,FALSE)</f>
        <v>스트롱앙카</v>
      </c>
      <c r="D180" s="706" t="str">
        <f>IF(VLOOKUP(B:B,[140]단가!B:K,3,FALSE)="","",VLOOKUP(B:B,[140]단가!B:K,3,FALSE))</f>
        <v>Ø6mm</v>
      </c>
      <c r="E180" s="707" t="str">
        <f>VLOOKUP($B:$B,[140]단가!$B:$K,4,FALSE)</f>
        <v>EA</v>
      </c>
      <c r="F180" s="706">
        <f>VLOOKUP($B:$B,[140]단가!$B:$L,11,FALSE)</f>
        <v>130</v>
      </c>
      <c r="G180" s="706"/>
      <c r="H180" s="712"/>
      <c r="I180" s="713"/>
    </row>
    <row r="181" spans="1:9" s="709" customFormat="1" ht="27.4" customHeight="1">
      <c r="A181" s="704" t="str">
        <f t="shared" si="5"/>
        <v>스테인리스작은나사M3*8mmEA</v>
      </c>
      <c r="B181" s="715" t="s">
        <v>5384</v>
      </c>
      <c r="C181" s="706" t="str">
        <f>VLOOKUP($B:$B,[140]단가!$B:$K,2,FALSE)</f>
        <v>스테인리스작은나사</v>
      </c>
      <c r="D181" s="706" t="str">
        <f>IF(VLOOKUP(B:B,[140]단가!B:K,3,FALSE)="","",VLOOKUP(B:B,[140]단가!B:K,3,FALSE))</f>
        <v>M3*8mm</v>
      </c>
      <c r="E181" s="707" t="str">
        <f>VLOOKUP($B:$B,[140]단가!$B:$K,4,FALSE)</f>
        <v>EA</v>
      </c>
      <c r="F181" s="706">
        <f>VLOOKUP($B:$B,[140]단가!$B:$L,11,FALSE)</f>
        <v>12</v>
      </c>
      <c r="G181" s="706"/>
      <c r="H181" s="712"/>
      <c r="I181" s="713"/>
    </row>
    <row r="182" spans="1:9" s="709" customFormat="1" ht="27.4" customHeight="1">
      <c r="A182" s="704" t="str">
        <f t="shared" si="5"/>
        <v>집성스크류#825mmEA</v>
      </c>
      <c r="B182" s="715" t="s">
        <v>5385</v>
      </c>
      <c r="C182" s="706" t="str">
        <f>VLOOKUP($B:$B,[140]단가!$B:$K,2,FALSE)</f>
        <v>집성스크류</v>
      </c>
      <c r="D182" s="706" t="str">
        <f>IF(VLOOKUP(B:B,[140]단가!B:K,3,FALSE)="","",VLOOKUP(B:B,[140]단가!B:K,3,FALSE))</f>
        <v>#8 25mm</v>
      </c>
      <c r="E182" s="707" t="str">
        <f>VLOOKUP($B:$B,[140]단가!$B:$K,4,FALSE)</f>
        <v>EA</v>
      </c>
      <c r="F182" s="706">
        <f>VLOOKUP($B:$B,[140]단가!$B:$L,11,FALSE)</f>
        <v>12</v>
      </c>
      <c r="G182" s="706"/>
      <c r="H182" s="712"/>
      <c r="I182" s="713"/>
    </row>
    <row r="183" spans="1:9" s="709" customFormat="1" ht="27.4" customHeight="1">
      <c r="A183" s="704" t="str">
        <f t="shared" si="5"/>
        <v>코레실SL907프리미엄L</v>
      </c>
      <c r="B183" s="715" t="s">
        <v>5386</v>
      </c>
      <c r="C183" s="706" t="str">
        <f>VLOOKUP($B:$B,[140]단가!$B:$K,2,FALSE)</f>
        <v>코레실</v>
      </c>
      <c r="D183" s="706" t="str">
        <f>IF(VLOOKUP(B:B,[140]단가!B:K,3,FALSE)="","",VLOOKUP(B:B,[140]단가!B:K,3,FALSE))</f>
        <v>SL907프리미엄</v>
      </c>
      <c r="E183" s="707" t="str">
        <f>VLOOKUP($B:$B,[140]단가!$B:$K,4,FALSE)</f>
        <v>L</v>
      </c>
      <c r="F183" s="706">
        <f>VLOOKUP($B:$B,[140]단가!$B:$L,11,FALSE)</f>
        <v>10000</v>
      </c>
      <c r="G183" s="706"/>
      <c r="H183" s="712"/>
      <c r="I183" s="713"/>
    </row>
    <row r="184" spans="1:9" s="709" customFormat="1" ht="27.4" customHeight="1">
      <c r="A184" s="704" t="str">
        <f t="shared" si="5"/>
        <v>광명단조합폐인트KSM6030-2L</v>
      </c>
      <c r="B184" s="715" t="s">
        <v>5387</v>
      </c>
      <c r="C184" s="706" t="str">
        <f>VLOOKUP($B:$B,[140]단가!$B:$K,2,FALSE)</f>
        <v>광명단조합폐인트</v>
      </c>
      <c r="D184" s="706" t="str">
        <f>IF(VLOOKUP(B:B,[140]단가!B:K,3,FALSE)="","",VLOOKUP(B:B,[140]단가!B:K,3,FALSE))</f>
        <v>KSM6030-2</v>
      </c>
      <c r="E184" s="707" t="str">
        <f>VLOOKUP($B:$B,[140]단가!$B:$K,4,FALSE)</f>
        <v>L</v>
      </c>
      <c r="F184" s="706">
        <f>VLOOKUP($B:$B,[140]단가!$B:$L,11,FALSE)</f>
        <v>8983</v>
      </c>
      <c r="G184" s="706"/>
      <c r="H184" s="712"/>
      <c r="I184" s="713"/>
    </row>
    <row r="185" spans="1:9" s="709" customFormat="1" ht="27.4" customHeight="1">
      <c r="A185" s="704" t="str">
        <f t="shared" si="5"/>
        <v>비닐페인트WB290L</v>
      </c>
      <c r="B185" s="715" t="s">
        <v>5388</v>
      </c>
      <c r="C185" s="706" t="str">
        <f>VLOOKUP($B:$B,[140]단가!$B:$K,2,FALSE)</f>
        <v>비닐페인트</v>
      </c>
      <c r="D185" s="706" t="str">
        <f>IF(VLOOKUP(B:B,[140]단가!B:K,3,FALSE)="","",VLOOKUP(B:B,[140]단가!B:K,3,FALSE))</f>
        <v>WB290</v>
      </c>
      <c r="E185" s="707" t="str">
        <f>VLOOKUP($B:$B,[140]단가!$B:$K,4,FALSE)</f>
        <v>L</v>
      </c>
      <c r="F185" s="706">
        <f>VLOOKUP($B:$B,[140]단가!$B:$L,11,FALSE)</f>
        <v>5705</v>
      </c>
      <c r="G185" s="706"/>
      <c r="H185" s="712"/>
      <c r="I185" s="713"/>
    </row>
    <row r="186" spans="1:9" s="709" customFormat="1" ht="27.4" customHeight="1">
      <c r="A186" s="704" t="str">
        <f t="shared" si="5"/>
        <v>신너KSM-6060,1종L</v>
      </c>
      <c r="B186" s="715" t="s">
        <v>5389</v>
      </c>
      <c r="C186" s="706" t="str">
        <f>VLOOKUP($B:$B,[140]단가!$B:$K,2,FALSE)</f>
        <v>신너</v>
      </c>
      <c r="D186" s="706" t="str">
        <f>IF(VLOOKUP(B:B,[140]단가!B:K,3,FALSE)="","",VLOOKUP(B:B,[140]단가!B:K,3,FALSE))</f>
        <v>KSM-6060,1종</v>
      </c>
      <c r="E186" s="707" t="str">
        <f>VLOOKUP($B:$B,[140]단가!$B:$K,4,FALSE)</f>
        <v>L</v>
      </c>
      <c r="F186" s="706">
        <f>VLOOKUP($B:$B,[140]단가!$B:$L,11,FALSE)</f>
        <v>2711</v>
      </c>
      <c r="G186" s="706"/>
      <c r="H186" s="712"/>
      <c r="I186" s="713"/>
    </row>
    <row r="187" spans="1:9" s="709" customFormat="1" ht="27.4" customHeight="1">
      <c r="A187" s="704" t="str">
        <f t="shared" si="5"/>
        <v>신너KSM-6060,2종L</v>
      </c>
      <c r="B187" s="715" t="s">
        <v>5390</v>
      </c>
      <c r="C187" s="706" t="str">
        <f>VLOOKUP($B:$B,[140]단가!$B:$K,2,FALSE)</f>
        <v>신너</v>
      </c>
      <c r="D187" s="706" t="str">
        <f>IF(VLOOKUP(B:B,[140]단가!B:K,3,FALSE)="","",VLOOKUP(B:B,[140]단가!B:K,3,FALSE))</f>
        <v>KSM-6060,2종</v>
      </c>
      <c r="E187" s="707" t="str">
        <f>VLOOKUP($B:$B,[140]단가!$B:$K,4,FALSE)</f>
        <v>L</v>
      </c>
      <c r="F187" s="706">
        <f>VLOOKUP($B:$B,[140]단가!$B:$L,11,FALSE)</f>
        <v>2711</v>
      </c>
      <c r="G187" s="706"/>
      <c r="H187" s="712"/>
      <c r="I187" s="713"/>
    </row>
    <row r="188" spans="1:9" s="709" customFormat="1" ht="27.4" customHeight="1">
      <c r="A188" s="704" t="str">
        <f t="shared" si="5"/>
        <v>신너KSM6060-3L</v>
      </c>
      <c r="B188" s="715" t="s">
        <v>5391</v>
      </c>
      <c r="C188" s="706" t="str">
        <f>VLOOKUP($B:$B,[140]단가!$B:$K,2,FALSE)</f>
        <v>신너</v>
      </c>
      <c r="D188" s="706" t="str">
        <f>IF(VLOOKUP(B:B,[140]단가!B:K,3,FALSE)="","",VLOOKUP(B:B,[140]단가!B:K,3,FALSE))</f>
        <v>KSM6060-3</v>
      </c>
      <c r="E188" s="707" t="str">
        <f>VLOOKUP($B:$B,[140]단가!$B:$K,4,FALSE)</f>
        <v>L</v>
      </c>
      <c r="F188" s="706">
        <f>VLOOKUP($B:$B,[140]단가!$B:$L,11,FALSE)</f>
        <v>2577</v>
      </c>
      <c r="G188" s="706"/>
      <c r="H188" s="712"/>
      <c r="I188" s="713"/>
    </row>
    <row r="189" spans="1:9" s="709" customFormat="1" ht="27.4" customHeight="1">
      <c r="A189" s="704" t="str">
        <f t="shared" si="5"/>
        <v>칼라락카CL440L</v>
      </c>
      <c r="B189" s="715" t="s">
        <v>5392</v>
      </c>
      <c r="C189" s="706" t="str">
        <f>VLOOKUP($B:$B,[140]단가!$B:$K,2,FALSE)</f>
        <v>칼라락카</v>
      </c>
      <c r="D189" s="706" t="str">
        <f>IF(VLOOKUP(B:B,[140]단가!B:K,3,FALSE)="","",VLOOKUP(B:B,[140]단가!B:K,3,FALSE))</f>
        <v>CL440</v>
      </c>
      <c r="E189" s="707" t="str">
        <f>VLOOKUP($B:$B,[140]단가!$B:$K,4,FALSE)</f>
        <v>L</v>
      </c>
      <c r="F189" s="706">
        <f>VLOOKUP($B:$B,[140]단가!$B:$L,11,FALSE)</f>
        <v>6467</v>
      </c>
      <c r="G189" s="706"/>
      <c r="H189" s="712"/>
      <c r="I189" s="713"/>
    </row>
    <row r="190" spans="1:9" s="709" customFormat="1" ht="27.4" customHeight="1">
      <c r="A190" s="704" t="str">
        <f t="shared" si="5"/>
        <v>우레탄신너037UL</v>
      </c>
      <c r="B190" s="715" t="s">
        <v>5393</v>
      </c>
      <c r="C190" s="706" t="str">
        <f>VLOOKUP($B:$B,[140]단가!$B:$K,2,FALSE)</f>
        <v>우레탄신너</v>
      </c>
      <c r="D190" s="706" t="str">
        <f>IF(VLOOKUP(B:B,[140]단가!B:K,3,FALSE)="","",VLOOKUP(B:B,[140]단가!B:K,3,FALSE))</f>
        <v>037U</v>
      </c>
      <c r="E190" s="707" t="str">
        <f>VLOOKUP($B:$B,[140]단가!$B:$K,4,FALSE)</f>
        <v>L</v>
      </c>
      <c r="F190" s="706">
        <f>VLOOKUP($B:$B,[140]단가!$B:$L,11,FALSE)</f>
        <v>5000</v>
      </c>
      <c r="G190" s="706"/>
      <c r="H190" s="712"/>
      <c r="I190" s="713"/>
    </row>
    <row r="191" spans="1:9" s="709" customFormat="1" ht="27.4" customHeight="1">
      <c r="A191" s="704" t="str">
        <f t="shared" si="5"/>
        <v>락카사페사(락카)DNL-4150L</v>
      </c>
      <c r="B191" s="715" t="s">
        <v>5394</v>
      </c>
      <c r="C191" s="706" t="str">
        <f>VLOOKUP($B:$B,[140]단가!$B:$K,2,FALSE)</f>
        <v>락카사페사(락카)</v>
      </c>
      <c r="D191" s="706" t="str">
        <f>IF(VLOOKUP(B:B,[140]단가!B:K,3,FALSE)="","",VLOOKUP(B:B,[140]단가!B:K,3,FALSE))</f>
        <v>DNL-4150</v>
      </c>
      <c r="E191" s="707" t="str">
        <f>VLOOKUP($B:$B,[140]단가!$B:$K,4,FALSE)</f>
        <v>L</v>
      </c>
      <c r="F191" s="706">
        <f>VLOOKUP($B:$B,[140]단가!$B:$L,11,FALSE)</f>
        <v>5931</v>
      </c>
      <c r="G191" s="706"/>
      <c r="H191" s="712"/>
      <c r="I191" s="713"/>
    </row>
    <row r="192" spans="1:9" s="709" customFormat="1" ht="27.4" customHeight="1">
      <c r="A192" s="704" t="str">
        <f t="shared" si="5"/>
        <v>포리퍼티YGL017KG</v>
      </c>
      <c r="B192" s="715" t="s">
        <v>5395</v>
      </c>
      <c r="C192" s="706" t="str">
        <f>VLOOKUP($B:$B,[140]단가!$B:$K,2,FALSE)</f>
        <v>포리퍼티</v>
      </c>
      <c r="D192" s="706" t="str">
        <f>IF(VLOOKUP(B:B,[140]단가!B:K,3,FALSE)="","",VLOOKUP(B:B,[140]단가!B:K,3,FALSE))</f>
        <v>YGL017</v>
      </c>
      <c r="E192" s="707" t="str">
        <f>VLOOKUP($B:$B,[140]단가!$B:$K,4,FALSE)</f>
        <v>KG</v>
      </c>
      <c r="F192" s="706">
        <f>VLOOKUP($B:$B,[140]단가!$B:$L,11,FALSE)</f>
        <v>6750</v>
      </c>
      <c r="G192" s="706"/>
      <c r="H192" s="712"/>
      <c r="I192" s="713"/>
    </row>
    <row r="193" spans="1:9" s="709" customFormat="1" ht="27.4" customHeight="1">
      <c r="A193" s="704" t="str">
        <f t="shared" si="5"/>
        <v>워시프라이머ZQL011L</v>
      </c>
      <c r="B193" s="715" t="s">
        <v>5396</v>
      </c>
      <c r="C193" s="706" t="str">
        <f>VLOOKUP($B:$B,[140]단가!$B:$K,2,FALSE)</f>
        <v>워시프라이머</v>
      </c>
      <c r="D193" s="706" t="str">
        <f>IF(VLOOKUP(B:B,[140]단가!B:K,3,FALSE)="","",VLOOKUP(B:B,[140]단가!B:K,3,FALSE))</f>
        <v>ZQL011</v>
      </c>
      <c r="E193" s="707" t="str">
        <f>VLOOKUP($B:$B,[140]단가!$B:$K,4,FALSE)</f>
        <v>L</v>
      </c>
      <c r="F193" s="706">
        <f>VLOOKUP($B:$B,[140]단가!$B:$L,11,FALSE)</f>
        <v>6155</v>
      </c>
      <c r="G193" s="706"/>
      <c r="H193" s="712"/>
      <c r="I193" s="713"/>
    </row>
    <row r="194" spans="1:9" s="709" customFormat="1" ht="27.4" customHeight="1">
      <c r="A194" s="704" t="str">
        <f t="shared" si="5"/>
        <v>우레탄락카UR3600L</v>
      </c>
      <c r="B194" s="715" t="s">
        <v>5397</v>
      </c>
      <c r="C194" s="706" t="str">
        <f>VLOOKUP($B:$B,[140]단가!$B:$K,2,FALSE)</f>
        <v>우레탄락카</v>
      </c>
      <c r="D194" s="706" t="str">
        <f>IF(VLOOKUP(B:B,[140]단가!B:K,3,FALSE)="","",VLOOKUP(B:B,[140]단가!B:K,3,FALSE))</f>
        <v>UR3600</v>
      </c>
      <c r="E194" s="707" t="str">
        <f>VLOOKUP($B:$B,[140]단가!$B:$K,4,FALSE)</f>
        <v>L</v>
      </c>
      <c r="F194" s="706">
        <f>VLOOKUP($B:$B,[140]단가!$B:$L,11,FALSE)</f>
        <v>16000</v>
      </c>
      <c r="G194" s="706"/>
      <c r="H194" s="712"/>
      <c r="I194" s="713"/>
    </row>
    <row r="195" spans="1:9" s="709" customFormat="1" ht="27.4" customHeight="1">
      <c r="A195" s="704" t="str">
        <f t="shared" si="5"/>
        <v>코아합판T18mm*4'*8'M2</v>
      </c>
      <c r="B195" s="715" t="s">
        <v>5398</v>
      </c>
      <c r="C195" s="706" t="str">
        <f>VLOOKUP($B:$B,[140]단가!$B:$K,2,FALSE)</f>
        <v xml:space="preserve">코아합판 </v>
      </c>
      <c r="D195" s="706" t="str">
        <f>IF(VLOOKUP(B:B,[140]단가!B:K,3,FALSE)="","",VLOOKUP(B:B,[140]단가!B:K,3,FALSE))</f>
        <v>T18mm*4'*8'</v>
      </c>
      <c r="E195" s="707" t="str">
        <f>VLOOKUP($B:$B,[140]단가!$B:$K,4,FALSE)</f>
        <v>M2</v>
      </c>
      <c r="F195" s="706">
        <f>VLOOKUP($B:$B,[140]단가!$B:$L,11,FALSE)</f>
        <v>10942</v>
      </c>
      <c r="G195" s="706"/>
      <c r="H195" s="712"/>
      <c r="I195" s="713"/>
    </row>
    <row r="196" spans="1:9" s="709" customFormat="1" ht="27.4" customHeight="1">
      <c r="A196" s="704" t="str">
        <f t="shared" si="5"/>
        <v>합판T8.5mm*4'*8'M2</v>
      </c>
      <c r="B196" s="715" t="s">
        <v>5399</v>
      </c>
      <c r="C196" s="706" t="str">
        <f>VLOOKUP($B:$B,[140]단가!$B:$K,2,FALSE)</f>
        <v>합판</v>
      </c>
      <c r="D196" s="706" t="str">
        <f>IF(VLOOKUP(B:B,[140]단가!B:K,3,FALSE)="","",VLOOKUP(B:B,[140]단가!B:K,3,FALSE))</f>
        <v>T8.5mm*4'*8'</v>
      </c>
      <c r="E196" s="707" t="str">
        <f>VLOOKUP($B:$B,[140]단가!$B:$K,4,FALSE)</f>
        <v>M2</v>
      </c>
      <c r="F196" s="706">
        <f>VLOOKUP($B:$B,[140]단가!$B:$L,11,FALSE)</f>
        <v>6882</v>
      </c>
      <c r="G196" s="706"/>
      <c r="H196" s="712"/>
      <c r="I196" s="713"/>
    </row>
    <row r="197" spans="1:9" s="709" customFormat="1" ht="27.4" customHeight="1">
      <c r="A197" s="704" t="str">
        <f t="shared" si="5"/>
        <v>합판T11.5mm*4'*8'M2</v>
      </c>
      <c r="B197" s="715" t="s">
        <v>5400</v>
      </c>
      <c r="C197" s="706" t="str">
        <f>VLOOKUP($B:$B,[140]단가!$B:$K,2,FALSE)</f>
        <v>합판</v>
      </c>
      <c r="D197" s="706" t="str">
        <f>IF(VLOOKUP(B:B,[140]단가!B:K,3,FALSE)="","",VLOOKUP(B:B,[140]단가!B:K,3,FALSE))</f>
        <v>T11.5mm*4'*8'</v>
      </c>
      <c r="E197" s="707" t="str">
        <f>VLOOKUP($B:$B,[140]단가!$B:$K,4,FALSE)</f>
        <v>M2</v>
      </c>
      <c r="F197" s="706">
        <f>VLOOKUP($B:$B,[140]단가!$B:$L,11,FALSE)</f>
        <v>8585</v>
      </c>
      <c r="G197" s="706"/>
      <c r="H197" s="712"/>
      <c r="I197" s="713"/>
    </row>
    <row r="198" spans="1:9" s="709" customFormat="1" ht="27.4" customHeight="1">
      <c r="A198" s="704" t="str">
        <f t="shared" si="5"/>
        <v>합판T15mm*4'*8'M2</v>
      </c>
      <c r="B198" s="715" t="s">
        <v>5401</v>
      </c>
      <c r="C198" s="706" t="str">
        <f>VLOOKUP($B:$B,[140]단가!$B:$K,2,FALSE)</f>
        <v>합판</v>
      </c>
      <c r="D198" s="706" t="str">
        <f>IF(VLOOKUP(B:B,[140]단가!B:K,3,FALSE)="","",VLOOKUP(B:B,[140]단가!B:K,3,FALSE))</f>
        <v>T15mm*4'*8'</v>
      </c>
      <c r="E198" s="707" t="str">
        <f>VLOOKUP($B:$B,[140]단가!$B:$K,4,FALSE)</f>
        <v>M2</v>
      </c>
      <c r="F198" s="706">
        <f>VLOOKUP($B:$B,[140]단가!$B:$L,11,FALSE)</f>
        <v>12323</v>
      </c>
      <c r="G198" s="706"/>
      <c r="H198" s="712"/>
      <c r="I198" s="713"/>
    </row>
    <row r="199" spans="1:9" s="709" customFormat="1" ht="27.4" customHeight="1">
      <c r="A199" s="704" t="str">
        <f t="shared" si="5"/>
        <v>mdfT9mm*4'*8'M2</v>
      </c>
      <c r="B199" s="715" t="s">
        <v>5402</v>
      </c>
      <c r="C199" s="706" t="str">
        <f>VLOOKUP($B:$B,[140]단가!$B:$K,2,FALSE)</f>
        <v>mdf</v>
      </c>
      <c r="D199" s="706" t="str">
        <f>IF(VLOOKUP(B:B,[140]단가!B:K,3,FALSE)="","",VLOOKUP(B:B,[140]단가!B:K,3,FALSE))</f>
        <v>T9mm*4'*8'</v>
      </c>
      <c r="E199" s="707" t="str">
        <f>VLOOKUP($B:$B,[140]단가!$B:$K,4,FALSE)</f>
        <v>M2</v>
      </c>
      <c r="F199" s="706">
        <f>VLOOKUP($B:$B,[140]단가!$B:$L,11,FALSE)</f>
        <v>4006</v>
      </c>
      <c r="G199" s="706"/>
      <c r="H199" s="712"/>
      <c r="I199" s="713"/>
    </row>
    <row r="200" spans="1:9" s="709" customFormat="1" ht="27.4" customHeight="1">
      <c r="A200" s="704" t="str">
        <f t="shared" si="5"/>
        <v>mdfT12mm*4'*8'M2</v>
      </c>
      <c r="B200" s="715" t="s">
        <v>5403</v>
      </c>
      <c r="C200" s="706" t="str">
        <f>VLOOKUP($B:$B,[140]단가!$B:$K,2,FALSE)</f>
        <v>mdf</v>
      </c>
      <c r="D200" s="706" t="str">
        <f>IF(VLOOKUP(B:B,[140]단가!B:K,3,FALSE)="","",VLOOKUP(B:B,[140]단가!B:K,3,FALSE))</f>
        <v>T12mm*4'*8'</v>
      </c>
      <c r="E200" s="707" t="str">
        <f>VLOOKUP($B:$B,[140]단가!$B:$K,4,FALSE)</f>
        <v>M2</v>
      </c>
      <c r="F200" s="706">
        <f>VLOOKUP($B:$B,[140]단가!$B:$L,11,FALSE)</f>
        <v>5454</v>
      </c>
      <c r="G200" s="706"/>
      <c r="H200" s="712"/>
      <c r="I200" s="713"/>
    </row>
    <row r="201" spans="1:9" s="709" customFormat="1" ht="27.4" customHeight="1">
      <c r="A201" s="704" t="str">
        <f t="shared" si="5"/>
        <v>mdfT15mm*4'*8'M2</v>
      </c>
      <c r="B201" s="715" t="s">
        <v>5404</v>
      </c>
      <c r="C201" s="706" t="str">
        <f>VLOOKUP($B:$B,[140]단가!$B:$K,2,FALSE)</f>
        <v>mdf</v>
      </c>
      <c r="D201" s="706" t="str">
        <f>IF(VLOOKUP(B:B,[140]단가!B:K,3,FALSE)="","",VLOOKUP(B:B,[140]단가!B:K,3,FALSE))</f>
        <v>T15mm*4'*8'</v>
      </c>
      <c r="E201" s="707" t="str">
        <f>VLOOKUP($B:$B,[140]단가!$B:$K,4,FALSE)</f>
        <v>M2</v>
      </c>
      <c r="F201" s="706">
        <f>VLOOKUP($B:$B,[140]단가!$B:$L,11,FALSE)</f>
        <v>6632</v>
      </c>
      <c r="G201" s="706"/>
      <c r="H201" s="712"/>
      <c r="I201" s="713"/>
    </row>
    <row r="202" spans="1:9" s="709" customFormat="1" ht="27.4" customHeight="1">
      <c r="A202" s="704" t="str">
        <f t="shared" si="5"/>
        <v>초배지양지A급M2</v>
      </c>
      <c r="B202" s="715" t="s">
        <v>5405</v>
      </c>
      <c r="C202" s="706" t="str">
        <f>VLOOKUP($B:$B,[140]단가!$B:$K,2,FALSE)</f>
        <v>초배지</v>
      </c>
      <c r="D202" s="706" t="str">
        <f>IF(VLOOKUP(B:B,[140]단가!B:K,3,FALSE)="","",VLOOKUP(B:B,[140]단가!B:K,3,FALSE))</f>
        <v>양지A급</v>
      </c>
      <c r="E202" s="707" t="str">
        <f>VLOOKUP($B:$B,[140]단가!$B:$K,4,FALSE)</f>
        <v>M2</v>
      </c>
      <c r="F202" s="706">
        <f>VLOOKUP($B:$B,[140]단가!$B:$L,11,FALSE)</f>
        <v>253</v>
      </c>
      <c r="G202" s="706"/>
      <c r="H202" s="712"/>
      <c r="I202" s="713"/>
    </row>
    <row r="203" spans="1:9" s="709" customFormat="1" ht="27.4" customHeight="1">
      <c r="A203" s="704" t="str">
        <f t="shared" si="5"/>
        <v>용접봉2.6mm(CR-13)KG</v>
      </c>
      <c r="B203" s="715" t="s">
        <v>5406</v>
      </c>
      <c r="C203" s="706" t="str">
        <f>VLOOKUP($B:$B,[140]단가!$B:$K,2,FALSE)</f>
        <v>용접봉</v>
      </c>
      <c r="D203" s="706" t="str">
        <f>IF(VLOOKUP(B:B,[140]단가!B:K,3,FALSE)="","",VLOOKUP(B:B,[140]단가!B:K,3,FALSE))</f>
        <v>2.6mm(CR-13)</v>
      </c>
      <c r="E203" s="707" t="str">
        <f>VLOOKUP($B:$B,[140]단가!$B:$K,4,FALSE)</f>
        <v>KG</v>
      </c>
      <c r="F203" s="706">
        <f>VLOOKUP($B:$B,[140]단가!$B:$L,11,FALSE)</f>
        <v>3044</v>
      </c>
      <c r="G203" s="706"/>
      <c r="H203" s="712"/>
      <c r="I203" s="713"/>
    </row>
    <row r="204" spans="1:9" s="709" customFormat="1" ht="27.4" customHeight="1">
      <c r="A204" s="704" t="str">
        <f t="shared" si="5"/>
        <v>연마포#120매</v>
      </c>
      <c r="B204" s="715" t="s">
        <v>5407</v>
      </c>
      <c r="C204" s="706" t="str">
        <f>VLOOKUP($B:$B,[140]단가!$B:$K,2,FALSE)</f>
        <v>연마포</v>
      </c>
      <c r="D204" s="706" t="str">
        <f>IF(VLOOKUP(B:B,[140]단가!B:K,3,FALSE)="","",VLOOKUP(B:B,[140]단가!B:K,3,FALSE))</f>
        <v>#120</v>
      </c>
      <c r="E204" s="707" t="str">
        <f>VLOOKUP($B:$B,[140]단가!$B:$K,4,FALSE)</f>
        <v>매</v>
      </c>
      <c r="F204" s="706">
        <f>VLOOKUP($B:$B,[140]단가!$B:$L,11,FALSE)</f>
        <v>440</v>
      </c>
      <c r="G204" s="706"/>
      <c r="H204" s="712"/>
      <c r="I204" s="713"/>
    </row>
    <row r="205" spans="1:9" s="709" customFormat="1" ht="27.4" customHeight="1">
      <c r="A205" s="704" t="str">
        <f t="shared" si="5"/>
        <v>휘발유고급휘발유탱크로리L</v>
      </c>
      <c r="B205" s="715" t="s">
        <v>5408</v>
      </c>
      <c r="C205" s="706" t="str">
        <f>VLOOKUP($B:$B,[140]단가!$B:$K,2,FALSE)</f>
        <v>휘발유</v>
      </c>
      <c r="D205" s="706" t="str">
        <f>IF(VLOOKUP(B:B,[140]단가!B:K,3,FALSE)="","",VLOOKUP(B:B,[140]단가!B:K,3,FALSE))</f>
        <v>고급휘발유 탱크로리</v>
      </c>
      <c r="E205" s="707" t="str">
        <f>VLOOKUP($B:$B,[140]단가!$B:$K,4,FALSE)</f>
        <v>L</v>
      </c>
      <c r="F205" s="706">
        <f>VLOOKUP($B:$B,[140]단가!$B:$L,11,FALSE)</f>
        <v>1595</v>
      </c>
      <c r="G205" s="706"/>
      <c r="H205" s="712"/>
      <c r="I205" s="713"/>
    </row>
    <row r="206" spans="1:9" s="709" customFormat="1" ht="27.4" customHeight="1">
      <c r="A206" s="704" t="str">
        <f t="shared" si="5"/>
        <v>산소99%L</v>
      </c>
      <c r="B206" s="715" t="s">
        <v>5409</v>
      </c>
      <c r="C206" s="706" t="str">
        <f>VLOOKUP($B:$B,[140]단가!$B:$K,2,FALSE)</f>
        <v>산소</v>
      </c>
      <c r="D206" s="706" t="str">
        <f>IF(VLOOKUP(B:B,[140]단가!B:K,3,FALSE)="","",VLOOKUP(B:B,[140]단가!B:K,3,FALSE))</f>
        <v>99%</v>
      </c>
      <c r="E206" s="707" t="str">
        <f>VLOOKUP($B:$B,[140]단가!$B:$K,4,FALSE)</f>
        <v>L</v>
      </c>
      <c r="F206" s="706">
        <f>VLOOKUP($B:$B,[140]단가!$B:$L,11,FALSE)</f>
        <v>325</v>
      </c>
      <c r="G206" s="706"/>
      <c r="H206" s="712"/>
      <c r="I206" s="713"/>
    </row>
    <row r="207" spans="1:9" s="709" customFormat="1" ht="27.4" customHeight="1">
      <c r="A207" s="704" t="str">
        <f t="shared" si="5"/>
        <v>아세틸렌0.9996KG</v>
      </c>
      <c r="B207" s="715" t="s">
        <v>5410</v>
      </c>
      <c r="C207" s="706" t="str">
        <f>VLOOKUP($B:$B,[140]단가!$B:$K,2,FALSE)</f>
        <v>아세틸렌</v>
      </c>
      <c r="D207" s="706">
        <f>IF(VLOOKUP(B:B,[140]단가!B:K,3,FALSE)="","",VLOOKUP(B:B,[140]단가!B:K,3,FALSE))</f>
        <v>0.99960000000000004</v>
      </c>
      <c r="E207" s="707" t="str">
        <f>VLOOKUP($B:$B,[140]단가!$B:$K,4,FALSE)</f>
        <v>KG</v>
      </c>
      <c r="F207" s="706">
        <f>VLOOKUP($B:$B,[140]단가!$B:$L,11,FALSE)</f>
        <v>13000</v>
      </c>
      <c r="G207" s="706"/>
      <c r="H207" s="712"/>
      <c r="I207" s="713"/>
    </row>
    <row r="208" spans="1:9" s="709" customFormat="1" ht="27.4" customHeight="1">
      <c r="A208" s="704" t="str">
        <f t="shared" si="5"/>
        <v>넝마면T/C제품KG</v>
      </c>
      <c r="B208" s="715" t="s">
        <v>5411</v>
      </c>
      <c r="C208" s="706" t="str">
        <f>VLOOKUP($B:$B,[140]단가!$B:$K,2,FALSE)</f>
        <v>넝마</v>
      </c>
      <c r="D208" s="706" t="str">
        <f>IF(VLOOKUP(B:B,[140]단가!B:K,3,FALSE)="","",VLOOKUP(B:B,[140]단가!B:K,3,FALSE))</f>
        <v>면T/C 제품</v>
      </c>
      <c r="E208" s="707" t="str">
        <f>VLOOKUP($B:$B,[140]단가!$B:$K,4,FALSE)</f>
        <v>KG</v>
      </c>
      <c r="F208" s="706">
        <f>VLOOKUP($B:$B,[140]단가!$B:$L,11,FALSE)</f>
        <v>2000</v>
      </c>
      <c r="G208" s="706"/>
      <c r="H208" s="712"/>
      <c r="I208" s="713"/>
    </row>
    <row r="209" spans="1:9" s="709" customFormat="1" ht="27.4" customHeight="1">
      <c r="A209" s="704" t="str">
        <f t="shared" si="5"/>
        <v>세제유리용KG</v>
      </c>
      <c r="B209" s="715" t="s">
        <v>5412</v>
      </c>
      <c r="C209" s="706" t="str">
        <f>VLOOKUP($B:$B,[140]단가!$B:$K,2,FALSE)</f>
        <v>세제</v>
      </c>
      <c r="D209" s="706" t="str">
        <f>IF(VLOOKUP(B:B,[140]단가!B:K,3,FALSE)="","",VLOOKUP(B:B,[140]단가!B:K,3,FALSE))</f>
        <v>유리용</v>
      </c>
      <c r="E209" s="707" t="str">
        <f>VLOOKUP($B:$B,[140]단가!$B:$K,4,FALSE)</f>
        <v>KG</v>
      </c>
      <c r="F209" s="706">
        <f>VLOOKUP($B:$B,[140]단가!$B:$L,11,FALSE)</f>
        <v>2133</v>
      </c>
      <c r="G209" s="706"/>
      <c r="H209" s="712"/>
      <c r="I209" s="713"/>
    </row>
    <row r="210" spans="1:9" s="709" customFormat="1" ht="27.4" customHeight="1">
      <c r="A210" s="704" t="str">
        <f t="shared" si="5"/>
        <v>전력소요량KWH</v>
      </c>
      <c r="B210" s="715" t="s">
        <v>5413</v>
      </c>
      <c r="C210" s="706" t="str">
        <f>VLOOKUP($B:$B,[140]단가!$B:$K,2,FALSE)</f>
        <v>전력소요량</v>
      </c>
      <c r="D210" s="706" t="str">
        <f>IF(VLOOKUP(B:B,[140]단가!B:K,3,FALSE)="","",VLOOKUP(B:B,[140]단가!B:K,3,FALSE))</f>
        <v/>
      </c>
      <c r="E210" s="707" t="str">
        <f>VLOOKUP($B:$B,[140]단가!$B:$K,4,FALSE)</f>
        <v>KWH</v>
      </c>
      <c r="F210" s="706">
        <f>VLOOKUP($B:$B,[140]단가!$B:$L,11,FALSE)</f>
        <v>0</v>
      </c>
      <c r="G210" s="706"/>
      <c r="H210" s="712"/>
      <c r="I210" s="713"/>
    </row>
    <row r="211" spans="1:9" s="709" customFormat="1" ht="27.4" customHeight="1">
      <c r="A211" s="704" t="str">
        <f t="shared" si="5"/>
        <v>본드도배용KG</v>
      </c>
      <c r="B211" s="715" t="s">
        <v>5414</v>
      </c>
      <c r="C211" s="706" t="str">
        <f>VLOOKUP($B:$B,[140]단가!$B:$K,2,FALSE)</f>
        <v>본드</v>
      </c>
      <c r="D211" s="706" t="str">
        <f>IF(VLOOKUP(B:B,[140]단가!B:K,3,FALSE)="","",VLOOKUP(B:B,[140]단가!B:K,3,FALSE))</f>
        <v>도배용</v>
      </c>
      <c r="E211" s="707" t="str">
        <f>VLOOKUP($B:$B,[140]단가!$B:$K,4,FALSE)</f>
        <v>KG</v>
      </c>
      <c r="F211" s="706">
        <f>VLOOKUP($B:$B,[140]단가!$B:$L,11,FALSE)</f>
        <v>2500</v>
      </c>
      <c r="G211" s="706"/>
      <c r="H211" s="712"/>
      <c r="I211" s="713"/>
    </row>
    <row r="212" spans="1:9" s="709" customFormat="1" ht="27.4" customHeight="1">
      <c r="A212" s="704" t="str">
        <f t="shared" si="5"/>
        <v>석고보드T9.5mm*900*1,800M2</v>
      </c>
      <c r="B212" s="715" t="s">
        <v>5415</v>
      </c>
      <c r="C212" s="706" t="str">
        <f>VLOOKUP($B:$B,[140]단가!$B:$K,2,FALSE)</f>
        <v>석고보드</v>
      </c>
      <c r="D212" s="706" t="str">
        <f>IF(VLOOKUP(B:B,[140]단가!B:K,3,FALSE)="","",VLOOKUP(B:B,[140]단가!B:K,3,FALSE))</f>
        <v>T9.5mm*900*1,800</v>
      </c>
      <c r="E212" s="707" t="str">
        <f>VLOOKUP($B:$B,[140]단가!$B:$K,4,FALSE)</f>
        <v>M2</v>
      </c>
      <c r="F212" s="706">
        <f>VLOOKUP($B:$B,[140]단가!$B:$L,11,FALSE)</f>
        <v>2407</v>
      </c>
      <c r="G212" s="706"/>
      <c r="H212" s="712"/>
      <c r="I212" s="713"/>
    </row>
    <row r="213" spans="1:9" s="709" customFormat="1" ht="27.4" customHeight="1">
      <c r="A213" s="704" t="str">
        <f t="shared" si="5"/>
        <v>풀밀가루풀포</v>
      </c>
      <c r="B213" s="715" t="s">
        <v>5416</v>
      </c>
      <c r="C213" s="706" t="str">
        <f>VLOOKUP($B:$B,[140]단가!$B:$K,2,FALSE)</f>
        <v>풀</v>
      </c>
      <c r="D213" s="706" t="str">
        <f>IF(VLOOKUP(B:B,[140]단가!B:K,3,FALSE)="","",VLOOKUP(B:B,[140]단가!B:K,3,FALSE))</f>
        <v>밀가루풀</v>
      </c>
      <c r="E213" s="707" t="str">
        <f>VLOOKUP($B:$B,[140]단가!$B:$K,4,FALSE)</f>
        <v>포</v>
      </c>
      <c r="F213" s="706">
        <f>VLOOKUP($B:$B,[140]단가!$B:$L,11,FALSE)</f>
        <v>4500</v>
      </c>
      <c r="G213" s="706"/>
      <c r="H213" s="712"/>
      <c r="I213" s="713"/>
    </row>
    <row r="214" spans="1:9" s="709" customFormat="1" ht="27.4" customHeight="1">
      <c r="A214" s="704" t="str">
        <f t="shared" si="5"/>
        <v>골판지원단(보양지)2종㎡</v>
      </c>
      <c r="B214" s="715" t="s">
        <v>5417</v>
      </c>
      <c r="C214" s="706" t="str">
        <f>VLOOKUP($B:$B,[140]단가!$B:$K,2,FALSE)</f>
        <v>골판지 원단(보양지)</v>
      </c>
      <c r="D214" s="706" t="str">
        <f>IF(VLOOKUP(B:B,[140]단가!B:K,3,FALSE)="","",VLOOKUP(B:B,[140]단가!B:K,3,FALSE))</f>
        <v>2종</v>
      </c>
      <c r="E214" s="707" t="str">
        <f>VLOOKUP($B:$B,[140]단가!$B:$K,4,FALSE)</f>
        <v>㎡</v>
      </c>
      <c r="F214" s="706">
        <f>VLOOKUP($B:$B,[140]단가!$B:$L,11,FALSE)</f>
        <v>890</v>
      </c>
      <c r="G214" s="706"/>
      <c r="H214" s="712"/>
      <c r="I214" s="713"/>
    </row>
    <row r="215" spans="1:9" s="709" customFormat="1" ht="27.4" customHeight="1">
      <c r="A215" s="704" t="str">
        <f t="shared" si="5"/>
        <v>가새L:1,518-2개조</v>
      </c>
      <c r="B215" s="715" t="s">
        <v>5418</v>
      </c>
      <c r="C215" s="706" t="str">
        <f>VLOOKUP($B:$B,[140]단가!$B:$K,2,FALSE)</f>
        <v>가새</v>
      </c>
      <c r="D215" s="706" t="str">
        <f>IF(VLOOKUP(B:B,[140]단가!B:K,3,FALSE)="","",VLOOKUP(B:B,[140]단가!B:K,3,FALSE))</f>
        <v>L:1,518-2개</v>
      </c>
      <c r="E215" s="707" t="str">
        <f>VLOOKUP($B:$B,[140]단가!$B:$K,4,FALSE)</f>
        <v>조</v>
      </c>
      <c r="F215" s="706">
        <f>VLOOKUP($B:$B,[140]단가!$B:$L,11,FALSE)</f>
        <v>8000</v>
      </c>
      <c r="G215" s="706"/>
      <c r="H215" s="712"/>
      <c r="I215" s="713"/>
    </row>
    <row r="216" spans="1:9" s="709" customFormat="1" ht="27.4" customHeight="1">
      <c r="A216" s="704" t="str">
        <f t="shared" si="5"/>
        <v>인서트9mm개</v>
      </c>
      <c r="B216" s="715" t="s">
        <v>5419</v>
      </c>
      <c r="C216" s="706" t="str">
        <f>VLOOKUP($B:$B,[140]단가!$B:$K,2,FALSE)</f>
        <v>인서트</v>
      </c>
      <c r="D216" s="706" t="str">
        <f>IF(VLOOKUP(B:B,[140]단가!B:K,3,FALSE)="","",VLOOKUP(B:B,[140]단가!B:K,3,FALSE))</f>
        <v xml:space="preserve"> 9mm</v>
      </c>
      <c r="E216" s="707" t="str">
        <f>VLOOKUP($B:$B,[140]단가!$B:$K,4,FALSE)</f>
        <v>개</v>
      </c>
      <c r="F216" s="706">
        <f>VLOOKUP($B:$B,[140]단가!$B:$L,11,FALSE)</f>
        <v>180</v>
      </c>
      <c r="G216" s="706"/>
      <c r="H216" s="712"/>
      <c r="I216" s="713"/>
    </row>
    <row r="217" spans="1:9" s="709" customFormat="1" ht="27.4" customHeight="1">
      <c r="A217" s="704" t="str">
        <f t="shared" si="5"/>
        <v>용접기교류500AMPHR</v>
      </c>
      <c r="B217" s="715" t="s">
        <v>5420</v>
      </c>
      <c r="C217" s="706" t="str">
        <f>VLOOKUP($B:$B,[140]단가!$B:$K,2,FALSE)</f>
        <v>용접기</v>
      </c>
      <c r="D217" s="706" t="str">
        <f>IF(VLOOKUP(B:B,[140]단가!B:K,3,FALSE)="","",VLOOKUP(B:B,[140]단가!B:K,3,FALSE))</f>
        <v>교류 500AMP</v>
      </c>
      <c r="E217" s="707" t="str">
        <f>VLOOKUP($B:$B,[140]단가!$B:$K,4,FALSE)</f>
        <v>HR</v>
      </c>
      <c r="F217" s="706">
        <f>VLOOKUP($B:$B,[140]단가!$B:$L,11,FALSE)</f>
        <v>124</v>
      </c>
      <c r="G217" s="706"/>
      <c r="H217" s="712"/>
      <c r="I217" s="713"/>
    </row>
    <row r="218" spans="1:9" s="709" customFormat="1" ht="27.4" customHeight="1">
      <c r="A218" s="704" t="str">
        <f t="shared" si="5"/>
        <v>신너KSM6060-3ℓ</v>
      </c>
      <c r="B218" s="715" t="s">
        <v>5421</v>
      </c>
      <c r="C218" s="706" t="str">
        <f>VLOOKUP($B:$B,[140]단가!$B:$K,2,FALSE)</f>
        <v>신너</v>
      </c>
      <c r="D218" s="706" t="str">
        <f>IF(VLOOKUP(B:B,[140]단가!B:K,3,FALSE)="","",VLOOKUP(B:B,[140]단가!B:K,3,FALSE))</f>
        <v>KSM6060-3</v>
      </c>
      <c r="E218" s="707" t="str">
        <f>VLOOKUP($B:$B,[140]단가!$B:$K,4,FALSE)</f>
        <v>ℓ</v>
      </c>
      <c r="F218" s="706">
        <f>VLOOKUP($B:$B,[140]단가!$B:$L,11,FALSE)</f>
        <v>2577</v>
      </c>
      <c r="G218" s="706"/>
      <c r="H218" s="712"/>
      <c r="I218" s="713"/>
    </row>
    <row r="219" spans="1:9" s="709" customFormat="1" ht="27.4" customHeight="1">
      <c r="A219" s="704" t="str">
        <f t="shared" si="5"/>
        <v>바퀴6"EA</v>
      </c>
      <c r="B219" s="715" t="s">
        <v>5422</v>
      </c>
      <c r="C219" s="706" t="str">
        <f>VLOOKUP($B:$B,[140]단가!$B:$K,2,FALSE)</f>
        <v>바퀴</v>
      </c>
      <c r="D219" s="706" t="str">
        <f>IF(VLOOKUP(B:B,[140]단가!B:K,3,FALSE)="","",VLOOKUP(B:B,[140]단가!B:K,3,FALSE))</f>
        <v>6"</v>
      </c>
      <c r="E219" s="707" t="str">
        <f>VLOOKUP($B:$B,[140]단가!$B:$K,4,FALSE)</f>
        <v>EA</v>
      </c>
      <c r="F219" s="706">
        <f>VLOOKUP($B:$B,[140]단가!$B:$L,11,FALSE)</f>
        <v>12000</v>
      </c>
      <c r="G219" s="706"/>
      <c r="H219" s="712"/>
      <c r="I219" s="713"/>
    </row>
    <row r="220" spans="1:9" s="709" customFormat="1" ht="27.4" customHeight="1">
      <c r="A220" s="704" t="str">
        <f t="shared" si="5"/>
        <v>방수소켓6A250VEA</v>
      </c>
      <c r="B220" s="715" t="s">
        <v>5423</v>
      </c>
      <c r="C220" s="706" t="str">
        <f>VLOOKUP($B:$B,[140]단가!$B:$K,2,FALSE)</f>
        <v>방수소켓</v>
      </c>
      <c r="D220" s="706" t="str">
        <f>IF(VLOOKUP(B:B,[140]단가!B:K,3,FALSE)="","",VLOOKUP(B:B,[140]단가!B:K,3,FALSE))</f>
        <v>6A 250V</v>
      </c>
      <c r="E220" s="707" t="str">
        <f>VLOOKUP($B:$B,[140]단가!$B:$K,4,FALSE)</f>
        <v>EA</v>
      </c>
      <c r="F220" s="706">
        <f>VLOOKUP($B:$B,[140]단가!$B:$L,11,FALSE)</f>
        <v>0</v>
      </c>
      <c r="G220" s="706"/>
      <c r="H220" s="712"/>
      <c r="I220" s="713"/>
    </row>
    <row r="221" spans="1:9" s="709" customFormat="1" ht="27.4" customHeight="1">
      <c r="A221" s="704" t="str">
        <f t="shared" si="5"/>
        <v>백열전구220V100W등</v>
      </c>
      <c r="B221" s="715" t="s">
        <v>5424</v>
      </c>
      <c r="C221" s="706" t="str">
        <f>VLOOKUP($B:$B,[140]단가!$B:$K,2,FALSE)</f>
        <v>백열전구</v>
      </c>
      <c r="D221" s="706" t="str">
        <f>IF(VLOOKUP(B:B,[140]단가!B:K,3,FALSE)="","",VLOOKUP(B:B,[140]단가!B:K,3,FALSE))</f>
        <v>220V 100W</v>
      </c>
      <c r="E221" s="707" t="str">
        <f>VLOOKUP($B:$B,[140]단가!$B:$K,4,FALSE)</f>
        <v>등</v>
      </c>
      <c r="F221" s="706">
        <f>VLOOKUP($B:$B,[140]단가!$B:$L,11,FALSE)</f>
        <v>700</v>
      </c>
      <c r="G221" s="706"/>
      <c r="H221" s="712"/>
      <c r="I221" s="713"/>
    </row>
    <row r="222" spans="1:9" s="709" customFormat="1" ht="27.4" customHeight="1">
      <c r="A222" s="704" t="str">
        <f t="shared" si="5"/>
        <v>목공용접착제205kg</v>
      </c>
      <c r="B222" s="715" t="s">
        <v>5425</v>
      </c>
      <c r="C222" s="706" t="str">
        <f>VLOOKUP($B:$B,[140]단가!$B:$K,2,FALSE)</f>
        <v>목공용접착제</v>
      </c>
      <c r="D222" s="706">
        <f>IF(VLOOKUP(B:B,[140]단가!B:K,3,FALSE)="","",VLOOKUP(B:B,[140]단가!B:K,3,FALSE))</f>
        <v>205</v>
      </c>
      <c r="E222" s="707" t="str">
        <f>VLOOKUP($B:$B,[140]단가!$B:$K,4,FALSE)</f>
        <v>kg</v>
      </c>
      <c r="F222" s="706">
        <f>VLOOKUP($B:$B,[140]단가!$B:$L,11,FALSE)</f>
        <v>3529</v>
      </c>
      <c r="G222" s="706"/>
      <c r="H222" s="712"/>
      <c r="I222" s="713"/>
    </row>
    <row r="223" spans="1:9" s="709" customFormat="1" ht="27.4" customHeight="1">
      <c r="A223" s="704" t="str">
        <f t="shared" si="5"/>
        <v>AL몰딩w형1.0*15*15*15*15m</v>
      </c>
      <c r="B223" s="715" t="s">
        <v>5426</v>
      </c>
      <c r="C223" s="706" t="str">
        <f>VLOOKUP($B:$B,[140]단가!$B:$K,2,FALSE)</f>
        <v>AL 몰딩</v>
      </c>
      <c r="D223" s="706" t="str">
        <f>IF(VLOOKUP(B:B,[140]단가!B:K,3,FALSE)="","",VLOOKUP(B:B,[140]단가!B:K,3,FALSE))</f>
        <v>w형 1.0*15*15*15*15</v>
      </c>
      <c r="E223" s="707" t="str">
        <f>VLOOKUP($B:$B,[140]단가!$B:$K,4,FALSE)</f>
        <v>m</v>
      </c>
      <c r="F223" s="706">
        <f>VLOOKUP($B:$B,[140]단가!$B:$L,11,FALSE)</f>
        <v>1890</v>
      </c>
      <c r="G223" s="706"/>
      <c r="H223" s="712"/>
      <c r="I223" s="713"/>
    </row>
    <row r="224" spans="1:9" s="709" customFormat="1" ht="27.4" customHeight="1">
      <c r="A224" s="704" t="str">
        <f t="shared" si="5"/>
        <v>전선600VIV2.0mm*3Cm</v>
      </c>
      <c r="B224" s="715" t="s">
        <v>5427</v>
      </c>
      <c r="C224" s="706" t="str">
        <f>VLOOKUP($B:$B,[140]단가!$B:$K,2,FALSE)</f>
        <v>전선</v>
      </c>
      <c r="D224" s="706" t="str">
        <f>IF(VLOOKUP(B:B,[140]단가!B:K,3,FALSE)="","",VLOOKUP(B:B,[140]단가!B:K,3,FALSE))</f>
        <v>600V IV 2.0mm*3C</v>
      </c>
      <c r="E224" s="707" t="str">
        <f>VLOOKUP($B:$B,[140]단가!$B:$K,4,FALSE)</f>
        <v>m</v>
      </c>
      <c r="F224" s="706">
        <f>VLOOKUP($B:$B,[140]단가!$B:$L,11,FALSE)</f>
        <v>980</v>
      </c>
      <c r="G224" s="706"/>
      <c r="H224" s="712"/>
      <c r="I224" s="713"/>
    </row>
    <row r="225" spans="1:9" s="709" customFormat="1" ht="27.4" customHeight="1">
      <c r="A225" s="704" t="str">
        <f t="shared" si="5"/>
        <v>접착제석고본드Kg</v>
      </c>
      <c r="B225" s="715" t="s">
        <v>5428</v>
      </c>
      <c r="C225" s="706" t="str">
        <f>VLOOKUP($B:$B,[140]단가!$B:$K,2,FALSE)</f>
        <v>접착제</v>
      </c>
      <c r="D225" s="706" t="str">
        <f>IF(VLOOKUP(B:B,[140]단가!B:K,3,FALSE)="","",VLOOKUP(B:B,[140]단가!B:K,3,FALSE))</f>
        <v>석고본드</v>
      </c>
      <c r="E225" s="707" t="str">
        <f>VLOOKUP($B:$B,[140]단가!$B:$K,4,FALSE)</f>
        <v>Kg</v>
      </c>
      <c r="F225" s="706">
        <f>VLOOKUP($B:$B,[140]단가!$B:$L,11,FALSE)</f>
        <v>436</v>
      </c>
      <c r="G225" s="706"/>
      <c r="H225" s="712"/>
      <c r="I225" s="713"/>
    </row>
    <row r="226" spans="1:9" s="709" customFormat="1" ht="27.4" customHeight="1">
      <c r="A226" s="704" t="str">
        <f t="shared" si="5"/>
        <v>BRACE찬넬0.8T67*40m</v>
      </c>
      <c r="B226" s="715" t="s">
        <v>5429</v>
      </c>
      <c r="C226" s="706" t="str">
        <f>VLOOKUP($B:$B,[140]단가!$B:$K,2,FALSE)</f>
        <v>BRACE 찬넬</v>
      </c>
      <c r="D226" s="706" t="str">
        <f>IF(VLOOKUP(B:B,[140]단가!B:K,3,FALSE)="","",VLOOKUP(B:B,[140]단가!B:K,3,FALSE))</f>
        <v>0.8T   67*40</v>
      </c>
      <c r="E226" s="707" t="str">
        <f>VLOOKUP($B:$B,[140]단가!$B:$K,4,FALSE)</f>
        <v>m</v>
      </c>
      <c r="F226" s="706">
        <f>VLOOKUP($B:$B,[140]단가!$B:$L,11,FALSE)</f>
        <v>2120</v>
      </c>
      <c r="G226" s="706"/>
      <c r="H226" s="712"/>
      <c r="I226" s="713"/>
    </row>
    <row r="227" spans="1:9" s="709" customFormat="1" ht="27.4" customHeight="1">
      <c r="A227" s="704" t="str">
        <f t="shared" si="5"/>
        <v>공포C6,8-11mea</v>
      </c>
      <c r="B227" s="715" t="s">
        <v>5430</v>
      </c>
      <c r="C227" s="706" t="str">
        <f>VLOOKUP($B:$B,[140]단가!$B:$K,2,FALSE)</f>
        <v>공포</v>
      </c>
      <c r="D227" s="706" t="str">
        <f>IF(VLOOKUP(B:B,[140]단가!B:K,3,FALSE)="","",VLOOKUP(B:B,[140]단가!B:K,3,FALSE))</f>
        <v>C6,8-11m</v>
      </c>
      <c r="E227" s="707" t="str">
        <f>VLOOKUP($B:$B,[140]단가!$B:$K,4,FALSE)</f>
        <v>ea</v>
      </c>
      <c r="F227" s="706">
        <f>VLOOKUP($B:$B,[140]단가!$B:$L,11,FALSE)</f>
        <v>125</v>
      </c>
      <c r="G227" s="706"/>
      <c r="H227" s="712"/>
      <c r="I227" s="713"/>
    </row>
    <row r="228" spans="1:9" s="709" customFormat="1" ht="27.4" customHeight="1">
      <c r="A228" s="704" t="str">
        <f t="shared" si="5"/>
        <v>HILTPINDX-450EA</v>
      </c>
      <c r="B228" s="715" t="s">
        <v>5431</v>
      </c>
      <c r="C228" s="706" t="str">
        <f>VLOOKUP($B:$B,[140]단가!$B:$K,2,FALSE)</f>
        <v>HILTPIN</v>
      </c>
      <c r="D228" s="706" t="str">
        <f>IF(VLOOKUP(B:B,[140]단가!B:K,3,FALSE)="","",VLOOKUP(B:B,[140]단가!B:K,3,FALSE))</f>
        <v>DX-450</v>
      </c>
      <c r="E228" s="707" t="str">
        <f>VLOOKUP($B:$B,[140]단가!$B:$K,4,FALSE)</f>
        <v>EA</v>
      </c>
      <c r="F228" s="706">
        <f>VLOOKUP($B:$B,[140]단가!$B:$L,11,FALSE)</f>
        <v>84</v>
      </c>
      <c r="G228" s="706"/>
      <c r="H228" s="712"/>
      <c r="I228" s="713"/>
    </row>
    <row r="229" spans="1:9" s="709" customFormat="1" ht="27.4" customHeight="1">
      <c r="A229" s="704" t="str">
        <f t="shared" si="5"/>
        <v>친환경수성페인트내부수성도료ℓ</v>
      </c>
      <c r="B229" s="715" t="s">
        <v>5432</v>
      </c>
      <c r="C229" s="706" t="str">
        <f>VLOOKUP($B:$B,[140]단가!$B:$K,2,FALSE)</f>
        <v>친환경수성페인트</v>
      </c>
      <c r="D229" s="706" t="str">
        <f>IF(VLOOKUP(B:B,[140]단가!B:K,3,FALSE)="","",VLOOKUP(B:B,[140]단가!B:K,3,FALSE))</f>
        <v>내부수성도료</v>
      </c>
      <c r="E229" s="707" t="str">
        <f>VLOOKUP($B:$B,[140]단가!$B:$K,4,FALSE)</f>
        <v>ℓ</v>
      </c>
      <c r="F229" s="706">
        <f>VLOOKUP($B:$B,[140]단가!$B:$L,11,FALSE)</f>
        <v>5705</v>
      </c>
      <c r="G229" s="706"/>
      <c r="H229" s="712"/>
      <c r="I229" s="713"/>
    </row>
    <row r="230" spans="1:9" s="709" customFormat="1" ht="27.4" customHeight="1">
      <c r="A230" s="704" t="str">
        <f t="shared" si="5"/>
        <v>퍼티핸디코트Kg</v>
      </c>
      <c r="B230" s="715" t="s">
        <v>5433</v>
      </c>
      <c r="C230" s="706" t="str">
        <f>VLOOKUP($B:$B,[140]단가!$B:$K,2,FALSE)</f>
        <v>퍼티</v>
      </c>
      <c r="D230" s="706" t="str">
        <f>IF(VLOOKUP(B:B,[140]단가!B:K,3,FALSE)="","",VLOOKUP(B:B,[140]단가!B:K,3,FALSE))</f>
        <v>핸디코트</v>
      </c>
      <c r="E230" s="707" t="str">
        <f>VLOOKUP($B:$B,[140]단가!$B:$K,4,FALSE)</f>
        <v>Kg</v>
      </c>
      <c r="F230" s="706">
        <f>VLOOKUP($B:$B,[140]단가!$B:$L,11,FALSE)</f>
        <v>1030</v>
      </c>
      <c r="G230" s="706"/>
      <c r="H230" s="712"/>
      <c r="I230" s="713"/>
    </row>
    <row r="231" spans="1:9" s="709" customFormat="1" ht="27.4" customHeight="1">
      <c r="A231" s="704" t="str">
        <f t="shared" ref="A231:A294" si="6">SUBSTITUTE(CONCATENATE(C:C,D:D,E:E)," ","")</f>
        <v>휠러외부용25kgKg</v>
      </c>
      <c r="B231" s="715" t="s">
        <v>5434</v>
      </c>
      <c r="C231" s="706" t="str">
        <f>VLOOKUP($B:$B,[140]단가!$B:$K,2,FALSE)</f>
        <v>휠러</v>
      </c>
      <c r="D231" s="706" t="str">
        <f>IF(VLOOKUP(B:B,[140]단가!B:K,3,FALSE)="","",VLOOKUP(B:B,[140]단가!B:K,3,FALSE))</f>
        <v>외부용 25kg</v>
      </c>
      <c r="E231" s="707" t="str">
        <f>VLOOKUP($B:$B,[140]단가!$B:$K,4,FALSE)</f>
        <v>Kg</v>
      </c>
      <c r="F231" s="706">
        <f>VLOOKUP($B:$B,[140]단가!$B:$L,11,FALSE)</f>
        <v>1650</v>
      </c>
      <c r="G231" s="706"/>
      <c r="H231" s="712"/>
      <c r="I231" s="713"/>
    </row>
    <row r="232" spans="1:9" s="709" customFormat="1" ht="27.4" customHeight="1">
      <c r="A232" s="704" t="str">
        <f t="shared" si="6"/>
        <v>연마지#120매</v>
      </c>
      <c r="B232" s="715" t="s">
        <v>5435</v>
      </c>
      <c r="C232" s="706" t="str">
        <f>VLOOKUP($B:$B,[140]단가!$B:$K,2,FALSE)</f>
        <v>연마지</v>
      </c>
      <c r="D232" s="706" t="str">
        <f>IF(VLOOKUP(B:B,[140]단가!B:K,3,FALSE)="","",VLOOKUP(B:B,[140]단가!B:K,3,FALSE))</f>
        <v>#120</v>
      </c>
      <c r="E232" s="707" t="str">
        <f>VLOOKUP($B:$B,[140]단가!$B:$K,4,FALSE)</f>
        <v>매</v>
      </c>
      <c r="F232" s="706">
        <f>VLOOKUP($B:$B,[140]단가!$B:$L,11,FALSE)</f>
        <v>260</v>
      </c>
      <c r="G232" s="706"/>
      <c r="H232" s="712"/>
      <c r="I232" s="713"/>
    </row>
    <row r="233" spans="1:9" s="709" customFormat="1" ht="27.4" customHeight="1">
      <c r="A233" s="704" t="str">
        <f t="shared" si="6"/>
        <v>인테리어필름지방염㎡</v>
      </c>
      <c r="B233" s="715" t="s">
        <v>5436</v>
      </c>
      <c r="C233" s="706" t="str">
        <f>VLOOKUP($B:$B,[140]단가!$B:$K,2,FALSE)</f>
        <v>인테리어필름지</v>
      </c>
      <c r="D233" s="706" t="str">
        <f>IF(VLOOKUP(B:B,[140]단가!B:K,3,FALSE)="","",VLOOKUP(B:B,[140]단가!B:K,3,FALSE))</f>
        <v>방염</v>
      </c>
      <c r="E233" s="707" t="str">
        <f>VLOOKUP($B:$B,[140]단가!$B:$K,4,FALSE)</f>
        <v>㎡</v>
      </c>
      <c r="F233" s="706">
        <f>VLOOKUP($B:$B,[140]단가!$B:$L,11,FALSE)</f>
        <v>34000</v>
      </c>
      <c r="G233" s="706"/>
      <c r="H233" s="712"/>
      <c r="I233" s="713"/>
    </row>
    <row r="234" spans="1:9" s="709" customFormat="1" ht="27.4" customHeight="1">
      <c r="A234" s="704" t="str">
        <f t="shared" si="6"/>
        <v>접착제수성프라이머나-2000Kg</v>
      </c>
      <c r="B234" s="715" t="s">
        <v>5437</v>
      </c>
      <c r="C234" s="706" t="str">
        <f>VLOOKUP($B:$B,[140]단가!$B:$K,2,FALSE)</f>
        <v>접착제</v>
      </c>
      <c r="D234" s="706" t="str">
        <f>IF(VLOOKUP(B:B,[140]단가!B:K,3,FALSE)="","",VLOOKUP(B:B,[140]단가!B:K,3,FALSE))</f>
        <v>수성프라이머나-2000</v>
      </c>
      <c r="E234" s="707" t="str">
        <f>VLOOKUP($B:$B,[140]단가!$B:$K,4,FALSE)</f>
        <v>Kg</v>
      </c>
      <c r="F234" s="706">
        <f>VLOOKUP($B:$B,[140]단가!$B:$L,11,FALSE)</f>
        <v>5400</v>
      </c>
      <c r="G234" s="706"/>
      <c r="H234" s="712"/>
      <c r="I234" s="713"/>
    </row>
    <row r="235" spans="1:9" s="709" customFormat="1" ht="27.4" customHeight="1">
      <c r="A235" s="704" t="str">
        <f t="shared" si="6"/>
        <v>강화유리T12mmM2</v>
      </c>
      <c r="B235" s="715" t="s">
        <v>5438</v>
      </c>
      <c r="C235" s="706" t="str">
        <f>VLOOKUP($B:$B,[140]단가!$B:$K,2,FALSE)</f>
        <v>강화유리</v>
      </c>
      <c r="D235" s="706" t="str">
        <f>IF(VLOOKUP(B:B,[140]단가!B:K,3,FALSE)="","",VLOOKUP(B:B,[140]단가!B:K,3,FALSE))</f>
        <v>T12mm</v>
      </c>
      <c r="E235" s="707" t="str">
        <f>VLOOKUP($B:$B,[140]단가!$B:$K,4,FALSE)</f>
        <v>M2</v>
      </c>
      <c r="F235" s="706">
        <f>VLOOKUP($B:$B,[140]단가!$B:$L,11,FALSE)</f>
        <v>38000</v>
      </c>
      <c r="G235" s="706"/>
      <c r="H235" s="712"/>
      <c r="I235" s="713"/>
    </row>
    <row r="236" spans="1:9" s="709" customFormat="1" ht="27.4" customHeight="1">
      <c r="A236" s="704" t="str">
        <f t="shared" si="6"/>
        <v>강화유리T10mmM2</v>
      </c>
      <c r="B236" s="715" t="s">
        <v>5439</v>
      </c>
      <c r="C236" s="706" t="str">
        <f>VLOOKUP($B:$B,[140]단가!$B:$K,2,FALSE)</f>
        <v>강화유리</v>
      </c>
      <c r="D236" s="706" t="str">
        <f>IF(VLOOKUP(B:B,[140]단가!B:K,3,FALSE)="","",VLOOKUP(B:B,[140]단가!B:K,3,FALSE))</f>
        <v>T10mm</v>
      </c>
      <c r="E236" s="707" t="str">
        <f>VLOOKUP($B:$B,[140]단가!$B:$K,4,FALSE)</f>
        <v>M2</v>
      </c>
      <c r="F236" s="706">
        <f>VLOOKUP($B:$B,[140]단가!$B:$L,11,FALSE)</f>
        <v>32000</v>
      </c>
      <c r="G236" s="706"/>
      <c r="H236" s="712"/>
      <c r="I236" s="713"/>
    </row>
    <row r="237" spans="1:9" s="709" customFormat="1" ht="27.4" customHeight="1">
      <c r="A237" s="704" t="str">
        <f t="shared" si="6"/>
        <v>강화유리T8mmM2</v>
      </c>
      <c r="B237" s="715" t="s">
        <v>5440</v>
      </c>
      <c r="C237" s="706" t="str">
        <f>VLOOKUP($B:$B,[140]단가!$B:$K,2,FALSE)</f>
        <v>강화유리</v>
      </c>
      <c r="D237" s="706" t="str">
        <f>IF(VLOOKUP(B:B,[140]단가!B:K,3,FALSE)="","",VLOOKUP(B:B,[140]단가!B:K,3,FALSE))</f>
        <v>T8mm</v>
      </c>
      <c r="E237" s="707" t="str">
        <f>VLOOKUP($B:$B,[140]단가!$B:$K,4,FALSE)</f>
        <v>M2</v>
      </c>
      <c r="F237" s="706">
        <f>VLOOKUP($B:$B,[140]단가!$B:$L,11,FALSE)</f>
        <v>25000</v>
      </c>
      <c r="G237" s="706"/>
      <c r="H237" s="712"/>
      <c r="I237" s="713"/>
    </row>
    <row r="238" spans="1:9" s="709" customFormat="1" ht="27.4" customHeight="1">
      <c r="A238" s="704" t="str">
        <f t="shared" si="6"/>
        <v>쉐락니스L</v>
      </c>
      <c r="B238" s="715" t="s">
        <v>5441</v>
      </c>
      <c r="C238" s="706" t="str">
        <f>VLOOKUP($B:$B,[140]단가!$B:$K,2,FALSE)</f>
        <v>쉐락니스</v>
      </c>
      <c r="D238" s="706" t="str">
        <f>IF(VLOOKUP(B:B,[140]단가!B:K,3,FALSE)="","",VLOOKUP(B:B,[140]단가!B:K,3,FALSE))</f>
        <v/>
      </c>
      <c r="E238" s="707" t="str">
        <f>VLOOKUP($B:$B,[140]단가!$B:$K,4,FALSE)</f>
        <v>L</v>
      </c>
      <c r="F238" s="706">
        <f>VLOOKUP($B:$B,[140]단가!$B:$L,11,FALSE)</f>
        <v>4850</v>
      </c>
      <c r="G238" s="706"/>
      <c r="H238" s="712"/>
      <c r="I238" s="713"/>
    </row>
    <row r="239" spans="1:9" s="709" customFormat="1" ht="27.4" customHeight="1">
      <c r="A239" s="704" t="str">
        <f t="shared" si="6"/>
        <v>화이버테이프m</v>
      </c>
      <c r="B239" s="715" t="s">
        <v>5442</v>
      </c>
      <c r="C239" s="706" t="str">
        <f>VLOOKUP($B:$B,[140]단가!$B:$K,2,FALSE)</f>
        <v>화이버테이프</v>
      </c>
      <c r="D239" s="706" t="str">
        <f>IF(VLOOKUP(B:B,[140]단가!B:K,3,FALSE)="","",VLOOKUP(B:B,[140]단가!B:K,3,FALSE))</f>
        <v/>
      </c>
      <c r="E239" s="707" t="str">
        <f>VLOOKUP($B:$B,[140]단가!$B:$K,4,FALSE)</f>
        <v>m</v>
      </c>
      <c r="F239" s="706">
        <f>VLOOKUP($B:$B,[140]단가!$B:$L,11,FALSE)</f>
        <v>60</v>
      </c>
      <c r="G239" s="706"/>
      <c r="H239" s="712"/>
      <c r="I239" s="713"/>
    </row>
    <row r="240" spans="1:9" s="709" customFormat="1" ht="27.4" customHeight="1">
      <c r="A240" s="704" t="str">
        <f t="shared" si="6"/>
        <v>M-BAR50*20*0.8TM</v>
      </c>
      <c r="B240" s="715" t="s">
        <v>5443</v>
      </c>
      <c r="C240" s="706" t="str">
        <f>VLOOKUP($B:$B,[140]단가!$B:$K,2,FALSE)</f>
        <v>M-BAR</v>
      </c>
      <c r="D240" s="706" t="str">
        <f>IF(VLOOKUP(B:B,[140]단가!B:K,3,FALSE)="","",VLOOKUP(B:B,[140]단가!B:K,3,FALSE))</f>
        <v>50*20*0.8T</v>
      </c>
      <c r="E240" s="707" t="str">
        <f>VLOOKUP($B:$B,[140]단가!$B:$K,4,FALSE)</f>
        <v>M</v>
      </c>
      <c r="F240" s="706">
        <f>VLOOKUP($B:$B,[140]단가!$B:$L,11,FALSE)</f>
        <v>3500</v>
      </c>
      <c r="G240" s="706"/>
      <c r="H240" s="712"/>
      <c r="I240" s="713"/>
    </row>
    <row r="241" spans="1:9" s="709" customFormat="1" ht="27.4" customHeight="1">
      <c r="A241" s="704" t="str">
        <f t="shared" si="6"/>
        <v>그림걸이레일M</v>
      </c>
      <c r="B241" s="715" t="s">
        <v>5444</v>
      </c>
      <c r="C241" s="706" t="str">
        <f>VLOOKUP($B:$B,[140]단가!$B:$K,2,FALSE)</f>
        <v>그림걸이레일</v>
      </c>
      <c r="D241" s="706" t="str">
        <f>IF(VLOOKUP(B:B,[140]단가!B:K,3,FALSE)="","",VLOOKUP(B:B,[140]단가!B:K,3,FALSE))</f>
        <v/>
      </c>
      <c r="E241" s="707" t="str">
        <f>VLOOKUP($B:$B,[140]단가!$B:$K,4,FALSE)</f>
        <v>M</v>
      </c>
      <c r="F241" s="706">
        <f>VLOOKUP($B:$B,[140]단가!$B:$L,11,FALSE)</f>
        <v>6500</v>
      </c>
      <c r="G241" s="706"/>
      <c r="H241" s="712"/>
      <c r="I241" s="713"/>
    </row>
    <row r="242" spans="1:9" s="709" customFormat="1" ht="27.4" customHeight="1">
      <c r="A242" s="704" t="str">
        <f t="shared" si="6"/>
        <v>망사테이프M</v>
      </c>
      <c r="B242" s="715" t="s">
        <v>5445</v>
      </c>
      <c r="C242" s="706" t="str">
        <f>VLOOKUP($B:$B,[140]단가!$B:$K,2,FALSE)</f>
        <v>망사테이프</v>
      </c>
      <c r="D242" s="706" t="str">
        <f>IF(VLOOKUP(B:B,[140]단가!B:K,3,FALSE)="","",VLOOKUP(B:B,[140]단가!B:K,3,FALSE))</f>
        <v/>
      </c>
      <c r="E242" s="707" t="str">
        <f>VLOOKUP($B:$B,[140]단가!$B:$K,4,FALSE)</f>
        <v>M</v>
      </c>
      <c r="F242" s="706">
        <f>VLOOKUP($B:$B,[140]단가!$B:$L,11,FALSE)</f>
        <v>320</v>
      </c>
      <c r="G242" s="706"/>
      <c r="H242" s="712"/>
      <c r="I242" s="713"/>
    </row>
    <row r="243" spans="1:9" s="709" customFormat="1" ht="27.4" customHeight="1">
      <c r="A243" s="704" t="str">
        <f t="shared" si="6"/>
        <v>면취M</v>
      </c>
      <c r="B243" s="715" t="s">
        <v>5446</v>
      </c>
      <c r="C243" s="706" t="str">
        <f>VLOOKUP($B:$B,[140]단가!$B:$K,2,FALSE)</f>
        <v>면취</v>
      </c>
      <c r="D243" s="706" t="str">
        <f>IF(VLOOKUP(B:B,[140]단가!B:K,3,FALSE)="","",VLOOKUP(B:B,[140]단가!B:K,3,FALSE))</f>
        <v/>
      </c>
      <c r="E243" s="707" t="str">
        <f>VLOOKUP($B:$B,[140]단가!$B:$K,4,FALSE)</f>
        <v>M</v>
      </c>
      <c r="F243" s="706">
        <f>VLOOKUP($B:$B,[140]단가!$B:$L,11,FALSE)</f>
        <v>11000</v>
      </c>
      <c r="G243" s="706"/>
      <c r="H243" s="712"/>
      <c r="I243" s="713"/>
    </row>
    <row r="244" spans="1:9" s="709" customFormat="1" ht="27.4" customHeight="1">
      <c r="A244" s="704" t="str">
        <f t="shared" si="6"/>
        <v>피아노경첩M</v>
      </c>
      <c r="B244" s="715" t="s">
        <v>5447</v>
      </c>
      <c r="C244" s="706" t="str">
        <f>VLOOKUP($B:$B,[140]단가!$B:$K,2,FALSE)</f>
        <v>피아노경첩</v>
      </c>
      <c r="D244" s="706" t="str">
        <f>IF(VLOOKUP(B:B,[140]단가!B:K,3,FALSE)="","",VLOOKUP(B:B,[140]단가!B:K,3,FALSE))</f>
        <v/>
      </c>
      <c r="E244" s="707" t="str">
        <f>VLOOKUP($B:$B,[140]단가!$B:$K,4,FALSE)</f>
        <v>M</v>
      </c>
      <c r="F244" s="706">
        <f>VLOOKUP($B:$B,[140]단가!$B:$L,11,FALSE)</f>
        <v>12000</v>
      </c>
      <c r="G244" s="706"/>
      <c r="H244" s="712"/>
      <c r="I244" s="713"/>
    </row>
    <row r="245" spans="1:9" s="709" customFormat="1" ht="27.4" customHeight="1">
      <c r="A245" s="704" t="str">
        <f t="shared" si="6"/>
        <v>매입경첩중형set</v>
      </c>
      <c r="B245" s="715" t="s">
        <v>5448</v>
      </c>
      <c r="C245" s="706" t="str">
        <f>VLOOKUP($B:$B,[140]단가!$B:$K,2,FALSE)</f>
        <v>매입경첩</v>
      </c>
      <c r="D245" s="706" t="str">
        <f>IF(VLOOKUP(B:B,[140]단가!B:K,3,FALSE)="","",VLOOKUP(B:B,[140]단가!B:K,3,FALSE))</f>
        <v>중형</v>
      </c>
      <c r="E245" s="707" t="str">
        <f>VLOOKUP($B:$B,[140]단가!$B:$K,4,FALSE)</f>
        <v>set</v>
      </c>
      <c r="F245" s="706">
        <f>VLOOKUP($B:$B,[140]단가!$B:$L,11,FALSE)</f>
        <v>35000</v>
      </c>
      <c r="G245" s="706"/>
      <c r="H245" s="712"/>
      <c r="I245" s="713"/>
    </row>
    <row r="246" spans="1:9" s="709" customFormat="1" ht="27.4" customHeight="1">
      <c r="A246" s="704" t="str">
        <f t="shared" si="6"/>
        <v>AL.패킹바M</v>
      </c>
      <c r="B246" s="715" t="s">
        <v>5449</v>
      </c>
      <c r="C246" s="706" t="str">
        <f>VLOOKUP($B:$B,[140]단가!$B:$K,2,FALSE)</f>
        <v>AL.패킹바</v>
      </c>
      <c r="D246" s="706" t="str">
        <f>IF(VLOOKUP(B:B,[140]단가!B:K,3,FALSE)="","",VLOOKUP(B:B,[140]단가!B:K,3,FALSE))</f>
        <v/>
      </c>
      <c r="E246" s="707" t="str">
        <f>VLOOKUP($B:$B,[140]단가!$B:$K,4,FALSE)</f>
        <v>M</v>
      </c>
      <c r="F246" s="706">
        <f>VLOOKUP($B:$B,[140]단가!$B:$L,11,FALSE)</f>
        <v>5000</v>
      </c>
      <c r="G246" s="706"/>
      <c r="H246" s="712"/>
      <c r="I246" s="713"/>
    </row>
    <row r="247" spans="1:9" s="709" customFormat="1" ht="27.4" customHeight="1">
      <c r="A247" s="704" t="str">
        <f t="shared" si="6"/>
        <v>밀폐패킹소형M</v>
      </c>
      <c r="B247" s="715" t="s">
        <v>5450</v>
      </c>
      <c r="C247" s="706" t="str">
        <f>VLOOKUP($B:$B,[140]단가!$B:$K,2,FALSE)</f>
        <v>밀폐패킹</v>
      </c>
      <c r="D247" s="706" t="str">
        <f>IF(VLOOKUP(B:B,[140]단가!B:K,3,FALSE)="","",VLOOKUP(B:B,[140]단가!B:K,3,FALSE))</f>
        <v>소형</v>
      </c>
      <c r="E247" s="707" t="str">
        <f>VLOOKUP($B:$B,[140]단가!$B:$K,4,FALSE)</f>
        <v>M</v>
      </c>
      <c r="F247" s="706">
        <f>VLOOKUP($B:$B,[140]단가!$B:$L,11,FALSE)</f>
        <v>6000</v>
      </c>
      <c r="G247" s="706"/>
      <c r="H247" s="712"/>
      <c r="I247" s="713"/>
    </row>
    <row r="248" spans="1:9" s="709" customFormat="1" ht="27.4" customHeight="1">
      <c r="A248" s="704" t="str">
        <f t="shared" si="6"/>
        <v>밀폐패킹대형M</v>
      </c>
      <c r="B248" s="715" t="s">
        <v>5451</v>
      </c>
      <c r="C248" s="706" t="str">
        <f>VLOOKUP($B:$B,[140]단가!$B:$K,2,FALSE)</f>
        <v>밀폐패킹</v>
      </c>
      <c r="D248" s="706" t="str">
        <f>IF(VLOOKUP(B:B,[140]단가!B:K,3,FALSE)="","",VLOOKUP(B:B,[140]단가!B:K,3,FALSE))</f>
        <v>대형</v>
      </c>
      <c r="E248" s="707" t="str">
        <f>VLOOKUP($B:$B,[140]단가!$B:$K,4,FALSE)</f>
        <v>M</v>
      </c>
      <c r="F248" s="706">
        <f>VLOOKUP($B:$B,[140]단가!$B:$L,11,FALSE)</f>
        <v>9000</v>
      </c>
      <c r="G248" s="706"/>
      <c r="H248" s="712"/>
      <c r="I248" s="713"/>
    </row>
    <row r="249" spans="1:9" s="709" customFormat="1" ht="27.4" customHeight="1">
      <c r="A249" s="704" t="str">
        <f t="shared" si="6"/>
        <v>LOCKSETTWOPINEA</v>
      </c>
      <c r="B249" s="715" t="s">
        <v>5452</v>
      </c>
      <c r="C249" s="706" t="str">
        <f>VLOOKUP($B:$B,[140]단가!$B:$K,2,FALSE)</f>
        <v>LOCK SET</v>
      </c>
      <c r="D249" s="706" t="str">
        <f>IF(VLOOKUP(B:B,[140]단가!B:K,3,FALSE)="","",VLOOKUP(B:B,[140]단가!B:K,3,FALSE))</f>
        <v>TWO PIN</v>
      </c>
      <c r="E249" s="707" t="str">
        <f>VLOOKUP($B:$B,[140]단가!$B:$K,4,FALSE)</f>
        <v>EA</v>
      </c>
      <c r="F249" s="706">
        <f>VLOOKUP($B:$B,[140]단가!$B:$L,11,FALSE)</f>
        <v>30000</v>
      </c>
      <c r="G249" s="706"/>
      <c r="H249" s="712"/>
      <c r="I249" s="713"/>
    </row>
    <row r="250" spans="1:9" s="709" customFormat="1" ht="27.4" customHeight="1">
      <c r="A250" s="704" t="str">
        <f t="shared" si="6"/>
        <v>LOCKSET보강EA</v>
      </c>
      <c r="B250" s="715" t="s">
        <v>5453</v>
      </c>
      <c r="C250" s="706" t="str">
        <f>VLOOKUP($B:$B,[140]단가!$B:$K,2,FALSE)</f>
        <v>LOCK SET보강</v>
      </c>
      <c r="D250" s="706" t="str">
        <f>IF(VLOOKUP(B:B,[140]단가!B:K,3,FALSE)="","",VLOOKUP(B:B,[140]단가!B:K,3,FALSE))</f>
        <v/>
      </c>
      <c r="E250" s="707" t="str">
        <f>VLOOKUP($B:$B,[140]단가!$B:$K,4,FALSE)</f>
        <v>EA</v>
      </c>
      <c r="F250" s="706">
        <f>VLOOKUP($B:$B,[140]단가!$B:$L,11,FALSE)</f>
        <v>15000</v>
      </c>
      <c r="G250" s="706"/>
      <c r="H250" s="712"/>
      <c r="I250" s="713"/>
    </row>
    <row r="251" spans="1:9" s="709" customFormat="1" ht="27.4" customHeight="1">
      <c r="A251" s="704" t="str">
        <f t="shared" si="6"/>
        <v>세마직벽지1회특수벽지M2</v>
      </c>
      <c r="B251" s="715" t="s">
        <v>5454</v>
      </c>
      <c r="C251" s="706" t="str">
        <f>VLOOKUP($B:$B,[140]단가!$B:$K,2,FALSE)</f>
        <v>세마직벽지</v>
      </c>
      <c r="D251" s="706" t="str">
        <f>IF(VLOOKUP(B:B,[140]단가!B:K,3,FALSE)="","",VLOOKUP(B:B,[140]단가!B:K,3,FALSE))</f>
        <v>1회 특수벽지</v>
      </c>
      <c r="E251" s="707" t="str">
        <f>VLOOKUP($B:$B,[140]단가!$B:$K,4,FALSE)</f>
        <v>M2</v>
      </c>
      <c r="F251" s="706">
        <f>VLOOKUP($B:$B,[140]단가!$B:$L,11,FALSE)</f>
        <v>38000</v>
      </c>
      <c r="G251" s="706"/>
      <c r="H251" s="712"/>
      <c r="I251" s="713"/>
    </row>
    <row r="252" spans="1:9" s="709" customFormat="1" ht="27.4" customHeight="1">
      <c r="A252" s="704" t="str">
        <f t="shared" si="6"/>
        <v>LED전반조명CASEM</v>
      </c>
      <c r="B252" s="715" t="s">
        <v>5455</v>
      </c>
      <c r="C252" s="706" t="str">
        <f>VLOOKUP($B:$B,[140]단가!$B:$K,2,FALSE)</f>
        <v>LED 전반조명 CASE</v>
      </c>
      <c r="D252" s="706" t="str">
        <f>IF(VLOOKUP(B:B,[140]단가!B:K,3,FALSE)="","",VLOOKUP(B:B,[140]단가!B:K,3,FALSE))</f>
        <v/>
      </c>
      <c r="E252" s="707" t="str">
        <f>VLOOKUP($B:$B,[140]단가!$B:$K,4,FALSE)</f>
        <v>M</v>
      </c>
      <c r="F252" s="706">
        <f>VLOOKUP($B:$B,[140]단가!$B:$L,11,FALSE)</f>
        <v>140000</v>
      </c>
      <c r="G252" s="706"/>
      <c r="H252" s="712"/>
      <c r="I252" s="713"/>
    </row>
    <row r="253" spans="1:9" s="709" customFormat="1" ht="27.4" customHeight="1">
      <c r="A253" s="704" t="str">
        <f t="shared" si="6"/>
        <v>AL.사출유리후렘성형가공벽부장(상부)205M</v>
      </c>
      <c r="B253" s="715" t="s">
        <v>5456</v>
      </c>
      <c r="C253" s="706" t="str">
        <f>VLOOKUP($B:$B,[140]단가!$B:$K,2,FALSE)</f>
        <v>AL.사출유리후렘성형가공</v>
      </c>
      <c r="D253" s="706" t="str">
        <f>IF(VLOOKUP(B:B,[140]단가!B:K,3,FALSE)="","",VLOOKUP(B:B,[140]단가!B:K,3,FALSE))</f>
        <v>벽부장(상부)205</v>
      </c>
      <c r="E253" s="707" t="str">
        <f>VLOOKUP($B:$B,[140]단가!$B:$K,4,FALSE)</f>
        <v>M</v>
      </c>
      <c r="F253" s="706">
        <f>VLOOKUP($B:$B,[140]단가!$B:$L,11,FALSE)</f>
        <v>200000</v>
      </c>
      <c r="G253" s="706"/>
      <c r="H253" s="712"/>
      <c r="I253" s="713"/>
    </row>
    <row r="254" spans="1:9" s="709" customFormat="1" ht="27.4" customHeight="1">
      <c r="A254" s="704" t="str">
        <f t="shared" si="6"/>
        <v>AL.사출유리후렘성형가공벽부장(하부)117M</v>
      </c>
      <c r="B254" s="715" t="s">
        <v>5457</v>
      </c>
      <c r="C254" s="706" t="str">
        <f>VLOOKUP($B:$B,[140]단가!$B:$K,2,FALSE)</f>
        <v>AL.사출유리후렘성형가공</v>
      </c>
      <c r="D254" s="706" t="str">
        <f>IF(VLOOKUP(B:B,[140]단가!B:K,3,FALSE)="","",VLOOKUP(B:B,[140]단가!B:K,3,FALSE))</f>
        <v>벽부장(하부)117</v>
      </c>
      <c r="E254" s="707" t="str">
        <f>VLOOKUP($B:$B,[140]단가!$B:$K,4,FALSE)</f>
        <v>M</v>
      </c>
      <c r="F254" s="706">
        <f>VLOOKUP($B:$B,[140]단가!$B:$L,11,FALSE)</f>
        <v>120000</v>
      </c>
      <c r="G254" s="706"/>
      <c r="H254" s="712"/>
      <c r="I254" s="713"/>
    </row>
    <row r="255" spans="1:9" s="709" customFormat="1" ht="27.4" customHeight="1">
      <c r="A255" s="704" t="str">
        <f t="shared" si="6"/>
        <v>AL.사출유리후렘성형가공독립장(상부)150M</v>
      </c>
      <c r="B255" s="715" t="s">
        <v>5458</v>
      </c>
      <c r="C255" s="706" t="str">
        <f>VLOOKUP($B:$B,[140]단가!$B:$K,2,FALSE)</f>
        <v>AL.사출유리후렘성형가공</v>
      </c>
      <c r="D255" s="706" t="str">
        <f>IF(VLOOKUP(B:B,[140]단가!B:K,3,FALSE)="","",VLOOKUP(B:B,[140]단가!B:K,3,FALSE))</f>
        <v>독립장(상부)150</v>
      </c>
      <c r="E255" s="707" t="str">
        <f>VLOOKUP($B:$B,[140]단가!$B:$K,4,FALSE)</f>
        <v>M</v>
      </c>
      <c r="F255" s="706">
        <f>VLOOKUP($B:$B,[140]단가!$B:$L,11,FALSE)</f>
        <v>150000</v>
      </c>
      <c r="G255" s="706"/>
      <c r="H255" s="712"/>
      <c r="I255" s="713"/>
    </row>
    <row r="256" spans="1:9" s="709" customFormat="1" ht="27.4" customHeight="1">
      <c r="A256" s="704" t="str">
        <f t="shared" si="6"/>
        <v>AL.사출유리후렘성형가공독립장(하부)103M</v>
      </c>
      <c r="B256" s="715" t="s">
        <v>5459</v>
      </c>
      <c r="C256" s="706" t="str">
        <f>VLOOKUP($B:$B,[140]단가!$B:$K,2,FALSE)</f>
        <v>AL.사출유리후렘성형가공</v>
      </c>
      <c r="D256" s="706" t="str">
        <f>IF(VLOOKUP(B:B,[140]단가!B:K,3,FALSE)="","",VLOOKUP(B:B,[140]단가!B:K,3,FALSE))</f>
        <v>독립장(하부)103</v>
      </c>
      <c r="E256" s="707" t="str">
        <f>VLOOKUP($B:$B,[140]단가!$B:$K,4,FALSE)</f>
        <v>M</v>
      </c>
      <c r="F256" s="706">
        <f>VLOOKUP($B:$B,[140]단가!$B:$L,11,FALSE)</f>
        <v>110000</v>
      </c>
      <c r="G256" s="706"/>
      <c r="H256" s="712"/>
      <c r="I256" s="713"/>
    </row>
    <row r="257" spans="1:9" s="709" customFormat="1" ht="27.4" customHeight="1">
      <c r="A257" s="704" t="str">
        <f t="shared" si="6"/>
        <v>LM가이드시스템Ø25SET</v>
      </c>
      <c r="B257" s="715" t="s">
        <v>5460</v>
      </c>
      <c r="C257" s="706" t="str">
        <f>VLOOKUP($B:$B,[140]단가!$B:$K,2,FALSE)</f>
        <v>LM가이드시스템</v>
      </c>
      <c r="D257" s="706" t="str">
        <f>IF(VLOOKUP(B:B,[140]단가!B:K,3,FALSE)="","",VLOOKUP(B:B,[140]단가!B:K,3,FALSE))</f>
        <v>Ø25</v>
      </c>
      <c r="E257" s="707" t="str">
        <f>VLOOKUP($B:$B,[140]단가!$B:$K,4,FALSE)</f>
        <v>SET</v>
      </c>
      <c r="F257" s="706">
        <f>VLOOKUP($B:$B,[140]단가!$B:$L,11,FALSE)</f>
        <v>120000</v>
      </c>
      <c r="G257" s="706"/>
      <c r="H257" s="712"/>
      <c r="I257" s="713"/>
    </row>
    <row r="258" spans="1:9" s="709" customFormat="1" ht="27.4" customHeight="1">
      <c r="A258" s="704" t="str">
        <f t="shared" si="6"/>
        <v>LM가이드(조명용)Ø25SET</v>
      </c>
      <c r="B258" s="715" t="s">
        <v>5461</v>
      </c>
      <c r="C258" s="706" t="str">
        <f>VLOOKUP($B:$B,[140]단가!$B:$K,2,FALSE)</f>
        <v>LM가이드(조명용)</v>
      </c>
      <c r="D258" s="706" t="str">
        <f>IF(VLOOKUP(B:B,[140]단가!B:K,3,FALSE)="","",VLOOKUP(B:B,[140]단가!B:K,3,FALSE))</f>
        <v>Ø25</v>
      </c>
      <c r="E258" s="707" t="str">
        <f>VLOOKUP($B:$B,[140]단가!$B:$K,4,FALSE)</f>
        <v>SET</v>
      </c>
      <c r="F258" s="706">
        <f>VLOOKUP($B:$B,[140]단가!$B:$L,11,FALSE)</f>
        <v>110000</v>
      </c>
      <c r="G258" s="706"/>
      <c r="H258" s="712"/>
      <c r="I258" s="713"/>
    </row>
    <row r="259" spans="1:9" s="709" customFormat="1" ht="27.4" customHeight="1">
      <c r="A259" s="704" t="str">
        <f t="shared" si="6"/>
        <v>LM가이드시스템보강판T10mm레이져가공ea</v>
      </c>
      <c r="B259" s="715" t="s">
        <v>5462</v>
      </c>
      <c r="C259" s="706" t="str">
        <f>VLOOKUP($B:$B,[140]단가!$B:$K,2,FALSE)</f>
        <v>LM가이드시스템보강판</v>
      </c>
      <c r="D259" s="706" t="str">
        <f>IF(VLOOKUP(B:B,[140]단가!B:K,3,FALSE)="","",VLOOKUP(B:B,[140]단가!B:K,3,FALSE))</f>
        <v>T10mm 레이져 가공</v>
      </c>
      <c r="E259" s="707" t="str">
        <f>VLOOKUP($B:$B,[140]단가!$B:$K,4,FALSE)</f>
        <v>ea</v>
      </c>
      <c r="F259" s="706">
        <f>VLOOKUP($B:$B,[140]단가!$B:$L,11,FALSE)</f>
        <v>18000</v>
      </c>
      <c r="G259" s="706"/>
      <c r="H259" s="712"/>
      <c r="I259" s="713"/>
    </row>
    <row r="260" spans="1:9" s="709" customFormat="1" ht="27.4" customHeight="1">
      <c r="A260" s="704" t="str">
        <f t="shared" si="6"/>
        <v>모터구동시스템웜기어전동실린더SET</v>
      </c>
      <c r="B260" s="715" t="s">
        <v>5463</v>
      </c>
      <c r="C260" s="706" t="str">
        <f>VLOOKUP($B:$B,[140]단가!$B:$K,2,FALSE)</f>
        <v>모터구동시스템</v>
      </c>
      <c r="D260" s="706" t="str">
        <f>IF(VLOOKUP(B:B,[140]단가!B:K,3,FALSE)="","",VLOOKUP(B:B,[140]단가!B:K,3,FALSE))</f>
        <v>웜기어 전동실린더</v>
      </c>
      <c r="E260" s="707" t="str">
        <f>VLOOKUP($B:$B,[140]단가!$B:$K,4,FALSE)</f>
        <v>SET</v>
      </c>
      <c r="F260" s="706">
        <f>VLOOKUP($B:$B,[140]단가!$B:$L,11,FALSE)</f>
        <v>300000</v>
      </c>
      <c r="G260" s="706"/>
      <c r="H260" s="712"/>
      <c r="I260" s="713"/>
    </row>
    <row r="261" spans="1:9" s="709" customFormat="1" ht="27.4" customHeight="1">
      <c r="A261" s="704" t="str">
        <f t="shared" si="6"/>
        <v>모터구동시스템보강T10mm레이져가공ea</v>
      </c>
      <c r="B261" s="715" t="s">
        <v>5464</v>
      </c>
      <c r="C261" s="706" t="str">
        <f>VLOOKUP($B:$B,[140]단가!$B:$K,2,FALSE)</f>
        <v>모터구동시스템보강</v>
      </c>
      <c r="D261" s="706" t="str">
        <f>IF(VLOOKUP(B:B,[140]단가!B:K,3,FALSE)="","",VLOOKUP(B:B,[140]단가!B:K,3,FALSE))</f>
        <v>T10mm 레이져 가공</v>
      </c>
      <c r="E261" s="707" t="str">
        <f>VLOOKUP($B:$B,[140]단가!$B:$K,4,FALSE)</f>
        <v>ea</v>
      </c>
      <c r="F261" s="706">
        <f>VLOOKUP($B:$B,[140]단가!$B:$L,11,FALSE)</f>
        <v>38000</v>
      </c>
      <c r="G261" s="706"/>
      <c r="H261" s="712"/>
      <c r="I261" s="713"/>
    </row>
    <row r="262" spans="1:9" s="709" customFormat="1" ht="27.4" customHeight="1">
      <c r="A262" s="704" t="str">
        <f t="shared" si="6"/>
        <v>베어링레일및가공22*422.3T가공M</v>
      </c>
      <c r="B262" s="715" t="s">
        <v>5465</v>
      </c>
      <c r="C262" s="706" t="str">
        <f>VLOOKUP($B:$B,[140]단가!$B:$K,2,FALSE)</f>
        <v>베어링레일및가공</v>
      </c>
      <c r="D262" s="706" t="str">
        <f>IF(VLOOKUP(B:B,[140]단가!B:K,3,FALSE)="","",VLOOKUP(B:B,[140]단가!B:K,3,FALSE))</f>
        <v>22*42 2.3T 가공</v>
      </c>
      <c r="E262" s="707" t="str">
        <f>VLOOKUP($B:$B,[140]단가!$B:$K,4,FALSE)</f>
        <v>M</v>
      </c>
      <c r="F262" s="706">
        <f>VLOOKUP($B:$B,[140]단가!$B:$L,11,FALSE)</f>
        <v>130000</v>
      </c>
      <c r="G262" s="706"/>
      <c r="H262" s="712"/>
      <c r="I262" s="713"/>
    </row>
    <row r="263" spans="1:9" s="709" customFormat="1" ht="27.4" customHeight="1">
      <c r="A263" s="704" t="str">
        <f t="shared" si="6"/>
        <v>슬라이딩베어링Ø26EA</v>
      </c>
      <c r="B263" s="715" t="s">
        <v>5466</v>
      </c>
      <c r="C263" s="706" t="str">
        <f>VLOOKUP($B:$B,[140]단가!$B:$K,2,FALSE)</f>
        <v>슬라이딩베어링</v>
      </c>
      <c r="D263" s="706" t="str">
        <f>IF(VLOOKUP(B:B,[140]단가!B:K,3,FALSE)="","",VLOOKUP(B:B,[140]단가!B:K,3,FALSE))</f>
        <v>Ø26</v>
      </c>
      <c r="E263" s="707" t="str">
        <f>VLOOKUP($B:$B,[140]단가!$B:$K,4,FALSE)</f>
        <v>EA</v>
      </c>
      <c r="F263" s="706">
        <f>VLOOKUP($B:$B,[140]단가!$B:$L,11,FALSE)</f>
        <v>6500</v>
      </c>
      <c r="G263" s="706"/>
      <c r="H263" s="712"/>
      <c r="I263" s="713"/>
    </row>
    <row r="264" spans="1:9" s="709" customFormat="1" ht="27.4" customHeight="1">
      <c r="A264" s="704" t="str">
        <f t="shared" si="6"/>
        <v>베어링붓싱가공#6200EA</v>
      </c>
      <c r="B264" s="715" t="s">
        <v>5467</v>
      </c>
      <c r="C264" s="706" t="str">
        <f>VLOOKUP($B:$B,[140]단가!$B:$K,2,FALSE)</f>
        <v>베어링붓싱가공</v>
      </c>
      <c r="D264" s="706" t="str">
        <f>IF(VLOOKUP(B:B,[140]단가!B:K,3,FALSE)="","",VLOOKUP(B:B,[140]단가!B:K,3,FALSE))</f>
        <v>#6200</v>
      </c>
      <c r="E264" s="707" t="str">
        <f>VLOOKUP($B:$B,[140]단가!$B:$K,4,FALSE)</f>
        <v>EA</v>
      </c>
      <c r="F264" s="706">
        <f>VLOOKUP($B:$B,[140]단가!$B:$L,11,FALSE)</f>
        <v>6000</v>
      </c>
      <c r="G264" s="706"/>
      <c r="H264" s="712"/>
      <c r="I264" s="713"/>
    </row>
    <row r="265" spans="1:9" s="709" customFormat="1" ht="27.4" customHeight="1">
      <c r="A265" s="704" t="str">
        <f t="shared" si="6"/>
        <v>센터베어링및스톱파벽부형ea</v>
      </c>
      <c r="B265" s="715" t="s">
        <v>5468</v>
      </c>
      <c r="C265" s="706" t="str">
        <f>VLOOKUP($B:$B,[140]단가!$B:$K,2,FALSE)</f>
        <v>센터베어링및스톱파</v>
      </c>
      <c r="D265" s="706" t="str">
        <f>IF(VLOOKUP(B:B,[140]단가!B:K,3,FALSE)="","",VLOOKUP(B:B,[140]단가!B:K,3,FALSE))</f>
        <v>벽부형</v>
      </c>
      <c r="E265" s="707" t="str">
        <f>VLOOKUP($B:$B,[140]단가!$B:$K,4,FALSE)</f>
        <v>ea</v>
      </c>
      <c r="F265" s="706">
        <f>VLOOKUP($B:$B,[140]단가!$B:$L,11,FALSE)</f>
        <v>80000</v>
      </c>
      <c r="G265" s="706"/>
      <c r="H265" s="712"/>
      <c r="I265" s="713"/>
    </row>
    <row r="266" spans="1:9" s="709" customFormat="1" ht="27.4" customHeight="1">
      <c r="A266" s="704" t="str">
        <f t="shared" si="6"/>
        <v>센터베어링및스톱파독립형1단ea</v>
      </c>
      <c r="B266" s="715" t="s">
        <v>5469</v>
      </c>
      <c r="C266" s="706" t="str">
        <f>VLOOKUP($B:$B,[140]단가!$B:$K,2,FALSE)</f>
        <v>센터베어링및스톱파</v>
      </c>
      <c r="D266" s="706" t="str">
        <f>IF(VLOOKUP(B:B,[140]단가!B:K,3,FALSE)="","",VLOOKUP(B:B,[140]단가!B:K,3,FALSE))</f>
        <v>독립형1단</v>
      </c>
      <c r="E266" s="707" t="str">
        <f>VLOOKUP($B:$B,[140]단가!$B:$K,4,FALSE)</f>
        <v>ea</v>
      </c>
      <c r="F266" s="706">
        <f>VLOOKUP($B:$B,[140]단가!$B:$L,11,FALSE)</f>
        <v>70000</v>
      </c>
      <c r="G266" s="706"/>
      <c r="H266" s="712"/>
      <c r="I266" s="713"/>
    </row>
    <row r="267" spans="1:9" s="709" customFormat="1" ht="27.4" customHeight="1">
      <c r="A267" s="704" t="str">
        <f t="shared" si="6"/>
        <v>센터베어링및스톱파독립형2단ea</v>
      </c>
      <c r="B267" s="715" t="s">
        <v>5470</v>
      </c>
      <c r="C267" s="706" t="str">
        <f>VLOOKUP($B:$B,[140]단가!$B:$K,2,FALSE)</f>
        <v>센터베어링및스톱파</v>
      </c>
      <c r="D267" s="706" t="str">
        <f>IF(VLOOKUP(B:B,[140]단가!B:K,3,FALSE)="","",VLOOKUP(B:B,[140]단가!B:K,3,FALSE))</f>
        <v>독립형2단</v>
      </c>
      <c r="E267" s="707" t="str">
        <f>VLOOKUP($B:$B,[140]단가!$B:$K,4,FALSE)</f>
        <v>ea</v>
      </c>
      <c r="F267" s="706">
        <f>VLOOKUP($B:$B,[140]단가!$B:$L,11,FALSE)</f>
        <v>100000</v>
      </c>
      <c r="G267" s="706"/>
      <c r="H267" s="712"/>
      <c r="I267" s="713"/>
    </row>
    <row r="268" spans="1:9" s="709" customFormat="1" ht="27.4" customHeight="1">
      <c r="A268" s="704" t="str">
        <f t="shared" si="6"/>
        <v>센터베어링가이드T2.3mm가공ea</v>
      </c>
      <c r="B268" s="715" t="s">
        <v>5471</v>
      </c>
      <c r="C268" s="706" t="str">
        <f>VLOOKUP($B:$B,[140]단가!$B:$K,2,FALSE)</f>
        <v>센터베어링가이드</v>
      </c>
      <c r="D268" s="706" t="str">
        <f>IF(VLOOKUP(B:B,[140]단가!B:K,3,FALSE)="","",VLOOKUP(B:B,[140]단가!B:K,3,FALSE))</f>
        <v>T2.3mm 가공</v>
      </c>
      <c r="E268" s="707" t="str">
        <f>VLOOKUP($B:$B,[140]단가!$B:$K,4,FALSE)</f>
        <v>ea</v>
      </c>
      <c r="F268" s="706">
        <f>VLOOKUP($B:$B,[140]단가!$B:$L,11,FALSE)</f>
        <v>15000</v>
      </c>
      <c r="G268" s="706"/>
      <c r="H268" s="712"/>
      <c r="I268" s="713"/>
    </row>
    <row r="269" spans="1:9" s="709" customFormat="1" ht="27.4" customHeight="1">
      <c r="A269" s="704" t="str">
        <f t="shared" si="6"/>
        <v>CASTER&amp;ADJUSTEREA</v>
      </c>
      <c r="B269" s="715" t="s">
        <v>5472</v>
      </c>
      <c r="C269" s="706" t="str">
        <f>VLOOKUP($B:$B,[140]단가!$B:$K,2,FALSE)</f>
        <v>CASTER&amp;ADJUSTER</v>
      </c>
      <c r="D269" s="706" t="str">
        <f>IF(VLOOKUP(B:B,[140]단가!B:K,3,FALSE)="","",VLOOKUP(B:B,[140]단가!B:K,3,FALSE))</f>
        <v/>
      </c>
      <c r="E269" s="707" t="str">
        <f>VLOOKUP($B:$B,[140]단가!$B:$K,4,FALSE)</f>
        <v>EA</v>
      </c>
      <c r="F269" s="706">
        <f>VLOOKUP($B:$B,[140]단가!$B:$L,11,FALSE)</f>
        <v>40000</v>
      </c>
      <c r="G269" s="706"/>
      <c r="H269" s="712"/>
      <c r="I269" s="713"/>
    </row>
    <row r="270" spans="1:9" s="709" customFormat="1" ht="27.4" customHeight="1">
      <c r="A270" s="704" t="str">
        <f t="shared" si="6"/>
        <v>CASTER&amp;ADJUSTER보강T4.5mm레이져가공EA</v>
      </c>
      <c r="B270" s="715" t="s">
        <v>5473</v>
      </c>
      <c r="C270" s="706" t="str">
        <f>VLOOKUP($B:$B,[140]단가!$B:$K,2,FALSE)</f>
        <v>CASTER&amp;ADJUSTER보강</v>
      </c>
      <c r="D270" s="706" t="str">
        <f>IF(VLOOKUP(B:B,[140]단가!B:K,3,FALSE)="","",VLOOKUP(B:B,[140]단가!B:K,3,FALSE))</f>
        <v>T4.5mm 레이져 가공</v>
      </c>
      <c r="E270" s="707" t="str">
        <f>VLOOKUP($B:$B,[140]단가!$B:$K,4,FALSE)</f>
        <v>EA</v>
      </c>
      <c r="F270" s="706">
        <f>VLOOKUP($B:$B,[140]단가!$B:$L,11,FALSE)</f>
        <v>10000</v>
      </c>
      <c r="G270" s="706"/>
      <c r="H270" s="712"/>
      <c r="I270" s="713"/>
    </row>
    <row r="271" spans="1:9" s="709" customFormat="1" ht="27.4" customHeight="1">
      <c r="A271" s="704" t="str">
        <f t="shared" si="6"/>
        <v>유압쇽업쇼바20kgSET</v>
      </c>
      <c r="B271" s="715" t="s">
        <v>5474</v>
      </c>
      <c r="C271" s="706" t="str">
        <f>VLOOKUP($B:$B,[140]단가!$B:$K,2,FALSE)</f>
        <v>유압쇽업쇼바</v>
      </c>
      <c r="D271" s="706" t="str">
        <f>IF(VLOOKUP(B:B,[140]단가!B:K,3,FALSE)="","",VLOOKUP(B:B,[140]단가!B:K,3,FALSE))</f>
        <v>20kg</v>
      </c>
      <c r="E271" s="707" t="str">
        <f>VLOOKUP($B:$B,[140]단가!$B:$K,4,FALSE)</f>
        <v>SET</v>
      </c>
      <c r="F271" s="706">
        <f>VLOOKUP($B:$B,[140]단가!$B:$L,11,FALSE)</f>
        <v>20000</v>
      </c>
      <c r="G271" s="706"/>
      <c r="H271" s="712"/>
      <c r="I271" s="713"/>
    </row>
    <row r="272" spans="1:9" s="709" customFormat="1" ht="27.4" customHeight="1">
      <c r="A272" s="704" t="str">
        <f t="shared" si="6"/>
        <v>유압쇽업쇼바40kgSET</v>
      </c>
      <c r="B272" s="715" t="s">
        <v>5475</v>
      </c>
      <c r="C272" s="706" t="str">
        <f>VLOOKUP($B:$B,[140]단가!$B:$K,2,FALSE)</f>
        <v>유압쇽업쇼바</v>
      </c>
      <c r="D272" s="706" t="str">
        <f>IF(VLOOKUP(B:B,[140]단가!B:K,3,FALSE)="","",VLOOKUP(B:B,[140]단가!B:K,3,FALSE))</f>
        <v>40kg</v>
      </c>
      <c r="E272" s="707" t="str">
        <f>VLOOKUP($B:$B,[140]단가!$B:$K,4,FALSE)</f>
        <v>SET</v>
      </c>
      <c r="F272" s="706">
        <f>VLOOKUP($B:$B,[140]단가!$B:$L,11,FALSE)</f>
        <v>30000</v>
      </c>
      <c r="G272" s="706"/>
      <c r="H272" s="712"/>
      <c r="I272" s="713"/>
    </row>
    <row r="273" spans="1:9" s="709" customFormat="1" ht="27.4" customHeight="1">
      <c r="A273" s="704" t="str">
        <f t="shared" si="6"/>
        <v>유압쇽업쇼바보강T4.5mm레이져가공ea</v>
      </c>
      <c r="B273" s="715" t="s">
        <v>5476</v>
      </c>
      <c r="C273" s="706" t="str">
        <f>VLOOKUP($B:$B,[140]단가!$B:$K,2,FALSE)</f>
        <v>유압쇽업쇼바 보강</v>
      </c>
      <c r="D273" s="706" t="str">
        <f>IF(VLOOKUP(B:B,[140]단가!B:K,3,FALSE)="","",VLOOKUP(B:B,[140]단가!B:K,3,FALSE))</f>
        <v>T4.5mm 레이져 가공</v>
      </c>
      <c r="E273" s="707" t="str">
        <f>VLOOKUP($B:$B,[140]단가!$B:$K,4,FALSE)</f>
        <v>ea</v>
      </c>
      <c r="F273" s="706">
        <f>VLOOKUP($B:$B,[140]단가!$B:$L,11,FALSE)</f>
        <v>9000</v>
      </c>
      <c r="G273" s="706"/>
      <c r="H273" s="712"/>
      <c r="I273" s="713"/>
    </row>
    <row r="274" spans="1:9" s="709" customFormat="1" ht="27.4" customHeight="1">
      <c r="A274" s="704" t="str">
        <f t="shared" si="6"/>
        <v>이동식배면판(전동식)4800*3400SET</v>
      </c>
      <c r="B274" s="715" t="s">
        <v>5477</v>
      </c>
      <c r="C274" s="706" t="str">
        <f>VLOOKUP($B:$B,[140]단가!$B:$K,2,FALSE)</f>
        <v>이동식배면판(전동식)</v>
      </c>
      <c r="D274" s="706" t="str">
        <f>IF(VLOOKUP(B:B,[140]단가!B:K,3,FALSE)="","",VLOOKUP(B:B,[140]단가!B:K,3,FALSE))</f>
        <v>4800*3400</v>
      </c>
      <c r="E274" s="707" t="str">
        <f>VLOOKUP($B:$B,[140]단가!$B:$K,4,FALSE)</f>
        <v>SET</v>
      </c>
      <c r="F274" s="706">
        <f>VLOOKUP($B:$B,[140]단가!$B:$L,11,FALSE)</f>
        <v>11000000</v>
      </c>
      <c r="G274" s="706"/>
      <c r="H274" s="712"/>
      <c r="I274" s="713"/>
    </row>
    <row r="275" spans="1:9" s="709" customFormat="1" ht="27.4" customHeight="1">
      <c r="A275" s="704" t="str">
        <f t="shared" si="6"/>
        <v>이동식배면판(전동식)7200*3400SET</v>
      </c>
      <c r="B275" s="715" t="s">
        <v>5478</v>
      </c>
      <c r="C275" s="706" t="str">
        <f>VLOOKUP($B:$B,[140]단가!$B:$K,2,FALSE)</f>
        <v>이동식배면판(전동식)</v>
      </c>
      <c r="D275" s="706" t="str">
        <f>IF(VLOOKUP(B:B,[140]단가!B:K,3,FALSE)="","",VLOOKUP(B:B,[140]단가!B:K,3,FALSE))</f>
        <v>7200*3400</v>
      </c>
      <c r="E275" s="707" t="str">
        <f>VLOOKUP($B:$B,[140]단가!$B:$K,4,FALSE)</f>
        <v>SET</v>
      </c>
      <c r="F275" s="706">
        <f>VLOOKUP($B:$B,[140]단가!$B:$L,11,FALSE)</f>
        <v>15000000</v>
      </c>
      <c r="G275" s="706"/>
      <c r="H275" s="712"/>
      <c r="I275" s="713"/>
    </row>
    <row r="276" spans="1:9" s="709" customFormat="1" ht="27.4" customHeight="1">
      <c r="A276" s="704" t="str">
        <f t="shared" si="6"/>
        <v>저반사접합유리(투과율99%)T10.76mmM2</v>
      </c>
      <c r="B276" s="715" t="s">
        <v>5479</v>
      </c>
      <c r="C276" s="706" t="str">
        <f>VLOOKUP($B:$B,[140]단가!$B:$K,2,FALSE)</f>
        <v>저반사 접합유리(투과율99%)</v>
      </c>
      <c r="D276" s="706" t="str">
        <f>IF(VLOOKUP(B:B,[140]단가!B:K,3,FALSE)="","",VLOOKUP(B:B,[140]단가!B:K,3,FALSE))</f>
        <v>T10.76mm</v>
      </c>
      <c r="E276" s="707" t="str">
        <f>VLOOKUP($B:$B,[140]단가!$B:$K,4,FALSE)</f>
        <v>M2</v>
      </c>
      <c r="F276" s="706">
        <f>VLOOKUP($B:$B,[140]단가!$B:$L,11,FALSE)</f>
        <v>1500000</v>
      </c>
      <c r="G276" s="706"/>
      <c r="H276" s="712"/>
      <c r="I276" s="713"/>
    </row>
    <row r="277" spans="1:9" s="709" customFormat="1" ht="27.4" customHeight="1">
      <c r="A277" s="704" t="str">
        <f t="shared" si="6"/>
        <v>저반사접합유리(투과율98%)T10.76mmM2</v>
      </c>
      <c r="B277" s="715" t="s">
        <v>5480</v>
      </c>
      <c r="C277" s="706" t="str">
        <f>VLOOKUP($B:$B,[140]단가!$B:$K,2,FALSE)</f>
        <v>저반사 접합유리(투과율98%)</v>
      </c>
      <c r="D277" s="706" t="str">
        <f>IF(VLOOKUP(B:B,[140]단가!B:K,3,FALSE)="","",VLOOKUP(B:B,[140]단가!B:K,3,FALSE))</f>
        <v>T10.76mm</v>
      </c>
      <c r="E277" s="707" t="str">
        <f>VLOOKUP($B:$B,[140]단가!$B:$K,4,FALSE)</f>
        <v>M2</v>
      </c>
      <c r="F277" s="706">
        <f>VLOOKUP($B:$B,[140]단가!$B:$L,11,FALSE)</f>
        <v>1250000</v>
      </c>
      <c r="G277" s="706"/>
      <c r="H277" s="712"/>
      <c r="I277" s="713"/>
    </row>
    <row r="278" spans="1:9" s="709" customFormat="1" ht="27.4" customHeight="1">
      <c r="A278" s="704" t="str">
        <f t="shared" si="6"/>
        <v>저반사접합유리(투과율96%)T10.76mmM2</v>
      </c>
      <c r="B278" s="715" t="s">
        <v>5481</v>
      </c>
      <c r="C278" s="706" t="str">
        <f>VLOOKUP($B:$B,[140]단가!$B:$K,2,FALSE)</f>
        <v>저반사 접합유리(투과율96%)</v>
      </c>
      <c r="D278" s="706" t="str">
        <f>IF(VLOOKUP(B:B,[140]단가!B:K,3,FALSE)="","",VLOOKUP(B:B,[140]단가!B:K,3,FALSE))</f>
        <v>T10.76mm</v>
      </c>
      <c r="E278" s="707" t="str">
        <f>VLOOKUP($B:$B,[140]단가!$B:$K,4,FALSE)</f>
        <v>M2</v>
      </c>
      <c r="F278" s="706">
        <f>VLOOKUP($B:$B,[140]단가!$B:$L,11,FALSE)</f>
        <v>980000</v>
      </c>
      <c r="G278" s="706"/>
      <c r="H278" s="712"/>
      <c r="I278" s="713"/>
    </row>
    <row r="279" spans="1:9" s="709" customFormat="1" ht="27.4" customHeight="1">
      <c r="A279" s="704" t="str">
        <f t="shared" si="6"/>
        <v>화이트접합유리T10.76mmM2</v>
      </c>
      <c r="B279" s="715" t="s">
        <v>5482</v>
      </c>
      <c r="C279" s="706" t="str">
        <f>VLOOKUP($B:$B,[140]단가!$B:$K,2,FALSE)</f>
        <v>화이트 접합유리</v>
      </c>
      <c r="D279" s="706" t="str">
        <f>IF(VLOOKUP(B:B,[140]단가!B:K,3,FALSE)="","",VLOOKUP(B:B,[140]단가!B:K,3,FALSE))</f>
        <v>T10.76mm</v>
      </c>
      <c r="E279" s="707" t="str">
        <f>VLOOKUP($B:$B,[140]단가!$B:$K,4,FALSE)</f>
        <v>M2</v>
      </c>
      <c r="F279" s="706">
        <f>VLOOKUP($B:$B,[140]단가!$B:$L,11,FALSE)</f>
        <v>209450</v>
      </c>
      <c r="G279" s="706"/>
      <c r="H279" s="712"/>
      <c r="I279" s="713"/>
    </row>
    <row r="280" spans="1:9" s="709" customFormat="1" ht="27.4" customHeight="1">
      <c r="A280" s="704" t="str">
        <f t="shared" si="6"/>
        <v>화이트접합유리T12.76mm(2,400*3,400기준)M2</v>
      </c>
      <c r="B280" s="715" t="s">
        <v>5483</v>
      </c>
      <c r="C280" s="706" t="str">
        <f>VLOOKUP($B:$B,[140]단가!$B:$K,2,FALSE)</f>
        <v>화이트 접합유리</v>
      </c>
      <c r="D280" s="706" t="str">
        <f>IF(VLOOKUP(B:B,[140]단가!B:K,3,FALSE)="","",VLOOKUP(B:B,[140]단가!B:K,3,FALSE))</f>
        <v>T12.76mm (2,400*3,400기준)</v>
      </c>
      <c r="E280" s="707" t="str">
        <f>VLOOKUP($B:$B,[140]단가!$B:$K,4,FALSE)</f>
        <v>M2</v>
      </c>
      <c r="F280" s="706">
        <f>VLOOKUP($B:$B,[140]단가!$B:$L,11,FALSE)</f>
        <v>214450</v>
      </c>
      <c r="G280" s="706"/>
      <c r="H280" s="712"/>
      <c r="I280" s="713"/>
    </row>
    <row r="281" spans="1:9" s="709" customFormat="1" ht="27.4" customHeight="1">
      <c r="A281" s="704" t="str">
        <f t="shared" si="6"/>
        <v>투명접합유리T12.76mm(2,400*3,000기준)M2</v>
      </c>
      <c r="B281" s="715" t="s">
        <v>5484</v>
      </c>
      <c r="C281" s="706" t="str">
        <f>VLOOKUP($B:$B,[140]단가!$B:$K,2,FALSE)</f>
        <v>투명 접합유리</v>
      </c>
      <c r="D281" s="706" t="str">
        <f>IF(VLOOKUP(B:B,[140]단가!B:K,3,FALSE)="","",VLOOKUP(B:B,[140]단가!B:K,3,FALSE))</f>
        <v>T12.76mm (2,400*3,000기준)</v>
      </c>
      <c r="E281" s="707" t="str">
        <f>VLOOKUP($B:$B,[140]단가!$B:$K,4,FALSE)</f>
        <v>M2</v>
      </c>
      <c r="F281" s="706">
        <f>VLOOKUP($B:$B,[140]단가!$B:$L,11,FALSE)</f>
        <v>143000</v>
      </c>
      <c r="G281" s="706"/>
      <c r="H281" s="712"/>
      <c r="I281" s="713"/>
    </row>
    <row r="282" spans="1:9" s="709" customFormat="1" ht="27.4" customHeight="1">
      <c r="A282" s="704" t="str">
        <f t="shared" si="6"/>
        <v>투명접합유리T12.76mm(2,400*3,400기준)M2</v>
      </c>
      <c r="B282" s="715" t="s">
        <v>5485</v>
      </c>
      <c r="C282" s="706" t="str">
        <f>VLOOKUP($B:$B,[140]단가!$B:$K,2,FALSE)</f>
        <v>투명 접합유리</v>
      </c>
      <c r="D282" s="706" t="str">
        <f>IF(VLOOKUP(B:B,[140]단가!B:K,3,FALSE)="","",VLOOKUP(B:B,[140]단가!B:K,3,FALSE))</f>
        <v>T12.76mm (2,400*3,400기준)</v>
      </c>
      <c r="E282" s="707" t="str">
        <f>VLOOKUP($B:$B,[140]단가!$B:$K,4,FALSE)</f>
        <v>M2</v>
      </c>
      <c r="F282" s="706">
        <f>VLOOKUP($B:$B,[140]단가!$B:$L,11,FALSE)</f>
        <v>198000</v>
      </c>
      <c r="G282" s="706"/>
      <c r="H282" s="712"/>
      <c r="I282" s="713"/>
    </row>
    <row r="283" spans="1:9" s="709" customFormat="1" ht="27.4" customHeight="1">
      <c r="A283" s="704" t="str">
        <f t="shared" si="6"/>
        <v>투명접합유리T10.76mmM2</v>
      </c>
      <c r="B283" s="715" t="s">
        <v>5486</v>
      </c>
      <c r="C283" s="706" t="str">
        <f>VLOOKUP($B:$B,[140]단가!$B:$K,2,FALSE)</f>
        <v>투명 접합유리</v>
      </c>
      <c r="D283" s="706" t="str">
        <f>IF(VLOOKUP(B:B,[140]단가!B:K,3,FALSE)="","",VLOOKUP(B:B,[140]단가!B:K,3,FALSE))</f>
        <v>T10.76mm</v>
      </c>
      <c r="E283" s="707" t="str">
        <f>VLOOKUP($B:$B,[140]단가!$B:$K,4,FALSE)</f>
        <v>M2</v>
      </c>
      <c r="F283" s="706">
        <f>VLOOKUP($B:$B,[140]단가!$B:$L,11,FALSE)</f>
        <v>135000</v>
      </c>
      <c r="G283" s="706"/>
      <c r="H283" s="712"/>
      <c r="I283" s="713"/>
    </row>
    <row r="284" spans="1:9" s="709" customFormat="1" ht="27.4" customHeight="1">
      <c r="A284" s="704" t="str">
        <f t="shared" si="6"/>
        <v>투명접합유리T6.38mmM2</v>
      </c>
      <c r="B284" s="715" t="s">
        <v>5487</v>
      </c>
      <c r="C284" s="706" t="str">
        <f>VLOOKUP($B:$B,[140]단가!$B:$K,2,FALSE)</f>
        <v>투명 접합유리</v>
      </c>
      <c r="D284" s="706" t="str">
        <f>IF(VLOOKUP(B:B,[140]단가!B:K,3,FALSE)="","",VLOOKUP(B:B,[140]단가!B:K,3,FALSE))</f>
        <v>T6.38mm</v>
      </c>
      <c r="E284" s="707" t="str">
        <f>VLOOKUP($B:$B,[140]단가!$B:$K,4,FALSE)</f>
        <v>M2</v>
      </c>
      <c r="F284" s="706">
        <f>VLOOKUP($B:$B,[140]단가!$B:$L,11,FALSE)</f>
        <v>110000</v>
      </c>
      <c r="G284" s="706"/>
      <c r="H284" s="712"/>
      <c r="I284" s="713"/>
    </row>
    <row r="285" spans="1:9" s="709" customFormat="1" ht="27.4" customHeight="1">
      <c r="A285" s="704" t="str">
        <f t="shared" si="6"/>
        <v>조명용아크릴T5mmm2</v>
      </c>
      <c r="B285" s="715" t="s">
        <v>5488</v>
      </c>
      <c r="C285" s="706" t="str">
        <f>VLOOKUP($B:$B,[140]단가!$B:$K,2,FALSE)</f>
        <v>조명용 아크릴</v>
      </c>
      <c r="D285" s="706" t="str">
        <f>IF(VLOOKUP(B:B,[140]단가!B:K,3,FALSE)="","",VLOOKUP(B:B,[140]단가!B:K,3,FALSE))</f>
        <v>T5mm</v>
      </c>
      <c r="E285" s="707" t="str">
        <f>VLOOKUP($B:$B,[140]단가!$B:$K,4,FALSE)</f>
        <v>m2</v>
      </c>
      <c r="F285" s="706">
        <f>VLOOKUP($B:$B,[140]단가!$B:$L,11,FALSE)</f>
        <v>71000</v>
      </c>
      <c r="G285" s="706"/>
      <c r="H285" s="712"/>
      <c r="I285" s="713"/>
    </row>
    <row r="286" spans="1:9" s="709" customFormat="1" ht="27.4" customHeight="1">
      <c r="A286" s="704" t="str">
        <f t="shared" si="6"/>
        <v>박물관용led램프트랙형set</v>
      </c>
      <c r="B286" s="715" t="s">
        <v>5489</v>
      </c>
      <c r="C286" s="706" t="str">
        <f>VLOOKUP($B:$B,[140]단가!$B:$K,2,FALSE)</f>
        <v>박물관용led 램프</v>
      </c>
      <c r="D286" s="706" t="str">
        <f>IF(VLOOKUP(B:B,[140]단가!B:K,3,FALSE)="","",VLOOKUP(B:B,[140]단가!B:K,3,FALSE))</f>
        <v>트랙형</v>
      </c>
      <c r="E286" s="707" t="str">
        <f>VLOOKUP($B:$B,[140]단가!$B:$K,4,FALSE)</f>
        <v>set</v>
      </c>
      <c r="F286" s="706">
        <f>VLOOKUP($B:$B,[140]단가!$B:$L,11,FALSE)</f>
        <v>480000</v>
      </c>
      <c r="G286" s="706"/>
      <c r="H286" s="712"/>
      <c r="I286" s="713"/>
    </row>
    <row r="287" spans="1:9" s="709" customFormat="1" ht="27.4" customHeight="1">
      <c r="A287" s="704" t="str">
        <f t="shared" si="6"/>
        <v>박물관용led램프핀스포트형(벽부형)EA</v>
      </c>
      <c r="B287" s="715" t="s">
        <v>5490</v>
      </c>
      <c r="C287" s="706" t="str">
        <f>VLOOKUP($B:$B,[140]단가!$B:$K,2,FALSE)</f>
        <v>박물관용led 램프</v>
      </c>
      <c r="D287" s="706" t="str">
        <f>IF(VLOOKUP(B:B,[140]단가!B:K,3,FALSE)="","",VLOOKUP(B:B,[140]단가!B:K,3,FALSE))</f>
        <v>핀스포트형(벽부형)</v>
      </c>
      <c r="E287" s="707" t="str">
        <f>VLOOKUP($B:$B,[140]단가!$B:$K,4,FALSE)</f>
        <v>EA</v>
      </c>
      <c r="F287" s="706">
        <f>VLOOKUP($B:$B,[140]단가!$B:$L,11,FALSE)</f>
        <v>170000</v>
      </c>
      <c r="G287" s="706"/>
      <c r="H287" s="712"/>
      <c r="I287" s="713"/>
    </row>
    <row r="288" spans="1:9" s="709" customFormat="1" ht="27.4" customHeight="1">
      <c r="A288" s="704" t="str">
        <f t="shared" si="6"/>
        <v>박물관용led램프핀스포트형(독립장형)EA</v>
      </c>
      <c r="B288" s="715" t="s">
        <v>5491</v>
      </c>
      <c r="C288" s="706" t="str">
        <f>VLOOKUP($B:$B,[140]단가!$B:$K,2,FALSE)</f>
        <v>박물관용led 램프</v>
      </c>
      <c r="D288" s="706" t="str">
        <f>IF(VLOOKUP(B:B,[140]단가!B:K,3,FALSE)="","",VLOOKUP(B:B,[140]단가!B:K,3,FALSE))</f>
        <v>핀스포트형(독립장형)</v>
      </c>
      <c r="E288" s="707" t="str">
        <f>VLOOKUP($B:$B,[140]단가!$B:$K,4,FALSE)</f>
        <v>EA</v>
      </c>
      <c r="F288" s="706">
        <f>VLOOKUP($B:$B,[140]단가!$B:$L,11,FALSE)</f>
        <v>110000</v>
      </c>
      <c r="G288" s="706"/>
      <c r="H288" s="712"/>
      <c r="I288" s="713"/>
    </row>
    <row r="289" spans="1:9" s="709" customFormat="1" ht="27.4" customHeight="1">
      <c r="A289" s="704" t="str">
        <f t="shared" si="6"/>
        <v>박물관용ledBAR상부천장용M</v>
      </c>
      <c r="B289" s="715" t="s">
        <v>5492</v>
      </c>
      <c r="C289" s="706" t="str">
        <f>VLOOKUP($B:$B,[140]단가!$B:$K,2,FALSE)</f>
        <v>박물관용led BAR</v>
      </c>
      <c r="D289" s="706" t="str">
        <f>IF(VLOOKUP(B:B,[140]단가!B:K,3,FALSE)="","",VLOOKUP(B:B,[140]단가!B:K,3,FALSE))</f>
        <v>상부천장용</v>
      </c>
      <c r="E289" s="707" t="str">
        <f>VLOOKUP($B:$B,[140]단가!$B:$K,4,FALSE)</f>
        <v>M</v>
      </c>
      <c r="F289" s="706">
        <f>VLOOKUP($B:$B,[140]단가!$B:$L,11,FALSE)</f>
        <v>100000</v>
      </c>
      <c r="G289" s="706"/>
      <c r="H289" s="712"/>
      <c r="I289" s="713"/>
    </row>
    <row r="290" spans="1:9" s="709" customFormat="1" ht="27.4" customHeight="1">
      <c r="A290" s="704" t="str">
        <f t="shared" si="6"/>
        <v>알루미늄판4T*900*1800M2</v>
      </c>
      <c r="B290" s="715" t="s">
        <v>5493</v>
      </c>
      <c r="C290" s="706" t="str">
        <f>VLOOKUP($B:$B,[140]단가!$B:$K,2,FALSE)</f>
        <v>알루미늄판</v>
      </c>
      <c r="D290" s="706" t="str">
        <f>IF(VLOOKUP(B:B,[140]단가!B:K,3,FALSE)="","",VLOOKUP(B:B,[140]단가!B:K,3,FALSE))</f>
        <v>4T*900*1800</v>
      </c>
      <c r="E290" s="707" t="str">
        <f>VLOOKUP($B:$B,[140]단가!$B:$K,4,FALSE)</f>
        <v>M2</v>
      </c>
      <c r="F290" s="706">
        <f>VLOOKUP($B:$B,[140]단가!$B:$L,11,FALSE)</f>
        <v>130000</v>
      </c>
      <c r="G290" s="706"/>
      <c r="H290" s="712"/>
      <c r="I290" s="713"/>
    </row>
    <row r="291" spans="1:9" s="709" customFormat="1" ht="27.4" customHeight="1">
      <c r="A291" s="704" t="str">
        <f t="shared" si="6"/>
        <v>박물관용led램프컨트롤러(24채널)set</v>
      </c>
      <c r="B291" s="715" t="s">
        <v>5494</v>
      </c>
      <c r="C291" s="706" t="str">
        <f>VLOOKUP($B:$B,[140]단가!$B:$K,2,FALSE)</f>
        <v>박물관용led 램프</v>
      </c>
      <c r="D291" s="706" t="str">
        <f>IF(VLOOKUP(B:B,[140]단가!B:K,3,FALSE)="","",VLOOKUP(B:B,[140]단가!B:K,3,FALSE))</f>
        <v>컨트롤러(24채널)</v>
      </c>
      <c r="E291" s="707" t="str">
        <f>VLOOKUP($B:$B,[140]단가!$B:$K,4,FALSE)</f>
        <v>set</v>
      </c>
      <c r="F291" s="706">
        <f>VLOOKUP($B:$B,[140]단가!$B:$L,11,FALSE)</f>
        <v>800000</v>
      </c>
      <c r="G291" s="706"/>
      <c r="H291" s="712"/>
      <c r="I291" s="713"/>
    </row>
    <row r="292" spans="1:9" s="709" customFormat="1" ht="27.4" customHeight="1">
      <c r="A292" s="704" t="str">
        <f t="shared" si="6"/>
        <v>박물관용led램프컨트롤러(16채널)set</v>
      </c>
      <c r="B292" s="715" t="s">
        <v>5495</v>
      </c>
      <c r="C292" s="706" t="str">
        <f>VLOOKUP($B:$B,[140]단가!$B:$K,2,FALSE)</f>
        <v>박물관용led 램프</v>
      </c>
      <c r="D292" s="706" t="str">
        <f>IF(VLOOKUP(B:B,[140]단가!B:K,3,FALSE)="","",VLOOKUP(B:B,[140]단가!B:K,3,FALSE))</f>
        <v>컨트롤러(16채널)</v>
      </c>
      <c r="E292" s="707" t="str">
        <f>VLOOKUP($B:$B,[140]단가!$B:$K,4,FALSE)</f>
        <v>set</v>
      </c>
      <c r="F292" s="706">
        <f>VLOOKUP($B:$B,[140]단가!$B:$L,11,FALSE)</f>
        <v>650000</v>
      </c>
      <c r="G292" s="706"/>
      <c r="H292" s="712"/>
      <c r="I292" s="713"/>
    </row>
    <row r="293" spans="1:9" s="709" customFormat="1" ht="27.4" customHeight="1">
      <c r="A293" s="704" t="str">
        <f t="shared" si="6"/>
        <v>박물관용led램프컨트롤러(8채널)set</v>
      </c>
      <c r="B293" s="715" t="s">
        <v>5496</v>
      </c>
      <c r="C293" s="706" t="str">
        <f>VLOOKUP($B:$B,[140]단가!$B:$K,2,FALSE)</f>
        <v>박물관용led 램프</v>
      </c>
      <c r="D293" s="706" t="str">
        <f>IF(VLOOKUP(B:B,[140]단가!B:K,3,FALSE)="","",VLOOKUP(B:B,[140]단가!B:K,3,FALSE))</f>
        <v>컨트롤러(8채널)</v>
      </c>
      <c r="E293" s="707" t="str">
        <f>VLOOKUP($B:$B,[140]단가!$B:$K,4,FALSE)</f>
        <v>set</v>
      </c>
      <c r="F293" s="706">
        <f>VLOOKUP($B:$B,[140]단가!$B:$L,11,FALSE)</f>
        <v>600000</v>
      </c>
      <c r="G293" s="706"/>
      <c r="H293" s="712"/>
      <c r="I293" s="713"/>
    </row>
    <row r="294" spans="1:9" s="709" customFormat="1" ht="27.4" customHeight="1">
      <c r="A294" s="704" t="str">
        <f t="shared" si="6"/>
        <v>박물관용ledBAR컨트롤러set</v>
      </c>
      <c r="B294" s="715" t="s">
        <v>5497</v>
      </c>
      <c r="C294" s="706" t="str">
        <f>VLOOKUP($B:$B,[140]단가!$B:$K,2,FALSE)</f>
        <v>박물관용led BAR</v>
      </c>
      <c r="D294" s="706" t="str">
        <f>IF(VLOOKUP(B:B,[140]단가!B:K,3,FALSE)="","",VLOOKUP(B:B,[140]단가!B:K,3,FALSE))</f>
        <v>컨트롤러</v>
      </c>
      <c r="E294" s="707" t="str">
        <f>VLOOKUP($B:$B,[140]단가!$B:$K,4,FALSE)</f>
        <v>set</v>
      </c>
      <c r="F294" s="706">
        <f>VLOOKUP($B:$B,[140]단가!$B:$L,11,FALSE)</f>
        <v>400000</v>
      </c>
      <c r="G294" s="706"/>
      <c r="H294" s="712"/>
      <c r="I294" s="713"/>
    </row>
    <row r="295" spans="1:9" s="709" customFormat="1" ht="27.4" customHeight="1">
      <c r="A295" s="704" t="str">
        <f t="shared" ref="A295:A358" si="7">SUBSTITUTE(CONCATENATE(C:C,D:D,E:E)," ","")</f>
        <v>전후진전동콘트롤라벽부형SET</v>
      </c>
      <c r="B295" s="715" t="s">
        <v>5498</v>
      </c>
      <c r="C295" s="706" t="str">
        <f>VLOOKUP($B:$B,[140]단가!$B:$K,2,FALSE)</f>
        <v>전후진 전동콘트롤라</v>
      </c>
      <c r="D295" s="706" t="str">
        <f>IF(VLOOKUP(B:B,[140]단가!B:K,3,FALSE)="","",VLOOKUP(B:B,[140]단가!B:K,3,FALSE))</f>
        <v>벽부형</v>
      </c>
      <c r="E295" s="707" t="str">
        <f>VLOOKUP($B:$B,[140]단가!$B:$K,4,FALSE)</f>
        <v>SET</v>
      </c>
      <c r="F295" s="706">
        <f>VLOOKUP($B:$B,[140]단가!$B:$L,11,FALSE)</f>
        <v>900000</v>
      </c>
      <c r="G295" s="706"/>
      <c r="H295" s="712"/>
      <c r="I295" s="713"/>
    </row>
    <row r="296" spans="1:9" s="709" customFormat="1" ht="27.4" customHeight="1">
      <c r="A296" s="704" t="str">
        <f t="shared" si="7"/>
        <v>전후진전동콘트롤라독립형SET</v>
      </c>
      <c r="B296" s="715" t="s">
        <v>5499</v>
      </c>
      <c r="C296" s="706" t="str">
        <f>VLOOKUP($B:$B,[140]단가!$B:$K,2,FALSE)</f>
        <v>전후진 전동콘트롤라</v>
      </c>
      <c r="D296" s="706" t="str">
        <f>IF(VLOOKUP(B:B,[140]단가!B:K,3,FALSE)="","",VLOOKUP(B:B,[140]단가!B:K,3,FALSE))</f>
        <v>독립형</v>
      </c>
      <c r="E296" s="707" t="str">
        <f>VLOOKUP($B:$B,[140]단가!$B:$K,4,FALSE)</f>
        <v>SET</v>
      </c>
      <c r="F296" s="706">
        <f>VLOOKUP($B:$B,[140]단가!$B:$L,11,FALSE)</f>
        <v>400000</v>
      </c>
      <c r="G296" s="706"/>
      <c r="H296" s="712"/>
      <c r="I296" s="713"/>
    </row>
    <row r="297" spans="1:9" s="709" customFormat="1" ht="27.4" customHeight="1">
      <c r="A297" s="704" t="str">
        <f t="shared" si="7"/>
        <v>LED파워컨트롤러SMPSEA</v>
      </c>
      <c r="B297" s="715" t="s">
        <v>5500</v>
      </c>
      <c r="C297" s="706" t="str">
        <f>VLOOKUP($B:$B,[140]단가!$B:$K,2,FALSE)</f>
        <v>LED 파워컨트롤러</v>
      </c>
      <c r="D297" s="706" t="str">
        <f>IF(VLOOKUP(B:B,[140]단가!B:K,3,FALSE)="","",VLOOKUP(B:B,[140]단가!B:K,3,FALSE))</f>
        <v>SMPS</v>
      </c>
      <c r="E297" s="707" t="str">
        <f>VLOOKUP($B:$B,[140]단가!$B:$K,4,FALSE)</f>
        <v>EA</v>
      </c>
      <c r="F297" s="706">
        <f>VLOOKUP($B:$B,[140]단가!$B:$L,11,FALSE)</f>
        <v>130000</v>
      </c>
      <c r="G297" s="706"/>
      <c r="H297" s="712"/>
      <c r="I297" s="713"/>
    </row>
    <row r="298" spans="1:9" s="709" customFormat="1" ht="27.4" customHeight="1">
      <c r="A298" s="704" t="str">
        <f t="shared" si="7"/>
        <v>멀티트랙트랙레일(1회로)M</v>
      </c>
      <c r="B298" s="715" t="s">
        <v>5501</v>
      </c>
      <c r="C298" s="706" t="str">
        <f>VLOOKUP($B:$B,[140]단가!$B:$K,2,FALSE)</f>
        <v>멀티트랙</v>
      </c>
      <c r="D298" s="706" t="str">
        <f>IF(VLOOKUP(B:B,[140]단가!B:K,3,FALSE)="","",VLOOKUP(B:B,[140]단가!B:K,3,FALSE))</f>
        <v>트랙레일(1회로)</v>
      </c>
      <c r="E298" s="707" t="str">
        <f>VLOOKUP($B:$B,[140]단가!$B:$K,4,FALSE)</f>
        <v>M</v>
      </c>
      <c r="F298" s="706">
        <f>VLOOKUP($B:$B,[140]단가!$B:$L,11,FALSE)</f>
        <v>23800</v>
      </c>
      <c r="G298" s="706"/>
      <c r="H298" s="712"/>
      <c r="I298" s="713"/>
    </row>
    <row r="299" spans="1:9" s="709" customFormat="1" ht="27.4" customHeight="1">
      <c r="A299" s="704" t="str">
        <f t="shared" si="7"/>
        <v>멀티트랙연결소켓(1회로)EA</v>
      </c>
      <c r="B299" s="715" t="s">
        <v>5502</v>
      </c>
      <c r="C299" s="706" t="str">
        <f>VLOOKUP($B:$B,[140]단가!$B:$K,2,FALSE)</f>
        <v>멀티트랙</v>
      </c>
      <c r="D299" s="706" t="str">
        <f>IF(VLOOKUP(B:B,[140]단가!B:K,3,FALSE)="","",VLOOKUP(B:B,[140]단가!B:K,3,FALSE))</f>
        <v>연결소켓(1회로)</v>
      </c>
      <c r="E299" s="707" t="str">
        <f>VLOOKUP($B:$B,[140]단가!$B:$K,4,FALSE)</f>
        <v>EA</v>
      </c>
      <c r="F299" s="706">
        <f>VLOOKUP($B:$B,[140]단가!$B:$L,11,FALSE)</f>
        <v>12200</v>
      </c>
      <c r="G299" s="706"/>
      <c r="H299" s="712"/>
      <c r="I299" s="713"/>
    </row>
    <row r="300" spans="1:9" s="709" customFormat="1" ht="27.4" customHeight="1">
      <c r="A300" s="704" t="str">
        <f t="shared" si="7"/>
        <v>멀티트랙S/F(1회로)SET</v>
      </c>
      <c r="B300" s="715" t="s">
        <v>5503</v>
      </c>
      <c r="C300" s="706" t="str">
        <f>VLOOKUP($B:$B,[140]단가!$B:$K,2,FALSE)</f>
        <v>멀티트랙</v>
      </c>
      <c r="D300" s="706" t="str">
        <f>IF(VLOOKUP(B:B,[140]단가!B:K,3,FALSE)="","",VLOOKUP(B:B,[140]단가!B:K,3,FALSE))</f>
        <v>S/F(1회로)</v>
      </c>
      <c r="E300" s="707" t="str">
        <f>VLOOKUP($B:$B,[140]단가!$B:$K,4,FALSE)</f>
        <v>SET</v>
      </c>
      <c r="F300" s="706">
        <f>VLOOKUP($B:$B,[140]단가!$B:$L,11,FALSE)</f>
        <v>15750</v>
      </c>
      <c r="G300" s="706"/>
      <c r="H300" s="712"/>
      <c r="I300" s="713"/>
    </row>
    <row r="301" spans="1:9" s="709" customFormat="1" ht="27.4" customHeight="1">
      <c r="A301" s="704" t="str">
        <f t="shared" si="7"/>
        <v>내부사이드도어SET</v>
      </c>
      <c r="B301" s="715" t="s">
        <v>5504</v>
      </c>
      <c r="C301" s="706" t="str">
        <f>VLOOKUP($B:$B,[140]단가!$B:$K,2,FALSE)</f>
        <v>내부 사이드 도어</v>
      </c>
      <c r="D301" s="706" t="str">
        <f>IF(VLOOKUP(B:B,[140]단가!B:K,3,FALSE)="","",VLOOKUP(B:B,[140]단가!B:K,3,FALSE))</f>
        <v/>
      </c>
      <c r="E301" s="707" t="str">
        <f>VLOOKUP($B:$B,[140]단가!$B:$K,4,FALSE)</f>
        <v>SET</v>
      </c>
      <c r="F301" s="706">
        <f>VLOOKUP($B:$B,[140]단가!$B:$L,11,FALSE)</f>
        <v>1100000</v>
      </c>
      <c r="G301" s="706"/>
      <c r="H301" s="712"/>
      <c r="I301" s="713"/>
    </row>
    <row r="302" spans="1:9" s="709" customFormat="1" ht="27.4" customHeight="1">
      <c r="A302" s="704" t="str">
        <f t="shared" si="7"/>
        <v>외부포켓도어SET</v>
      </c>
      <c r="B302" s="715" t="s">
        <v>5505</v>
      </c>
      <c r="C302" s="706" t="str">
        <f>VLOOKUP($B:$B,[140]단가!$B:$K,2,FALSE)</f>
        <v>외부 포켓 도어</v>
      </c>
      <c r="D302" s="706" t="str">
        <f>IF(VLOOKUP(B:B,[140]단가!B:K,3,FALSE)="","",VLOOKUP(B:B,[140]단가!B:K,3,FALSE))</f>
        <v/>
      </c>
      <c r="E302" s="707" t="str">
        <f>VLOOKUP($B:$B,[140]단가!$B:$K,4,FALSE)</f>
        <v>SET</v>
      </c>
      <c r="F302" s="706">
        <f>VLOOKUP($B:$B,[140]단가!$B:$L,11,FALSE)</f>
        <v>1150000</v>
      </c>
      <c r="G302" s="706"/>
      <c r="H302" s="712"/>
      <c r="I302" s="713"/>
    </row>
    <row r="303" spans="1:9" s="709" customFormat="1" ht="27.4" customHeight="1">
      <c r="A303" s="704" t="e">
        <f t="shared" si="7"/>
        <v>#N/A</v>
      </c>
      <c r="B303" s="715" t="s">
        <v>5506</v>
      </c>
      <c r="C303" s="706" t="e">
        <f>VLOOKUP($B:$B,[140]단가!$B:$K,2,FALSE)</f>
        <v>#N/A</v>
      </c>
      <c r="D303" s="706" t="e">
        <f>IF(VLOOKUP(B:B,[140]단가!B:K,3,FALSE)="","",VLOOKUP(B:B,[140]단가!B:K,3,FALSE))</f>
        <v>#N/A</v>
      </c>
      <c r="E303" s="707" t="e">
        <f>VLOOKUP($B:$B,[140]단가!$B:$K,4,FALSE)</f>
        <v>#N/A</v>
      </c>
      <c r="F303" s="706" t="e">
        <f>VLOOKUP($B:$B,[140]단가!$B:$L,11,FALSE)</f>
        <v>#N/A</v>
      </c>
      <c r="G303" s="706"/>
      <c r="H303" s="712"/>
      <c r="I303" s="713"/>
    </row>
    <row r="304" spans="1:9" s="709" customFormat="1" ht="27.4" customHeight="1">
      <c r="A304" s="704" t="e">
        <f t="shared" si="7"/>
        <v>#N/A</v>
      </c>
      <c r="B304" s="715" t="s">
        <v>5507</v>
      </c>
      <c r="C304" s="706" t="e">
        <f>VLOOKUP($B:$B,[140]단가!$B:$K,2,FALSE)</f>
        <v>#N/A</v>
      </c>
      <c r="D304" s="706" t="e">
        <f>IF(VLOOKUP(B:B,[140]단가!B:K,3,FALSE)="","",VLOOKUP(B:B,[140]단가!B:K,3,FALSE))</f>
        <v>#N/A</v>
      </c>
      <c r="E304" s="707" t="e">
        <f>VLOOKUP($B:$B,[140]단가!$B:$K,4,FALSE)</f>
        <v>#N/A</v>
      </c>
      <c r="F304" s="706" t="e">
        <f>VLOOKUP($B:$B,[140]단가!$B:$L,11,FALSE)</f>
        <v>#N/A</v>
      </c>
      <c r="G304" s="706"/>
      <c r="H304" s="712"/>
      <c r="I304" s="713"/>
    </row>
    <row r="305" spans="1:9" s="709" customFormat="1" ht="27.4" customHeight="1">
      <c r="A305" s="704" t="e">
        <f t="shared" si="7"/>
        <v>#N/A</v>
      </c>
      <c r="B305" s="715" t="s">
        <v>5508</v>
      </c>
      <c r="C305" s="706" t="e">
        <f>VLOOKUP($B:$B,[140]단가!$B:$K,2,FALSE)</f>
        <v>#N/A</v>
      </c>
      <c r="D305" s="706" t="e">
        <f>IF(VLOOKUP(B:B,[140]단가!B:K,3,FALSE)="","",VLOOKUP(B:B,[140]단가!B:K,3,FALSE))</f>
        <v>#N/A</v>
      </c>
      <c r="E305" s="707" t="e">
        <f>VLOOKUP($B:$B,[140]단가!$B:$K,4,FALSE)</f>
        <v>#N/A</v>
      </c>
      <c r="F305" s="706" t="e">
        <f>VLOOKUP($B:$B,[140]단가!$B:$L,11,FALSE)</f>
        <v>#N/A</v>
      </c>
      <c r="G305" s="706"/>
      <c r="H305" s="712"/>
      <c r="I305" s="713"/>
    </row>
    <row r="306" spans="1:9" s="709" customFormat="1" ht="27.4" customHeight="1">
      <c r="A306" s="704" t="e">
        <f t="shared" si="7"/>
        <v>#N/A</v>
      </c>
      <c r="B306" s="715" t="s">
        <v>5509</v>
      </c>
      <c r="C306" s="706" t="e">
        <f>VLOOKUP($B:$B,[140]단가!$B:$K,2,FALSE)</f>
        <v>#N/A</v>
      </c>
      <c r="D306" s="706" t="e">
        <f>IF(VLOOKUP(B:B,[140]단가!B:K,3,FALSE)="","",VLOOKUP(B:B,[140]단가!B:K,3,FALSE))</f>
        <v>#N/A</v>
      </c>
      <c r="E306" s="707" t="e">
        <f>VLOOKUP($B:$B,[140]단가!$B:$K,4,FALSE)</f>
        <v>#N/A</v>
      </c>
      <c r="F306" s="706" t="e">
        <f>VLOOKUP($B:$B,[140]단가!$B:$L,11,FALSE)</f>
        <v>#N/A</v>
      </c>
      <c r="G306" s="706"/>
      <c r="H306" s="712"/>
      <c r="I306" s="713"/>
    </row>
    <row r="307" spans="1:9" s="709" customFormat="1" ht="27.4" customHeight="1">
      <c r="A307" s="704" t="e">
        <f t="shared" si="7"/>
        <v>#N/A</v>
      </c>
      <c r="B307" s="715" t="s">
        <v>5510</v>
      </c>
      <c r="C307" s="706" t="e">
        <f>VLOOKUP($B:$B,[140]단가!$B:$K,2,FALSE)</f>
        <v>#N/A</v>
      </c>
      <c r="D307" s="706" t="e">
        <f>IF(VLOOKUP(B:B,[140]단가!B:K,3,FALSE)="","",VLOOKUP(B:B,[140]단가!B:K,3,FALSE))</f>
        <v>#N/A</v>
      </c>
      <c r="E307" s="707" t="e">
        <f>VLOOKUP($B:$B,[140]단가!$B:$K,4,FALSE)</f>
        <v>#N/A</v>
      </c>
      <c r="F307" s="706" t="e">
        <f>VLOOKUP($B:$B,[140]단가!$B:$L,11,FALSE)</f>
        <v>#N/A</v>
      </c>
      <c r="G307" s="706"/>
      <c r="H307" s="712"/>
      <c r="I307" s="713"/>
    </row>
    <row r="308" spans="1:9" s="709" customFormat="1" ht="27.4" customHeight="1">
      <c r="A308" s="704" t="e">
        <f t="shared" si="7"/>
        <v>#N/A</v>
      </c>
      <c r="B308" s="715" t="s">
        <v>5511</v>
      </c>
      <c r="C308" s="706" t="e">
        <f>VLOOKUP($B:$B,[140]단가!$B:$K,2,FALSE)</f>
        <v>#N/A</v>
      </c>
      <c r="D308" s="706" t="e">
        <f>IF(VLOOKUP(B:B,[140]단가!B:K,3,FALSE)="","",VLOOKUP(B:B,[140]단가!B:K,3,FALSE))</f>
        <v>#N/A</v>
      </c>
      <c r="E308" s="707" t="e">
        <f>VLOOKUP($B:$B,[140]단가!$B:$K,4,FALSE)</f>
        <v>#N/A</v>
      </c>
      <c r="F308" s="706" t="e">
        <f>VLOOKUP($B:$B,[140]단가!$B:$L,11,FALSE)</f>
        <v>#N/A</v>
      </c>
      <c r="G308" s="706"/>
      <c r="H308" s="712"/>
      <c r="I308" s="713"/>
    </row>
    <row r="309" spans="1:9" s="709" customFormat="1" ht="27.4" customHeight="1">
      <c r="A309" s="704" t="e">
        <f t="shared" si="7"/>
        <v>#N/A</v>
      </c>
      <c r="B309" s="715" t="s">
        <v>5512</v>
      </c>
      <c r="C309" s="706" t="e">
        <f>VLOOKUP($B:$B,[140]단가!$B:$K,2,FALSE)</f>
        <v>#N/A</v>
      </c>
      <c r="D309" s="706" t="e">
        <f>IF(VLOOKUP(B:B,[140]단가!B:K,3,FALSE)="","",VLOOKUP(B:B,[140]단가!B:K,3,FALSE))</f>
        <v>#N/A</v>
      </c>
      <c r="E309" s="707" t="e">
        <f>VLOOKUP($B:$B,[140]단가!$B:$K,4,FALSE)</f>
        <v>#N/A</v>
      </c>
      <c r="F309" s="706" t="e">
        <f>VLOOKUP($B:$B,[140]단가!$B:$L,11,FALSE)</f>
        <v>#N/A</v>
      </c>
      <c r="G309" s="706"/>
      <c r="H309" s="712"/>
      <c r="I309" s="713"/>
    </row>
    <row r="310" spans="1:9" s="709" customFormat="1" ht="27.4" customHeight="1">
      <c r="A310" s="704" t="e">
        <f t="shared" si="7"/>
        <v>#N/A</v>
      </c>
      <c r="B310" s="715" t="s">
        <v>5513</v>
      </c>
      <c r="C310" s="706" t="e">
        <f>VLOOKUP($B:$B,[140]단가!$B:$K,2,FALSE)</f>
        <v>#N/A</v>
      </c>
      <c r="D310" s="706" t="e">
        <f>IF(VLOOKUP(B:B,[140]단가!B:K,3,FALSE)="","",VLOOKUP(B:B,[140]단가!B:K,3,FALSE))</f>
        <v>#N/A</v>
      </c>
      <c r="E310" s="707" t="e">
        <f>VLOOKUP($B:$B,[140]단가!$B:$K,4,FALSE)</f>
        <v>#N/A</v>
      </c>
      <c r="F310" s="706" t="e">
        <f>VLOOKUP($B:$B,[140]단가!$B:$L,11,FALSE)</f>
        <v>#N/A</v>
      </c>
      <c r="G310" s="706"/>
      <c r="H310" s="712"/>
      <c r="I310" s="713"/>
    </row>
    <row r="311" spans="1:9" s="709" customFormat="1" ht="27.4" customHeight="1">
      <c r="A311" s="704" t="e">
        <f t="shared" si="7"/>
        <v>#N/A</v>
      </c>
      <c r="B311" s="715" t="s">
        <v>5514</v>
      </c>
      <c r="C311" s="706" t="e">
        <f>VLOOKUP($B:$B,[140]단가!$B:$K,2,FALSE)</f>
        <v>#N/A</v>
      </c>
      <c r="D311" s="706" t="e">
        <f>IF(VLOOKUP(B:B,[140]단가!B:K,3,FALSE)="","",VLOOKUP(B:B,[140]단가!B:K,3,FALSE))</f>
        <v>#N/A</v>
      </c>
      <c r="E311" s="707" t="e">
        <f>VLOOKUP($B:$B,[140]단가!$B:$K,4,FALSE)</f>
        <v>#N/A</v>
      </c>
      <c r="F311" s="706" t="e">
        <f>VLOOKUP($B:$B,[140]단가!$B:$L,11,FALSE)</f>
        <v>#N/A</v>
      </c>
      <c r="G311" s="706"/>
      <c r="H311" s="712"/>
      <c r="I311" s="713"/>
    </row>
    <row r="312" spans="1:9" s="709" customFormat="1" ht="27.4" customHeight="1">
      <c r="A312" s="704" t="e">
        <f t="shared" si="7"/>
        <v>#N/A</v>
      </c>
      <c r="B312" s="715" t="s">
        <v>5515</v>
      </c>
      <c r="C312" s="706" t="e">
        <f>VLOOKUP($B:$B,[140]단가!$B:$K,2,FALSE)</f>
        <v>#N/A</v>
      </c>
      <c r="D312" s="706" t="e">
        <f>IF(VLOOKUP(B:B,[140]단가!B:K,3,FALSE)="","",VLOOKUP(B:B,[140]단가!B:K,3,FALSE))</f>
        <v>#N/A</v>
      </c>
      <c r="E312" s="707" t="e">
        <f>VLOOKUP($B:$B,[140]단가!$B:$K,4,FALSE)</f>
        <v>#N/A</v>
      </c>
      <c r="F312" s="706" t="e">
        <f>VLOOKUP($B:$B,[140]단가!$B:$L,11,FALSE)</f>
        <v>#N/A</v>
      </c>
      <c r="G312" s="706"/>
      <c r="H312" s="712"/>
      <c r="I312" s="713"/>
    </row>
    <row r="313" spans="1:9" s="709" customFormat="1" ht="27.4" customHeight="1">
      <c r="A313" s="704" t="e">
        <f t="shared" si="7"/>
        <v>#N/A</v>
      </c>
      <c r="B313" s="715" t="s">
        <v>5516</v>
      </c>
      <c r="C313" s="706" t="e">
        <f>VLOOKUP($B:$B,[140]단가!$B:$K,2,FALSE)</f>
        <v>#N/A</v>
      </c>
      <c r="D313" s="706" t="e">
        <f>IF(VLOOKUP(B:B,[140]단가!B:K,3,FALSE)="","",VLOOKUP(B:B,[140]단가!B:K,3,FALSE))</f>
        <v>#N/A</v>
      </c>
      <c r="E313" s="707" t="e">
        <f>VLOOKUP($B:$B,[140]단가!$B:$K,4,FALSE)</f>
        <v>#N/A</v>
      </c>
      <c r="F313" s="706" t="e">
        <f>VLOOKUP($B:$B,[140]단가!$B:$L,11,FALSE)</f>
        <v>#N/A</v>
      </c>
      <c r="G313" s="706"/>
      <c r="H313" s="712"/>
      <c r="I313" s="713"/>
    </row>
    <row r="314" spans="1:9" s="709" customFormat="1" ht="27.4" customHeight="1">
      <c r="A314" s="704" t="e">
        <f t="shared" si="7"/>
        <v>#N/A</v>
      </c>
      <c r="B314" s="715" t="s">
        <v>5517</v>
      </c>
      <c r="C314" s="706" t="e">
        <f>VLOOKUP($B:$B,[140]단가!$B:$K,2,FALSE)</f>
        <v>#N/A</v>
      </c>
      <c r="D314" s="706" t="e">
        <f>IF(VLOOKUP(B:B,[140]단가!B:K,3,FALSE)="","",VLOOKUP(B:B,[140]단가!B:K,3,FALSE))</f>
        <v>#N/A</v>
      </c>
      <c r="E314" s="707" t="e">
        <f>VLOOKUP($B:$B,[140]단가!$B:$K,4,FALSE)</f>
        <v>#N/A</v>
      </c>
      <c r="F314" s="706" t="e">
        <f>VLOOKUP($B:$B,[140]단가!$B:$L,11,FALSE)</f>
        <v>#N/A</v>
      </c>
      <c r="G314" s="706"/>
      <c r="H314" s="712"/>
      <c r="I314" s="713"/>
    </row>
    <row r="315" spans="1:9" s="709" customFormat="1" ht="27.4" customHeight="1">
      <c r="A315" s="704" t="e">
        <f t="shared" si="7"/>
        <v>#N/A</v>
      </c>
      <c r="B315" s="715" t="s">
        <v>5518</v>
      </c>
      <c r="C315" s="706" t="e">
        <f>VLOOKUP($B:$B,[140]단가!$B:$K,2,FALSE)</f>
        <v>#N/A</v>
      </c>
      <c r="D315" s="706" t="e">
        <f>IF(VLOOKUP(B:B,[140]단가!B:K,3,FALSE)="","",VLOOKUP(B:B,[140]단가!B:K,3,FALSE))</f>
        <v>#N/A</v>
      </c>
      <c r="E315" s="707" t="e">
        <f>VLOOKUP($B:$B,[140]단가!$B:$K,4,FALSE)</f>
        <v>#N/A</v>
      </c>
      <c r="F315" s="706" t="e">
        <f>VLOOKUP($B:$B,[140]단가!$B:$L,11,FALSE)</f>
        <v>#N/A</v>
      </c>
      <c r="G315" s="706"/>
      <c r="H315" s="712"/>
      <c r="I315" s="713"/>
    </row>
    <row r="316" spans="1:9" s="709" customFormat="1" ht="27.4" customHeight="1">
      <c r="A316" s="704" t="e">
        <f t="shared" si="7"/>
        <v>#N/A</v>
      </c>
      <c r="B316" s="715" t="s">
        <v>5519</v>
      </c>
      <c r="C316" s="706" t="e">
        <f>VLOOKUP($B:$B,[140]단가!$B:$K,2,FALSE)</f>
        <v>#N/A</v>
      </c>
      <c r="D316" s="706" t="e">
        <f>IF(VLOOKUP(B:B,[140]단가!B:K,3,FALSE)="","",VLOOKUP(B:B,[140]단가!B:K,3,FALSE))</f>
        <v>#N/A</v>
      </c>
      <c r="E316" s="707" t="e">
        <f>VLOOKUP($B:$B,[140]단가!$B:$K,4,FALSE)</f>
        <v>#N/A</v>
      </c>
      <c r="F316" s="706" t="e">
        <f>VLOOKUP($B:$B,[140]단가!$B:$L,11,FALSE)</f>
        <v>#N/A</v>
      </c>
      <c r="G316" s="706"/>
      <c r="H316" s="712"/>
      <c r="I316" s="713"/>
    </row>
    <row r="317" spans="1:9" s="709" customFormat="1" ht="27.4" customHeight="1">
      <c r="A317" s="704" t="e">
        <f t="shared" si="7"/>
        <v>#N/A</v>
      </c>
      <c r="B317" s="715" t="s">
        <v>5520</v>
      </c>
      <c r="C317" s="706" t="e">
        <f>VLOOKUP($B:$B,[140]단가!$B:$K,2,FALSE)</f>
        <v>#N/A</v>
      </c>
      <c r="D317" s="706" t="e">
        <f>IF(VLOOKUP(B:B,[140]단가!B:K,3,FALSE)="","",VLOOKUP(B:B,[140]단가!B:K,3,FALSE))</f>
        <v>#N/A</v>
      </c>
      <c r="E317" s="707" t="e">
        <f>VLOOKUP($B:$B,[140]단가!$B:$K,4,FALSE)</f>
        <v>#N/A</v>
      </c>
      <c r="F317" s="706" t="e">
        <f>VLOOKUP($B:$B,[140]단가!$B:$L,11,FALSE)</f>
        <v>#N/A</v>
      </c>
      <c r="G317" s="706"/>
      <c r="H317" s="712"/>
      <c r="I317" s="713"/>
    </row>
    <row r="318" spans="1:9" s="709" customFormat="1" ht="27.4" customHeight="1">
      <c r="A318" s="704" t="e">
        <f t="shared" si="7"/>
        <v>#N/A</v>
      </c>
      <c r="B318" s="715" t="s">
        <v>5521</v>
      </c>
      <c r="C318" s="706" t="e">
        <f>VLOOKUP($B:$B,[140]단가!$B:$K,2,FALSE)</f>
        <v>#N/A</v>
      </c>
      <c r="D318" s="706" t="e">
        <f>IF(VLOOKUP(B:B,[140]단가!B:K,3,FALSE)="","",VLOOKUP(B:B,[140]단가!B:K,3,FALSE))</f>
        <v>#N/A</v>
      </c>
      <c r="E318" s="707" t="e">
        <f>VLOOKUP($B:$B,[140]단가!$B:$K,4,FALSE)</f>
        <v>#N/A</v>
      </c>
      <c r="F318" s="706" t="e">
        <f>VLOOKUP($B:$B,[140]단가!$B:$L,11,FALSE)</f>
        <v>#N/A</v>
      </c>
      <c r="G318" s="706"/>
      <c r="H318" s="712"/>
      <c r="I318" s="713"/>
    </row>
    <row r="319" spans="1:9" s="709" customFormat="1" ht="27.4" customHeight="1">
      <c r="A319" s="704" t="e">
        <f t="shared" si="7"/>
        <v>#N/A</v>
      </c>
      <c r="B319" s="715" t="s">
        <v>5522</v>
      </c>
      <c r="C319" s="706" t="e">
        <f>VLOOKUP($B:$B,[140]단가!$B:$K,2,FALSE)</f>
        <v>#N/A</v>
      </c>
      <c r="D319" s="706" t="e">
        <f>IF(VLOOKUP(B:B,[140]단가!B:K,3,FALSE)="","",VLOOKUP(B:B,[140]단가!B:K,3,FALSE))</f>
        <v>#N/A</v>
      </c>
      <c r="E319" s="707" t="e">
        <f>VLOOKUP($B:$B,[140]단가!$B:$K,4,FALSE)</f>
        <v>#N/A</v>
      </c>
      <c r="F319" s="706" t="e">
        <f>VLOOKUP($B:$B,[140]단가!$B:$L,11,FALSE)</f>
        <v>#N/A</v>
      </c>
      <c r="G319" s="706"/>
      <c r="H319" s="712"/>
      <c r="I319" s="713"/>
    </row>
    <row r="320" spans="1:9" s="709" customFormat="1" ht="27.4" customHeight="1">
      <c r="A320" s="704" t="e">
        <f t="shared" si="7"/>
        <v>#N/A</v>
      </c>
      <c r="B320" s="715" t="s">
        <v>5522</v>
      </c>
      <c r="C320" s="706" t="e">
        <f>VLOOKUP($B:$B,[140]단가!$B:$K,2,FALSE)</f>
        <v>#N/A</v>
      </c>
      <c r="D320" s="706" t="e">
        <f>IF(VLOOKUP(B:B,[140]단가!B:K,3,FALSE)="","",VLOOKUP(B:B,[140]단가!B:K,3,FALSE))</f>
        <v>#N/A</v>
      </c>
      <c r="E320" s="707" t="e">
        <f>VLOOKUP($B:$B,[140]단가!$B:$K,4,FALSE)</f>
        <v>#N/A</v>
      </c>
      <c r="F320" s="706" t="e">
        <f>VLOOKUP($B:$B,[140]단가!$B:$L,11,FALSE)</f>
        <v>#N/A</v>
      </c>
      <c r="G320" s="706"/>
      <c r="H320" s="712"/>
      <c r="I320" s="713"/>
    </row>
    <row r="321" spans="1:9" s="709" customFormat="1" ht="27.4" customHeight="1">
      <c r="A321" s="704" t="e">
        <f t="shared" si="7"/>
        <v>#N/A</v>
      </c>
      <c r="B321" s="715" t="s">
        <v>5523</v>
      </c>
      <c r="C321" s="706" t="e">
        <f>VLOOKUP($B:$B,[140]단가!$B:$K,2,FALSE)</f>
        <v>#N/A</v>
      </c>
      <c r="D321" s="706" t="e">
        <f>IF(VLOOKUP(B:B,[140]단가!B:K,3,FALSE)="","",VLOOKUP(B:B,[140]단가!B:K,3,FALSE))</f>
        <v>#N/A</v>
      </c>
      <c r="E321" s="707" t="e">
        <f>VLOOKUP($B:$B,[140]단가!$B:$K,4,FALSE)</f>
        <v>#N/A</v>
      </c>
      <c r="F321" s="706" t="e">
        <f>VLOOKUP($B:$B,[140]단가!$B:$L,11,FALSE)</f>
        <v>#N/A</v>
      </c>
      <c r="G321" s="706"/>
      <c r="H321" s="712"/>
      <c r="I321" s="713"/>
    </row>
    <row r="322" spans="1:9" s="709" customFormat="1" ht="27.4" customHeight="1">
      <c r="A322" s="704" t="e">
        <f t="shared" si="7"/>
        <v>#N/A</v>
      </c>
      <c r="B322" s="715" t="s">
        <v>5524</v>
      </c>
      <c r="C322" s="706" t="e">
        <f>VLOOKUP($B:$B,[140]단가!$B:$K,2,FALSE)</f>
        <v>#N/A</v>
      </c>
      <c r="D322" s="706" t="e">
        <f>IF(VLOOKUP(B:B,[140]단가!B:K,3,FALSE)="","",VLOOKUP(B:B,[140]단가!B:K,3,FALSE))</f>
        <v>#N/A</v>
      </c>
      <c r="E322" s="707" t="e">
        <f>VLOOKUP($B:$B,[140]단가!$B:$K,4,FALSE)</f>
        <v>#N/A</v>
      </c>
      <c r="F322" s="706" t="e">
        <f>VLOOKUP($B:$B,[140]단가!$B:$L,11,FALSE)</f>
        <v>#N/A</v>
      </c>
      <c r="G322" s="706"/>
      <c r="H322" s="712"/>
      <c r="I322" s="713"/>
    </row>
    <row r="323" spans="1:9" s="709" customFormat="1" ht="27.4" customHeight="1">
      <c r="A323" s="704" t="e">
        <f t="shared" si="7"/>
        <v>#N/A</v>
      </c>
      <c r="B323" s="715" t="s">
        <v>5525</v>
      </c>
      <c r="C323" s="706" t="e">
        <f>VLOOKUP($B:$B,[140]단가!$B:$K,2,FALSE)</f>
        <v>#N/A</v>
      </c>
      <c r="D323" s="706" t="e">
        <f>IF(VLOOKUP(B:B,[140]단가!B:K,3,FALSE)="","",VLOOKUP(B:B,[140]단가!B:K,3,FALSE))</f>
        <v>#N/A</v>
      </c>
      <c r="E323" s="707" t="e">
        <f>VLOOKUP($B:$B,[140]단가!$B:$K,4,FALSE)</f>
        <v>#N/A</v>
      </c>
      <c r="F323" s="706" t="e">
        <f>VLOOKUP($B:$B,[140]단가!$B:$L,11,FALSE)</f>
        <v>#N/A</v>
      </c>
      <c r="G323" s="706"/>
      <c r="H323" s="712"/>
      <c r="I323" s="713"/>
    </row>
    <row r="324" spans="1:9" s="709" customFormat="1" ht="27.4" customHeight="1">
      <c r="A324" s="704" t="e">
        <f t="shared" si="7"/>
        <v>#N/A</v>
      </c>
      <c r="B324" s="715" t="s">
        <v>5526</v>
      </c>
      <c r="C324" s="706" t="e">
        <f>VLOOKUP($B:$B,[140]단가!$B:$K,2,FALSE)</f>
        <v>#N/A</v>
      </c>
      <c r="D324" s="706" t="e">
        <f>IF(VLOOKUP(B:B,[140]단가!B:K,3,FALSE)="","",VLOOKUP(B:B,[140]단가!B:K,3,FALSE))</f>
        <v>#N/A</v>
      </c>
      <c r="E324" s="707" t="e">
        <f>VLOOKUP($B:$B,[140]단가!$B:$K,4,FALSE)</f>
        <v>#N/A</v>
      </c>
      <c r="F324" s="706" t="e">
        <f>VLOOKUP($B:$B,[140]단가!$B:$L,11,FALSE)</f>
        <v>#N/A</v>
      </c>
      <c r="G324" s="706"/>
      <c r="H324" s="712"/>
      <c r="I324" s="713"/>
    </row>
    <row r="325" spans="1:9" s="709" customFormat="1" ht="27.4" customHeight="1">
      <c r="A325" s="704" t="e">
        <f t="shared" si="7"/>
        <v>#N/A</v>
      </c>
      <c r="B325" s="715" t="s">
        <v>5527</v>
      </c>
      <c r="C325" s="706" t="e">
        <f>VLOOKUP($B:$B,[140]단가!$B:$K,2,FALSE)</f>
        <v>#N/A</v>
      </c>
      <c r="D325" s="706" t="e">
        <f>IF(VLOOKUP(B:B,[140]단가!B:K,3,FALSE)="","",VLOOKUP(B:B,[140]단가!B:K,3,FALSE))</f>
        <v>#N/A</v>
      </c>
      <c r="E325" s="707" t="e">
        <f>VLOOKUP($B:$B,[140]단가!$B:$K,4,FALSE)</f>
        <v>#N/A</v>
      </c>
      <c r="F325" s="706" t="e">
        <f>VLOOKUP($B:$B,[140]단가!$B:$L,11,FALSE)</f>
        <v>#N/A</v>
      </c>
      <c r="G325" s="706"/>
      <c r="H325" s="712"/>
      <c r="I325" s="713"/>
    </row>
    <row r="326" spans="1:9" s="709" customFormat="1" ht="27.4" customHeight="1">
      <c r="A326" s="704" t="e">
        <f t="shared" si="7"/>
        <v>#N/A</v>
      </c>
      <c r="B326" s="715" t="s">
        <v>5528</v>
      </c>
      <c r="C326" s="706" t="e">
        <f>VLOOKUP($B:$B,[140]단가!$B:$K,2,FALSE)</f>
        <v>#N/A</v>
      </c>
      <c r="D326" s="706" t="e">
        <f>IF(VLOOKUP(B:B,[140]단가!B:K,3,FALSE)="","",VLOOKUP(B:B,[140]단가!B:K,3,FALSE))</f>
        <v>#N/A</v>
      </c>
      <c r="E326" s="707" t="e">
        <f>VLOOKUP($B:$B,[140]단가!$B:$K,4,FALSE)</f>
        <v>#N/A</v>
      </c>
      <c r="F326" s="706" t="e">
        <f>VLOOKUP($B:$B,[140]단가!$B:$L,11,FALSE)</f>
        <v>#N/A</v>
      </c>
      <c r="G326" s="706"/>
      <c r="H326" s="712"/>
      <c r="I326" s="713"/>
    </row>
    <row r="327" spans="1:9" s="709" customFormat="1" ht="27.4" customHeight="1">
      <c r="A327" s="704" t="e">
        <f t="shared" si="7"/>
        <v>#N/A</v>
      </c>
      <c r="B327" s="715" t="s">
        <v>5529</v>
      </c>
      <c r="C327" s="706" t="e">
        <f>VLOOKUP($B:$B,[140]단가!$B:$K,2,FALSE)</f>
        <v>#N/A</v>
      </c>
      <c r="D327" s="706" t="e">
        <f>IF(VLOOKUP(B:B,[140]단가!B:K,3,FALSE)="","",VLOOKUP(B:B,[140]단가!B:K,3,FALSE))</f>
        <v>#N/A</v>
      </c>
      <c r="E327" s="707" t="e">
        <f>VLOOKUP($B:$B,[140]단가!$B:$K,4,FALSE)</f>
        <v>#N/A</v>
      </c>
      <c r="F327" s="706" t="e">
        <f>VLOOKUP($B:$B,[140]단가!$B:$L,11,FALSE)</f>
        <v>#N/A</v>
      </c>
      <c r="G327" s="706"/>
      <c r="H327" s="712"/>
      <c r="I327" s="713"/>
    </row>
    <row r="328" spans="1:9" s="709" customFormat="1" ht="27.4" customHeight="1">
      <c r="A328" s="704" t="e">
        <f t="shared" si="7"/>
        <v>#N/A</v>
      </c>
      <c r="B328" s="715" t="s">
        <v>5530</v>
      </c>
      <c r="C328" s="706" t="e">
        <f>VLOOKUP($B:$B,[140]단가!$B:$K,2,FALSE)</f>
        <v>#N/A</v>
      </c>
      <c r="D328" s="706" t="e">
        <f>IF(VLOOKUP(B:B,[140]단가!B:K,3,FALSE)="","",VLOOKUP(B:B,[140]단가!B:K,3,FALSE))</f>
        <v>#N/A</v>
      </c>
      <c r="E328" s="707" t="e">
        <f>VLOOKUP($B:$B,[140]단가!$B:$K,4,FALSE)</f>
        <v>#N/A</v>
      </c>
      <c r="F328" s="706" t="e">
        <f>VLOOKUP($B:$B,[140]단가!$B:$L,11,FALSE)</f>
        <v>#N/A</v>
      </c>
      <c r="G328" s="706"/>
      <c r="H328" s="712"/>
      <c r="I328" s="713"/>
    </row>
    <row r="329" spans="1:9" s="709" customFormat="1" ht="27.4" customHeight="1">
      <c r="A329" s="704" t="e">
        <f t="shared" si="7"/>
        <v>#N/A</v>
      </c>
      <c r="B329" s="715" t="s">
        <v>5531</v>
      </c>
      <c r="C329" s="706" t="e">
        <f>VLOOKUP($B:$B,[140]단가!$B:$K,2,FALSE)</f>
        <v>#N/A</v>
      </c>
      <c r="D329" s="706" t="e">
        <f>IF(VLOOKUP(B:B,[140]단가!B:K,3,FALSE)="","",VLOOKUP(B:B,[140]단가!B:K,3,FALSE))</f>
        <v>#N/A</v>
      </c>
      <c r="E329" s="707" t="e">
        <f>VLOOKUP($B:$B,[140]단가!$B:$K,4,FALSE)</f>
        <v>#N/A</v>
      </c>
      <c r="F329" s="706" t="e">
        <f>VLOOKUP($B:$B,[140]단가!$B:$L,11,FALSE)</f>
        <v>#N/A</v>
      </c>
      <c r="G329" s="706"/>
      <c r="H329" s="712"/>
      <c r="I329" s="713"/>
    </row>
    <row r="330" spans="1:9" s="709" customFormat="1" ht="27.4" customHeight="1">
      <c r="A330" s="704" t="e">
        <f t="shared" si="7"/>
        <v>#N/A</v>
      </c>
      <c r="B330" s="715" t="s">
        <v>5532</v>
      </c>
      <c r="C330" s="706" t="e">
        <f>VLOOKUP($B:$B,[140]단가!$B:$K,2,FALSE)</f>
        <v>#N/A</v>
      </c>
      <c r="D330" s="706" t="e">
        <f>IF(VLOOKUP(B:B,[140]단가!B:K,3,FALSE)="","",VLOOKUP(B:B,[140]단가!B:K,3,FALSE))</f>
        <v>#N/A</v>
      </c>
      <c r="E330" s="707" t="e">
        <f>VLOOKUP($B:$B,[140]단가!$B:$K,4,FALSE)</f>
        <v>#N/A</v>
      </c>
      <c r="F330" s="706" t="e">
        <f>VLOOKUP($B:$B,[140]단가!$B:$L,11,FALSE)</f>
        <v>#N/A</v>
      </c>
      <c r="G330" s="706"/>
      <c r="H330" s="712"/>
      <c r="I330" s="713"/>
    </row>
    <row r="331" spans="1:9" s="709" customFormat="1" ht="27.4" customHeight="1">
      <c r="A331" s="704" t="e">
        <f t="shared" si="7"/>
        <v>#N/A</v>
      </c>
      <c r="B331" s="715" t="s">
        <v>5533</v>
      </c>
      <c r="C331" s="706" t="e">
        <f>VLOOKUP($B:$B,[140]단가!$B:$K,2,FALSE)</f>
        <v>#N/A</v>
      </c>
      <c r="D331" s="706" t="e">
        <f>IF(VLOOKUP(B:B,[140]단가!B:K,3,FALSE)="","",VLOOKUP(B:B,[140]단가!B:K,3,FALSE))</f>
        <v>#N/A</v>
      </c>
      <c r="E331" s="707" t="e">
        <f>VLOOKUP($B:$B,[140]단가!$B:$K,4,FALSE)</f>
        <v>#N/A</v>
      </c>
      <c r="F331" s="706" t="e">
        <f>VLOOKUP($B:$B,[140]단가!$B:$L,11,FALSE)</f>
        <v>#N/A</v>
      </c>
      <c r="G331" s="706"/>
      <c r="H331" s="712"/>
      <c r="I331" s="713"/>
    </row>
    <row r="332" spans="1:9" s="709" customFormat="1" ht="27.4" customHeight="1">
      <c r="A332" s="704" t="e">
        <f t="shared" si="7"/>
        <v>#N/A</v>
      </c>
      <c r="B332" s="715" t="s">
        <v>5534</v>
      </c>
      <c r="C332" s="706" t="e">
        <f>VLOOKUP($B:$B,[140]단가!$B:$K,2,FALSE)</f>
        <v>#N/A</v>
      </c>
      <c r="D332" s="706" t="e">
        <f>IF(VLOOKUP(B:B,[140]단가!B:K,3,FALSE)="","",VLOOKUP(B:B,[140]단가!B:K,3,FALSE))</f>
        <v>#N/A</v>
      </c>
      <c r="E332" s="707" t="e">
        <f>VLOOKUP($B:$B,[140]단가!$B:$K,4,FALSE)</f>
        <v>#N/A</v>
      </c>
      <c r="F332" s="706" t="e">
        <f>VLOOKUP($B:$B,[140]단가!$B:$L,11,FALSE)</f>
        <v>#N/A</v>
      </c>
      <c r="G332" s="706"/>
      <c r="H332" s="712"/>
      <c r="I332" s="713"/>
    </row>
    <row r="333" spans="1:9" s="709" customFormat="1" ht="27.4" customHeight="1">
      <c r="A333" s="704" t="e">
        <f t="shared" si="7"/>
        <v>#N/A</v>
      </c>
      <c r="B333" s="715" t="s">
        <v>5535</v>
      </c>
      <c r="C333" s="706" t="e">
        <f>VLOOKUP($B:$B,[140]단가!$B:$K,2,FALSE)</f>
        <v>#N/A</v>
      </c>
      <c r="D333" s="706" t="e">
        <f>IF(VLOOKUP(B:B,[140]단가!B:K,3,FALSE)="","",VLOOKUP(B:B,[140]단가!B:K,3,FALSE))</f>
        <v>#N/A</v>
      </c>
      <c r="E333" s="707" t="e">
        <f>VLOOKUP($B:$B,[140]단가!$B:$K,4,FALSE)</f>
        <v>#N/A</v>
      </c>
      <c r="F333" s="706" t="e">
        <f>VLOOKUP($B:$B,[140]단가!$B:$L,11,FALSE)</f>
        <v>#N/A</v>
      </c>
      <c r="G333" s="706"/>
      <c r="H333" s="712"/>
      <c r="I333" s="713"/>
    </row>
    <row r="334" spans="1:9" s="709" customFormat="1" ht="27.4" customHeight="1">
      <c r="A334" s="704" t="e">
        <f t="shared" si="7"/>
        <v>#N/A</v>
      </c>
      <c r="B334" s="715" t="s">
        <v>5536</v>
      </c>
      <c r="C334" s="706" t="e">
        <f>VLOOKUP($B:$B,[140]단가!$B:$K,2,FALSE)</f>
        <v>#N/A</v>
      </c>
      <c r="D334" s="706" t="e">
        <f>IF(VLOOKUP(B:B,[140]단가!B:K,3,FALSE)="","",VLOOKUP(B:B,[140]단가!B:K,3,FALSE))</f>
        <v>#N/A</v>
      </c>
      <c r="E334" s="707" t="e">
        <f>VLOOKUP($B:$B,[140]단가!$B:$K,4,FALSE)</f>
        <v>#N/A</v>
      </c>
      <c r="F334" s="706" t="e">
        <f>VLOOKUP($B:$B,[140]단가!$B:$L,11,FALSE)</f>
        <v>#N/A</v>
      </c>
      <c r="G334" s="706"/>
      <c r="H334" s="712"/>
      <c r="I334" s="713"/>
    </row>
    <row r="335" spans="1:9" s="709" customFormat="1" ht="27.4" customHeight="1">
      <c r="A335" s="704" t="e">
        <f t="shared" si="7"/>
        <v>#N/A</v>
      </c>
      <c r="B335" s="715" t="s">
        <v>5537</v>
      </c>
      <c r="C335" s="706" t="e">
        <f>VLOOKUP($B:$B,[140]단가!$B:$K,2,FALSE)</f>
        <v>#N/A</v>
      </c>
      <c r="D335" s="706" t="e">
        <f>IF(VLOOKUP(B:B,[140]단가!B:K,3,FALSE)="","",VLOOKUP(B:B,[140]단가!B:K,3,FALSE))</f>
        <v>#N/A</v>
      </c>
      <c r="E335" s="707" t="e">
        <f>VLOOKUP($B:$B,[140]단가!$B:$K,4,FALSE)</f>
        <v>#N/A</v>
      </c>
      <c r="F335" s="706" t="e">
        <f>VLOOKUP($B:$B,[140]단가!$B:$L,11,FALSE)</f>
        <v>#N/A</v>
      </c>
      <c r="G335" s="706"/>
      <c r="H335" s="712"/>
      <c r="I335" s="713"/>
    </row>
    <row r="336" spans="1:9" s="709" customFormat="1" ht="27.4" customHeight="1">
      <c r="A336" s="704" t="e">
        <f t="shared" si="7"/>
        <v>#N/A</v>
      </c>
      <c r="B336" s="715" t="s">
        <v>5538</v>
      </c>
      <c r="C336" s="706" t="e">
        <f>VLOOKUP($B:$B,[140]단가!$B:$K,2,FALSE)</f>
        <v>#N/A</v>
      </c>
      <c r="D336" s="706" t="e">
        <f>IF(VLOOKUP(B:B,[140]단가!B:K,3,FALSE)="","",VLOOKUP(B:B,[140]단가!B:K,3,FALSE))</f>
        <v>#N/A</v>
      </c>
      <c r="E336" s="707" t="e">
        <f>VLOOKUP($B:$B,[140]단가!$B:$K,4,FALSE)</f>
        <v>#N/A</v>
      </c>
      <c r="F336" s="706" t="e">
        <f>VLOOKUP($B:$B,[140]단가!$B:$L,11,FALSE)</f>
        <v>#N/A</v>
      </c>
      <c r="G336" s="706"/>
      <c r="H336" s="712"/>
      <c r="I336" s="713"/>
    </row>
    <row r="337" spans="1:9" s="709" customFormat="1" ht="27.4" customHeight="1">
      <c r="A337" s="704" t="e">
        <f t="shared" si="7"/>
        <v>#N/A</v>
      </c>
      <c r="B337" s="715" t="s">
        <v>5539</v>
      </c>
      <c r="C337" s="706" t="e">
        <f>VLOOKUP($B:$B,[140]단가!$B:$K,2,FALSE)</f>
        <v>#N/A</v>
      </c>
      <c r="D337" s="706" t="e">
        <f>IF(VLOOKUP(B:B,[140]단가!B:K,3,FALSE)="","",VLOOKUP(B:B,[140]단가!B:K,3,FALSE))</f>
        <v>#N/A</v>
      </c>
      <c r="E337" s="707" t="e">
        <f>VLOOKUP($B:$B,[140]단가!$B:$K,4,FALSE)</f>
        <v>#N/A</v>
      </c>
      <c r="F337" s="706" t="e">
        <f>VLOOKUP($B:$B,[140]단가!$B:$L,11,FALSE)</f>
        <v>#N/A</v>
      </c>
      <c r="G337" s="706"/>
      <c r="H337" s="712"/>
      <c r="I337" s="713"/>
    </row>
    <row r="338" spans="1:9" s="709" customFormat="1" ht="27.4" customHeight="1">
      <c r="A338" s="704" t="e">
        <f t="shared" si="7"/>
        <v>#N/A</v>
      </c>
      <c r="B338" s="715" t="s">
        <v>5540</v>
      </c>
      <c r="C338" s="706" t="e">
        <f>VLOOKUP($B:$B,[140]단가!$B:$K,2,FALSE)</f>
        <v>#N/A</v>
      </c>
      <c r="D338" s="706" t="e">
        <f>IF(VLOOKUP(B:B,[140]단가!B:K,3,FALSE)="","",VLOOKUP(B:B,[140]단가!B:K,3,FALSE))</f>
        <v>#N/A</v>
      </c>
      <c r="E338" s="707" t="e">
        <f>VLOOKUP($B:$B,[140]단가!$B:$K,4,FALSE)</f>
        <v>#N/A</v>
      </c>
      <c r="F338" s="706" t="e">
        <f>VLOOKUP($B:$B,[140]단가!$B:$L,11,FALSE)</f>
        <v>#N/A</v>
      </c>
      <c r="G338" s="706"/>
      <c r="H338" s="712"/>
      <c r="I338" s="713"/>
    </row>
    <row r="339" spans="1:9" s="709" customFormat="1" ht="27.4" customHeight="1">
      <c r="A339" s="704" t="e">
        <f t="shared" si="7"/>
        <v>#N/A</v>
      </c>
      <c r="B339" s="715" t="s">
        <v>5541</v>
      </c>
      <c r="C339" s="706" t="e">
        <f>VLOOKUP($B:$B,[140]단가!$B:$K,2,FALSE)</f>
        <v>#N/A</v>
      </c>
      <c r="D339" s="706" t="e">
        <f>IF(VLOOKUP(B:B,[140]단가!B:K,3,FALSE)="","",VLOOKUP(B:B,[140]단가!B:K,3,FALSE))</f>
        <v>#N/A</v>
      </c>
      <c r="E339" s="707" t="e">
        <f>VLOOKUP($B:$B,[140]단가!$B:$K,4,FALSE)</f>
        <v>#N/A</v>
      </c>
      <c r="F339" s="706" t="e">
        <f>VLOOKUP($B:$B,[140]단가!$B:$L,11,FALSE)</f>
        <v>#N/A</v>
      </c>
      <c r="G339" s="706"/>
      <c r="H339" s="712"/>
      <c r="I339" s="713"/>
    </row>
    <row r="340" spans="1:9" s="709" customFormat="1" ht="27.4" customHeight="1">
      <c r="A340" s="704" t="e">
        <f t="shared" si="7"/>
        <v>#N/A</v>
      </c>
      <c r="B340" s="715" t="s">
        <v>5542</v>
      </c>
      <c r="C340" s="706" t="e">
        <f>VLOOKUP($B:$B,[140]단가!$B:$K,2,FALSE)</f>
        <v>#N/A</v>
      </c>
      <c r="D340" s="706" t="e">
        <f>IF(VLOOKUP(B:B,[140]단가!B:K,3,FALSE)="","",VLOOKUP(B:B,[140]단가!B:K,3,FALSE))</f>
        <v>#N/A</v>
      </c>
      <c r="E340" s="707" t="e">
        <f>VLOOKUP($B:$B,[140]단가!$B:$K,4,FALSE)</f>
        <v>#N/A</v>
      </c>
      <c r="F340" s="706" t="e">
        <f>VLOOKUP($B:$B,[140]단가!$B:$L,11,FALSE)</f>
        <v>#N/A</v>
      </c>
      <c r="G340" s="706"/>
      <c r="H340" s="712"/>
      <c r="I340" s="713"/>
    </row>
    <row r="341" spans="1:9" s="709" customFormat="1" ht="27.4" customHeight="1">
      <c r="A341" s="704" t="e">
        <f t="shared" si="7"/>
        <v>#N/A</v>
      </c>
      <c r="B341" s="715" t="s">
        <v>5543</v>
      </c>
      <c r="C341" s="706" t="e">
        <f>VLOOKUP($B:$B,[140]단가!$B:$K,2,FALSE)</f>
        <v>#N/A</v>
      </c>
      <c r="D341" s="706" t="e">
        <f>IF(VLOOKUP(B:B,[140]단가!B:K,3,FALSE)="","",VLOOKUP(B:B,[140]단가!B:K,3,FALSE))</f>
        <v>#N/A</v>
      </c>
      <c r="E341" s="707" t="e">
        <f>VLOOKUP($B:$B,[140]단가!$B:$K,4,FALSE)</f>
        <v>#N/A</v>
      </c>
      <c r="F341" s="706" t="e">
        <f>VLOOKUP($B:$B,[140]단가!$B:$L,11,FALSE)</f>
        <v>#N/A</v>
      </c>
      <c r="G341" s="706"/>
      <c r="H341" s="712"/>
      <c r="I341" s="713"/>
    </row>
    <row r="342" spans="1:9" s="709" customFormat="1" ht="27.4" customHeight="1">
      <c r="A342" s="704" t="e">
        <f t="shared" si="7"/>
        <v>#N/A</v>
      </c>
      <c r="B342" s="715" t="s">
        <v>5544</v>
      </c>
      <c r="C342" s="706" t="e">
        <f>VLOOKUP($B:$B,[140]단가!$B:$K,2,FALSE)</f>
        <v>#N/A</v>
      </c>
      <c r="D342" s="706" t="e">
        <f>IF(VLOOKUP(B:B,[140]단가!B:K,3,FALSE)="","",VLOOKUP(B:B,[140]단가!B:K,3,FALSE))</f>
        <v>#N/A</v>
      </c>
      <c r="E342" s="707" t="e">
        <f>VLOOKUP($B:$B,[140]단가!$B:$K,4,FALSE)</f>
        <v>#N/A</v>
      </c>
      <c r="F342" s="706" t="e">
        <f>VLOOKUP($B:$B,[140]단가!$B:$L,11,FALSE)</f>
        <v>#N/A</v>
      </c>
      <c r="G342" s="706"/>
      <c r="H342" s="712"/>
      <c r="I342" s="713"/>
    </row>
    <row r="343" spans="1:9" s="709" customFormat="1" ht="27.4" customHeight="1">
      <c r="A343" s="704" t="e">
        <f t="shared" si="7"/>
        <v>#N/A</v>
      </c>
      <c r="B343" s="715" t="s">
        <v>5545</v>
      </c>
      <c r="C343" s="706" t="e">
        <f>VLOOKUP($B:$B,[140]단가!$B:$K,2,FALSE)</f>
        <v>#N/A</v>
      </c>
      <c r="D343" s="706" t="e">
        <f>IF(VLOOKUP(B:B,[140]단가!B:K,3,FALSE)="","",VLOOKUP(B:B,[140]단가!B:K,3,FALSE))</f>
        <v>#N/A</v>
      </c>
      <c r="E343" s="707" t="e">
        <f>VLOOKUP($B:$B,[140]단가!$B:$K,4,FALSE)</f>
        <v>#N/A</v>
      </c>
      <c r="F343" s="706" t="e">
        <f>VLOOKUP($B:$B,[140]단가!$B:$L,11,FALSE)</f>
        <v>#N/A</v>
      </c>
      <c r="G343" s="706"/>
      <c r="H343" s="712"/>
      <c r="I343" s="713"/>
    </row>
    <row r="344" spans="1:9" s="709" customFormat="1" ht="27.4" customHeight="1">
      <c r="A344" s="704" t="e">
        <f t="shared" si="7"/>
        <v>#N/A</v>
      </c>
      <c r="B344" s="715" t="s">
        <v>5546</v>
      </c>
      <c r="C344" s="706" t="e">
        <f>VLOOKUP($B:$B,[140]단가!$B:$K,2,FALSE)</f>
        <v>#N/A</v>
      </c>
      <c r="D344" s="706" t="e">
        <f>IF(VLOOKUP(B:B,[140]단가!B:K,3,FALSE)="","",VLOOKUP(B:B,[140]단가!B:K,3,FALSE))</f>
        <v>#N/A</v>
      </c>
      <c r="E344" s="707" t="e">
        <f>VLOOKUP($B:$B,[140]단가!$B:$K,4,FALSE)</f>
        <v>#N/A</v>
      </c>
      <c r="F344" s="706" t="e">
        <f>VLOOKUP($B:$B,[140]단가!$B:$L,11,FALSE)</f>
        <v>#N/A</v>
      </c>
      <c r="G344" s="706"/>
      <c r="H344" s="712"/>
      <c r="I344" s="713"/>
    </row>
    <row r="345" spans="1:9" s="709" customFormat="1" ht="27.4" customHeight="1">
      <c r="A345" s="704" t="e">
        <f t="shared" si="7"/>
        <v>#N/A</v>
      </c>
      <c r="B345" s="715" t="s">
        <v>5547</v>
      </c>
      <c r="C345" s="706" t="e">
        <f>VLOOKUP($B:$B,[140]단가!$B:$K,2,FALSE)</f>
        <v>#N/A</v>
      </c>
      <c r="D345" s="706" t="e">
        <f>IF(VLOOKUP(B:B,[140]단가!B:K,3,FALSE)="","",VLOOKUP(B:B,[140]단가!B:K,3,FALSE))</f>
        <v>#N/A</v>
      </c>
      <c r="E345" s="707" t="e">
        <f>VLOOKUP($B:$B,[140]단가!$B:$K,4,FALSE)</f>
        <v>#N/A</v>
      </c>
      <c r="F345" s="706" t="e">
        <f>VLOOKUP($B:$B,[140]단가!$B:$L,11,FALSE)</f>
        <v>#N/A</v>
      </c>
      <c r="G345" s="706"/>
      <c r="H345" s="712"/>
      <c r="I345" s="713"/>
    </row>
    <row r="346" spans="1:9" s="709" customFormat="1" ht="27.4" customHeight="1">
      <c r="A346" s="704" t="e">
        <f t="shared" si="7"/>
        <v>#N/A</v>
      </c>
      <c r="B346" s="715" t="s">
        <v>5548</v>
      </c>
      <c r="C346" s="706" t="e">
        <f>VLOOKUP($B:$B,[140]단가!$B:$K,2,FALSE)</f>
        <v>#N/A</v>
      </c>
      <c r="D346" s="706" t="e">
        <f>IF(VLOOKUP(B:B,[140]단가!B:K,3,FALSE)="","",VLOOKUP(B:B,[140]단가!B:K,3,FALSE))</f>
        <v>#N/A</v>
      </c>
      <c r="E346" s="707" t="e">
        <f>VLOOKUP($B:$B,[140]단가!$B:$K,4,FALSE)</f>
        <v>#N/A</v>
      </c>
      <c r="F346" s="706" t="e">
        <f>VLOOKUP($B:$B,[140]단가!$B:$L,11,FALSE)</f>
        <v>#N/A</v>
      </c>
      <c r="G346" s="706"/>
      <c r="H346" s="712"/>
      <c r="I346" s="713"/>
    </row>
    <row r="347" spans="1:9" s="709" customFormat="1" ht="27.4" customHeight="1">
      <c r="A347" s="704" t="e">
        <f t="shared" si="7"/>
        <v>#N/A</v>
      </c>
      <c r="B347" s="715" t="s">
        <v>5549</v>
      </c>
      <c r="C347" s="706" t="e">
        <f>VLOOKUP($B:$B,[140]단가!$B:$K,2,FALSE)</f>
        <v>#N/A</v>
      </c>
      <c r="D347" s="706" t="e">
        <f>IF(VLOOKUP(B:B,[140]단가!B:K,3,FALSE)="","",VLOOKUP(B:B,[140]단가!B:K,3,FALSE))</f>
        <v>#N/A</v>
      </c>
      <c r="E347" s="707" t="e">
        <f>VLOOKUP($B:$B,[140]단가!$B:$K,4,FALSE)</f>
        <v>#N/A</v>
      </c>
      <c r="F347" s="706" t="e">
        <f>VLOOKUP($B:$B,[140]단가!$B:$L,11,FALSE)</f>
        <v>#N/A</v>
      </c>
      <c r="G347" s="706"/>
      <c r="H347" s="712"/>
      <c r="I347" s="713"/>
    </row>
    <row r="348" spans="1:9" s="709" customFormat="1" ht="27.4" customHeight="1">
      <c r="A348" s="704" t="e">
        <f t="shared" si="7"/>
        <v>#N/A</v>
      </c>
      <c r="B348" s="715" t="s">
        <v>5550</v>
      </c>
      <c r="C348" s="706" t="e">
        <f>VLOOKUP($B:$B,[140]단가!$B:$K,2,FALSE)</f>
        <v>#N/A</v>
      </c>
      <c r="D348" s="706" t="e">
        <f>IF(VLOOKUP(B:B,[140]단가!B:K,3,FALSE)="","",VLOOKUP(B:B,[140]단가!B:K,3,FALSE))</f>
        <v>#N/A</v>
      </c>
      <c r="E348" s="707" t="e">
        <f>VLOOKUP($B:$B,[140]단가!$B:$K,4,FALSE)</f>
        <v>#N/A</v>
      </c>
      <c r="F348" s="706" t="e">
        <f>VLOOKUP($B:$B,[140]단가!$B:$L,11,FALSE)</f>
        <v>#N/A</v>
      </c>
      <c r="G348" s="706"/>
      <c r="H348" s="712"/>
      <c r="I348" s="713"/>
    </row>
    <row r="349" spans="1:9" s="709" customFormat="1" ht="27.4" customHeight="1">
      <c r="A349" s="704" t="e">
        <f t="shared" si="7"/>
        <v>#N/A</v>
      </c>
      <c r="B349" s="715" t="s">
        <v>5551</v>
      </c>
      <c r="C349" s="706" t="e">
        <f>VLOOKUP($B:$B,[140]단가!$B:$K,2,FALSE)</f>
        <v>#N/A</v>
      </c>
      <c r="D349" s="706" t="e">
        <f>IF(VLOOKUP(B:B,[140]단가!B:K,3,FALSE)="","",VLOOKUP(B:B,[140]단가!B:K,3,FALSE))</f>
        <v>#N/A</v>
      </c>
      <c r="E349" s="707" t="e">
        <f>VLOOKUP($B:$B,[140]단가!$B:$K,4,FALSE)</f>
        <v>#N/A</v>
      </c>
      <c r="F349" s="706" t="e">
        <f>VLOOKUP($B:$B,[140]단가!$B:$L,11,FALSE)</f>
        <v>#N/A</v>
      </c>
      <c r="G349" s="706"/>
      <c r="H349" s="712"/>
      <c r="I349" s="713"/>
    </row>
    <row r="350" spans="1:9" s="709" customFormat="1" ht="27.4" customHeight="1">
      <c r="A350" s="704" t="e">
        <f t="shared" si="7"/>
        <v>#N/A</v>
      </c>
      <c r="B350" s="715" t="s">
        <v>5552</v>
      </c>
      <c r="C350" s="706" t="e">
        <f>VLOOKUP($B:$B,[140]단가!$B:$K,2,FALSE)</f>
        <v>#N/A</v>
      </c>
      <c r="D350" s="706" t="e">
        <f>IF(VLOOKUP(B:B,[140]단가!B:K,3,FALSE)="","",VLOOKUP(B:B,[140]단가!B:K,3,FALSE))</f>
        <v>#N/A</v>
      </c>
      <c r="E350" s="707" t="e">
        <f>VLOOKUP($B:$B,[140]단가!$B:$K,4,FALSE)</f>
        <v>#N/A</v>
      </c>
      <c r="F350" s="706" t="e">
        <f>VLOOKUP($B:$B,[140]단가!$B:$L,11,FALSE)</f>
        <v>#N/A</v>
      </c>
      <c r="G350" s="706"/>
      <c r="H350" s="712"/>
      <c r="I350" s="713"/>
    </row>
    <row r="351" spans="1:9" s="709" customFormat="1" ht="27.4" customHeight="1">
      <c r="A351" s="704" t="e">
        <f t="shared" si="7"/>
        <v>#N/A</v>
      </c>
      <c r="B351" s="715" t="s">
        <v>5553</v>
      </c>
      <c r="C351" s="706" t="e">
        <f>VLOOKUP($B:$B,[140]단가!$B:$K,2,FALSE)</f>
        <v>#N/A</v>
      </c>
      <c r="D351" s="706" t="e">
        <f>IF(VLOOKUP(B:B,[140]단가!B:K,3,FALSE)="","",VLOOKUP(B:B,[140]단가!B:K,3,FALSE))</f>
        <v>#N/A</v>
      </c>
      <c r="E351" s="707" t="e">
        <f>VLOOKUP($B:$B,[140]단가!$B:$K,4,FALSE)</f>
        <v>#N/A</v>
      </c>
      <c r="F351" s="706" t="e">
        <f>VLOOKUP($B:$B,[140]단가!$B:$L,11,FALSE)</f>
        <v>#N/A</v>
      </c>
      <c r="G351" s="706"/>
      <c r="H351" s="712"/>
      <c r="I351" s="713"/>
    </row>
    <row r="352" spans="1:9" s="709" customFormat="1" ht="27.4" customHeight="1">
      <c r="A352" s="704" t="e">
        <f t="shared" si="7"/>
        <v>#N/A</v>
      </c>
      <c r="B352" s="715" t="s">
        <v>5554</v>
      </c>
      <c r="C352" s="706" t="e">
        <f>VLOOKUP($B:$B,[140]단가!$B:$K,2,FALSE)</f>
        <v>#N/A</v>
      </c>
      <c r="D352" s="706" t="e">
        <f>IF(VLOOKUP(B:B,[140]단가!B:K,3,FALSE)="","",VLOOKUP(B:B,[140]단가!B:K,3,FALSE))</f>
        <v>#N/A</v>
      </c>
      <c r="E352" s="707" t="e">
        <f>VLOOKUP($B:$B,[140]단가!$B:$K,4,FALSE)</f>
        <v>#N/A</v>
      </c>
      <c r="F352" s="706" t="e">
        <f>VLOOKUP($B:$B,[140]단가!$B:$L,11,FALSE)</f>
        <v>#N/A</v>
      </c>
      <c r="G352" s="706"/>
      <c r="H352" s="712"/>
      <c r="I352" s="713"/>
    </row>
    <row r="353" spans="1:9" s="709" customFormat="1" ht="27.4" customHeight="1">
      <c r="A353" s="704" t="e">
        <f t="shared" si="7"/>
        <v>#N/A</v>
      </c>
      <c r="B353" s="715" t="s">
        <v>5555</v>
      </c>
      <c r="C353" s="706" t="e">
        <f>VLOOKUP($B:$B,[140]단가!$B:$K,2,FALSE)</f>
        <v>#N/A</v>
      </c>
      <c r="D353" s="706" t="e">
        <f>IF(VLOOKUP(B:B,[140]단가!B:K,3,FALSE)="","",VLOOKUP(B:B,[140]단가!B:K,3,FALSE))</f>
        <v>#N/A</v>
      </c>
      <c r="E353" s="707" t="e">
        <f>VLOOKUP($B:$B,[140]단가!$B:$K,4,FALSE)</f>
        <v>#N/A</v>
      </c>
      <c r="F353" s="706" t="e">
        <f>VLOOKUP($B:$B,[140]단가!$B:$L,11,FALSE)</f>
        <v>#N/A</v>
      </c>
      <c r="G353" s="706"/>
      <c r="H353" s="712"/>
      <c r="I353" s="713"/>
    </row>
    <row r="354" spans="1:9" s="709" customFormat="1" ht="27.4" customHeight="1">
      <c r="A354" s="704" t="e">
        <f t="shared" si="7"/>
        <v>#N/A</v>
      </c>
      <c r="B354" s="715" t="s">
        <v>5556</v>
      </c>
      <c r="C354" s="706" t="e">
        <f>VLOOKUP($B:$B,[140]단가!$B:$K,2,FALSE)</f>
        <v>#N/A</v>
      </c>
      <c r="D354" s="706" t="e">
        <f>IF(VLOOKUP(B:B,[140]단가!B:K,3,FALSE)="","",VLOOKUP(B:B,[140]단가!B:K,3,FALSE))</f>
        <v>#N/A</v>
      </c>
      <c r="E354" s="707" t="e">
        <f>VLOOKUP($B:$B,[140]단가!$B:$K,4,FALSE)</f>
        <v>#N/A</v>
      </c>
      <c r="F354" s="706" t="e">
        <f>VLOOKUP($B:$B,[140]단가!$B:$L,11,FALSE)</f>
        <v>#N/A</v>
      </c>
      <c r="G354" s="706"/>
      <c r="H354" s="712"/>
      <c r="I354" s="713"/>
    </row>
    <row r="355" spans="1:9" s="709" customFormat="1" ht="27.4" customHeight="1">
      <c r="A355" s="704" t="e">
        <f t="shared" si="7"/>
        <v>#N/A</v>
      </c>
      <c r="B355" s="715" t="s">
        <v>5557</v>
      </c>
      <c r="C355" s="706" t="e">
        <f>VLOOKUP($B:$B,[140]단가!$B:$K,2,FALSE)</f>
        <v>#N/A</v>
      </c>
      <c r="D355" s="706" t="e">
        <f>IF(VLOOKUP(B:B,[140]단가!B:K,3,FALSE)="","",VLOOKUP(B:B,[140]단가!B:K,3,FALSE))</f>
        <v>#N/A</v>
      </c>
      <c r="E355" s="707" t="e">
        <f>VLOOKUP($B:$B,[140]단가!$B:$K,4,FALSE)</f>
        <v>#N/A</v>
      </c>
      <c r="F355" s="706" t="e">
        <f>VLOOKUP($B:$B,[140]단가!$B:$L,11,FALSE)</f>
        <v>#N/A</v>
      </c>
      <c r="G355" s="706"/>
      <c r="H355" s="712"/>
      <c r="I355" s="713"/>
    </row>
    <row r="356" spans="1:9" s="709" customFormat="1" ht="27.4" customHeight="1">
      <c r="A356" s="704" t="e">
        <f t="shared" si="7"/>
        <v>#N/A</v>
      </c>
      <c r="B356" s="715" t="s">
        <v>5558</v>
      </c>
      <c r="C356" s="706" t="e">
        <f>VLOOKUP($B:$B,[140]단가!$B:$K,2,FALSE)</f>
        <v>#N/A</v>
      </c>
      <c r="D356" s="706" t="e">
        <f>IF(VLOOKUP(B:B,[140]단가!B:K,3,FALSE)="","",VLOOKUP(B:B,[140]단가!B:K,3,FALSE))</f>
        <v>#N/A</v>
      </c>
      <c r="E356" s="707" t="e">
        <f>VLOOKUP($B:$B,[140]단가!$B:$K,4,FALSE)</f>
        <v>#N/A</v>
      </c>
      <c r="F356" s="706" t="e">
        <f>VLOOKUP($B:$B,[140]단가!$B:$L,11,FALSE)</f>
        <v>#N/A</v>
      </c>
      <c r="G356" s="706"/>
      <c r="H356" s="712"/>
      <c r="I356" s="713"/>
    </row>
    <row r="357" spans="1:9" s="709" customFormat="1" ht="27.4" customHeight="1">
      <c r="A357" s="704" t="e">
        <f t="shared" si="7"/>
        <v>#N/A</v>
      </c>
      <c r="B357" s="715" t="s">
        <v>5559</v>
      </c>
      <c r="C357" s="706" t="e">
        <f>VLOOKUP($B:$B,[140]단가!$B:$K,2,FALSE)</f>
        <v>#N/A</v>
      </c>
      <c r="D357" s="706" t="e">
        <f>IF(VLOOKUP(B:B,[140]단가!B:K,3,FALSE)="","",VLOOKUP(B:B,[140]단가!B:K,3,FALSE))</f>
        <v>#N/A</v>
      </c>
      <c r="E357" s="707" t="e">
        <f>VLOOKUP($B:$B,[140]단가!$B:$K,4,FALSE)</f>
        <v>#N/A</v>
      </c>
      <c r="F357" s="706" t="e">
        <f>VLOOKUP($B:$B,[140]단가!$B:$L,11,FALSE)</f>
        <v>#N/A</v>
      </c>
      <c r="G357" s="706"/>
      <c r="H357" s="712"/>
      <c r="I357" s="713"/>
    </row>
    <row r="358" spans="1:9" s="709" customFormat="1" ht="27.4" customHeight="1">
      <c r="A358" s="704" t="e">
        <f t="shared" si="7"/>
        <v>#N/A</v>
      </c>
      <c r="B358" s="715" t="s">
        <v>5560</v>
      </c>
      <c r="C358" s="706" t="e">
        <f>VLOOKUP($B:$B,[140]단가!$B:$K,2,FALSE)</f>
        <v>#N/A</v>
      </c>
      <c r="D358" s="706" t="e">
        <f>IF(VLOOKUP(B:B,[140]단가!B:K,3,FALSE)="","",VLOOKUP(B:B,[140]단가!B:K,3,FALSE))</f>
        <v>#N/A</v>
      </c>
      <c r="E358" s="707" t="e">
        <f>VLOOKUP($B:$B,[140]단가!$B:$K,4,FALSE)</f>
        <v>#N/A</v>
      </c>
      <c r="F358" s="706" t="e">
        <f>VLOOKUP($B:$B,[140]단가!$B:$L,11,FALSE)</f>
        <v>#N/A</v>
      </c>
      <c r="G358" s="706"/>
      <c r="H358" s="712"/>
      <c r="I358" s="713"/>
    </row>
    <row r="359" spans="1:9" s="709" customFormat="1" ht="27.4" customHeight="1">
      <c r="A359" s="704" t="e">
        <f t="shared" ref="A359:A422" si="8">SUBSTITUTE(CONCATENATE(C:C,D:D,E:E)," ","")</f>
        <v>#N/A</v>
      </c>
      <c r="B359" s="715" t="s">
        <v>5561</v>
      </c>
      <c r="C359" s="706" t="e">
        <f>VLOOKUP($B:$B,[140]단가!$B:$K,2,FALSE)</f>
        <v>#N/A</v>
      </c>
      <c r="D359" s="706" t="e">
        <f>IF(VLOOKUP(B:B,[140]단가!B:K,3,FALSE)="","",VLOOKUP(B:B,[140]단가!B:K,3,FALSE))</f>
        <v>#N/A</v>
      </c>
      <c r="E359" s="707" t="e">
        <f>VLOOKUP($B:$B,[140]단가!$B:$K,4,FALSE)</f>
        <v>#N/A</v>
      </c>
      <c r="F359" s="706" t="e">
        <f>VLOOKUP($B:$B,[140]단가!$B:$L,11,FALSE)</f>
        <v>#N/A</v>
      </c>
      <c r="G359" s="706"/>
      <c r="H359" s="712"/>
      <c r="I359" s="713"/>
    </row>
    <row r="360" spans="1:9" s="709" customFormat="1" ht="27.4" customHeight="1">
      <c r="A360" s="704" t="e">
        <f t="shared" si="8"/>
        <v>#N/A</v>
      </c>
      <c r="B360" s="715" t="s">
        <v>5562</v>
      </c>
      <c r="C360" s="706" t="e">
        <f>VLOOKUP($B:$B,[140]단가!$B:$K,2,FALSE)</f>
        <v>#N/A</v>
      </c>
      <c r="D360" s="706" t="e">
        <f>IF(VLOOKUP(B:B,[140]단가!B:K,3,FALSE)="","",VLOOKUP(B:B,[140]단가!B:K,3,FALSE))</f>
        <v>#N/A</v>
      </c>
      <c r="E360" s="707" t="e">
        <f>VLOOKUP($B:$B,[140]단가!$B:$K,4,FALSE)</f>
        <v>#N/A</v>
      </c>
      <c r="F360" s="706" t="e">
        <f>VLOOKUP($B:$B,[140]단가!$B:$L,11,FALSE)</f>
        <v>#N/A</v>
      </c>
      <c r="G360" s="706"/>
      <c r="H360" s="712"/>
      <c r="I360" s="713"/>
    </row>
    <row r="361" spans="1:9" s="709" customFormat="1" ht="27.4" customHeight="1">
      <c r="A361" s="704" t="e">
        <f t="shared" si="8"/>
        <v>#N/A</v>
      </c>
      <c r="B361" s="715" t="s">
        <v>5563</v>
      </c>
      <c r="C361" s="706" t="e">
        <f>VLOOKUP($B:$B,[140]단가!$B:$K,2,FALSE)</f>
        <v>#N/A</v>
      </c>
      <c r="D361" s="706" t="e">
        <f>IF(VLOOKUP(B:B,[140]단가!B:K,3,FALSE)="","",VLOOKUP(B:B,[140]단가!B:K,3,FALSE))</f>
        <v>#N/A</v>
      </c>
      <c r="E361" s="707" t="e">
        <f>VLOOKUP($B:$B,[140]단가!$B:$K,4,FALSE)</f>
        <v>#N/A</v>
      </c>
      <c r="F361" s="706" t="e">
        <f>VLOOKUP($B:$B,[140]단가!$B:$L,11,FALSE)</f>
        <v>#N/A</v>
      </c>
      <c r="G361" s="706"/>
      <c r="H361" s="712"/>
      <c r="I361" s="713"/>
    </row>
    <row r="362" spans="1:9" s="709" customFormat="1" ht="27.4" customHeight="1">
      <c r="A362" s="704" t="e">
        <f t="shared" si="8"/>
        <v>#N/A</v>
      </c>
      <c r="B362" s="715" t="s">
        <v>5564</v>
      </c>
      <c r="C362" s="706" t="e">
        <f>VLOOKUP($B:$B,[140]단가!$B:$K,2,FALSE)</f>
        <v>#N/A</v>
      </c>
      <c r="D362" s="706" t="e">
        <f>IF(VLOOKUP(B:B,[140]단가!B:K,3,FALSE)="","",VLOOKUP(B:B,[140]단가!B:K,3,FALSE))</f>
        <v>#N/A</v>
      </c>
      <c r="E362" s="707" t="e">
        <f>VLOOKUP($B:$B,[140]단가!$B:$K,4,FALSE)</f>
        <v>#N/A</v>
      </c>
      <c r="F362" s="706" t="e">
        <f>VLOOKUP($B:$B,[140]단가!$B:$L,11,FALSE)</f>
        <v>#N/A</v>
      </c>
      <c r="G362" s="706"/>
      <c r="H362" s="712"/>
      <c r="I362" s="713"/>
    </row>
    <row r="363" spans="1:9" s="709" customFormat="1" ht="27.4" customHeight="1">
      <c r="A363" s="704" t="e">
        <f t="shared" si="8"/>
        <v>#N/A</v>
      </c>
      <c r="B363" s="715" t="s">
        <v>5565</v>
      </c>
      <c r="C363" s="706" t="e">
        <f>VLOOKUP($B:$B,[140]단가!$B:$K,2,FALSE)</f>
        <v>#N/A</v>
      </c>
      <c r="D363" s="706" t="e">
        <f>IF(VLOOKUP(B:B,[140]단가!B:K,3,FALSE)="","",VLOOKUP(B:B,[140]단가!B:K,3,FALSE))</f>
        <v>#N/A</v>
      </c>
      <c r="E363" s="707" t="e">
        <f>VLOOKUP($B:$B,[140]단가!$B:$K,4,FALSE)</f>
        <v>#N/A</v>
      </c>
      <c r="F363" s="706" t="e">
        <f>VLOOKUP($B:$B,[140]단가!$B:$L,11,FALSE)</f>
        <v>#N/A</v>
      </c>
      <c r="G363" s="706"/>
      <c r="H363" s="712"/>
      <c r="I363" s="713"/>
    </row>
    <row r="364" spans="1:9" s="709" customFormat="1" ht="27.4" customHeight="1">
      <c r="A364" s="704" t="e">
        <f t="shared" si="8"/>
        <v>#N/A</v>
      </c>
      <c r="B364" s="715" t="s">
        <v>5566</v>
      </c>
      <c r="C364" s="706" t="e">
        <f>VLOOKUP($B:$B,[140]단가!$B:$K,2,FALSE)</f>
        <v>#N/A</v>
      </c>
      <c r="D364" s="706" t="e">
        <f>IF(VLOOKUP(B:B,[140]단가!B:K,3,FALSE)="","",VLOOKUP(B:B,[140]단가!B:K,3,FALSE))</f>
        <v>#N/A</v>
      </c>
      <c r="E364" s="707" t="e">
        <f>VLOOKUP($B:$B,[140]단가!$B:$K,4,FALSE)</f>
        <v>#N/A</v>
      </c>
      <c r="F364" s="706" t="e">
        <f>VLOOKUP($B:$B,[140]단가!$B:$L,11,FALSE)</f>
        <v>#N/A</v>
      </c>
      <c r="G364" s="706"/>
      <c r="H364" s="712"/>
      <c r="I364" s="713"/>
    </row>
    <row r="365" spans="1:9" s="709" customFormat="1" ht="27.4" customHeight="1">
      <c r="A365" s="704" t="e">
        <f t="shared" si="8"/>
        <v>#N/A</v>
      </c>
      <c r="B365" s="715" t="s">
        <v>5567</v>
      </c>
      <c r="C365" s="706" t="e">
        <f>VLOOKUP($B:$B,[140]단가!$B:$K,2,FALSE)</f>
        <v>#N/A</v>
      </c>
      <c r="D365" s="706" t="e">
        <f>IF(VLOOKUP(B:B,[140]단가!B:K,3,FALSE)="","",VLOOKUP(B:B,[140]단가!B:K,3,FALSE))</f>
        <v>#N/A</v>
      </c>
      <c r="E365" s="707" t="e">
        <f>VLOOKUP($B:$B,[140]단가!$B:$K,4,FALSE)</f>
        <v>#N/A</v>
      </c>
      <c r="F365" s="706" t="e">
        <f>VLOOKUP($B:$B,[140]단가!$B:$L,11,FALSE)</f>
        <v>#N/A</v>
      </c>
      <c r="G365" s="706"/>
      <c r="H365" s="712"/>
      <c r="I365" s="713"/>
    </row>
    <row r="366" spans="1:9" s="709" customFormat="1" ht="27.4" customHeight="1">
      <c r="A366" s="704" t="e">
        <f t="shared" si="8"/>
        <v>#N/A</v>
      </c>
      <c r="B366" s="715" t="s">
        <v>5568</v>
      </c>
      <c r="C366" s="706" t="e">
        <f>VLOOKUP($B:$B,[140]단가!$B:$K,2,FALSE)</f>
        <v>#N/A</v>
      </c>
      <c r="D366" s="706" t="e">
        <f>IF(VLOOKUP(B:B,[140]단가!B:K,3,FALSE)="","",VLOOKUP(B:B,[140]단가!B:K,3,FALSE))</f>
        <v>#N/A</v>
      </c>
      <c r="E366" s="707" t="e">
        <f>VLOOKUP($B:$B,[140]단가!$B:$K,4,FALSE)</f>
        <v>#N/A</v>
      </c>
      <c r="F366" s="706" t="e">
        <f>VLOOKUP($B:$B,[140]단가!$B:$L,11,FALSE)</f>
        <v>#N/A</v>
      </c>
      <c r="G366" s="706"/>
      <c r="H366" s="712"/>
      <c r="I366" s="713"/>
    </row>
    <row r="367" spans="1:9" s="709" customFormat="1" ht="27.4" customHeight="1">
      <c r="A367" s="704" t="e">
        <f t="shared" si="8"/>
        <v>#N/A</v>
      </c>
      <c r="B367" s="715" t="s">
        <v>5569</v>
      </c>
      <c r="C367" s="706" t="e">
        <f>VLOOKUP($B:$B,[140]단가!$B:$K,2,FALSE)</f>
        <v>#N/A</v>
      </c>
      <c r="D367" s="706" t="e">
        <f>IF(VLOOKUP(B:B,[140]단가!B:K,3,FALSE)="","",VLOOKUP(B:B,[140]단가!B:K,3,FALSE))</f>
        <v>#N/A</v>
      </c>
      <c r="E367" s="707" t="e">
        <f>VLOOKUP($B:$B,[140]단가!$B:$K,4,FALSE)</f>
        <v>#N/A</v>
      </c>
      <c r="F367" s="706" t="e">
        <f>VLOOKUP($B:$B,[140]단가!$B:$L,11,FALSE)</f>
        <v>#N/A</v>
      </c>
      <c r="G367" s="706"/>
      <c r="H367" s="712"/>
      <c r="I367" s="713"/>
    </row>
    <row r="368" spans="1:9" s="709" customFormat="1" ht="27.4" customHeight="1">
      <c r="A368" s="704" t="e">
        <f t="shared" si="8"/>
        <v>#N/A</v>
      </c>
      <c r="B368" s="715" t="s">
        <v>5570</v>
      </c>
      <c r="C368" s="706" t="e">
        <f>VLOOKUP($B:$B,[140]단가!$B:$K,2,FALSE)</f>
        <v>#N/A</v>
      </c>
      <c r="D368" s="706" t="e">
        <f>IF(VLOOKUP(B:B,[140]단가!B:K,3,FALSE)="","",VLOOKUP(B:B,[140]단가!B:K,3,FALSE))</f>
        <v>#N/A</v>
      </c>
      <c r="E368" s="707" t="e">
        <f>VLOOKUP($B:$B,[140]단가!$B:$K,4,FALSE)</f>
        <v>#N/A</v>
      </c>
      <c r="F368" s="706" t="e">
        <f>VLOOKUP($B:$B,[140]단가!$B:$L,11,FALSE)</f>
        <v>#N/A</v>
      </c>
      <c r="G368" s="706"/>
      <c r="H368" s="712"/>
      <c r="I368" s="713"/>
    </row>
    <row r="369" spans="1:9" s="709" customFormat="1" ht="27.4" customHeight="1">
      <c r="A369" s="704" t="e">
        <f t="shared" si="8"/>
        <v>#N/A</v>
      </c>
      <c r="B369" s="715" t="s">
        <v>5571</v>
      </c>
      <c r="C369" s="706" t="e">
        <f>VLOOKUP($B:$B,[140]단가!$B:$K,2,FALSE)</f>
        <v>#N/A</v>
      </c>
      <c r="D369" s="706" t="e">
        <f>IF(VLOOKUP(B:B,[140]단가!B:K,3,FALSE)="","",VLOOKUP(B:B,[140]단가!B:K,3,FALSE))</f>
        <v>#N/A</v>
      </c>
      <c r="E369" s="707" t="e">
        <f>VLOOKUP($B:$B,[140]단가!$B:$K,4,FALSE)</f>
        <v>#N/A</v>
      </c>
      <c r="F369" s="706" t="e">
        <f>VLOOKUP($B:$B,[140]단가!$B:$L,11,FALSE)</f>
        <v>#N/A</v>
      </c>
      <c r="G369" s="706"/>
      <c r="H369" s="712"/>
      <c r="I369" s="713"/>
    </row>
    <row r="370" spans="1:9" s="709" customFormat="1" ht="27.4" customHeight="1">
      <c r="A370" s="704" t="e">
        <f t="shared" si="8"/>
        <v>#N/A</v>
      </c>
      <c r="B370" s="715" t="s">
        <v>5572</v>
      </c>
      <c r="C370" s="706" t="e">
        <f>VLOOKUP($B:$B,[140]단가!$B:$K,2,FALSE)</f>
        <v>#N/A</v>
      </c>
      <c r="D370" s="706" t="e">
        <f>IF(VLOOKUP(B:B,[140]단가!B:K,3,FALSE)="","",VLOOKUP(B:B,[140]단가!B:K,3,FALSE))</f>
        <v>#N/A</v>
      </c>
      <c r="E370" s="707" t="e">
        <f>VLOOKUP($B:$B,[140]단가!$B:$K,4,FALSE)</f>
        <v>#N/A</v>
      </c>
      <c r="F370" s="706" t="e">
        <f>VLOOKUP($B:$B,[140]단가!$B:$L,11,FALSE)</f>
        <v>#N/A</v>
      </c>
      <c r="G370" s="706"/>
      <c r="H370" s="712"/>
      <c r="I370" s="713"/>
    </row>
    <row r="371" spans="1:9" s="709" customFormat="1" ht="27.4" customHeight="1">
      <c r="A371" s="704" t="e">
        <f t="shared" si="8"/>
        <v>#N/A</v>
      </c>
      <c r="B371" s="715" t="s">
        <v>5573</v>
      </c>
      <c r="C371" s="706" t="e">
        <f>VLOOKUP($B:$B,[140]단가!$B:$K,2,FALSE)</f>
        <v>#N/A</v>
      </c>
      <c r="D371" s="706" t="e">
        <f>IF(VLOOKUP(B:B,[140]단가!B:K,3,FALSE)="","",VLOOKUP(B:B,[140]단가!B:K,3,FALSE))</f>
        <v>#N/A</v>
      </c>
      <c r="E371" s="707" t="e">
        <f>VLOOKUP($B:$B,[140]단가!$B:$K,4,FALSE)</f>
        <v>#N/A</v>
      </c>
      <c r="F371" s="706" t="e">
        <f>VLOOKUP($B:$B,[140]단가!$B:$L,11,FALSE)</f>
        <v>#N/A</v>
      </c>
      <c r="G371" s="706"/>
      <c r="H371" s="712"/>
      <c r="I371" s="713"/>
    </row>
    <row r="372" spans="1:9" s="709" customFormat="1" ht="27.4" customHeight="1">
      <c r="A372" s="704" t="e">
        <f t="shared" si="8"/>
        <v>#N/A</v>
      </c>
      <c r="B372" s="715" t="s">
        <v>5574</v>
      </c>
      <c r="C372" s="706" t="e">
        <f>VLOOKUP($B:$B,[140]단가!$B:$K,2,FALSE)</f>
        <v>#N/A</v>
      </c>
      <c r="D372" s="706" t="e">
        <f>IF(VLOOKUP(B:B,[140]단가!B:K,3,FALSE)="","",VLOOKUP(B:B,[140]단가!B:K,3,FALSE))</f>
        <v>#N/A</v>
      </c>
      <c r="E372" s="707" t="e">
        <f>VLOOKUP($B:$B,[140]단가!$B:$K,4,FALSE)</f>
        <v>#N/A</v>
      </c>
      <c r="F372" s="706" t="e">
        <f>VLOOKUP($B:$B,[140]단가!$B:$L,11,FALSE)</f>
        <v>#N/A</v>
      </c>
      <c r="G372" s="706"/>
      <c r="H372" s="712"/>
      <c r="I372" s="713"/>
    </row>
    <row r="373" spans="1:9" s="709" customFormat="1" ht="27.4" customHeight="1">
      <c r="A373" s="704" t="e">
        <f t="shared" si="8"/>
        <v>#N/A</v>
      </c>
      <c r="B373" s="715" t="s">
        <v>5575</v>
      </c>
      <c r="C373" s="706" t="e">
        <f>VLOOKUP($B:$B,[140]단가!$B:$K,2,FALSE)</f>
        <v>#N/A</v>
      </c>
      <c r="D373" s="706" t="e">
        <f>IF(VLOOKUP(B:B,[140]단가!B:K,3,FALSE)="","",VLOOKUP(B:B,[140]단가!B:K,3,FALSE))</f>
        <v>#N/A</v>
      </c>
      <c r="E373" s="707" t="e">
        <f>VLOOKUP($B:$B,[140]단가!$B:$K,4,FALSE)</f>
        <v>#N/A</v>
      </c>
      <c r="F373" s="706" t="e">
        <f>VLOOKUP($B:$B,[140]단가!$B:$L,11,FALSE)</f>
        <v>#N/A</v>
      </c>
      <c r="G373" s="706"/>
      <c r="H373" s="712"/>
      <c r="I373" s="713"/>
    </row>
    <row r="374" spans="1:9" s="709" customFormat="1" ht="27.4" customHeight="1">
      <c r="A374" s="704" t="e">
        <f t="shared" si="8"/>
        <v>#N/A</v>
      </c>
      <c r="B374" s="715" t="s">
        <v>5576</v>
      </c>
      <c r="C374" s="706" t="e">
        <f>VLOOKUP($B:$B,[140]단가!$B:$K,2,FALSE)</f>
        <v>#N/A</v>
      </c>
      <c r="D374" s="706" t="e">
        <f>IF(VLOOKUP(B:B,[140]단가!B:K,3,FALSE)="","",VLOOKUP(B:B,[140]단가!B:K,3,FALSE))</f>
        <v>#N/A</v>
      </c>
      <c r="E374" s="707" t="e">
        <f>VLOOKUP($B:$B,[140]단가!$B:$K,4,FALSE)</f>
        <v>#N/A</v>
      </c>
      <c r="F374" s="706" t="e">
        <f>VLOOKUP($B:$B,[140]단가!$B:$L,11,FALSE)</f>
        <v>#N/A</v>
      </c>
      <c r="G374" s="706"/>
      <c r="H374" s="712"/>
      <c r="I374" s="713"/>
    </row>
    <row r="375" spans="1:9" s="709" customFormat="1" ht="27.4" customHeight="1">
      <c r="A375" s="704" t="e">
        <f t="shared" si="8"/>
        <v>#N/A</v>
      </c>
      <c r="B375" s="715" t="s">
        <v>5577</v>
      </c>
      <c r="C375" s="706" t="e">
        <f>VLOOKUP($B:$B,[140]단가!$B:$K,2,FALSE)</f>
        <v>#N/A</v>
      </c>
      <c r="D375" s="706" t="e">
        <f>IF(VLOOKUP(B:B,[140]단가!B:K,3,FALSE)="","",VLOOKUP(B:B,[140]단가!B:K,3,FALSE))</f>
        <v>#N/A</v>
      </c>
      <c r="E375" s="707" t="e">
        <f>VLOOKUP($B:$B,[140]단가!$B:$K,4,FALSE)</f>
        <v>#N/A</v>
      </c>
      <c r="F375" s="706" t="e">
        <f>VLOOKUP($B:$B,[140]단가!$B:$L,11,FALSE)</f>
        <v>#N/A</v>
      </c>
      <c r="G375" s="706"/>
      <c r="H375" s="712"/>
      <c r="I375" s="713"/>
    </row>
    <row r="376" spans="1:9" s="709" customFormat="1" ht="27.4" customHeight="1">
      <c r="A376" s="704" t="e">
        <f t="shared" si="8"/>
        <v>#N/A</v>
      </c>
      <c r="B376" s="715" t="s">
        <v>5578</v>
      </c>
      <c r="C376" s="706" t="e">
        <f>VLOOKUP($B:$B,[140]단가!$B:$K,2,FALSE)</f>
        <v>#N/A</v>
      </c>
      <c r="D376" s="706" t="e">
        <f>IF(VLOOKUP(B:B,[140]단가!B:K,3,FALSE)="","",VLOOKUP(B:B,[140]단가!B:K,3,FALSE))</f>
        <v>#N/A</v>
      </c>
      <c r="E376" s="707" t="e">
        <f>VLOOKUP($B:$B,[140]단가!$B:$K,4,FALSE)</f>
        <v>#N/A</v>
      </c>
      <c r="F376" s="706" t="e">
        <f>VLOOKUP($B:$B,[140]단가!$B:$L,11,FALSE)</f>
        <v>#N/A</v>
      </c>
      <c r="G376" s="706"/>
      <c r="H376" s="712"/>
      <c r="I376" s="713"/>
    </row>
    <row r="377" spans="1:9" s="709" customFormat="1" ht="27.4" customHeight="1">
      <c r="A377" s="704" t="e">
        <f t="shared" si="8"/>
        <v>#N/A</v>
      </c>
      <c r="B377" s="715" t="s">
        <v>5579</v>
      </c>
      <c r="C377" s="706" t="e">
        <f>VLOOKUP($B:$B,[140]단가!$B:$K,2,FALSE)</f>
        <v>#N/A</v>
      </c>
      <c r="D377" s="706" t="e">
        <f>IF(VLOOKUP(B:B,[140]단가!B:K,3,FALSE)="","",VLOOKUP(B:B,[140]단가!B:K,3,FALSE))</f>
        <v>#N/A</v>
      </c>
      <c r="E377" s="707" t="e">
        <f>VLOOKUP($B:$B,[140]단가!$B:$K,4,FALSE)</f>
        <v>#N/A</v>
      </c>
      <c r="F377" s="706" t="e">
        <f>VLOOKUP($B:$B,[140]단가!$B:$L,11,FALSE)</f>
        <v>#N/A</v>
      </c>
      <c r="G377" s="706"/>
      <c r="H377" s="712"/>
      <c r="I377" s="713"/>
    </row>
    <row r="378" spans="1:9" s="709" customFormat="1" ht="27.4" customHeight="1">
      <c r="A378" s="704" t="e">
        <f t="shared" si="8"/>
        <v>#N/A</v>
      </c>
      <c r="B378" s="715" t="s">
        <v>5580</v>
      </c>
      <c r="C378" s="706" t="e">
        <f>VLOOKUP($B:$B,[140]단가!$B:$K,2,FALSE)</f>
        <v>#N/A</v>
      </c>
      <c r="D378" s="706" t="e">
        <f>IF(VLOOKUP(B:B,[140]단가!B:K,3,FALSE)="","",VLOOKUP(B:B,[140]단가!B:K,3,FALSE))</f>
        <v>#N/A</v>
      </c>
      <c r="E378" s="707" t="e">
        <f>VLOOKUP($B:$B,[140]단가!$B:$K,4,FALSE)</f>
        <v>#N/A</v>
      </c>
      <c r="F378" s="706" t="e">
        <f>VLOOKUP($B:$B,[140]단가!$B:$L,11,FALSE)</f>
        <v>#N/A</v>
      </c>
      <c r="G378" s="706"/>
      <c r="H378" s="712"/>
      <c r="I378" s="713"/>
    </row>
    <row r="379" spans="1:9" s="709" customFormat="1" ht="27.4" customHeight="1">
      <c r="A379" s="704" t="e">
        <f t="shared" si="8"/>
        <v>#N/A</v>
      </c>
      <c r="B379" s="715" t="s">
        <v>5581</v>
      </c>
      <c r="C379" s="706" t="e">
        <f>VLOOKUP($B:$B,[140]단가!$B:$K,2,FALSE)</f>
        <v>#N/A</v>
      </c>
      <c r="D379" s="706" t="e">
        <f>IF(VLOOKUP(B:B,[140]단가!B:K,3,FALSE)="","",VLOOKUP(B:B,[140]단가!B:K,3,FALSE))</f>
        <v>#N/A</v>
      </c>
      <c r="E379" s="707" t="e">
        <f>VLOOKUP($B:$B,[140]단가!$B:$K,4,FALSE)</f>
        <v>#N/A</v>
      </c>
      <c r="F379" s="706" t="e">
        <f>VLOOKUP($B:$B,[140]단가!$B:$L,11,FALSE)</f>
        <v>#N/A</v>
      </c>
      <c r="G379" s="706"/>
      <c r="H379" s="712"/>
      <c r="I379" s="713"/>
    </row>
    <row r="380" spans="1:9" s="709" customFormat="1" ht="27.4" customHeight="1">
      <c r="A380" s="704" t="e">
        <f t="shared" si="8"/>
        <v>#N/A</v>
      </c>
      <c r="B380" s="715" t="s">
        <v>5582</v>
      </c>
      <c r="C380" s="706" t="e">
        <f>VLOOKUP($B:$B,[140]단가!$B:$K,2,FALSE)</f>
        <v>#N/A</v>
      </c>
      <c r="D380" s="706" t="e">
        <f>IF(VLOOKUP(B:B,[140]단가!B:K,3,FALSE)="","",VLOOKUP(B:B,[140]단가!B:K,3,FALSE))</f>
        <v>#N/A</v>
      </c>
      <c r="E380" s="707" t="e">
        <f>VLOOKUP($B:$B,[140]단가!$B:$K,4,FALSE)</f>
        <v>#N/A</v>
      </c>
      <c r="F380" s="706" t="e">
        <f>VLOOKUP($B:$B,[140]단가!$B:$L,11,FALSE)</f>
        <v>#N/A</v>
      </c>
      <c r="G380" s="706"/>
      <c r="H380" s="712"/>
      <c r="I380" s="713"/>
    </row>
    <row r="381" spans="1:9" s="709" customFormat="1" ht="27.4" customHeight="1">
      <c r="A381" s="704" t="e">
        <f t="shared" si="8"/>
        <v>#N/A</v>
      </c>
      <c r="B381" s="715" t="s">
        <v>5583</v>
      </c>
      <c r="C381" s="706" t="e">
        <f>VLOOKUP($B:$B,[140]단가!$B:$K,2,FALSE)</f>
        <v>#N/A</v>
      </c>
      <c r="D381" s="706" t="e">
        <f>IF(VLOOKUP(B:B,[140]단가!B:K,3,FALSE)="","",VLOOKUP(B:B,[140]단가!B:K,3,FALSE))</f>
        <v>#N/A</v>
      </c>
      <c r="E381" s="707" t="e">
        <f>VLOOKUP($B:$B,[140]단가!$B:$K,4,FALSE)</f>
        <v>#N/A</v>
      </c>
      <c r="F381" s="706" t="e">
        <f>VLOOKUP($B:$B,[140]단가!$B:$L,11,FALSE)</f>
        <v>#N/A</v>
      </c>
      <c r="G381" s="706"/>
      <c r="H381" s="712"/>
      <c r="I381" s="713"/>
    </row>
    <row r="382" spans="1:9" s="709" customFormat="1" ht="27.4" customHeight="1">
      <c r="A382" s="704" t="e">
        <f t="shared" si="8"/>
        <v>#N/A</v>
      </c>
      <c r="B382" s="715" t="s">
        <v>5584</v>
      </c>
      <c r="C382" s="706" t="e">
        <f>VLOOKUP($B:$B,[140]단가!$B:$K,2,FALSE)</f>
        <v>#N/A</v>
      </c>
      <c r="D382" s="706" t="e">
        <f>IF(VLOOKUP(B:B,[140]단가!B:K,3,FALSE)="","",VLOOKUP(B:B,[140]단가!B:K,3,FALSE))</f>
        <v>#N/A</v>
      </c>
      <c r="E382" s="707" t="e">
        <f>VLOOKUP($B:$B,[140]단가!$B:$K,4,FALSE)</f>
        <v>#N/A</v>
      </c>
      <c r="F382" s="706" t="e">
        <f>VLOOKUP($B:$B,[140]단가!$B:$L,11,FALSE)</f>
        <v>#N/A</v>
      </c>
      <c r="G382" s="706"/>
      <c r="H382" s="712"/>
      <c r="I382" s="713"/>
    </row>
    <row r="383" spans="1:9" s="709" customFormat="1" ht="27.4" customHeight="1">
      <c r="A383" s="704" t="e">
        <f t="shared" si="8"/>
        <v>#N/A</v>
      </c>
      <c r="B383" s="715" t="s">
        <v>5585</v>
      </c>
      <c r="C383" s="706" t="e">
        <f>VLOOKUP($B:$B,[140]단가!$B:$K,2,FALSE)</f>
        <v>#N/A</v>
      </c>
      <c r="D383" s="706" t="e">
        <f>IF(VLOOKUP(B:B,[140]단가!B:K,3,FALSE)="","",VLOOKUP(B:B,[140]단가!B:K,3,FALSE))</f>
        <v>#N/A</v>
      </c>
      <c r="E383" s="707" t="e">
        <f>VLOOKUP($B:$B,[140]단가!$B:$K,4,FALSE)</f>
        <v>#N/A</v>
      </c>
      <c r="F383" s="706" t="e">
        <f>VLOOKUP($B:$B,[140]단가!$B:$L,11,FALSE)</f>
        <v>#N/A</v>
      </c>
      <c r="G383" s="706"/>
      <c r="H383" s="712"/>
      <c r="I383" s="713"/>
    </row>
    <row r="384" spans="1:9" s="709" customFormat="1" ht="27.4" customHeight="1">
      <c r="A384" s="704" t="e">
        <f t="shared" si="8"/>
        <v>#N/A</v>
      </c>
      <c r="B384" s="715" t="s">
        <v>5586</v>
      </c>
      <c r="C384" s="706" t="e">
        <f>VLOOKUP($B:$B,[140]단가!$B:$K,2,FALSE)</f>
        <v>#N/A</v>
      </c>
      <c r="D384" s="706" t="e">
        <f>IF(VLOOKUP(B:B,[140]단가!B:K,3,FALSE)="","",VLOOKUP(B:B,[140]단가!B:K,3,FALSE))</f>
        <v>#N/A</v>
      </c>
      <c r="E384" s="707" t="e">
        <f>VLOOKUP($B:$B,[140]단가!$B:$K,4,FALSE)</f>
        <v>#N/A</v>
      </c>
      <c r="F384" s="706" t="e">
        <f>VLOOKUP($B:$B,[140]단가!$B:$L,11,FALSE)</f>
        <v>#N/A</v>
      </c>
      <c r="G384" s="706"/>
      <c r="H384" s="712"/>
      <c r="I384" s="713"/>
    </row>
    <row r="385" spans="1:9" s="709" customFormat="1" ht="27.4" customHeight="1">
      <c r="A385" s="704" t="e">
        <f t="shared" si="8"/>
        <v>#N/A</v>
      </c>
      <c r="B385" s="715" t="s">
        <v>5587</v>
      </c>
      <c r="C385" s="706" t="e">
        <f>VLOOKUP($B:$B,[140]단가!$B:$K,2,FALSE)</f>
        <v>#N/A</v>
      </c>
      <c r="D385" s="706" t="e">
        <f>IF(VLOOKUP(B:B,[140]단가!B:K,3,FALSE)="","",VLOOKUP(B:B,[140]단가!B:K,3,FALSE))</f>
        <v>#N/A</v>
      </c>
      <c r="E385" s="707" t="e">
        <f>VLOOKUP($B:$B,[140]단가!$B:$K,4,FALSE)</f>
        <v>#N/A</v>
      </c>
      <c r="F385" s="706" t="e">
        <f>VLOOKUP($B:$B,[140]단가!$B:$L,11,FALSE)</f>
        <v>#N/A</v>
      </c>
      <c r="G385" s="706"/>
      <c r="H385" s="712"/>
      <c r="I385" s="713"/>
    </row>
    <row r="386" spans="1:9" s="709" customFormat="1" ht="27.4" customHeight="1">
      <c r="A386" s="704" t="e">
        <f t="shared" si="8"/>
        <v>#N/A</v>
      </c>
      <c r="B386" s="715" t="s">
        <v>5588</v>
      </c>
      <c r="C386" s="706" t="e">
        <f>VLOOKUP($B:$B,[140]단가!$B:$K,2,FALSE)</f>
        <v>#N/A</v>
      </c>
      <c r="D386" s="706" t="e">
        <f>IF(VLOOKUP(B:B,[140]단가!B:K,3,FALSE)="","",VLOOKUP(B:B,[140]단가!B:K,3,FALSE))</f>
        <v>#N/A</v>
      </c>
      <c r="E386" s="707" t="e">
        <f>VLOOKUP($B:$B,[140]단가!$B:$K,4,FALSE)</f>
        <v>#N/A</v>
      </c>
      <c r="F386" s="706" t="e">
        <f>VLOOKUP($B:$B,[140]단가!$B:$L,11,FALSE)</f>
        <v>#N/A</v>
      </c>
      <c r="G386" s="706"/>
      <c r="H386" s="712"/>
      <c r="I386" s="713"/>
    </row>
    <row r="387" spans="1:9" s="709" customFormat="1" ht="27.4" customHeight="1">
      <c r="A387" s="704" t="e">
        <f t="shared" si="8"/>
        <v>#N/A</v>
      </c>
      <c r="B387" s="715" t="s">
        <v>5589</v>
      </c>
      <c r="C387" s="706" t="e">
        <f>VLOOKUP($B:$B,[140]단가!$B:$K,2,FALSE)</f>
        <v>#N/A</v>
      </c>
      <c r="D387" s="706" t="e">
        <f>IF(VLOOKUP(B:B,[140]단가!B:K,3,FALSE)="","",VLOOKUP(B:B,[140]단가!B:K,3,FALSE))</f>
        <v>#N/A</v>
      </c>
      <c r="E387" s="707" t="e">
        <f>VLOOKUP($B:$B,[140]단가!$B:$K,4,FALSE)</f>
        <v>#N/A</v>
      </c>
      <c r="F387" s="706" t="e">
        <f>VLOOKUP($B:$B,[140]단가!$B:$L,11,FALSE)</f>
        <v>#N/A</v>
      </c>
      <c r="G387" s="706"/>
      <c r="H387" s="712"/>
      <c r="I387" s="713"/>
    </row>
    <row r="388" spans="1:9" s="709" customFormat="1" ht="27.4" customHeight="1">
      <c r="A388" s="704" t="e">
        <f t="shared" si="8"/>
        <v>#N/A</v>
      </c>
      <c r="B388" s="715" t="s">
        <v>5590</v>
      </c>
      <c r="C388" s="706" t="e">
        <f>VLOOKUP($B:$B,[140]단가!$B:$K,2,FALSE)</f>
        <v>#N/A</v>
      </c>
      <c r="D388" s="706" t="e">
        <f>IF(VLOOKUP(B:B,[140]단가!B:K,3,FALSE)="","",VLOOKUP(B:B,[140]단가!B:K,3,FALSE))</f>
        <v>#N/A</v>
      </c>
      <c r="E388" s="707" t="e">
        <f>VLOOKUP($B:$B,[140]단가!$B:$K,4,FALSE)</f>
        <v>#N/A</v>
      </c>
      <c r="F388" s="706" t="e">
        <f>VLOOKUP($B:$B,[140]단가!$B:$L,11,FALSE)</f>
        <v>#N/A</v>
      </c>
      <c r="G388" s="706"/>
      <c r="H388" s="712"/>
      <c r="I388" s="713"/>
    </row>
    <row r="389" spans="1:9" s="709" customFormat="1" ht="27.4" customHeight="1">
      <c r="A389" s="704" t="e">
        <f t="shared" si="8"/>
        <v>#N/A</v>
      </c>
      <c r="B389" s="715" t="s">
        <v>5591</v>
      </c>
      <c r="C389" s="706" t="e">
        <f>VLOOKUP($B:$B,[140]단가!$B:$K,2,FALSE)</f>
        <v>#N/A</v>
      </c>
      <c r="D389" s="706" t="e">
        <f>IF(VLOOKUP(B:B,[140]단가!B:K,3,FALSE)="","",VLOOKUP(B:B,[140]단가!B:K,3,FALSE))</f>
        <v>#N/A</v>
      </c>
      <c r="E389" s="707" t="e">
        <f>VLOOKUP($B:$B,[140]단가!$B:$K,4,FALSE)</f>
        <v>#N/A</v>
      </c>
      <c r="F389" s="706" t="e">
        <f>VLOOKUP($B:$B,[140]단가!$B:$L,11,FALSE)</f>
        <v>#N/A</v>
      </c>
      <c r="G389" s="706"/>
      <c r="H389" s="712"/>
      <c r="I389" s="713"/>
    </row>
    <row r="390" spans="1:9" s="709" customFormat="1" ht="27.4" customHeight="1">
      <c r="A390" s="704" t="e">
        <f t="shared" si="8"/>
        <v>#N/A</v>
      </c>
      <c r="B390" s="715" t="s">
        <v>5592</v>
      </c>
      <c r="C390" s="706" t="e">
        <f>VLOOKUP($B:$B,[140]단가!$B:$K,2,FALSE)</f>
        <v>#N/A</v>
      </c>
      <c r="D390" s="706" t="e">
        <f>IF(VLOOKUP(B:B,[140]단가!B:K,3,FALSE)="","",VLOOKUP(B:B,[140]단가!B:K,3,FALSE))</f>
        <v>#N/A</v>
      </c>
      <c r="E390" s="707" t="e">
        <f>VLOOKUP($B:$B,[140]단가!$B:$K,4,FALSE)</f>
        <v>#N/A</v>
      </c>
      <c r="F390" s="706" t="e">
        <f>VLOOKUP($B:$B,[140]단가!$B:$L,11,FALSE)</f>
        <v>#N/A</v>
      </c>
      <c r="G390" s="706"/>
      <c r="H390" s="712"/>
      <c r="I390" s="713"/>
    </row>
    <row r="391" spans="1:9" s="709" customFormat="1" ht="27.4" customHeight="1">
      <c r="A391" s="704" t="e">
        <f t="shared" si="8"/>
        <v>#N/A</v>
      </c>
      <c r="B391" s="715" t="s">
        <v>5593</v>
      </c>
      <c r="C391" s="706" t="e">
        <f>VLOOKUP($B:$B,[140]단가!$B:$K,2,FALSE)</f>
        <v>#N/A</v>
      </c>
      <c r="D391" s="706" t="e">
        <f>IF(VLOOKUP(B:B,[140]단가!B:K,3,FALSE)="","",VLOOKUP(B:B,[140]단가!B:K,3,FALSE))</f>
        <v>#N/A</v>
      </c>
      <c r="E391" s="707" t="e">
        <f>VLOOKUP($B:$B,[140]단가!$B:$K,4,FALSE)</f>
        <v>#N/A</v>
      </c>
      <c r="F391" s="706" t="e">
        <f>VLOOKUP($B:$B,[140]단가!$B:$L,11,FALSE)</f>
        <v>#N/A</v>
      </c>
      <c r="G391" s="706"/>
      <c r="H391" s="712"/>
      <c r="I391" s="713"/>
    </row>
    <row r="392" spans="1:9" s="709" customFormat="1" ht="27.4" customHeight="1">
      <c r="A392" s="704" t="e">
        <f t="shared" si="8"/>
        <v>#N/A</v>
      </c>
      <c r="B392" s="715" t="s">
        <v>5594</v>
      </c>
      <c r="C392" s="706" t="e">
        <f>VLOOKUP($B:$B,[140]단가!$B:$K,2,FALSE)</f>
        <v>#N/A</v>
      </c>
      <c r="D392" s="706" t="e">
        <f>IF(VLOOKUP(B:B,[140]단가!B:K,3,FALSE)="","",VLOOKUP(B:B,[140]단가!B:K,3,FALSE))</f>
        <v>#N/A</v>
      </c>
      <c r="E392" s="707" t="e">
        <f>VLOOKUP($B:$B,[140]단가!$B:$K,4,FALSE)</f>
        <v>#N/A</v>
      </c>
      <c r="F392" s="706" t="e">
        <f>VLOOKUP($B:$B,[140]단가!$B:$L,11,FALSE)</f>
        <v>#N/A</v>
      </c>
      <c r="G392" s="706"/>
      <c r="H392" s="712"/>
      <c r="I392" s="713"/>
    </row>
    <row r="393" spans="1:9" s="709" customFormat="1" ht="27.4" customHeight="1">
      <c r="A393" s="704" t="e">
        <f t="shared" si="8"/>
        <v>#N/A</v>
      </c>
      <c r="B393" s="715" t="s">
        <v>5594</v>
      </c>
      <c r="C393" s="706" t="e">
        <f>VLOOKUP($B:$B,[140]단가!$B:$K,2,FALSE)</f>
        <v>#N/A</v>
      </c>
      <c r="D393" s="706" t="e">
        <f>IF(VLOOKUP(B:B,[140]단가!B:K,3,FALSE)="","",VLOOKUP(B:B,[140]단가!B:K,3,FALSE))</f>
        <v>#N/A</v>
      </c>
      <c r="E393" s="707" t="e">
        <f>VLOOKUP($B:$B,[140]단가!$B:$K,4,FALSE)</f>
        <v>#N/A</v>
      </c>
      <c r="F393" s="706" t="e">
        <f>VLOOKUP($B:$B,[140]단가!$B:$L,11,FALSE)</f>
        <v>#N/A</v>
      </c>
      <c r="G393" s="706"/>
      <c r="H393" s="712"/>
      <c r="I393" s="713"/>
    </row>
    <row r="394" spans="1:9" s="709" customFormat="1" ht="27.4" customHeight="1">
      <c r="A394" s="704" t="e">
        <f t="shared" si="8"/>
        <v>#N/A</v>
      </c>
      <c r="B394" s="715" t="s">
        <v>5595</v>
      </c>
      <c r="C394" s="706" t="e">
        <f>VLOOKUP($B:$B,[140]단가!$B:$K,2,FALSE)</f>
        <v>#N/A</v>
      </c>
      <c r="D394" s="706" t="e">
        <f>IF(VLOOKUP(B:B,[140]단가!B:K,3,FALSE)="","",VLOOKUP(B:B,[140]단가!B:K,3,FALSE))</f>
        <v>#N/A</v>
      </c>
      <c r="E394" s="707" t="e">
        <f>VLOOKUP($B:$B,[140]단가!$B:$K,4,FALSE)</f>
        <v>#N/A</v>
      </c>
      <c r="F394" s="706" t="e">
        <f>VLOOKUP($B:$B,[140]단가!$B:$L,11,FALSE)</f>
        <v>#N/A</v>
      </c>
      <c r="G394" s="706"/>
      <c r="H394" s="712"/>
      <c r="I394" s="713"/>
    </row>
    <row r="395" spans="1:9" s="709" customFormat="1" ht="27.4" customHeight="1">
      <c r="A395" s="704" t="e">
        <f t="shared" si="8"/>
        <v>#N/A</v>
      </c>
      <c r="B395" s="715" t="s">
        <v>5596</v>
      </c>
      <c r="C395" s="706" t="e">
        <f>VLOOKUP($B:$B,[140]단가!$B:$K,2,FALSE)</f>
        <v>#N/A</v>
      </c>
      <c r="D395" s="706" t="e">
        <f>IF(VLOOKUP(B:B,[140]단가!B:K,3,FALSE)="","",VLOOKUP(B:B,[140]단가!B:K,3,FALSE))</f>
        <v>#N/A</v>
      </c>
      <c r="E395" s="707" t="e">
        <f>VLOOKUP($B:$B,[140]단가!$B:$K,4,FALSE)</f>
        <v>#N/A</v>
      </c>
      <c r="F395" s="706" t="e">
        <f>VLOOKUP($B:$B,[140]단가!$B:$L,11,FALSE)</f>
        <v>#N/A</v>
      </c>
      <c r="G395" s="706"/>
      <c r="H395" s="712"/>
      <c r="I395" s="713"/>
    </row>
    <row r="396" spans="1:9" s="709" customFormat="1" ht="27.4" customHeight="1">
      <c r="A396" s="704" t="e">
        <f t="shared" si="8"/>
        <v>#N/A</v>
      </c>
      <c r="B396" s="715" t="s">
        <v>5597</v>
      </c>
      <c r="C396" s="706" t="e">
        <f>VLOOKUP($B:$B,[140]단가!$B:$K,2,FALSE)</f>
        <v>#N/A</v>
      </c>
      <c r="D396" s="706" t="e">
        <f>IF(VLOOKUP(B:B,[140]단가!B:K,3,FALSE)="","",VLOOKUP(B:B,[140]단가!B:K,3,FALSE))</f>
        <v>#N/A</v>
      </c>
      <c r="E396" s="707" t="e">
        <f>VLOOKUP($B:$B,[140]단가!$B:$K,4,FALSE)</f>
        <v>#N/A</v>
      </c>
      <c r="F396" s="706" t="e">
        <f>VLOOKUP($B:$B,[140]단가!$B:$L,11,FALSE)</f>
        <v>#N/A</v>
      </c>
      <c r="G396" s="706"/>
      <c r="H396" s="712"/>
      <c r="I396" s="713"/>
    </row>
    <row r="397" spans="1:9" s="709" customFormat="1" ht="27.4" customHeight="1">
      <c r="A397" s="704" t="e">
        <f t="shared" si="8"/>
        <v>#N/A</v>
      </c>
      <c r="B397" s="715" t="s">
        <v>5598</v>
      </c>
      <c r="C397" s="706" t="e">
        <f>VLOOKUP($B:$B,[140]단가!$B:$K,2,FALSE)</f>
        <v>#N/A</v>
      </c>
      <c r="D397" s="706" t="e">
        <f>IF(VLOOKUP(B:B,[140]단가!B:K,3,FALSE)="","",VLOOKUP(B:B,[140]단가!B:K,3,FALSE))</f>
        <v>#N/A</v>
      </c>
      <c r="E397" s="707" t="e">
        <f>VLOOKUP($B:$B,[140]단가!$B:$K,4,FALSE)</f>
        <v>#N/A</v>
      </c>
      <c r="F397" s="706" t="e">
        <f>VLOOKUP($B:$B,[140]단가!$B:$L,11,FALSE)</f>
        <v>#N/A</v>
      </c>
      <c r="G397" s="706"/>
      <c r="H397" s="712"/>
      <c r="I397" s="713"/>
    </row>
    <row r="398" spans="1:9" s="709" customFormat="1" ht="27.4" customHeight="1">
      <c r="A398" s="704" t="e">
        <f t="shared" si="8"/>
        <v>#N/A</v>
      </c>
      <c r="B398" s="715" t="s">
        <v>5599</v>
      </c>
      <c r="C398" s="706" t="e">
        <f>VLOOKUP($B:$B,[140]단가!$B:$K,2,FALSE)</f>
        <v>#N/A</v>
      </c>
      <c r="D398" s="706" t="e">
        <f>IF(VLOOKUP(B:B,[140]단가!B:K,3,FALSE)="","",VLOOKUP(B:B,[140]단가!B:K,3,FALSE))</f>
        <v>#N/A</v>
      </c>
      <c r="E398" s="707" t="e">
        <f>VLOOKUP($B:$B,[140]단가!$B:$K,4,FALSE)</f>
        <v>#N/A</v>
      </c>
      <c r="F398" s="706" t="e">
        <f>VLOOKUP($B:$B,[140]단가!$B:$L,11,FALSE)</f>
        <v>#N/A</v>
      </c>
      <c r="G398" s="706"/>
      <c r="H398" s="712"/>
      <c r="I398" s="713"/>
    </row>
    <row r="399" spans="1:9" s="709" customFormat="1" ht="27.4" customHeight="1">
      <c r="A399" s="704" t="e">
        <f t="shared" si="8"/>
        <v>#N/A</v>
      </c>
      <c r="B399" s="715" t="s">
        <v>5600</v>
      </c>
      <c r="C399" s="706" t="e">
        <f>VLOOKUP($B:$B,[140]단가!$B:$K,2,FALSE)</f>
        <v>#N/A</v>
      </c>
      <c r="D399" s="706" t="e">
        <f>IF(VLOOKUP(B:B,[140]단가!B:K,3,FALSE)="","",VLOOKUP(B:B,[140]단가!B:K,3,FALSE))</f>
        <v>#N/A</v>
      </c>
      <c r="E399" s="707" t="e">
        <f>VLOOKUP($B:$B,[140]단가!$B:$K,4,FALSE)</f>
        <v>#N/A</v>
      </c>
      <c r="F399" s="706" t="e">
        <f>VLOOKUP($B:$B,[140]단가!$B:$L,11,FALSE)</f>
        <v>#N/A</v>
      </c>
      <c r="G399" s="706"/>
      <c r="H399" s="712"/>
      <c r="I399" s="713"/>
    </row>
    <row r="400" spans="1:9" s="709" customFormat="1" ht="27.4" customHeight="1">
      <c r="A400" s="704" t="e">
        <f t="shared" si="8"/>
        <v>#N/A</v>
      </c>
      <c r="B400" s="715" t="s">
        <v>5601</v>
      </c>
      <c r="C400" s="706" t="e">
        <f>VLOOKUP($B:$B,[140]단가!$B:$K,2,FALSE)</f>
        <v>#N/A</v>
      </c>
      <c r="D400" s="706" t="e">
        <f>IF(VLOOKUP(B:B,[140]단가!B:K,3,FALSE)="","",VLOOKUP(B:B,[140]단가!B:K,3,FALSE))</f>
        <v>#N/A</v>
      </c>
      <c r="E400" s="707" t="e">
        <f>VLOOKUP($B:$B,[140]단가!$B:$K,4,FALSE)</f>
        <v>#N/A</v>
      </c>
      <c r="F400" s="706" t="e">
        <f>VLOOKUP($B:$B,[140]단가!$B:$L,11,FALSE)</f>
        <v>#N/A</v>
      </c>
      <c r="G400" s="706"/>
      <c r="H400" s="712"/>
      <c r="I400" s="713"/>
    </row>
    <row r="401" spans="1:9" s="709" customFormat="1" ht="27.4" customHeight="1">
      <c r="A401" s="704" t="e">
        <f t="shared" si="8"/>
        <v>#N/A</v>
      </c>
      <c r="B401" s="715" t="s">
        <v>5602</v>
      </c>
      <c r="C401" s="706" t="e">
        <f>VLOOKUP($B:$B,[140]단가!$B:$K,2,FALSE)</f>
        <v>#N/A</v>
      </c>
      <c r="D401" s="706" t="e">
        <f>IF(VLOOKUP(B:B,[140]단가!B:K,3,FALSE)="","",VLOOKUP(B:B,[140]단가!B:K,3,FALSE))</f>
        <v>#N/A</v>
      </c>
      <c r="E401" s="707" t="e">
        <f>VLOOKUP($B:$B,[140]단가!$B:$K,4,FALSE)</f>
        <v>#N/A</v>
      </c>
      <c r="F401" s="706" t="e">
        <f>VLOOKUP($B:$B,[140]단가!$B:$L,11,FALSE)</f>
        <v>#N/A</v>
      </c>
      <c r="G401" s="706"/>
      <c r="H401" s="712"/>
      <c r="I401" s="713"/>
    </row>
    <row r="402" spans="1:9" s="709" customFormat="1" ht="27.4" customHeight="1">
      <c r="A402" s="704" t="e">
        <f t="shared" si="8"/>
        <v>#N/A</v>
      </c>
      <c r="B402" s="715" t="s">
        <v>5603</v>
      </c>
      <c r="C402" s="706" t="e">
        <f>VLOOKUP($B:$B,[140]단가!$B:$K,2,FALSE)</f>
        <v>#N/A</v>
      </c>
      <c r="D402" s="706" t="e">
        <f>IF(VLOOKUP(B:B,[140]단가!B:K,3,FALSE)="","",VLOOKUP(B:B,[140]단가!B:K,3,FALSE))</f>
        <v>#N/A</v>
      </c>
      <c r="E402" s="707" t="e">
        <f>VLOOKUP($B:$B,[140]단가!$B:$K,4,FALSE)</f>
        <v>#N/A</v>
      </c>
      <c r="F402" s="706" t="e">
        <f>VLOOKUP($B:$B,[140]단가!$B:$L,11,FALSE)</f>
        <v>#N/A</v>
      </c>
      <c r="G402" s="706"/>
      <c r="H402" s="712"/>
      <c r="I402" s="713"/>
    </row>
    <row r="403" spans="1:9" s="709" customFormat="1" ht="27.4" customHeight="1">
      <c r="A403" s="704" t="e">
        <f t="shared" si="8"/>
        <v>#N/A</v>
      </c>
      <c r="B403" s="715" t="s">
        <v>5604</v>
      </c>
      <c r="C403" s="706" t="e">
        <f>VLOOKUP($B:$B,[140]단가!$B:$K,2,FALSE)</f>
        <v>#N/A</v>
      </c>
      <c r="D403" s="706" t="e">
        <f>IF(VLOOKUP(B:B,[140]단가!B:K,3,FALSE)="","",VLOOKUP(B:B,[140]단가!B:K,3,FALSE))</f>
        <v>#N/A</v>
      </c>
      <c r="E403" s="707" t="e">
        <f>VLOOKUP($B:$B,[140]단가!$B:$K,4,FALSE)</f>
        <v>#N/A</v>
      </c>
      <c r="F403" s="706" t="e">
        <f>VLOOKUP($B:$B,[140]단가!$B:$L,11,FALSE)</f>
        <v>#N/A</v>
      </c>
      <c r="G403" s="706"/>
      <c r="H403" s="712"/>
      <c r="I403" s="713"/>
    </row>
    <row r="404" spans="1:9" s="709" customFormat="1" ht="27.4" customHeight="1">
      <c r="A404" s="704" t="e">
        <f t="shared" si="8"/>
        <v>#N/A</v>
      </c>
      <c r="B404" s="715" t="s">
        <v>5605</v>
      </c>
      <c r="C404" s="706" t="e">
        <f>VLOOKUP($B:$B,[140]단가!$B:$K,2,FALSE)</f>
        <v>#N/A</v>
      </c>
      <c r="D404" s="706" t="e">
        <f>IF(VLOOKUP(B:B,[140]단가!B:K,3,FALSE)="","",VLOOKUP(B:B,[140]단가!B:K,3,FALSE))</f>
        <v>#N/A</v>
      </c>
      <c r="E404" s="707" t="e">
        <f>VLOOKUP($B:$B,[140]단가!$B:$K,4,FALSE)</f>
        <v>#N/A</v>
      </c>
      <c r="F404" s="706" t="e">
        <f>VLOOKUP($B:$B,[140]단가!$B:$L,11,FALSE)</f>
        <v>#N/A</v>
      </c>
      <c r="G404" s="706"/>
      <c r="H404" s="712"/>
      <c r="I404" s="713"/>
    </row>
    <row r="405" spans="1:9" s="709" customFormat="1" ht="27.4" customHeight="1">
      <c r="A405" s="704" t="e">
        <f t="shared" si="8"/>
        <v>#N/A</v>
      </c>
      <c r="B405" s="715" t="s">
        <v>5606</v>
      </c>
      <c r="C405" s="706" t="e">
        <f>VLOOKUP($B:$B,[140]단가!$B:$K,2,FALSE)</f>
        <v>#N/A</v>
      </c>
      <c r="D405" s="706" t="e">
        <f>IF(VLOOKUP(B:B,[140]단가!B:K,3,FALSE)="","",VLOOKUP(B:B,[140]단가!B:K,3,FALSE))</f>
        <v>#N/A</v>
      </c>
      <c r="E405" s="707" t="e">
        <f>VLOOKUP($B:$B,[140]단가!$B:$K,4,FALSE)</f>
        <v>#N/A</v>
      </c>
      <c r="F405" s="706" t="e">
        <f>VLOOKUP($B:$B,[140]단가!$B:$L,11,FALSE)</f>
        <v>#N/A</v>
      </c>
      <c r="G405" s="706"/>
      <c r="H405" s="712"/>
      <c r="I405" s="713"/>
    </row>
    <row r="406" spans="1:9" s="709" customFormat="1" ht="27.4" customHeight="1">
      <c r="A406" s="704" t="e">
        <f t="shared" si="8"/>
        <v>#N/A</v>
      </c>
      <c r="B406" s="715" t="s">
        <v>5607</v>
      </c>
      <c r="C406" s="706" t="e">
        <f>VLOOKUP($B:$B,[140]단가!$B:$K,2,FALSE)</f>
        <v>#N/A</v>
      </c>
      <c r="D406" s="706" t="e">
        <f>IF(VLOOKUP(B:B,[140]단가!B:K,3,FALSE)="","",VLOOKUP(B:B,[140]단가!B:K,3,FALSE))</f>
        <v>#N/A</v>
      </c>
      <c r="E406" s="707" t="e">
        <f>VLOOKUP($B:$B,[140]단가!$B:$K,4,FALSE)</f>
        <v>#N/A</v>
      </c>
      <c r="F406" s="706" t="e">
        <f>VLOOKUP($B:$B,[140]단가!$B:$L,11,FALSE)</f>
        <v>#N/A</v>
      </c>
      <c r="G406" s="706"/>
      <c r="H406" s="712"/>
      <c r="I406" s="713"/>
    </row>
    <row r="407" spans="1:9" s="709" customFormat="1" ht="27.4" customHeight="1">
      <c r="A407" s="704" t="e">
        <f t="shared" si="8"/>
        <v>#N/A</v>
      </c>
      <c r="B407" s="715" t="s">
        <v>5608</v>
      </c>
      <c r="C407" s="706" t="e">
        <f>VLOOKUP($B:$B,[140]단가!$B:$K,2,FALSE)</f>
        <v>#N/A</v>
      </c>
      <c r="D407" s="706" t="e">
        <f>IF(VLOOKUP(B:B,[140]단가!B:K,3,FALSE)="","",VLOOKUP(B:B,[140]단가!B:K,3,FALSE))</f>
        <v>#N/A</v>
      </c>
      <c r="E407" s="707" t="e">
        <f>VLOOKUP($B:$B,[140]단가!$B:$K,4,FALSE)</f>
        <v>#N/A</v>
      </c>
      <c r="F407" s="706" t="e">
        <f>VLOOKUP($B:$B,[140]단가!$B:$L,11,FALSE)</f>
        <v>#N/A</v>
      </c>
      <c r="G407" s="706"/>
      <c r="H407" s="712"/>
      <c r="I407" s="713"/>
    </row>
    <row r="408" spans="1:9" s="709" customFormat="1" ht="27.4" customHeight="1">
      <c r="A408" s="704" t="e">
        <f t="shared" si="8"/>
        <v>#N/A</v>
      </c>
      <c r="B408" s="715" t="s">
        <v>5609</v>
      </c>
      <c r="C408" s="706" t="e">
        <f>VLOOKUP($B:$B,[140]단가!$B:$K,2,FALSE)</f>
        <v>#N/A</v>
      </c>
      <c r="D408" s="706" t="e">
        <f>IF(VLOOKUP(B:B,[140]단가!B:K,3,FALSE)="","",VLOOKUP(B:B,[140]단가!B:K,3,FALSE))</f>
        <v>#N/A</v>
      </c>
      <c r="E408" s="707" t="e">
        <f>VLOOKUP($B:$B,[140]단가!$B:$K,4,FALSE)</f>
        <v>#N/A</v>
      </c>
      <c r="F408" s="706" t="e">
        <f>VLOOKUP($B:$B,[140]단가!$B:$L,11,FALSE)</f>
        <v>#N/A</v>
      </c>
      <c r="G408" s="706"/>
      <c r="H408" s="712"/>
      <c r="I408" s="713"/>
    </row>
    <row r="409" spans="1:9" s="709" customFormat="1" ht="27.4" customHeight="1">
      <c r="A409" s="704" t="e">
        <f t="shared" si="8"/>
        <v>#N/A</v>
      </c>
      <c r="B409" s="715" t="s">
        <v>5610</v>
      </c>
      <c r="C409" s="706" t="e">
        <f>VLOOKUP($B:$B,[140]단가!$B:$K,2,FALSE)</f>
        <v>#N/A</v>
      </c>
      <c r="D409" s="706" t="e">
        <f>IF(VLOOKUP(B:B,[140]단가!B:K,3,FALSE)="","",VLOOKUP(B:B,[140]단가!B:K,3,FALSE))</f>
        <v>#N/A</v>
      </c>
      <c r="E409" s="707" t="e">
        <f>VLOOKUP($B:$B,[140]단가!$B:$K,4,FALSE)</f>
        <v>#N/A</v>
      </c>
      <c r="F409" s="706" t="e">
        <f>VLOOKUP($B:$B,[140]단가!$B:$L,11,FALSE)</f>
        <v>#N/A</v>
      </c>
      <c r="G409" s="706"/>
      <c r="H409" s="712"/>
      <c r="I409" s="713"/>
    </row>
    <row r="410" spans="1:9" s="709" customFormat="1" ht="27.4" customHeight="1">
      <c r="A410" s="704" t="e">
        <f t="shared" si="8"/>
        <v>#N/A</v>
      </c>
      <c r="B410" s="715" t="s">
        <v>5611</v>
      </c>
      <c r="C410" s="706" t="e">
        <f>VLOOKUP($B:$B,[140]단가!$B:$K,2,FALSE)</f>
        <v>#N/A</v>
      </c>
      <c r="D410" s="706" t="e">
        <f>IF(VLOOKUP(B:B,[140]단가!B:K,3,FALSE)="","",VLOOKUP(B:B,[140]단가!B:K,3,FALSE))</f>
        <v>#N/A</v>
      </c>
      <c r="E410" s="707" t="e">
        <f>VLOOKUP($B:$B,[140]단가!$B:$K,4,FALSE)</f>
        <v>#N/A</v>
      </c>
      <c r="F410" s="706" t="e">
        <f>VLOOKUP($B:$B,[140]단가!$B:$L,11,FALSE)</f>
        <v>#N/A</v>
      </c>
      <c r="G410" s="706"/>
      <c r="H410" s="712"/>
      <c r="I410" s="713"/>
    </row>
    <row r="411" spans="1:9" s="709" customFormat="1" ht="27.4" customHeight="1">
      <c r="A411" s="704" t="e">
        <f t="shared" si="8"/>
        <v>#N/A</v>
      </c>
      <c r="B411" s="715" t="s">
        <v>5612</v>
      </c>
      <c r="C411" s="706" t="e">
        <f>VLOOKUP($B:$B,[140]단가!$B:$K,2,FALSE)</f>
        <v>#N/A</v>
      </c>
      <c r="D411" s="706" t="e">
        <f>IF(VLOOKUP(B:B,[140]단가!B:K,3,FALSE)="","",VLOOKUP(B:B,[140]단가!B:K,3,FALSE))</f>
        <v>#N/A</v>
      </c>
      <c r="E411" s="707" t="e">
        <f>VLOOKUP($B:$B,[140]단가!$B:$K,4,FALSE)</f>
        <v>#N/A</v>
      </c>
      <c r="F411" s="706" t="e">
        <f>VLOOKUP($B:$B,[140]단가!$B:$L,11,FALSE)</f>
        <v>#N/A</v>
      </c>
      <c r="G411" s="706"/>
      <c r="H411" s="712"/>
      <c r="I411" s="713"/>
    </row>
    <row r="412" spans="1:9" s="709" customFormat="1" ht="27.4" customHeight="1">
      <c r="A412" s="704" t="e">
        <f t="shared" si="8"/>
        <v>#N/A</v>
      </c>
      <c r="B412" s="715" t="s">
        <v>5613</v>
      </c>
      <c r="C412" s="706" t="e">
        <f>VLOOKUP($B:$B,[140]단가!$B:$K,2,FALSE)</f>
        <v>#N/A</v>
      </c>
      <c r="D412" s="706" t="e">
        <f>IF(VLOOKUP(B:B,[140]단가!B:K,3,FALSE)="","",VLOOKUP(B:B,[140]단가!B:K,3,FALSE))</f>
        <v>#N/A</v>
      </c>
      <c r="E412" s="707" t="e">
        <f>VLOOKUP($B:$B,[140]단가!$B:$K,4,FALSE)</f>
        <v>#N/A</v>
      </c>
      <c r="F412" s="706" t="e">
        <f>VLOOKUP($B:$B,[140]단가!$B:$L,11,FALSE)</f>
        <v>#N/A</v>
      </c>
      <c r="G412" s="706"/>
      <c r="H412" s="712"/>
      <c r="I412" s="713"/>
    </row>
    <row r="413" spans="1:9" s="709" customFormat="1" ht="27.4" customHeight="1">
      <c r="A413" s="704" t="e">
        <f t="shared" si="8"/>
        <v>#N/A</v>
      </c>
      <c r="B413" s="715" t="s">
        <v>5614</v>
      </c>
      <c r="C413" s="706" t="e">
        <f>VLOOKUP($B:$B,[140]단가!$B:$K,2,FALSE)</f>
        <v>#N/A</v>
      </c>
      <c r="D413" s="706" t="e">
        <f>IF(VLOOKUP(B:B,[140]단가!B:K,3,FALSE)="","",VLOOKUP(B:B,[140]단가!B:K,3,FALSE))</f>
        <v>#N/A</v>
      </c>
      <c r="E413" s="707" t="e">
        <f>VLOOKUP($B:$B,[140]단가!$B:$K,4,FALSE)</f>
        <v>#N/A</v>
      </c>
      <c r="F413" s="706" t="e">
        <f>VLOOKUP($B:$B,[140]단가!$B:$L,11,FALSE)</f>
        <v>#N/A</v>
      </c>
      <c r="G413" s="706"/>
      <c r="H413" s="712"/>
      <c r="I413" s="713"/>
    </row>
    <row r="414" spans="1:9" s="709" customFormat="1" ht="27.4" customHeight="1">
      <c r="A414" s="704" t="e">
        <f t="shared" si="8"/>
        <v>#N/A</v>
      </c>
      <c r="B414" s="715" t="s">
        <v>5615</v>
      </c>
      <c r="C414" s="706" t="e">
        <f>VLOOKUP($B:$B,[140]단가!$B:$K,2,FALSE)</f>
        <v>#N/A</v>
      </c>
      <c r="D414" s="706" t="e">
        <f>IF(VLOOKUP(B:B,[140]단가!B:K,3,FALSE)="","",VLOOKUP(B:B,[140]단가!B:K,3,FALSE))</f>
        <v>#N/A</v>
      </c>
      <c r="E414" s="707" t="e">
        <f>VLOOKUP($B:$B,[140]단가!$B:$K,4,FALSE)</f>
        <v>#N/A</v>
      </c>
      <c r="F414" s="706" t="e">
        <f>VLOOKUP($B:$B,[140]단가!$B:$L,11,FALSE)</f>
        <v>#N/A</v>
      </c>
      <c r="G414" s="706"/>
      <c r="H414" s="712"/>
      <c r="I414" s="713"/>
    </row>
    <row r="415" spans="1:9" s="709" customFormat="1" ht="27.4" customHeight="1">
      <c r="A415" s="704" t="e">
        <f t="shared" si="8"/>
        <v>#N/A</v>
      </c>
      <c r="B415" s="715" t="s">
        <v>5616</v>
      </c>
      <c r="C415" s="706" t="e">
        <f>VLOOKUP($B:$B,[140]단가!$B:$K,2,FALSE)</f>
        <v>#N/A</v>
      </c>
      <c r="D415" s="706" t="e">
        <f>IF(VLOOKUP(B:B,[140]단가!B:K,3,FALSE)="","",VLOOKUP(B:B,[140]단가!B:K,3,FALSE))</f>
        <v>#N/A</v>
      </c>
      <c r="E415" s="707" t="e">
        <f>VLOOKUP($B:$B,[140]단가!$B:$K,4,FALSE)</f>
        <v>#N/A</v>
      </c>
      <c r="F415" s="706" t="e">
        <f>VLOOKUP($B:$B,[140]단가!$B:$L,11,FALSE)</f>
        <v>#N/A</v>
      </c>
      <c r="G415" s="706"/>
      <c r="H415" s="712"/>
      <c r="I415" s="713"/>
    </row>
    <row r="416" spans="1:9" s="709" customFormat="1" ht="27.4" customHeight="1">
      <c r="A416" s="704" t="e">
        <f t="shared" si="8"/>
        <v>#N/A</v>
      </c>
      <c r="B416" s="715" t="s">
        <v>5617</v>
      </c>
      <c r="C416" s="706" t="e">
        <f>VLOOKUP($B:$B,[140]단가!$B:$K,2,FALSE)</f>
        <v>#N/A</v>
      </c>
      <c r="D416" s="706" t="e">
        <f>IF(VLOOKUP(B:B,[140]단가!B:K,3,FALSE)="","",VLOOKUP(B:B,[140]단가!B:K,3,FALSE))</f>
        <v>#N/A</v>
      </c>
      <c r="E416" s="707" t="e">
        <f>VLOOKUP($B:$B,[140]단가!$B:$K,4,FALSE)</f>
        <v>#N/A</v>
      </c>
      <c r="F416" s="706" t="e">
        <f>VLOOKUP($B:$B,[140]단가!$B:$L,11,FALSE)</f>
        <v>#N/A</v>
      </c>
      <c r="G416" s="706"/>
      <c r="H416" s="712"/>
      <c r="I416" s="713"/>
    </row>
    <row r="417" spans="1:9" s="709" customFormat="1" ht="27.4" customHeight="1">
      <c r="A417" s="704" t="e">
        <f t="shared" si="8"/>
        <v>#N/A</v>
      </c>
      <c r="B417" s="715" t="s">
        <v>5618</v>
      </c>
      <c r="C417" s="706" t="e">
        <f>VLOOKUP($B:$B,[140]단가!$B:$K,2,FALSE)</f>
        <v>#N/A</v>
      </c>
      <c r="D417" s="706" t="e">
        <f>IF(VLOOKUP(B:B,[140]단가!B:K,3,FALSE)="","",VLOOKUP(B:B,[140]단가!B:K,3,FALSE))</f>
        <v>#N/A</v>
      </c>
      <c r="E417" s="707" t="e">
        <f>VLOOKUP($B:$B,[140]단가!$B:$K,4,FALSE)</f>
        <v>#N/A</v>
      </c>
      <c r="F417" s="706" t="e">
        <f>VLOOKUP($B:$B,[140]단가!$B:$L,11,FALSE)</f>
        <v>#N/A</v>
      </c>
      <c r="G417" s="706"/>
      <c r="H417" s="712"/>
      <c r="I417" s="713"/>
    </row>
    <row r="418" spans="1:9" s="709" customFormat="1" ht="27.4" customHeight="1">
      <c r="A418" s="704" t="e">
        <f t="shared" si="8"/>
        <v>#N/A</v>
      </c>
      <c r="B418" s="715" t="s">
        <v>5619</v>
      </c>
      <c r="C418" s="706" t="e">
        <f>VLOOKUP($B:$B,[140]단가!$B:$K,2,FALSE)</f>
        <v>#N/A</v>
      </c>
      <c r="D418" s="706" t="e">
        <f>IF(VLOOKUP(B:B,[140]단가!B:K,3,FALSE)="","",VLOOKUP(B:B,[140]단가!B:K,3,FALSE))</f>
        <v>#N/A</v>
      </c>
      <c r="E418" s="707" t="e">
        <f>VLOOKUP($B:$B,[140]단가!$B:$K,4,FALSE)</f>
        <v>#N/A</v>
      </c>
      <c r="F418" s="706" t="e">
        <f>VLOOKUP($B:$B,[140]단가!$B:$L,11,FALSE)</f>
        <v>#N/A</v>
      </c>
      <c r="G418" s="706"/>
      <c r="H418" s="712"/>
      <c r="I418" s="713"/>
    </row>
    <row r="419" spans="1:9" s="709" customFormat="1" ht="27.4" customHeight="1">
      <c r="A419" s="704" t="e">
        <f t="shared" si="8"/>
        <v>#N/A</v>
      </c>
      <c r="B419" s="715" t="s">
        <v>5620</v>
      </c>
      <c r="C419" s="706" t="e">
        <f>VLOOKUP($B:$B,[140]단가!$B:$K,2,FALSE)</f>
        <v>#N/A</v>
      </c>
      <c r="D419" s="706" t="e">
        <f>IF(VLOOKUP(B:B,[140]단가!B:K,3,FALSE)="","",VLOOKUP(B:B,[140]단가!B:K,3,FALSE))</f>
        <v>#N/A</v>
      </c>
      <c r="E419" s="707" t="e">
        <f>VLOOKUP($B:$B,[140]단가!$B:$K,4,FALSE)</f>
        <v>#N/A</v>
      </c>
      <c r="F419" s="706" t="e">
        <f>VLOOKUP($B:$B,[140]단가!$B:$L,11,FALSE)</f>
        <v>#N/A</v>
      </c>
      <c r="G419" s="706"/>
      <c r="H419" s="712"/>
      <c r="I419" s="713"/>
    </row>
    <row r="420" spans="1:9" s="709" customFormat="1" ht="27.4" customHeight="1">
      <c r="A420" s="704" t="e">
        <f t="shared" si="8"/>
        <v>#N/A</v>
      </c>
      <c r="B420" s="715" t="s">
        <v>5621</v>
      </c>
      <c r="C420" s="706" t="e">
        <f>VLOOKUP($B:$B,[140]단가!$B:$K,2,FALSE)</f>
        <v>#N/A</v>
      </c>
      <c r="D420" s="706" t="e">
        <f>IF(VLOOKUP(B:B,[140]단가!B:K,3,FALSE)="","",VLOOKUP(B:B,[140]단가!B:K,3,FALSE))</f>
        <v>#N/A</v>
      </c>
      <c r="E420" s="707" t="e">
        <f>VLOOKUP($B:$B,[140]단가!$B:$K,4,FALSE)</f>
        <v>#N/A</v>
      </c>
      <c r="F420" s="706" t="e">
        <f>VLOOKUP($B:$B,[140]단가!$B:$L,11,FALSE)</f>
        <v>#N/A</v>
      </c>
      <c r="G420" s="706"/>
      <c r="H420" s="712"/>
      <c r="I420" s="713"/>
    </row>
    <row r="421" spans="1:9" s="709" customFormat="1" ht="27.4" customHeight="1">
      <c r="A421" s="704" t="e">
        <f t="shared" si="8"/>
        <v>#N/A</v>
      </c>
      <c r="B421" s="715" t="s">
        <v>5622</v>
      </c>
      <c r="C421" s="706" t="e">
        <f>VLOOKUP($B:$B,[140]단가!$B:$K,2,FALSE)</f>
        <v>#N/A</v>
      </c>
      <c r="D421" s="706" t="e">
        <f>IF(VLOOKUP(B:B,[140]단가!B:K,3,FALSE)="","",VLOOKUP(B:B,[140]단가!B:K,3,FALSE))</f>
        <v>#N/A</v>
      </c>
      <c r="E421" s="707" t="e">
        <f>VLOOKUP($B:$B,[140]단가!$B:$K,4,FALSE)</f>
        <v>#N/A</v>
      </c>
      <c r="F421" s="706" t="e">
        <f>VLOOKUP($B:$B,[140]단가!$B:$L,11,FALSE)</f>
        <v>#N/A</v>
      </c>
      <c r="G421" s="706"/>
      <c r="H421" s="712"/>
      <c r="I421" s="713"/>
    </row>
    <row r="422" spans="1:9" s="709" customFormat="1" ht="27.4" customHeight="1">
      <c r="A422" s="704" t="e">
        <f t="shared" si="8"/>
        <v>#N/A</v>
      </c>
      <c r="B422" s="715" t="s">
        <v>5623</v>
      </c>
      <c r="C422" s="706" t="e">
        <f>VLOOKUP($B:$B,[140]단가!$B:$K,2,FALSE)</f>
        <v>#N/A</v>
      </c>
      <c r="D422" s="706" t="e">
        <f>IF(VLOOKUP(B:B,[140]단가!B:K,3,FALSE)="","",VLOOKUP(B:B,[140]단가!B:K,3,FALSE))</f>
        <v>#N/A</v>
      </c>
      <c r="E422" s="707" t="e">
        <f>VLOOKUP($B:$B,[140]단가!$B:$K,4,FALSE)</f>
        <v>#N/A</v>
      </c>
      <c r="F422" s="706" t="e">
        <f>VLOOKUP($B:$B,[140]단가!$B:$L,11,FALSE)</f>
        <v>#N/A</v>
      </c>
      <c r="G422" s="706"/>
      <c r="H422" s="712"/>
      <c r="I422" s="713"/>
    </row>
    <row r="423" spans="1:9" s="709" customFormat="1" ht="27.4" customHeight="1">
      <c r="A423" s="704" t="e">
        <f t="shared" ref="A423:A486" si="9">SUBSTITUTE(CONCATENATE(C:C,D:D,E:E)," ","")</f>
        <v>#N/A</v>
      </c>
      <c r="B423" s="715" t="s">
        <v>5624</v>
      </c>
      <c r="C423" s="706" t="e">
        <f>VLOOKUP($B:$B,[140]단가!$B:$K,2,FALSE)</f>
        <v>#N/A</v>
      </c>
      <c r="D423" s="706" t="e">
        <f>IF(VLOOKUP(B:B,[140]단가!B:K,3,FALSE)="","",VLOOKUP(B:B,[140]단가!B:K,3,FALSE))</f>
        <v>#N/A</v>
      </c>
      <c r="E423" s="707" t="e">
        <f>VLOOKUP($B:$B,[140]단가!$B:$K,4,FALSE)</f>
        <v>#N/A</v>
      </c>
      <c r="F423" s="706" t="e">
        <f>VLOOKUP($B:$B,[140]단가!$B:$L,11,FALSE)</f>
        <v>#N/A</v>
      </c>
      <c r="G423" s="706"/>
      <c r="H423" s="712"/>
      <c r="I423" s="713"/>
    </row>
    <row r="424" spans="1:9" s="709" customFormat="1" ht="27.4" customHeight="1">
      <c r="A424" s="704" t="e">
        <f t="shared" si="9"/>
        <v>#N/A</v>
      </c>
      <c r="B424" s="715" t="s">
        <v>5625</v>
      </c>
      <c r="C424" s="706" t="e">
        <f>VLOOKUP($B:$B,[140]단가!$B:$K,2,FALSE)</f>
        <v>#N/A</v>
      </c>
      <c r="D424" s="706" t="e">
        <f>IF(VLOOKUP(B:B,[140]단가!B:K,3,FALSE)="","",VLOOKUP(B:B,[140]단가!B:K,3,FALSE))</f>
        <v>#N/A</v>
      </c>
      <c r="E424" s="707" t="e">
        <f>VLOOKUP($B:$B,[140]단가!$B:$K,4,FALSE)</f>
        <v>#N/A</v>
      </c>
      <c r="F424" s="706" t="e">
        <f>VLOOKUP($B:$B,[140]단가!$B:$L,11,FALSE)</f>
        <v>#N/A</v>
      </c>
      <c r="G424" s="706"/>
      <c r="H424" s="712"/>
      <c r="I424" s="713"/>
    </row>
    <row r="425" spans="1:9" s="709" customFormat="1" ht="27.4" customHeight="1">
      <c r="A425" s="704" t="e">
        <f t="shared" si="9"/>
        <v>#N/A</v>
      </c>
      <c r="B425" s="715" t="s">
        <v>5626</v>
      </c>
      <c r="C425" s="706" t="e">
        <f>VLOOKUP($B:$B,[140]단가!$B:$K,2,FALSE)</f>
        <v>#N/A</v>
      </c>
      <c r="D425" s="706" t="e">
        <f>IF(VLOOKUP(B:B,[140]단가!B:K,3,FALSE)="","",VLOOKUP(B:B,[140]단가!B:K,3,FALSE))</f>
        <v>#N/A</v>
      </c>
      <c r="E425" s="707" t="e">
        <f>VLOOKUP($B:$B,[140]단가!$B:$K,4,FALSE)</f>
        <v>#N/A</v>
      </c>
      <c r="F425" s="706" t="e">
        <f>VLOOKUP($B:$B,[140]단가!$B:$L,11,FALSE)</f>
        <v>#N/A</v>
      </c>
      <c r="G425" s="706"/>
      <c r="H425" s="712"/>
      <c r="I425" s="713"/>
    </row>
    <row r="426" spans="1:9" s="709" customFormat="1" ht="27.4" customHeight="1">
      <c r="A426" s="704" t="e">
        <f t="shared" si="9"/>
        <v>#N/A</v>
      </c>
      <c r="B426" s="715" t="s">
        <v>5627</v>
      </c>
      <c r="C426" s="706" t="e">
        <f>VLOOKUP($B:$B,[140]단가!$B:$K,2,FALSE)</f>
        <v>#N/A</v>
      </c>
      <c r="D426" s="706" t="e">
        <f>IF(VLOOKUP(B:B,[140]단가!B:K,3,FALSE)="","",VLOOKUP(B:B,[140]단가!B:K,3,FALSE))</f>
        <v>#N/A</v>
      </c>
      <c r="E426" s="707" t="e">
        <f>VLOOKUP($B:$B,[140]단가!$B:$K,4,FALSE)</f>
        <v>#N/A</v>
      </c>
      <c r="F426" s="706" t="e">
        <f>VLOOKUP($B:$B,[140]단가!$B:$L,11,FALSE)</f>
        <v>#N/A</v>
      </c>
      <c r="G426" s="706"/>
      <c r="H426" s="712"/>
      <c r="I426" s="713"/>
    </row>
    <row r="427" spans="1:9" s="709" customFormat="1" ht="27.4" customHeight="1">
      <c r="A427" s="704" t="e">
        <f t="shared" si="9"/>
        <v>#N/A</v>
      </c>
      <c r="B427" s="715" t="s">
        <v>5628</v>
      </c>
      <c r="C427" s="706" t="e">
        <f>VLOOKUP($B:$B,[140]단가!$B:$K,2,FALSE)</f>
        <v>#N/A</v>
      </c>
      <c r="D427" s="706" t="e">
        <f>IF(VLOOKUP(B:B,[140]단가!B:K,3,FALSE)="","",VLOOKUP(B:B,[140]단가!B:K,3,FALSE))</f>
        <v>#N/A</v>
      </c>
      <c r="E427" s="707" t="e">
        <f>VLOOKUP($B:$B,[140]단가!$B:$K,4,FALSE)</f>
        <v>#N/A</v>
      </c>
      <c r="F427" s="706" t="e">
        <f>VLOOKUP($B:$B,[140]단가!$B:$L,11,FALSE)</f>
        <v>#N/A</v>
      </c>
      <c r="G427" s="706"/>
      <c r="H427" s="712"/>
      <c r="I427" s="713"/>
    </row>
    <row r="428" spans="1:9" s="709" customFormat="1" ht="27.4" customHeight="1">
      <c r="A428" s="704" t="e">
        <f t="shared" si="9"/>
        <v>#N/A</v>
      </c>
      <c r="B428" s="715" t="s">
        <v>5629</v>
      </c>
      <c r="C428" s="706" t="e">
        <f>VLOOKUP($B:$B,[140]단가!$B:$K,2,FALSE)</f>
        <v>#N/A</v>
      </c>
      <c r="D428" s="706" t="e">
        <f>IF(VLOOKUP(B:B,[140]단가!B:K,3,FALSE)="","",VLOOKUP(B:B,[140]단가!B:K,3,FALSE))</f>
        <v>#N/A</v>
      </c>
      <c r="E428" s="707" t="e">
        <f>VLOOKUP($B:$B,[140]단가!$B:$K,4,FALSE)</f>
        <v>#N/A</v>
      </c>
      <c r="F428" s="706" t="e">
        <f>VLOOKUP($B:$B,[140]단가!$B:$L,11,FALSE)</f>
        <v>#N/A</v>
      </c>
      <c r="G428" s="706"/>
      <c r="H428" s="712"/>
      <c r="I428" s="713"/>
    </row>
    <row r="429" spans="1:9" s="709" customFormat="1" ht="27.4" customHeight="1">
      <c r="A429" s="704" t="e">
        <f t="shared" si="9"/>
        <v>#N/A</v>
      </c>
      <c r="B429" s="715" t="s">
        <v>5630</v>
      </c>
      <c r="C429" s="706" t="e">
        <f>VLOOKUP($B:$B,[140]단가!$B:$K,2,FALSE)</f>
        <v>#N/A</v>
      </c>
      <c r="D429" s="706" t="e">
        <f>IF(VLOOKUP(B:B,[140]단가!B:K,3,FALSE)="","",VLOOKUP(B:B,[140]단가!B:K,3,FALSE))</f>
        <v>#N/A</v>
      </c>
      <c r="E429" s="707" t="e">
        <f>VLOOKUP($B:$B,[140]단가!$B:$K,4,FALSE)</f>
        <v>#N/A</v>
      </c>
      <c r="F429" s="706" t="e">
        <f>VLOOKUP($B:$B,[140]단가!$B:$L,11,FALSE)</f>
        <v>#N/A</v>
      </c>
      <c r="G429" s="706"/>
      <c r="H429" s="712"/>
      <c r="I429" s="713"/>
    </row>
    <row r="430" spans="1:9" s="709" customFormat="1" ht="27.4" customHeight="1">
      <c r="A430" s="704" t="e">
        <f t="shared" si="9"/>
        <v>#N/A</v>
      </c>
      <c r="B430" s="715" t="s">
        <v>5631</v>
      </c>
      <c r="C430" s="706" t="e">
        <f>VLOOKUP($B:$B,[140]단가!$B:$K,2,FALSE)</f>
        <v>#N/A</v>
      </c>
      <c r="D430" s="706" t="e">
        <f>IF(VLOOKUP(B:B,[140]단가!B:K,3,FALSE)="","",VLOOKUP(B:B,[140]단가!B:K,3,FALSE))</f>
        <v>#N/A</v>
      </c>
      <c r="E430" s="707" t="e">
        <f>VLOOKUP($B:$B,[140]단가!$B:$K,4,FALSE)</f>
        <v>#N/A</v>
      </c>
      <c r="F430" s="706" t="e">
        <f>VLOOKUP($B:$B,[140]단가!$B:$L,11,FALSE)</f>
        <v>#N/A</v>
      </c>
      <c r="G430" s="706"/>
      <c r="H430" s="712"/>
      <c r="I430" s="713"/>
    </row>
    <row r="431" spans="1:9" s="709" customFormat="1" ht="27.4" customHeight="1">
      <c r="A431" s="704" t="e">
        <f t="shared" si="9"/>
        <v>#N/A</v>
      </c>
      <c r="B431" s="715" t="s">
        <v>5632</v>
      </c>
      <c r="C431" s="706" t="e">
        <f>VLOOKUP($B:$B,[140]단가!$B:$K,2,FALSE)</f>
        <v>#N/A</v>
      </c>
      <c r="D431" s="706" t="e">
        <f>IF(VLOOKUP(B:B,[140]단가!B:K,3,FALSE)="","",VLOOKUP(B:B,[140]단가!B:K,3,FALSE))</f>
        <v>#N/A</v>
      </c>
      <c r="E431" s="707" t="e">
        <f>VLOOKUP($B:$B,[140]단가!$B:$K,4,FALSE)</f>
        <v>#N/A</v>
      </c>
      <c r="F431" s="706" t="e">
        <f>VLOOKUP($B:$B,[140]단가!$B:$L,11,FALSE)</f>
        <v>#N/A</v>
      </c>
      <c r="G431" s="706"/>
      <c r="H431" s="712"/>
      <c r="I431" s="713"/>
    </row>
    <row r="432" spans="1:9" s="709" customFormat="1" ht="27.4" customHeight="1">
      <c r="A432" s="704" t="e">
        <f t="shared" si="9"/>
        <v>#N/A</v>
      </c>
      <c r="B432" s="715" t="s">
        <v>5633</v>
      </c>
      <c r="C432" s="706" t="e">
        <f>VLOOKUP($B:$B,[140]단가!$B:$K,2,FALSE)</f>
        <v>#N/A</v>
      </c>
      <c r="D432" s="706" t="e">
        <f>IF(VLOOKUP(B:B,[140]단가!B:K,3,FALSE)="","",VLOOKUP(B:B,[140]단가!B:K,3,FALSE))</f>
        <v>#N/A</v>
      </c>
      <c r="E432" s="707" t="e">
        <f>VLOOKUP($B:$B,[140]단가!$B:$K,4,FALSE)</f>
        <v>#N/A</v>
      </c>
      <c r="F432" s="706" t="e">
        <f>VLOOKUP($B:$B,[140]단가!$B:$L,11,FALSE)</f>
        <v>#N/A</v>
      </c>
      <c r="G432" s="706"/>
      <c r="H432" s="712"/>
      <c r="I432" s="713"/>
    </row>
    <row r="433" spans="1:9" s="709" customFormat="1" ht="27.4" customHeight="1">
      <c r="A433" s="704" t="e">
        <f t="shared" si="9"/>
        <v>#N/A</v>
      </c>
      <c r="B433" s="715" t="s">
        <v>5634</v>
      </c>
      <c r="C433" s="706" t="e">
        <f>VLOOKUP($B:$B,[140]단가!$B:$K,2,FALSE)</f>
        <v>#N/A</v>
      </c>
      <c r="D433" s="706" t="e">
        <f>IF(VLOOKUP(B:B,[140]단가!B:K,3,FALSE)="","",VLOOKUP(B:B,[140]단가!B:K,3,FALSE))</f>
        <v>#N/A</v>
      </c>
      <c r="E433" s="707" t="e">
        <f>VLOOKUP($B:$B,[140]단가!$B:$K,4,FALSE)</f>
        <v>#N/A</v>
      </c>
      <c r="F433" s="706" t="e">
        <f>VLOOKUP($B:$B,[140]단가!$B:$L,11,FALSE)</f>
        <v>#N/A</v>
      </c>
      <c r="G433" s="706"/>
      <c r="H433" s="712"/>
      <c r="I433" s="713"/>
    </row>
    <row r="434" spans="1:9" s="709" customFormat="1" ht="27.4" customHeight="1">
      <c r="A434" s="704" t="e">
        <f t="shared" si="9"/>
        <v>#N/A</v>
      </c>
      <c r="B434" s="715" t="s">
        <v>5635</v>
      </c>
      <c r="C434" s="706" t="e">
        <f>VLOOKUP($B:$B,[140]단가!$B:$K,2,FALSE)</f>
        <v>#N/A</v>
      </c>
      <c r="D434" s="706" t="e">
        <f>IF(VLOOKUP(B:B,[140]단가!B:K,3,FALSE)="","",VLOOKUP(B:B,[140]단가!B:K,3,FALSE))</f>
        <v>#N/A</v>
      </c>
      <c r="E434" s="707" t="e">
        <f>VLOOKUP($B:$B,[140]단가!$B:$K,4,FALSE)</f>
        <v>#N/A</v>
      </c>
      <c r="F434" s="706" t="e">
        <f>VLOOKUP($B:$B,[140]단가!$B:$L,11,FALSE)</f>
        <v>#N/A</v>
      </c>
      <c r="G434" s="706"/>
      <c r="H434" s="712"/>
      <c r="I434" s="713"/>
    </row>
    <row r="435" spans="1:9" s="709" customFormat="1" ht="27.4" customHeight="1">
      <c r="A435" s="704" t="e">
        <f t="shared" si="9"/>
        <v>#N/A</v>
      </c>
      <c r="B435" s="715" t="s">
        <v>5636</v>
      </c>
      <c r="C435" s="706" t="e">
        <f>VLOOKUP($B:$B,[140]단가!$B:$K,2,FALSE)</f>
        <v>#N/A</v>
      </c>
      <c r="D435" s="706" t="e">
        <f>IF(VLOOKUP(B:B,[140]단가!B:K,3,FALSE)="","",VLOOKUP(B:B,[140]단가!B:K,3,FALSE))</f>
        <v>#N/A</v>
      </c>
      <c r="E435" s="707" t="e">
        <f>VLOOKUP($B:$B,[140]단가!$B:$K,4,FALSE)</f>
        <v>#N/A</v>
      </c>
      <c r="F435" s="706" t="e">
        <f>VLOOKUP($B:$B,[140]단가!$B:$L,11,FALSE)</f>
        <v>#N/A</v>
      </c>
      <c r="G435" s="706"/>
      <c r="H435" s="712"/>
      <c r="I435" s="713"/>
    </row>
    <row r="436" spans="1:9" s="709" customFormat="1" ht="27.4" customHeight="1">
      <c r="A436" s="704" t="e">
        <f t="shared" si="9"/>
        <v>#N/A</v>
      </c>
      <c r="B436" s="715" t="s">
        <v>5637</v>
      </c>
      <c r="C436" s="706" t="e">
        <f>VLOOKUP($B:$B,[140]단가!$B:$K,2,FALSE)</f>
        <v>#N/A</v>
      </c>
      <c r="D436" s="706" t="e">
        <f>IF(VLOOKUP(B:B,[140]단가!B:K,3,FALSE)="","",VLOOKUP(B:B,[140]단가!B:K,3,FALSE))</f>
        <v>#N/A</v>
      </c>
      <c r="E436" s="707" t="e">
        <f>VLOOKUP($B:$B,[140]단가!$B:$K,4,FALSE)</f>
        <v>#N/A</v>
      </c>
      <c r="F436" s="706" t="e">
        <f>VLOOKUP($B:$B,[140]단가!$B:$L,11,FALSE)</f>
        <v>#N/A</v>
      </c>
      <c r="G436" s="706"/>
      <c r="H436" s="712"/>
      <c r="I436" s="713"/>
    </row>
    <row r="437" spans="1:9" s="709" customFormat="1" ht="27.4" customHeight="1">
      <c r="A437" s="704" t="e">
        <f t="shared" si="9"/>
        <v>#N/A</v>
      </c>
      <c r="B437" s="715" t="s">
        <v>5638</v>
      </c>
      <c r="C437" s="706" t="e">
        <f>VLOOKUP($B:$B,[140]단가!$B:$K,2,FALSE)</f>
        <v>#N/A</v>
      </c>
      <c r="D437" s="706" t="e">
        <f>IF(VLOOKUP(B:B,[140]단가!B:K,3,FALSE)="","",VLOOKUP(B:B,[140]단가!B:K,3,FALSE))</f>
        <v>#N/A</v>
      </c>
      <c r="E437" s="707" t="e">
        <f>VLOOKUP($B:$B,[140]단가!$B:$K,4,FALSE)</f>
        <v>#N/A</v>
      </c>
      <c r="F437" s="706" t="e">
        <f>VLOOKUP($B:$B,[140]단가!$B:$L,11,FALSE)</f>
        <v>#N/A</v>
      </c>
      <c r="G437" s="706"/>
      <c r="H437" s="712"/>
      <c r="I437" s="713"/>
    </row>
    <row r="438" spans="1:9" s="709" customFormat="1" ht="27.4" customHeight="1">
      <c r="A438" s="704" t="e">
        <f t="shared" si="9"/>
        <v>#N/A</v>
      </c>
      <c r="B438" s="715" t="s">
        <v>5639</v>
      </c>
      <c r="C438" s="706" t="e">
        <f>VLOOKUP($B:$B,[140]단가!$B:$K,2,FALSE)</f>
        <v>#N/A</v>
      </c>
      <c r="D438" s="706" t="e">
        <f>IF(VLOOKUP(B:B,[140]단가!B:K,3,FALSE)="","",VLOOKUP(B:B,[140]단가!B:K,3,FALSE))</f>
        <v>#N/A</v>
      </c>
      <c r="E438" s="707" t="e">
        <f>VLOOKUP($B:$B,[140]단가!$B:$K,4,FALSE)</f>
        <v>#N/A</v>
      </c>
      <c r="F438" s="706" t="e">
        <f>VLOOKUP($B:$B,[140]단가!$B:$L,11,FALSE)</f>
        <v>#N/A</v>
      </c>
      <c r="G438" s="706"/>
      <c r="H438" s="712"/>
      <c r="I438" s="713"/>
    </row>
    <row r="439" spans="1:9" s="709" customFormat="1" ht="27.4" customHeight="1">
      <c r="A439" s="704" t="e">
        <f t="shared" si="9"/>
        <v>#N/A</v>
      </c>
      <c r="B439" s="715" t="s">
        <v>5640</v>
      </c>
      <c r="C439" s="706" t="e">
        <f>VLOOKUP($B:$B,[140]단가!$B:$K,2,FALSE)</f>
        <v>#N/A</v>
      </c>
      <c r="D439" s="706" t="e">
        <f>IF(VLOOKUP(B:B,[140]단가!B:K,3,FALSE)="","",VLOOKUP(B:B,[140]단가!B:K,3,FALSE))</f>
        <v>#N/A</v>
      </c>
      <c r="E439" s="707" t="e">
        <f>VLOOKUP($B:$B,[140]단가!$B:$K,4,FALSE)</f>
        <v>#N/A</v>
      </c>
      <c r="F439" s="706" t="e">
        <f>VLOOKUP($B:$B,[140]단가!$B:$L,11,FALSE)</f>
        <v>#N/A</v>
      </c>
      <c r="G439" s="706"/>
      <c r="H439" s="712"/>
      <c r="I439" s="713"/>
    </row>
    <row r="440" spans="1:9" s="709" customFormat="1" ht="27.4" customHeight="1">
      <c r="A440" s="704" t="e">
        <f t="shared" si="9"/>
        <v>#N/A</v>
      </c>
      <c r="B440" s="715" t="s">
        <v>5641</v>
      </c>
      <c r="C440" s="706" t="e">
        <f>VLOOKUP($B:$B,[140]단가!$B:$K,2,FALSE)</f>
        <v>#N/A</v>
      </c>
      <c r="D440" s="706" t="e">
        <f>IF(VLOOKUP(B:B,[140]단가!B:K,3,FALSE)="","",VLOOKUP(B:B,[140]단가!B:K,3,FALSE))</f>
        <v>#N/A</v>
      </c>
      <c r="E440" s="707" t="e">
        <f>VLOOKUP($B:$B,[140]단가!$B:$K,4,FALSE)</f>
        <v>#N/A</v>
      </c>
      <c r="F440" s="706" t="e">
        <f>VLOOKUP($B:$B,[140]단가!$B:$L,11,FALSE)</f>
        <v>#N/A</v>
      </c>
      <c r="G440" s="706"/>
      <c r="H440" s="712"/>
      <c r="I440" s="713"/>
    </row>
    <row r="441" spans="1:9" s="709" customFormat="1" ht="27.4" customHeight="1">
      <c r="A441" s="704" t="e">
        <f t="shared" si="9"/>
        <v>#N/A</v>
      </c>
      <c r="B441" s="715" t="s">
        <v>5642</v>
      </c>
      <c r="C441" s="706" t="e">
        <f>VLOOKUP($B:$B,[140]단가!$B:$K,2,FALSE)</f>
        <v>#N/A</v>
      </c>
      <c r="D441" s="706" t="e">
        <f>IF(VLOOKUP(B:B,[140]단가!B:K,3,FALSE)="","",VLOOKUP(B:B,[140]단가!B:K,3,FALSE))</f>
        <v>#N/A</v>
      </c>
      <c r="E441" s="707" t="e">
        <f>VLOOKUP($B:$B,[140]단가!$B:$K,4,FALSE)</f>
        <v>#N/A</v>
      </c>
      <c r="F441" s="706" t="e">
        <f>VLOOKUP($B:$B,[140]단가!$B:$L,11,FALSE)</f>
        <v>#N/A</v>
      </c>
      <c r="G441" s="706"/>
      <c r="H441" s="712"/>
      <c r="I441" s="713"/>
    </row>
    <row r="442" spans="1:9" s="709" customFormat="1" ht="27.4" customHeight="1">
      <c r="A442" s="704" t="e">
        <f t="shared" si="9"/>
        <v>#N/A</v>
      </c>
      <c r="B442" s="715" t="s">
        <v>5643</v>
      </c>
      <c r="C442" s="706" t="e">
        <f>VLOOKUP($B:$B,[140]단가!$B:$K,2,FALSE)</f>
        <v>#N/A</v>
      </c>
      <c r="D442" s="706" t="e">
        <f>IF(VLOOKUP(B:B,[140]단가!B:K,3,FALSE)="","",VLOOKUP(B:B,[140]단가!B:K,3,FALSE))</f>
        <v>#N/A</v>
      </c>
      <c r="E442" s="707" t="e">
        <f>VLOOKUP($B:$B,[140]단가!$B:$K,4,FALSE)</f>
        <v>#N/A</v>
      </c>
      <c r="F442" s="706" t="e">
        <f>VLOOKUP($B:$B,[140]단가!$B:$L,11,FALSE)</f>
        <v>#N/A</v>
      </c>
      <c r="G442" s="706"/>
      <c r="H442" s="712"/>
      <c r="I442" s="713"/>
    </row>
    <row r="443" spans="1:9" s="709" customFormat="1" ht="27.4" customHeight="1">
      <c r="A443" s="704" t="e">
        <f t="shared" si="9"/>
        <v>#N/A</v>
      </c>
      <c r="B443" s="715" t="s">
        <v>5644</v>
      </c>
      <c r="C443" s="706" t="e">
        <f>VLOOKUP($B:$B,[140]단가!$B:$K,2,FALSE)</f>
        <v>#N/A</v>
      </c>
      <c r="D443" s="706" t="e">
        <f>IF(VLOOKUP(B:B,[140]단가!B:K,3,FALSE)="","",VLOOKUP(B:B,[140]단가!B:K,3,FALSE))</f>
        <v>#N/A</v>
      </c>
      <c r="E443" s="707" t="e">
        <f>VLOOKUP($B:$B,[140]단가!$B:$K,4,FALSE)</f>
        <v>#N/A</v>
      </c>
      <c r="F443" s="706" t="e">
        <f>VLOOKUP($B:$B,[140]단가!$B:$L,11,FALSE)</f>
        <v>#N/A</v>
      </c>
      <c r="G443" s="706"/>
      <c r="H443" s="712"/>
      <c r="I443" s="713"/>
    </row>
    <row r="444" spans="1:9" s="709" customFormat="1" ht="27.4" customHeight="1">
      <c r="A444" s="704" t="e">
        <f t="shared" si="9"/>
        <v>#N/A</v>
      </c>
      <c r="B444" s="715" t="s">
        <v>5645</v>
      </c>
      <c r="C444" s="706" t="e">
        <f>VLOOKUP($B:$B,[140]단가!$B:$K,2,FALSE)</f>
        <v>#N/A</v>
      </c>
      <c r="D444" s="706" t="e">
        <f>IF(VLOOKUP(B:B,[140]단가!B:K,3,FALSE)="","",VLOOKUP(B:B,[140]단가!B:K,3,FALSE))</f>
        <v>#N/A</v>
      </c>
      <c r="E444" s="707" t="e">
        <f>VLOOKUP($B:$B,[140]단가!$B:$K,4,FALSE)</f>
        <v>#N/A</v>
      </c>
      <c r="F444" s="706" t="e">
        <f>VLOOKUP($B:$B,[140]단가!$B:$L,11,FALSE)</f>
        <v>#N/A</v>
      </c>
      <c r="G444" s="706"/>
      <c r="H444" s="712"/>
      <c r="I444" s="713"/>
    </row>
    <row r="445" spans="1:9" s="709" customFormat="1" ht="27.4" customHeight="1">
      <c r="A445" s="704" t="e">
        <f t="shared" si="9"/>
        <v>#N/A</v>
      </c>
      <c r="B445" s="715" t="s">
        <v>5646</v>
      </c>
      <c r="C445" s="706" t="e">
        <f>VLOOKUP($B:$B,[140]단가!$B:$K,2,FALSE)</f>
        <v>#N/A</v>
      </c>
      <c r="D445" s="706" t="e">
        <f>IF(VLOOKUP(B:B,[140]단가!B:K,3,FALSE)="","",VLOOKUP(B:B,[140]단가!B:K,3,FALSE))</f>
        <v>#N/A</v>
      </c>
      <c r="E445" s="707" t="e">
        <f>VLOOKUP($B:$B,[140]단가!$B:$K,4,FALSE)</f>
        <v>#N/A</v>
      </c>
      <c r="F445" s="706" t="e">
        <f>VLOOKUP($B:$B,[140]단가!$B:$L,11,FALSE)</f>
        <v>#N/A</v>
      </c>
      <c r="G445" s="706"/>
      <c r="H445" s="712"/>
      <c r="I445" s="713"/>
    </row>
    <row r="446" spans="1:9" s="709" customFormat="1" ht="27.4" customHeight="1">
      <c r="A446" s="704" t="e">
        <f t="shared" si="9"/>
        <v>#N/A</v>
      </c>
      <c r="B446" s="715" t="s">
        <v>5647</v>
      </c>
      <c r="C446" s="706" t="e">
        <f>VLOOKUP($B:$B,[140]단가!$B:$K,2,FALSE)</f>
        <v>#N/A</v>
      </c>
      <c r="D446" s="706" t="e">
        <f>IF(VLOOKUP(B:B,[140]단가!B:K,3,FALSE)="","",VLOOKUP(B:B,[140]단가!B:K,3,FALSE))</f>
        <v>#N/A</v>
      </c>
      <c r="E446" s="707" t="e">
        <f>VLOOKUP($B:$B,[140]단가!$B:$K,4,FALSE)</f>
        <v>#N/A</v>
      </c>
      <c r="F446" s="706" t="e">
        <f>VLOOKUP($B:$B,[140]단가!$B:$L,11,FALSE)</f>
        <v>#N/A</v>
      </c>
      <c r="G446" s="706"/>
      <c r="H446" s="712"/>
      <c r="I446" s="713"/>
    </row>
    <row r="447" spans="1:9" s="709" customFormat="1" ht="27.4" customHeight="1">
      <c r="A447" s="704" t="e">
        <f t="shared" si="9"/>
        <v>#N/A</v>
      </c>
      <c r="B447" s="715" t="s">
        <v>5648</v>
      </c>
      <c r="C447" s="706" t="e">
        <f>VLOOKUP($B:$B,[140]단가!$B:$K,2,FALSE)</f>
        <v>#N/A</v>
      </c>
      <c r="D447" s="706" t="e">
        <f>IF(VLOOKUP(B:B,[140]단가!B:K,3,FALSE)="","",VLOOKUP(B:B,[140]단가!B:K,3,FALSE))</f>
        <v>#N/A</v>
      </c>
      <c r="E447" s="707" t="e">
        <f>VLOOKUP($B:$B,[140]단가!$B:$K,4,FALSE)</f>
        <v>#N/A</v>
      </c>
      <c r="F447" s="706" t="e">
        <f>VLOOKUP($B:$B,[140]단가!$B:$L,11,FALSE)</f>
        <v>#N/A</v>
      </c>
      <c r="G447" s="706"/>
      <c r="H447" s="712"/>
      <c r="I447" s="713"/>
    </row>
    <row r="448" spans="1:9" s="709" customFormat="1" ht="27.4" customHeight="1">
      <c r="A448" s="704" t="e">
        <f t="shared" si="9"/>
        <v>#N/A</v>
      </c>
      <c r="B448" s="715" t="s">
        <v>5649</v>
      </c>
      <c r="C448" s="706" t="e">
        <f>VLOOKUP($B:$B,[140]단가!$B:$K,2,FALSE)</f>
        <v>#N/A</v>
      </c>
      <c r="D448" s="706" t="e">
        <f>IF(VLOOKUP(B:B,[140]단가!B:K,3,FALSE)="","",VLOOKUP(B:B,[140]단가!B:K,3,FALSE))</f>
        <v>#N/A</v>
      </c>
      <c r="E448" s="707" t="e">
        <f>VLOOKUP($B:$B,[140]단가!$B:$K,4,FALSE)</f>
        <v>#N/A</v>
      </c>
      <c r="F448" s="706" t="e">
        <f>VLOOKUP($B:$B,[140]단가!$B:$L,11,FALSE)</f>
        <v>#N/A</v>
      </c>
      <c r="G448" s="706"/>
      <c r="H448" s="712"/>
      <c r="I448" s="713"/>
    </row>
    <row r="449" spans="1:9" s="709" customFormat="1" ht="27.4" customHeight="1">
      <c r="A449" s="704" t="e">
        <f t="shared" si="9"/>
        <v>#N/A</v>
      </c>
      <c r="B449" s="715" t="s">
        <v>5650</v>
      </c>
      <c r="C449" s="706" t="e">
        <f>VLOOKUP($B:$B,[140]단가!$B:$K,2,FALSE)</f>
        <v>#N/A</v>
      </c>
      <c r="D449" s="706" t="e">
        <f>IF(VLOOKUP(B:B,[140]단가!B:K,3,FALSE)="","",VLOOKUP(B:B,[140]단가!B:K,3,FALSE))</f>
        <v>#N/A</v>
      </c>
      <c r="E449" s="707" t="e">
        <f>VLOOKUP($B:$B,[140]단가!$B:$K,4,FALSE)</f>
        <v>#N/A</v>
      </c>
      <c r="F449" s="706" t="e">
        <f>VLOOKUP($B:$B,[140]단가!$B:$L,11,FALSE)</f>
        <v>#N/A</v>
      </c>
      <c r="G449" s="706"/>
      <c r="H449" s="712"/>
      <c r="I449" s="713"/>
    </row>
    <row r="450" spans="1:9" s="709" customFormat="1" ht="27.4" customHeight="1">
      <c r="A450" s="704" t="e">
        <f t="shared" si="9"/>
        <v>#N/A</v>
      </c>
      <c r="B450" s="715" t="s">
        <v>5651</v>
      </c>
      <c r="C450" s="706" t="e">
        <f>VLOOKUP($B:$B,[140]단가!$B:$K,2,FALSE)</f>
        <v>#N/A</v>
      </c>
      <c r="D450" s="706" t="e">
        <f>IF(VLOOKUP(B:B,[140]단가!B:K,3,FALSE)="","",VLOOKUP(B:B,[140]단가!B:K,3,FALSE))</f>
        <v>#N/A</v>
      </c>
      <c r="E450" s="707" t="e">
        <f>VLOOKUP($B:$B,[140]단가!$B:$K,4,FALSE)</f>
        <v>#N/A</v>
      </c>
      <c r="F450" s="706" t="e">
        <f>VLOOKUP($B:$B,[140]단가!$B:$L,11,FALSE)</f>
        <v>#N/A</v>
      </c>
      <c r="G450" s="706"/>
      <c r="H450" s="712"/>
      <c r="I450" s="713"/>
    </row>
    <row r="451" spans="1:9" s="709" customFormat="1" ht="27.4" customHeight="1">
      <c r="A451" s="704" t="e">
        <f t="shared" si="9"/>
        <v>#N/A</v>
      </c>
      <c r="B451" s="715" t="s">
        <v>5652</v>
      </c>
      <c r="C451" s="706" t="e">
        <f>VLOOKUP($B:$B,[140]단가!$B:$K,2,FALSE)</f>
        <v>#N/A</v>
      </c>
      <c r="D451" s="706" t="e">
        <f>IF(VLOOKUP(B:B,[140]단가!B:K,3,FALSE)="","",VLOOKUP(B:B,[140]단가!B:K,3,FALSE))</f>
        <v>#N/A</v>
      </c>
      <c r="E451" s="707" t="e">
        <f>VLOOKUP($B:$B,[140]단가!$B:$K,4,FALSE)</f>
        <v>#N/A</v>
      </c>
      <c r="F451" s="706" t="e">
        <f>VLOOKUP($B:$B,[140]단가!$B:$L,11,FALSE)</f>
        <v>#N/A</v>
      </c>
      <c r="G451" s="706"/>
      <c r="H451" s="712"/>
      <c r="I451" s="713"/>
    </row>
    <row r="452" spans="1:9" s="709" customFormat="1" ht="27.4" customHeight="1">
      <c r="A452" s="704" t="e">
        <f t="shared" si="9"/>
        <v>#N/A</v>
      </c>
      <c r="B452" s="715" t="s">
        <v>5653</v>
      </c>
      <c r="C452" s="706" t="e">
        <f>VLOOKUP($B:$B,[140]단가!$B:$K,2,FALSE)</f>
        <v>#N/A</v>
      </c>
      <c r="D452" s="706" t="e">
        <f>IF(VLOOKUP(B:B,[140]단가!B:K,3,FALSE)="","",VLOOKUP(B:B,[140]단가!B:K,3,FALSE))</f>
        <v>#N/A</v>
      </c>
      <c r="E452" s="707" t="e">
        <f>VLOOKUP($B:$B,[140]단가!$B:$K,4,FALSE)</f>
        <v>#N/A</v>
      </c>
      <c r="F452" s="706" t="e">
        <f>VLOOKUP($B:$B,[140]단가!$B:$L,11,FALSE)</f>
        <v>#N/A</v>
      </c>
      <c r="G452" s="706"/>
      <c r="H452" s="712"/>
      <c r="I452" s="713"/>
    </row>
    <row r="453" spans="1:9" s="709" customFormat="1" ht="27.4" customHeight="1">
      <c r="A453" s="704" t="e">
        <f t="shared" si="9"/>
        <v>#N/A</v>
      </c>
      <c r="B453" s="715" t="s">
        <v>5654</v>
      </c>
      <c r="C453" s="706" t="e">
        <f>VLOOKUP($B:$B,[140]단가!$B:$K,2,FALSE)</f>
        <v>#N/A</v>
      </c>
      <c r="D453" s="706" t="e">
        <f>IF(VLOOKUP(B:B,[140]단가!B:K,3,FALSE)="","",VLOOKUP(B:B,[140]단가!B:K,3,FALSE))</f>
        <v>#N/A</v>
      </c>
      <c r="E453" s="707" t="e">
        <f>VLOOKUP($B:$B,[140]단가!$B:$K,4,FALSE)</f>
        <v>#N/A</v>
      </c>
      <c r="F453" s="706" t="e">
        <f>VLOOKUP($B:$B,[140]단가!$B:$L,11,FALSE)</f>
        <v>#N/A</v>
      </c>
      <c r="G453" s="706"/>
      <c r="H453" s="712"/>
      <c r="I453" s="713"/>
    </row>
    <row r="454" spans="1:9" s="709" customFormat="1" ht="27.4" customHeight="1">
      <c r="A454" s="704" t="e">
        <f t="shared" si="9"/>
        <v>#N/A</v>
      </c>
      <c r="B454" s="715" t="s">
        <v>5655</v>
      </c>
      <c r="C454" s="706" t="e">
        <f>VLOOKUP($B:$B,[140]단가!$B:$K,2,FALSE)</f>
        <v>#N/A</v>
      </c>
      <c r="D454" s="706" t="e">
        <f>IF(VLOOKUP(B:B,[140]단가!B:K,3,FALSE)="","",VLOOKUP(B:B,[140]단가!B:K,3,FALSE))</f>
        <v>#N/A</v>
      </c>
      <c r="E454" s="707" t="e">
        <f>VLOOKUP($B:$B,[140]단가!$B:$K,4,FALSE)</f>
        <v>#N/A</v>
      </c>
      <c r="F454" s="706" t="e">
        <f>VLOOKUP($B:$B,[140]단가!$B:$L,11,FALSE)</f>
        <v>#N/A</v>
      </c>
      <c r="G454" s="706"/>
      <c r="H454" s="712"/>
      <c r="I454" s="713"/>
    </row>
    <row r="455" spans="1:9" s="709" customFormat="1" ht="27.4" customHeight="1">
      <c r="A455" s="704" t="e">
        <f t="shared" si="9"/>
        <v>#N/A</v>
      </c>
      <c r="B455" s="715" t="s">
        <v>5656</v>
      </c>
      <c r="C455" s="706" t="e">
        <f>VLOOKUP($B:$B,[140]단가!$B:$K,2,FALSE)</f>
        <v>#N/A</v>
      </c>
      <c r="D455" s="706" t="e">
        <f>IF(VLOOKUP(B:B,[140]단가!B:K,3,FALSE)="","",VLOOKUP(B:B,[140]단가!B:K,3,FALSE))</f>
        <v>#N/A</v>
      </c>
      <c r="E455" s="707" t="e">
        <f>VLOOKUP($B:$B,[140]단가!$B:$K,4,FALSE)</f>
        <v>#N/A</v>
      </c>
      <c r="F455" s="706" t="e">
        <f>VLOOKUP($B:$B,[140]단가!$B:$L,11,FALSE)</f>
        <v>#N/A</v>
      </c>
      <c r="G455" s="706"/>
      <c r="H455" s="712"/>
      <c r="I455" s="713"/>
    </row>
    <row r="456" spans="1:9" s="709" customFormat="1" ht="27.4" customHeight="1">
      <c r="A456" s="704" t="e">
        <f t="shared" si="9"/>
        <v>#N/A</v>
      </c>
      <c r="B456" s="715" t="s">
        <v>5657</v>
      </c>
      <c r="C456" s="706" t="e">
        <f>VLOOKUP($B:$B,[140]단가!$B:$K,2,FALSE)</f>
        <v>#N/A</v>
      </c>
      <c r="D456" s="706" t="e">
        <f>IF(VLOOKUP(B:B,[140]단가!B:K,3,FALSE)="","",VLOOKUP(B:B,[140]단가!B:K,3,FALSE))</f>
        <v>#N/A</v>
      </c>
      <c r="E456" s="707" t="e">
        <f>VLOOKUP($B:$B,[140]단가!$B:$K,4,FALSE)</f>
        <v>#N/A</v>
      </c>
      <c r="F456" s="706" t="e">
        <f>VLOOKUP($B:$B,[140]단가!$B:$L,11,FALSE)</f>
        <v>#N/A</v>
      </c>
      <c r="G456" s="706"/>
      <c r="H456" s="712"/>
      <c r="I456" s="713"/>
    </row>
    <row r="457" spans="1:9" s="709" customFormat="1" ht="27.4" customHeight="1">
      <c r="A457" s="704" t="e">
        <f t="shared" si="9"/>
        <v>#N/A</v>
      </c>
      <c r="B457" s="715" t="s">
        <v>5658</v>
      </c>
      <c r="C457" s="706" t="e">
        <f>VLOOKUP($B:$B,[140]단가!$B:$K,2,FALSE)</f>
        <v>#N/A</v>
      </c>
      <c r="D457" s="706" t="e">
        <f>IF(VLOOKUP(B:B,[140]단가!B:K,3,FALSE)="","",VLOOKUP(B:B,[140]단가!B:K,3,FALSE))</f>
        <v>#N/A</v>
      </c>
      <c r="E457" s="707" t="e">
        <f>VLOOKUP($B:$B,[140]단가!$B:$K,4,FALSE)</f>
        <v>#N/A</v>
      </c>
      <c r="F457" s="706" t="e">
        <f>VLOOKUP($B:$B,[140]단가!$B:$L,11,FALSE)</f>
        <v>#N/A</v>
      </c>
      <c r="G457" s="706"/>
      <c r="H457" s="712"/>
      <c r="I457" s="713"/>
    </row>
    <row r="458" spans="1:9" s="709" customFormat="1" ht="27.4" customHeight="1">
      <c r="A458" s="704" t="e">
        <f t="shared" si="9"/>
        <v>#N/A</v>
      </c>
      <c r="B458" s="715" t="s">
        <v>5659</v>
      </c>
      <c r="C458" s="706" t="e">
        <f>VLOOKUP($B:$B,[140]단가!$B:$K,2,FALSE)</f>
        <v>#N/A</v>
      </c>
      <c r="D458" s="706" t="e">
        <f>IF(VLOOKUP(B:B,[140]단가!B:K,3,FALSE)="","",VLOOKUP(B:B,[140]단가!B:K,3,FALSE))</f>
        <v>#N/A</v>
      </c>
      <c r="E458" s="707" t="e">
        <f>VLOOKUP($B:$B,[140]단가!$B:$K,4,FALSE)</f>
        <v>#N/A</v>
      </c>
      <c r="F458" s="706" t="e">
        <f>VLOOKUP($B:$B,[140]단가!$B:$L,11,FALSE)</f>
        <v>#N/A</v>
      </c>
      <c r="G458" s="706"/>
      <c r="H458" s="712"/>
      <c r="I458" s="713"/>
    </row>
    <row r="459" spans="1:9" s="709" customFormat="1" ht="27.4" customHeight="1">
      <c r="A459" s="704" t="e">
        <f t="shared" si="9"/>
        <v>#N/A</v>
      </c>
      <c r="B459" s="715" t="s">
        <v>5660</v>
      </c>
      <c r="C459" s="706" t="e">
        <f>VLOOKUP($B:$B,[140]단가!$B:$K,2,FALSE)</f>
        <v>#N/A</v>
      </c>
      <c r="D459" s="706" t="e">
        <f>IF(VLOOKUP(B:B,[140]단가!B:K,3,FALSE)="","",VLOOKUP(B:B,[140]단가!B:K,3,FALSE))</f>
        <v>#N/A</v>
      </c>
      <c r="E459" s="707" t="e">
        <f>VLOOKUP($B:$B,[140]단가!$B:$K,4,FALSE)</f>
        <v>#N/A</v>
      </c>
      <c r="F459" s="706" t="e">
        <f>VLOOKUP($B:$B,[140]단가!$B:$L,11,FALSE)</f>
        <v>#N/A</v>
      </c>
      <c r="G459" s="706"/>
      <c r="H459" s="712"/>
      <c r="I459" s="713"/>
    </row>
    <row r="460" spans="1:9" s="709" customFormat="1" ht="27.4" customHeight="1">
      <c r="A460" s="704" t="e">
        <f t="shared" si="9"/>
        <v>#N/A</v>
      </c>
      <c r="B460" s="715" t="s">
        <v>5661</v>
      </c>
      <c r="C460" s="706" t="e">
        <f>VLOOKUP($B:$B,[140]단가!$B:$K,2,FALSE)</f>
        <v>#N/A</v>
      </c>
      <c r="D460" s="706" t="e">
        <f>IF(VLOOKUP(B:B,[140]단가!B:K,3,FALSE)="","",VLOOKUP(B:B,[140]단가!B:K,3,FALSE))</f>
        <v>#N/A</v>
      </c>
      <c r="E460" s="707" t="e">
        <f>VLOOKUP($B:$B,[140]단가!$B:$K,4,FALSE)</f>
        <v>#N/A</v>
      </c>
      <c r="F460" s="706" t="e">
        <f>VLOOKUP($B:$B,[140]단가!$B:$L,11,FALSE)</f>
        <v>#N/A</v>
      </c>
      <c r="G460" s="706"/>
      <c r="H460" s="712"/>
      <c r="I460" s="713"/>
    </row>
    <row r="461" spans="1:9" s="709" customFormat="1" ht="27.4" customHeight="1">
      <c r="A461" s="704" t="e">
        <f t="shared" si="9"/>
        <v>#N/A</v>
      </c>
      <c r="B461" s="715" t="s">
        <v>5662</v>
      </c>
      <c r="C461" s="706" t="e">
        <f>VLOOKUP($B:$B,[140]단가!$B:$K,2,FALSE)</f>
        <v>#N/A</v>
      </c>
      <c r="D461" s="706" t="e">
        <f>IF(VLOOKUP(B:B,[140]단가!B:K,3,FALSE)="","",VLOOKUP(B:B,[140]단가!B:K,3,FALSE))</f>
        <v>#N/A</v>
      </c>
      <c r="E461" s="707" t="e">
        <f>VLOOKUP($B:$B,[140]단가!$B:$K,4,FALSE)</f>
        <v>#N/A</v>
      </c>
      <c r="F461" s="706" t="e">
        <f>VLOOKUP($B:$B,[140]단가!$B:$L,11,FALSE)</f>
        <v>#N/A</v>
      </c>
      <c r="G461" s="706"/>
      <c r="H461" s="712"/>
      <c r="I461" s="713"/>
    </row>
    <row r="462" spans="1:9" s="709" customFormat="1" ht="27.4" customHeight="1">
      <c r="A462" s="704" t="e">
        <f t="shared" si="9"/>
        <v>#N/A</v>
      </c>
      <c r="B462" s="715" t="s">
        <v>5663</v>
      </c>
      <c r="C462" s="706" t="e">
        <f>VLOOKUP($B:$B,[140]단가!$B:$K,2,FALSE)</f>
        <v>#N/A</v>
      </c>
      <c r="D462" s="706" t="e">
        <f>IF(VLOOKUP(B:B,[140]단가!B:K,3,FALSE)="","",VLOOKUP(B:B,[140]단가!B:K,3,FALSE))</f>
        <v>#N/A</v>
      </c>
      <c r="E462" s="707" t="e">
        <f>VLOOKUP($B:$B,[140]단가!$B:$K,4,FALSE)</f>
        <v>#N/A</v>
      </c>
      <c r="F462" s="706" t="e">
        <f>VLOOKUP($B:$B,[140]단가!$B:$L,11,FALSE)</f>
        <v>#N/A</v>
      </c>
      <c r="G462" s="706"/>
      <c r="H462" s="712"/>
      <c r="I462" s="713"/>
    </row>
    <row r="463" spans="1:9" s="709" customFormat="1" ht="27.4" customHeight="1">
      <c r="A463" s="704" t="e">
        <f t="shared" si="9"/>
        <v>#N/A</v>
      </c>
      <c r="B463" s="715" t="s">
        <v>5664</v>
      </c>
      <c r="C463" s="706" t="e">
        <f>VLOOKUP($B:$B,[140]단가!$B:$K,2,FALSE)</f>
        <v>#N/A</v>
      </c>
      <c r="D463" s="706" t="e">
        <f>IF(VLOOKUP(B:B,[140]단가!B:K,3,FALSE)="","",VLOOKUP(B:B,[140]단가!B:K,3,FALSE))</f>
        <v>#N/A</v>
      </c>
      <c r="E463" s="707" t="e">
        <f>VLOOKUP($B:$B,[140]단가!$B:$K,4,FALSE)</f>
        <v>#N/A</v>
      </c>
      <c r="F463" s="706" t="e">
        <f>VLOOKUP($B:$B,[140]단가!$B:$L,11,FALSE)</f>
        <v>#N/A</v>
      </c>
      <c r="G463" s="706"/>
      <c r="H463" s="712"/>
      <c r="I463" s="713"/>
    </row>
    <row r="464" spans="1:9" s="709" customFormat="1" ht="27.4" customHeight="1">
      <c r="A464" s="704" t="e">
        <f t="shared" si="9"/>
        <v>#N/A</v>
      </c>
      <c r="B464" s="715" t="s">
        <v>5665</v>
      </c>
      <c r="C464" s="706" t="e">
        <f>VLOOKUP($B:$B,[140]단가!$B:$K,2,FALSE)</f>
        <v>#N/A</v>
      </c>
      <c r="D464" s="706" t="e">
        <f>IF(VLOOKUP(B:B,[140]단가!B:K,3,FALSE)="","",VLOOKUP(B:B,[140]단가!B:K,3,FALSE))</f>
        <v>#N/A</v>
      </c>
      <c r="E464" s="707" t="e">
        <f>VLOOKUP($B:$B,[140]단가!$B:$K,4,FALSE)</f>
        <v>#N/A</v>
      </c>
      <c r="F464" s="706" t="e">
        <f>VLOOKUP($B:$B,[140]단가!$B:$L,11,FALSE)</f>
        <v>#N/A</v>
      </c>
      <c r="G464" s="706"/>
      <c r="H464" s="712"/>
      <c r="I464" s="713"/>
    </row>
    <row r="465" spans="1:9" s="709" customFormat="1" ht="27.4" customHeight="1">
      <c r="A465" s="704" t="e">
        <f t="shared" si="9"/>
        <v>#N/A</v>
      </c>
      <c r="B465" s="715" t="s">
        <v>5666</v>
      </c>
      <c r="C465" s="706" t="e">
        <f>VLOOKUP($B:$B,[140]단가!$B:$K,2,FALSE)</f>
        <v>#N/A</v>
      </c>
      <c r="D465" s="706" t="e">
        <f>IF(VLOOKUP(B:B,[140]단가!B:K,3,FALSE)="","",VLOOKUP(B:B,[140]단가!B:K,3,FALSE))</f>
        <v>#N/A</v>
      </c>
      <c r="E465" s="707" t="e">
        <f>VLOOKUP($B:$B,[140]단가!$B:$K,4,FALSE)</f>
        <v>#N/A</v>
      </c>
      <c r="F465" s="706" t="e">
        <f>VLOOKUP($B:$B,[140]단가!$B:$L,11,FALSE)</f>
        <v>#N/A</v>
      </c>
      <c r="G465" s="706"/>
      <c r="H465" s="712"/>
      <c r="I465" s="713"/>
    </row>
    <row r="466" spans="1:9" s="709" customFormat="1" ht="27.4" customHeight="1">
      <c r="A466" s="704" t="e">
        <f t="shared" si="9"/>
        <v>#N/A</v>
      </c>
      <c r="B466" s="715" t="s">
        <v>5667</v>
      </c>
      <c r="C466" s="706" t="e">
        <f>VLOOKUP($B:$B,[140]단가!$B:$K,2,FALSE)</f>
        <v>#N/A</v>
      </c>
      <c r="D466" s="706" t="e">
        <f>IF(VLOOKUP(B:B,[140]단가!B:K,3,FALSE)="","",VLOOKUP(B:B,[140]단가!B:K,3,FALSE))</f>
        <v>#N/A</v>
      </c>
      <c r="E466" s="707" t="e">
        <f>VLOOKUP($B:$B,[140]단가!$B:$K,4,FALSE)</f>
        <v>#N/A</v>
      </c>
      <c r="F466" s="706" t="e">
        <f>VLOOKUP($B:$B,[140]단가!$B:$L,11,FALSE)</f>
        <v>#N/A</v>
      </c>
      <c r="G466" s="706"/>
      <c r="H466" s="712"/>
      <c r="I466" s="713"/>
    </row>
    <row r="467" spans="1:9" s="709" customFormat="1" ht="27.4" customHeight="1">
      <c r="A467" s="704" t="e">
        <f t="shared" si="9"/>
        <v>#N/A</v>
      </c>
      <c r="B467" s="715" t="s">
        <v>5668</v>
      </c>
      <c r="C467" s="706" t="e">
        <f>VLOOKUP($B:$B,[140]단가!$B:$K,2,FALSE)</f>
        <v>#N/A</v>
      </c>
      <c r="D467" s="706" t="e">
        <f>IF(VLOOKUP(B:B,[140]단가!B:K,3,FALSE)="","",VLOOKUP(B:B,[140]단가!B:K,3,FALSE))</f>
        <v>#N/A</v>
      </c>
      <c r="E467" s="707" t="e">
        <f>VLOOKUP($B:$B,[140]단가!$B:$K,4,FALSE)</f>
        <v>#N/A</v>
      </c>
      <c r="F467" s="706" t="e">
        <f>VLOOKUP($B:$B,[140]단가!$B:$L,11,FALSE)</f>
        <v>#N/A</v>
      </c>
      <c r="G467" s="706"/>
      <c r="H467" s="712"/>
      <c r="I467" s="713"/>
    </row>
    <row r="468" spans="1:9" s="709" customFormat="1" ht="27.4" customHeight="1">
      <c r="A468" s="704" t="e">
        <f t="shared" si="9"/>
        <v>#N/A</v>
      </c>
      <c r="B468" s="715" t="s">
        <v>5669</v>
      </c>
      <c r="C468" s="706" t="e">
        <f>VLOOKUP($B:$B,[140]단가!$B:$K,2,FALSE)</f>
        <v>#N/A</v>
      </c>
      <c r="D468" s="706" t="e">
        <f>IF(VLOOKUP(B:B,[140]단가!B:K,3,FALSE)="","",VLOOKUP(B:B,[140]단가!B:K,3,FALSE))</f>
        <v>#N/A</v>
      </c>
      <c r="E468" s="707" t="e">
        <f>VLOOKUP($B:$B,[140]단가!$B:$K,4,FALSE)</f>
        <v>#N/A</v>
      </c>
      <c r="F468" s="706" t="e">
        <f>VLOOKUP($B:$B,[140]단가!$B:$L,11,FALSE)</f>
        <v>#N/A</v>
      </c>
      <c r="G468" s="706"/>
      <c r="H468" s="712"/>
      <c r="I468" s="713"/>
    </row>
    <row r="469" spans="1:9" s="709" customFormat="1" ht="27.4" customHeight="1">
      <c r="A469" s="704" t="e">
        <f t="shared" si="9"/>
        <v>#N/A</v>
      </c>
      <c r="B469" s="715" t="s">
        <v>5670</v>
      </c>
      <c r="C469" s="706" t="e">
        <f>VLOOKUP($B:$B,[140]단가!$B:$K,2,FALSE)</f>
        <v>#N/A</v>
      </c>
      <c r="D469" s="706" t="e">
        <f>IF(VLOOKUP(B:B,[140]단가!B:K,3,FALSE)="","",VLOOKUP(B:B,[140]단가!B:K,3,FALSE))</f>
        <v>#N/A</v>
      </c>
      <c r="E469" s="707" t="e">
        <f>VLOOKUP($B:$B,[140]단가!$B:$K,4,FALSE)</f>
        <v>#N/A</v>
      </c>
      <c r="F469" s="706" t="e">
        <f>VLOOKUP($B:$B,[140]단가!$B:$L,11,FALSE)</f>
        <v>#N/A</v>
      </c>
      <c r="G469" s="706"/>
      <c r="H469" s="712"/>
      <c r="I469" s="713"/>
    </row>
    <row r="470" spans="1:9" s="709" customFormat="1" ht="27.4" customHeight="1">
      <c r="A470" s="704" t="e">
        <f t="shared" si="9"/>
        <v>#N/A</v>
      </c>
      <c r="B470" s="715" t="s">
        <v>5671</v>
      </c>
      <c r="C470" s="706" t="e">
        <f>VLOOKUP($B:$B,[140]단가!$B:$K,2,FALSE)</f>
        <v>#N/A</v>
      </c>
      <c r="D470" s="706" t="e">
        <f>IF(VLOOKUP(B:B,[140]단가!B:K,3,FALSE)="","",VLOOKUP(B:B,[140]단가!B:K,3,FALSE))</f>
        <v>#N/A</v>
      </c>
      <c r="E470" s="707" t="e">
        <f>VLOOKUP($B:$B,[140]단가!$B:$K,4,FALSE)</f>
        <v>#N/A</v>
      </c>
      <c r="F470" s="706" t="e">
        <f>VLOOKUP($B:$B,[140]단가!$B:$L,11,FALSE)</f>
        <v>#N/A</v>
      </c>
      <c r="G470" s="706"/>
      <c r="H470" s="712"/>
      <c r="I470" s="713"/>
    </row>
    <row r="471" spans="1:9" s="709" customFormat="1" ht="27.4" customHeight="1">
      <c r="A471" s="704" t="e">
        <f t="shared" si="9"/>
        <v>#N/A</v>
      </c>
      <c r="B471" s="715" t="s">
        <v>5672</v>
      </c>
      <c r="C471" s="706" t="e">
        <f>VLOOKUP($B:$B,[140]단가!$B:$K,2,FALSE)</f>
        <v>#N/A</v>
      </c>
      <c r="D471" s="706" t="e">
        <f>IF(VLOOKUP(B:B,[140]단가!B:K,3,FALSE)="","",VLOOKUP(B:B,[140]단가!B:K,3,FALSE))</f>
        <v>#N/A</v>
      </c>
      <c r="E471" s="707" t="e">
        <f>VLOOKUP($B:$B,[140]단가!$B:$K,4,FALSE)</f>
        <v>#N/A</v>
      </c>
      <c r="F471" s="706" t="e">
        <f>VLOOKUP($B:$B,[140]단가!$B:$L,11,FALSE)</f>
        <v>#N/A</v>
      </c>
      <c r="G471" s="706"/>
      <c r="H471" s="712"/>
      <c r="I471" s="713"/>
    </row>
    <row r="472" spans="1:9" s="709" customFormat="1" ht="27.4" customHeight="1">
      <c r="A472" s="704" t="e">
        <f t="shared" si="9"/>
        <v>#N/A</v>
      </c>
      <c r="B472" s="715" t="s">
        <v>5673</v>
      </c>
      <c r="C472" s="706" t="e">
        <f>VLOOKUP($B:$B,[140]단가!$B:$K,2,FALSE)</f>
        <v>#N/A</v>
      </c>
      <c r="D472" s="706" t="e">
        <f>IF(VLOOKUP(B:B,[140]단가!B:K,3,FALSE)="","",VLOOKUP(B:B,[140]단가!B:K,3,FALSE))</f>
        <v>#N/A</v>
      </c>
      <c r="E472" s="707" t="e">
        <f>VLOOKUP($B:$B,[140]단가!$B:$K,4,FALSE)</f>
        <v>#N/A</v>
      </c>
      <c r="F472" s="706" t="e">
        <f>VLOOKUP($B:$B,[140]단가!$B:$L,11,FALSE)</f>
        <v>#N/A</v>
      </c>
      <c r="G472" s="706"/>
      <c r="H472" s="712"/>
      <c r="I472" s="713"/>
    </row>
    <row r="473" spans="1:9" s="709" customFormat="1" ht="27.4" customHeight="1">
      <c r="A473" s="704" t="e">
        <f t="shared" si="9"/>
        <v>#N/A</v>
      </c>
      <c r="B473" s="715" t="s">
        <v>5674</v>
      </c>
      <c r="C473" s="706" t="e">
        <f>VLOOKUP($B:$B,[140]단가!$B:$K,2,FALSE)</f>
        <v>#N/A</v>
      </c>
      <c r="D473" s="706" t="e">
        <f>IF(VLOOKUP(B:B,[140]단가!B:K,3,FALSE)="","",VLOOKUP(B:B,[140]단가!B:K,3,FALSE))</f>
        <v>#N/A</v>
      </c>
      <c r="E473" s="707" t="e">
        <f>VLOOKUP($B:$B,[140]단가!$B:$K,4,FALSE)</f>
        <v>#N/A</v>
      </c>
      <c r="F473" s="706" t="e">
        <f>VLOOKUP($B:$B,[140]단가!$B:$L,11,FALSE)</f>
        <v>#N/A</v>
      </c>
      <c r="G473" s="706"/>
      <c r="H473" s="712"/>
      <c r="I473" s="713"/>
    </row>
    <row r="474" spans="1:9" s="709" customFormat="1" ht="27.4" customHeight="1">
      <c r="A474" s="704" t="e">
        <f t="shared" si="9"/>
        <v>#N/A</v>
      </c>
      <c r="B474" s="715" t="s">
        <v>5675</v>
      </c>
      <c r="C474" s="706" t="e">
        <f>VLOOKUP($B:$B,[140]단가!$B:$K,2,FALSE)</f>
        <v>#N/A</v>
      </c>
      <c r="D474" s="706" t="e">
        <f>IF(VLOOKUP(B:B,[140]단가!B:K,3,FALSE)="","",VLOOKUP(B:B,[140]단가!B:K,3,FALSE))</f>
        <v>#N/A</v>
      </c>
      <c r="E474" s="707" t="e">
        <f>VLOOKUP($B:$B,[140]단가!$B:$K,4,FALSE)</f>
        <v>#N/A</v>
      </c>
      <c r="F474" s="706" t="e">
        <f>VLOOKUP($B:$B,[140]단가!$B:$L,11,FALSE)</f>
        <v>#N/A</v>
      </c>
      <c r="G474" s="706"/>
      <c r="H474" s="712"/>
      <c r="I474" s="713"/>
    </row>
    <row r="475" spans="1:9" s="709" customFormat="1" ht="27.4" customHeight="1">
      <c r="A475" s="704" t="e">
        <f t="shared" si="9"/>
        <v>#N/A</v>
      </c>
      <c r="B475" s="715" t="s">
        <v>5676</v>
      </c>
      <c r="C475" s="706" t="e">
        <f>VLOOKUP($B:$B,[140]단가!$B:$K,2,FALSE)</f>
        <v>#N/A</v>
      </c>
      <c r="D475" s="706" t="e">
        <f>IF(VLOOKUP(B:B,[140]단가!B:K,3,FALSE)="","",VLOOKUP(B:B,[140]단가!B:K,3,FALSE))</f>
        <v>#N/A</v>
      </c>
      <c r="E475" s="707" t="e">
        <f>VLOOKUP($B:$B,[140]단가!$B:$K,4,FALSE)</f>
        <v>#N/A</v>
      </c>
      <c r="F475" s="706" t="e">
        <f>VLOOKUP($B:$B,[140]단가!$B:$L,11,FALSE)</f>
        <v>#N/A</v>
      </c>
      <c r="G475" s="706"/>
      <c r="H475" s="712"/>
      <c r="I475" s="713"/>
    </row>
    <row r="476" spans="1:9" s="709" customFormat="1" ht="27.4" customHeight="1">
      <c r="A476" s="704" t="e">
        <f t="shared" si="9"/>
        <v>#N/A</v>
      </c>
      <c r="B476" s="715" t="s">
        <v>5677</v>
      </c>
      <c r="C476" s="706" t="e">
        <f>VLOOKUP($B:$B,[140]단가!$B:$K,2,FALSE)</f>
        <v>#N/A</v>
      </c>
      <c r="D476" s="706" t="e">
        <f>IF(VLOOKUP(B:B,[140]단가!B:K,3,FALSE)="","",VLOOKUP(B:B,[140]단가!B:K,3,FALSE))</f>
        <v>#N/A</v>
      </c>
      <c r="E476" s="707" t="e">
        <f>VLOOKUP($B:$B,[140]단가!$B:$K,4,FALSE)</f>
        <v>#N/A</v>
      </c>
      <c r="F476" s="706" t="e">
        <f>VLOOKUP($B:$B,[140]단가!$B:$L,11,FALSE)</f>
        <v>#N/A</v>
      </c>
      <c r="G476" s="706"/>
      <c r="H476" s="712"/>
      <c r="I476" s="713"/>
    </row>
    <row r="477" spans="1:9" s="709" customFormat="1" ht="27.4" customHeight="1">
      <c r="A477" s="704" t="e">
        <f t="shared" si="9"/>
        <v>#N/A</v>
      </c>
      <c r="B477" s="715" t="s">
        <v>5678</v>
      </c>
      <c r="C477" s="706" t="e">
        <f>VLOOKUP($B:$B,[140]단가!$B:$K,2,FALSE)</f>
        <v>#N/A</v>
      </c>
      <c r="D477" s="706" t="e">
        <f>IF(VLOOKUP(B:B,[140]단가!B:K,3,FALSE)="","",VLOOKUP(B:B,[140]단가!B:K,3,FALSE))</f>
        <v>#N/A</v>
      </c>
      <c r="E477" s="707" t="e">
        <f>VLOOKUP($B:$B,[140]단가!$B:$K,4,FALSE)</f>
        <v>#N/A</v>
      </c>
      <c r="F477" s="706" t="e">
        <f>VLOOKUP($B:$B,[140]단가!$B:$L,11,FALSE)</f>
        <v>#N/A</v>
      </c>
      <c r="G477" s="706"/>
      <c r="H477" s="712"/>
      <c r="I477" s="713"/>
    </row>
    <row r="478" spans="1:9" s="709" customFormat="1" ht="27.4" customHeight="1">
      <c r="A478" s="704" t="e">
        <f t="shared" si="9"/>
        <v>#N/A</v>
      </c>
      <c r="B478" s="715" t="s">
        <v>5679</v>
      </c>
      <c r="C478" s="706" t="e">
        <f>VLOOKUP($B:$B,[140]단가!$B:$K,2,FALSE)</f>
        <v>#N/A</v>
      </c>
      <c r="D478" s="706" t="e">
        <f>IF(VLOOKUP(B:B,[140]단가!B:K,3,FALSE)="","",VLOOKUP(B:B,[140]단가!B:K,3,FALSE))</f>
        <v>#N/A</v>
      </c>
      <c r="E478" s="707" t="e">
        <f>VLOOKUP($B:$B,[140]단가!$B:$K,4,FALSE)</f>
        <v>#N/A</v>
      </c>
      <c r="F478" s="706" t="e">
        <f>VLOOKUP($B:$B,[140]단가!$B:$L,11,FALSE)</f>
        <v>#N/A</v>
      </c>
      <c r="G478" s="706"/>
      <c r="H478" s="712"/>
      <c r="I478" s="713"/>
    </row>
    <row r="479" spans="1:9" s="709" customFormat="1" ht="27.4" customHeight="1">
      <c r="A479" s="704" t="e">
        <f t="shared" si="9"/>
        <v>#N/A</v>
      </c>
      <c r="B479" s="715" t="s">
        <v>5680</v>
      </c>
      <c r="C479" s="706" t="e">
        <f>VLOOKUP($B:$B,[140]단가!$B:$K,2,FALSE)</f>
        <v>#N/A</v>
      </c>
      <c r="D479" s="706" t="e">
        <f>IF(VLOOKUP(B:B,[140]단가!B:K,3,FALSE)="","",VLOOKUP(B:B,[140]단가!B:K,3,FALSE))</f>
        <v>#N/A</v>
      </c>
      <c r="E479" s="707" t="e">
        <f>VLOOKUP($B:$B,[140]단가!$B:$K,4,FALSE)</f>
        <v>#N/A</v>
      </c>
      <c r="F479" s="706" t="e">
        <f>VLOOKUP($B:$B,[140]단가!$B:$L,11,FALSE)</f>
        <v>#N/A</v>
      </c>
      <c r="G479" s="706"/>
      <c r="H479" s="712"/>
      <c r="I479" s="713"/>
    </row>
    <row r="480" spans="1:9" s="709" customFormat="1" ht="27.4" customHeight="1">
      <c r="A480" s="704" t="e">
        <f t="shared" si="9"/>
        <v>#N/A</v>
      </c>
      <c r="B480" s="715" t="s">
        <v>5681</v>
      </c>
      <c r="C480" s="706" t="e">
        <f>VLOOKUP($B:$B,[140]단가!$B:$K,2,FALSE)</f>
        <v>#N/A</v>
      </c>
      <c r="D480" s="706" t="e">
        <f>IF(VLOOKUP(B:B,[140]단가!B:K,3,FALSE)="","",VLOOKUP(B:B,[140]단가!B:K,3,FALSE))</f>
        <v>#N/A</v>
      </c>
      <c r="E480" s="707" t="e">
        <f>VLOOKUP($B:$B,[140]단가!$B:$K,4,FALSE)</f>
        <v>#N/A</v>
      </c>
      <c r="F480" s="706" t="e">
        <f>VLOOKUP($B:$B,[140]단가!$B:$L,11,FALSE)</f>
        <v>#N/A</v>
      </c>
      <c r="G480" s="706"/>
      <c r="H480" s="712"/>
      <c r="I480" s="713"/>
    </row>
    <row r="481" spans="1:9" s="709" customFormat="1" ht="27.4" customHeight="1">
      <c r="A481" s="704" t="e">
        <f t="shared" si="9"/>
        <v>#N/A</v>
      </c>
      <c r="B481" s="715" t="s">
        <v>5682</v>
      </c>
      <c r="C481" s="706" t="e">
        <f>VLOOKUP($B:$B,[140]단가!$B:$K,2,FALSE)</f>
        <v>#N/A</v>
      </c>
      <c r="D481" s="706" t="e">
        <f>IF(VLOOKUP(B:B,[140]단가!B:K,3,FALSE)="","",VLOOKUP(B:B,[140]단가!B:K,3,FALSE))</f>
        <v>#N/A</v>
      </c>
      <c r="E481" s="707" t="e">
        <f>VLOOKUP($B:$B,[140]단가!$B:$K,4,FALSE)</f>
        <v>#N/A</v>
      </c>
      <c r="F481" s="706" t="e">
        <f>VLOOKUP($B:$B,[140]단가!$B:$L,11,FALSE)</f>
        <v>#N/A</v>
      </c>
      <c r="G481" s="706"/>
      <c r="H481" s="712"/>
      <c r="I481" s="713"/>
    </row>
    <row r="482" spans="1:9" s="709" customFormat="1" ht="27.4" customHeight="1">
      <c r="A482" s="704" t="e">
        <f t="shared" si="9"/>
        <v>#N/A</v>
      </c>
      <c r="B482" s="715" t="s">
        <v>5683</v>
      </c>
      <c r="C482" s="706" t="e">
        <f>VLOOKUP($B:$B,[140]단가!$B:$K,2,FALSE)</f>
        <v>#N/A</v>
      </c>
      <c r="D482" s="706" t="e">
        <f>IF(VLOOKUP(B:B,[140]단가!B:K,3,FALSE)="","",VLOOKUP(B:B,[140]단가!B:K,3,FALSE))</f>
        <v>#N/A</v>
      </c>
      <c r="E482" s="707" t="e">
        <f>VLOOKUP($B:$B,[140]단가!$B:$K,4,FALSE)</f>
        <v>#N/A</v>
      </c>
      <c r="F482" s="706" t="e">
        <f>VLOOKUP($B:$B,[140]단가!$B:$L,11,FALSE)</f>
        <v>#N/A</v>
      </c>
      <c r="G482" s="706"/>
      <c r="H482" s="712"/>
      <c r="I482" s="713"/>
    </row>
    <row r="483" spans="1:9" s="709" customFormat="1" ht="27.4" customHeight="1">
      <c r="A483" s="704" t="e">
        <f t="shared" si="9"/>
        <v>#N/A</v>
      </c>
      <c r="B483" s="715" t="s">
        <v>5684</v>
      </c>
      <c r="C483" s="706" t="e">
        <f>VLOOKUP($B:$B,[140]단가!$B:$K,2,FALSE)</f>
        <v>#N/A</v>
      </c>
      <c r="D483" s="706" t="e">
        <f>IF(VLOOKUP(B:B,[140]단가!B:K,3,FALSE)="","",VLOOKUP(B:B,[140]단가!B:K,3,FALSE))</f>
        <v>#N/A</v>
      </c>
      <c r="E483" s="707" t="e">
        <f>VLOOKUP($B:$B,[140]단가!$B:$K,4,FALSE)</f>
        <v>#N/A</v>
      </c>
      <c r="F483" s="706" t="e">
        <f>VLOOKUP($B:$B,[140]단가!$B:$L,11,FALSE)</f>
        <v>#N/A</v>
      </c>
      <c r="G483" s="706"/>
      <c r="H483" s="712"/>
      <c r="I483" s="713"/>
    </row>
    <row r="484" spans="1:9" s="709" customFormat="1" ht="27.4" customHeight="1">
      <c r="A484" s="704" t="e">
        <f t="shared" si="9"/>
        <v>#N/A</v>
      </c>
      <c r="B484" s="715" t="s">
        <v>5685</v>
      </c>
      <c r="C484" s="706" t="e">
        <f>VLOOKUP($B:$B,[140]단가!$B:$K,2,FALSE)</f>
        <v>#N/A</v>
      </c>
      <c r="D484" s="706" t="e">
        <f>IF(VLOOKUP(B:B,[140]단가!B:K,3,FALSE)="","",VLOOKUP(B:B,[140]단가!B:K,3,FALSE))</f>
        <v>#N/A</v>
      </c>
      <c r="E484" s="707" t="e">
        <f>VLOOKUP($B:$B,[140]단가!$B:$K,4,FALSE)</f>
        <v>#N/A</v>
      </c>
      <c r="F484" s="706" t="e">
        <f>VLOOKUP($B:$B,[140]단가!$B:$L,11,FALSE)</f>
        <v>#N/A</v>
      </c>
      <c r="G484" s="706"/>
      <c r="H484" s="712"/>
      <c r="I484" s="713"/>
    </row>
    <row r="485" spans="1:9" s="709" customFormat="1" ht="27.4" customHeight="1">
      <c r="A485" s="704" t="e">
        <f t="shared" si="9"/>
        <v>#N/A</v>
      </c>
      <c r="B485" s="715" t="s">
        <v>5686</v>
      </c>
      <c r="C485" s="706" t="e">
        <f>VLOOKUP($B:$B,[140]단가!$B:$K,2,FALSE)</f>
        <v>#N/A</v>
      </c>
      <c r="D485" s="706" t="e">
        <f>IF(VLOOKUP(B:B,[140]단가!B:K,3,FALSE)="","",VLOOKUP(B:B,[140]단가!B:K,3,FALSE))</f>
        <v>#N/A</v>
      </c>
      <c r="E485" s="707" t="e">
        <f>VLOOKUP($B:$B,[140]단가!$B:$K,4,FALSE)</f>
        <v>#N/A</v>
      </c>
      <c r="F485" s="706" t="e">
        <f>VLOOKUP($B:$B,[140]단가!$B:$L,11,FALSE)</f>
        <v>#N/A</v>
      </c>
      <c r="G485" s="706"/>
      <c r="H485" s="712"/>
      <c r="I485" s="713"/>
    </row>
    <row r="486" spans="1:9" s="709" customFormat="1" ht="27.4" customHeight="1">
      <c r="A486" s="704" t="e">
        <f t="shared" si="9"/>
        <v>#N/A</v>
      </c>
      <c r="B486" s="715" t="s">
        <v>5687</v>
      </c>
      <c r="C486" s="706" t="e">
        <f>VLOOKUP($B:$B,[140]단가!$B:$K,2,FALSE)</f>
        <v>#N/A</v>
      </c>
      <c r="D486" s="706" t="e">
        <f>IF(VLOOKUP(B:B,[140]단가!B:K,3,FALSE)="","",VLOOKUP(B:B,[140]단가!B:K,3,FALSE))</f>
        <v>#N/A</v>
      </c>
      <c r="E486" s="707" t="e">
        <f>VLOOKUP($B:$B,[140]단가!$B:$K,4,FALSE)</f>
        <v>#N/A</v>
      </c>
      <c r="F486" s="706" t="e">
        <f>VLOOKUP($B:$B,[140]단가!$B:$L,11,FALSE)</f>
        <v>#N/A</v>
      </c>
      <c r="G486" s="706"/>
      <c r="H486" s="712"/>
      <c r="I486" s="713"/>
    </row>
    <row r="487" spans="1:9" s="709" customFormat="1" ht="27.4" customHeight="1">
      <c r="A487" s="704" t="e">
        <f t="shared" ref="A487:A550" si="10">SUBSTITUTE(CONCATENATE(C:C,D:D,E:E)," ","")</f>
        <v>#N/A</v>
      </c>
      <c r="B487" s="715" t="s">
        <v>5688</v>
      </c>
      <c r="C487" s="706" t="e">
        <f>VLOOKUP($B:$B,[140]단가!$B:$K,2,FALSE)</f>
        <v>#N/A</v>
      </c>
      <c r="D487" s="706" t="e">
        <f>IF(VLOOKUP(B:B,[140]단가!B:K,3,FALSE)="","",VLOOKUP(B:B,[140]단가!B:K,3,FALSE))</f>
        <v>#N/A</v>
      </c>
      <c r="E487" s="707" t="e">
        <f>VLOOKUP($B:$B,[140]단가!$B:$K,4,FALSE)</f>
        <v>#N/A</v>
      </c>
      <c r="F487" s="706" t="e">
        <f>VLOOKUP($B:$B,[140]단가!$B:$L,11,FALSE)</f>
        <v>#N/A</v>
      </c>
      <c r="G487" s="706"/>
      <c r="H487" s="712"/>
      <c r="I487" s="713"/>
    </row>
    <row r="488" spans="1:9" s="709" customFormat="1" ht="27.4" customHeight="1">
      <c r="A488" s="704" t="e">
        <f t="shared" si="10"/>
        <v>#N/A</v>
      </c>
      <c r="B488" s="715" t="s">
        <v>5689</v>
      </c>
      <c r="C488" s="706" t="e">
        <f>VLOOKUP($B:$B,[140]단가!$B:$K,2,FALSE)</f>
        <v>#N/A</v>
      </c>
      <c r="D488" s="706" t="e">
        <f>IF(VLOOKUP(B:B,[140]단가!B:K,3,FALSE)="","",VLOOKUP(B:B,[140]단가!B:K,3,FALSE))</f>
        <v>#N/A</v>
      </c>
      <c r="E488" s="707" t="e">
        <f>VLOOKUP($B:$B,[140]단가!$B:$K,4,FALSE)</f>
        <v>#N/A</v>
      </c>
      <c r="F488" s="706" t="e">
        <f>VLOOKUP($B:$B,[140]단가!$B:$L,11,FALSE)</f>
        <v>#N/A</v>
      </c>
      <c r="G488" s="706"/>
      <c r="H488" s="712"/>
      <c r="I488" s="713"/>
    </row>
    <row r="489" spans="1:9" s="709" customFormat="1" ht="27.4" customHeight="1">
      <c r="A489" s="704" t="e">
        <f t="shared" si="10"/>
        <v>#N/A</v>
      </c>
      <c r="B489" s="715" t="s">
        <v>5690</v>
      </c>
      <c r="C489" s="706" t="e">
        <f>VLOOKUP($B:$B,[140]단가!$B:$K,2,FALSE)</f>
        <v>#N/A</v>
      </c>
      <c r="D489" s="706" t="e">
        <f>IF(VLOOKUP(B:B,[140]단가!B:K,3,FALSE)="","",VLOOKUP(B:B,[140]단가!B:K,3,FALSE))</f>
        <v>#N/A</v>
      </c>
      <c r="E489" s="707" t="e">
        <f>VLOOKUP($B:$B,[140]단가!$B:$K,4,FALSE)</f>
        <v>#N/A</v>
      </c>
      <c r="F489" s="706" t="e">
        <f>VLOOKUP($B:$B,[140]단가!$B:$L,11,FALSE)</f>
        <v>#N/A</v>
      </c>
      <c r="G489" s="706"/>
      <c r="H489" s="712"/>
      <c r="I489" s="713"/>
    </row>
    <row r="490" spans="1:9" s="709" customFormat="1" ht="27.4" customHeight="1">
      <c r="A490" s="704" t="e">
        <f t="shared" si="10"/>
        <v>#N/A</v>
      </c>
      <c r="B490" s="715" t="s">
        <v>5691</v>
      </c>
      <c r="C490" s="706" t="e">
        <f>VLOOKUP($B:$B,[140]단가!$B:$K,2,FALSE)</f>
        <v>#N/A</v>
      </c>
      <c r="D490" s="706" t="e">
        <f>IF(VLOOKUP(B:B,[140]단가!B:K,3,FALSE)="","",VLOOKUP(B:B,[140]단가!B:K,3,FALSE))</f>
        <v>#N/A</v>
      </c>
      <c r="E490" s="707" t="e">
        <f>VLOOKUP($B:$B,[140]단가!$B:$K,4,FALSE)</f>
        <v>#N/A</v>
      </c>
      <c r="F490" s="706" t="e">
        <f>VLOOKUP($B:$B,[140]단가!$B:$L,11,FALSE)</f>
        <v>#N/A</v>
      </c>
      <c r="G490" s="706"/>
      <c r="H490" s="712"/>
      <c r="I490" s="713"/>
    </row>
    <row r="491" spans="1:9" s="709" customFormat="1" ht="27.4" customHeight="1">
      <c r="A491" s="704" t="e">
        <f t="shared" si="10"/>
        <v>#N/A</v>
      </c>
      <c r="B491" s="715" t="s">
        <v>5692</v>
      </c>
      <c r="C491" s="706" t="e">
        <f>VLOOKUP($B:$B,[140]단가!$B:$K,2,FALSE)</f>
        <v>#N/A</v>
      </c>
      <c r="D491" s="706" t="e">
        <f>IF(VLOOKUP(B:B,[140]단가!B:K,3,FALSE)="","",VLOOKUP(B:B,[140]단가!B:K,3,FALSE))</f>
        <v>#N/A</v>
      </c>
      <c r="E491" s="707" t="e">
        <f>VLOOKUP($B:$B,[140]단가!$B:$K,4,FALSE)</f>
        <v>#N/A</v>
      </c>
      <c r="F491" s="706" t="e">
        <f>VLOOKUP($B:$B,[140]단가!$B:$L,11,FALSE)</f>
        <v>#N/A</v>
      </c>
      <c r="G491" s="706"/>
      <c r="H491" s="712"/>
      <c r="I491" s="713"/>
    </row>
    <row r="492" spans="1:9" s="709" customFormat="1" ht="27.4" customHeight="1">
      <c r="A492" s="704" t="e">
        <f t="shared" si="10"/>
        <v>#N/A</v>
      </c>
      <c r="B492" s="715" t="s">
        <v>5693</v>
      </c>
      <c r="C492" s="706" t="e">
        <f>VLOOKUP($B:$B,[140]단가!$B:$K,2,FALSE)</f>
        <v>#N/A</v>
      </c>
      <c r="D492" s="706" t="e">
        <f>IF(VLOOKUP(B:B,[140]단가!B:K,3,FALSE)="","",VLOOKUP(B:B,[140]단가!B:K,3,FALSE))</f>
        <v>#N/A</v>
      </c>
      <c r="E492" s="707" t="e">
        <f>VLOOKUP($B:$B,[140]단가!$B:$K,4,FALSE)</f>
        <v>#N/A</v>
      </c>
      <c r="F492" s="706" t="e">
        <f>VLOOKUP($B:$B,[140]단가!$B:$L,11,FALSE)</f>
        <v>#N/A</v>
      </c>
      <c r="G492" s="706"/>
      <c r="H492" s="712"/>
      <c r="I492" s="713"/>
    </row>
    <row r="493" spans="1:9" s="709" customFormat="1" ht="27.4" customHeight="1">
      <c r="A493" s="704" t="e">
        <f t="shared" si="10"/>
        <v>#N/A</v>
      </c>
      <c r="B493" s="715" t="s">
        <v>5694</v>
      </c>
      <c r="C493" s="706" t="e">
        <f>VLOOKUP($B:$B,[140]단가!$B:$K,2,FALSE)</f>
        <v>#N/A</v>
      </c>
      <c r="D493" s="706" t="e">
        <f>IF(VLOOKUP(B:B,[140]단가!B:K,3,FALSE)="","",VLOOKUP(B:B,[140]단가!B:K,3,FALSE))</f>
        <v>#N/A</v>
      </c>
      <c r="E493" s="707" t="e">
        <f>VLOOKUP($B:$B,[140]단가!$B:$K,4,FALSE)</f>
        <v>#N/A</v>
      </c>
      <c r="F493" s="706" t="e">
        <f>VLOOKUP($B:$B,[140]단가!$B:$L,11,FALSE)</f>
        <v>#N/A</v>
      </c>
      <c r="G493" s="706"/>
      <c r="H493" s="712"/>
      <c r="I493" s="713"/>
    </row>
    <row r="494" spans="1:9" s="709" customFormat="1" ht="27.4" customHeight="1">
      <c r="A494" s="704" t="e">
        <f t="shared" si="10"/>
        <v>#N/A</v>
      </c>
      <c r="B494" s="715" t="s">
        <v>5695</v>
      </c>
      <c r="C494" s="706" t="e">
        <f>VLOOKUP($B:$B,[140]단가!$B:$K,2,FALSE)</f>
        <v>#N/A</v>
      </c>
      <c r="D494" s="706" t="e">
        <f>IF(VLOOKUP(B:B,[140]단가!B:K,3,FALSE)="","",VLOOKUP(B:B,[140]단가!B:K,3,FALSE))</f>
        <v>#N/A</v>
      </c>
      <c r="E494" s="707" t="e">
        <f>VLOOKUP($B:$B,[140]단가!$B:$K,4,FALSE)</f>
        <v>#N/A</v>
      </c>
      <c r="F494" s="706" t="e">
        <f>VLOOKUP($B:$B,[140]단가!$B:$L,11,FALSE)</f>
        <v>#N/A</v>
      </c>
      <c r="G494" s="706"/>
      <c r="H494" s="712"/>
      <c r="I494" s="713"/>
    </row>
    <row r="495" spans="1:9" s="709" customFormat="1" ht="27.4" customHeight="1">
      <c r="A495" s="704" t="e">
        <f t="shared" si="10"/>
        <v>#N/A</v>
      </c>
      <c r="B495" s="715" t="s">
        <v>5696</v>
      </c>
      <c r="C495" s="706" t="e">
        <f>VLOOKUP($B:$B,[140]단가!$B:$K,2,FALSE)</f>
        <v>#N/A</v>
      </c>
      <c r="D495" s="706" t="e">
        <f>IF(VLOOKUP(B:B,[140]단가!B:K,3,FALSE)="","",VLOOKUP(B:B,[140]단가!B:K,3,FALSE))</f>
        <v>#N/A</v>
      </c>
      <c r="E495" s="707" t="e">
        <f>VLOOKUP($B:$B,[140]단가!$B:$K,4,FALSE)</f>
        <v>#N/A</v>
      </c>
      <c r="F495" s="706" t="e">
        <f>VLOOKUP($B:$B,[140]단가!$B:$L,11,FALSE)</f>
        <v>#N/A</v>
      </c>
      <c r="G495" s="706"/>
      <c r="H495" s="712"/>
      <c r="I495" s="713"/>
    </row>
    <row r="496" spans="1:9" s="709" customFormat="1" ht="27.4" customHeight="1">
      <c r="A496" s="704" t="e">
        <f t="shared" si="10"/>
        <v>#N/A</v>
      </c>
      <c r="B496" s="715" t="s">
        <v>5697</v>
      </c>
      <c r="C496" s="706" t="e">
        <f>VLOOKUP($B:$B,[140]단가!$B:$K,2,FALSE)</f>
        <v>#N/A</v>
      </c>
      <c r="D496" s="706" t="e">
        <f>IF(VLOOKUP(B:B,[140]단가!B:K,3,FALSE)="","",VLOOKUP(B:B,[140]단가!B:K,3,FALSE))</f>
        <v>#N/A</v>
      </c>
      <c r="E496" s="707" t="e">
        <f>VLOOKUP($B:$B,[140]단가!$B:$K,4,FALSE)</f>
        <v>#N/A</v>
      </c>
      <c r="F496" s="706" t="e">
        <f>VLOOKUP($B:$B,[140]단가!$B:$L,11,FALSE)</f>
        <v>#N/A</v>
      </c>
      <c r="G496" s="706"/>
      <c r="H496" s="712"/>
      <c r="I496" s="713"/>
    </row>
    <row r="497" spans="1:9" s="709" customFormat="1" ht="27.4" customHeight="1">
      <c r="A497" s="704" t="e">
        <f t="shared" si="10"/>
        <v>#N/A</v>
      </c>
      <c r="B497" s="715" t="s">
        <v>5698</v>
      </c>
      <c r="C497" s="706" t="e">
        <f>VLOOKUP($B:$B,[140]단가!$B:$K,2,FALSE)</f>
        <v>#N/A</v>
      </c>
      <c r="D497" s="706" t="e">
        <f>IF(VLOOKUP(B:B,[140]단가!B:K,3,FALSE)="","",VLOOKUP(B:B,[140]단가!B:K,3,FALSE))</f>
        <v>#N/A</v>
      </c>
      <c r="E497" s="707" t="e">
        <f>VLOOKUP($B:$B,[140]단가!$B:$K,4,FALSE)</f>
        <v>#N/A</v>
      </c>
      <c r="F497" s="706" t="e">
        <f>VLOOKUP($B:$B,[140]단가!$B:$L,11,FALSE)</f>
        <v>#N/A</v>
      </c>
      <c r="G497" s="706"/>
      <c r="H497" s="712"/>
      <c r="I497" s="713"/>
    </row>
    <row r="498" spans="1:9" s="709" customFormat="1" ht="27.4" customHeight="1">
      <c r="A498" s="704" t="e">
        <f t="shared" si="10"/>
        <v>#N/A</v>
      </c>
      <c r="B498" s="715" t="s">
        <v>5699</v>
      </c>
      <c r="C498" s="706" t="e">
        <f>VLOOKUP($B:$B,[140]단가!$B:$K,2,FALSE)</f>
        <v>#N/A</v>
      </c>
      <c r="D498" s="706" t="e">
        <f>IF(VLOOKUP(B:B,[140]단가!B:K,3,FALSE)="","",VLOOKUP(B:B,[140]단가!B:K,3,FALSE))</f>
        <v>#N/A</v>
      </c>
      <c r="E498" s="707" t="e">
        <f>VLOOKUP($B:$B,[140]단가!$B:$K,4,FALSE)</f>
        <v>#N/A</v>
      </c>
      <c r="F498" s="706" t="e">
        <f>VLOOKUP($B:$B,[140]단가!$B:$L,11,FALSE)</f>
        <v>#N/A</v>
      </c>
      <c r="G498" s="706"/>
      <c r="H498" s="712"/>
      <c r="I498" s="713"/>
    </row>
    <row r="499" spans="1:9" s="709" customFormat="1" ht="27.4" customHeight="1">
      <c r="A499" s="704" t="e">
        <f t="shared" si="10"/>
        <v>#N/A</v>
      </c>
      <c r="B499" s="715" t="s">
        <v>5700</v>
      </c>
      <c r="C499" s="706" t="e">
        <f>VLOOKUP($B:$B,[140]단가!$B:$K,2,FALSE)</f>
        <v>#N/A</v>
      </c>
      <c r="D499" s="706" t="e">
        <f>IF(VLOOKUP(B:B,[140]단가!B:K,3,FALSE)="","",VLOOKUP(B:B,[140]단가!B:K,3,FALSE))</f>
        <v>#N/A</v>
      </c>
      <c r="E499" s="707" t="e">
        <f>VLOOKUP($B:$B,[140]단가!$B:$K,4,FALSE)</f>
        <v>#N/A</v>
      </c>
      <c r="F499" s="706" t="e">
        <f>VLOOKUP($B:$B,[140]단가!$B:$L,11,FALSE)</f>
        <v>#N/A</v>
      </c>
      <c r="G499" s="706"/>
      <c r="H499" s="712"/>
      <c r="I499" s="713"/>
    </row>
    <row r="500" spans="1:9" s="709" customFormat="1" ht="27.4" customHeight="1">
      <c r="A500" s="704" t="e">
        <f t="shared" si="10"/>
        <v>#N/A</v>
      </c>
      <c r="B500" s="715" t="s">
        <v>5701</v>
      </c>
      <c r="C500" s="706" t="e">
        <f>VLOOKUP($B:$B,[140]단가!$B:$K,2,FALSE)</f>
        <v>#N/A</v>
      </c>
      <c r="D500" s="706" t="e">
        <f>IF(VLOOKUP(B:B,[140]단가!B:K,3,FALSE)="","",VLOOKUP(B:B,[140]단가!B:K,3,FALSE))</f>
        <v>#N/A</v>
      </c>
      <c r="E500" s="707" t="e">
        <f>VLOOKUP($B:$B,[140]단가!$B:$K,4,FALSE)</f>
        <v>#N/A</v>
      </c>
      <c r="F500" s="706" t="e">
        <f>VLOOKUP($B:$B,[140]단가!$B:$L,11,FALSE)</f>
        <v>#N/A</v>
      </c>
      <c r="G500" s="706"/>
      <c r="H500" s="712"/>
      <c r="I500" s="713"/>
    </row>
    <row r="501" spans="1:9" s="709" customFormat="1" ht="27.4" customHeight="1">
      <c r="A501" s="704" t="e">
        <f t="shared" si="10"/>
        <v>#N/A</v>
      </c>
      <c r="B501" s="715" t="s">
        <v>5702</v>
      </c>
      <c r="C501" s="706" t="e">
        <f>VLOOKUP($B:$B,[140]단가!$B:$K,2,FALSE)</f>
        <v>#N/A</v>
      </c>
      <c r="D501" s="706" t="e">
        <f>IF(VLOOKUP(B:B,[140]단가!B:K,3,FALSE)="","",VLOOKUP(B:B,[140]단가!B:K,3,FALSE))</f>
        <v>#N/A</v>
      </c>
      <c r="E501" s="707" t="e">
        <f>VLOOKUP($B:$B,[140]단가!$B:$K,4,FALSE)</f>
        <v>#N/A</v>
      </c>
      <c r="F501" s="706" t="e">
        <f>VLOOKUP($B:$B,[140]단가!$B:$L,11,FALSE)</f>
        <v>#N/A</v>
      </c>
      <c r="G501" s="706"/>
      <c r="H501" s="712"/>
      <c r="I501" s="713"/>
    </row>
    <row r="502" spans="1:9" s="709" customFormat="1" ht="27.4" customHeight="1">
      <c r="A502" s="704" t="e">
        <f t="shared" si="10"/>
        <v>#N/A</v>
      </c>
      <c r="B502" s="715" t="s">
        <v>5703</v>
      </c>
      <c r="C502" s="706" t="e">
        <f>VLOOKUP($B:$B,[140]단가!$B:$K,2,FALSE)</f>
        <v>#N/A</v>
      </c>
      <c r="D502" s="706" t="e">
        <f>IF(VLOOKUP(B:B,[140]단가!B:K,3,FALSE)="","",VLOOKUP(B:B,[140]단가!B:K,3,FALSE))</f>
        <v>#N/A</v>
      </c>
      <c r="E502" s="707" t="e">
        <f>VLOOKUP($B:$B,[140]단가!$B:$K,4,FALSE)</f>
        <v>#N/A</v>
      </c>
      <c r="F502" s="706" t="e">
        <f>VLOOKUP($B:$B,[140]단가!$B:$L,11,FALSE)</f>
        <v>#N/A</v>
      </c>
      <c r="G502" s="706"/>
      <c r="H502" s="712"/>
      <c r="I502" s="713"/>
    </row>
    <row r="503" spans="1:9" s="709" customFormat="1" ht="27.4" customHeight="1">
      <c r="A503" s="704" t="e">
        <f t="shared" si="10"/>
        <v>#N/A</v>
      </c>
      <c r="B503" s="715" t="s">
        <v>5704</v>
      </c>
      <c r="C503" s="706" t="e">
        <f>VLOOKUP($B:$B,[140]단가!$B:$K,2,FALSE)</f>
        <v>#N/A</v>
      </c>
      <c r="D503" s="706" t="e">
        <f>IF(VLOOKUP(B:B,[140]단가!B:K,3,FALSE)="","",VLOOKUP(B:B,[140]단가!B:K,3,FALSE))</f>
        <v>#N/A</v>
      </c>
      <c r="E503" s="707" t="e">
        <f>VLOOKUP($B:$B,[140]단가!$B:$K,4,FALSE)</f>
        <v>#N/A</v>
      </c>
      <c r="F503" s="706" t="e">
        <f>VLOOKUP($B:$B,[140]단가!$B:$L,11,FALSE)</f>
        <v>#N/A</v>
      </c>
      <c r="G503" s="706"/>
      <c r="H503" s="712"/>
      <c r="I503" s="713"/>
    </row>
    <row r="504" spans="1:9" s="709" customFormat="1" ht="27.4" customHeight="1">
      <c r="A504" s="704" t="e">
        <f t="shared" si="10"/>
        <v>#N/A</v>
      </c>
      <c r="B504" s="715" t="s">
        <v>5705</v>
      </c>
      <c r="C504" s="706" t="e">
        <f>VLOOKUP($B:$B,[140]단가!$B:$K,2,FALSE)</f>
        <v>#N/A</v>
      </c>
      <c r="D504" s="706" t="e">
        <f>IF(VLOOKUP(B:B,[140]단가!B:K,3,FALSE)="","",VLOOKUP(B:B,[140]단가!B:K,3,FALSE))</f>
        <v>#N/A</v>
      </c>
      <c r="E504" s="707" t="e">
        <f>VLOOKUP($B:$B,[140]단가!$B:$K,4,FALSE)</f>
        <v>#N/A</v>
      </c>
      <c r="F504" s="706" t="e">
        <f>VLOOKUP($B:$B,[140]단가!$B:$L,11,FALSE)</f>
        <v>#N/A</v>
      </c>
      <c r="G504" s="706"/>
      <c r="H504" s="712"/>
      <c r="I504" s="713"/>
    </row>
    <row r="505" spans="1:9" s="709" customFormat="1" ht="27.4" customHeight="1">
      <c r="A505" s="704" t="e">
        <f t="shared" si="10"/>
        <v>#N/A</v>
      </c>
      <c r="B505" s="715" t="s">
        <v>5706</v>
      </c>
      <c r="C505" s="706" t="e">
        <f>VLOOKUP($B:$B,[140]단가!$B:$K,2,FALSE)</f>
        <v>#N/A</v>
      </c>
      <c r="D505" s="706" t="e">
        <f>IF(VLOOKUP(B:B,[140]단가!B:K,3,FALSE)="","",VLOOKUP(B:B,[140]단가!B:K,3,FALSE))</f>
        <v>#N/A</v>
      </c>
      <c r="E505" s="707" t="e">
        <f>VLOOKUP($B:$B,[140]단가!$B:$K,4,FALSE)</f>
        <v>#N/A</v>
      </c>
      <c r="F505" s="706" t="e">
        <f>VLOOKUP($B:$B,[140]단가!$B:$L,11,FALSE)</f>
        <v>#N/A</v>
      </c>
      <c r="G505" s="706"/>
      <c r="H505" s="712"/>
      <c r="I505" s="713"/>
    </row>
    <row r="506" spans="1:9" s="709" customFormat="1" ht="27.4" customHeight="1">
      <c r="A506" s="704" t="e">
        <f t="shared" si="10"/>
        <v>#N/A</v>
      </c>
      <c r="B506" s="715" t="s">
        <v>5707</v>
      </c>
      <c r="C506" s="706" t="e">
        <f>VLOOKUP($B:$B,[140]단가!$B:$K,2,FALSE)</f>
        <v>#N/A</v>
      </c>
      <c r="D506" s="706" t="e">
        <f>IF(VLOOKUP(B:B,[140]단가!B:K,3,FALSE)="","",VLOOKUP(B:B,[140]단가!B:K,3,FALSE))</f>
        <v>#N/A</v>
      </c>
      <c r="E506" s="707" t="e">
        <f>VLOOKUP($B:$B,[140]단가!$B:$K,4,FALSE)</f>
        <v>#N/A</v>
      </c>
      <c r="F506" s="706" t="e">
        <f>VLOOKUP($B:$B,[140]단가!$B:$L,11,FALSE)</f>
        <v>#N/A</v>
      </c>
      <c r="G506" s="706"/>
      <c r="H506" s="712"/>
      <c r="I506" s="713"/>
    </row>
    <row r="507" spans="1:9" s="709" customFormat="1" ht="27.4" customHeight="1">
      <c r="A507" s="704" t="e">
        <f t="shared" si="10"/>
        <v>#N/A</v>
      </c>
      <c r="B507" s="715" t="s">
        <v>5708</v>
      </c>
      <c r="C507" s="706" t="e">
        <f>VLOOKUP($B:$B,[140]단가!$B:$K,2,FALSE)</f>
        <v>#N/A</v>
      </c>
      <c r="D507" s="706" t="e">
        <f>IF(VLOOKUP(B:B,[140]단가!B:K,3,FALSE)="","",VLOOKUP(B:B,[140]단가!B:K,3,FALSE))</f>
        <v>#N/A</v>
      </c>
      <c r="E507" s="707" t="e">
        <f>VLOOKUP($B:$B,[140]단가!$B:$K,4,FALSE)</f>
        <v>#N/A</v>
      </c>
      <c r="F507" s="706" t="e">
        <f>VLOOKUP($B:$B,[140]단가!$B:$L,11,FALSE)</f>
        <v>#N/A</v>
      </c>
      <c r="G507" s="706"/>
      <c r="H507" s="712"/>
      <c r="I507" s="713"/>
    </row>
    <row r="508" spans="1:9" s="709" customFormat="1" ht="27.4" customHeight="1">
      <c r="A508" s="704" t="e">
        <f t="shared" si="10"/>
        <v>#N/A</v>
      </c>
      <c r="B508" s="715" t="s">
        <v>5709</v>
      </c>
      <c r="C508" s="706" t="e">
        <f>VLOOKUP($B:$B,[140]단가!$B:$K,2,FALSE)</f>
        <v>#N/A</v>
      </c>
      <c r="D508" s="706" t="e">
        <f>IF(VLOOKUP(B:B,[140]단가!B:K,3,FALSE)="","",VLOOKUP(B:B,[140]단가!B:K,3,FALSE))</f>
        <v>#N/A</v>
      </c>
      <c r="E508" s="707" t="e">
        <f>VLOOKUP($B:$B,[140]단가!$B:$K,4,FALSE)</f>
        <v>#N/A</v>
      </c>
      <c r="F508" s="706" t="e">
        <f>VLOOKUP($B:$B,[140]단가!$B:$L,11,FALSE)</f>
        <v>#N/A</v>
      </c>
      <c r="G508" s="706"/>
      <c r="H508" s="712"/>
      <c r="I508" s="713"/>
    </row>
    <row r="509" spans="1:9" s="709" customFormat="1" ht="27.4" customHeight="1">
      <c r="A509" s="704" t="e">
        <f t="shared" si="10"/>
        <v>#N/A</v>
      </c>
      <c r="B509" s="715" t="s">
        <v>5710</v>
      </c>
      <c r="C509" s="706" t="e">
        <f>VLOOKUP($B:$B,[140]단가!$B:$K,2,FALSE)</f>
        <v>#N/A</v>
      </c>
      <c r="D509" s="706" t="e">
        <f>IF(VLOOKUP(B:B,[140]단가!B:K,3,FALSE)="","",VLOOKUP(B:B,[140]단가!B:K,3,FALSE))</f>
        <v>#N/A</v>
      </c>
      <c r="E509" s="707" t="e">
        <f>VLOOKUP($B:$B,[140]단가!$B:$K,4,FALSE)</f>
        <v>#N/A</v>
      </c>
      <c r="F509" s="706" t="e">
        <f>VLOOKUP($B:$B,[140]단가!$B:$L,11,FALSE)</f>
        <v>#N/A</v>
      </c>
      <c r="G509" s="706"/>
      <c r="H509" s="712"/>
      <c r="I509" s="713"/>
    </row>
    <row r="510" spans="1:9" s="709" customFormat="1" ht="27.4" customHeight="1">
      <c r="A510" s="704" t="e">
        <f t="shared" si="10"/>
        <v>#N/A</v>
      </c>
      <c r="B510" s="715" t="s">
        <v>5711</v>
      </c>
      <c r="C510" s="706" t="e">
        <f>VLOOKUP($B:$B,[140]단가!$B:$K,2,FALSE)</f>
        <v>#N/A</v>
      </c>
      <c r="D510" s="706" t="e">
        <f>IF(VLOOKUP(B:B,[140]단가!B:K,3,FALSE)="","",VLOOKUP(B:B,[140]단가!B:K,3,FALSE))</f>
        <v>#N/A</v>
      </c>
      <c r="E510" s="707" t="e">
        <f>VLOOKUP($B:$B,[140]단가!$B:$K,4,FALSE)</f>
        <v>#N/A</v>
      </c>
      <c r="F510" s="706" t="e">
        <f>VLOOKUP($B:$B,[140]단가!$B:$L,11,FALSE)</f>
        <v>#N/A</v>
      </c>
      <c r="G510" s="706"/>
      <c r="H510" s="712"/>
      <c r="I510" s="713"/>
    </row>
    <row r="511" spans="1:9" s="709" customFormat="1" ht="27.4" customHeight="1">
      <c r="A511" s="704" t="e">
        <f t="shared" si="10"/>
        <v>#N/A</v>
      </c>
      <c r="B511" s="715" t="s">
        <v>5712</v>
      </c>
      <c r="C511" s="706" t="e">
        <f>VLOOKUP($B:$B,[140]단가!$B:$K,2,FALSE)</f>
        <v>#N/A</v>
      </c>
      <c r="D511" s="706" t="e">
        <f>IF(VLOOKUP(B:B,[140]단가!B:K,3,FALSE)="","",VLOOKUP(B:B,[140]단가!B:K,3,FALSE))</f>
        <v>#N/A</v>
      </c>
      <c r="E511" s="707" t="e">
        <f>VLOOKUP($B:$B,[140]단가!$B:$K,4,FALSE)</f>
        <v>#N/A</v>
      </c>
      <c r="F511" s="706" t="e">
        <f>VLOOKUP($B:$B,[140]단가!$B:$L,11,FALSE)</f>
        <v>#N/A</v>
      </c>
      <c r="G511" s="706"/>
      <c r="H511" s="712"/>
      <c r="I511" s="713"/>
    </row>
    <row r="512" spans="1:9" s="709" customFormat="1" ht="27.4" customHeight="1">
      <c r="A512" s="704" t="e">
        <f t="shared" si="10"/>
        <v>#N/A</v>
      </c>
      <c r="B512" s="715" t="s">
        <v>5713</v>
      </c>
      <c r="C512" s="706" t="e">
        <f>VLOOKUP($B:$B,[140]단가!$B:$K,2,FALSE)</f>
        <v>#N/A</v>
      </c>
      <c r="D512" s="706" t="e">
        <f>IF(VLOOKUP(B:B,[140]단가!B:K,3,FALSE)="","",VLOOKUP(B:B,[140]단가!B:K,3,FALSE))</f>
        <v>#N/A</v>
      </c>
      <c r="E512" s="707" t="e">
        <f>VLOOKUP($B:$B,[140]단가!$B:$K,4,FALSE)</f>
        <v>#N/A</v>
      </c>
      <c r="F512" s="706" t="e">
        <f>VLOOKUP($B:$B,[140]단가!$B:$L,11,FALSE)</f>
        <v>#N/A</v>
      </c>
      <c r="G512" s="706"/>
      <c r="H512" s="712"/>
      <c r="I512" s="713"/>
    </row>
    <row r="513" spans="1:9" s="709" customFormat="1" ht="27.4" customHeight="1">
      <c r="A513" s="704" t="e">
        <f t="shared" si="10"/>
        <v>#N/A</v>
      </c>
      <c r="B513" s="715" t="s">
        <v>5714</v>
      </c>
      <c r="C513" s="706" t="e">
        <f>VLOOKUP($B:$B,[140]단가!$B:$K,2,FALSE)</f>
        <v>#N/A</v>
      </c>
      <c r="D513" s="706" t="e">
        <f>IF(VLOOKUP(B:B,[140]단가!B:K,3,FALSE)="","",VLOOKUP(B:B,[140]단가!B:K,3,FALSE))</f>
        <v>#N/A</v>
      </c>
      <c r="E513" s="707" t="e">
        <f>VLOOKUP($B:$B,[140]단가!$B:$K,4,FALSE)</f>
        <v>#N/A</v>
      </c>
      <c r="F513" s="706" t="e">
        <f>VLOOKUP($B:$B,[140]단가!$B:$L,11,FALSE)</f>
        <v>#N/A</v>
      </c>
      <c r="G513" s="706"/>
      <c r="H513" s="712"/>
      <c r="I513" s="713"/>
    </row>
    <row r="514" spans="1:9" s="709" customFormat="1" ht="27.4" customHeight="1">
      <c r="A514" s="704" t="e">
        <f t="shared" si="10"/>
        <v>#N/A</v>
      </c>
      <c r="B514" s="715" t="s">
        <v>5715</v>
      </c>
      <c r="C514" s="706" t="e">
        <f>VLOOKUP($B:$B,[140]단가!$B:$K,2,FALSE)</f>
        <v>#N/A</v>
      </c>
      <c r="D514" s="706" t="e">
        <f>IF(VLOOKUP(B:B,[140]단가!B:K,3,FALSE)="","",VLOOKUP(B:B,[140]단가!B:K,3,FALSE))</f>
        <v>#N/A</v>
      </c>
      <c r="E514" s="707" t="e">
        <f>VLOOKUP($B:$B,[140]단가!$B:$K,4,FALSE)</f>
        <v>#N/A</v>
      </c>
      <c r="F514" s="706" t="e">
        <f>VLOOKUP($B:$B,[140]단가!$B:$L,11,FALSE)</f>
        <v>#N/A</v>
      </c>
      <c r="G514" s="706"/>
      <c r="H514" s="712"/>
      <c r="I514" s="713"/>
    </row>
    <row r="515" spans="1:9" s="709" customFormat="1" ht="27.4" customHeight="1">
      <c r="A515" s="704" t="e">
        <f t="shared" si="10"/>
        <v>#N/A</v>
      </c>
      <c r="B515" s="715" t="s">
        <v>5716</v>
      </c>
      <c r="C515" s="706" t="e">
        <f>VLOOKUP($B:$B,[140]단가!$B:$K,2,FALSE)</f>
        <v>#N/A</v>
      </c>
      <c r="D515" s="706" t="e">
        <f>IF(VLOOKUP(B:B,[140]단가!B:K,3,FALSE)="","",VLOOKUP(B:B,[140]단가!B:K,3,FALSE))</f>
        <v>#N/A</v>
      </c>
      <c r="E515" s="707" t="e">
        <f>VLOOKUP($B:$B,[140]단가!$B:$K,4,FALSE)</f>
        <v>#N/A</v>
      </c>
      <c r="F515" s="706" t="e">
        <f>VLOOKUP($B:$B,[140]단가!$B:$L,11,FALSE)</f>
        <v>#N/A</v>
      </c>
      <c r="G515" s="706"/>
      <c r="H515" s="712"/>
      <c r="I515" s="713"/>
    </row>
    <row r="516" spans="1:9" s="709" customFormat="1" ht="27.4" customHeight="1">
      <c r="A516" s="704" t="e">
        <f t="shared" si="10"/>
        <v>#N/A</v>
      </c>
      <c r="B516" s="715" t="s">
        <v>5717</v>
      </c>
      <c r="C516" s="706" t="e">
        <f>VLOOKUP($B:$B,[140]단가!$B:$K,2,FALSE)</f>
        <v>#N/A</v>
      </c>
      <c r="D516" s="706" t="e">
        <f>IF(VLOOKUP(B:B,[140]단가!B:K,3,FALSE)="","",VLOOKUP(B:B,[140]단가!B:K,3,FALSE))</f>
        <v>#N/A</v>
      </c>
      <c r="E516" s="707" t="e">
        <f>VLOOKUP($B:$B,[140]단가!$B:$K,4,FALSE)</f>
        <v>#N/A</v>
      </c>
      <c r="F516" s="706" t="e">
        <f>VLOOKUP($B:$B,[140]단가!$B:$L,11,FALSE)</f>
        <v>#N/A</v>
      </c>
      <c r="G516" s="706"/>
      <c r="H516" s="712"/>
      <c r="I516" s="713"/>
    </row>
    <row r="517" spans="1:9" s="709" customFormat="1" ht="27.4" customHeight="1">
      <c r="A517" s="704" t="e">
        <f t="shared" si="10"/>
        <v>#N/A</v>
      </c>
      <c r="B517" s="715" t="s">
        <v>5718</v>
      </c>
      <c r="C517" s="706" t="e">
        <f>VLOOKUP($B:$B,[140]단가!$B:$K,2,FALSE)</f>
        <v>#N/A</v>
      </c>
      <c r="D517" s="706" t="e">
        <f>IF(VLOOKUP(B:B,[140]단가!B:K,3,FALSE)="","",VLOOKUP(B:B,[140]단가!B:K,3,FALSE))</f>
        <v>#N/A</v>
      </c>
      <c r="E517" s="707" t="e">
        <f>VLOOKUP($B:$B,[140]단가!$B:$K,4,FALSE)</f>
        <v>#N/A</v>
      </c>
      <c r="F517" s="706" t="e">
        <f>VLOOKUP($B:$B,[140]단가!$B:$L,11,FALSE)</f>
        <v>#N/A</v>
      </c>
      <c r="G517" s="706"/>
      <c r="H517" s="712"/>
      <c r="I517" s="713"/>
    </row>
    <row r="518" spans="1:9" s="709" customFormat="1" ht="27.4" customHeight="1">
      <c r="A518" s="704" t="e">
        <f t="shared" si="10"/>
        <v>#N/A</v>
      </c>
      <c r="B518" s="715" t="s">
        <v>5719</v>
      </c>
      <c r="C518" s="706" t="e">
        <f>VLOOKUP($B:$B,[140]단가!$B:$K,2,FALSE)</f>
        <v>#N/A</v>
      </c>
      <c r="D518" s="706" t="e">
        <f>IF(VLOOKUP(B:B,[140]단가!B:K,3,FALSE)="","",VLOOKUP(B:B,[140]단가!B:K,3,FALSE))</f>
        <v>#N/A</v>
      </c>
      <c r="E518" s="707" t="e">
        <f>VLOOKUP($B:$B,[140]단가!$B:$K,4,FALSE)</f>
        <v>#N/A</v>
      </c>
      <c r="F518" s="706" t="e">
        <f>VLOOKUP($B:$B,[140]단가!$B:$L,11,FALSE)</f>
        <v>#N/A</v>
      </c>
      <c r="G518" s="706"/>
      <c r="H518" s="712"/>
      <c r="I518" s="713"/>
    </row>
    <row r="519" spans="1:9" s="709" customFormat="1" ht="27.4" customHeight="1">
      <c r="A519" s="704" t="e">
        <f t="shared" si="10"/>
        <v>#N/A</v>
      </c>
      <c r="B519" s="715" t="s">
        <v>5720</v>
      </c>
      <c r="C519" s="706" t="e">
        <f>VLOOKUP($B:$B,[140]단가!$B:$K,2,FALSE)</f>
        <v>#N/A</v>
      </c>
      <c r="D519" s="706" t="e">
        <f>IF(VLOOKUP(B:B,[140]단가!B:K,3,FALSE)="","",VLOOKUP(B:B,[140]단가!B:K,3,FALSE))</f>
        <v>#N/A</v>
      </c>
      <c r="E519" s="707" t="e">
        <f>VLOOKUP($B:$B,[140]단가!$B:$K,4,FALSE)</f>
        <v>#N/A</v>
      </c>
      <c r="F519" s="706" t="e">
        <f>VLOOKUP($B:$B,[140]단가!$B:$L,11,FALSE)</f>
        <v>#N/A</v>
      </c>
      <c r="G519" s="706"/>
      <c r="H519" s="712"/>
      <c r="I519" s="713"/>
    </row>
    <row r="520" spans="1:9" s="709" customFormat="1" ht="27.4" customHeight="1">
      <c r="A520" s="704" t="e">
        <f t="shared" si="10"/>
        <v>#N/A</v>
      </c>
      <c r="B520" s="715" t="s">
        <v>5721</v>
      </c>
      <c r="C520" s="706" t="e">
        <f>VLOOKUP($B:$B,[140]단가!$B:$K,2,FALSE)</f>
        <v>#N/A</v>
      </c>
      <c r="D520" s="706" t="e">
        <f>IF(VLOOKUP(B:B,[140]단가!B:K,3,FALSE)="","",VLOOKUP(B:B,[140]단가!B:K,3,FALSE))</f>
        <v>#N/A</v>
      </c>
      <c r="E520" s="707" t="e">
        <f>VLOOKUP($B:$B,[140]단가!$B:$K,4,FALSE)</f>
        <v>#N/A</v>
      </c>
      <c r="F520" s="706" t="e">
        <f>VLOOKUP($B:$B,[140]단가!$B:$L,11,FALSE)</f>
        <v>#N/A</v>
      </c>
      <c r="G520" s="706"/>
      <c r="H520" s="712"/>
      <c r="I520" s="713"/>
    </row>
    <row r="521" spans="1:9" s="709" customFormat="1" ht="27.4" customHeight="1">
      <c r="A521" s="704" t="e">
        <f t="shared" si="10"/>
        <v>#N/A</v>
      </c>
      <c r="B521" s="715" t="s">
        <v>5722</v>
      </c>
      <c r="C521" s="706" t="e">
        <f>VLOOKUP($B:$B,[140]단가!$B:$K,2,FALSE)</f>
        <v>#N/A</v>
      </c>
      <c r="D521" s="706" t="e">
        <f>IF(VLOOKUP(B:B,[140]단가!B:K,3,FALSE)="","",VLOOKUP(B:B,[140]단가!B:K,3,FALSE))</f>
        <v>#N/A</v>
      </c>
      <c r="E521" s="707" t="e">
        <f>VLOOKUP($B:$B,[140]단가!$B:$K,4,FALSE)</f>
        <v>#N/A</v>
      </c>
      <c r="F521" s="706" t="e">
        <f>VLOOKUP($B:$B,[140]단가!$B:$L,11,FALSE)</f>
        <v>#N/A</v>
      </c>
      <c r="G521" s="706"/>
      <c r="H521" s="712"/>
      <c r="I521" s="713"/>
    </row>
    <row r="522" spans="1:9" s="709" customFormat="1" ht="27.4" customHeight="1">
      <c r="A522" s="704" t="e">
        <f t="shared" si="10"/>
        <v>#N/A</v>
      </c>
      <c r="B522" s="715" t="s">
        <v>5723</v>
      </c>
      <c r="C522" s="706" t="e">
        <f>VLOOKUP($B:$B,[140]단가!$B:$K,2,FALSE)</f>
        <v>#N/A</v>
      </c>
      <c r="D522" s="706" t="e">
        <f>IF(VLOOKUP(B:B,[140]단가!B:K,3,FALSE)="","",VLOOKUP(B:B,[140]단가!B:K,3,FALSE))</f>
        <v>#N/A</v>
      </c>
      <c r="E522" s="707" t="e">
        <f>VLOOKUP($B:$B,[140]단가!$B:$K,4,FALSE)</f>
        <v>#N/A</v>
      </c>
      <c r="F522" s="706" t="e">
        <f>VLOOKUP($B:$B,[140]단가!$B:$L,11,FALSE)</f>
        <v>#N/A</v>
      </c>
      <c r="G522" s="706"/>
      <c r="H522" s="712"/>
      <c r="I522" s="713"/>
    </row>
    <row r="523" spans="1:9" s="709" customFormat="1" ht="27.4" customHeight="1">
      <c r="A523" s="704" t="e">
        <f t="shared" si="10"/>
        <v>#N/A</v>
      </c>
      <c r="B523" s="715" t="s">
        <v>5724</v>
      </c>
      <c r="C523" s="706" t="e">
        <f>VLOOKUP($B:$B,[140]단가!$B:$K,2,FALSE)</f>
        <v>#N/A</v>
      </c>
      <c r="D523" s="706" t="e">
        <f>IF(VLOOKUP(B:B,[140]단가!B:K,3,FALSE)="","",VLOOKUP(B:B,[140]단가!B:K,3,FALSE))</f>
        <v>#N/A</v>
      </c>
      <c r="E523" s="707" t="e">
        <f>VLOOKUP($B:$B,[140]단가!$B:$K,4,FALSE)</f>
        <v>#N/A</v>
      </c>
      <c r="F523" s="706" t="e">
        <f>VLOOKUP($B:$B,[140]단가!$B:$L,11,FALSE)</f>
        <v>#N/A</v>
      </c>
      <c r="G523" s="706"/>
      <c r="H523" s="712"/>
      <c r="I523" s="713"/>
    </row>
    <row r="524" spans="1:9" s="709" customFormat="1" ht="27.4" customHeight="1">
      <c r="A524" s="704" t="e">
        <f t="shared" si="10"/>
        <v>#N/A</v>
      </c>
      <c r="B524" s="715" t="s">
        <v>5725</v>
      </c>
      <c r="C524" s="706" t="e">
        <f>VLOOKUP($B:$B,[140]단가!$B:$K,2,FALSE)</f>
        <v>#N/A</v>
      </c>
      <c r="D524" s="706" t="e">
        <f>IF(VLOOKUP(B:B,[140]단가!B:K,3,FALSE)="","",VLOOKUP(B:B,[140]단가!B:K,3,FALSE))</f>
        <v>#N/A</v>
      </c>
      <c r="E524" s="707" t="e">
        <f>VLOOKUP($B:$B,[140]단가!$B:$K,4,FALSE)</f>
        <v>#N/A</v>
      </c>
      <c r="F524" s="706" t="e">
        <f>VLOOKUP($B:$B,[140]단가!$B:$L,11,FALSE)</f>
        <v>#N/A</v>
      </c>
      <c r="G524" s="706"/>
      <c r="H524" s="712"/>
      <c r="I524" s="713"/>
    </row>
    <row r="525" spans="1:9" s="709" customFormat="1" ht="27.4" customHeight="1">
      <c r="A525" s="704" t="e">
        <f t="shared" si="10"/>
        <v>#N/A</v>
      </c>
      <c r="B525" s="715" t="s">
        <v>5726</v>
      </c>
      <c r="C525" s="706" t="e">
        <f>VLOOKUP($B:$B,[140]단가!$B:$K,2,FALSE)</f>
        <v>#N/A</v>
      </c>
      <c r="D525" s="706" t="e">
        <f>IF(VLOOKUP(B:B,[140]단가!B:K,3,FALSE)="","",VLOOKUP(B:B,[140]단가!B:K,3,FALSE))</f>
        <v>#N/A</v>
      </c>
      <c r="E525" s="707" t="e">
        <f>VLOOKUP($B:$B,[140]단가!$B:$K,4,FALSE)</f>
        <v>#N/A</v>
      </c>
      <c r="F525" s="706" t="e">
        <f>VLOOKUP($B:$B,[140]단가!$B:$L,11,FALSE)</f>
        <v>#N/A</v>
      </c>
      <c r="G525" s="706"/>
      <c r="H525" s="712"/>
      <c r="I525" s="713"/>
    </row>
    <row r="526" spans="1:9" s="709" customFormat="1" ht="27.4" customHeight="1">
      <c r="A526" s="704" t="e">
        <f t="shared" si="10"/>
        <v>#N/A</v>
      </c>
      <c r="B526" s="715" t="s">
        <v>5727</v>
      </c>
      <c r="C526" s="706" t="e">
        <f>VLOOKUP($B:$B,[140]단가!$B:$K,2,FALSE)</f>
        <v>#N/A</v>
      </c>
      <c r="D526" s="706" t="e">
        <f>IF(VLOOKUP(B:B,[140]단가!B:K,3,FALSE)="","",VLOOKUP(B:B,[140]단가!B:K,3,FALSE))</f>
        <v>#N/A</v>
      </c>
      <c r="E526" s="707" t="e">
        <f>VLOOKUP($B:$B,[140]단가!$B:$K,4,FALSE)</f>
        <v>#N/A</v>
      </c>
      <c r="F526" s="706" t="e">
        <f>VLOOKUP($B:$B,[140]단가!$B:$L,11,FALSE)</f>
        <v>#N/A</v>
      </c>
      <c r="G526" s="706"/>
      <c r="H526" s="712"/>
      <c r="I526" s="713"/>
    </row>
    <row r="527" spans="1:9" s="709" customFormat="1" ht="27.4" customHeight="1">
      <c r="A527" s="704" t="e">
        <f t="shared" si="10"/>
        <v>#N/A</v>
      </c>
      <c r="B527" s="715" t="s">
        <v>5728</v>
      </c>
      <c r="C527" s="706" t="e">
        <f>VLOOKUP($B:$B,[140]단가!$B:$K,2,FALSE)</f>
        <v>#N/A</v>
      </c>
      <c r="D527" s="706" t="e">
        <f>IF(VLOOKUP(B:B,[140]단가!B:K,3,FALSE)="","",VLOOKUP(B:B,[140]단가!B:K,3,FALSE))</f>
        <v>#N/A</v>
      </c>
      <c r="E527" s="707" t="e">
        <f>VLOOKUP($B:$B,[140]단가!$B:$K,4,FALSE)</f>
        <v>#N/A</v>
      </c>
      <c r="F527" s="706" t="e">
        <f>VLOOKUP($B:$B,[140]단가!$B:$L,11,FALSE)</f>
        <v>#N/A</v>
      </c>
      <c r="G527" s="706"/>
      <c r="H527" s="712"/>
      <c r="I527" s="713"/>
    </row>
    <row r="528" spans="1:9" s="709" customFormat="1" ht="27.4" customHeight="1">
      <c r="A528" s="704" t="e">
        <f t="shared" si="10"/>
        <v>#N/A</v>
      </c>
      <c r="B528" s="715" t="s">
        <v>5729</v>
      </c>
      <c r="C528" s="706" t="e">
        <f>VLOOKUP($B:$B,[140]단가!$B:$K,2,FALSE)</f>
        <v>#N/A</v>
      </c>
      <c r="D528" s="706" t="e">
        <f>IF(VLOOKUP(B:B,[140]단가!B:K,3,FALSE)="","",VLOOKUP(B:B,[140]단가!B:K,3,FALSE))</f>
        <v>#N/A</v>
      </c>
      <c r="E528" s="707" t="e">
        <f>VLOOKUP($B:$B,[140]단가!$B:$K,4,FALSE)</f>
        <v>#N/A</v>
      </c>
      <c r="F528" s="706" t="e">
        <f>VLOOKUP($B:$B,[140]단가!$B:$L,11,FALSE)</f>
        <v>#N/A</v>
      </c>
      <c r="G528" s="706"/>
      <c r="H528" s="712"/>
      <c r="I528" s="713"/>
    </row>
    <row r="529" spans="1:9" s="709" customFormat="1" ht="27.4" customHeight="1">
      <c r="A529" s="704" t="e">
        <f t="shared" si="10"/>
        <v>#N/A</v>
      </c>
      <c r="B529" s="715" t="s">
        <v>5730</v>
      </c>
      <c r="C529" s="706" t="e">
        <f>VLOOKUP($B:$B,[140]단가!$B:$K,2,FALSE)</f>
        <v>#N/A</v>
      </c>
      <c r="D529" s="706" t="e">
        <f>IF(VLOOKUP(B:B,[140]단가!B:K,3,FALSE)="","",VLOOKUP(B:B,[140]단가!B:K,3,FALSE))</f>
        <v>#N/A</v>
      </c>
      <c r="E529" s="707" t="e">
        <f>VLOOKUP($B:$B,[140]단가!$B:$K,4,FALSE)</f>
        <v>#N/A</v>
      </c>
      <c r="F529" s="706" t="e">
        <f>VLOOKUP($B:$B,[140]단가!$B:$L,11,FALSE)</f>
        <v>#N/A</v>
      </c>
      <c r="G529" s="706"/>
      <c r="H529" s="712"/>
      <c r="I529" s="713"/>
    </row>
    <row r="530" spans="1:9" s="709" customFormat="1" ht="27.4" customHeight="1">
      <c r="A530" s="704" t="e">
        <f t="shared" si="10"/>
        <v>#N/A</v>
      </c>
      <c r="B530" s="715" t="s">
        <v>5731</v>
      </c>
      <c r="C530" s="706" t="e">
        <f>VLOOKUP($B:$B,[140]단가!$B:$K,2,FALSE)</f>
        <v>#N/A</v>
      </c>
      <c r="D530" s="706" t="e">
        <f>IF(VLOOKUP(B:B,[140]단가!B:K,3,FALSE)="","",VLOOKUP(B:B,[140]단가!B:K,3,FALSE))</f>
        <v>#N/A</v>
      </c>
      <c r="E530" s="707" t="e">
        <f>VLOOKUP($B:$B,[140]단가!$B:$K,4,FALSE)</f>
        <v>#N/A</v>
      </c>
      <c r="F530" s="706" t="e">
        <f>VLOOKUP($B:$B,[140]단가!$B:$L,11,FALSE)</f>
        <v>#N/A</v>
      </c>
      <c r="G530" s="706"/>
      <c r="H530" s="712"/>
      <c r="I530" s="713"/>
    </row>
    <row r="531" spans="1:9" s="709" customFormat="1" ht="27.4" customHeight="1">
      <c r="A531" s="704" t="e">
        <f t="shared" si="10"/>
        <v>#N/A</v>
      </c>
      <c r="B531" s="715" t="s">
        <v>5732</v>
      </c>
      <c r="C531" s="706" t="e">
        <f>VLOOKUP($B:$B,[140]단가!$B:$K,2,FALSE)</f>
        <v>#N/A</v>
      </c>
      <c r="D531" s="706" t="e">
        <f>IF(VLOOKUP(B:B,[140]단가!B:K,3,FALSE)="","",VLOOKUP(B:B,[140]단가!B:K,3,FALSE))</f>
        <v>#N/A</v>
      </c>
      <c r="E531" s="707" t="e">
        <f>VLOOKUP($B:$B,[140]단가!$B:$K,4,FALSE)</f>
        <v>#N/A</v>
      </c>
      <c r="F531" s="706" t="e">
        <f>VLOOKUP($B:$B,[140]단가!$B:$L,11,FALSE)</f>
        <v>#N/A</v>
      </c>
      <c r="G531" s="706"/>
      <c r="H531" s="712"/>
      <c r="I531" s="713"/>
    </row>
    <row r="532" spans="1:9" s="709" customFormat="1" ht="27.4" customHeight="1">
      <c r="A532" s="704" t="e">
        <f t="shared" si="10"/>
        <v>#N/A</v>
      </c>
      <c r="B532" s="715" t="s">
        <v>5733</v>
      </c>
      <c r="C532" s="706" t="e">
        <f>VLOOKUP($B:$B,[140]단가!$B:$K,2,FALSE)</f>
        <v>#N/A</v>
      </c>
      <c r="D532" s="706" t="e">
        <f>IF(VLOOKUP(B:B,[140]단가!B:K,3,FALSE)="","",VLOOKUP(B:B,[140]단가!B:K,3,FALSE))</f>
        <v>#N/A</v>
      </c>
      <c r="E532" s="707" t="e">
        <f>VLOOKUP($B:$B,[140]단가!$B:$K,4,FALSE)</f>
        <v>#N/A</v>
      </c>
      <c r="F532" s="706" t="e">
        <f>VLOOKUP($B:$B,[140]단가!$B:$L,11,FALSE)</f>
        <v>#N/A</v>
      </c>
      <c r="G532" s="706"/>
      <c r="H532" s="712"/>
      <c r="I532" s="713"/>
    </row>
    <row r="533" spans="1:9" s="709" customFormat="1" ht="27.4" customHeight="1">
      <c r="A533" s="704" t="e">
        <f t="shared" si="10"/>
        <v>#N/A</v>
      </c>
      <c r="B533" s="715" t="s">
        <v>5734</v>
      </c>
      <c r="C533" s="706" t="e">
        <f>VLOOKUP($B:$B,[140]단가!$B:$K,2,FALSE)</f>
        <v>#N/A</v>
      </c>
      <c r="D533" s="706" t="e">
        <f>IF(VLOOKUP(B:B,[140]단가!B:K,3,FALSE)="","",VLOOKUP(B:B,[140]단가!B:K,3,FALSE))</f>
        <v>#N/A</v>
      </c>
      <c r="E533" s="707" t="e">
        <f>VLOOKUP($B:$B,[140]단가!$B:$K,4,FALSE)</f>
        <v>#N/A</v>
      </c>
      <c r="F533" s="706" t="e">
        <f>VLOOKUP($B:$B,[140]단가!$B:$L,11,FALSE)</f>
        <v>#N/A</v>
      </c>
      <c r="G533" s="706"/>
      <c r="H533" s="712"/>
      <c r="I533" s="713"/>
    </row>
    <row r="534" spans="1:9" s="709" customFormat="1" ht="27.4" customHeight="1">
      <c r="A534" s="704" t="e">
        <f t="shared" si="10"/>
        <v>#N/A</v>
      </c>
      <c r="B534" s="715" t="s">
        <v>5735</v>
      </c>
      <c r="C534" s="706" t="e">
        <f>VLOOKUP($B:$B,[140]단가!$B:$K,2,FALSE)</f>
        <v>#N/A</v>
      </c>
      <c r="D534" s="706" t="e">
        <f>IF(VLOOKUP(B:B,[140]단가!B:K,3,FALSE)="","",VLOOKUP(B:B,[140]단가!B:K,3,FALSE))</f>
        <v>#N/A</v>
      </c>
      <c r="E534" s="707" t="e">
        <f>VLOOKUP($B:$B,[140]단가!$B:$K,4,FALSE)</f>
        <v>#N/A</v>
      </c>
      <c r="F534" s="706" t="e">
        <f>VLOOKUP($B:$B,[140]단가!$B:$L,11,FALSE)</f>
        <v>#N/A</v>
      </c>
      <c r="G534" s="706"/>
      <c r="H534" s="712"/>
      <c r="I534" s="713"/>
    </row>
    <row r="535" spans="1:9" s="709" customFormat="1" ht="27.4" customHeight="1">
      <c r="A535" s="704" t="e">
        <f t="shared" si="10"/>
        <v>#N/A</v>
      </c>
      <c r="B535" s="715" t="s">
        <v>5736</v>
      </c>
      <c r="C535" s="706" t="e">
        <f>VLOOKUP($B:$B,[140]단가!$B:$K,2,FALSE)</f>
        <v>#N/A</v>
      </c>
      <c r="D535" s="706" t="e">
        <f>IF(VLOOKUP(B:B,[140]단가!B:K,3,FALSE)="","",VLOOKUP(B:B,[140]단가!B:K,3,FALSE))</f>
        <v>#N/A</v>
      </c>
      <c r="E535" s="707" t="e">
        <f>VLOOKUP($B:$B,[140]단가!$B:$K,4,FALSE)</f>
        <v>#N/A</v>
      </c>
      <c r="F535" s="706" t="e">
        <f>VLOOKUP($B:$B,[140]단가!$B:$L,11,FALSE)</f>
        <v>#N/A</v>
      </c>
      <c r="G535" s="706"/>
      <c r="H535" s="712"/>
      <c r="I535" s="713"/>
    </row>
    <row r="536" spans="1:9" s="709" customFormat="1" ht="27.4" customHeight="1">
      <c r="A536" s="704" t="e">
        <f t="shared" si="10"/>
        <v>#N/A</v>
      </c>
      <c r="B536" s="715" t="s">
        <v>5737</v>
      </c>
      <c r="C536" s="706" t="e">
        <f>VLOOKUP($B:$B,[140]단가!$B:$K,2,FALSE)</f>
        <v>#N/A</v>
      </c>
      <c r="D536" s="706" t="e">
        <f>IF(VLOOKUP(B:B,[140]단가!B:K,3,FALSE)="","",VLOOKUP(B:B,[140]단가!B:K,3,FALSE))</f>
        <v>#N/A</v>
      </c>
      <c r="E536" s="707" t="e">
        <f>VLOOKUP($B:$B,[140]단가!$B:$K,4,FALSE)</f>
        <v>#N/A</v>
      </c>
      <c r="F536" s="706" t="e">
        <f>VLOOKUP($B:$B,[140]단가!$B:$L,11,FALSE)</f>
        <v>#N/A</v>
      </c>
      <c r="G536" s="706"/>
      <c r="H536" s="712"/>
      <c r="I536" s="713"/>
    </row>
    <row r="537" spans="1:9" s="709" customFormat="1" ht="27.4" customHeight="1">
      <c r="A537" s="704" t="e">
        <f t="shared" si="10"/>
        <v>#N/A</v>
      </c>
      <c r="B537" s="715" t="s">
        <v>5738</v>
      </c>
      <c r="C537" s="706" t="e">
        <f>VLOOKUP($B:$B,[140]단가!$B:$K,2,FALSE)</f>
        <v>#N/A</v>
      </c>
      <c r="D537" s="706" t="e">
        <f>IF(VLOOKUP(B:B,[140]단가!B:K,3,FALSE)="","",VLOOKUP(B:B,[140]단가!B:K,3,FALSE))</f>
        <v>#N/A</v>
      </c>
      <c r="E537" s="707" t="e">
        <f>VLOOKUP($B:$B,[140]단가!$B:$K,4,FALSE)</f>
        <v>#N/A</v>
      </c>
      <c r="F537" s="706" t="e">
        <f>VLOOKUP($B:$B,[140]단가!$B:$L,11,FALSE)</f>
        <v>#N/A</v>
      </c>
      <c r="G537" s="706"/>
      <c r="H537" s="712"/>
      <c r="I537" s="713"/>
    </row>
    <row r="538" spans="1:9" s="709" customFormat="1" ht="27.4" customHeight="1">
      <c r="A538" s="704" t="e">
        <f t="shared" si="10"/>
        <v>#N/A</v>
      </c>
      <c r="B538" s="715" t="s">
        <v>5739</v>
      </c>
      <c r="C538" s="706" t="e">
        <f>VLOOKUP($B:$B,[140]단가!$B:$K,2,FALSE)</f>
        <v>#N/A</v>
      </c>
      <c r="D538" s="706" t="e">
        <f>IF(VLOOKUP(B:B,[140]단가!B:K,3,FALSE)="","",VLOOKUP(B:B,[140]단가!B:K,3,FALSE))</f>
        <v>#N/A</v>
      </c>
      <c r="E538" s="707" t="e">
        <f>VLOOKUP($B:$B,[140]단가!$B:$K,4,FALSE)</f>
        <v>#N/A</v>
      </c>
      <c r="F538" s="706" t="e">
        <f>VLOOKUP($B:$B,[140]단가!$B:$L,11,FALSE)</f>
        <v>#N/A</v>
      </c>
      <c r="G538" s="706"/>
      <c r="H538" s="712"/>
      <c r="I538" s="713"/>
    </row>
    <row r="539" spans="1:9" s="709" customFormat="1" ht="27.4" customHeight="1">
      <c r="A539" s="704" t="e">
        <f t="shared" si="10"/>
        <v>#N/A</v>
      </c>
      <c r="B539" s="715" t="s">
        <v>5740</v>
      </c>
      <c r="C539" s="706" t="e">
        <f>VLOOKUP($B:$B,[140]단가!$B:$K,2,FALSE)</f>
        <v>#N/A</v>
      </c>
      <c r="D539" s="706" t="e">
        <f>IF(VLOOKUP(B:B,[140]단가!B:K,3,FALSE)="","",VLOOKUP(B:B,[140]단가!B:K,3,FALSE))</f>
        <v>#N/A</v>
      </c>
      <c r="E539" s="707" t="e">
        <f>VLOOKUP($B:$B,[140]단가!$B:$K,4,FALSE)</f>
        <v>#N/A</v>
      </c>
      <c r="F539" s="706" t="e">
        <f>VLOOKUP($B:$B,[140]단가!$B:$L,11,FALSE)</f>
        <v>#N/A</v>
      </c>
      <c r="G539" s="706"/>
      <c r="H539" s="712"/>
      <c r="I539" s="713"/>
    </row>
    <row r="540" spans="1:9" s="709" customFormat="1" ht="27.4" customHeight="1">
      <c r="A540" s="704" t="e">
        <f t="shared" si="10"/>
        <v>#N/A</v>
      </c>
      <c r="B540" s="715" t="s">
        <v>5741</v>
      </c>
      <c r="C540" s="706" t="e">
        <f>VLOOKUP($B:$B,[140]단가!$B:$K,2,FALSE)</f>
        <v>#N/A</v>
      </c>
      <c r="D540" s="706" t="e">
        <f>IF(VLOOKUP(B:B,[140]단가!B:K,3,FALSE)="","",VLOOKUP(B:B,[140]단가!B:K,3,FALSE))</f>
        <v>#N/A</v>
      </c>
      <c r="E540" s="707" t="e">
        <f>VLOOKUP($B:$B,[140]단가!$B:$K,4,FALSE)</f>
        <v>#N/A</v>
      </c>
      <c r="F540" s="706" t="e">
        <f>VLOOKUP($B:$B,[140]단가!$B:$L,11,FALSE)</f>
        <v>#N/A</v>
      </c>
      <c r="G540" s="706"/>
      <c r="H540" s="712"/>
      <c r="I540" s="713"/>
    </row>
    <row r="541" spans="1:9" s="709" customFormat="1" ht="27.4" customHeight="1">
      <c r="A541" s="704" t="e">
        <f t="shared" si="10"/>
        <v>#N/A</v>
      </c>
      <c r="B541" s="715" t="s">
        <v>5742</v>
      </c>
      <c r="C541" s="706" t="e">
        <f>VLOOKUP($B:$B,[140]단가!$B:$K,2,FALSE)</f>
        <v>#N/A</v>
      </c>
      <c r="D541" s="706" t="e">
        <f>IF(VLOOKUP(B:B,[140]단가!B:K,3,FALSE)="","",VLOOKUP(B:B,[140]단가!B:K,3,FALSE))</f>
        <v>#N/A</v>
      </c>
      <c r="E541" s="707" t="e">
        <f>VLOOKUP($B:$B,[140]단가!$B:$K,4,FALSE)</f>
        <v>#N/A</v>
      </c>
      <c r="F541" s="706" t="e">
        <f>VLOOKUP($B:$B,[140]단가!$B:$L,11,FALSE)</f>
        <v>#N/A</v>
      </c>
      <c r="G541" s="706"/>
      <c r="H541" s="712"/>
      <c r="I541" s="713"/>
    </row>
    <row r="542" spans="1:9" s="709" customFormat="1" ht="27.4" customHeight="1">
      <c r="A542" s="704" t="e">
        <f t="shared" si="10"/>
        <v>#N/A</v>
      </c>
      <c r="B542" s="715" t="s">
        <v>5743</v>
      </c>
      <c r="C542" s="706" t="e">
        <f>VLOOKUP($B:$B,[140]단가!$B:$K,2,FALSE)</f>
        <v>#N/A</v>
      </c>
      <c r="D542" s="706" t="e">
        <f>IF(VLOOKUP(B:B,[140]단가!B:K,3,FALSE)="","",VLOOKUP(B:B,[140]단가!B:K,3,FALSE))</f>
        <v>#N/A</v>
      </c>
      <c r="E542" s="707" t="e">
        <f>VLOOKUP($B:$B,[140]단가!$B:$K,4,FALSE)</f>
        <v>#N/A</v>
      </c>
      <c r="F542" s="706" t="e">
        <f>VLOOKUP($B:$B,[140]단가!$B:$L,11,FALSE)</f>
        <v>#N/A</v>
      </c>
      <c r="G542" s="706"/>
      <c r="H542" s="712"/>
      <c r="I542" s="713"/>
    </row>
    <row r="543" spans="1:9" s="709" customFormat="1" ht="27.4" customHeight="1">
      <c r="A543" s="704" t="e">
        <f t="shared" si="10"/>
        <v>#N/A</v>
      </c>
      <c r="B543" s="715" t="s">
        <v>5744</v>
      </c>
      <c r="C543" s="706" t="e">
        <f>VLOOKUP($B:$B,[140]단가!$B:$K,2,FALSE)</f>
        <v>#N/A</v>
      </c>
      <c r="D543" s="706" t="e">
        <f>IF(VLOOKUP(B:B,[140]단가!B:K,3,FALSE)="","",VLOOKUP(B:B,[140]단가!B:K,3,FALSE))</f>
        <v>#N/A</v>
      </c>
      <c r="E543" s="707" t="e">
        <f>VLOOKUP($B:$B,[140]단가!$B:$K,4,FALSE)</f>
        <v>#N/A</v>
      </c>
      <c r="F543" s="706" t="e">
        <f>VLOOKUP($B:$B,[140]단가!$B:$L,11,FALSE)</f>
        <v>#N/A</v>
      </c>
      <c r="G543" s="706"/>
      <c r="H543" s="712"/>
      <c r="I543" s="713"/>
    </row>
    <row r="544" spans="1:9" s="709" customFormat="1" ht="27.4" customHeight="1">
      <c r="A544" s="704" t="e">
        <f t="shared" si="10"/>
        <v>#N/A</v>
      </c>
      <c r="B544" s="715" t="s">
        <v>5745</v>
      </c>
      <c r="C544" s="706" t="e">
        <f>VLOOKUP($B:$B,[140]단가!$B:$K,2,FALSE)</f>
        <v>#N/A</v>
      </c>
      <c r="D544" s="706" t="e">
        <f>IF(VLOOKUP(B:B,[140]단가!B:K,3,FALSE)="","",VLOOKUP(B:B,[140]단가!B:K,3,FALSE))</f>
        <v>#N/A</v>
      </c>
      <c r="E544" s="707" t="e">
        <f>VLOOKUP($B:$B,[140]단가!$B:$K,4,FALSE)</f>
        <v>#N/A</v>
      </c>
      <c r="F544" s="706" t="e">
        <f>VLOOKUP($B:$B,[140]단가!$B:$L,11,FALSE)</f>
        <v>#N/A</v>
      </c>
      <c r="G544" s="706"/>
      <c r="H544" s="712"/>
      <c r="I544" s="713"/>
    </row>
    <row r="545" spans="1:9" s="709" customFormat="1" ht="27.4" customHeight="1">
      <c r="A545" s="704" t="e">
        <f t="shared" si="10"/>
        <v>#N/A</v>
      </c>
      <c r="B545" s="715" t="s">
        <v>5746</v>
      </c>
      <c r="C545" s="706" t="e">
        <f>VLOOKUP($B:$B,[140]단가!$B:$K,2,FALSE)</f>
        <v>#N/A</v>
      </c>
      <c r="D545" s="706" t="e">
        <f>IF(VLOOKUP(B:B,[140]단가!B:K,3,FALSE)="","",VLOOKUP(B:B,[140]단가!B:K,3,FALSE))</f>
        <v>#N/A</v>
      </c>
      <c r="E545" s="707" t="e">
        <f>VLOOKUP($B:$B,[140]단가!$B:$K,4,FALSE)</f>
        <v>#N/A</v>
      </c>
      <c r="F545" s="706" t="e">
        <f>VLOOKUP($B:$B,[140]단가!$B:$L,11,FALSE)</f>
        <v>#N/A</v>
      </c>
      <c r="G545" s="706"/>
      <c r="H545" s="712"/>
      <c r="I545" s="713"/>
    </row>
    <row r="546" spans="1:9" s="709" customFormat="1" ht="27.4" customHeight="1">
      <c r="A546" s="704" t="e">
        <f t="shared" si="10"/>
        <v>#N/A</v>
      </c>
      <c r="B546" s="715" t="s">
        <v>5747</v>
      </c>
      <c r="C546" s="706" t="e">
        <f>VLOOKUP($B:$B,[140]단가!$B:$K,2,FALSE)</f>
        <v>#N/A</v>
      </c>
      <c r="D546" s="706" t="e">
        <f>IF(VLOOKUP(B:B,[140]단가!B:K,3,FALSE)="","",VLOOKUP(B:B,[140]단가!B:K,3,FALSE))</f>
        <v>#N/A</v>
      </c>
      <c r="E546" s="707" t="e">
        <f>VLOOKUP($B:$B,[140]단가!$B:$K,4,FALSE)</f>
        <v>#N/A</v>
      </c>
      <c r="F546" s="706" t="e">
        <f>VLOOKUP($B:$B,[140]단가!$B:$L,11,FALSE)</f>
        <v>#N/A</v>
      </c>
      <c r="G546" s="706"/>
      <c r="H546" s="712"/>
      <c r="I546" s="713"/>
    </row>
    <row r="547" spans="1:9" s="709" customFormat="1" ht="27.4" customHeight="1">
      <c r="A547" s="704" t="e">
        <f t="shared" si="10"/>
        <v>#N/A</v>
      </c>
      <c r="B547" s="715" t="s">
        <v>5748</v>
      </c>
      <c r="C547" s="706" t="e">
        <f>VLOOKUP($B:$B,[140]단가!$B:$K,2,FALSE)</f>
        <v>#N/A</v>
      </c>
      <c r="D547" s="706" t="e">
        <f>IF(VLOOKUP(B:B,[140]단가!B:K,3,FALSE)="","",VLOOKUP(B:B,[140]단가!B:K,3,FALSE))</f>
        <v>#N/A</v>
      </c>
      <c r="E547" s="707" t="e">
        <f>VLOOKUP($B:$B,[140]단가!$B:$K,4,FALSE)</f>
        <v>#N/A</v>
      </c>
      <c r="F547" s="706" t="e">
        <f>VLOOKUP($B:$B,[140]단가!$B:$L,11,FALSE)</f>
        <v>#N/A</v>
      </c>
      <c r="G547" s="706"/>
      <c r="H547" s="712"/>
      <c r="I547" s="713"/>
    </row>
    <row r="548" spans="1:9" s="709" customFormat="1" ht="27.4" customHeight="1">
      <c r="A548" s="704" t="e">
        <f t="shared" si="10"/>
        <v>#N/A</v>
      </c>
      <c r="B548" s="715" t="s">
        <v>5749</v>
      </c>
      <c r="C548" s="706" t="e">
        <f>VLOOKUP($B:$B,[140]단가!$B:$K,2,FALSE)</f>
        <v>#N/A</v>
      </c>
      <c r="D548" s="706" t="e">
        <f>IF(VLOOKUP(B:B,[140]단가!B:K,3,FALSE)="","",VLOOKUP(B:B,[140]단가!B:K,3,FALSE))</f>
        <v>#N/A</v>
      </c>
      <c r="E548" s="707" t="e">
        <f>VLOOKUP($B:$B,[140]단가!$B:$K,4,FALSE)</f>
        <v>#N/A</v>
      </c>
      <c r="F548" s="706" t="e">
        <f>VLOOKUP($B:$B,[140]단가!$B:$L,11,FALSE)</f>
        <v>#N/A</v>
      </c>
      <c r="G548" s="706"/>
      <c r="H548" s="712"/>
      <c r="I548" s="713"/>
    </row>
    <row r="549" spans="1:9" s="709" customFormat="1" ht="27.4" customHeight="1">
      <c r="A549" s="704" t="e">
        <f t="shared" si="10"/>
        <v>#N/A</v>
      </c>
      <c r="B549" s="715" t="s">
        <v>5750</v>
      </c>
      <c r="C549" s="706" t="e">
        <f>VLOOKUP($B:$B,[140]단가!$B:$K,2,FALSE)</f>
        <v>#N/A</v>
      </c>
      <c r="D549" s="706" t="e">
        <f>IF(VLOOKUP(B:B,[140]단가!B:K,3,FALSE)="","",VLOOKUP(B:B,[140]단가!B:K,3,FALSE))</f>
        <v>#N/A</v>
      </c>
      <c r="E549" s="707" t="e">
        <f>VLOOKUP($B:$B,[140]단가!$B:$K,4,FALSE)</f>
        <v>#N/A</v>
      </c>
      <c r="F549" s="706" t="e">
        <f>VLOOKUP($B:$B,[140]단가!$B:$L,11,FALSE)</f>
        <v>#N/A</v>
      </c>
      <c r="G549" s="706"/>
      <c r="H549" s="712"/>
      <c r="I549" s="713"/>
    </row>
    <row r="550" spans="1:9" s="709" customFormat="1" ht="27.4" customHeight="1">
      <c r="A550" s="704" t="e">
        <f t="shared" si="10"/>
        <v>#N/A</v>
      </c>
      <c r="B550" s="715" t="s">
        <v>5751</v>
      </c>
      <c r="C550" s="706" t="e">
        <f>VLOOKUP($B:$B,[140]단가!$B:$K,2,FALSE)</f>
        <v>#N/A</v>
      </c>
      <c r="D550" s="706" t="e">
        <f>IF(VLOOKUP(B:B,[140]단가!B:K,3,FALSE)="","",VLOOKUP(B:B,[140]단가!B:K,3,FALSE))</f>
        <v>#N/A</v>
      </c>
      <c r="E550" s="707" t="e">
        <f>VLOOKUP($B:$B,[140]단가!$B:$K,4,FALSE)</f>
        <v>#N/A</v>
      </c>
      <c r="F550" s="706" t="e">
        <f>VLOOKUP($B:$B,[140]단가!$B:$L,11,FALSE)</f>
        <v>#N/A</v>
      </c>
      <c r="G550" s="706"/>
      <c r="H550" s="712"/>
      <c r="I550" s="713"/>
    </row>
    <row r="551" spans="1:9" s="709" customFormat="1" ht="27.4" customHeight="1">
      <c r="A551" s="704" t="e">
        <f t="shared" ref="A551:A614" si="11">SUBSTITUTE(CONCATENATE(C:C,D:D,E:E)," ","")</f>
        <v>#N/A</v>
      </c>
      <c r="B551" s="715" t="s">
        <v>5752</v>
      </c>
      <c r="C551" s="706" t="e">
        <f>VLOOKUP($B:$B,[140]단가!$B:$K,2,FALSE)</f>
        <v>#N/A</v>
      </c>
      <c r="D551" s="706" t="e">
        <f>IF(VLOOKUP(B:B,[140]단가!B:K,3,FALSE)="","",VLOOKUP(B:B,[140]단가!B:K,3,FALSE))</f>
        <v>#N/A</v>
      </c>
      <c r="E551" s="707" t="e">
        <f>VLOOKUP($B:$B,[140]단가!$B:$K,4,FALSE)</f>
        <v>#N/A</v>
      </c>
      <c r="F551" s="706" t="e">
        <f>VLOOKUP($B:$B,[140]단가!$B:$L,11,FALSE)</f>
        <v>#N/A</v>
      </c>
      <c r="G551" s="706"/>
      <c r="H551" s="712"/>
      <c r="I551" s="713"/>
    </row>
    <row r="552" spans="1:9" s="709" customFormat="1" ht="27.4" customHeight="1">
      <c r="A552" s="704" t="e">
        <f t="shared" si="11"/>
        <v>#N/A</v>
      </c>
      <c r="B552" s="715" t="s">
        <v>5753</v>
      </c>
      <c r="C552" s="706" t="e">
        <f>VLOOKUP($B:$B,[140]단가!$B:$K,2,FALSE)</f>
        <v>#N/A</v>
      </c>
      <c r="D552" s="706" t="e">
        <f>IF(VLOOKUP(B:B,[140]단가!B:K,3,FALSE)="","",VLOOKUP(B:B,[140]단가!B:K,3,FALSE))</f>
        <v>#N/A</v>
      </c>
      <c r="E552" s="707" t="e">
        <f>VLOOKUP($B:$B,[140]단가!$B:$K,4,FALSE)</f>
        <v>#N/A</v>
      </c>
      <c r="F552" s="706" t="e">
        <f>VLOOKUP($B:$B,[140]단가!$B:$L,11,FALSE)</f>
        <v>#N/A</v>
      </c>
      <c r="G552" s="706"/>
      <c r="H552" s="712"/>
      <c r="I552" s="713"/>
    </row>
    <row r="553" spans="1:9" s="709" customFormat="1" ht="27.4" customHeight="1">
      <c r="A553" s="704" t="e">
        <f t="shared" si="11"/>
        <v>#N/A</v>
      </c>
      <c r="B553" s="715" t="s">
        <v>5754</v>
      </c>
      <c r="C553" s="706" t="e">
        <f>VLOOKUP($B:$B,[140]단가!$B:$K,2,FALSE)</f>
        <v>#N/A</v>
      </c>
      <c r="D553" s="706" t="e">
        <f>IF(VLOOKUP(B:B,[140]단가!B:K,3,FALSE)="","",VLOOKUP(B:B,[140]단가!B:K,3,FALSE))</f>
        <v>#N/A</v>
      </c>
      <c r="E553" s="707" t="e">
        <f>VLOOKUP($B:$B,[140]단가!$B:$K,4,FALSE)</f>
        <v>#N/A</v>
      </c>
      <c r="F553" s="706" t="e">
        <f>VLOOKUP($B:$B,[140]단가!$B:$L,11,FALSE)</f>
        <v>#N/A</v>
      </c>
      <c r="G553" s="706"/>
      <c r="H553" s="712"/>
      <c r="I553" s="713"/>
    </row>
    <row r="554" spans="1:9" s="709" customFormat="1" ht="27.4" customHeight="1">
      <c r="A554" s="704" t="e">
        <f t="shared" si="11"/>
        <v>#N/A</v>
      </c>
      <c r="B554" s="715" t="s">
        <v>5755</v>
      </c>
      <c r="C554" s="706" t="e">
        <f>VLOOKUP($B:$B,[140]단가!$B:$K,2,FALSE)</f>
        <v>#N/A</v>
      </c>
      <c r="D554" s="706" t="e">
        <f>IF(VLOOKUP(B:B,[140]단가!B:K,3,FALSE)="","",VLOOKUP(B:B,[140]단가!B:K,3,FALSE))</f>
        <v>#N/A</v>
      </c>
      <c r="E554" s="707" t="e">
        <f>VLOOKUP($B:$B,[140]단가!$B:$K,4,FALSE)</f>
        <v>#N/A</v>
      </c>
      <c r="F554" s="706" t="e">
        <f>VLOOKUP($B:$B,[140]단가!$B:$L,11,FALSE)</f>
        <v>#N/A</v>
      </c>
      <c r="G554" s="706"/>
      <c r="H554" s="712"/>
      <c r="I554" s="713"/>
    </row>
    <row r="555" spans="1:9" s="709" customFormat="1" ht="27.4" customHeight="1">
      <c r="A555" s="704" t="e">
        <f t="shared" si="11"/>
        <v>#N/A</v>
      </c>
      <c r="B555" s="715" t="s">
        <v>5756</v>
      </c>
      <c r="C555" s="706" t="e">
        <f>VLOOKUP($B:$B,[140]단가!$B:$K,2,FALSE)</f>
        <v>#N/A</v>
      </c>
      <c r="D555" s="706" t="e">
        <f>IF(VLOOKUP(B:B,[140]단가!B:K,3,FALSE)="","",VLOOKUP(B:B,[140]단가!B:K,3,FALSE))</f>
        <v>#N/A</v>
      </c>
      <c r="E555" s="707" t="e">
        <f>VLOOKUP($B:$B,[140]단가!$B:$K,4,FALSE)</f>
        <v>#N/A</v>
      </c>
      <c r="F555" s="706" t="e">
        <f>VLOOKUP($B:$B,[140]단가!$B:$L,11,FALSE)</f>
        <v>#N/A</v>
      </c>
      <c r="G555" s="706"/>
      <c r="H555" s="712"/>
      <c r="I555" s="713"/>
    </row>
    <row r="556" spans="1:9" s="709" customFormat="1" ht="27.4" customHeight="1">
      <c r="A556" s="704" t="e">
        <f t="shared" si="11"/>
        <v>#N/A</v>
      </c>
      <c r="B556" s="715" t="s">
        <v>5757</v>
      </c>
      <c r="C556" s="706" t="e">
        <f>VLOOKUP($B:$B,[140]단가!$B:$K,2,FALSE)</f>
        <v>#N/A</v>
      </c>
      <c r="D556" s="706" t="e">
        <f>IF(VLOOKUP(B:B,[140]단가!B:K,3,FALSE)="","",VLOOKUP(B:B,[140]단가!B:K,3,FALSE))</f>
        <v>#N/A</v>
      </c>
      <c r="E556" s="707" t="e">
        <f>VLOOKUP($B:$B,[140]단가!$B:$K,4,FALSE)</f>
        <v>#N/A</v>
      </c>
      <c r="F556" s="706" t="e">
        <f>VLOOKUP($B:$B,[140]단가!$B:$L,11,FALSE)</f>
        <v>#N/A</v>
      </c>
      <c r="G556" s="706"/>
      <c r="H556" s="712"/>
      <c r="I556" s="713"/>
    </row>
    <row r="557" spans="1:9" s="709" customFormat="1" ht="27.4" customHeight="1">
      <c r="A557" s="704" t="e">
        <f t="shared" si="11"/>
        <v>#N/A</v>
      </c>
      <c r="B557" s="715" t="s">
        <v>5758</v>
      </c>
      <c r="C557" s="706" t="e">
        <f>VLOOKUP($B:$B,[140]단가!$B:$K,2,FALSE)</f>
        <v>#N/A</v>
      </c>
      <c r="D557" s="706" t="e">
        <f>IF(VLOOKUP(B:B,[140]단가!B:K,3,FALSE)="","",VLOOKUP(B:B,[140]단가!B:K,3,FALSE))</f>
        <v>#N/A</v>
      </c>
      <c r="E557" s="707" t="e">
        <f>VLOOKUP($B:$B,[140]단가!$B:$K,4,FALSE)</f>
        <v>#N/A</v>
      </c>
      <c r="F557" s="706" t="e">
        <f>VLOOKUP($B:$B,[140]단가!$B:$L,11,FALSE)</f>
        <v>#N/A</v>
      </c>
      <c r="G557" s="706"/>
      <c r="H557" s="712"/>
      <c r="I557" s="713"/>
    </row>
    <row r="558" spans="1:9" s="709" customFormat="1" ht="27.4" customHeight="1">
      <c r="A558" s="704" t="e">
        <f t="shared" si="11"/>
        <v>#N/A</v>
      </c>
      <c r="B558" s="715" t="s">
        <v>5759</v>
      </c>
      <c r="C558" s="706" t="e">
        <f>VLOOKUP($B:$B,[140]단가!$B:$K,2,FALSE)</f>
        <v>#N/A</v>
      </c>
      <c r="D558" s="706" t="e">
        <f>IF(VLOOKUP(B:B,[140]단가!B:K,3,FALSE)="","",VLOOKUP(B:B,[140]단가!B:K,3,FALSE))</f>
        <v>#N/A</v>
      </c>
      <c r="E558" s="707" t="e">
        <f>VLOOKUP($B:$B,[140]단가!$B:$K,4,FALSE)</f>
        <v>#N/A</v>
      </c>
      <c r="F558" s="706" t="e">
        <f>VLOOKUP($B:$B,[140]단가!$B:$L,11,FALSE)</f>
        <v>#N/A</v>
      </c>
      <c r="G558" s="706"/>
      <c r="H558" s="712"/>
      <c r="I558" s="713"/>
    </row>
    <row r="559" spans="1:9" s="709" customFormat="1" ht="27.4" customHeight="1">
      <c r="A559" s="704" t="e">
        <f t="shared" si="11"/>
        <v>#N/A</v>
      </c>
      <c r="B559" s="715" t="s">
        <v>5760</v>
      </c>
      <c r="C559" s="706" t="e">
        <f>VLOOKUP($B:$B,[140]단가!$B:$K,2,FALSE)</f>
        <v>#N/A</v>
      </c>
      <c r="D559" s="706" t="e">
        <f>IF(VLOOKUP(B:B,[140]단가!B:K,3,FALSE)="","",VLOOKUP(B:B,[140]단가!B:K,3,FALSE))</f>
        <v>#N/A</v>
      </c>
      <c r="E559" s="707" t="e">
        <f>VLOOKUP($B:$B,[140]단가!$B:$K,4,FALSE)</f>
        <v>#N/A</v>
      </c>
      <c r="F559" s="706" t="e">
        <f>VLOOKUP($B:$B,[140]단가!$B:$L,11,FALSE)</f>
        <v>#N/A</v>
      </c>
      <c r="G559" s="706"/>
      <c r="H559" s="712"/>
      <c r="I559" s="713"/>
    </row>
    <row r="560" spans="1:9" s="709" customFormat="1" ht="27.4" customHeight="1">
      <c r="A560" s="704" t="e">
        <f t="shared" si="11"/>
        <v>#N/A</v>
      </c>
      <c r="B560" s="715" t="s">
        <v>5761</v>
      </c>
      <c r="C560" s="706" t="e">
        <f>VLOOKUP($B:$B,[140]단가!$B:$K,2,FALSE)</f>
        <v>#N/A</v>
      </c>
      <c r="D560" s="706" t="e">
        <f>IF(VLOOKUP(B:B,[140]단가!B:K,3,FALSE)="","",VLOOKUP(B:B,[140]단가!B:K,3,FALSE))</f>
        <v>#N/A</v>
      </c>
      <c r="E560" s="707" t="e">
        <f>VLOOKUP($B:$B,[140]단가!$B:$K,4,FALSE)</f>
        <v>#N/A</v>
      </c>
      <c r="F560" s="706" t="e">
        <f>VLOOKUP($B:$B,[140]단가!$B:$L,11,FALSE)</f>
        <v>#N/A</v>
      </c>
      <c r="G560" s="706"/>
      <c r="H560" s="712"/>
      <c r="I560" s="713"/>
    </row>
    <row r="561" spans="1:9" s="709" customFormat="1" ht="27.4" customHeight="1">
      <c r="A561" s="704" t="e">
        <f t="shared" si="11"/>
        <v>#N/A</v>
      </c>
      <c r="B561" s="715" t="s">
        <v>5762</v>
      </c>
      <c r="C561" s="706" t="e">
        <f>VLOOKUP($B:$B,[140]단가!$B:$K,2,FALSE)</f>
        <v>#N/A</v>
      </c>
      <c r="D561" s="706" t="e">
        <f>IF(VLOOKUP(B:B,[140]단가!B:K,3,FALSE)="","",VLOOKUP(B:B,[140]단가!B:K,3,FALSE))</f>
        <v>#N/A</v>
      </c>
      <c r="E561" s="707" t="e">
        <f>VLOOKUP($B:$B,[140]단가!$B:$K,4,FALSE)</f>
        <v>#N/A</v>
      </c>
      <c r="F561" s="706" t="e">
        <f>VLOOKUP($B:$B,[140]단가!$B:$L,11,FALSE)</f>
        <v>#N/A</v>
      </c>
      <c r="G561" s="706"/>
      <c r="H561" s="712"/>
      <c r="I561" s="713"/>
    </row>
    <row r="562" spans="1:9" s="709" customFormat="1" ht="27.4" customHeight="1">
      <c r="A562" s="704" t="e">
        <f t="shared" si="11"/>
        <v>#N/A</v>
      </c>
      <c r="B562" s="715" t="s">
        <v>5763</v>
      </c>
      <c r="C562" s="706" t="e">
        <f>VLOOKUP($B:$B,[140]단가!$B:$K,2,FALSE)</f>
        <v>#N/A</v>
      </c>
      <c r="D562" s="706" t="e">
        <f>IF(VLOOKUP(B:B,[140]단가!B:K,3,FALSE)="","",VLOOKUP(B:B,[140]단가!B:K,3,FALSE))</f>
        <v>#N/A</v>
      </c>
      <c r="E562" s="707" t="e">
        <f>VLOOKUP($B:$B,[140]단가!$B:$K,4,FALSE)</f>
        <v>#N/A</v>
      </c>
      <c r="F562" s="706" t="e">
        <f>VLOOKUP($B:$B,[140]단가!$B:$L,11,FALSE)</f>
        <v>#N/A</v>
      </c>
      <c r="G562" s="706"/>
      <c r="H562" s="712"/>
      <c r="I562" s="713"/>
    </row>
    <row r="563" spans="1:9" s="709" customFormat="1" ht="27.4" customHeight="1">
      <c r="A563" s="704" t="e">
        <f t="shared" si="11"/>
        <v>#N/A</v>
      </c>
      <c r="B563" s="715" t="s">
        <v>5764</v>
      </c>
      <c r="C563" s="706" t="e">
        <f>VLOOKUP($B:$B,[140]단가!$B:$K,2,FALSE)</f>
        <v>#N/A</v>
      </c>
      <c r="D563" s="706" t="e">
        <f>IF(VLOOKUP(B:B,[140]단가!B:K,3,FALSE)="","",VLOOKUP(B:B,[140]단가!B:K,3,FALSE))</f>
        <v>#N/A</v>
      </c>
      <c r="E563" s="707" t="e">
        <f>VLOOKUP($B:$B,[140]단가!$B:$K,4,FALSE)</f>
        <v>#N/A</v>
      </c>
      <c r="F563" s="706" t="e">
        <f>VLOOKUP($B:$B,[140]단가!$B:$L,11,FALSE)</f>
        <v>#N/A</v>
      </c>
      <c r="G563" s="706"/>
      <c r="H563" s="712"/>
      <c r="I563" s="713"/>
    </row>
    <row r="564" spans="1:9" s="709" customFormat="1" ht="27.4" customHeight="1">
      <c r="A564" s="704" t="e">
        <f t="shared" si="11"/>
        <v>#N/A</v>
      </c>
      <c r="B564" s="715" t="s">
        <v>5765</v>
      </c>
      <c r="C564" s="706" t="e">
        <f>VLOOKUP($B:$B,[140]단가!$B:$K,2,FALSE)</f>
        <v>#N/A</v>
      </c>
      <c r="D564" s="706" t="e">
        <f>IF(VLOOKUP(B:B,[140]단가!B:K,3,FALSE)="","",VLOOKUP(B:B,[140]단가!B:K,3,FALSE))</f>
        <v>#N/A</v>
      </c>
      <c r="E564" s="707" t="e">
        <f>VLOOKUP($B:$B,[140]단가!$B:$K,4,FALSE)</f>
        <v>#N/A</v>
      </c>
      <c r="F564" s="706" t="e">
        <f>VLOOKUP($B:$B,[140]단가!$B:$L,11,FALSE)</f>
        <v>#N/A</v>
      </c>
      <c r="G564" s="706"/>
      <c r="H564" s="712"/>
      <c r="I564" s="713"/>
    </row>
    <row r="565" spans="1:9" s="709" customFormat="1" ht="27.4" customHeight="1">
      <c r="A565" s="704" t="e">
        <f t="shared" si="11"/>
        <v>#N/A</v>
      </c>
      <c r="B565" s="715" t="s">
        <v>5766</v>
      </c>
      <c r="C565" s="706" t="e">
        <f>VLOOKUP($B:$B,[140]단가!$B:$K,2,FALSE)</f>
        <v>#N/A</v>
      </c>
      <c r="D565" s="706" t="e">
        <f>IF(VLOOKUP(B:B,[140]단가!B:K,3,FALSE)="","",VLOOKUP(B:B,[140]단가!B:K,3,FALSE))</f>
        <v>#N/A</v>
      </c>
      <c r="E565" s="707" t="e">
        <f>VLOOKUP($B:$B,[140]단가!$B:$K,4,FALSE)</f>
        <v>#N/A</v>
      </c>
      <c r="F565" s="706" t="e">
        <f>VLOOKUP($B:$B,[140]단가!$B:$L,11,FALSE)</f>
        <v>#N/A</v>
      </c>
      <c r="G565" s="706"/>
      <c r="H565" s="712"/>
      <c r="I565" s="713"/>
    </row>
    <row r="566" spans="1:9" s="709" customFormat="1" ht="27.4" customHeight="1">
      <c r="A566" s="704" t="e">
        <f t="shared" si="11"/>
        <v>#N/A</v>
      </c>
      <c r="B566" s="715" t="s">
        <v>5767</v>
      </c>
      <c r="C566" s="706" t="e">
        <f>VLOOKUP($B:$B,[140]단가!$B:$K,2,FALSE)</f>
        <v>#N/A</v>
      </c>
      <c r="D566" s="706" t="e">
        <f>IF(VLOOKUP(B:B,[140]단가!B:K,3,FALSE)="","",VLOOKUP(B:B,[140]단가!B:K,3,FALSE))</f>
        <v>#N/A</v>
      </c>
      <c r="E566" s="707" t="e">
        <f>VLOOKUP($B:$B,[140]단가!$B:$K,4,FALSE)</f>
        <v>#N/A</v>
      </c>
      <c r="F566" s="706" t="e">
        <f>VLOOKUP($B:$B,[140]단가!$B:$L,11,FALSE)</f>
        <v>#N/A</v>
      </c>
      <c r="G566" s="706"/>
      <c r="H566" s="712"/>
      <c r="I566" s="713"/>
    </row>
    <row r="567" spans="1:9" s="709" customFormat="1" ht="27.4" customHeight="1">
      <c r="A567" s="704" t="e">
        <f t="shared" si="11"/>
        <v>#N/A</v>
      </c>
      <c r="B567" s="715" t="s">
        <v>5768</v>
      </c>
      <c r="C567" s="706" t="e">
        <f>VLOOKUP($B:$B,[140]단가!$B:$K,2,FALSE)</f>
        <v>#N/A</v>
      </c>
      <c r="D567" s="706" t="e">
        <f>IF(VLOOKUP(B:B,[140]단가!B:K,3,FALSE)="","",VLOOKUP(B:B,[140]단가!B:K,3,FALSE))</f>
        <v>#N/A</v>
      </c>
      <c r="E567" s="707" t="e">
        <f>VLOOKUP($B:$B,[140]단가!$B:$K,4,FALSE)</f>
        <v>#N/A</v>
      </c>
      <c r="F567" s="706" t="e">
        <f>VLOOKUP($B:$B,[140]단가!$B:$L,11,FALSE)</f>
        <v>#N/A</v>
      </c>
      <c r="G567" s="706"/>
      <c r="H567" s="712"/>
      <c r="I567" s="713"/>
    </row>
    <row r="568" spans="1:9" s="709" customFormat="1" ht="27.6" customHeight="1">
      <c r="A568" s="704" t="e">
        <f t="shared" si="11"/>
        <v>#N/A</v>
      </c>
      <c r="B568" s="715" t="s">
        <v>5769</v>
      </c>
      <c r="C568" s="706" t="e">
        <f>VLOOKUP($B:$B,[140]단가!$B:$K,2,FALSE)</f>
        <v>#N/A</v>
      </c>
      <c r="D568" s="706" t="e">
        <f>IF(VLOOKUP(B:B,[140]단가!B:K,3,FALSE)="","",VLOOKUP(B:B,[140]단가!B:K,3,FALSE))</f>
        <v>#N/A</v>
      </c>
      <c r="E568" s="707" t="e">
        <f>VLOOKUP($B:$B,[140]단가!$B:$K,4,FALSE)</f>
        <v>#N/A</v>
      </c>
      <c r="F568" s="706" t="e">
        <f>VLOOKUP($B:$B,[140]단가!$B:$L,11,FALSE)</f>
        <v>#N/A</v>
      </c>
      <c r="G568" s="706"/>
      <c r="H568" s="712"/>
      <c r="I568" s="713"/>
    </row>
    <row r="569" spans="1:9" ht="27.6" customHeight="1">
      <c r="A569" s="704" t="e">
        <f t="shared" si="11"/>
        <v>#N/A</v>
      </c>
      <c r="B569" s="715" t="s">
        <v>5770</v>
      </c>
      <c r="C569" s="706" t="e">
        <f>VLOOKUP($B:$B,[140]단가!$B:$K,2,FALSE)</f>
        <v>#N/A</v>
      </c>
      <c r="D569" s="706" t="e">
        <f>IF(VLOOKUP(B:B,[140]단가!B:K,3,FALSE)="","",VLOOKUP(B:B,[140]단가!B:K,3,FALSE))</f>
        <v>#N/A</v>
      </c>
      <c r="E569" s="707" t="e">
        <f>VLOOKUP($B:$B,[140]단가!$B:$K,4,FALSE)</f>
        <v>#N/A</v>
      </c>
      <c r="F569" s="706" t="e">
        <f>VLOOKUP($B:$B,[140]단가!$B:$L,11,FALSE)</f>
        <v>#N/A</v>
      </c>
      <c r="G569" s="706"/>
    </row>
    <row r="570" spans="1:9" ht="27.6" customHeight="1">
      <c r="A570" s="704" t="e">
        <f t="shared" si="11"/>
        <v>#N/A</v>
      </c>
      <c r="B570" s="715" t="s">
        <v>5771</v>
      </c>
      <c r="C570" s="706" t="e">
        <f>VLOOKUP($B:$B,[140]단가!$B:$K,2,FALSE)</f>
        <v>#N/A</v>
      </c>
      <c r="D570" s="706" t="e">
        <f>IF(VLOOKUP(B:B,[140]단가!B:K,3,FALSE)="","",VLOOKUP(B:B,[140]단가!B:K,3,FALSE))</f>
        <v>#N/A</v>
      </c>
      <c r="E570" s="707" t="e">
        <f>VLOOKUP($B:$B,[140]단가!$B:$K,4,FALSE)</f>
        <v>#N/A</v>
      </c>
      <c r="F570" s="706" t="e">
        <f>VLOOKUP($B:$B,[140]단가!$B:$L,11,FALSE)</f>
        <v>#N/A</v>
      </c>
      <c r="G570" s="706"/>
    </row>
    <row r="571" spans="1:9" ht="27.6" customHeight="1">
      <c r="A571" s="704" t="e">
        <f t="shared" si="11"/>
        <v>#N/A</v>
      </c>
      <c r="B571" s="715" t="s">
        <v>5772</v>
      </c>
      <c r="C571" s="706" t="e">
        <f>VLOOKUP($B:$B,[140]단가!$B:$K,2,FALSE)</f>
        <v>#N/A</v>
      </c>
      <c r="D571" s="706" t="e">
        <f>IF(VLOOKUP(B:B,[140]단가!B:K,3,FALSE)="","",VLOOKUP(B:B,[140]단가!B:K,3,FALSE))</f>
        <v>#N/A</v>
      </c>
      <c r="E571" s="707" t="e">
        <f>VLOOKUP($B:$B,[140]단가!$B:$K,4,FALSE)</f>
        <v>#N/A</v>
      </c>
      <c r="F571" s="706" t="e">
        <f>VLOOKUP($B:$B,[140]단가!$B:$L,11,FALSE)</f>
        <v>#N/A</v>
      </c>
      <c r="G571" s="706"/>
    </row>
    <row r="572" spans="1:9" ht="27.6" customHeight="1">
      <c r="A572" s="704" t="e">
        <f t="shared" si="11"/>
        <v>#N/A</v>
      </c>
      <c r="B572" s="715" t="s">
        <v>5773</v>
      </c>
      <c r="C572" s="706" t="e">
        <f>VLOOKUP($B:$B,[140]단가!$B:$K,2,FALSE)</f>
        <v>#N/A</v>
      </c>
      <c r="D572" s="706" t="e">
        <f>IF(VLOOKUP(B:B,[140]단가!B:K,3,FALSE)="","",VLOOKUP(B:B,[140]단가!B:K,3,FALSE))</f>
        <v>#N/A</v>
      </c>
      <c r="E572" s="707" t="e">
        <f>VLOOKUP($B:$B,[140]단가!$B:$K,4,FALSE)</f>
        <v>#N/A</v>
      </c>
      <c r="F572" s="706" t="e">
        <f>VLOOKUP($B:$B,[140]단가!$B:$L,11,FALSE)</f>
        <v>#N/A</v>
      </c>
      <c r="G572" s="706"/>
    </row>
    <row r="573" spans="1:9" ht="27.6" customHeight="1">
      <c r="A573" s="704" t="e">
        <f t="shared" si="11"/>
        <v>#N/A</v>
      </c>
      <c r="B573" s="715" t="s">
        <v>5774</v>
      </c>
      <c r="C573" s="706" t="e">
        <f>VLOOKUP($B:$B,[140]단가!$B:$K,2,FALSE)</f>
        <v>#N/A</v>
      </c>
      <c r="D573" s="706" t="e">
        <f>IF(VLOOKUP(B:B,[140]단가!B:K,3,FALSE)="","",VLOOKUP(B:B,[140]단가!B:K,3,FALSE))</f>
        <v>#N/A</v>
      </c>
      <c r="E573" s="707" t="e">
        <f>VLOOKUP($B:$B,[140]단가!$B:$K,4,FALSE)</f>
        <v>#N/A</v>
      </c>
      <c r="F573" s="706" t="e">
        <f>VLOOKUP($B:$B,[140]단가!$B:$L,11,FALSE)</f>
        <v>#N/A</v>
      </c>
      <c r="G573" s="706"/>
    </row>
    <row r="574" spans="1:9" ht="27.6" customHeight="1">
      <c r="A574" s="704" t="e">
        <f t="shared" si="11"/>
        <v>#N/A</v>
      </c>
      <c r="B574" s="715" t="s">
        <v>5775</v>
      </c>
      <c r="C574" s="706" t="e">
        <f>VLOOKUP($B:$B,[140]단가!$B:$K,2,FALSE)</f>
        <v>#N/A</v>
      </c>
      <c r="D574" s="706" t="e">
        <f>IF(VLOOKUP(B:B,[140]단가!B:K,3,FALSE)="","",VLOOKUP(B:B,[140]단가!B:K,3,FALSE))</f>
        <v>#N/A</v>
      </c>
      <c r="E574" s="707" t="e">
        <f>VLOOKUP($B:$B,[140]단가!$B:$K,4,FALSE)</f>
        <v>#N/A</v>
      </c>
      <c r="F574" s="706" t="e">
        <f>VLOOKUP($B:$B,[140]단가!$B:$L,11,FALSE)</f>
        <v>#N/A</v>
      </c>
      <c r="G574" s="706"/>
    </row>
    <row r="575" spans="1:9" ht="27.6" customHeight="1">
      <c r="A575" s="704" t="e">
        <f t="shared" si="11"/>
        <v>#N/A</v>
      </c>
      <c r="B575" s="715" t="s">
        <v>5776</v>
      </c>
      <c r="C575" s="706" t="e">
        <f>VLOOKUP($B:$B,[140]단가!$B:$K,2,FALSE)</f>
        <v>#N/A</v>
      </c>
      <c r="D575" s="706" t="e">
        <f>IF(VLOOKUP(B:B,[140]단가!B:K,3,FALSE)="","",VLOOKUP(B:B,[140]단가!B:K,3,FALSE))</f>
        <v>#N/A</v>
      </c>
      <c r="E575" s="707" t="e">
        <f>VLOOKUP($B:$B,[140]단가!$B:$K,4,FALSE)</f>
        <v>#N/A</v>
      </c>
      <c r="F575" s="706" t="e">
        <f>VLOOKUP($B:$B,[140]단가!$B:$L,11,FALSE)</f>
        <v>#N/A</v>
      </c>
      <c r="G575" s="706"/>
    </row>
    <row r="576" spans="1:9" ht="27.6" customHeight="1">
      <c r="A576" s="704" t="e">
        <f t="shared" si="11"/>
        <v>#N/A</v>
      </c>
      <c r="B576" s="715" t="s">
        <v>5777</v>
      </c>
      <c r="C576" s="706" t="e">
        <f>VLOOKUP($B:$B,[140]단가!$B:$K,2,FALSE)</f>
        <v>#N/A</v>
      </c>
      <c r="D576" s="706" t="e">
        <f>IF(VLOOKUP(B:B,[140]단가!B:K,3,FALSE)="","",VLOOKUP(B:B,[140]단가!B:K,3,FALSE))</f>
        <v>#N/A</v>
      </c>
      <c r="E576" s="707" t="e">
        <f>VLOOKUP($B:$B,[140]단가!$B:$K,4,FALSE)</f>
        <v>#N/A</v>
      </c>
      <c r="F576" s="706" t="e">
        <f>VLOOKUP($B:$B,[140]단가!$B:$L,11,FALSE)</f>
        <v>#N/A</v>
      </c>
      <c r="G576" s="706"/>
    </row>
    <row r="577" spans="1:7" ht="27.6" customHeight="1">
      <c r="A577" s="704" t="e">
        <f t="shared" si="11"/>
        <v>#N/A</v>
      </c>
      <c r="B577" s="715" t="s">
        <v>5778</v>
      </c>
      <c r="C577" s="706" t="e">
        <f>VLOOKUP($B:$B,[140]단가!$B:$K,2,FALSE)</f>
        <v>#N/A</v>
      </c>
      <c r="D577" s="706" t="e">
        <f>IF(VLOOKUP(B:B,[140]단가!B:K,3,FALSE)="","",VLOOKUP(B:B,[140]단가!B:K,3,FALSE))</f>
        <v>#N/A</v>
      </c>
      <c r="E577" s="707" t="e">
        <f>VLOOKUP($B:$B,[140]단가!$B:$K,4,FALSE)</f>
        <v>#N/A</v>
      </c>
      <c r="F577" s="706" t="e">
        <f>VLOOKUP($B:$B,[140]단가!$B:$L,11,FALSE)</f>
        <v>#N/A</v>
      </c>
      <c r="G577" s="706"/>
    </row>
    <row r="578" spans="1:7" ht="27.6" customHeight="1">
      <c r="A578" s="704" t="e">
        <f t="shared" si="11"/>
        <v>#N/A</v>
      </c>
      <c r="B578" s="715" t="s">
        <v>5779</v>
      </c>
      <c r="C578" s="706" t="e">
        <f>VLOOKUP($B:$B,[140]단가!$B:$K,2,FALSE)</f>
        <v>#N/A</v>
      </c>
      <c r="D578" s="706" t="e">
        <f>IF(VLOOKUP(B:B,[140]단가!B:K,3,FALSE)="","",VLOOKUP(B:B,[140]단가!B:K,3,FALSE))</f>
        <v>#N/A</v>
      </c>
      <c r="E578" s="707" t="e">
        <f>VLOOKUP($B:$B,[140]단가!$B:$K,4,FALSE)</f>
        <v>#N/A</v>
      </c>
      <c r="F578" s="706" t="e">
        <f>VLOOKUP($B:$B,[140]단가!$B:$L,11,FALSE)</f>
        <v>#N/A</v>
      </c>
      <c r="G578" s="706"/>
    </row>
    <row r="579" spans="1:7" ht="27.6" customHeight="1">
      <c r="A579" s="704" t="e">
        <f t="shared" si="11"/>
        <v>#N/A</v>
      </c>
      <c r="B579" s="715" t="s">
        <v>5780</v>
      </c>
      <c r="C579" s="706" t="e">
        <f>VLOOKUP($B:$B,[140]단가!$B:$K,2,FALSE)</f>
        <v>#N/A</v>
      </c>
      <c r="D579" s="706" t="e">
        <f>IF(VLOOKUP(B:B,[140]단가!B:K,3,FALSE)="","",VLOOKUP(B:B,[140]단가!B:K,3,FALSE))</f>
        <v>#N/A</v>
      </c>
      <c r="E579" s="707" t="e">
        <f>VLOOKUP($B:$B,[140]단가!$B:$K,4,FALSE)</f>
        <v>#N/A</v>
      </c>
      <c r="F579" s="706" t="e">
        <f>VLOOKUP($B:$B,[140]단가!$B:$L,11,FALSE)</f>
        <v>#N/A</v>
      </c>
      <c r="G579" s="706"/>
    </row>
    <row r="580" spans="1:7" ht="27.6" customHeight="1">
      <c r="A580" s="704" t="e">
        <f t="shared" si="11"/>
        <v>#N/A</v>
      </c>
      <c r="B580" s="715" t="s">
        <v>5781</v>
      </c>
      <c r="C580" s="706" t="e">
        <f>VLOOKUP($B:$B,[140]단가!$B:$K,2,FALSE)</f>
        <v>#N/A</v>
      </c>
      <c r="D580" s="706" t="e">
        <f>IF(VLOOKUP(B:B,[140]단가!B:K,3,FALSE)="","",VLOOKUP(B:B,[140]단가!B:K,3,FALSE))</f>
        <v>#N/A</v>
      </c>
      <c r="E580" s="707" t="e">
        <f>VLOOKUP($B:$B,[140]단가!$B:$K,4,FALSE)</f>
        <v>#N/A</v>
      </c>
      <c r="F580" s="706" t="e">
        <f>VLOOKUP($B:$B,[140]단가!$B:$L,11,FALSE)</f>
        <v>#N/A</v>
      </c>
      <c r="G580" s="706"/>
    </row>
    <row r="581" spans="1:7" ht="27.6" customHeight="1">
      <c r="A581" s="704" t="e">
        <f t="shared" si="11"/>
        <v>#N/A</v>
      </c>
      <c r="B581" s="715" t="s">
        <v>5782</v>
      </c>
      <c r="C581" s="706" t="e">
        <f>VLOOKUP($B:$B,[140]단가!$B:$K,2,FALSE)</f>
        <v>#N/A</v>
      </c>
      <c r="D581" s="706" t="e">
        <f>IF(VLOOKUP(B:B,[140]단가!B:K,3,FALSE)="","",VLOOKUP(B:B,[140]단가!B:K,3,FALSE))</f>
        <v>#N/A</v>
      </c>
      <c r="E581" s="707" t="e">
        <f>VLOOKUP($B:$B,[140]단가!$B:$K,4,FALSE)</f>
        <v>#N/A</v>
      </c>
      <c r="F581" s="706" t="e">
        <f>VLOOKUP($B:$B,[140]단가!$B:$L,11,FALSE)</f>
        <v>#N/A</v>
      </c>
      <c r="G581" s="706"/>
    </row>
    <row r="582" spans="1:7" ht="27.6" customHeight="1">
      <c r="A582" s="704" t="e">
        <f t="shared" si="11"/>
        <v>#N/A</v>
      </c>
      <c r="B582" s="715" t="s">
        <v>5783</v>
      </c>
      <c r="C582" s="706" t="e">
        <f>VLOOKUP($B:$B,[140]단가!$B:$K,2,FALSE)</f>
        <v>#N/A</v>
      </c>
      <c r="D582" s="706" t="e">
        <f>IF(VLOOKUP(B:B,[140]단가!B:K,3,FALSE)="","",VLOOKUP(B:B,[140]단가!B:K,3,FALSE))</f>
        <v>#N/A</v>
      </c>
      <c r="E582" s="707" t="e">
        <f>VLOOKUP($B:$B,[140]단가!$B:$K,4,FALSE)</f>
        <v>#N/A</v>
      </c>
      <c r="F582" s="706" t="e">
        <f>VLOOKUP($B:$B,[140]단가!$B:$L,11,FALSE)</f>
        <v>#N/A</v>
      </c>
      <c r="G582" s="706"/>
    </row>
    <row r="583" spans="1:7" ht="27.6" customHeight="1">
      <c r="A583" s="704" t="e">
        <f t="shared" si="11"/>
        <v>#N/A</v>
      </c>
      <c r="B583" s="715" t="s">
        <v>5784</v>
      </c>
      <c r="C583" s="706" t="e">
        <f>VLOOKUP($B:$B,[140]단가!$B:$K,2,FALSE)</f>
        <v>#N/A</v>
      </c>
      <c r="D583" s="706" t="e">
        <f>IF(VLOOKUP(B:B,[140]단가!B:K,3,FALSE)="","",VLOOKUP(B:B,[140]단가!B:K,3,FALSE))</f>
        <v>#N/A</v>
      </c>
      <c r="E583" s="707" t="e">
        <f>VLOOKUP($B:$B,[140]단가!$B:$K,4,FALSE)</f>
        <v>#N/A</v>
      </c>
      <c r="F583" s="706" t="e">
        <f>VLOOKUP($B:$B,[140]단가!$B:$L,11,FALSE)</f>
        <v>#N/A</v>
      </c>
      <c r="G583" s="706"/>
    </row>
    <row r="584" spans="1:7" ht="27.6" customHeight="1">
      <c r="A584" s="704" t="e">
        <f t="shared" si="11"/>
        <v>#N/A</v>
      </c>
      <c r="B584" s="715" t="s">
        <v>5785</v>
      </c>
      <c r="C584" s="706" t="e">
        <f>VLOOKUP($B:$B,[140]단가!$B:$K,2,FALSE)</f>
        <v>#N/A</v>
      </c>
      <c r="D584" s="706" t="e">
        <f>IF(VLOOKUP(B:B,[140]단가!B:K,3,FALSE)="","",VLOOKUP(B:B,[140]단가!B:K,3,FALSE))</f>
        <v>#N/A</v>
      </c>
      <c r="E584" s="707" t="e">
        <f>VLOOKUP($B:$B,[140]단가!$B:$K,4,FALSE)</f>
        <v>#N/A</v>
      </c>
      <c r="F584" s="706" t="e">
        <f>VLOOKUP($B:$B,[140]단가!$B:$L,11,FALSE)</f>
        <v>#N/A</v>
      </c>
      <c r="G584" s="706"/>
    </row>
    <row r="585" spans="1:7" ht="27.6" customHeight="1">
      <c r="A585" s="704" t="e">
        <f t="shared" si="11"/>
        <v>#N/A</v>
      </c>
      <c r="B585" s="715" t="s">
        <v>5786</v>
      </c>
      <c r="C585" s="706" t="e">
        <f>VLOOKUP($B:$B,[140]단가!$B:$K,2,FALSE)</f>
        <v>#N/A</v>
      </c>
      <c r="D585" s="706" t="e">
        <f>IF(VLOOKUP(B:B,[140]단가!B:K,3,FALSE)="","",VLOOKUP(B:B,[140]단가!B:K,3,FALSE))</f>
        <v>#N/A</v>
      </c>
      <c r="E585" s="707" t="e">
        <f>VLOOKUP($B:$B,[140]단가!$B:$K,4,FALSE)</f>
        <v>#N/A</v>
      </c>
      <c r="F585" s="706" t="e">
        <f>VLOOKUP($B:$B,[140]단가!$B:$L,11,FALSE)</f>
        <v>#N/A</v>
      </c>
      <c r="G585" s="706"/>
    </row>
    <row r="586" spans="1:7" ht="27.6" customHeight="1">
      <c r="A586" s="704" t="e">
        <f t="shared" si="11"/>
        <v>#N/A</v>
      </c>
      <c r="B586" s="715" t="s">
        <v>5787</v>
      </c>
      <c r="C586" s="706" t="e">
        <f>VLOOKUP($B:$B,[140]단가!$B:$K,2,FALSE)</f>
        <v>#N/A</v>
      </c>
      <c r="D586" s="706" t="e">
        <f>IF(VLOOKUP(B:B,[140]단가!B:K,3,FALSE)="","",VLOOKUP(B:B,[140]단가!B:K,3,FALSE))</f>
        <v>#N/A</v>
      </c>
      <c r="E586" s="707" t="e">
        <f>VLOOKUP($B:$B,[140]단가!$B:$K,4,FALSE)</f>
        <v>#N/A</v>
      </c>
      <c r="F586" s="706" t="e">
        <f>VLOOKUP($B:$B,[140]단가!$B:$L,11,FALSE)</f>
        <v>#N/A</v>
      </c>
      <c r="G586" s="706"/>
    </row>
    <row r="587" spans="1:7" ht="27.6" customHeight="1">
      <c r="A587" s="704" t="e">
        <f t="shared" si="11"/>
        <v>#N/A</v>
      </c>
      <c r="B587" s="715" t="s">
        <v>5788</v>
      </c>
      <c r="C587" s="706" t="e">
        <f>VLOOKUP($B:$B,[140]단가!$B:$K,2,FALSE)</f>
        <v>#N/A</v>
      </c>
      <c r="D587" s="706" t="e">
        <f>IF(VLOOKUP(B:B,[140]단가!B:K,3,FALSE)="","",VLOOKUP(B:B,[140]단가!B:K,3,FALSE))</f>
        <v>#N/A</v>
      </c>
      <c r="E587" s="707" t="e">
        <f>VLOOKUP($B:$B,[140]단가!$B:$K,4,FALSE)</f>
        <v>#N/A</v>
      </c>
      <c r="F587" s="706" t="e">
        <f>VLOOKUP($B:$B,[140]단가!$B:$L,11,FALSE)</f>
        <v>#N/A</v>
      </c>
      <c r="G587" s="706"/>
    </row>
    <row r="588" spans="1:7" ht="27.6" customHeight="1">
      <c r="A588" s="704" t="e">
        <f t="shared" si="11"/>
        <v>#N/A</v>
      </c>
      <c r="B588" s="715" t="s">
        <v>5789</v>
      </c>
      <c r="C588" s="706" t="e">
        <f>VLOOKUP($B:$B,[140]단가!$B:$K,2,FALSE)</f>
        <v>#N/A</v>
      </c>
      <c r="D588" s="706" t="e">
        <f>IF(VLOOKUP(B:B,[140]단가!B:K,3,FALSE)="","",VLOOKUP(B:B,[140]단가!B:K,3,FALSE))</f>
        <v>#N/A</v>
      </c>
      <c r="E588" s="707" t="e">
        <f>VLOOKUP($B:$B,[140]단가!$B:$K,4,FALSE)</f>
        <v>#N/A</v>
      </c>
      <c r="F588" s="706" t="e">
        <f>VLOOKUP($B:$B,[140]단가!$B:$L,11,FALSE)</f>
        <v>#N/A</v>
      </c>
      <c r="G588" s="706"/>
    </row>
    <row r="589" spans="1:7" ht="27.6" customHeight="1">
      <c r="A589" s="704" t="e">
        <f t="shared" si="11"/>
        <v>#N/A</v>
      </c>
      <c r="B589" s="715" t="s">
        <v>5790</v>
      </c>
      <c r="C589" s="706" t="e">
        <f>VLOOKUP($B:$B,[140]단가!$B:$K,2,FALSE)</f>
        <v>#N/A</v>
      </c>
      <c r="D589" s="706" t="e">
        <f>IF(VLOOKUP(B:B,[140]단가!B:K,3,FALSE)="","",VLOOKUP(B:B,[140]단가!B:K,3,FALSE))</f>
        <v>#N/A</v>
      </c>
      <c r="E589" s="707" t="e">
        <f>VLOOKUP($B:$B,[140]단가!$B:$K,4,FALSE)</f>
        <v>#N/A</v>
      </c>
      <c r="F589" s="706" t="e">
        <f>VLOOKUP($B:$B,[140]단가!$B:$L,11,FALSE)</f>
        <v>#N/A</v>
      </c>
      <c r="G589" s="706"/>
    </row>
    <row r="590" spans="1:7" ht="27.6" customHeight="1">
      <c r="A590" s="704" t="e">
        <f t="shared" si="11"/>
        <v>#N/A</v>
      </c>
      <c r="B590" s="715" t="s">
        <v>5791</v>
      </c>
      <c r="C590" s="706" t="e">
        <f>VLOOKUP($B:$B,[140]단가!$B:$K,2,FALSE)</f>
        <v>#N/A</v>
      </c>
      <c r="D590" s="706" t="e">
        <f>IF(VLOOKUP(B:B,[140]단가!B:K,3,FALSE)="","",VLOOKUP(B:B,[140]단가!B:K,3,FALSE))</f>
        <v>#N/A</v>
      </c>
      <c r="E590" s="707" t="e">
        <f>VLOOKUP($B:$B,[140]단가!$B:$K,4,FALSE)</f>
        <v>#N/A</v>
      </c>
      <c r="F590" s="706" t="e">
        <f>VLOOKUP($B:$B,[140]단가!$B:$L,11,FALSE)</f>
        <v>#N/A</v>
      </c>
      <c r="G590" s="706"/>
    </row>
    <row r="591" spans="1:7" ht="27.6" customHeight="1">
      <c r="A591" s="704" t="e">
        <f t="shared" si="11"/>
        <v>#N/A</v>
      </c>
      <c r="B591" s="715" t="s">
        <v>5792</v>
      </c>
      <c r="C591" s="706" t="e">
        <f>VLOOKUP($B:$B,[140]단가!$B:$K,2,FALSE)</f>
        <v>#N/A</v>
      </c>
      <c r="D591" s="706" t="e">
        <f>IF(VLOOKUP(B:B,[140]단가!B:K,3,FALSE)="","",VLOOKUP(B:B,[140]단가!B:K,3,FALSE))</f>
        <v>#N/A</v>
      </c>
      <c r="E591" s="707" t="e">
        <f>VLOOKUP($B:$B,[140]단가!$B:$K,4,FALSE)</f>
        <v>#N/A</v>
      </c>
      <c r="F591" s="706" t="e">
        <f>VLOOKUP($B:$B,[140]단가!$B:$L,11,FALSE)</f>
        <v>#N/A</v>
      </c>
      <c r="G591" s="706"/>
    </row>
    <row r="592" spans="1:7" ht="27.6" customHeight="1">
      <c r="A592" s="704" t="e">
        <f t="shared" si="11"/>
        <v>#N/A</v>
      </c>
      <c r="B592" s="715" t="s">
        <v>5793</v>
      </c>
      <c r="C592" s="706" t="e">
        <f>VLOOKUP($B:$B,[140]단가!$B:$K,2,FALSE)</f>
        <v>#N/A</v>
      </c>
      <c r="D592" s="706" t="e">
        <f>IF(VLOOKUP(B:B,[140]단가!B:K,3,FALSE)="","",VLOOKUP(B:B,[140]단가!B:K,3,FALSE))</f>
        <v>#N/A</v>
      </c>
      <c r="E592" s="707" t="e">
        <f>VLOOKUP($B:$B,[140]단가!$B:$K,4,FALSE)</f>
        <v>#N/A</v>
      </c>
      <c r="F592" s="706" t="e">
        <f>VLOOKUP($B:$B,[140]단가!$B:$L,11,FALSE)</f>
        <v>#N/A</v>
      </c>
      <c r="G592" s="706"/>
    </row>
    <row r="593" spans="1:7" ht="27.6" customHeight="1">
      <c r="A593" s="704" t="e">
        <f t="shared" si="11"/>
        <v>#N/A</v>
      </c>
      <c r="B593" s="715" t="s">
        <v>5794</v>
      </c>
      <c r="C593" s="706" t="e">
        <f>VLOOKUP($B:$B,[140]단가!$B:$K,2,FALSE)</f>
        <v>#N/A</v>
      </c>
      <c r="D593" s="706" t="e">
        <f>IF(VLOOKUP(B:B,[140]단가!B:K,3,FALSE)="","",VLOOKUP(B:B,[140]단가!B:K,3,FALSE))</f>
        <v>#N/A</v>
      </c>
      <c r="E593" s="707" t="e">
        <f>VLOOKUP($B:$B,[140]단가!$B:$K,4,FALSE)</f>
        <v>#N/A</v>
      </c>
      <c r="F593" s="706" t="e">
        <f>VLOOKUP($B:$B,[140]단가!$B:$L,11,FALSE)</f>
        <v>#N/A</v>
      </c>
      <c r="G593" s="706"/>
    </row>
    <row r="594" spans="1:7" ht="27.6" customHeight="1">
      <c r="A594" s="704" t="e">
        <f t="shared" si="11"/>
        <v>#N/A</v>
      </c>
      <c r="B594" s="715" t="s">
        <v>5795</v>
      </c>
      <c r="C594" s="706" t="e">
        <f>VLOOKUP($B:$B,[140]단가!$B:$K,2,FALSE)</f>
        <v>#N/A</v>
      </c>
      <c r="D594" s="706" t="e">
        <f>IF(VLOOKUP(B:B,[140]단가!B:K,3,FALSE)="","",VLOOKUP(B:B,[140]단가!B:K,3,FALSE))</f>
        <v>#N/A</v>
      </c>
      <c r="E594" s="707" t="e">
        <f>VLOOKUP($B:$B,[140]단가!$B:$K,4,FALSE)</f>
        <v>#N/A</v>
      </c>
      <c r="F594" s="706" t="e">
        <f>VLOOKUP($B:$B,[140]단가!$B:$L,11,FALSE)</f>
        <v>#N/A</v>
      </c>
      <c r="G594" s="706"/>
    </row>
    <row r="595" spans="1:7" ht="27.6" customHeight="1">
      <c r="A595" s="704" t="e">
        <f t="shared" si="11"/>
        <v>#N/A</v>
      </c>
      <c r="B595" s="715" t="s">
        <v>5796</v>
      </c>
      <c r="C595" s="706" t="e">
        <f>VLOOKUP($B:$B,[140]단가!$B:$K,2,FALSE)</f>
        <v>#N/A</v>
      </c>
      <c r="D595" s="706" t="e">
        <f>IF(VLOOKUP(B:B,[140]단가!B:K,3,FALSE)="","",VLOOKUP(B:B,[140]단가!B:K,3,FALSE))</f>
        <v>#N/A</v>
      </c>
      <c r="E595" s="707" t="e">
        <f>VLOOKUP($B:$B,[140]단가!$B:$K,4,FALSE)</f>
        <v>#N/A</v>
      </c>
      <c r="F595" s="706" t="e">
        <f>VLOOKUP($B:$B,[140]단가!$B:$L,11,FALSE)</f>
        <v>#N/A</v>
      </c>
      <c r="G595" s="706"/>
    </row>
    <row r="596" spans="1:7" ht="27.6" customHeight="1">
      <c r="A596" s="704" t="e">
        <f t="shared" si="11"/>
        <v>#N/A</v>
      </c>
      <c r="B596" s="715" t="s">
        <v>5797</v>
      </c>
      <c r="C596" s="706" t="e">
        <f>VLOOKUP($B:$B,[140]단가!$B:$K,2,FALSE)</f>
        <v>#N/A</v>
      </c>
      <c r="D596" s="706" t="e">
        <f>IF(VLOOKUP(B:B,[140]단가!B:K,3,FALSE)="","",VLOOKUP(B:B,[140]단가!B:K,3,FALSE))</f>
        <v>#N/A</v>
      </c>
      <c r="E596" s="707" t="e">
        <f>VLOOKUP($B:$B,[140]단가!$B:$K,4,FALSE)</f>
        <v>#N/A</v>
      </c>
      <c r="F596" s="706" t="e">
        <f>VLOOKUP($B:$B,[140]단가!$B:$L,11,FALSE)</f>
        <v>#N/A</v>
      </c>
      <c r="G596" s="706"/>
    </row>
    <row r="597" spans="1:7" ht="27.6" customHeight="1">
      <c r="A597" s="704" t="e">
        <f t="shared" si="11"/>
        <v>#N/A</v>
      </c>
      <c r="B597" s="715" t="s">
        <v>5798</v>
      </c>
      <c r="C597" s="706" t="e">
        <f>VLOOKUP($B:$B,[140]단가!$B:$K,2,FALSE)</f>
        <v>#N/A</v>
      </c>
      <c r="D597" s="706" t="e">
        <f>IF(VLOOKUP(B:B,[140]단가!B:K,3,FALSE)="","",VLOOKUP(B:B,[140]단가!B:K,3,FALSE))</f>
        <v>#N/A</v>
      </c>
      <c r="E597" s="707" t="e">
        <f>VLOOKUP($B:$B,[140]단가!$B:$K,4,FALSE)</f>
        <v>#N/A</v>
      </c>
      <c r="F597" s="706" t="e">
        <f>VLOOKUP($B:$B,[140]단가!$B:$L,11,FALSE)</f>
        <v>#N/A</v>
      </c>
      <c r="G597" s="706"/>
    </row>
    <row r="598" spans="1:7" ht="27.6" customHeight="1">
      <c r="A598" s="704" t="e">
        <f t="shared" si="11"/>
        <v>#N/A</v>
      </c>
      <c r="B598" s="715" t="s">
        <v>5799</v>
      </c>
      <c r="C598" s="706" t="e">
        <f>VLOOKUP($B:$B,[140]단가!$B:$K,2,FALSE)</f>
        <v>#N/A</v>
      </c>
      <c r="D598" s="706" t="e">
        <f>IF(VLOOKUP(B:B,[140]단가!B:K,3,FALSE)="","",VLOOKUP(B:B,[140]단가!B:K,3,FALSE))</f>
        <v>#N/A</v>
      </c>
      <c r="E598" s="707" t="e">
        <f>VLOOKUP($B:$B,[140]단가!$B:$K,4,FALSE)</f>
        <v>#N/A</v>
      </c>
      <c r="F598" s="706" t="e">
        <f>VLOOKUP($B:$B,[140]단가!$B:$L,11,FALSE)</f>
        <v>#N/A</v>
      </c>
      <c r="G598" s="706"/>
    </row>
    <row r="599" spans="1:7" ht="27.6" customHeight="1">
      <c r="A599" s="704" t="e">
        <f t="shared" si="11"/>
        <v>#N/A</v>
      </c>
      <c r="B599" s="715" t="s">
        <v>5800</v>
      </c>
      <c r="C599" s="706" t="e">
        <f>VLOOKUP($B:$B,[140]단가!$B:$K,2,FALSE)</f>
        <v>#N/A</v>
      </c>
      <c r="D599" s="706" t="e">
        <f>IF(VLOOKUP(B:B,[140]단가!B:K,3,FALSE)="","",VLOOKUP(B:B,[140]단가!B:K,3,FALSE))</f>
        <v>#N/A</v>
      </c>
      <c r="E599" s="707" t="e">
        <f>VLOOKUP($B:$B,[140]단가!$B:$K,4,FALSE)</f>
        <v>#N/A</v>
      </c>
      <c r="F599" s="706" t="e">
        <f>VLOOKUP($B:$B,[140]단가!$B:$L,11,FALSE)</f>
        <v>#N/A</v>
      </c>
      <c r="G599" s="706"/>
    </row>
    <row r="600" spans="1:7" ht="27.6" customHeight="1">
      <c r="A600" s="704" t="e">
        <f t="shared" si="11"/>
        <v>#N/A</v>
      </c>
      <c r="B600" s="715" t="s">
        <v>5801</v>
      </c>
      <c r="C600" s="706" t="e">
        <f>VLOOKUP($B:$B,[140]단가!$B:$K,2,FALSE)</f>
        <v>#N/A</v>
      </c>
      <c r="D600" s="706" t="e">
        <f>IF(VLOOKUP(B:B,[140]단가!B:K,3,FALSE)="","",VLOOKUP(B:B,[140]단가!B:K,3,FALSE))</f>
        <v>#N/A</v>
      </c>
      <c r="E600" s="707" t="e">
        <f>VLOOKUP($B:$B,[140]단가!$B:$K,4,FALSE)</f>
        <v>#N/A</v>
      </c>
      <c r="F600" s="706" t="e">
        <f>VLOOKUP($B:$B,[140]단가!$B:$L,11,FALSE)</f>
        <v>#N/A</v>
      </c>
      <c r="G600" s="706"/>
    </row>
    <row r="601" spans="1:7" ht="27.6" customHeight="1">
      <c r="A601" s="704" t="e">
        <f t="shared" si="11"/>
        <v>#N/A</v>
      </c>
      <c r="B601" s="715" t="s">
        <v>5802</v>
      </c>
      <c r="C601" s="706" t="e">
        <f>VLOOKUP($B:$B,[140]단가!$B:$K,2,FALSE)</f>
        <v>#N/A</v>
      </c>
      <c r="D601" s="706" t="e">
        <f>IF(VLOOKUP(B:B,[140]단가!B:K,3,FALSE)="","",VLOOKUP(B:B,[140]단가!B:K,3,FALSE))</f>
        <v>#N/A</v>
      </c>
      <c r="E601" s="707" t="e">
        <f>VLOOKUP($B:$B,[140]단가!$B:$K,4,FALSE)</f>
        <v>#N/A</v>
      </c>
      <c r="F601" s="706" t="e">
        <f>VLOOKUP($B:$B,[140]단가!$B:$L,11,FALSE)</f>
        <v>#N/A</v>
      </c>
      <c r="G601" s="706"/>
    </row>
    <row r="602" spans="1:7" ht="27.6" customHeight="1">
      <c r="A602" s="704" t="e">
        <f t="shared" si="11"/>
        <v>#N/A</v>
      </c>
      <c r="B602" s="715" t="s">
        <v>5803</v>
      </c>
      <c r="C602" s="706" t="e">
        <f>VLOOKUP($B:$B,[140]단가!$B:$K,2,FALSE)</f>
        <v>#N/A</v>
      </c>
      <c r="D602" s="706" t="e">
        <f>IF(VLOOKUP(B:B,[140]단가!B:K,3,FALSE)="","",VLOOKUP(B:B,[140]단가!B:K,3,FALSE))</f>
        <v>#N/A</v>
      </c>
      <c r="E602" s="707" t="e">
        <f>VLOOKUP($B:$B,[140]단가!$B:$K,4,FALSE)</f>
        <v>#N/A</v>
      </c>
      <c r="F602" s="706" t="e">
        <f>VLOOKUP($B:$B,[140]단가!$B:$L,11,FALSE)</f>
        <v>#N/A</v>
      </c>
      <c r="G602" s="706"/>
    </row>
    <row r="603" spans="1:7" ht="27.6" customHeight="1">
      <c r="A603" s="704" t="e">
        <f t="shared" si="11"/>
        <v>#N/A</v>
      </c>
      <c r="B603" s="715" t="s">
        <v>5804</v>
      </c>
      <c r="C603" s="706" t="e">
        <f>VLOOKUP($B:$B,[140]단가!$B:$K,2,FALSE)</f>
        <v>#N/A</v>
      </c>
      <c r="D603" s="706" t="e">
        <f>IF(VLOOKUP(B:B,[140]단가!B:K,3,FALSE)="","",VLOOKUP(B:B,[140]단가!B:K,3,FALSE))</f>
        <v>#N/A</v>
      </c>
      <c r="E603" s="707" t="e">
        <f>VLOOKUP($B:$B,[140]단가!$B:$K,4,FALSE)</f>
        <v>#N/A</v>
      </c>
      <c r="F603" s="706" t="e">
        <f>VLOOKUP($B:$B,[140]단가!$B:$K,11,FALSE)</f>
        <v>#N/A</v>
      </c>
      <c r="G603" s="706"/>
    </row>
    <row r="604" spans="1:7" ht="27.6" customHeight="1">
      <c r="A604" s="704" t="e">
        <f t="shared" si="11"/>
        <v>#N/A</v>
      </c>
      <c r="B604" s="715" t="s">
        <v>5805</v>
      </c>
      <c r="C604" s="706" t="e">
        <f>VLOOKUP($B:$B,[140]단가!$B:$K,2,FALSE)</f>
        <v>#N/A</v>
      </c>
      <c r="D604" s="706" t="e">
        <f>IF(VLOOKUP(B:B,[140]단가!B:K,3,FALSE)="","",VLOOKUP(B:B,[140]단가!B:K,3,FALSE))</f>
        <v>#N/A</v>
      </c>
      <c r="E604" s="707" t="e">
        <f>VLOOKUP($B:$B,[140]단가!$B:$K,4,FALSE)</f>
        <v>#N/A</v>
      </c>
      <c r="F604" s="706" t="e">
        <f>VLOOKUP($B:$B,[140]단가!$B:$K,11,FALSE)</f>
        <v>#N/A</v>
      </c>
      <c r="G604" s="706"/>
    </row>
    <row r="605" spans="1:7" ht="27.6" customHeight="1">
      <c r="A605" s="704" t="e">
        <f t="shared" si="11"/>
        <v>#N/A</v>
      </c>
      <c r="B605" s="715" t="s">
        <v>5806</v>
      </c>
      <c r="C605" s="706" t="e">
        <f>VLOOKUP($B:$B,[140]단가!$B:$K,2,FALSE)</f>
        <v>#N/A</v>
      </c>
      <c r="D605" s="706" t="e">
        <f>IF(VLOOKUP(B:B,[140]단가!B:K,3,FALSE)="","",VLOOKUP(B:B,[140]단가!B:K,3,FALSE))</f>
        <v>#N/A</v>
      </c>
      <c r="E605" s="707" t="e">
        <f>VLOOKUP($B:$B,[140]단가!$B:$K,4,FALSE)</f>
        <v>#N/A</v>
      </c>
      <c r="F605" s="706" t="e">
        <f>VLOOKUP($B:$B,[140]단가!$B:$K,11,FALSE)</f>
        <v>#N/A</v>
      </c>
      <c r="G605" s="706"/>
    </row>
    <row r="606" spans="1:7" ht="27.6" customHeight="1">
      <c r="A606" s="704" t="e">
        <f t="shared" si="11"/>
        <v>#N/A</v>
      </c>
      <c r="B606" s="715" t="s">
        <v>5807</v>
      </c>
      <c r="C606" s="706" t="e">
        <f>VLOOKUP($B:$B,[140]단가!$B:$K,2,FALSE)</f>
        <v>#N/A</v>
      </c>
      <c r="D606" s="706" t="e">
        <f>IF(VLOOKUP(B:B,[140]단가!B:K,3,FALSE)="","",VLOOKUP(B:B,[140]단가!B:K,3,FALSE))</f>
        <v>#N/A</v>
      </c>
      <c r="E606" s="707" t="e">
        <f>VLOOKUP($B:$B,[140]단가!$B:$K,4,FALSE)</f>
        <v>#N/A</v>
      </c>
      <c r="F606" s="706" t="e">
        <f>VLOOKUP($B:$B,[140]단가!$B:$K,11,FALSE)</f>
        <v>#N/A</v>
      </c>
      <c r="G606" s="706"/>
    </row>
    <row r="607" spans="1:7" ht="27.6" customHeight="1">
      <c r="A607" s="704" t="e">
        <f t="shared" si="11"/>
        <v>#N/A</v>
      </c>
      <c r="B607" s="715" t="s">
        <v>5808</v>
      </c>
      <c r="C607" s="706" t="e">
        <f>VLOOKUP($B:$B,[140]단가!$B:$K,2,FALSE)</f>
        <v>#N/A</v>
      </c>
      <c r="D607" s="706" t="e">
        <f>IF(VLOOKUP(B:B,[140]단가!B:K,3,FALSE)="","",VLOOKUP(B:B,[140]단가!B:K,3,FALSE))</f>
        <v>#N/A</v>
      </c>
      <c r="E607" s="707" t="e">
        <f>VLOOKUP($B:$B,[140]단가!$B:$K,4,FALSE)</f>
        <v>#N/A</v>
      </c>
      <c r="F607" s="706" t="e">
        <f>VLOOKUP($B:$B,[140]단가!$B:$K,11,FALSE)</f>
        <v>#N/A</v>
      </c>
      <c r="G607" s="706"/>
    </row>
    <row r="608" spans="1:7" ht="27.6" customHeight="1">
      <c r="A608" s="704" t="e">
        <f t="shared" si="11"/>
        <v>#N/A</v>
      </c>
      <c r="B608" s="715" t="s">
        <v>5809</v>
      </c>
      <c r="C608" s="706" t="e">
        <f>VLOOKUP($B:$B,[140]단가!$B:$K,2,FALSE)</f>
        <v>#N/A</v>
      </c>
      <c r="D608" s="706" t="e">
        <f>IF(VLOOKUP(B:B,[140]단가!B:K,3,FALSE)="","",VLOOKUP(B:B,[140]단가!B:K,3,FALSE))</f>
        <v>#N/A</v>
      </c>
      <c r="E608" s="707" t="e">
        <f>VLOOKUP($B:$B,[140]단가!$B:$K,4,FALSE)</f>
        <v>#N/A</v>
      </c>
      <c r="F608" s="706" t="e">
        <f>VLOOKUP($B:$B,[140]단가!$B:$K,11,FALSE)</f>
        <v>#N/A</v>
      </c>
      <c r="G608" s="706"/>
    </row>
    <row r="609" spans="1:7" ht="27.6" customHeight="1">
      <c r="A609" s="704" t="e">
        <f t="shared" si="11"/>
        <v>#N/A</v>
      </c>
      <c r="B609" s="715" t="s">
        <v>5810</v>
      </c>
      <c r="C609" s="706" t="e">
        <f>VLOOKUP($B:$B,[140]단가!$B:$K,2,FALSE)</f>
        <v>#N/A</v>
      </c>
      <c r="D609" s="706" t="e">
        <f>IF(VLOOKUP(B:B,[140]단가!B:K,3,FALSE)="","",VLOOKUP(B:B,[140]단가!B:K,3,FALSE))</f>
        <v>#N/A</v>
      </c>
      <c r="E609" s="707" t="e">
        <f>VLOOKUP($B:$B,[140]단가!$B:$K,4,FALSE)</f>
        <v>#N/A</v>
      </c>
      <c r="F609" s="706" t="e">
        <f>VLOOKUP($B:$B,[140]단가!$B:$K,11,FALSE)</f>
        <v>#N/A</v>
      </c>
      <c r="G609" s="706"/>
    </row>
    <row r="610" spans="1:7" ht="27.6" customHeight="1">
      <c r="A610" s="704" t="e">
        <f t="shared" si="11"/>
        <v>#N/A</v>
      </c>
      <c r="B610" s="715" t="s">
        <v>5811</v>
      </c>
      <c r="C610" s="706" t="e">
        <f>VLOOKUP($B:$B,[140]단가!$B:$K,2,FALSE)</f>
        <v>#N/A</v>
      </c>
      <c r="D610" s="706" t="e">
        <f>IF(VLOOKUP(B:B,[140]단가!B:K,3,FALSE)="","",VLOOKUP(B:B,[140]단가!B:K,3,FALSE))</f>
        <v>#N/A</v>
      </c>
      <c r="E610" s="707" t="e">
        <f>VLOOKUP($B:$B,[140]단가!$B:$K,4,FALSE)</f>
        <v>#N/A</v>
      </c>
      <c r="F610" s="706" t="e">
        <f>VLOOKUP($B:$B,[140]단가!$B:$K,11,FALSE)</f>
        <v>#N/A</v>
      </c>
      <c r="G610" s="706"/>
    </row>
    <row r="611" spans="1:7" ht="27.6" customHeight="1">
      <c r="A611" s="704" t="e">
        <f t="shared" si="11"/>
        <v>#N/A</v>
      </c>
      <c r="B611" s="715" t="s">
        <v>5812</v>
      </c>
      <c r="C611" s="706" t="e">
        <f>VLOOKUP($B:$B,[140]단가!$B:$K,2,FALSE)</f>
        <v>#N/A</v>
      </c>
      <c r="D611" s="706" t="e">
        <f>IF(VLOOKUP(B:B,[140]단가!B:K,3,FALSE)="","",VLOOKUP(B:B,[140]단가!B:K,3,FALSE))</f>
        <v>#N/A</v>
      </c>
      <c r="E611" s="707" t="e">
        <f>VLOOKUP($B:$B,[140]단가!$B:$K,4,FALSE)</f>
        <v>#N/A</v>
      </c>
      <c r="F611" s="706" t="e">
        <f>VLOOKUP($B:$B,[140]단가!$B:$K,11,FALSE)</f>
        <v>#N/A</v>
      </c>
      <c r="G611" s="706"/>
    </row>
    <row r="612" spans="1:7" ht="27.6" customHeight="1">
      <c r="A612" s="704" t="e">
        <f t="shared" si="11"/>
        <v>#N/A</v>
      </c>
      <c r="B612" s="715" t="s">
        <v>5813</v>
      </c>
      <c r="C612" s="706" t="e">
        <f>VLOOKUP($B:$B,[140]단가!$B:$K,2,FALSE)</f>
        <v>#N/A</v>
      </c>
      <c r="D612" s="706" t="e">
        <f>IF(VLOOKUP(B:B,[140]단가!B:K,3,FALSE)="","",VLOOKUP(B:B,[140]단가!B:K,3,FALSE))</f>
        <v>#N/A</v>
      </c>
      <c r="E612" s="707" t="e">
        <f>VLOOKUP($B:$B,[140]단가!$B:$K,4,FALSE)</f>
        <v>#N/A</v>
      </c>
      <c r="F612" s="706" t="e">
        <f>VLOOKUP($B:$B,[140]단가!$B:$K,11,FALSE)</f>
        <v>#N/A</v>
      </c>
      <c r="G612" s="706"/>
    </row>
    <row r="613" spans="1:7" ht="27.6" customHeight="1">
      <c r="A613" s="704" t="e">
        <f t="shared" si="11"/>
        <v>#N/A</v>
      </c>
      <c r="B613" s="715" t="s">
        <v>5814</v>
      </c>
      <c r="C613" s="706" t="e">
        <f>VLOOKUP($B:$B,[140]단가!$B:$K,2,FALSE)</f>
        <v>#N/A</v>
      </c>
      <c r="D613" s="706" t="e">
        <f>IF(VLOOKUP(B:B,[140]단가!B:K,3,FALSE)="","",VLOOKUP(B:B,[140]단가!B:K,3,FALSE))</f>
        <v>#N/A</v>
      </c>
      <c r="E613" s="707" t="e">
        <f>VLOOKUP($B:$B,[140]단가!$B:$K,4,FALSE)</f>
        <v>#N/A</v>
      </c>
      <c r="F613" s="706" t="e">
        <f>VLOOKUP($B:$B,[140]단가!$B:$K,11,FALSE)</f>
        <v>#N/A</v>
      </c>
      <c r="G613" s="706"/>
    </row>
    <row r="614" spans="1:7" ht="27.6" customHeight="1">
      <c r="A614" s="704" t="e">
        <f t="shared" si="11"/>
        <v>#N/A</v>
      </c>
      <c r="B614" s="715" t="s">
        <v>5815</v>
      </c>
      <c r="C614" s="706" t="e">
        <f>VLOOKUP($B:$B,[140]단가!$B:$K,2,FALSE)</f>
        <v>#N/A</v>
      </c>
      <c r="D614" s="706" t="e">
        <f>IF(VLOOKUP(B:B,[140]단가!B:K,3,FALSE)="","",VLOOKUP(B:B,[140]단가!B:K,3,FALSE))</f>
        <v>#N/A</v>
      </c>
      <c r="E614" s="707" t="e">
        <f>VLOOKUP($B:$B,[140]단가!$B:$K,4,FALSE)</f>
        <v>#N/A</v>
      </c>
      <c r="F614" s="706" t="e">
        <f>VLOOKUP($B:$B,[140]단가!$B:$K,11,FALSE)</f>
        <v>#N/A</v>
      </c>
      <c r="G614" s="706"/>
    </row>
    <row r="615" spans="1:7" ht="27.6" customHeight="1">
      <c r="A615" s="704" t="e">
        <f t="shared" ref="A615:A636" si="12">SUBSTITUTE(CONCATENATE(C:C,D:D,E:E)," ","")</f>
        <v>#N/A</v>
      </c>
      <c r="B615" s="715" t="s">
        <v>5816</v>
      </c>
      <c r="C615" s="706" t="e">
        <f>VLOOKUP($B:$B,[140]단가!$B:$K,2,FALSE)</f>
        <v>#N/A</v>
      </c>
      <c r="D615" s="706" t="e">
        <f>IF(VLOOKUP(B:B,[140]단가!B:K,3,FALSE)="","",VLOOKUP(B:B,[140]단가!B:K,3,FALSE))</f>
        <v>#N/A</v>
      </c>
      <c r="E615" s="707" t="e">
        <f>VLOOKUP($B:$B,[140]단가!$B:$K,4,FALSE)</f>
        <v>#N/A</v>
      </c>
      <c r="F615" s="706" t="e">
        <f>VLOOKUP($B:$B,[140]단가!$B:$K,11,FALSE)</f>
        <v>#N/A</v>
      </c>
      <c r="G615" s="706"/>
    </row>
    <row r="616" spans="1:7" ht="27.6" customHeight="1">
      <c r="A616" s="704" t="e">
        <f t="shared" si="12"/>
        <v>#N/A</v>
      </c>
      <c r="B616" s="715" t="s">
        <v>5817</v>
      </c>
      <c r="C616" s="706" t="e">
        <f>VLOOKUP($B:$B,[140]단가!$B:$K,2,FALSE)</f>
        <v>#N/A</v>
      </c>
      <c r="D616" s="706" t="e">
        <f>IF(VLOOKUP(B:B,[140]단가!B:K,3,FALSE)="","",VLOOKUP(B:B,[140]단가!B:K,3,FALSE))</f>
        <v>#N/A</v>
      </c>
      <c r="E616" s="707" t="e">
        <f>VLOOKUP($B:$B,[140]단가!$B:$K,4,FALSE)</f>
        <v>#N/A</v>
      </c>
      <c r="F616" s="706" t="e">
        <f>VLOOKUP($B:$B,[140]단가!$B:$K,11,FALSE)</f>
        <v>#N/A</v>
      </c>
      <c r="G616" s="706"/>
    </row>
    <row r="617" spans="1:7" ht="27.6" customHeight="1">
      <c r="A617" s="704" t="e">
        <f t="shared" si="12"/>
        <v>#N/A</v>
      </c>
      <c r="B617" s="715" t="s">
        <v>5818</v>
      </c>
      <c r="C617" s="706" t="e">
        <f>VLOOKUP($B:$B,[140]단가!$B:$K,2,FALSE)</f>
        <v>#N/A</v>
      </c>
      <c r="D617" s="706" t="e">
        <f>IF(VLOOKUP(B:B,[140]단가!B:K,3,FALSE)="","",VLOOKUP(B:B,[140]단가!B:K,3,FALSE))</f>
        <v>#N/A</v>
      </c>
      <c r="E617" s="707" t="e">
        <f>VLOOKUP($B:$B,[140]단가!$B:$K,4,FALSE)</f>
        <v>#N/A</v>
      </c>
      <c r="F617" s="706" t="e">
        <f>VLOOKUP($B:$B,[140]단가!$B:$K,11,FALSE)</f>
        <v>#N/A</v>
      </c>
      <c r="G617" s="706"/>
    </row>
    <row r="618" spans="1:7" ht="27.6" customHeight="1">
      <c r="A618" s="704" t="e">
        <f t="shared" si="12"/>
        <v>#N/A</v>
      </c>
      <c r="B618" s="715" t="s">
        <v>5819</v>
      </c>
      <c r="C618" s="706" t="e">
        <f>VLOOKUP($B:$B,[140]단가!$B:$K,2,FALSE)</f>
        <v>#N/A</v>
      </c>
      <c r="D618" s="706" t="e">
        <f>IF(VLOOKUP(B:B,[140]단가!B:K,3,FALSE)="","",VLOOKUP(B:B,[140]단가!B:K,3,FALSE))</f>
        <v>#N/A</v>
      </c>
      <c r="E618" s="707" t="e">
        <f>VLOOKUP($B:$B,[140]단가!$B:$K,4,FALSE)</f>
        <v>#N/A</v>
      </c>
      <c r="F618" s="706" t="e">
        <f>VLOOKUP($B:$B,[140]단가!$B:$K,11,FALSE)</f>
        <v>#N/A</v>
      </c>
      <c r="G618" s="706"/>
    </row>
    <row r="619" spans="1:7" ht="27.6" customHeight="1">
      <c r="A619" s="704" t="e">
        <f t="shared" si="12"/>
        <v>#N/A</v>
      </c>
      <c r="B619" s="715" t="s">
        <v>5820</v>
      </c>
      <c r="C619" s="706" t="e">
        <f>VLOOKUP($B:$B,[140]단가!$B:$K,2,FALSE)</f>
        <v>#N/A</v>
      </c>
      <c r="D619" s="706" t="e">
        <f>IF(VLOOKUP(B:B,[140]단가!B:K,3,FALSE)="","",VLOOKUP(B:B,[140]단가!B:K,3,FALSE))</f>
        <v>#N/A</v>
      </c>
      <c r="E619" s="707" t="e">
        <f>VLOOKUP($B:$B,[140]단가!$B:$K,4,FALSE)</f>
        <v>#N/A</v>
      </c>
      <c r="F619" s="706" t="e">
        <f>VLOOKUP($B:$B,[140]단가!$B:$K,11,FALSE)</f>
        <v>#N/A</v>
      </c>
      <c r="G619" s="706"/>
    </row>
    <row r="620" spans="1:7" ht="27.6" customHeight="1">
      <c r="A620" s="704" t="e">
        <f t="shared" si="12"/>
        <v>#N/A</v>
      </c>
      <c r="B620" s="715" t="s">
        <v>5821</v>
      </c>
      <c r="C620" s="706" t="e">
        <f>VLOOKUP($B:$B,[140]단가!$B:$K,2,FALSE)</f>
        <v>#N/A</v>
      </c>
      <c r="D620" s="706" t="e">
        <f>IF(VLOOKUP(B:B,[140]단가!B:K,3,FALSE)="","",VLOOKUP(B:B,[140]단가!B:K,3,FALSE))</f>
        <v>#N/A</v>
      </c>
      <c r="E620" s="707" t="e">
        <f>VLOOKUP($B:$B,[140]단가!$B:$K,4,FALSE)</f>
        <v>#N/A</v>
      </c>
      <c r="F620" s="706" t="e">
        <f>VLOOKUP($B:$B,[140]단가!$B:$K,11,FALSE)</f>
        <v>#N/A</v>
      </c>
      <c r="G620" s="706"/>
    </row>
    <row r="621" spans="1:7" ht="27.6" customHeight="1">
      <c r="A621" s="704" t="e">
        <f t="shared" si="12"/>
        <v>#N/A</v>
      </c>
      <c r="B621" s="715" t="s">
        <v>5822</v>
      </c>
      <c r="C621" s="706" t="e">
        <f>VLOOKUP($B:$B,[140]단가!$B:$K,2,FALSE)</f>
        <v>#N/A</v>
      </c>
      <c r="D621" s="706" t="e">
        <f>IF(VLOOKUP(B:B,[140]단가!B:K,3,FALSE)="","",VLOOKUP(B:B,[140]단가!B:K,3,FALSE))</f>
        <v>#N/A</v>
      </c>
      <c r="E621" s="707" t="e">
        <f>VLOOKUP($B:$B,[140]단가!$B:$K,4,FALSE)</f>
        <v>#N/A</v>
      </c>
      <c r="F621" s="706" t="e">
        <f>VLOOKUP($B:$B,[140]단가!$B:$K,11,FALSE)</f>
        <v>#N/A</v>
      </c>
      <c r="G621" s="706"/>
    </row>
    <row r="622" spans="1:7" ht="27.6" customHeight="1">
      <c r="A622" s="704" t="e">
        <f t="shared" si="12"/>
        <v>#N/A</v>
      </c>
      <c r="B622" s="715" t="s">
        <v>5823</v>
      </c>
      <c r="C622" s="706" t="e">
        <f>VLOOKUP($B:$B,[140]단가!$B:$K,2,FALSE)</f>
        <v>#N/A</v>
      </c>
      <c r="D622" s="706" t="e">
        <f>IF(VLOOKUP(B:B,[140]단가!B:K,3,FALSE)="","",VLOOKUP(B:B,[140]단가!B:K,3,FALSE))</f>
        <v>#N/A</v>
      </c>
      <c r="E622" s="707" t="e">
        <f>VLOOKUP($B:$B,[140]단가!$B:$K,4,FALSE)</f>
        <v>#N/A</v>
      </c>
      <c r="F622" s="706" t="e">
        <f>VLOOKUP($B:$B,[140]단가!$B:$K,11,FALSE)</f>
        <v>#N/A</v>
      </c>
      <c r="G622" s="706"/>
    </row>
    <row r="623" spans="1:7" ht="27.6" customHeight="1">
      <c r="A623" s="704" t="e">
        <f t="shared" si="12"/>
        <v>#N/A</v>
      </c>
      <c r="B623" s="715" t="s">
        <v>5824</v>
      </c>
      <c r="C623" s="706" t="e">
        <f>VLOOKUP($B:$B,[140]단가!$B:$K,2,FALSE)</f>
        <v>#N/A</v>
      </c>
      <c r="D623" s="706" t="e">
        <f>IF(VLOOKUP(B:B,[140]단가!B:K,3,FALSE)="","",VLOOKUP(B:B,[140]단가!B:K,3,FALSE))</f>
        <v>#N/A</v>
      </c>
      <c r="E623" s="707" t="e">
        <f>VLOOKUP($B:$B,[140]단가!$B:$K,4,FALSE)</f>
        <v>#N/A</v>
      </c>
      <c r="F623" s="706" t="e">
        <f>VLOOKUP($B:$B,[140]단가!$B:$K,11,FALSE)</f>
        <v>#N/A</v>
      </c>
      <c r="G623" s="706"/>
    </row>
    <row r="624" spans="1:7" ht="27.6" customHeight="1">
      <c r="A624" s="704" t="e">
        <f t="shared" si="12"/>
        <v>#N/A</v>
      </c>
      <c r="B624" s="715" t="s">
        <v>5825</v>
      </c>
      <c r="C624" s="706" t="e">
        <f>VLOOKUP($B:$B,[140]단가!$B:$K,2,FALSE)</f>
        <v>#N/A</v>
      </c>
      <c r="D624" s="706" t="e">
        <f>IF(VLOOKUP(B:B,[140]단가!B:K,3,FALSE)="","",VLOOKUP(B:B,[140]단가!B:K,3,FALSE))</f>
        <v>#N/A</v>
      </c>
      <c r="E624" s="707" t="e">
        <f>VLOOKUP($B:$B,[140]단가!$B:$K,4,FALSE)</f>
        <v>#N/A</v>
      </c>
      <c r="F624" s="706" t="e">
        <f>VLOOKUP($B:$B,[140]단가!$B:$K,11,FALSE)</f>
        <v>#N/A</v>
      </c>
      <c r="G624" s="706"/>
    </row>
    <row r="625" spans="1:7" ht="27.6" customHeight="1">
      <c r="A625" s="704" t="e">
        <f t="shared" si="12"/>
        <v>#N/A</v>
      </c>
      <c r="B625" s="715" t="s">
        <v>5826</v>
      </c>
      <c r="C625" s="706" t="e">
        <f>VLOOKUP($B:$B,[140]단가!$B:$K,2,FALSE)</f>
        <v>#N/A</v>
      </c>
      <c r="D625" s="706" t="e">
        <f>IF(VLOOKUP(B:B,[140]단가!B:K,3,FALSE)="","",VLOOKUP(B:B,[140]단가!B:K,3,FALSE))</f>
        <v>#N/A</v>
      </c>
      <c r="E625" s="707" t="e">
        <f>VLOOKUP($B:$B,[140]단가!$B:$K,4,FALSE)</f>
        <v>#N/A</v>
      </c>
      <c r="F625" s="706" t="e">
        <f>VLOOKUP($B:$B,[140]단가!$B:$K,11,FALSE)</f>
        <v>#N/A</v>
      </c>
      <c r="G625" s="706"/>
    </row>
    <row r="626" spans="1:7" ht="27.6" customHeight="1">
      <c r="A626" s="704" t="e">
        <f t="shared" si="12"/>
        <v>#N/A</v>
      </c>
      <c r="B626" s="715" t="s">
        <v>5827</v>
      </c>
      <c r="C626" s="706" t="e">
        <f>VLOOKUP($B:$B,[140]단가!$B:$K,2,FALSE)</f>
        <v>#N/A</v>
      </c>
      <c r="D626" s="706" t="e">
        <f>IF(VLOOKUP(B:B,[140]단가!B:K,3,FALSE)="","",VLOOKUP(B:B,[140]단가!B:K,3,FALSE))</f>
        <v>#N/A</v>
      </c>
      <c r="E626" s="707" t="e">
        <f>VLOOKUP($B:$B,[140]단가!$B:$K,4,FALSE)</f>
        <v>#N/A</v>
      </c>
      <c r="F626" s="706" t="e">
        <f>VLOOKUP($B:$B,[140]단가!$B:$K,11,FALSE)</f>
        <v>#N/A</v>
      </c>
      <c r="G626" s="706"/>
    </row>
    <row r="627" spans="1:7" ht="27.6" customHeight="1">
      <c r="A627" s="704" t="e">
        <f t="shared" si="12"/>
        <v>#N/A</v>
      </c>
      <c r="B627" s="715" t="s">
        <v>5828</v>
      </c>
      <c r="C627" s="706" t="e">
        <f>VLOOKUP($B:$B,[140]단가!$B:$K,2,FALSE)</f>
        <v>#N/A</v>
      </c>
      <c r="D627" s="706" t="e">
        <f>IF(VLOOKUP(B:B,[140]단가!B:K,3,FALSE)="","",VLOOKUP(B:B,[140]단가!B:K,3,FALSE))</f>
        <v>#N/A</v>
      </c>
      <c r="E627" s="707" t="e">
        <f>VLOOKUP($B:$B,[140]단가!$B:$K,4,FALSE)</f>
        <v>#N/A</v>
      </c>
      <c r="F627" s="706" t="e">
        <f>VLOOKUP($B:$B,[140]단가!$B:$K,11,FALSE)</f>
        <v>#N/A</v>
      </c>
      <c r="G627" s="706"/>
    </row>
    <row r="628" spans="1:7" ht="27.6" customHeight="1">
      <c r="A628" s="704" t="e">
        <f t="shared" si="12"/>
        <v>#N/A</v>
      </c>
      <c r="B628" s="715" t="s">
        <v>5829</v>
      </c>
      <c r="C628" s="706" t="e">
        <f>VLOOKUP($B:$B,[140]단가!$B:$K,2,FALSE)</f>
        <v>#N/A</v>
      </c>
      <c r="D628" s="706" t="e">
        <f>IF(VLOOKUP(B:B,[140]단가!B:K,3,FALSE)="","",VLOOKUP(B:B,[140]단가!B:K,3,FALSE))</f>
        <v>#N/A</v>
      </c>
      <c r="E628" s="707" t="e">
        <f>VLOOKUP($B:$B,[140]단가!$B:$K,4,FALSE)</f>
        <v>#N/A</v>
      </c>
      <c r="F628" s="706" t="e">
        <f>VLOOKUP($B:$B,[140]단가!$B:$K,11,FALSE)</f>
        <v>#N/A</v>
      </c>
      <c r="G628" s="706"/>
    </row>
    <row r="629" spans="1:7" ht="27.6" customHeight="1">
      <c r="A629" s="704" t="e">
        <f t="shared" si="12"/>
        <v>#N/A</v>
      </c>
      <c r="B629" s="715" t="s">
        <v>5830</v>
      </c>
      <c r="C629" s="706" t="e">
        <f>VLOOKUP($B:$B,[140]단가!$B:$K,2,FALSE)</f>
        <v>#N/A</v>
      </c>
      <c r="D629" s="706" t="e">
        <f>IF(VLOOKUP(B:B,[140]단가!B:K,3,FALSE)="","",VLOOKUP(B:B,[140]단가!B:K,3,FALSE))</f>
        <v>#N/A</v>
      </c>
      <c r="E629" s="707" t="e">
        <f>VLOOKUP($B:$B,[140]단가!$B:$K,4,FALSE)</f>
        <v>#N/A</v>
      </c>
      <c r="F629" s="706" t="e">
        <f>VLOOKUP($B:$B,[140]단가!$B:$K,11,FALSE)</f>
        <v>#N/A</v>
      </c>
      <c r="G629" s="706"/>
    </row>
    <row r="630" spans="1:7" ht="27.6" customHeight="1">
      <c r="A630" s="704" t="e">
        <f t="shared" si="12"/>
        <v>#N/A</v>
      </c>
      <c r="B630" s="715" t="s">
        <v>5831</v>
      </c>
      <c r="C630" s="706" t="e">
        <f>VLOOKUP($B:$B,[140]단가!$B:$K,2,FALSE)</f>
        <v>#N/A</v>
      </c>
      <c r="D630" s="706" t="e">
        <f>IF(VLOOKUP(B:B,[140]단가!B:K,3,FALSE)="","",VLOOKUP(B:B,[140]단가!B:K,3,FALSE))</f>
        <v>#N/A</v>
      </c>
      <c r="E630" s="707" t="e">
        <f>VLOOKUP($B:$B,[140]단가!$B:$K,4,FALSE)</f>
        <v>#N/A</v>
      </c>
      <c r="F630" s="706" t="e">
        <f>VLOOKUP($B:$B,[140]단가!$B:$K,11,FALSE)</f>
        <v>#N/A</v>
      </c>
      <c r="G630" s="706"/>
    </row>
    <row r="631" spans="1:7" ht="27.6" customHeight="1">
      <c r="A631" s="704" t="e">
        <f t="shared" si="12"/>
        <v>#N/A</v>
      </c>
      <c r="B631" s="715" t="s">
        <v>5832</v>
      </c>
      <c r="C631" s="706" t="e">
        <f>VLOOKUP($B:$B,[140]단가!$B:$K,2,FALSE)</f>
        <v>#N/A</v>
      </c>
      <c r="D631" s="706" t="e">
        <f>IF(VLOOKUP(B:B,[140]단가!B:K,3,FALSE)="","",VLOOKUP(B:B,[140]단가!B:K,3,FALSE))</f>
        <v>#N/A</v>
      </c>
      <c r="E631" s="707" t="e">
        <f>VLOOKUP($B:$B,[140]단가!$B:$K,4,FALSE)</f>
        <v>#N/A</v>
      </c>
      <c r="F631" s="706" t="e">
        <f>VLOOKUP($B:$B,[140]단가!$B:$K,11,FALSE)</f>
        <v>#N/A</v>
      </c>
      <c r="G631" s="706"/>
    </row>
    <row r="632" spans="1:7" ht="27.6" customHeight="1">
      <c r="A632" s="704" t="e">
        <f t="shared" si="12"/>
        <v>#N/A</v>
      </c>
      <c r="B632" s="715" t="s">
        <v>5833</v>
      </c>
      <c r="C632" s="706" t="e">
        <f>VLOOKUP($B:$B,[140]단가!$B:$K,2,FALSE)</f>
        <v>#N/A</v>
      </c>
      <c r="D632" s="706" t="e">
        <f>IF(VLOOKUP(B:B,[140]단가!B:K,3,FALSE)="","",VLOOKUP(B:B,[140]단가!B:K,3,FALSE))</f>
        <v>#N/A</v>
      </c>
      <c r="E632" s="707" t="e">
        <f>VLOOKUP($B:$B,[140]단가!$B:$K,4,FALSE)</f>
        <v>#N/A</v>
      </c>
      <c r="F632" s="706" t="e">
        <f>VLOOKUP($B:$B,[140]단가!$B:$K,11,FALSE)</f>
        <v>#N/A</v>
      </c>
      <c r="G632" s="706"/>
    </row>
    <row r="633" spans="1:7" ht="27.6" customHeight="1">
      <c r="A633" s="704" t="e">
        <f t="shared" si="12"/>
        <v>#N/A</v>
      </c>
      <c r="B633" s="715" t="s">
        <v>5834</v>
      </c>
      <c r="C633" s="706" t="e">
        <f>VLOOKUP($B:$B,[140]단가!$B:$K,2,FALSE)</f>
        <v>#N/A</v>
      </c>
      <c r="D633" s="706" t="e">
        <f>IF(VLOOKUP(B:B,[140]단가!B:K,3,FALSE)="","",VLOOKUP(B:B,[140]단가!B:K,3,FALSE))</f>
        <v>#N/A</v>
      </c>
      <c r="E633" s="707" t="e">
        <f>VLOOKUP($B:$B,[140]단가!$B:$K,4,FALSE)</f>
        <v>#N/A</v>
      </c>
      <c r="F633" s="706" t="e">
        <f>VLOOKUP($B:$B,[140]단가!$B:$K,11,FALSE)</f>
        <v>#N/A</v>
      </c>
      <c r="G633" s="706"/>
    </row>
    <row r="634" spans="1:7" ht="27.6" customHeight="1">
      <c r="A634" s="704" t="e">
        <f t="shared" si="12"/>
        <v>#N/A</v>
      </c>
      <c r="B634" s="715" t="s">
        <v>5835</v>
      </c>
      <c r="C634" s="706" t="e">
        <f>VLOOKUP($B:$B,[140]단가!$B:$K,2,FALSE)</f>
        <v>#N/A</v>
      </c>
      <c r="D634" s="706" t="e">
        <f>IF(VLOOKUP(B:B,[140]단가!B:K,3,FALSE)="","",VLOOKUP(B:B,[140]단가!B:K,3,FALSE))</f>
        <v>#N/A</v>
      </c>
      <c r="E634" s="707" t="e">
        <f>VLOOKUP($B:$B,[140]단가!$B:$K,4,FALSE)</f>
        <v>#N/A</v>
      </c>
      <c r="F634" s="706" t="e">
        <f>VLOOKUP($B:$B,[140]단가!$B:$K,11,FALSE)</f>
        <v>#N/A</v>
      </c>
      <c r="G634" s="706"/>
    </row>
    <row r="635" spans="1:7" ht="27.6" customHeight="1">
      <c r="A635" s="704" t="e">
        <f t="shared" si="12"/>
        <v>#N/A</v>
      </c>
      <c r="B635" s="715" t="s">
        <v>5836</v>
      </c>
      <c r="C635" s="706" t="e">
        <f>VLOOKUP($B:$B,[140]단가!$B:$K,2,FALSE)</f>
        <v>#N/A</v>
      </c>
      <c r="D635" s="706" t="e">
        <f>IF(VLOOKUP(B:B,[140]단가!B:K,3,FALSE)="","",VLOOKUP(B:B,[140]단가!B:K,3,FALSE))</f>
        <v>#N/A</v>
      </c>
      <c r="E635" s="707" t="e">
        <f>VLOOKUP($B:$B,[140]단가!$B:$K,4,FALSE)</f>
        <v>#N/A</v>
      </c>
      <c r="F635" s="706" t="e">
        <f>VLOOKUP($B:$B,[140]단가!$B:$K,11,FALSE)</f>
        <v>#N/A</v>
      </c>
      <c r="G635" s="706"/>
    </row>
    <row r="636" spans="1:7" ht="27.6" customHeight="1">
      <c r="A636" s="704" t="e">
        <f t="shared" si="12"/>
        <v>#N/A</v>
      </c>
      <c r="B636" s="715" t="s">
        <v>5837</v>
      </c>
      <c r="C636" s="706" t="e">
        <f>VLOOKUP($B:$B,[140]단가!$B:$K,2,FALSE)</f>
        <v>#N/A</v>
      </c>
      <c r="D636" s="706" t="e">
        <f>IF(VLOOKUP(B:B,[140]단가!B:K,3,FALSE)="","",VLOOKUP(B:B,[140]단가!B:K,3,FALSE))</f>
        <v>#N/A</v>
      </c>
      <c r="E636" s="707" t="e">
        <f>VLOOKUP($B:$B,[140]단가!$B:$K,4,FALSE)</f>
        <v>#N/A</v>
      </c>
      <c r="F636" s="706" t="e">
        <f>VLOOKUP($B:$B,[140]단가!$B:$K,11,FALSE)</f>
        <v>#N/A</v>
      </c>
      <c r="G636" s="706"/>
    </row>
  </sheetData>
  <mergeCells count="1">
    <mergeCell ref="B1:I1"/>
  </mergeCells>
  <phoneticPr fontId="1" type="noConversion"/>
  <printOptions horizontalCentered="1"/>
  <pageMargins left="0.59055118110236227" right="0.39370078740157483" top="0.59055118110236227" bottom="0.59055118110236227" header="0.39370078740157483" footer="0.39370078740157483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M909"/>
  <sheetViews>
    <sheetView view="pageBreakPreview" zoomScale="120" zoomScaleNormal="85" zoomScaleSheetLayoutView="120" workbookViewId="0">
      <pane ySplit="4" topLeftCell="A5" activePane="bottomLeft" state="frozen"/>
      <selection pane="bottomLeft" sqref="A1:L1"/>
    </sheetView>
  </sheetViews>
  <sheetFormatPr defaultColWidth="10" defaultRowHeight="16.5"/>
  <cols>
    <col min="1" max="1" width="13.25" style="797" customWidth="1"/>
    <col min="2" max="2" width="28.875" style="798" customWidth="1"/>
    <col min="3" max="3" width="28.875" style="797" customWidth="1"/>
    <col min="4" max="4" width="36" style="797" hidden="1" customWidth="1"/>
    <col min="5" max="5" width="8.75" style="797" customWidth="1"/>
    <col min="6" max="6" width="13.5" style="797" customWidth="1"/>
    <col min="7" max="10" width="16" style="797" customWidth="1"/>
    <col min="11" max="11" width="16.5" style="797" customWidth="1"/>
    <col min="12" max="12" width="15.75" style="797" customWidth="1"/>
    <col min="13" max="13" width="10" style="797" customWidth="1"/>
    <col min="14" max="16384" width="10" style="716"/>
  </cols>
  <sheetData>
    <row r="1" spans="1:13" s="718" customFormat="1" ht="42.75" customHeight="1">
      <c r="A1" s="1452" t="s">
        <v>5838</v>
      </c>
      <c r="B1" s="1453"/>
      <c r="C1" s="1453"/>
      <c r="D1" s="1453"/>
      <c r="E1" s="1453"/>
      <c r="F1" s="1453"/>
      <c r="G1" s="1453"/>
      <c r="H1" s="1453"/>
      <c r="I1" s="1453"/>
      <c r="J1" s="1453"/>
      <c r="K1" s="1453"/>
      <c r="L1" s="1453"/>
      <c r="M1" s="717"/>
    </row>
    <row r="2" spans="1:13" s="718" customFormat="1" ht="24.75" customHeight="1">
      <c r="A2" s="719"/>
      <c r="B2" s="720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17"/>
    </row>
    <row r="3" spans="1:13" s="718" customFormat="1" ht="21.75" customHeight="1">
      <c r="A3" s="1451" t="s">
        <v>5839</v>
      </c>
      <c r="B3" s="1454" t="s">
        <v>5840</v>
      </c>
      <c r="C3" s="1451" t="s">
        <v>5841</v>
      </c>
      <c r="D3" s="1451" t="s">
        <v>5842</v>
      </c>
      <c r="E3" s="1451" t="s">
        <v>5843</v>
      </c>
      <c r="F3" s="1457" t="s">
        <v>5844</v>
      </c>
      <c r="G3" s="1451" t="s">
        <v>5845</v>
      </c>
      <c r="H3" s="1456"/>
      <c r="I3" s="1458" t="s">
        <v>5846</v>
      </c>
      <c r="J3" s="1458"/>
      <c r="K3" s="1458" t="s">
        <v>5847</v>
      </c>
      <c r="L3" s="1451" t="s">
        <v>5848</v>
      </c>
      <c r="M3" s="717"/>
    </row>
    <row r="4" spans="1:13" s="718" customFormat="1" ht="21.75" customHeight="1">
      <c r="A4" s="1451"/>
      <c r="B4" s="1455"/>
      <c r="C4" s="1456"/>
      <c r="D4" s="1456"/>
      <c r="E4" s="1456"/>
      <c r="F4" s="1456"/>
      <c r="G4" s="722" t="s">
        <v>5849</v>
      </c>
      <c r="H4" s="723" t="s">
        <v>5850</v>
      </c>
      <c r="I4" s="723" t="s">
        <v>5849</v>
      </c>
      <c r="J4" s="723" t="s">
        <v>5850</v>
      </c>
      <c r="K4" s="1456"/>
      <c r="L4" s="1451"/>
      <c r="M4" s="717"/>
    </row>
    <row r="5" spans="1:13" s="718" customFormat="1" ht="21" customHeight="1">
      <c r="A5" s="724" t="str">
        <f>"제"&amp;M5&amp;"호표"</f>
        <v>제1호표</v>
      </c>
      <c r="B5" s="725" t="s">
        <v>5851</v>
      </c>
      <c r="C5" s="726"/>
      <c r="D5" s="726"/>
      <c r="E5" s="724" t="s">
        <v>2477</v>
      </c>
      <c r="F5" s="727"/>
      <c r="G5" s="728"/>
      <c r="H5" s="728"/>
      <c r="I5" s="728"/>
      <c r="J5" s="728"/>
      <c r="K5" s="728"/>
      <c r="L5" s="724"/>
      <c r="M5" s="729">
        <v>1</v>
      </c>
    </row>
    <row r="6" spans="1:13" s="718" customFormat="1" ht="21" customHeight="1">
      <c r="A6" s="724"/>
      <c r="B6" s="725"/>
      <c r="C6" s="726"/>
      <c r="D6" s="726"/>
      <c r="E6" s="724"/>
      <c r="F6" s="727"/>
      <c r="G6" s="728"/>
      <c r="H6" s="728"/>
      <c r="I6" s="728"/>
      <c r="J6" s="728"/>
      <c r="K6" s="728"/>
      <c r="L6" s="724"/>
      <c r="M6" s="729"/>
    </row>
    <row r="7" spans="1:13" s="718" customFormat="1" ht="21" customHeight="1">
      <c r="A7" s="724"/>
      <c r="B7" s="725" t="s">
        <v>5852</v>
      </c>
      <c r="C7" s="726" t="s">
        <v>5853</v>
      </c>
      <c r="D7" s="726" t="str">
        <f t="shared" ref="D7:D15" si="0">SUBSTITUTE(CONCATENATE(B:B,C:C,E:E)," ","")</f>
        <v>용접봉2.6mm(CR-13)KG</v>
      </c>
      <c r="E7" s="724" t="s">
        <v>2477</v>
      </c>
      <c r="F7" s="727">
        <v>25.872</v>
      </c>
      <c r="G7" s="728">
        <f>'단가대비표(진열장)'!L41</f>
        <v>3044</v>
      </c>
      <c r="H7" s="728">
        <f>TRUNC($F:$F*G:G)</f>
        <v>78754</v>
      </c>
      <c r="I7" s="728">
        <f>IF($E:$E="인",VLOOKUP($B:$B,[140]노임!$B:$H,6,FALSE),VLOOKUP($D:$D,[140]일위목록!$A:$H,7,FALSE))</f>
        <v>0</v>
      </c>
      <c r="J7" s="728">
        <f t="shared" ref="J7:J15" si="1">TRUNC($F:$F*I:I)</f>
        <v>0</v>
      </c>
      <c r="K7" s="728">
        <f t="shared" ref="K7:K15" si="2">H7+J7</f>
        <v>78754</v>
      </c>
      <c r="L7" s="724" t="str">
        <f>IF($E:$E="인",VLOOKUP($B:$B,[140]단가!$B:$E,3,FALSE),VLOOKUP($D:$D,[140]일위목록!$A:$H,2,FALSE))</f>
        <v>단가-37번</v>
      </c>
      <c r="M7" s="717"/>
    </row>
    <row r="8" spans="1:13" s="718" customFormat="1" ht="21" customHeight="1">
      <c r="A8" s="724"/>
      <c r="B8" s="725" t="s">
        <v>5854</v>
      </c>
      <c r="C8" s="726" t="s">
        <v>5855</v>
      </c>
      <c r="D8" s="726" t="str">
        <f t="shared" si="0"/>
        <v>산소99%L</v>
      </c>
      <c r="E8" s="724" t="s">
        <v>1230</v>
      </c>
      <c r="F8" s="727">
        <v>8820</v>
      </c>
      <c r="G8" s="728">
        <f>'단가대비표(진열장)'!L44</f>
        <v>325</v>
      </c>
      <c r="H8" s="728">
        <f t="shared" ref="H8:H14" si="3">TRUNC($F:$F*G:G)</f>
        <v>2866500</v>
      </c>
      <c r="I8" s="728">
        <f>IF($E:$E="인",VLOOKUP($B:$B,[140]노임!$B:$H,6,FALSE),VLOOKUP($D:$D,[140]일위목록!$A:$H,7,FALSE))</f>
        <v>0</v>
      </c>
      <c r="J8" s="728">
        <f t="shared" si="1"/>
        <v>0</v>
      </c>
      <c r="K8" s="728">
        <f t="shared" si="2"/>
        <v>2866500</v>
      </c>
      <c r="L8" s="724" t="str">
        <f>IF($E:$E="인",VLOOKUP($B:$B,[140]단가!$B:$E,3,FALSE),VLOOKUP($D:$D,[140]일위목록!$A:$H,2,FALSE))</f>
        <v>단가-40번</v>
      </c>
      <c r="M8" s="717"/>
    </row>
    <row r="9" spans="1:13" s="718" customFormat="1" ht="21" customHeight="1">
      <c r="A9" s="724"/>
      <c r="B9" s="725" t="s">
        <v>5856</v>
      </c>
      <c r="C9" s="730">
        <v>0.99960000000000004</v>
      </c>
      <c r="D9" s="726" t="str">
        <f t="shared" si="0"/>
        <v>아세틸렌0.9996KG</v>
      </c>
      <c r="E9" s="724" t="s">
        <v>2477</v>
      </c>
      <c r="F9" s="727">
        <v>3.92</v>
      </c>
      <c r="G9" s="728">
        <f>'단가대비표(진열장)'!L45</f>
        <v>13000</v>
      </c>
      <c r="H9" s="728">
        <f t="shared" si="3"/>
        <v>50960</v>
      </c>
      <c r="I9" s="728">
        <f>IF($E:$E="인",VLOOKUP($B:$B,[140]노임!$B:$H,6,FALSE),VLOOKUP($D:$D,[140]일위목록!$A:$H,7,FALSE))</f>
        <v>0</v>
      </c>
      <c r="J9" s="728">
        <f t="shared" si="1"/>
        <v>0</v>
      </c>
      <c r="K9" s="728">
        <f t="shared" si="2"/>
        <v>50960</v>
      </c>
      <c r="L9" s="724" t="str">
        <f>IF($E:$E="인",VLOOKUP($B:$B,[140]단가!$B:$E,3,FALSE),VLOOKUP($D:$D,[140]일위목록!$A:$H,2,FALSE))</f>
        <v>단가-41번</v>
      </c>
      <c r="M9" s="717"/>
    </row>
    <row r="10" spans="1:13" s="718" customFormat="1" ht="21" customHeight="1">
      <c r="A10" s="724"/>
      <c r="B10" s="725" t="s">
        <v>5857</v>
      </c>
      <c r="C10" s="726"/>
      <c r="D10" s="726" t="str">
        <f t="shared" si="0"/>
        <v>전력소요량KWH</v>
      </c>
      <c r="E10" s="724" t="s">
        <v>5858</v>
      </c>
      <c r="F10" s="727">
        <v>176.4</v>
      </c>
      <c r="G10" s="728">
        <f>IF($E:$E="인",0,VLOOKUP($D:$D,[140]일위목록!$A:$H,6,FALSE))</f>
        <v>0</v>
      </c>
      <c r="H10" s="728">
        <f t="shared" si="3"/>
        <v>0</v>
      </c>
      <c r="I10" s="728">
        <f>IF($E:$E="인",VLOOKUP($B:$B,[140]노임!$B:$H,6,FALSE),VLOOKUP($D:$D,[140]일위목록!$A:$H,7,FALSE))</f>
        <v>0</v>
      </c>
      <c r="J10" s="728">
        <f t="shared" si="1"/>
        <v>0</v>
      </c>
      <c r="K10" s="728">
        <f t="shared" si="2"/>
        <v>0</v>
      </c>
      <c r="L10" s="724" t="str">
        <f>IF($E:$E="인",VLOOKUP($B:$B,[140]단가!$B:$E,3,FALSE),VLOOKUP($D:$D,[140]일위목록!$A:$H,2,FALSE))</f>
        <v>단가-44번</v>
      </c>
      <c r="M10" s="717"/>
    </row>
    <row r="11" spans="1:13" s="718" customFormat="1" ht="21" customHeight="1">
      <c r="A11" s="724"/>
      <c r="B11" s="731" t="s">
        <v>5859</v>
      </c>
      <c r="C11" s="726"/>
      <c r="D11" s="726" t="str">
        <f t="shared" si="0"/>
        <v>철공인</v>
      </c>
      <c r="E11" s="724" t="s">
        <v>5860</v>
      </c>
      <c r="F11" s="727">
        <v>38.71</v>
      </c>
      <c r="G11" s="728">
        <f>IF($E:$E="인",0,VLOOKUP($D:$D,[141]일위목록!$A:$H,6,FALSE))</f>
        <v>0</v>
      </c>
      <c r="H11" s="728">
        <f t="shared" si="3"/>
        <v>0</v>
      </c>
      <c r="I11" s="728">
        <f>'노임(진열장)'!C14</f>
        <v>125427</v>
      </c>
      <c r="J11" s="728">
        <f t="shared" si="1"/>
        <v>4855279</v>
      </c>
      <c r="K11" s="728">
        <f t="shared" si="2"/>
        <v>4855279</v>
      </c>
      <c r="L11" s="724" t="str">
        <f>IF($E:$E="인",VLOOKUP($B:$B,[140]노임!$B:$D,3,FALSE),VLOOKUP($D:$D,[140]일위목록!$A:$H,2,FALSE))</f>
        <v>건설노임-1009</v>
      </c>
      <c r="M11" s="717"/>
    </row>
    <row r="12" spans="1:13" s="718" customFormat="1" ht="21" customHeight="1">
      <c r="A12" s="724"/>
      <c r="B12" s="731" t="s">
        <v>5861</v>
      </c>
      <c r="C12" s="726"/>
      <c r="D12" s="726" t="str">
        <f t="shared" si="0"/>
        <v>보통인부인</v>
      </c>
      <c r="E12" s="724" t="s">
        <v>5862</v>
      </c>
      <c r="F12" s="727">
        <v>0.92400000000000004</v>
      </c>
      <c r="G12" s="728">
        <f>IF($E:$E="인",0,VLOOKUP($D:$D,[141]일위목록!$A:$H,6,FALSE))</f>
        <v>0</v>
      </c>
      <c r="H12" s="728">
        <f t="shared" si="3"/>
        <v>0</v>
      </c>
      <c r="I12" s="728">
        <f>'노임(진열장)'!C14</f>
        <v>125427</v>
      </c>
      <c r="J12" s="728">
        <f t="shared" si="1"/>
        <v>115894</v>
      </c>
      <c r="K12" s="728">
        <f t="shared" si="2"/>
        <v>115894</v>
      </c>
      <c r="L12" s="724" t="str">
        <f>IF($E:$E="인",VLOOKUP($B:$B,[140]노임!$B:$D,3,FALSE),VLOOKUP($D:$D,[140]일위목록!$A:$H,2,FALSE))</f>
        <v>건설노임-1002</v>
      </c>
      <c r="M12" s="717"/>
    </row>
    <row r="13" spans="1:13" s="718" customFormat="1" ht="21" customHeight="1">
      <c r="A13" s="724"/>
      <c r="B13" s="731" t="s">
        <v>5863</v>
      </c>
      <c r="C13" s="726"/>
      <c r="D13" s="726" t="str">
        <f t="shared" si="0"/>
        <v>용접공인</v>
      </c>
      <c r="E13" s="724" t="s">
        <v>5862</v>
      </c>
      <c r="F13" s="727">
        <v>3.64</v>
      </c>
      <c r="G13" s="728">
        <f>IF($E:$E="인",0,VLOOKUP($D:$D,[141]일위목록!$A:$H,6,FALSE))</f>
        <v>0</v>
      </c>
      <c r="H13" s="728">
        <f t="shared" si="3"/>
        <v>0</v>
      </c>
      <c r="I13" s="728">
        <f>'노임(진열장)'!C18</f>
        <v>198711</v>
      </c>
      <c r="J13" s="728">
        <f t="shared" si="1"/>
        <v>723308</v>
      </c>
      <c r="K13" s="728">
        <f t="shared" si="2"/>
        <v>723308</v>
      </c>
      <c r="L13" s="724" t="str">
        <f>IF($E:$E="인",VLOOKUP($B:$B,[140]노임!$B:$D,3,FALSE),VLOOKUP($D:$D,[140]일위목록!$A:$H,2,FALSE))</f>
        <v>건설노임-1012</v>
      </c>
      <c r="M13" s="717"/>
    </row>
    <row r="14" spans="1:13" s="718" customFormat="1" ht="21" customHeight="1">
      <c r="A14" s="724"/>
      <c r="B14" s="731" t="s">
        <v>5864</v>
      </c>
      <c r="C14" s="726"/>
      <c r="D14" s="726" t="str">
        <f t="shared" si="0"/>
        <v>특별인부인</v>
      </c>
      <c r="E14" s="724" t="s">
        <v>5862</v>
      </c>
      <c r="F14" s="727">
        <v>1.036</v>
      </c>
      <c r="G14" s="728">
        <f>IF($E:$E="인",0,VLOOKUP($D:$D,[141]일위목록!$A:$H,6,FALSE))</f>
        <v>0</v>
      </c>
      <c r="H14" s="728">
        <f t="shared" si="3"/>
        <v>0</v>
      </c>
      <c r="I14" s="728">
        <f>'노임(진열장)'!C15</f>
        <v>152019</v>
      </c>
      <c r="J14" s="728">
        <f t="shared" si="1"/>
        <v>157491</v>
      </c>
      <c r="K14" s="728">
        <f t="shared" si="2"/>
        <v>157491</v>
      </c>
      <c r="L14" s="724" t="str">
        <f>IF($E:$E="인",VLOOKUP($B:$B,[140]노임!$B:$D,3,FALSE),VLOOKUP($D:$D,[140]일위목록!$A:$H,2,FALSE))</f>
        <v>건설노임-1003</v>
      </c>
      <c r="M14" s="717"/>
    </row>
    <row r="15" spans="1:13" s="718" customFormat="1" ht="21" customHeight="1">
      <c r="A15" s="724"/>
      <c r="B15" s="725" t="s">
        <v>5865</v>
      </c>
      <c r="C15" s="726" t="s">
        <v>5866</v>
      </c>
      <c r="D15" s="726" t="str">
        <f t="shared" si="0"/>
        <v>기구손료인건비의3%식</v>
      </c>
      <c r="E15" s="724" t="s">
        <v>5867</v>
      </c>
      <c r="F15" s="727">
        <v>1</v>
      </c>
      <c r="G15" s="728">
        <f>TRUNC(J16*2%)</f>
        <v>0</v>
      </c>
      <c r="H15" s="728">
        <f>TRUNC(J17*3%)</f>
        <v>175559</v>
      </c>
      <c r="I15" s="728">
        <f>IF($E:$E="인",VLOOKUP($B:$B,[140]노임!$B:$F,2,FALSE),0)</f>
        <v>0</v>
      </c>
      <c r="J15" s="728">
        <f t="shared" si="1"/>
        <v>0</v>
      </c>
      <c r="K15" s="728">
        <f t="shared" si="2"/>
        <v>175559</v>
      </c>
      <c r="L15" s="724" t="e">
        <f>IF($E:$E="인",VLOOKUP($B:$B,[140]노임!$B:$D,3,FALSE),VLOOKUP($D:$D,[140]일위목록!$A:$H,2,FALSE))</f>
        <v>#N/A</v>
      </c>
      <c r="M15" s="717"/>
    </row>
    <row r="16" spans="1:13" s="718" customFormat="1" ht="21" customHeight="1">
      <c r="A16" s="724"/>
      <c r="B16" s="725"/>
      <c r="C16" s="726"/>
      <c r="D16" s="726"/>
      <c r="E16" s="724"/>
      <c r="F16" s="727"/>
      <c r="G16" s="728"/>
      <c r="H16" s="728"/>
      <c r="I16" s="728">
        <f>IF($E:$E="인",VLOOKUP($B:$B,[140]노임!$B:$F,2,FALSE),0)</f>
        <v>0</v>
      </c>
      <c r="J16" s="728"/>
      <c r="K16" s="728"/>
      <c r="L16" s="724"/>
      <c r="M16" s="717"/>
    </row>
    <row r="17" spans="1:13" s="718" customFormat="1" ht="21" customHeight="1">
      <c r="A17" s="724"/>
      <c r="B17" s="725" t="s">
        <v>5868</v>
      </c>
      <c r="C17" s="726"/>
      <c r="D17" s="726"/>
      <c r="E17" s="724"/>
      <c r="F17" s="727"/>
      <c r="G17" s="728"/>
      <c r="H17" s="728">
        <f>SUM(H7:H16)</f>
        <v>3171773</v>
      </c>
      <c r="I17" s="728">
        <f>IF($E:$E="인",VLOOKUP($B:$B,[140]노임!$B:$F,2,FALSE),0)</f>
        <v>0</v>
      </c>
      <c r="J17" s="728">
        <f>SUM(J7:J16)</f>
        <v>5851972</v>
      </c>
      <c r="K17" s="728">
        <f>H17+J17</f>
        <v>9023745</v>
      </c>
      <c r="L17" s="724"/>
      <c r="M17" s="717"/>
    </row>
    <row r="18" spans="1:13" s="718" customFormat="1" ht="21" customHeight="1">
      <c r="A18" s="724"/>
      <c r="B18" s="725" t="s">
        <v>5869</v>
      </c>
      <c r="C18" s="726"/>
      <c r="D18" s="726" t="str">
        <f>L:L</f>
        <v>제1호표</v>
      </c>
      <c r="E18" s="724"/>
      <c r="F18" s="727"/>
      <c r="G18" s="728"/>
      <c r="H18" s="728">
        <f>TRUNC(H17/1000)</f>
        <v>3171</v>
      </c>
      <c r="I18" s="728">
        <f>IF($E:$E="인",VLOOKUP($B:$B,[140]노임!$B:$F,2,FALSE),0)</f>
        <v>0</v>
      </c>
      <c r="J18" s="728">
        <f>TRUNC(J17/1000)</f>
        <v>5851</v>
      </c>
      <c r="K18" s="728">
        <f>H18+J18</f>
        <v>9022</v>
      </c>
      <c r="L18" s="724" t="str">
        <f>A5</f>
        <v>제1호표</v>
      </c>
      <c r="M18" s="717"/>
    </row>
    <row r="19" spans="1:13" s="718" customFormat="1" ht="21" customHeight="1">
      <c r="A19" s="724"/>
      <c r="B19" s="725"/>
      <c r="C19" s="726"/>
      <c r="D19" s="726"/>
      <c r="E19" s="724"/>
      <c r="F19" s="727"/>
      <c r="G19" s="728"/>
      <c r="H19" s="728"/>
      <c r="I19" s="728"/>
      <c r="J19" s="728"/>
      <c r="K19" s="728"/>
      <c r="L19" s="724"/>
      <c r="M19" s="717"/>
    </row>
    <row r="20" spans="1:13" s="718" customFormat="1" ht="21" customHeight="1">
      <c r="A20" s="724"/>
      <c r="B20" s="725"/>
      <c r="C20" s="726"/>
      <c r="D20" s="726"/>
      <c r="E20" s="724"/>
      <c r="F20" s="727"/>
      <c r="G20" s="728"/>
      <c r="H20" s="728"/>
      <c r="I20" s="728"/>
      <c r="J20" s="728"/>
      <c r="K20" s="728"/>
      <c r="L20" s="724"/>
      <c r="M20" s="717"/>
    </row>
    <row r="21" spans="1:13" s="718" customFormat="1" ht="21" customHeight="1">
      <c r="A21" s="724" t="str">
        <f>"제"&amp;M21&amp;"호표"</f>
        <v>제2호표</v>
      </c>
      <c r="B21" s="725" t="s">
        <v>5870</v>
      </c>
      <c r="C21" s="726" t="s">
        <v>5871</v>
      </c>
      <c r="D21" s="726"/>
      <c r="E21" s="724" t="s">
        <v>591</v>
      </c>
      <c r="F21" s="727"/>
      <c r="G21" s="728"/>
      <c r="H21" s="728"/>
      <c r="I21" s="728"/>
      <c r="J21" s="728"/>
      <c r="K21" s="728"/>
      <c r="L21" s="724"/>
      <c r="M21" s="729">
        <f>M5+1</f>
        <v>2</v>
      </c>
    </row>
    <row r="22" spans="1:13" s="718" customFormat="1" ht="21" customHeight="1">
      <c r="A22" s="724"/>
      <c r="B22" s="725"/>
      <c r="C22" s="726"/>
      <c r="D22" s="726"/>
      <c r="E22" s="724"/>
      <c r="F22" s="727"/>
      <c r="G22" s="728"/>
      <c r="H22" s="728"/>
      <c r="I22" s="728"/>
      <c r="J22" s="728"/>
      <c r="K22" s="728"/>
      <c r="L22" s="724"/>
      <c r="M22" s="729"/>
    </row>
    <row r="23" spans="1:13" s="718" customFormat="1" ht="21" customHeight="1">
      <c r="A23" s="724"/>
      <c r="B23" s="725" t="s">
        <v>5852</v>
      </c>
      <c r="C23" s="726" t="s">
        <v>5853</v>
      </c>
      <c r="D23" s="726" t="str">
        <f t="shared" ref="D23:D32" si="4">SUBSTITUTE(CONCATENATE(B:B,C:C,E:E)," ","")</f>
        <v>용접봉2.6mm(CR-13)KG</v>
      </c>
      <c r="E23" s="724" t="s">
        <v>2477</v>
      </c>
      <c r="F23" s="727">
        <f>18.48*1.2</f>
        <v>22.175999999999998</v>
      </c>
      <c r="G23" s="728">
        <f>'단가대비표(진열장)'!L41</f>
        <v>3044</v>
      </c>
      <c r="H23" s="728">
        <f t="shared" ref="H23:H31" si="5">TRUNC($F:$F*G:G)</f>
        <v>67503</v>
      </c>
      <c r="I23" s="728">
        <f>IF($E:$E="인",VLOOKUP($B:$B,[140]노임!$B:$H,6,FALSE),VLOOKUP($D:$D,[140]일위목록!$A:$H,7,FALSE))</f>
        <v>0</v>
      </c>
      <c r="J23" s="728">
        <f t="shared" ref="J23:J32" si="6">TRUNC($F:$F*I:I)</f>
        <v>0</v>
      </c>
      <c r="K23" s="728">
        <f t="shared" ref="K23:K31" si="7">H23+J23</f>
        <v>67503</v>
      </c>
      <c r="L23" s="724" t="str">
        <f>IF($E:$E="인",VLOOKUP($B:$B,[140]단가!$B:$E,3,FALSE),VLOOKUP($D:$D,[140]일위목록!$A:$H,2,FALSE))</f>
        <v>단가-37번</v>
      </c>
      <c r="M23" s="717"/>
    </row>
    <row r="24" spans="1:13" s="718" customFormat="1" ht="21" customHeight="1">
      <c r="A24" s="724"/>
      <c r="B24" s="725" t="s">
        <v>5854</v>
      </c>
      <c r="C24" s="726" t="s">
        <v>5855</v>
      </c>
      <c r="D24" s="726" t="str">
        <f t="shared" si="4"/>
        <v>산소99%L</v>
      </c>
      <c r="E24" s="724" t="s">
        <v>1230</v>
      </c>
      <c r="F24" s="727">
        <f>6300*1.2</f>
        <v>7560</v>
      </c>
      <c r="G24" s="728">
        <f>'단가대비표(진열장)'!L44</f>
        <v>325</v>
      </c>
      <c r="H24" s="728">
        <f t="shared" si="5"/>
        <v>2457000</v>
      </c>
      <c r="I24" s="728">
        <f>IF($E:$E="인",VLOOKUP($B:$B,[140]노임!$B:$H,6,FALSE),VLOOKUP($D:$D,[140]일위목록!$A:$H,7,FALSE))</f>
        <v>0</v>
      </c>
      <c r="J24" s="728">
        <f t="shared" si="6"/>
        <v>0</v>
      </c>
      <c r="K24" s="728">
        <f t="shared" si="7"/>
        <v>2457000</v>
      </c>
      <c r="L24" s="724" t="str">
        <f>IF($E:$E="인",VLOOKUP($B:$B,[140]단가!$B:$E,3,FALSE),VLOOKUP($D:$D,[140]일위목록!$A:$H,2,FALSE))</f>
        <v>단가-40번</v>
      </c>
      <c r="M24" s="717"/>
    </row>
    <row r="25" spans="1:13" s="718" customFormat="1" ht="21" customHeight="1">
      <c r="A25" s="724"/>
      <c r="B25" s="725" t="s">
        <v>5856</v>
      </c>
      <c r="C25" s="730">
        <v>0.99960000000000004</v>
      </c>
      <c r="D25" s="726" t="str">
        <f t="shared" si="4"/>
        <v>아세틸렌0.9996KG</v>
      </c>
      <c r="E25" s="724" t="s">
        <v>2477</v>
      </c>
      <c r="F25" s="727">
        <f>2.8*1.2</f>
        <v>3.36</v>
      </c>
      <c r="G25" s="728">
        <f>'단가대비표(진열장)'!L45</f>
        <v>13000</v>
      </c>
      <c r="H25" s="728">
        <f t="shared" si="5"/>
        <v>43680</v>
      </c>
      <c r="I25" s="728">
        <f>IF($E:$E="인",VLOOKUP($B:$B,[140]노임!$B:$H,6,FALSE),VLOOKUP($D:$D,[140]일위목록!$A:$H,7,FALSE))</f>
        <v>0</v>
      </c>
      <c r="J25" s="728">
        <f t="shared" si="6"/>
        <v>0</v>
      </c>
      <c r="K25" s="728">
        <f t="shared" si="7"/>
        <v>43680</v>
      </c>
      <c r="L25" s="724" t="str">
        <f>IF($E:$E="인",VLOOKUP($B:$B,[140]단가!$B:$E,3,FALSE),VLOOKUP($D:$D,[140]일위목록!$A:$H,2,FALSE))</f>
        <v>단가-41번</v>
      </c>
      <c r="M25" s="717"/>
    </row>
    <row r="26" spans="1:13" s="718" customFormat="1" ht="21" customHeight="1">
      <c r="A26" s="724"/>
      <c r="B26" s="725" t="s">
        <v>5857</v>
      </c>
      <c r="C26" s="726"/>
      <c r="D26" s="726" t="str">
        <f t="shared" si="4"/>
        <v>전력소요량KWH</v>
      </c>
      <c r="E26" s="724" t="s">
        <v>5858</v>
      </c>
      <c r="F26" s="727">
        <f>126*1.2</f>
        <v>151.19999999999999</v>
      </c>
      <c r="G26" s="728">
        <f>IF($E:$E="인",0,VLOOKUP($D:$D,[140]일위목록!$A:$H,6,FALSE))</f>
        <v>0</v>
      </c>
      <c r="H26" s="728">
        <f t="shared" si="5"/>
        <v>0</v>
      </c>
      <c r="I26" s="728">
        <f>IF($E:$E="인",VLOOKUP($B:$B,[140]노임!$B:$H,6,FALSE),VLOOKUP($D:$D,[140]일위목록!$A:$H,7,FALSE))</f>
        <v>0</v>
      </c>
      <c r="J26" s="728">
        <f t="shared" si="6"/>
        <v>0</v>
      </c>
      <c r="K26" s="728">
        <f t="shared" si="7"/>
        <v>0</v>
      </c>
      <c r="L26" s="724" t="str">
        <f>IF($E:$E="인",VLOOKUP($B:$B,[140]단가!$B:$E,3,FALSE),VLOOKUP($D:$D,[140]일위목록!$A:$H,2,FALSE))</f>
        <v>단가-44번</v>
      </c>
      <c r="M26" s="717"/>
    </row>
    <row r="27" spans="1:13" s="718" customFormat="1" ht="21" customHeight="1">
      <c r="A27" s="724"/>
      <c r="B27" s="725" t="s">
        <v>5872</v>
      </c>
      <c r="C27" s="726" t="s">
        <v>5873</v>
      </c>
      <c r="D27" s="726" t="str">
        <f t="shared" si="4"/>
        <v>용접기교류500AMPHR</v>
      </c>
      <c r="E27" s="732" t="s">
        <v>5874</v>
      </c>
      <c r="F27" s="727">
        <v>24.995999999999999</v>
      </c>
      <c r="G27" s="728">
        <f>'단가대비표(진열장)'!L55</f>
        <v>124</v>
      </c>
      <c r="H27" s="728">
        <f t="shared" si="5"/>
        <v>3099</v>
      </c>
      <c r="I27" s="728">
        <f>IF($E:$E="인",VLOOKUP($B:$B,[140]노임!$B:$H,6,FALSE),VLOOKUP($D:$D,[140]일위목록!$A:$H,7,FALSE))</f>
        <v>0</v>
      </c>
      <c r="J27" s="728">
        <f t="shared" si="6"/>
        <v>0</v>
      </c>
      <c r="K27" s="728">
        <f t="shared" si="7"/>
        <v>3099</v>
      </c>
      <c r="L27" s="724" t="str">
        <f>IF($E:$E="인",VLOOKUP($B:$B,[140]단가!$B:$E,3,FALSE),VLOOKUP($D:$D,[140]일위목록!$A:$H,2,FALSE))</f>
        <v>단가-51번</v>
      </c>
      <c r="M27" s="717"/>
    </row>
    <row r="28" spans="1:13" s="718" customFormat="1" ht="21" customHeight="1">
      <c r="A28" s="724"/>
      <c r="B28" s="731" t="s">
        <v>5875</v>
      </c>
      <c r="C28" s="726"/>
      <c r="D28" s="726" t="str">
        <f t="shared" si="4"/>
        <v>절곡원인</v>
      </c>
      <c r="E28" s="724" t="s">
        <v>5876</v>
      </c>
      <c r="F28" s="727">
        <f>27.65*1.2</f>
        <v>33.18</v>
      </c>
      <c r="G28" s="728">
        <f>IF($E:$E="인",0,VLOOKUP($D:$D,[140]일위목록!$A:$H,6,FALSE))</f>
        <v>0</v>
      </c>
      <c r="H28" s="728">
        <f t="shared" si="5"/>
        <v>0</v>
      </c>
      <c r="I28" s="728">
        <f>'노임(진열장)'!G5</f>
        <v>84511</v>
      </c>
      <c r="J28" s="728">
        <f t="shared" si="6"/>
        <v>2804074</v>
      </c>
      <c r="K28" s="728">
        <f t="shared" si="7"/>
        <v>2804074</v>
      </c>
      <c r="L28" s="724" t="str">
        <f>IF($E:$E="인",VLOOKUP($B:$B,[140]노임!$B:$D,3,FALSE),VLOOKUP($D:$D,[140]일위목록!$A:$H,2,FALSE))</f>
        <v>제조임율-12</v>
      </c>
      <c r="M28" s="717"/>
    </row>
    <row r="29" spans="1:13" s="718" customFormat="1" ht="21" customHeight="1">
      <c r="A29" s="724"/>
      <c r="B29" s="731" t="s">
        <v>5877</v>
      </c>
      <c r="C29" s="726"/>
      <c r="D29" s="726" t="str">
        <f t="shared" si="4"/>
        <v>보통인부인</v>
      </c>
      <c r="E29" s="724" t="s">
        <v>5862</v>
      </c>
      <c r="F29" s="727">
        <f>0.66*1.2</f>
        <v>0.79200000000000004</v>
      </c>
      <c r="G29" s="728">
        <f>IF($E:$E="인",0,VLOOKUP($D:$D,[140]일위목록!$A:$H,6,FALSE))</f>
        <v>0</v>
      </c>
      <c r="H29" s="728">
        <f t="shared" si="5"/>
        <v>0</v>
      </c>
      <c r="I29" s="728">
        <f>'노임(진열장)'!C14</f>
        <v>125427</v>
      </c>
      <c r="J29" s="728">
        <f t="shared" si="6"/>
        <v>99338</v>
      </c>
      <c r="K29" s="728">
        <f t="shared" si="7"/>
        <v>99338</v>
      </c>
      <c r="L29" s="724" t="str">
        <f>IF($E:$E="인",VLOOKUP($B:$B,[140]노임!$B:$D,3,FALSE),VLOOKUP($D:$D,[140]일위목록!$A:$H,2,FALSE))</f>
        <v>건설노임-1002</v>
      </c>
      <c r="M29" s="717"/>
    </row>
    <row r="30" spans="1:13" s="718" customFormat="1" ht="21" customHeight="1">
      <c r="A30" s="724"/>
      <c r="B30" s="731" t="s">
        <v>5863</v>
      </c>
      <c r="C30" s="726"/>
      <c r="D30" s="726" t="str">
        <f t="shared" si="4"/>
        <v>용접공인</v>
      </c>
      <c r="E30" s="724" t="s">
        <v>5862</v>
      </c>
      <c r="F30" s="727">
        <f>2.6*1.2</f>
        <v>3.12</v>
      </c>
      <c r="G30" s="728">
        <f>IF($E:$E="인",0,VLOOKUP($D:$D,[140]일위목록!$A:$H,6,FALSE))</f>
        <v>0</v>
      </c>
      <c r="H30" s="728">
        <f t="shared" si="5"/>
        <v>0</v>
      </c>
      <c r="I30" s="728">
        <f>'노임(진열장)'!C18</f>
        <v>198711</v>
      </c>
      <c r="J30" s="728">
        <f t="shared" si="6"/>
        <v>619978</v>
      </c>
      <c r="K30" s="728">
        <f t="shared" si="7"/>
        <v>619978</v>
      </c>
      <c r="L30" s="724" t="str">
        <f>IF($E:$E="인",VLOOKUP($B:$B,[140]노임!$B:$D,3,FALSE),VLOOKUP($D:$D,[140]일위목록!$A:$H,2,FALSE))</f>
        <v>건설노임-1012</v>
      </c>
      <c r="M30" s="717"/>
    </row>
    <row r="31" spans="1:13" s="718" customFormat="1" ht="21" customHeight="1">
      <c r="A31" s="724"/>
      <c r="B31" s="731" t="s">
        <v>5864</v>
      </c>
      <c r="C31" s="726"/>
      <c r="D31" s="726" t="str">
        <f t="shared" si="4"/>
        <v>특별인부인</v>
      </c>
      <c r="E31" s="724" t="s">
        <v>5862</v>
      </c>
      <c r="F31" s="727">
        <f>0.74*1.2</f>
        <v>0.88800000000000001</v>
      </c>
      <c r="G31" s="728">
        <f>IF($E:$E="인",0,VLOOKUP($D:$D,[140]일위목록!$A:$H,6,FALSE))</f>
        <v>0</v>
      </c>
      <c r="H31" s="728">
        <f t="shared" si="5"/>
        <v>0</v>
      </c>
      <c r="I31" s="728">
        <f>'노임(진열장)'!C15</f>
        <v>152019</v>
      </c>
      <c r="J31" s="728">
        <f t="shared" si="6"/>
        <v>134992</v>
      </c>
      <c r="K31" s="728">
        <f t="shared" si="7"/>
        <v>134992</v>
      </c>
      <c r="L31" s="724" t="str">
        <f>IF($E:$E="인",VLOOKUP($B:$B,[140]노임!$B:$D,3,FALSE),VLOOKUP($D:$D,[140]일위목록!$A:$H,2,FALSE))</f>
        <v>건설노임-1003</v>
      </c>
      <c r="M31" s="717"/>
    </row>
    <row r="32" spans="1:13" s="718" customFormat="1" ht="21" customHeight="1">
      <c r="A32" s="724"/>
      <c r="B32" s="725" t="s">
        <v>5865</v>
      </c>
      <c r="C32" s="726" t="s">
        <v>5866</v>
      </c>
      <c r="D32" s="726" t="str">
        <f t="shared" si="4"/>
        <v>기구손료인건비의3%식</v>
      </c>
      <c r="E32" s="724" t="s">
        <v>5867</v>
      </c>
      <c r="F32" s="727">
        <v>1</v>
      </c>
      <c r="G32" s="728"/>
      <c r="H32" s="728">
        <f>TRUNC(J34*3%)</f>
        <v>109751</v>
      </c>
      <c r="I32" s="728">
        <f>IF($E:$E="인",VLOOKUP($B:$B,[140]노임!$B:$F,2,FALSE),0)</f>
        <v>0</v>
      </c>
      <c r="J32" s="728">
        <f t="shared" si="6"/>
        <v>0</v>
      </c>
      <c r="K32" s="728">
        <f>H32+J32</f>
        <v>109751</v>
      </c>
      <c r="L32" s="724"/>
      <c r="M32" s="717"/>
    </row>
    <row r="33" spans="1:13" s="718" customFormat="1" ht="21" customHeight="1">
      <c r="A33" s="724"/>
      <c r="B33" s="725"/>
      <c r="C33" s="726"/>
      <c r="D33" s="726"/>
      <c r="E33" s="724"/>
      <c r="F33" s="727"/>
      <c r="G33" s="728"/>
      <c r="H33" s="728"/>
      <c r="I33" s="728">
        <f>IF($E:$E="인",VLOOKUP($B:$B,[140]노임!$B:$F,2,FALSE),0)</f>
        <v>0</v>
      </c>
      <c r="J33" s="728"/>
      <c r="K33" s="728"/>
      <c r="L33" s="724"/>
      <c r="M33" s="717"/>
    </row>
    <row r="34" spans="1:13" s="718" customFormat="1" ht="21" customHeight="1">
      <c r="A34" s="724"/>
      <c r="B34" s="725" t="s">
        <v>5878</v>
      </c>
      <c r="C34" s="726"/>
      <c r="D34" s="726" t="str">
        <f>L:L</f>
        <v>제2호표</v>
      </c>
      <c r="E34" s="724"/>
      <c r="F34" s="727"/>
      <c r="G34" s="728"/>
      <c r="H34" s="728">
        <f>SUM(H23:H32)</f>
        <v>2681033</v>
      </c>
      <c r="I34" s="728">
        <f>IF($E:$E="인",VLOOKUP($B:$B,[140]노임!$B:$F,2,FALSE),0)</f>
        <v>0</v>
      </c>
      <c r="J34" s="728">
        <f>SUM(J23:J32)</f>
        <v>3658382</v>
      </c>
      <c r="K34" s="728">
        <f>H34+J34</f>
        <v>6339415</v>
      </c>
      <c r="L34" s="724" t="str">
        <f>A21</f>
        <v>제2호표</v>
      </c>
      <c r="M34" s="717"/>
    </row>
    <row r="35" spans="1:13" s="718" customFormat="1" ht="21" customHeight="1">
      <c r="A35" s="724"/>
      <c r="B35" s="725" t="s">
        <v>5879</v>
      </c>
      <c r="C35" s="726"/>
      <c r="D35" s="726"/>
      <c r="E35" s="724"/>
      <c r="F35" s="727"/>
      <c r="G35" s="728"/>
      <c r="H35" s="728">
        <f>TRUNC(H34/1000)</f>
        <v>2681</v>
      </c>
      <c r="I35" s="728">
        <f>IF($E:$E="인",VLOOKUP($B:$B,[140]노임!$B:$F,2,FALSE),0)</f>
        <v>0</v>
      </c>
      <c r="J35" s="728">
        <f>TRUNC(J34/1000)</f>
        <v>3658</v>
      </c>
      <c r="K35" s="728">
        <f>H35+J35</f>
        <v>6339</v>
      </c>
      <c r="L35" s="724"/>
      <c r="M35" s="717"/>
    </row>
    <row r="36" spans="1:13" s="718" customFormat="1" ht="21" customHeight="1">
      <c r="A36" s="724"/>
      <c r="B36" s="725"/>
      <c r="C36" s="726"/>
      <c r="D36" s="726"/>
      <c r="E36" s="724"/>
      <c r="F36" s="727"/>
      <c r="G36" s="728"/>
      <c r="H36" s="728"/>
      <c r="I36" s="728"/>
      <c r="J36" s="728"/>
      <c r="K36" s="728"/>
      <c r="L36" s="724"/>
      <c r="M36" s="717"/>
    </row>
    <row r="37" spans="1:13" s="718" customFormat="1" ht="21" customHeight="1">
      <c r="A37" s="724"/>
      <c r="B37" s="725"/>
      <c r="C37" s="726"/>
      <c r="D37" s="726"/>
      <c r="E37" s="724"/>
      <c r="F37" s="727"/>
      <c r="G37" s="728"/>
      <c r="H37" s="728"/>
      <c r="I37" s="728"/>
      <c r="J37" s="728"/>
      <c r="K37" s="728"/>
      <c r="L37" s="724"/>
      <c r="M37" s="717"/>
    </row>
    <row r="38" spans="1:13" s="718" customFormat="1" ht="21" customHeight="1">
      <c r="A38" s="724" t="str">
        <f>"제"&amp;M38&amp;"호표"</f>
        <v>제3호표</v>
      </c>
      <c r="B38" s="725" t="s">
        <v>5870</v>
      </c>
      <c r="C38" s="726" t="s">
        <v>5880</v>
      </c>
      <c r="D38" s="726"/>
      <c r="E38" s="724" t="s">
        <v>591</v>
      </c>
      <c r="F38" s="727"/>
      <c r="G38" s="728"/>
      <c r="H38" s="728"/>
      <c r="I38" s="728"/>
      <c r="J38" s="728"/>
      <c r="K38" s="728"/>
      <c r="L38" s="724"/>
      <c r="M38" s="729">
        <f>M21+1</f>
        <v>3</v>
      </c>
    </row>
    <row r="39" spans="1:13" s="718" customFormat="1" ht="21" customHeight="1">
      <c r="A39" s="724"/>
      <c r="B39" s="725"/>
      <c r="C39" s="726"/>
      <c r="D39" s="726"/>
      <c r="E39" s="724"/>
      <c r="F39" s="727"/>
      <c r="G39" s="728"/>
      <c r="H39" s="728"/>
      <c r="I39" s="728"/>
      <c r="J39" s="728"/>
      <c r="K39" s="728"/>
      <c r="L39" s="724"/>
      <c r="M39" s="729"/>
    </row>
    <row r="40" spans="1:13" s="718" customFormat="1" ht="21" customHeight="1">
      <c r="A40" s="724"/>
      <c r="B40" s="725" t="s">
        <v>5852</v>
      </c>
      <c r="C40" s="726" t="s">
        <v>5853</v>
      </c>
      <c r="D40" s="726" t="str">
        <f t="shared" ref="D40:D48" si="8">SUBSTITUTE(CONCATENATE(B:B,C:C,E:E)," ","")</f>
        <v>용접봉2.6mm(CR-13)KG</v>
      </c>
      <c r="E40" s="724" t="s">
        <v>2477</v>
      </c>
      <c r="F40" s="727">
        <f>18.48*1.4</f>
        <v>25.872</v>
      </c>
      <c r="G40" s="728">
        <f>'단가대비표(진열장)'!L41</f>
        <v>3044</v>
      </c>
      <c r="H40" s="728">
        <f t="shared" ref="H40:H47" si="9">TRUNC($F:$F*G:G)</f>
        <v>78754</v>
      </c>
      <c r="I40" s="728">
        <f>IF($E:$E="인",VLOOKUP($B:$B,[140]노임!$B:$H,6,FALSE),VLOOKUP($D:$D,[140]일위목록!$A:$H,7,FALSE))</f>
        <v>0</v>
      </c>
      <c r="J40" s="728">
        <f t="shared" ref="J40:J48" si="10">TRUNC($F:$F*I:I)</f>
        <v>0</v>
      </c>
      <c r="K40" s="728">
        <f t="shared" ref="K40:K47" si="11">H40+J40</f>
        <v>78754</v>
      </c>
      <c r="L40" s="724" t="str">
        <f>IF($E:$E="인",VLOOKUP($B:$B,[140]단가!$B:$E,3,FALSE),VLOOKUP($D:$D,[140]일위목록!$A:$H,2,FALSE))</f>
        <v>단가-37번</v>
      </c>
      <c r="M40" s="717"/>
    </row>
    <row r="41" spans="1:13" s="718" customFormat="1" ht="21" customHeight="1">
      <c r="A41" s="724"/>
      <c r="B41" s="725" t="s">
        <v>5854</v>
      </c>
      <c r="C41" s="726" t="s">
        <v>5855</v>
      </c>
      <c r="D41" s="726" t="str">
        <f t="shared" si="8"/>
        <v>산소99%L</v>
      </c>
      <c r="E41" s="724" t="s">
        <v>1230</v>
      </c>
      <c r="F41" s="727">
        <f>6300*1.4</f>
        <v>8820</v>
      </c>
      <c r="G41" s="728">
        <f>'단가대비표(진열장)'!L44</f>
        <v>325</v>
      </c>
      <c r="H41" s="728">
        <f t="shared" si="9"/>
        <v>2866500</v>
      </c>
      <c r="I41" s="728">
        <f>IF($E:$E="인",VLOOKUP($B:$B,[140]노임!$B:$H,6,FALSE),VLOOKUP($D:$D,[140]일위목록!$A:$H,7,FALSE))</f>
        <v>0</v>
      </c>
      <c r="J41" s="728">
        <f t="shared" si="10"/>
        <v>0</v>
      </c>
      <c r="K41" s="728">
        <f t="shared" si="11"/>
        <v>2866500</v>
      </c>
      <c r="L41" s="724" t="str">
        <f>IF($E:$E="인",VLOOKUP($B:$B,[140]단가!$B:$E,3,FALSE),VLOOKUP($D:$D,[140]일위목록!$A:$H,2,FALSE))</f>
        <v>단가-40번</v>
      </c>
      <c r="M41" s="717"/>
    </row>
    <row r="42" spans="1:13" s="718" customFormat="1" ht="21" customHeight="1">
      <c r="A42" s="724"/>
      <c r="B42" s="725" t="s">
        <v>5856</v>
      </c>
      <c r="C42" s="730">
        <v>0.99960000000000004</v>
      </c>
      <c r="D42" s="726" t="str">
        <f t="shared" si="8"/>
        <v>아세틸렌0.9996KG</v>
      </c>
      <c r="E42" s="724" t="s">
        <v>2477</v>
      </c>
      <c r="F42" s="727">
        <f>2.8*1.4</f>
        <v>3.9199999999999995</v>
      </c>
      <c r="G42" s="728">
        <f>'단가대비표(진열장)'!L45</f>
        <v>13000</v>
      </c>
      <c r="H42" s="728">
        <f t="shared" si="9"/>
        <v>50960</v>
      </c>
      <c r="I42" s="728">
        <f>IF($E:$E="인",VLOOKUP($B:$B,[140]노임!$B:$H,6,FALSE),VLOOKUP($D:$D,[140]일위목록!$A:$H,7,FALSE))</f>
        <v>0</v>
      </c>
      <c r="J42" s="728">
        <f t="shared" si="10"/>
        <v>0</v>
      </c>
      <c r="K42" s="728">
        <f t="shared" si="11"/>
        <v>50960</v>
      </c>
      <c r="L42" s="724" t="str">
        <f>IF($E:$E="인",VLOOKUP($B:$B,[140]단가!$B:$E,3,FALSE),VLOOKUP($D:$D,[140]일위목록!$A:$H,2,FALSE))</f>
        <v>단가-41번</v>
      </c>
      <c r="M42" s="717"/>
    </row>
    <row r="43" spans="1:13" s="718" customFormat="1" ht="21" customHeight="1">
      <c r="A43" s="724"/>
      <c r="B43" s="725" t="s">
        <v>5857</v>
      </c>
      <c r="C43" s="726"/>
      <c r="D43" s="726" t="str">
        <f t="shared" si="8"/>
        <v>전력소요량KWH</v>
      </c>
      <c r="E43" s="724" t="s">
        <v>5858</v>
      </c>
      <c r="F43" s="727">
        <f>126*1.4</f>
        <v>176.39999999999998</v>
      </c>
      <c r="G43" s="728">
        <f>IF($E:$E="인",0,VLOOKUP($D:$D,[140]일위목록!$A:$H,6,FALSE))</f>
        <v>0</v>
      </c>
      <c r="H43" s="728">
        <f t="shared" si="9"/>
        <v>0</v>
      </c>
      <c r="I43" s="728">
        <f>IF($E:$E="인",VLOOKUP($B:$B,[140]노임!$B:$H,6,FALSE),VLOOKUP($D:$D,[140]일위목록!$A:$H,7,FALSE))</f>
        <v>0</v>
      </c>
      <c r="J43" s="728">
        <f t="shared" si="10"/>
        <v>0</v>
      </c>
      <c r="K43" s="728">
        <f t="shared" si="11"/>
        <v>0</v>
      </c>
      <c r="L43" s="724" t="str">
        <f>IF($E:$E="인",VLOOKUP($B:$B,[140]단가!$B:$E,3,FALSE),VLOOKUP($D:$D,[140]일위목록!$A:$H,2,FALSE))</f>
        <v>단가-44번</v>
      </c>
      <c r="M43" s="717"/>
    </row>
    <row r="44" spans="1:13" s="718" customFormat="1" ht="21" customHeight="1">
      <c r="A44" s="724"/>
      <c r="B44" s="731" t="s">
        <v>5875</v>
      </c>
      <c r="C44" s="726"/>
      <c r="D44" s="726" t="str">
        <f t="shared" si="8"/>
        <v>절곡원인</v>
      </c>
      <c r="E44" s="724" t="s">
        <v>5876</v>
      </c>
      <c r="F44" s="727">
        <f>27.65*1.4</f>
        <v>38.709999999999994</v>
      </c>
      <c r="G44" s="728">
        <f>IF($E:$E="인",0,VLOOKUP($D:$D,[140]일위목록!$A:$H,6,FALSE))</f>
        <v>0</v>
      </c>
      <c r="H44" s="728">
        <f t="shared" si="9"/>
        <v>0</v>
      </c>
      <c r="I44" s="728">
        <f>'노임(진열장)'!G5</f>
        <v>84511</v>
      </c>
      <c r="J44" s="728">
        <f t="shared" si="10"/>
        <v>3271420</v>
      </c>
      <c r="K44" s="728">
        <f t="shared" si="11"/>
        <v>3271420</v>
      </c>
      <c r="L44" s="724" t="str">
        <f>IF($E:$E="인",VLOOKUP($B:$B,[140]노임!$B:$D,3,FALSE),VLOOKUP($D:$D,[140]일위목록!$A:$H,2,FALSE))</f>
        <v>제조임율-12</v>
      </c>
      <c r="M44" s="717"/>
    </row>
    <row r="45" spans="1:13" s="718" customFormat="1" ht="21" customHeight="1">
      <c r="A45" s="724"/>
      <c r="B45" s="731" t="s">
        <v>5877</v>
      </c>
      <c r="C45" s="726"/>
      <c r="D45" s="726" t="str">
        <f t="shared" si="8"/>
        <v>보통인부인</v>
      </c>
      <c r="E45" s="724" t="s">
        <v>5862</v>
      </c>
      <c r="F45" s="727">
        <f>0.66*1.4</f>
        <v>0.92399999999999993</v>
      </c>
      <c r="G45" s="728">
        <f>IF($E:$E="인",0,VLOOKUP($D:$D,[140]일위목록!$A:$H,6,FALSE))</f>
        <v>0</v>
      </c>
      <c r="H45" s="728">
        <f t="shared" si="9"/>
        <v>0</v>
      </c>
      <c r="I45" s="728">
        <f>IF($E:$E="인",VLOOKUP($B:$B,[140]노임!$B:$H,6,FALSE),VLOOKUP($D:$D,[140]일위목록!$A:$H,7,FALSE))</f>
        <v>125427</v>
      </c>
      <c r="J45" s="728">
        <f t="shared" si="10"/>
        <v>115894</v>
      </c>
      <c r="K45" s="728">
        <f t="shared" si="11"/>
        <v>115894</v>
      </c>
      <c r="L45" s="724" t="str">
        <f>IF($E:$E="인",VLOOKUP($B:$B,[140]노임!$B:$D,3,FALSE),VLOOKUP($D:$D,[140]일위목록!$A:$H,2,FALSE))</f>
        <v>건설노임-1002</v>
      </c>
      <c r="M45" s="717"/>
    </row>
    <row r="46" spans="1:13" s="718" customFormat="1" ht="21" customHeight="1">
      <c r="A46" s="724"/>
      <c r="B46" s="731" t="s">
        <v>5863</v>
      </c>
      <c r="C46" s="726"/>
      <c r="D46" s="726" t="str">
        <f t="shared" si="8"/>
        <v>용접공인</v>
      </c>
      <c r="E46" s="724" t="s">
        <v>5862</v>
      </c>
      <c r="F46" s="727">
        <f>2.6*1.4</f>
        <v>3.6399999999999997</v>
      </c>
      <c r="G46" s="728">
        <f>IF($E:$E="인",0,VLOOKUP($D:$D,[140]일위목록!$A:$H,6,FALSE))</f>
        <v>0</v>
      </c>
      <c r="H46" s="728">
        <f t="shared" si="9"/>
        <v>0</v>
      </c>
      <c r="I46" s="728">
        <f>IF($E:$E="인",VLOOKUP($B:$B,[140]노임!$B:$H,6,FALSE),VLOOKUP($D:$D,[140]일위목록!$A:$H,7,FALSE))</f>
        <v>198711</v>
      </c>
      <c r="J46" s="728">
        <f t="shared" si="10"/>
        <v>723308</v>
      </c>
      <c r="K46" s="728">
        <f t="shared" si="11"/>
        <v>723308</v>
      </c>
      <c r="L46" s="724" t="str">
        <f>IF($E:$E="인",VLOOKUP($B:$B,[140]노임!$B:$D,3,FALSE),VLOOKUP($D:$D,[140]일위목록!$A:$H,2,FALSE))</f>
        <v>건설노임-1012</v>
      </c>
      <c r="M46" s="717"/>
    </row>
    <row r="47" spans="1:13" s="718" customFormat="1" ht="21" customHeight="1">
      <c r="A47" s="724"/>
      <c r="B47" s="731" t="s">
        <v>5864</v>
      </c>
      <c r="C47" s="726"/>
      <c r="D47" s="726" t="str">
        <f t="shared" si="8"/>
        <v>특별인부인</v>
      </c>
      <c r="E47" s="724" t="s">
        <v>5862</v>
      </c>
      <c r="F47" s="727">
        <f>0.74*1.4</f>
        <v>1.036</v>
      </c>
      <c r="G47" s="728">
        <f>IF($E:$E="인",0,VLOOKUP($D:$D,[140]일위목록!$A:$H,6,FALSE))</f>
        <v>0</v>
      </c>
      <c r="H47" s="728">
        <f t="shared" si="9"/>
        <v>0</v>
      </c>
      <c r="I47" s="728">
        <f>IF($E:$E="인",VLOOKUP($B:$B,[140]노임!$B:$H,6,FALSE),VLOOKUP($D:$D,[140]일위목록!$A:$H,7,FALSE))</f>
        <v>152019</v>
      </c>
      <c r="J47" s="728">
        <f t="shared" si="10"/>
        <v>157491</v>
      </c>
      <c r="K47" s="728">
        <f t="shared" si="11"/>
        <v>157491</v>
      </c>
      <c r="L47" s="724" t="str">
        <f>IF($E:$E="인",VLOOKUP($B:$B,[140]노임!$B:$D,3,FALSE),VLOOKUP($D:$D,[140]일위목록!$A:$H,2,FALSE))</f>
        <v>건설노임-1003</v>
      </c>
      <c r="M47" s="717"/>
    </row>
    <row r="48" spans="1:13" s="718" customFormat="1" ht="21" customHeight="1">
      <c r="A48" s="724"/>
      <c r="B48" s="725" t="s">
        <v>5865</v>
      </c>
      <c r="C48" s="726" t="s">
        <v>5866</v>
      </c>
      <c r="D48" s="726" t="str">
        <f t="shared" si="8"/>
        <v>기구손료인건비의3%식</v>
      </c>
      <c r="E48" s="724" t="s">
        <v>5867</v>
      </c>
      <c r="F48" s="727">
        <v>1</v>
      </c>
      <c r="G48" s="728"/>
      <c r="H48" s="728">
        <f>TRUNC(J50*3%)</f>
        <v>128043</v>
      </c>
      <c r="I48" s="728">
        <f>IF($E:$E="인",VLOOKUP($B:$B,[140]노임!$B:$F,2,FALSE),0)</f>
        <v>0</v>
      </c>
      <c r="J48" s="728">
        <f t="shared" si="10"/>
        <v>0</v>
      </c>
      <c r="K48" s="728">
        <f>H48+J48</f>
        <v>128043</v>
      </c>
      <c r="L48" s="724"/>
      <c r="M48" s="717"/>
    </row>
    <row r="49" spans="1:13" s="718" customFormat="1" ht="21" customHeight="1">
      <c r="A49" s="724"/>
      <c r="B49" s="725"/>
      <c r="C49" s="726"/>
      <c r="D49" s="726"/>
      <c r="E49" s="724"/>
      <c r="F49" s="727"/>
      <c r="G49" s="728"/>
      <c r="H49" s="728"/>
      <c r="I49" s="728"/>
      <c r="J49" s="728"/>
      <c r="K49" s="728"/>
      <c r="L49" s="724"/>
      <c r="M49" s="717"/>
    </row>
    <row r="50" spans="1:13" s="718" customFormat="1" ht="21" customHeight="1">
      <c r="A50" s="724"/>
      <c r="B50" s="725" t="s">
        <v>5878</v>
      </c>
      <c r="C50" s="726"/>
      <c r="D50" s="726" t="str">
        <f>L:L</f>
        <v>제3호표</v>
      </c>
      <c r="E50" s="724"/>
      <c r="F50" s="727"/>
      <c r="G50" s="728"/>
      <c r="H50" s="728">
        <f>SUM(H40:H48)</f>
        <v>3124257</v>
      </c>
      <c r="I50" s="728"/>
      <c r="J50" s="728">
        <f>SUM(J40:J48)</f>
        <v>4268113</v>
      </c>
      <c r="K50" s="728">
        <f>H50+J50</f>
        <v>7392370</v>
      </c>
      <c r="L50" s="724" t="str">
        <f>A38</f>
        <v>제3호표</v>
      </c>
      <c r="M50" s="717"/>
    </row>
    <row r="51" spans="1:13" s="718" customFormat="1" ht="21" customHeight="1">
      <c r="A51" s="724"/>
      <c r="B51" s="725" t="s">
        <v>5879</v>
      </c>
      <c r="C51" s="726"/>
      <c r="D51" s="726"/>
      <c r="E51" s="724"/>
      <c r="F51" s="727"/>
      <c r="G51" s="728"/>
      <c r="H51" s="728">
        <f>TRUNC(H50/1000)</f>
        <v>3124</v>
      </c>
      <c r="I51" s="728"/>
      <c r="J51" s="728">
        <f>TRUNC(J50/1000)</f>
        <v>4268</v>
      </c>
      <c r="K51" s="728">
        <f>H51+J51</f>
        <v>7392</v>
      </c>
      <c r="L51" s="724"/>
      <c r="M51" s="717"/>
    </row>
    <row r="52" spans="1:13" s="718" customFormat="1" ht="21" customHeight="1">
      <c r="A52" s="724"/>
      <c r="B52" s="725"/>
      <c r="C52" s="726"/>
      <c r="D52" s="726"/>
      <c r="E52" s="724"/>
      <c r="F52" s="727"/>
      <c r="G52" s="728"/>
      <c r="H52" s="728"/>
      <c r="I52" s="728"/>
      <c r="J52" s="728"/>
      <c r="K52" s="728"/>
      <c r="L52" s="724"/>
      <c r="M52" s="717"/>
    </row>
    <row r="53" spans="1:13" s="718" customFormat="1" ht="21" customHeight="1">
      <c r="A53" s="724"/>
      <c r="B53" s="725"/>
      <c r="C53" s="726"/>
      <c r="D53" s="726"/>
      <c r="E53" s="724"/>
      <c r="F53" s="727"/>
      <c r="G53" s="728"/>
      <c r="H53" s="728"/>
      <c r="I53" s="728"/>
      <c r="J53" s="728"/>
      <c r="K53" s="728"/>
      <c r="L53" s="724"/>
      <c r="M53" s="717"/>
    </row>
    <row r="54" spans="1:13" s="718" customFormat="1" ht="21" customHeight="1">
      <c r="A54" s="724" t="str">
        <f>"제"&amp;M54&amp;"호표"</f>
        <v>제4호표</v>
      </c>
      <c r="B54" s="725" t="s">
        <v>5881</v>
      </c>
      <c r="C54" s="726" t="s">
        <v>5882</v>
      </c>
      <c r="D54" s="726" t="str">
        <f>L:L</f>
        <v>제4호표</v>
      </c>
      <c r="E54" s="724" t="s">
        <v>59</v>
      </c>
      <c r="F54" s="727"/>
      <c r="G54" s="728"/>
      <c r="H54" s="728">
        <f>INT(H$51*7.75)</f>
        <v>24211</v>
      </c>
      <c r="I54" s="728"/>
      <c r="J54" s="728">
        <f>INT(J$51*7.75)</f>
        <v>33077</v>
      </c>
      <c r="K54" s="728">
        <f>H54+J54</f>
        <v>57288</v>
      </c>
      <c r="L54" s="724" t="str">
        <f>A54</f>
        <v>제4호표</v>
      </c>
      <c r="M54" s="729">
        <f>M38+1</f>
        <v>4</v>
      </c>
    </row>
    <row r="55" spans="1:13" s="718" customFormat="1" ht="21" customHeight="1">
      <c r="A55" s="724"/>
      <c r="B55" s="725" t="s">
        <v>5883</v>
      </c>
      <c r="C55" s="726"/>
      <c r="D55" s="726"/>
      <c r="E55" s="724"/>
      <c r="F55" s="727"/>
      <c r="G55" s="728"/>
      <c r="H55" s="728"/>
      <c r="I55" s="728"/>
      <c r="J55" s="728"/>
      <c r="K55" s="728"/>
      <c r="L55" s="724"/>
      <c r="M55" s="729"/>
    </row>
    <row r="56" spans="1:13" s="718" customFormat="1" ht="21" customHeight="1">
      <c r="A56" s="724"/>
      <c r="B56" s="725"/>
      <c r="C56" s="726"/>
      <c r="D56" s="726"/>
      <c r="E56" s="724"/>
      <c r="F56" s="727"/>
      <c r="G56" s="728"/>
      <c r="H56" s="728"/>
      <c r="I56" s="728"/>
      <c r="J56" s="728"/>
      <c r="K56" s="728"/>
      <c r="L56" s="724"/>
      <c r="M56" s="729"/>
    </row>
    <row r="57" spans="1:13" s="718" customFormat="1" ht="21" customHeight="1">
      <c r="A57" s="724" t="str">
        <f>"제"&amp;M57&amp;"호표"</f>
        <v>제5호표</v>
      </c>
      <c r="B57" s="725" t="s">
        <v>5881</v>
      </c>
      <c r="C57" s="733" t="s">
        <v>5884</v>
      </c>
      <c r="D57" s="726" t="str">
        <f>L:L</f>
        <v>제5호표</v>
      </c>
      <c r="E57" s="724" t="s">
        <v>59</v>
      </c>
      <c r="F57" s="727"/>
      <c r="G57" s="728"/>
      <c r="H57" s="728">
        <f>INT(H$51*9.42)</f>
        <v>29428</v>
      </c>
      <c r="I57" s="728"/>
      <c r="J57" s="728">
        <f>INT(J$51*9.42)</f>
        <v>40204</v>
      </c>
      <c r="K57" s="728">
        <f>H57+J57</f>
        <v>69632</v>
      </c>
      <c r="L57" s="724" t="str">
        <f>A57</f>
        <v>제5호표</v>
      </c>
      <c r="M57" s="729">
        <f>M54+1</f>
        <v>5</v>
      </c>
    </row>
    <row r="58" spans="1:13" s="718" customFormat="1" ht="21" customHeight="1">
      <c r="A58" s="724"/>
      <c r="B58" s="725" t="s">
        <v>5885</v>
      </c>
      <c r="C58" s="726"/>
      <c r="D58" s="726"/>
      <c r="E58" s="724"/>
      <c r="F58" s="727"/>
      <c r="G58" s="728"/>
      <c r="H58" s="728"/>
      <c r="I58" s="728"/>
      <c r="J58" s="728"/>
      <c r="K58" s="728"/>
      <c r="L58" s="724"/>
      <c r="M58" s="729"/>
    </row>
    <row r="59" spans="1:13" s="718" customFormat="1" ht="21" customHeight="1">
      <c r="A59" s="724"/>
      <c r="B59" s="725"/>
      <c r="C59" s="726"/>
      <c r="D59" s="726"/>
      <c r="E59" s="724"/>
      <c r="F59" s="727"/>
      <c r="G59" s="728"/>
      <c r="H59" s="728"/>
      <c r="I59" s="728"/>
      <c r="J59" s="728"/>
      <c r="K59" s="728"/>
      <c r="L59" s="724"/>
      <c r="M59" s="729"/>
    </row>
    <row r="60" spans="1:13" s="718" customFormat="1" ht="21" customHeight="1">
      <c r="A60" s="724" t="str">
        <f>"제"&amp;M60&amp;"호표"</f>
        <v>제6호표</v>
      </c>
      <c r="B60" s="725" t="s">
        <v>5881</v>
      </c>
      <c r="C60" s="726" t="s">
        <v>5886</v>
      </c>
      <c r="D60" s="726" t="str">
        <f>L:L</f>
        <v>제6호표</v>
      </c>
      <c r="E60" s="724" t="s">
        <v>59</v>
      </c>
      <c r="F60" s="727"/>
      <c r="G60" s="728"/>
      <c r="H60" s="728">
        <f>INT(H$51*12.75)</f>
        <v>39831</v>
      </c>
      <c r="I60" s="728"/>
      <c r="J60" s="728">
        <f>INT(J$51*12.75)</f>
        <v>54417</v>
      </c>
      <c r="K60" s="728">
        <f>H60+J60</f>
        <v>94248</v>
      </c>
      <c r="L60" s="724" t="str">
        <f>A60</f>
        <v>제6호표</v>
      </c>
      <c r="M60" s="729">
        <f>M57+1</f>
        <v>6</v>
      </c>
    </row>
    <row r="61" spans="1:13" s="718" customFormat="1" ht="21" customHeight="1">
      <c r="A61" s="724"/>
      <c r="B61" s="725" t="s">
        <v>5887</v>
      </c>
      <c r="C61" s="726"/>
      <c r="D61" s="726"/>
      <c r="E61" s="724"/>
      <c r="F61" s="727"/>
      <c r="G61" s="728"/>
      <c r="H61" s="728"/>
      <c r="I61" s="728"/>
      <c r="J61" s="728"/>
      <c r="K61" s="728"/>
      <c r="L61" s="724"/>
      <c r="M61" s="729"/>
    </row>
    <row r="62" spans="1:13" s="718" customFormat="1" ht="21" customHeight="1">
      <c r="A62" s="724"/>
      <c r="B62" s="725"/>
      <c r="C62" s="726"/>
      <c r="D62" s="726"/>
      <c r="E62" s="724"/>
      <c r="F62" s="727"/>
      <c r="G62" s="728"/>
      <c r="H62" s="728"/>
      <c r="I62" s="728"/>
      <c r="J62" s="728"/>
      <c r="K62" s="728"/>
      <c r="L62" s="724"/>
      <c r="M62" s="729"/>
    </row>
    <row r="63" spans="1:13" s="718" customFormat="1" ht="21" customHeight="1">
      <c r="A63" s="724" t="str">
        <f>"제"&amp;M63&amp;"호표"</f>
        <v>제7호표</v>
      </c>
      <c r="B63" s="725" t="s">
        <v>5881</v>
      </c>
      <c r="C63" s="726" t="s">
        <v>5888</v>
      </c>
      <c r="D63" s="726" t="str">
        <f>L:L</f>
        <v>제7호표</v>
      </c>
      <c r="E63" s="724" t="s">
        <v>59</v>
      </c>
      <c r="F63" s="727"/>
      <c r="G63" s="728"/>
      <c r="H63" s="728">
        <f>INT(H$51*15.71)</f>
        <v>49078</v>
      </c>
      <c r="I63" s="728"/>
      <c r="J63" s="728">
        <f>INT(J$51*15.71)</f>
        <v>67050</v>
      </c>
      <c r="K63" s="728">
        <f>H63+J63</f>
        <v>116128</v>
      </c>
      <c r="L63" s="724" t="str">
        <f>A63</f>
        <v>제7호표</v>
      </c>
      <c r="M63" s="729">
        <f>M60+1</f>
        <v>7</v>
      </c>
    </row>
    <row r="64" spans="1:13" s="718" customFormat="1" ht="21" customHeight="1">
      <c r="A64" s="724"/>
      <c r="B64" s="725" t="s">
        <v>5889</v>
      </c>
      <c r="C64" s="726"/>
      <c r="D64" s="726"/>
      <c r="E64" s="724"/>
      <c r="F64" s="727"/>
      <c r="G64" s="728"/>
      <c r="H64" s="728"/>
      <c r="I64" s="728"/>
      <c r="J64" s="728"/>
      <c r="K64" s="728"/>
      <c r="L64" s="724"/>
      <c r="M64" s="729"/>
    </row>
    <row r="65" spans="1:13" s="718" customFormat="1" ht="21" customHeight="1">
      <c r="A65" s="724"/>
      <c r="B65" s="725"/>
      <c r="C65" s="726"/>
      <c r="D65" s="726"/>
      <c r="E65" s="724"/>
      <c r="F65" s="727"/>
      <c r="G65" s="728"/>
      <c r="H65" s="728"/>
      <c r="I65" s="728"/>
      <c r="J65" s="728"/>
      <c r="K65" s="728"/>
      <c r="L65" s="724"/>
      <c r="M65" s="729"/>
    </row>
    <row r="66" spans="1:13" s="718" customFormat="1" ht="21" customHeight="1">
      <c r="A66" s="724" t="str">
        <f>"제"&amp;M66&amp;"호표"</f>
        <v>제8호표</v>
      </c>
      <c r="B66" s="725" t="s">
        <v>5881</v>
      </c>
      <c r="C66" s="726" t="s">
        <v>5890</v>
      </c>
      <c r="D66" s="726" t="str">
        <f>L:L</f>
        <v>제8호표</v>
      </c>
      <c r="E66" s="724" t="s">
        <v>59</v>
      </c>
      <c r="F66" s="727"/>
      <c r="G66" s="728"/>
      <c r="H66" s="728">
        <f>INT(H$51*18.07)</f>
        <v>56450</v>
      </c>
      <c r="I66" s="728"/>
      <c r="J66" s="728">
        <f>INT(J$51*18.07)</f>
        <v>77122</v>
      </c>
      <c r="K66" s="728">
        <f>H66+J66</f>
        <v>133572</v>
      </c>
      <c r="L66" s="724" t="str">
        <f>A66</f>
        <v>제8호표</v>
      </c>
      <c r="M66" s="729">
        <f>M63+1</f>
        <v>8</v>
      </c>
    </row>
    <row r="67" spans="1:13" s="718" customFormat="1" ht="21" customHeight="1">
      <c r="A67" s="724"/>
      <c r="B67" s="725" t="s">
        <v>5891</v>
      </c>
      <c r="C67" s="726"/>
      <c r="D67" s="726"/>
      <c r="E67" s="724"/>
      <c r="F67" s="727"/>
      <c r="G67" s="728"/>
      <c r="H67" s="728"/>
      <c r="I67" s="728"/>
      <c r="J67" s="728"/>
      <c r="K67" s="728"/>
      <c r="L67" s="724"/>
      <c r="M67" s="729"/>
    </row>
    <row r="68" spans="1:13" s="718" customFormat="1" ht="21" customHeight="1">
      <c r="A68" s="724"/>
      <c r="B68" s="725"/>
      <c r="C68" s="726"/>
      <c r="D68" s="726"/>
      <c r="E68" s="724"/>
      <c r="F68" s="727"/>
      <c r="G68" s="728"/>
      <c r="H68" s="728"/>
      <c r="I68" s="728"/>
      <c r="J68" s="728"/>
      <c r="K68" s="728"/>
      <c r="L68" s="724"/>
      <c r="M68" s="729"/>
    </row>
    <row r="69" spans="1:13" s="718" customFormat="1" ht="21" customHeight="1">
      <c r="A69" s="724" t="str">
        <f>"제"&amp;M69&amp;"호표"</f>
        <v>제9호표</v>
      </c>
      <c r="B69" s="725" t="s">
        <v>5881</v>
      </c>
      <c r="C69" s="726" t="s">
        <v>5892</v>
      </c>
      <c r="D69" s="726" t="str">
        <f>L:L</f>
        <v>제9호표</v>
      </c>
      <c r="E69" s="724" t="s">
        <v>59</v>
      </c>
      <c r="F69" s="727"/>
      <c r="G69" s="728"/>
      <c r="H69" s="728">
        <f>INT(H$35*25.13)</f>
        <v>67373</v>
      </c>
      <c r="I69" s="728"/>
      <c r="J69" s="728">
        <f>INT(J$35*25.13)</f>
        <v>91925</v>
      </c>
      <c r="K69" s="728">
        <f>H69+J69</f>
        <v>159298</v>
      </c>
      <c r="L69" s="724" t="str">
        <f>A69</f>
        <v>제9호표</v>
      </c>
      <c r="M69" s="729">
        <f>M66+1</f>
        <v>9</v>
      </c>
    </row>
    <row r="70" spans="1:13" s="718" customFormat="1" ht="21" customHeight="1">
      <c r="A70" s="724"/>
      <c r="B70" s="725" t="s">
        <v>5893</v>
      </c>
      <c r="C70" s="726"/>
      <c r="D70" s="726"/>
      <c r="E70" s="724"/>
      <c r="F70" s="727"/>
      <c r="G70" s="728"/>
      <c r="H70" s="728"/>
      <c r="I70" s="728"/>
      <c r="J70" s="728"/>
      <c r="K70" s="728"/>
      <c r="L70" s="724"/>
      <c r="M70" s="729"/>
    </row>
    <row r="71" spans="1:13" s="718" customFormat="1" ht="21" customHeight="1">
      <c r="A71" s="724"/>
      <c r="B71" s="725"/>
      <c r="C71" s="726"/>
      <c r="D71" s="726"/>
      <c r="E71" s="724"/>
      <c r="F71" s="727"/>
      <c r="G71" s="728"/>
      <c r="H71" s="728"/>
      <c r="I71" s="728"/>
      <c r="J71" s="728"/>
      <c r="K71" s="728"/>
      <c r="L71" s="724"/>
      <c r="M71" s="729"/>
    </row>
    <row r="72" spans="1:13" s="718" customFormat="1" ht="21" customHeight="1">
      <c r="A72" s="724" t="str">
        <f>"제"&amp;M72&amp;"호표"</f>
        <v>제10호표</v>
      </c>
      <c r="B72" s="725" t="s">
        <v>5881</v>
      </c>
      <c r="C72" s="726" t="s">
        <v>5894</v>
      </c>
      <c r="D72" s="726" t="str">
        <f>L:L</f>
        <v>제10호표</v>
      </c>
      <c r="E72" s="724" t="s">
        <v>59</v>
      </c>
      <c r="F72" s="727"/>
      <c r="G72" s="728"/>
      <c r="H72" s="728">
        <f>INT(H$51*31.39)</f>
        <v>98062</v>
      </c>
      <c r="I72" s="728"/>
      <c r="J72" s="728">
        <f>INT(J$51*31.39)</f>
        <v>133972</v>
      </c>
      <c r="K72" s="728">
        <f>H72+J72</f>
        <v>232034</v>
      </c>
      <c r="L72" s="724" t="str">
        <f>A72</f>
        <v>제10호표</v>
      </c>
      <c r="M72" s="729">
        <f>M69+1</f>
        <v>10</v>
      </c>
    </row>
    <row r="73" spans="1:13" s="718" customFormat="1" ht="21" customHeight="1">
      <c r="A73" s="724"/>
      <c r="B73" s="725" t="s">
        <v>5895</v>
      </c>
      <c r="C73" s="726"/>
      <c r="D73" s="726"/>
      <c r="E73" s="724"/>
      <c r="F73" s="727"/>
      <c r="G73" s="728"/>
      <c r="H73" s="728"/>
      <c r="I73" s="728"/>
      <c r="J73" s="728"/>
      <c r="K73" s="728"/>
      <c r="L73" s="724"/>
      <c r="M73" s="729"/>
    </row>
    <row r="74" spans="1:13" s="718" customFormat="1" ht="21" customHeight="1">
      <c r="A74" s="724"/>
      <c r="B74" s="725"/>
      <c r="C74" s="726"/>
      <c r="D74" s="726"/>
      <c r="E74" s="724"/>
      <c r="F74" s="727"/>
      <c r="G74" s="728"/>
      <c r="H74" s="728"/>
      <c r="I74" s="728"/>
      <c r="J74" s="728"/>
      <c r="K74" s="728"/>
      <c r="L74" s="724"/>
      <c r="M74" s="729"/>
    </row>
    <row r="75" spans="1:13" s="718" customFormat="1" ht="21" customHeight="1">
      <c r="A75" s="724" t="str">
        <f>"제"&amp;M75&amp;"호표"</f>
        <v>제11호표</v>
      </c>
      <c r="B75" s="725" t="s">
        <v>5881</v>
      </c>
      <c r="C75" s="726" t="s">
        <v>5896</v>
      </c>
      <c r="D75" s="726" t="str">
        <f>L:L</f>
        <v>제11호표</v>
      </c>
      <c r="E75" s="724" t="s">
        <v>59</v>
      </c>
      <c r="F75" s="727"/>
      <c r="G75" s="728"/>
      <c r="H75" s="728">
        <f>INT(H$51*39.39)</f>
        <v>123054</v>
      </c>
      <c r="I75" s="728"/>
      <c r="J75" s="728">
        <f>INT(J$51*39.39)</f>
        <v>168116</v>
      </c>
      <c r="K75" s="728">
        <f>H75+J75</f>
        <v>291170</v>
      </c>
      <c r="L75" s="724" t="str">
        <f>A75</f>
        <v>제11호표</v>
      </c>
      <c r="M75" s="729">
        <f>M72+1</f>
        <v>11</v>
      </c>
    </row>
    <row r="76" spans="1:13" s="718" customFormat="1" ht="21" customHeight="1">
      <c r="A76" s="724"/>
      <c r="B76" s="725" t="s">
        <v>5897</v>
      </c>
      <c r="C76" s="726"/>
      <c r="D76" s="726"/>
      <c r="E76" s="724"/>
      <c r="F76" s="727"/>
      <c r="G76" s="728"/>
      <c r="H76" s="728"/>
      <c r="I76" s="728"/>
      <c r="J76" s="728"/>
      <c r="K76" s="728"/>
      <c r="L76" s="724"/>
      <c r="M76" s="729"/>
    </row>
    <row r="77" spans="1:13" s="718" customFormat="1" ht="21" customHeight="1">
      <c r="A77" s="724"/>
      <c r="B77" s="725"/>
      <c r="C77" s="726"/>
      <c r="D77" s="726"/>
      <c r="E77" s="724"/>
      <c r="F77" s="727"/>
      <c r="G77" s="728"/>
      <c r="H77" s="728"/>
      <c r="I77" s="728"/>
      <c r="J77" s="728"/>
      <c r="K77" s="728"/>
      <c r="L77" s="724"/>
      <c r="M77" s="729"/>
    </row>
    <row r="78" spans="1:13" s="737" customFormat="1" ht="21" customHeight="1">
      <c r="A78" s="724" t="str">
        <f>"제"&amp;M78&amp;"호표"</f>
        <v>제12호표</v>
      </c>
      <c r="B78" s="725" t="s">
        <v>5898</v>
      </c>
      <c r="C78" s="725" t="s">
        <v>5882</v>
      </c>
      <c r="D78" s="725"/>
      <c r="E78" s="724" t="s">
        <v>5899</v>
      </c>
      <c r="F78" s="734"/>
      <c r="G78" s="735"/>
      <c r="H78" s="735"/>
      <c r="I78" s="735"/>
      <c r="J78" s="735"/>
      <c r="K78" s="735">
        <f>H78+J78</f>
        <v>0</v>
      </c>
      <c r="L78" s="725"/>
      <c r="M78" s="736">
        <f>M75+1</f>
        <v>12</v>
      </c>
    </row>
    <row r="79" spans="1:13" s="737" customFormat="1" ht="21" customHeight="1">
      <c r="A79" s="725"/>
      <c r="B79" s="725"/>
      <c r="C79" s="725"/>
      <c r="D79" s="725"/>
      <c r="E79" s="725"/>
      <c r="F79" s="734"/>
      <c r="G79" s="735"/>
      <c r="H79" s="735"/>
      <c r="I79" s="735"/>
      <c r="J79" s="735"/>
      <c r="K79" s="735"/>
      <c r="L79" s="725"/>
      <c r="M79" s="738"/>
    </row>
    <row r="80" spans="1:13" s="718" customFormat="1" ht="21" customHeight="1">
      <c r="A80" s="724"/>
      <c r="B80" s="731" t="s">
        <v>5900</v>
      </c>
      <c r="C80" s="726"/>
      <c r="D80" s="726" t="str">
        <f>SUBSTITUTE(CONCATENATE(B:B,C:C,E:E)," ","")</f>
        <v>절단원인</v>
      </c>
      <c r="E80" s="724" t="s">
        <v>5862</v>
      </c>
      <c r="F80" s="727">
        <v>8.0000000000000002E-3</v>
      </c>
      <c r="G80" s="728">
        <f>IF($E:$E="인",0,VLOOKUP($D:$D,[140]일위목록!$A:$H,6,FALSE))</f>
        <v>0</v>
      </c>
      <c r="H80" s="728">
        <f>TRUNC($F:$F*G:G)</f>
        <v>0</v>
      </c>
      <c r="I80" s="728">
        <f>'노임(진열장)'!G7</f>
        <v>88131</v>
      </c>
      <c r="J80" s="728">
        <f>TRUNC($F:$F*I:I)</f>
        <v>705</v>
      </c>
      <c r="K80" s="728">
        <f t="shared" ref="K80:K81" si="12">H80+J80</f>
        <v>705</v>
      </c>
      <c r="L80" s="724" t="str">
        <f>IF($E:$E="인",VLOOKUP($B:$B,[140]노임!$B:$D,3,FALSE),VLOOKUP($D:$D,[140]일위목록!$A:$H,2,FALSE))</f>
        <v>제조임율-32</v>
      </c>
      <c r="M80" s="717"/>
    </row>
    <row r="81" spans="1:13" s="718" customFormat="1" ht="21" customHeight="1">
      <c r="A81" s="724"/>
      <c r="B81" s="731" t="s">
        <v>5877</v>
      </c>
      <c r="C81" s="726"/>
      <c r="D81" s="726" t="str">
        <f>SUBSTITUTE(CONCATENATE(B:B,C:C,E:E)," ","")</f>
        <v>보통인부인</v>
      </c>
      <c r="E81" s="724" t="s">
        <v>5862</v>
      </c>
      <c r="F81" s="727">
        <v>8.0000000000000002E-3</v>
      </c>
      <c r="G81" s="728">
        <f>IF($E:$E="인",0,VLOOKUP($D:$D,[140]일위목록!$A:$H,6,FALSE))</f>
        <v>0</v>
      </c>
      <c r="H81" s="728">
        <f>TRUNC($F:$F*G:G)</f>
        <v>0</v>
      </c>
      <c r="I81" s="728">
        <f>'노임(진열장)'!G14</f>
        <v>125427</v>
      </c>
      <c r="J81" s="728">
        <f>TRUNC($F:$F*I:I)</f>
        <v>1003</v>
      </c>
      <c r="K81" s="728">
        <f t="shared" si="12"/>
        <v>1003</v>
      </c>
      <c r="L81" s="724" t="str">
        <f>IF($E:$E="인",VLOOKUP($B:$B,[140]노임!$B:$D,3,FALSE),VLOOKUP($D:$D,[140]일위목록!$A:$H,2,FALSE))</f>
        <v>건설노임-1002</v>
      </c>
      <c r="M81" s="717"/>
    </row>
    <row r="82" spans="1:13" s="737" customFormat="1" ht="21" customHeight="1">
      <c r="A82" s="725"/>
      <c r="B82" s="725" t="s">
        <v>5901</v>
      </c>
      <c r="C82" s="726"/>
      <c r="D82" s="726" t="str">
        <f>L:L</f>
        <v>제12호표</v>
      </c>
      <c r="E82" s="724"/>
      <c r="F82" s="727"/>
      <c r="G82" s="728"/>
      <c r="H82" s="728">
        <f>SUM(H80:H81)</f>
        <v>0</v>
      </c>
      <c r="I82" s="728"/>
      <c r="J82" s="728">
        <f>SUM(J80:J81)</f>
        <v>1708</v>
      </c>
      <c r="K82" s="728">
        <f>H82+J82</f>
        <v>1708</v>
      </c>
      <c r="L82" s="724" t="str">
        <f>A78</f>
        <v>제12호표</v>
      </c>
      <c r="M82" s="738"/>
    </row>
    <row r="83" spans="1:13" s="718" customFormat="1" ht="21" customHeight="1">
      <c r="A83" s="724"/>
      <c r="B83" s="725"/>
      <c r="C83" s="726"/>
      <c r="D83" s="726"/>
      <c r="E83" s="724"/>
      <c r="F83" s="727"/>
      <c r="G83" s="728"/>
      <c r="H83" s="728"/>
      <c r="I83" s="728"/>
      <c r="J83" s="728"/>
      <c r="K83" s="728"/>
      <c r="L83" s="724"/>
      <c r="M83" s="729"/>
    </row>
    <row r="84" spans="1:13" s="718" customFormat="1" ht="21" customHeight="1">
      <c r="A84" s="724"/>
      <c r="B84" s="726" t="s">
        <v>5902</v>
      </c>
      <c r="C84" s="726"/>
      <c r="D84" s="726"/>
      <c r="E84" s="724"/>
      <c r="F84" s="727"/>
      <c r="G84" s="728"/>
      <c r="H84" s="728"/>
      <c r="I84" s="728"/>
      <c r="J84" s="728"/>
      <c r="K84" s="728"/>
      <c r="L84" s="724"/>
      <c r="M84" s="729"/>
    </row>
    <row r="85" spans="1:13" s="718" customFormat="1" ht="21" customHeight="1">
      <c r="A85" s="724"/>
      <c r="B85" s="726" t="s">
        <v>5903</v>
      </c>
      <c r="C85" s="726"/>
      <c r="D85" s="726"/>
      <c r="E85" s="724"/>
      <c r="F85" s="727"/>
      <c r="G85" s="728"/>
      <c r="H85" s="728"/>
      <c r="I85" s="728"/>
      <c r="J85" s="728"/>
      <c r="K85" s="728"/>
      <c r="L85" s="724"/>
      <c r="M85" s="729"/>
    </row>
    <row r="86" spans="1:13" s="718" customFormat="1" ht="21" customHeight="1">
      <c r="A86" s="724"/>
      <c r="B86" s="726" t="s">
        <v>5904</v>
      </c>
      <c r="C86" s="726"/>
      <c r="D86" s="726"/>
      <c r="E86" s="724"/>
      <c r="F86" s="727"/>
      <c r="G86" s="728"/>
      <c r="H86" s="728"/>
      <c r="I86" s="728"/>
      <c r="J86" s="728"/>
      <c r="K86" s="728"/>
      <c r="L86" s="724"/>
      <c r="M86" s="729"/>
    </row>
    <row r="87" spans="1:13" s="718" customFormat="1" ht="21" customHeight="1">
      <c r="A87" s="724"/>
      <c r="B87" s="725"/>
      <c r="C87" s="726"/>
      <c r="D87" s="726"/>
      <c r="E87" s="724"/>
      <c r="F87" s="727"/>
      <c r="G87" s="728"/>
      <c r="H87" s="728"/>
      <c r="I87" s="728"/>
      <c r="J87" s="728"/>
      <c r="K87" s="728"/>
      <c r="L87" s="724"/>
      <c r="M87" s="729"/>
    </row>
    <row r="88" spans="1:13" s="737" customFormat="1" ht="21" customHeight="1">
      <c r="A88" s="724" t="str">
        <f>"제"&amp;M88&amp;"호표"</f>
        <v>제13호표</v>
      </c>
      <c r="B88" s="725" t="s">
        <v>5898</v>
      </c>
      <c r="C88" s="725" t="s">
        <v>5886</v>
      </c>
      <c r="D88" s="726" t="str">
        <f>L:L</f>
        <v>제13호표</v>
      </c>
      <c r="E88" s="724" t="s">
        <v>5899</v>
      </c>
      <c r="F88" s="734"/>
      <c r="G88" s="735"/>
      <c r="H88" s="735"/>
      <c r="I88" s="735"/>
      <c r="J88" s="739">
        <f>TRUNC(J82*120%)</f>
        <v>2049</v>
      </c>
      <c r="K88" s="739">
        <f>H88+J88</f>
        <v>2049</v>
      </c>
      <c r="L88" s="724" t="str">
        <f>A88</f>
        <v>제13호표</v>
      </c>
      <c r="M88" s="736">
        <f>M78+1</f>
        <v>13</v>
      </c>
    </row>
    <row r="89" spans="1:13" s="718" customFormat="1" ht="21" customHeight="1">
      <c r="A89" s="724"/>
      <c r="B89" s="726" t="s">
        <v>5905</v>
      </c>
      <c r="C89" s="726"/>
      <c r="D89" s="726"/>
      <c r="E89" s="724"/>
      <c r="F89" s="727"/>
      <c r="G89" s="728"/>
      <c r="H89" s="728"/>
      <c r="I89" s="728"/>
      <c r="J89" s="728"/>
      <c r="K89" s="728"/>
      <c r="L89" s="724"/>
      <c r="M89" s="729"/>
    </row>
    <row r="90" spans="1:13" s="718" customFormat="1" ht="21" customHeight="1">
      <c r="A90" s="724"/>
      <c r="B90" s="725"/>
      <c r="C90" s="726"/>
      <c r="D90" s="726"/>
      <c r="E90" s="724"/>
      <c r="F90" s="727"/>
      <c r="G90" s="728"/>
      <c r="H90" s="728"/>
      <c r="I90" s="728"/>
      <c r="J90" s="728"/>
      <c r="K90" s="728"/>
      <c r="L90" s="724"/>
      <c r="M90" s="729"/>
    </row>
    <row r="91" spans="1:13" s="737" customFormat="1" ht="21" customHeight="1">
      <c r="A91" s="724" t="str">
        <f>"제"&amp;M91&amp;"호표"</f>
        <v>제14호표</v>
      </c>
      <c r="B91" s="725" t="s">
        <v>5898</v>
      </c>
      <c r="C91" s="725" t="s">
        <v>5888</v>
      </c>
      <c r="D91" s="726" t="str">
        <f>L:L</f>
        <v>제14호표</v>
      </c>
      <c r="E91" s="724" t="s">
        <v>5899</v>
      </c>
      <c r="F91" s="734"/>
      <c r="G91" s="735"/>
      <c r="H91" s="735"/>
      <c r="I91" s="735"/>
      <c r="J91" s="739">
        <f>TRUNC(J82*140%)</f>
        <v>2391</v>
      </c>
      <c r="K91" s="739">
        <f>H91+J91</f>
        <v>2391</v>
      </c>
      <c r="L91" s="724" t="str">
        <f>A91</f>
        <v>제14호표</v>
      </c>
      <c r="M91" s="736">
        <f>M88+1</f>
        <v>14</v>
      </c>
    </row>
    <row r="92" spans="1:13" s="718" customFormat="1" ht="21" customHeight="1">
      <c r="A92" s="724"/>
      <c r="B92" s="726" t="s">
        <v>5906</v>
      </c>
      <c r="C92" s="726"/>
      <c r="D92" s="726"/>
      <c r="E92" s="724"/>
      <c r="F92" s="727"/>
      <c r="G92" s="728"/>
      <c r="H92" s="728"/>
      <c r="I92" s="728"/>
      <c r="J92" s="728"/>
      <c r="K92" s="728"/>
      <c r="L92" s="724"/>
      <c r="M92" s="729"/>
    </row>
    <row r="93" spans="1:13" s="718" customFormat="1" ht="21" customHeight="1">
      <c r="A93" s="724"/>
      <c r="B93" s="725"/>
      <c r="C93" s="726"/>
      <c r="D93" s="726"/>
      <c r="E93" s="724"/>
      <c r="F93" s="727"/>
      <c r="G93" s="728"/>
      <c r="H93" s="728"/>
      <c r="I93" s="728"/>
      <c r="J93" s="728"/>
      <c r="K93" s="728"/>
      <c r="L93" s="724"/>
      <c r="M93" s="729"/>
    </row>
    <row r="94" spans="1:13" s="737" customFormat="1" ht="21" customHeight="1">
      <c r="A94" s="724" t="str">
        <f>"제"&amp;M94&amp;"호표"</f>
        <v>제15호표</v>
      </c>
      <c r="B94" s="725" t="s">
        <v>5898</v>
      </c>
      <c r="C94" s="725" t="s">
        <v>5890</v>
      </c>
      <c r="D94" s="726" t="str">
        <f>L:L</f>
        <v>제15호표</v>
      </c>
      <c r="E94" s="724" t="s">
        <v>5899</v>
      </c>
      <c r="F94" s="734"/>
      <c r="G94" s="735"/>
      <c r="H94" s="735"/>
      <c r="I94" s="735"/>
      <c r="J94" s="739">
        <f>TRUNC(J82*150%)</f>
        <v>2562</v>
      </c>
      <c r="K94" s="739">
        <f>H94+J94</f>
        <v>2562</v>
      </c>
      <c r="L94" s="724" t="str">
        <f>A94</f>
        <v>제15호표</v>
      </c>
      <c r="M94" s="736">
        <f>M91+1</f>
        <v>15</v>
      </c>
    </row>
    <row r="95" spans="1:13" s="718" customFormat="1" ht="21" customHeight="1">
      <c r="A95" s="724"/>
      <c r="B95" s="726" t="s">
        <v>5907</v>
      </c>
      <c r="C95" s="726"/>
      <c r="D95" s="726"/>
      <c r="E95" s="724"/>
      <c r="F95" s="727"/>
      <c r="G95" s="728"/>
      <c r="H95" s="728"/>
      <c r="I95" s="728"/>
      <c r="J95" s="728"/>
      <c r="K95" s="728"/>
      <c r="L95" s="724"/>
      <c r="M95" s="729"/>
    </row>
    <row r="96" spans="1:13" s="718" customFormat="1" ht="21" customHeight="1">
      <c r="A96" s="724"/>
      <c r="B96" s="725"/>
      <c r="C96" s="726"/>
      <c r="D96" s="726"/>
      <c r="E96" s="724"/>
      <c r="F96" s="727"/>
      <c r="G96" s="728"/>
      <c r="H96" s="728"/>
      <c r="I96" s="728"/>
      <c r="J96" s="728"/>
      <c r="K96" s="728"/>
      <c r="L96" s="724"/>
      <c r="M96" s="729"/>
    </row>
    <row r="97" spans="1:13" s="737" customFormat="1" ht="21" customHeight="1">
      <c r="A97" s="724" t="str">
        <f>"제"&amp;M97&amp;"호표"</f>
        <v>제16호표</v>
      </c>
      <c r="B97" s="725" t="s">
        <v>5898</v>
      </c>
      <c r="C97" s="725" t="s">
        <v>5892</v>
      </c>
      <c r="D97" s="726" t="str">
        <f>L:L</f>
        <v>제16호표</v>
      </c>
      <c r="E97" s="724" t="s">
        <v>5899</v>
      </c>
      <c r="F97" s="734"/>
      <c r="G97" s="735"/>
      <c r="H97" s="735"/>
      <c r="I97" s="735"/>
      <c r="J97" s="739">
        <f>TRUNC(J82*180%)</f>
        <v>3074</v>
      </c>
      <c r="K97" s="739">
        <f>H97+J97</f>
        <v>3074</v>
      </c>
      <c r="L97" s="724" t="str">
        <f>A97</f>
        <v>제16호표</v>
      </c>
      <c r="M97" s="736">
        <f>M94+1</f>
        <v>16</v>
      </c>
    </row>
    <row r="98" spans="1:13" s="718" customFormat="1" ht="21" customHeight="1">
      <c r="A98" s="724"/>
      <c r="B98" s="726" t="s">
        <v>5908</v>
      </c>
      <c r="C98" s="726"/>
      <c r="D98" s="726"/>
      <c r="E98" s="724"/>
      <c r="F98" s="727"/>
      <c r="G98" s="728"/>
      <c r="H98" s="728"/>
      <c r="I98" s="728"/>
      <c r="J98" s="728"/>
      <c r="K98" s="728"/>
      <c r="L98" s="724"/>
      <c r="M98" s="729"/>
    </row>
    <row r="99" spans="1:13" s="718" customFormat="1" ht="21" customHeight="1">
      <c r="A99" s="724"/>
      <c r="B99" s="725"/>
      <c r="C99" s="726"/>
      <c r="D99" s="726"/>
      <c r="E99" s="724"/>
      <c r="F99" s="727"/>
      <c r="G99" s="728"/>
      <c r="H99" s="728"/>
      <c r="I99" s="728"/>
      <c r="J99" s="728"/>
      <c r="K99" s="728"/>
      <c r="L99" s="724"/>
      <c r="M99" s="729"/>
    </row>
    <row r="100" spans="1:13" s="737" customFormat="1" ht="21" customHeight="1">
      <c r="A100" s="724" t="str">
        <f>"제"&amp;M100&amp;"호표"</f>
        <v>제17호표</v>
      </c>
      <c r="B100" s="725" t="s">
        <v>5898</v>
      </c>
      <c r="C100" s="725" t="s">
        <v>5894</v>
      </c>
      <c r="D100" s="726" t="str">
        <f>L:L</f>
        <v>제17호표</v>
      </c>
      <c r="E100" s="724" t="s">
        <v>5899</v>
      </c>
      <c r="F100" s="734"/>
      <c r="G100" s="735"/>
      <c r="H100" s="735"/>
      <c r="I100" s="735"/>
      <c r="J100" s="739">
        <f>TRUNC(J82*200%)</f>
        <v>3416</v>
      </c>
      <c r="K100" s="739">
        <f>H100+J100</f>
        <v>3416</v>
      </c>
      <c r="L100" s="724" t="str">
        <f>A100</f>
        <v>제17호표</v>
      </c>
      <c r="M100" s="736">
        <f>M97+1</f>
        <v>17</v>
      </c>
    </row>
    <row r="101" spans="1:13" s="718" customFormat="1" ht="21" customHeight="1">
      <c r="A101" s="724"/>
      <c r="B101" s="726" t="s">
        <v>5909</v>
      </c>
      <c r="C101" s="726"/>
      <c r="D101" s="726"/>
      <c r="E101" s="724"/>
      <c r="F101" s="727"/>
      <c r="G101" s="728"/>
      <c r="H101" s="728"/>
      <c r="I101" s="728"/>
      <c r="J101" s="728"/>
      <c r="K101" s="728"/>
      <c r="L101" s="724"/>
      <c r="M101" s="729"/>
    </row>
    <row r="102" spans="1:13" s="718" customFormat="1" ht="21" customHeight="1">
      <c r="A102" s="724"/>
      <c r="B102" s="725"/>
      <c r="C102" s="726"/>
      <c r="D102" s="726"/>
      <c r="E102" s="724"/>
      <c r="F102" s="727"/>
      <c r="G102" s="728"/>
      <c r="H102" s="728"/>
      <c r="I102" s="728"/>
      <c r="J102" s="728"/>
      <c r="K102" s="728"/>
      <c r="L102" s="724"/>
      <c r="M102" s="729"/>
    </row>
    <row r="103" spans="1:13" s="737" customFormat="1" ht="21" customHeight="1">
      <c r="A103" s="724" t="str">
        <f>"제"&amp;M103&amp;"호표"</f>
        <v>제18호표</v>
      </c>
      <c r="B103" s="725" t="s">
        <v>5898</v>
      </c>
      <c r="C103" s="725" t="s">
        <v>5896</v>
      </c>
      <c r="D103" s="726" t="str">
        <f>L:L</f>
        <v>제18호표</v>
      </c>
      <c r="E103" s="724" t="s">
        <v>5899</v>
      </c>
      <c r="F103" s="734"/>
      <c r="G103" s="735"/>
      <c r="H103" s="735"/>
      <c r="I103" s="735"/>
      <c r="J103" s="739">
        <f>TRUNC(J82*220%)</f>
        <v>3757</v>
      </c>
      <c r="K103" s="739">
        <f>H103+J103</f>
        <v>3757</v>
      </c>
      <c r="L103" s="724" t="str">
        <f>A103</f>
        <v>제18호표</v>
      </c>
      <c r="M103" s="736">
        <f>M100+1</f>
        <v>18</v>
      </c>
    </row>
    <row r="104" spans="1:13" s="718" customFormat="1" ht="21" customHeight="1">
      <c r="A104" s="724"/>
      <c r="B104" s="726" t="s">
        <v>5910</v>
      </c>
      <c r="C104" s="726"/>
      <c r="D104" s="726"/>
      <c r="E104" s="724"/>
      <c r="F104" s="727"/>
      <c r="G104" s="728"/>
      <c r="H104" s="728"/>
      <c r="I104" s="728"/>
      <c r="J104" s="728"/>
      <c r="K104" s="728"/>
      <c r="L104" s="724"/>
      <c r="M104" s="729"/>
    </row>
    <row r="105" spans="1:13" s="718" customFormat="1" ht="21" customHeight="1">
      <c r="A105" s="724"/>
      <c r="B105" s="725"/>
      <c r="C105" s="726"/>
      <c r="D105" s="726"/>
      <c r="E105" s="724"/>
      <c r="F105" s="727"/>
      <c r="G105" s="728"/>
      <c r="H105" s="728"/>
      <c r="I105" s="728"/>
      <c r="J105" s="728"/>
      <c r="K105" s="728"/>
      <c r="L105" s="724"/>
      <c r="M105" s="729"/>
    </row>
    <row r="106" spans="1:13" s="737" customFormat="1" ht="21" customHeight="1">
      <c r="A106" s="724" t="str">
        <f>"제"&amp;M106&amp;"호표"</f>
        <v>제19호표</v>
      </c>
      <c r="B106" s="725" t="s">
        <v>5898</v>
      </c>
      <c r="C106" s="725" t="s">
        <v>5911</v>
      </c>
      <c r="D106" s="726" t="str">
        <f>L:L</f>
        <v>제19호표</v>
      </c>
      <c r="E106" s="724" t="s">
        <v>5912</v>
      </c>
      <c r="F106" s="734"/>
      <c r="G106" s="735"/>
      <c r="H106" s="735"/>
      <c r="I106" s="735"/>
      <c r="J106" s="739">
        <f>TRUNC(J82*240%)</f>
        <v>4099</v>
      </c>
      <c r="K106" s="739">
        <f>H106+J106</f>
        <v>4099</v>
      </c>
      <c r="L106" s="724" t="str">
        <f>A106</f>
        <v>제19호표</v>
      </c>
      <c r="M106" s="736">
        <f>M103+1</f>
        <v>19</v>
      </c>
    </row>
    <row r="107" spans="1:13" s="718" customFormat="1" ht="21" customHeight="1">
      <c r="A107" s="724"/>
      <c r="B107" s="726" t="s">
        <v>5913</v>
      </c>
      <c r="C107" s="726"/>
      <c r="D107" s="726"/>
      <c r="E107" s="724"/>
      <c r="F107" s="727"/>
      <c r="G107" s="728"/>
      <c r="H107" s="728"/>
      <c r="I107" s="728"/>
      <c r="J107" s="728"/>
      <c r="K107" s="728"/>
      <c r="L107" s="724"/>
      <c r="M107" s="729"/>
    </row>
    <row r="108" spans="1:13" s="718" customFormat="1" ht="21" customHeight="1">
      <c r="A108" s="724"/>
      <c r="B108" s="725"/>
      <c r="C108" s="726"/>
      <c r="D108" s="726"/>
      <c r="E108" s="724"/>
      <c r="F108" s="727"/>
      <c r="G108" s="728"/>
      <c r="H108" s="728"/>
      <c r="I108" s="728"/>
      <c r="J108" s="728"/>
      <c r="K108" s="728"/>
      <c r="L108" s="724"/>
      <c r="M108" s="729"/>
    </row>
    <row r="109" spans="1:13" s="737" customFormat="1" ht="21" customHeight="1">
      <c r="A109" s="724" t="str">
        <f>"제"&amp;M109&amp;"호표"</f>
        <v>제20호표</v>
      </c>
      <c r="B109" s="725" t="s">
        <v>5914</v>
      </c>
      <c r="C109" s="725" t="s">
        <v>5915</v>
      </c>
      <c r="D109" s="726" t="str">
        <f>L:L</f>
        <v>제20호표</v>
      </c>
      <c r="E109" s="724" t="s">
        <v>5916</v>
      </c>
      <c r="F109" s="734"/>
      <c r="G109" s="735"/>
      <c r="H109" s="735"/>
      <c r="I109" s="735"/>
      <c r="J109" s="739">
        <f>TRUNC(J82*200%)</f>
        <v>3416</v>
      </c>
      <c r="K109" s="739">
        <f>H109+J109</f>
        <v>3416</v>
      </c>
      <c r="L109" s="724" t="str">
        <f>A109</f>
        <v>제20호표</v>
      </c>
      <c r="M109" s="736">
        <f>M106+1</f>
        <v>20</v>
      </c>
    </row>
    <row r="110" spans="1:13" s="718" customFormat="1" ht="21" customHeight="1">
      <c r="A110" s="724"/>
      <c r="B110" s="726" t="s">
        <v>5917</v>
      </c>
      <c r="C110" s="726"/>
      <c r="D110" s="726"/>
      <c r="E110" s="724"/>
      <c r="F110" s="727"/>
      <c r="G110" s="728"/>
      <c r="H110" s="728"/>
      <c r="I110" s="728"/>
      <c r="J110" s="728"/>
      <c r="K110" s="728"/>
      <c r="L110" s="724"/>
      <c r="M110" s="729"/>
    </row>
    <row r="111" spans="1:13" s="718" customFormat="1" ht="21" customHeight="1">
      <c r="A111" s="724"/>
      <c r="B111" s="725"/>
      <c r="C111" s="726"/>
      <c r="D111" s="726"/>
      <c r="E111" s="724"/>
      <c r="F111" s="727"/>
      <c r="G111" s="728"/>
      <c r="H111" s="728"/>
      <c r="I111" s="728"/>
      <c r="J111" s="728"/>
      <c r="K111" s="728"/>
      <c r="L111" s="724"/>
      <c r="M111" s="729"/>
    </row>
    <row r="112" spans="1:13" s="737" customFormat="1" ht="21" customHeight="1">
      <c r="A112" s="724" t="str">
        <f>"제"&amp;M112&amp;"호표"</f>
        <v>제21호표</v>
      </c>
      <c r="B112" s="725" t="s">
        <v>5918</v>
      </c>
      <c r="C112" s="725" t="s">
        <v>5919</v>
      </c>
      <c r="D112" s="725"/>
      <c r="E112" s="724" t="s">
        <v>5920</v>
      </c>
      <c r="F112" s="734"/>
      <c r="G112" s="735"/>
      <c r="H112" s="735"/>
      <c r="I112" s="735"/>
      <c r="J112" s="735"/>
      <c r="K112" s="735">
        <f>H112+J112</f>
        <v>0</v>
      </c>
      <c r="L112" s="725"/>
      <c r="M112" s="736">
        <f>M109+1</f>
        <v>21</v>
      </c>
    </row>
    <row r="113" spans="1:13" s="737" customFormat="1" ht="21" customHeight="1">
      <c r="A113" s="725"/>
      <c r="B113" s="725"/>
      <c r="C113" s="725"/>
      <c r="D113" s="725"/>
      <c r="E113" s="725"/>
      <c r="F113" s="734"/>
      <c r="G113" s="735"/>
      <c r="H113" s="735"/>
      <c r="I113" s="735"/>
      <c r="J113" s="735"/>
      <c r="K113" s="735"/>
      <c r="L113" s="725"/>
      <c r="M113" s="738"/>
    </row>
    <row r="114" spans="1:13" s="718" customFormat="1" ht="21" customHeight="1">
      <c r="A114" s="724"/>
      <c r="B114" s="731" t="s">
        <v>5921</v>
      </c>
      <c r="C114" s="726"/>
      <c r="D114" s="726" t="str">
        <f>SUBSTITUTE(CONCATENATE(B:B,C:C,E:E)," ","")</f>
        <v>프레나기조작원인</v>
      </c>
      <c r="E114" s="724" t="s">
        <v>5862</v>
      </c>
      <c r="F114" s="727">
        <v>8.9999999999999993E-3</v>
      </c>
      <c r="G114" s="728">
        <f>IF($E:$E="인",0,VLOOKUP($D:$D,[140]일위목록!$A:$H,6,FALSE))</f>
        <v>0</v>
      </c>
      <c r="H114" s="728">
        <f>TRUNC($F:$F*G:G)</f>
        <v>0</v>
      </c>
      <c r="I114" s="728">
        <f>'노임(진열장)'!G8</f>
        <v>78123</v>
      </c>
      <c r="J114" s="728">
        <f>TRUNC($F:$F*I:I)</f>
        <v>703</v>
      </c>
      <c r="K114" s="728">
        <f t="shared" ref="K114:K115" si="13">H114+J114</f>
        <v>703</v>
      </c>
      <c r="L114" s="724" t="str">
        <f>IF($E:$E="인",VLOOKUP($B:$B,[140]노임!$B:$D,3,FALSE),VLOOKUP($D:$D,[140]일위목록!$A:$H,2,FALSE))</f>
        <v>제조임율-38</v>
      </c>
      <c r="M114" s="717"/>
    </row>
    <row r="115" spans="1:13" s="718" customFormat="1" ht="21" customHeight="1">
      <c r="A115" s="724"/>
      <c r="B115" s="731" t="s">
        <v>5922</v>
      </c>
      <c r="C115" s="726"/>
      <c r="D115" s="726" t="str">
        <f>SUBSTITUTE(CONCATENATE(B:B,C:C,E:E)," ","")</f>
        <v>보통인부인</v>
      </c>
      <c r="E115" s="724" t="s">
        <v>5862</v>
      </c>
      <c r="F115" s="727">
        <v>8.9999999999999993E-3</v>
      </c>
      <c r="G115" s="728">
        <f>IF($E:$E="인",0,VLOOKUP($D:$D,[140]일위목록!$A:$H,6,FALSE))</f>
        <v>0</v>
      </c>
      <c r="H115" s="728">
        <f>TRUNC($F:$F*G:G)</f>
        <v>0</v>
      </c>
      <c r="I115" s="728">
        <f>'노임(진열장)'!G14</f>
        <v>125427</v>
      </c>
      <c r="J115" s="728">
        <f>TRUNC($F:$F*I:I)</f>
        <v>1128</v>
      </c>
      <c r="K115" s="728">
        <f t="shared" si="13"/>
        <v>1128</v>
      </c>
      <c r="L115" s="724" t="str">
        <f>IF($E:$E="인",VLOOKUP($B:$B,[140]노임!$B:$D,3,FALSE),VLOOKUP($D:$D,[140]일위목록!$A:$H,2,FALSE))</f>
        <v>건설노임-1002</v>
      </c>
      <c r="M115" s="717"/>
    </row>
    <row r="116" spans="1:13" s="737" customFormat="1" ht="21" customHeight="1">
      <c r="A116" s="725"/>
      <c r="B116" s="725" t="s">
        <v>5901</v>
      </c>
      <c r="C116" s="726"/>
      <c r="D116" s="726" t="str">
        <f>L:L</f>
        <v>제21호표</v>
      </c>
      <c r="E116" s="724"/>
      <c r="F116" s="727"/>
      <c r="G116" s="728"/>
      <c r="H116" s="728">
        <f>SUM(H114:H115)</f>
        <v>0</v>
      </c>
      <c r="I116" s="728"/>
      <c r="J116" s="728">
        <f>SUM(J114:J115)</f>
        <v>1831</v>
      </c>
      <c r="K116" s="728">
        <f>H116+J116</f>
        <v>1831</v>
      </c>
      <c r="L116" s="724" t="str">
        <f>A112</f>
        <v>제21호표</v>
      </c>
      <c r="M116" s="738"/>
    </row>
    <row r="117" spans="1:13" s="718" customFormat="1" ht="21" customHeight="1">
      <c r="A117" s="724"/>
      <c r="B117" s="725"/>
      <c r="C117" s="726"/>
      <c r="D117" s="726"/>
      <c r="E117" s="724"/>
      <c r="F117" s="727"/>
      <c r="G117" s="728"/>
      <c r="H117" s="728"/>
      <c r="I117" s="728"/>
      <c r="J117" s="728"/>
      <c r="K117" s="728"/>
      <c r="L117" s="724"/>
      <c r="M117" s="729"/>
    </row>
    <row r="118" spans="1:13" s="718" customFormat="1" ht="21" customHeight="1">
      <c r="A118" s="724"/>
      <c r="B118" s="726" t="s">
        <v>5923</v>
      </c>
      <c r="C118" s="726"/>
      <c r="D118" s="726"/>
      <c r="E118" s="724"/>
      <c r="F118" s="727"/>
      <c r="G118" s="728"/>
      <c r="H118" s="728"/>
      <c r="I118" s="728"/>
      <c r="J118" s="728"/>
      <c r="K118" s="728"/>
      <c r="L118" s="724"/>
      <c r="M118" s="729"/>
    </row>
    <row r="119" spans="1:13" s="718" customFormat="1" ht="21" customHeight="1">
      <c r="A119" s="724"/>
      <c r="B119" s="726" t="s">
        <v>5924</v>
      </c>
      <c r="C119" s="726"/>
      <c r="D119" s="726"/>
      <c r="E119" s="724"/>
      <c r="F119" s="727"/>
      <c r="G119" s="728"/>
      <c r="H119" s="728"/>
      <c r="I119" s="728"/>
      <c r="J119" s="728"/>
      <c r="K119" s="728"/>
      <c r="L119" s="724"/>
      <c r="M119" s="729"/>
    </row>
    <row r="120" spans="1:13" s="718" customFormat="1" ht="21" customHeight="1">
      <c r="A120" s="724"/>
      <c r="B120" s="726" t="s">
        <v>5925</v>
      </c>
      <c r="C120" s="726"/>
      <c r="D120" s="726"/>
      <c r="E120" s="724"/>
      <c r="F120" s="727"/>
      <c r="G120" s="728"/>
      <c r="H120" s="728"/>
      <c r="I120" s="728"/>
      <c r="J120" s="728"/>
      <c r="K120" s="728"/>
      <c r="L120" s="724"/>
      <c r="M120" s="729"/>
    </row>
    <row r="121" spans="1:13" s="718" customFormat="1" ht="21" customHeight="1">
      <c r="A121" s="724"/>
      <c r="B121" s="726" t="s">
        <v>5926</v>
      </c>
      <c r="C121" s="726"/>
      <c r="D121" s="726"/>
      <c r="E121" s="724"/>
      <c r="F121" s="727"/>
      <c r="G121" s="728"/>
      <c r="H121" s="728"/>
      <c r="I121" s="728"/>
      <c r="J121" s="728"/>
      <c r="K121" s="728"/>
      <c r="L121" s="724"/>
      <c r="M121" s="729"/>
    </row>
    <row r="122" spans="1:13" s="718" customFormat="1" ht="21" customHeight="1">
      <c r="A122" s="724"/>
      <c r="B122" s="725"/>
      <c r="C122" s="726"/>
      <c r="D122" s="726"/>
      <c r="E122" s="724"/>
      <c r="F122" s="727"/>
      <c r="G122" s="728"/>
      <c r="H122" s="728"/>
      <c r="I122" s="728"/>
      <c r="J122" s="728"/>
      <c r="K122" s="728"/>
      <c r="L122" s="724"/>
      <c r="M122" s="729"/>
    </row>
    <row r="123" spans="1:13" s="737" customFormat="1" ht="21" customHeight="1">
      <c r="A123" s="724" t="str">
        <f>"제"&amp;M123&amp;"호표"</f>
        <v>제22호표</v>
      </c>
      <c r="B123" s="725" t="s">
        <v>5918</v>
      </c>
      <c r="C123" s="725" t="s">
        <v>5927</v>
      </c>
      <c r="D123" s="726" t="str">
        <f>L:L</f>
        <v>제22호표</v>
      </c>
      <c r="E123" s="724" t="s">
        <v>5920</v>
      </c>
      <c r="F123" s="734"/>
      <c r="G123" s="735"/>
      <c r="H123" s="735"/>
      <c r="I123" s="735"/>
      <c r="J123" s="739">
        <f>TRUNC(J116*120%)</f>
        <v>2197</v>
      </c>
      <c r="K123" s="739">
        <f>H123+J123</f>
        <v>2197</v>
      </c>
      <c r="L123" s="724" t="str">
        <f>A123</f>
        <v>제22호표</v>
      </c>
      <c r="M123" s="736">
        <f>M112+1</f>
        <v>22</v>
      </c>
    </row>
    <row r="124" spans="1:13" s="718" customFormat="1" ht="21" customHeight="1">
      <c r="A124" s="724"/>
      <c r="B124" s="726" t="s">
        <v>5928</v>
      </c>
      <c r="C124" s="726"/>
      <c r="D124" s="726"/>
      <c r="E124" s="724"/>
      <c r="F124" s="727"/>
      <c r="G124" s="728"/>
      <c r="H124" s="728"/>
      <c r="I124" s="728"/>
      <c r="J124" s="728"/>
      <c r="K124" s="728"/>
      <c r="L124" s="724"/>
      <c r="M124" s="729"/>
    </row>
    <row r="125" spans="1:13" s="718" customFormat="1" ht="21" customHeight="1">
      <c r="A125" s="724"/>
      <c r="B125" s="725"/>
      <c r="C125" s="726"/>
      <c r="D125" s="726"/>
      <c r="E125" s="724"/>
      <c r="F125" s="727"/>
      <c r="G125" s="728"/>
      <c r="H125" s="728"/>
      <c r="I125" s="728"/>
      <c r="J125" s="728"/>
      <c r="K125" s="728"/>
      <c r="L125" s="724"/>
      <c r="M125" s="729"/>
    </row>
    <row r="126" spans="1:13" s="737" customFormat="1" ht="21" customHeight="1">
      <c r="A126" s="724" t="str">
        <f>"제"&amp;M126&amp;"호표"</f>
        <v>제23호표</v>
      </c>
      <c r="B126" s="725" t="s">
        <v>5929</v>
      </c>
      <c r="C126" s="725" t="s">
        <v>5930</v>
      </c>
      <c r="D126" s="726" t="str">
        <f>L:L</f>
        <v>제23호표</v>
      </c>
      <c r="E126" s="724" t="s">
        <v>5916</v>
      </c>
      <c r="F126" s="734"/>
      <c r="G126" s="735"/>
      <c r="H126" s="735"/>
      <c r="I126" s="735"/>
      <c r="J126" s="739">
        <f>TRUNC(J116*140%)</f>
        <v>2563</v>
      </c>
      <c r="K126" s="739">
        <f>H126+J126</f>
        <v>2563</v>
      </c>
      <c r="L126" s="724" t="str">
        <f>A126</f>
        <v>제23호표</v>
      </c>
      <c r="M126" s="736">
        <f>M123+1</f>
        <v>23</v>
      </c>
    </row>
    <row r="127" spans="1:13" s="718" customFormat="1" ht="21" customHeight="1">
      <c r="A127" s="724"/>
      <c r="B127" s="726" t="s">
        <v>5931</v>
      </c>
      <c r="C127" s="726"/>
      <c r="D127" s="726"/>
      <c r="E127" s="724"/>
      <c r="F127" s="727"/>
      <c r="G127" s="728"/>
      <c r="H127" s="728"/>
      <c r="I127" s="728"/>
      <c r="J127" s="728"/>
      <c r="K127" s="728"/>
      <c r="L127" s="724"/>
      <c r="M127" s="729"/>
    </row>
    <row r="128" spans="1:13" s="718" customFormat="1" ht="21" customHeight="1">
      <c r="A128" s="724"/>
      <c r="B128" s="725"/>
      <c r="C128" s="726"/>
      <c r="D128" s="726"/>
      <c r="E128" s="724"/>
      <c r="F128" s="727"/>
      <c r="G128" s="728"/>
      <c r="H128" s="728"/>
      <c r="I128" s="728"/>
      <c r="J128" s="728"/>
      <c r="K128" s="728"/>
      <c r="L128" s="724"/>
      <c r="M128" s="729"/>
    </row>
    <row r="129" spans="1:13" s="737" customFormat="1" ht="21" customHeight="1">
      <c r="A129" s="724" t="str">
        <f>"제"&amp;M129&amp;"호표"</f>
        <v>제24호표</v>
      </c>
      <c r="B129" s="725" t="s">
        <v>5929</v>
      </c>
      <c r="C129" s="725" t="s">
        <v>5932</v>
      </c>
      <c r="D129" s="726" t="str">
        <f>L:L</f>
        <v>제24호표</v>
      </c>
      <c r="E129" s="724" t="s">
        <v>5916</v>
      </c>
      <c r="F129" s="734"/>
      <c r="G129" s="735"/>
      <c r="H129" s="735"/>
      <c r="I129" s="735"/>
      <c r="J129" s="739">
        <f>TRUNC(J116*150%)</f>
        <v>2746</v>
      </c>
      <c r="K129" s="739">
        <f>H129+J129</f>
        <v>2746</v>
      </c>
      <c r="L129" s="724" t="str">
        <f>A129</f>
        <v>제24호표</v>
      </c>
      <c r="M129" s="736">
        <f>M126+1</f>
        <v>24</v>
      </c>
    </row>
    <row r="130" spans="1:13" s="718" customFormat="1" ht="21" customHeight="1">
      <c r="A130" s="724"/>
      <c r="B130" s="726" t="s">
        <v>5933</v>
      </c>
      <c r="C130" s="726"/>
      <c r="D130" s="726"/>
      <c r="E130" s="724"/>
      <c r="F130" s="727"/>
      <c r="G130" s="728"/>
      <c r="H130" s="728"/>
      <c r="I130" s="728"/>
      <c r="J130" s="728"/>
      <c r="K130" s="728"/>
      <c r="L130" s="724"/>
      <c r="M130" s="729"/>
    </row>
    <row r="131" spans="1:13" s="718" customFormat="1" ht="21" customHeight="1">
      <c r="A131" s="724"/>
      <c r="B131" s="725"/>
      <c r="C131" s="726"/>
      <c r="D131" s="726"/>
      <c r="E131" s="724"/>
      <c r="F131" s="727"/>
      <c r="G131" s="728"/>
      <c r="H131" s="728"/>
      <c r="I131" s="728"/>
      <c r="J131" s="728"/>
      <c r="K131" s="728"/>
      <c r="L131" s="724"/>
      <c r="M131" s="729"/>
    </row>
    <row r="132" spans="1:13" s="737" customFormat="1" ht="21" customHeight="1">
      <c r="A132" s="724" t="str">
        <f>"제"&amp;M132&amp;"호표"</f>
        <v>제25호표</v>
      </c>
      <c r="B132" s="725" t="s">
        <v>5929</v>
      </c>
      <c r="C132" s="725" t="s">
        <v>5934</v>
      </c>
      <c r="D132" s="726" t="str">
        <f>L:L</f>
        <v>제25호표</v>
      </c>
      <c r="E132" s="724" t="s">
        <v>5935</v>
      </c>
      <c r="F132" s="734"/>
      <c r="G132" s="735"/>
      <c r="H132" s="735"/>
      <c r="I132" s="735"/>
      <c r="J132" s="739">
        <f>TRUNC(J116*180%)</f>
        <v>3295</v>
      </c>
      <c r="K132" s="739">
        <f>H132+J132</f>
        <v>3295</v>
      </c>
      <c r="L132" s="724" t="str">
        <f>A132</f>
        <v>제25호표</v>
      </c>
      <c r="M132" s="736">
        <f>M129+1</f>
        <v>25</v>
      </c>
    </row>
    <row r="133" spans="1:13" s="718" customFormat="1" ht="21" customHeight="1">
      <c r="A133" s="724"/>
      <c r="B133" s="726" t="s">
        <v>5936</v>
      </c>
      <c r="C133" s="726"/>
      <c r="D133" s="726"/>
      <c r="E133" s="724"/>
      <c r="F133" s="727"/>
      <c r="G133" s="728"/>
      <c r="H133" s="728"/>
      <c r="I133" s="728"/>
      <c r="J133" s="728"/>
      <c r="K133" s="728"/>
      <c r="L133" s="724"/>
      <c r="M133" s="729"/>
    </row>
    <row r="134" spans="1:13" s="718" customFormat="1" ht="21" customHeight="1">
      <c r="A134" s="724"/>
      <c r="B134" s="725"/>
      <c r="C134" s="726"/>
      <c r="D134" s="726"/>
      <c r="E134" s="724"/>
      <c r="F134" s="727"/>
      <c r="G134" s="728"/>
      <c r="H134" s="728"/>
      <c r="I134" s="728"/>
      <c r="J134" s="728"/>
      <c r="K134" s="728"/>
      <c r="L134" s="724"/>
      <c r="M134" s="729"/>
    </row>
    <row r="135" spans="1:13" s="737" customFormat="1" ht="21" customHeight="1">
      <c r="A135" s="724" t="str">
        <f>"제"&amp;M135&amp;"호표"</f>
        <v>제26호표</v>
      </c>
      <c r="B135" s="725" t="s">
        <v>5937</v>
      </c>
      <c r="C135" s="725" t="s">
        <v>5894</v>
      </c>
      <c r="D135" s="726" t="str">
        <f>L:L</f>
        <v>제26호표</v>
      </c>
      <c r="E135" s="724" t="s">
        <v>5899</v>
      </c>
      <c r="F135" s="734"/>
      <c r="G135" s="735"/>
      <c r="H135" s="735"/>
      <c r="I135" s="735"/>
      <c r="J135" s="739">
        <f>TRUNC(J116*200%)</f>
        <v>3662</v>
      </c>
      <c r="K135" s="739">
        <f>H135+J135</f>
        <v>3662</v>
      </c>
      <c r="L135" s="724" t="str">
        <f>A135</f>
        <v>제26호표</v>
      </c>
      <c r="M135" s="736">
        <f>M132+1</f>
        <v>26</v>
      </c>
    </row>
    <row r="136" spans="1:13" s="718" customFormat="1" ht="21" customHeight="1">
      <c r="A136" s="724"/>
      <c r="B136" s="726" t="s">
        <v>5938</v>
      </c>
      <c r="C136" s="726"/>
      <c r="D136" s="726"/>
      <c r="E136" s="724"/>
      <c r="F136" s="727"/>
      <c r="G136" s="728"/>
      <c r="H136" s="728"/>
      <c r="I136" s="728"/>
      <c r="J136" s="728"/>
      <c r="K136" s="728"/>
      <c r="L136" s="724"/>
      <c r="M136" s="729"/>
    </row>
    <row r="137" spans="1:13" s="718" customFormat="1" ht="21" customHeight="1">
      <c r="A137" s="724"/>
      <c r="B137" s="725"/>
      <c r="C137" s="726"/>
      <c r="D137" s="726"/>
      <c r="E137" s="724"/>
      <c r="F137" s="727"/>
      <c r="G137" s="728"/>
      <c r="H137" s="728"/>
      <c r="I137" s="728"/>
      <c r="J137" s="728"/>
      <c r="K137" s="728"/>
      <c r="L137" s="724"/>
      <c r="M137" s="729"/>
    </row>
    <row r="138" spans="1:13" s="737" customFormat="1" ht="21" customHeight="1">
      <c r="A138" s="724" t="str">
        <f>"제"&amp;M138&amp;"호표"</f>
        <v>제27호표</v>
      </c>
      <c r="B138" s="725" t="s">
        <v>5939</v>
      </c>
      <c r="C138" s="725" t="s">
        <v>5940</v>
      </c>
      <c r="D138" s="726" t="str">
        <f>L:L</f>
        <v>제27호표</v>
      </c>
      <c r="E138" s="724" t="s">
        <v>5941</v>
      </c>
      <c r="F138" s="734"/>
      <c r="G138" s="735"/>
      <c r="H138" s="735"/>
      <c r="I138" s="735"/>
      <c r="J138" s="739">
        <f>TRUNC(J116*220%)</f>
        <v>4028</v>
      </c>
      <c r="K138" s="739">
        <f>H138+J138</f>
        <v>4028</v>
      </c>
      <c r="L138" s="724" t="str">
        <f>A138</f>
        <v>제27호표</v>
      </c>
      <c r="M138" s="736">
        <f>M135+1</f>
        <v>27</v>
      </c>
    </row>
    <row r="139" spans="1:13" s="718" customFormat="1" ht="21" customHeight="1">
      <c r="A139" s="724"/>
      <c r="B139" s="726" t="s">
        <v>5942</v>
      </c>
      <c r="C139" s="726"/>
      <c r="D139" s="726"/>
      <c r="E139" s="724"/>
      <c r="F139" s="727"/>
      <c r="G139" s="728"/>
      <c r="H139" s="728"/>
      <c r="I139" s="728"/>
      <c r="J139" s="728"/>
      <c r="K139" s="728"/>
      <c r="L139" s="724"/>
      <c r="M139" s="729"/>
    </row>
    <row r="140" spans="1:13" s="718" customFormat="1" ht="21" customHeight="1">
      <c r="A140" s="724"/>
      <c r="B140" s="725"/>
      <c r="C140" s="726"/>
      <c r="D140" s="726"/>
      <c r="E140" s="724"/>
      <c r="F140" s="727"/>
      <c r="G140" s="728"/>
      <c r="H140" s="728"/>
      <c r="I140" s="728"/>
      <c r="J140" s="728"/>
      <c r="K140" s="728"/>
      <c r="L140" s="724"/>
      <c r="M140" s="729"/>
    </row>
    <row r="141" spans="1:13" s="737" customFormat="1" ht="21" customHeight="1">
      <c r="A141" s="724" t="str">
        <f>"제"&amp;M141&amp;"호표"</f>
        <v>제28호표</v>
      </c>
      <c r="B141" s="725" t="s">
        <v>5943</v>
      </c>
      <c r="C141" s="725" t="s">
        <v>5944</v>
      </c>
      <c r="D141" s="726" t="str">
        <f>L:L</f>
        <v>제28호표</v>
      </c>
      <c r="E141" s="724" t="s">
        <v>5912</v>
      </c>
      <c r="F141" s="734"/>
      <c r="G141" s="735"/>
      <c r="H141" s="735"/>
      <c r="I141" s="735"/>
      <c r="J141" s="739">
        <f>TRUNC(J116*240%)</f>
        <v>4394</v>
      </c>
      <c r="K141" s="739">
        <f>H141+J141</f>
        <v>4394</v>
      </c>
      <c r="L141" s="724" t="str">
        <f>A141</f>
        <v>제28호표</v>
      </c>
      <c r="M141" s="736">
        <f>M138+1</f>
        <v>28</v>
      </c>
    </row>
    <row r="142" spans="1:13" s="718" customFormat="1" ht="21" customHeight="1">
      <c r="A142" s="724"/>
      <c r="B142" s="726" t="s">
        <v>5913</v>
      </c>
      <c r="C142" s="726"/>
      <c r="D142" s="726"/>
      <c r="E142" s="724"/>
      <c r="F142" s="727"/>
      <c r="G142" s="728"/>
      <c r="H142" s="728"/>
      <c r="I142" s="728"/>
      <c r="J142" s="728"/>
      <c r="K142" s="728"/>
      <c r="L142" s="724"/>
      <c r="M142" s="729"/>
    </row>
    <row r="143" spans="1:13" s="718" customFormat="1" ht="21" customHeight="1">
      <c r="A143" s="724"/>
      <c r="B143" s="725"/>
      <c r="C143" s="726"/>
      <c r="D143" s="726"/>
      <c r="E143" s="724"/>
      <c r="F143" s="727"/>
      <c r="G143" s="728"/>
      <c r="H143" s="728"/>
      <c r="I143" s="728"/>
      <c r="J143" s="728"/>
      <c r="K143" s="728"/>
      <c r="L143" s="724"/>
      <c r="M143" s="729"/>
    </row>
    <row r="144" spans="1:13" s="737" customFormat="1" ht="21" customHeight="1">
      <c r="A144" s="724" t="str">
        <f>"제"&amp;M144&amp;"호표"</f>
        <v>제29호표</v>
      </c>
      <c r="B144" s="725" t="s">
        <v>5943</v>
      </c>
      <c r="C144" s="725" t="s">
        <v>5915</v>
      </c>
      <c r="D144" s="726" t="str">
        <f>L:L</f>
        <v>제29호표</v>
      </c>
      <c r="E144" s="724" t="s">
        <v>5912</v>
      </c>
      <c r="F144" s="734"/>
      <c r="G144" s="735"/>
      <c r="H144" s="735"/>
      <c r="I144" s="735"/>
      <c r="J144" s="739">
        <f>TRUNC(J116*200%)</f>
        <v>3662</v>
      </c>
      <c r="K144" s="739">
        <f>H144+J144</f>
        <v>3662</v>
      </c>
      <c r="L144" s="724" t="str">
        <f>A144</f>
        <v>제29호표</v>
      </c>
      <c r="M144" s="736">
        <f>M141+1</f>
        <v>29</v>
      </c>
    </row>
    <row r="145" spans="1:13" s="718" customFormat="1" ht="21" customHeight="1">
      <c r="A145" s="724"/>
      <c r="B145" s="726" t="s">
        <v>5945</v>
      </c>
      <c r="C145" s="726"/>
      <c r="D145" s="726"/>
      <c r="E145" s="724"/>
      <c r="F145" s="727"/>
      <c r="G145" s="728"/>
      <c r="H145" s="728"/>
      <c r="I145" s="728"/>
      <c r="J145" s="728"/>
      <c r="K145" s="728"/>
      <c r="L145" s="724"/>
      <c r="M145" s="729"/>
    </row>
    <row r="146" spans="1:13" s="718" customFormat="1" ht="21" customHeight="1">
      <c r="A146" s="724"/>
      <c r="B146" s="725"/>
      <c r="C146" s="726"/>
      <c r="D146" s="726"/>
      <c r="E146" s="724"/>
      <c r="F146" s="727"/>
      <c r="G146" s="728"/>
      <c r="H146" s="728"/>
      <c r="I146" s="728"/>
      <c r="J146" s="728"/>
      <c r="K146" s="728"/>
      <c r="L146" s="724"/>
      <c r="M146" s="729"/>
    </row>
    <row r="147" spans="1:13" s="737" customFormat="1" ht="21" customHeight="1">
      <c r="A147" s="724" t="str">
        <f>"제"&amp;M147&amp;"호표"</f>
        <v>제30호표</v>
      </c>
      <c r="B147" s="725" t="s">
        <v>5946</v>
      </c>
      <c r="C147" s="725" t="s">
        <v>5947</v>
      </c>
      <c r="D147" s="725"/>
      <c r="E147" s="724" t="s">
        <v>5948</v>
      </c>
      <c r="F147" s="734"/>
      <c r="G147" s="735"/>
      <c r="H147" s="735"/>
      <c r="I147" s="735"/>
      <c r="J147" s="735"/>
      <c r="K147" s="735">
        <f>H147+J147</f>
        <v>0</v>
      </c>
      <c r="L147" s="725"/>
      <c r="M147" s="736">
        <f>M144+1</f>
        <v>30</v>
      </c>
    </row>
    <row r="148" spans="1:13" s="737" customFormat="1" ht="21" customHeight="1">
      <c r="A148" s="725"/>
      <c r="B148" s="725"/>
      <c r="C148" s="725"/>
      <c r="D148" s="725"/>
      <c r="E148" s="725"/>
      <c r="F148" s="734"/>
      <c r="G148" s="735"/>
      <c r="H148" s="735"/>
      <c r="I148" s="735"/>
      <c r="J148" s="735"/>
      <c r="K148" s="735"/>
      <c r="L148" s="725"/>
      <c r="M148" s="738"/>
    </row>
    <row r="149" spans="1:13" s="718" customFormat="1" ht="21" customHeight="1">
      <c r="A149" s="724"/>
      <c r="B149" s="731" t="s">
        <v>5949</v>
      </c>
      <c r="C149" s="726"/>
      <c r="D149" s="726" t="str">
        <f>SUBSTITUTE(CONCATENATE(B:B,C:C,E:E)," ","")</f>
        <v>절곡원인</v>
      </c>
      <c r="E149" s="724" t="s">
        <v>5862</v>
      </c>
      <c r="F149" s="727">
        <v>8.0000000000000002E-3</v>
      </c>
      <c r="G149" s="728">
        <f>IF($E:$E="인",0,VLOOKUP($D:$D,[140]일위목록!$A:$H,6,FALSE))</f>
        <v>0</v>
      </c>
      <c r="H149" s="728">
        <f>TRUNC($F:$F*G:G)</f>
        <v>0</v>
      </c>
      <c r="I149" s="728">
        <f>'노임(진열장)'!G5</f>
        <v>84511</v>
      </c>
      <c r="J149" s="728">
        <f>TRUNC($F:$F*I:I)</f>
        <v>676</v>
      </c>
      <c r="K149" s="728">
        <f t="shared" ref="K149:K150" si="14">H149+J149</f>
        <v>676</v>
      </c>
      <c r="L149" s="724" t="str">
        <f>IF($E:$E="인",VLOOKUP($B:$B,[140]노임!$B:$D,3,FALSE),VLOOKUP($D:$D,[140]일위목록!$A:$H,2,FALSE))</f>
        <v>제조임율-12</v>
      </c>
      <c r="M149" s="717"/>
    </row>
    <row r="150" spans="1:13" s="718" customFormat="1" ht="21" customHeight="1">
      <c r="A150" s="724"/>
      <c r="B150" s="731" t="s">
        <v>5950</v>
      </c>
      <c r="C150" s="726"/>
      <c r="D150" s="726" t="str">
        <f>SUBSTITUTE(CONCATENATE(B:B,C:C,E:E)," ","")</f>
        <v>보통인부인</v>
      </c>
      <c r="E150" s="724" t="s">
        <v>5862</v>
      </c>
      <c r="F150" s="727">
        <v>8.0000000000000002E-3</v>
      </c>
      <c r="G150" s="728">
        <f>IF($E:$E="인",0,VLOOKUP($D:$D,[140]일위목록!$A:$H,6,FALSE))</f>
        <v>0</v>
      </c>
      <c r="H150" s="728">
        <f>TRUNC($F:$F*G:G)</f>
        <v>0</v>
      </c>
      <c r="I150" s="728">
        <f>'노임(진열장)'!G14</f>
        <v>125427</v>
      </c>
      <c r="J150" s="728">
        <f>TRUNC($F:$F*I:I)</f>
        <v>1003</v>
      </c>
      <c r="K150" s="728">
        <f t="shared" si="14"/>
        <v>1003</v>
      </c>
      <c r="L150" s="724" t="str">
        <f>IF($E:$E="인",VLOOKUP($B:$B,[140]노임!$B:$D,3,FALSE),VLOOKUP($D:$D,[140]일위목록!$A:$H,2,FALSE))</f>
        <v>건설노임-1002</v>
      </c>
      <c r="M150" s="717"/>
    </row>
    <row r="151" spans="1:13" s="737" customFormat="1" ht="21" customHeight="1">
      <c r="A151" s="725"/>
      <c r="B151" s="725" t="s">
        <v>5901</v>
      </c>
      <c r="C151" s="726"/>
      <c r="D151" s="726" t="str">
        <f>L:L</f>
        <v>제30호표</v>
      </c>
      <c r="E151" s="724"/>
      <c r="F151" s="727"/>
      <c r="G151" s="728"/>
      <c r="H151" s="728">
        <f>SUM(H149:H150)</f>
        <v>0</v>
      </c>
      <c r="I151" s="728"/>
      <c r="J151" s="728">
        <f>SUM(J149:J150)</f>
        <v>1679</v>
      </c>
      <c r="K151" s="728">
        <f>H151+J151</f>
        <v>1679</v>
      </c>
      <c r="L151" s="724" t="str">
        <f>A147</f>
        <v>제30호표</v>
      </c>
      <c r="M151" s="738"/>
    </row>
    <row r="152" spans="1:13" s="718" customFormat="1" ht="21" customHeight="1">
      <c r="A152" s="724"/>
      <c r="B152" s="725"/>
      <c r="C152" s="726"/>
      <c r="D152" s="726"/>
      <c r="E152" s="724"/>
      <c r="F152" s="727"/>
      <c r="G152" s="728"/>
      <c r="H152" s="728"/>
      <c r="I152" s="728"/>
      <c r="J152" s="728"/>
      <c r="K152" s="728"/>
      <c r="L152" s="724"/>
      <c r="M152" s="729"/>
    </row>
    <row r="153" spans="1:13" s="718" customFormat="1" ht="21" customHeight="1">
      <c r="A153" s="724"/>
      <c r="B153" s="726" t="s">
        <v>5951</v>
      </c>
      <c r="C153" s="726"/>
      <c r="D153" s="726"/>
      <c r="E153" s="724"/>
      <c r="F153" s="727"/>
      <c r="G153" s="728"/>
      <c r="H153" s="728"/>
      <c r="I153" s="728"/>
      <c r="J153" s="728"/>
      <c r="K153" s="728"/>
      <c r="L153" s="724"/>
      <c r="M153" s="729"/>
    </row>
    <row r="154" spans="1:13" s="718" customFormat="1" ht="21" customHeight="1">
      <c r="A154" s="724"/>
      <c r="B154" s="726" t="s">
        <v>5952</v>
      </c>
      <c r="C154" s="726"/>
      <c r="D154" s="726"/>
      <c r="E154" s="724"/>
      <c r="F154" s="727"/>
      <c r="G154" s="728"/>
      <c r="H154" s="728"/>
      <c r="I154" s="728"/>
      <c r="J154" s="728"/>
      <c r="K154" s="728"/>
      <c r="L154" s="724"/>
      <c r="M154" s="729"/>
    </row>
    <row r="155" spans="1:13" s="718" customFormat="1" ht="21" customHeight="1">
      <c r="A155" s="724"/>
      <c r="B155" s="726" t="s">
        <v>5953</v>
      </c>
      <c r="C155" s="726"/>
      <c r="D155" s="726"/>
      <c r="E155" s="724"/>
      <c r="F155" s="727"/>
      <c r="G155" s="728"/>
      <c r="H155" s="728"/>
      <c r="I155" s="728"/>
      <c r="J155" s="728"/>
      <c r="K155" s="728"/>
      <c r="L155" s="724"/>
      <c r="M155" s="729"/>
    </row>
    <row r="156" spans="1:13" s="718" customFormat="1" ht="21" customHeight="1">
      <c r="A156" s="724"/>
      <c r="B156" s="726" t="s">
        <v>5954</v>
      </c>
      <c r="C156" s="726"/>
      <c r="D156" s="726"/>
      <c r="E156" s="724"/>
      <c r="F156" s="727"/>
      <c r="G156" s="728"/>
      <c r="H156" s="728"/>
      <c r="I156" s="728"/>
      <c r="J156" s="728"/>
      <c r="K156" s="728"/>
      <c r="L156" s="724"/>
      <c r="M156" s="729"/>
    </row>
    <row r="157" spans="1:13" s="718" customFormat="1" ht="21" customHeight="1">
      <c r="A157" s="724"/>
      <c r="B157" s="726"/>
      <c r="C157" s="726"/>
      <c r="D157" s="726"/>
      <c r="E157" s="724"/>
      <c r="F157" s="727"/>
      <c r="G157" s="728"/>
      <c r="H157" s="728"/>
      <c r="I157" s="728"/>
      <c r="J157" s="728"/>
      <c r="K157" s="728"/>
      <c r="L157" s="724"/>
      <c r="M157" s="729"/>
    </row>
    <row r="158" spans="1:13" s="737" customFormat="1" ht="21" customHeight="1">
      <c r="A158" s="724" t="str">
        <f>"제"&amp;M158&amp;"호표"</f>
        <v>제31호표</v>
      </c>
      <c r="B158" s="725" t="s">
        <v>5955</v>
      </c>
      <c r="C158" s="725" t="s">
        <v>5956</v>
      </c>
      <c r="D158" s="726" t="str">
        <f>L:L</f>
        <v>제31호표</v>
      </c>
      <c r="E158" s="724" t="s">
        <v>5912</v>
      </c>
      <c r="F158" s="734"/>
      <c r="G158" s="735"/>
      <c r="H158" s="735"/>
      <c r="I158" s="735"/>
      <c r="J158" s="739">
        <f>TRUNC(J151*120%)</f>
        <v>2014</v>
      </c>
      <c r="K158" s="739">
        <f>H158+J158</f>
        <v>2014</v>
      </c>
      <c r="L158" s="724" t="str">
        <f>A158</f>
        <v>제31호표</v>
      </c>
      <c r="M158" s="736">
        <f>M147+1</f>
        <v>31</v>
      </c>
    </row>
    <row r="159" spans="1:13" s="718" customFormat="1" ht="21" customHeight="1">
      <c r="A159" s="724"/>
      <c r="B159" s="726" t="s">
        <v>5957</v>
      </c>
      <c r="C159" s="726"/>
      <c r="D159" s="726"/>
      <c r="E159" s="724"/>
      <c r="F159" s="727"/>
      <c r="G159" s="728"/>
      <c r="H159" s="728"/>
      <c r="I159" s="728"/>
      <c r="J159" s="728"/>
      <c r="K159" s="728"/>
      <c r="L159" s="724"/>
      <c r="M159" s="729"/>
    </row>
    <row r="160" spans="1:13" s="718" customFormat="1" ht="21" customHeight="1">
      <c r="A160" s="724"/>
      <c r="B160" s="725"/>
      <c r="C160" s="726"/>
      <c r="D160" s="726"/>
      <c r="E160" s="724"/>
      <c r="F160" s="727"/>
      <c r="G160" s="728"/>
      <c r="H160" s="728"/>
      <c r="I160" s="728"/>
      <c r="J160" s="728"/>
      <c r="K160" s="728"/>
      <c r="L160" s="724"/>
      <c r="M160" s="729"/>
    </row>
    <row r="161" spans="1:13" s="737" customFormat="1" ht="21" customHeight="1">
      <c r="A161" s="724" t="str">
        <f>"제"&amp;M161&amp;"호표"</f>
        <v>제32호표</v>
      </c>
      <c r="B161" s="725" t="s">
        <v>5955</v>
      </c>
      <c r="C161" s="725" t="s">
        <v>5958</v>
      </c>
      <c r="D161" s="726" t="str">
        <f>L:L</f>
        <v>제32호표</v>
      </c>
      <c r="E161" s="724" t="s">
        <v>5912</v>
      </c>
      <c r="F161" s="734"/>
      <c r="G161" s="735"/>
      <c r="H161" s="735"/>
      <c r="I161" s="735"/>
      <c r="J161" s="739">
        <f>TRUNC(J151*140%)</f>
        <v>2350</v>
      </c>
      <c r="K161" s="739">
        <f>H161+J161</f>
        <v>2350</v>
      </c>
      <c r="L161" s="724" t="str">
        <f>A161</f>
        <v>제32호표</v>
      </c>
      <c r="M161" s="736">
        <f>M158+1</f>
        <v>32</v>
      </c>
    </row>
    <row r="162" spans="1:13" s="718" customFormat="1" ht="21" customHeight="1">
      <c r="A162" s="724"/>
      <c r="B162" s="726" t="s">
        <v>5959</v>
      </c>
      <c r="C162" s="726"/>
      <c r="D162" s="726"/>
      <c r="E162" s="724"/>
      <c r="F162" s="727"/>
      <c r="G162" s="728"/>
      <c r="H162" s="728"/>
      <c r="I162" s="728"/>
      <c r="J162" s="728"/>
      <c r="K162" s="728"/>
      <c r="L162" s="724"/>
      <c r="M162" s="729"/>
    </row>
    <row r="163" spans="1:13" s="718" customFormat="1" ht="21" customHeight="1">
      <c r="A163" s="724"/>
      <c r="B163" s="725"/>
      <c r="C163" s="726"/>
      <c r="D163" s="726"/>
      <c r="E163" s="724"/>
      <c r="F163" s="727"/>
      <c r="G163" s="728"/>
      <c r="H163" s="728"/>
      <c r="I163" s="728"/>
      <c r="J163" s="728"/>
      <c r="K163" s="728"/>
      <c r="L163" s="724"/>
      <c r="M163" s="729"/>
    </row>
    <row r="164" spans="1:13" s="737" customFormat="1" ht="21" customHeight="1">
      <c r="A164" s="724" t="str">
        <f>"제"&amp;M164&amp;"호표"</f>
        <v>제33호표</v>
      </c>
      <c r="B164" s="725" t="s">
        <v>5946</v>
      </c>
      <c r="C164" s="725" t="s">
        <v>5960</v>
      </c>
      <c r="D164" s="726" t="str">
        <f>L:L</f>
        <v>제33호표</v>
      </c>
      <c r="E164" s="724" t="s">
        <v>5941</v>
      </c>
      <c r="F164" s="734"/>
      <c r="G164" s="735"/>
      <c r="H164" s="735"/>
      <c r="I164" s="735"/>
      <c r="J164" s="739">
        <f>TRUNC(J151*150%)</f>
        <v>2518</v>
      </c>
      <c r="K164" s="739">
        <f>H164+J164</f>
        <v>2518</v>
      </c>
      <c r="L164" s="724" t="str">
        <f>A164</f>
        <v>제33호표</v>
      </c>
      <c r="M164" s="736">
        <f>M161+1</f>
        <v>33</v>
      </c>
    </row>
    <row r="165" spans="1:13" s="718" customFormat="1" ht="21" customHeight="1">
      <c r="A165" s="724"/>
      <c r="B165" s="726" t="s">
        <v>5961</v>
      </c>
      <c r="C165" s="726"/>
      <c r="D165" s="726"/>
      <c r="E165" s="724"/>
      <c r="F165" s="727"/>
      <c r="G165" s="728"/>
      <c r="H165" s="728"/>
      <c r="I165" s="728"/>
      <c r="J165" s="728"/>
      <c r="K165" s="728"/>
      <c r="L165" s="724"/>
      <c r="M165" s="729"/>
    </row>
    <row r="166" spans="1:13" s="718" customFormat="1" ht="21" customHeight="1">
      <c r="A166" s="724"/>
      <c r="B166" s="725"/>
      <c r="C166" s="726"/>
      <c r="D166" s="726"/>
      <c r="E166" s="724"/>
      <c r="F166" s="727"/>
      <c r="G166" s="728"/>
      <c r="H166" s="728"/>
      <c r="I166" s="728"/>
      <c r="J166" s="728"/>
      <c r="K166" s="728"/>
      <c r="L166" s="724"/>
      <c r="M166" s="729"/>
    </row>
    <row r="167" spans="1:13" s="737" customFormat="1" ht="21" customHeight="1">
      <c r="A167" s="724" t="str">
        <f>"제"&amp;M167&amp;"호표"</f>
        <v>제34호표</v>
      </c>
      <c r="B167" s="725" t="s">
        <v>5955</v>
      </c>
      <c r="C167" s="725" t="s">
        <v>5962</v>
      </c>
      <c r="D167" s="726" t="str">
        <f>L:L</f>
        <v>제34호표</v>
      </c>
      <c r="E167" s="724" t="s">
        <v>5912</v>
      </c>
      <c r="F167" s="734"/>
      <c r="G167" s="735"/>
      <c r="H167" s="735"/>
      <c r="I167" s="735"/>
      <c r="J167" s="739">
        <f>TRUNC(J151*180%)</f>
        <v>3022</v>
      </c>
      <c r="K167" s="739">
        <f>H167+J167</f>
        <v>3022</v>
      </c>
      <c r="L167" s="724" t="str">
        <f>A167</f>
        <v>제34호표</v>
      </c>
      <c r="M167" s="736">
        <f>M164+1</f>
        <v>34</v>
      </c>
    </row>
    <row r="168" spans="1:13" s="718" customFormat="1" ht="21" customHeight="1">
      <c r="A168" s="724"/>
      <c r="B168" s="726" t="s">
        <v>5963</v>
      </c>
      <c r="C168" s="726"/>
      <c r="D168" s="726"/>
      <c r="E168" s="724"/>
      <c r="F168" s="727"/>
      <c r="G168" s="728"/>
      <c r="H168" s="728"/>
      <c r="I168" s="728"/>
      <c r="J168" s="728"/>
      <c r="K168" s="728"/>
      <c r="L168" s="724"/>
      <c r="M168" s="729"/>
    </row>
    <row r="169" spans="1:13" s="718" customFormat="1" ht="21" customHeight="1">
      <c r="A169" s="724"/>
      <c r="B169" s="725"/>
      <c r="C169" s="726"/>
      <c r="D169" s="726"/>
      <c r="E169" s="724"/>
      <c r="F169" s="727"/>
      <c r="G169" s="728"/>
      <c r="H169" s="728"/>
      <c r="I169" s="728"/>
      <c r="J169" s="728"/>
      <c r="K169" s="728"/>
      <c r="L169" s="724"/>
      <c r="M169" s="729"/>
    </row>
    <row r="170" spans="1:13" s="737" customFormat="1" ht="21" customHeight="1">
      <c r="A170" s="724" t="str">
        <f>"제"&amp;M170&amp;"호표"</f>
        <v>제35호표</v>
      </c>
      <c r="B170" s="725" t="s">
        <v>5955</v>
      </c>
      <c r="C170" s="725" t="s">
        <v>5964</v>
      </c>
      <c r="D170" s="726" t="str">
        <f>L:L</f>
        <v>제35호표</v>
      </c>
      <c r="E170" s="724" t="s">
        <v>5899</v>
      </c>
      <c r="F170" s="734"/>
      <c r="G170" s="735"/>
      <c r="H170" s="735"/>
      <c r="I170" s="735"/>
      <c r="J170" s="739">
        <f>TRUNC(J151*200%)</f>
        <v>3358</v>
      </c>
      <c r="K170" s="739">
        <f>H170+J170</f>
        <v>3358</v>
      </c>
      <c r="L170" s="724" t="str">
        <f>A170</f>
        <v>제35호표</v>
      </c>
      <c r="M170" s="736">
        <f>M167+1</f>
        <v>35</v>
      </c>
    </row>
    <row r="171" spans="1:13" s="718" customFormat="1" ht="21" customHeight="1">
      <c r="A171" s="724"/>
      <c r="B171" s="726" t="s">
        <v>5909</v>
      </c>
      <c r="C171" s="726"/>
      <c r="D171" s="726"/>
      <c r="E171" s="724"/>
      <c r="F171" s="727"/>
      <c r="G171" s="728"/>
      <c r="H171" s="728"/>
      <c r="I171" s="728"/>
      <c r="J171" s="728"/>
      <c r="K171" s="728"/>
      <c r="L171" s="724"/>
      <c r="M171" s="729"/>
    </row>
    <row r="172" spans="1:13" s="718" customFormat="1" ht="21" customHeight="1">
      <c r="A172" s="724"/>
      <c r="B172" s="725"/>
      <c r="C172" s="726"/>
      <c r="D172" s="726"/>
      <c r="E172" s="724"/>
      <c r="F172" s="727"/>
      <c r="G172" s="728"/>
      <c r="H172" s="728"/>
      <c r="I172" s="728"/>
      <c r="J172" s="728"/>
      <c r="K172" s="728"/>
      <c r="L172" s="724"/>
      <c r="M172" s="729"/>
    </row>
    <row r="173" spans="1:13" s="737" customFormat="1" ht="21" customHeight="1">
      <c r="A173" s="724" t="str">
        <f>"제"&amp;M173&amp;"호표"</f>
        <v>제36호표</v>
      </c>
      <c r="B173" s="725" t="s">
        <v>5965</v>
      </c>
      <c r="C173" s="725" t="s">
        <v>5896</v>
      </c>
      <c r="D173" s="726" t="str">
        <f>L:L</f>
        <v>제36호표</v>
      </c>
      <c r="E173" s="724" t="s">
        <v>5899</v>
      </c>
      <c r="F173" s="734"/>
      <c r="G173" s="735"/>
      <c r="H173" s="735"/>
      <c r="I173" s="735"/>
      <c r="J173" s="739">
        <f>TRUNC(J151*220%)</f>
        <v>3693</v>
      </c>
      <c r="K173" s="739">
        <f>H173+J173</f>
        <v>3693</v>
      </c>
      <c r="L173" s="724" t="str">
        <f>A173</f>
        <v>제36호표</v>
      </c>
      <c r="M173" s="736">
        <f>M170+1</f>
        <v>36</v>
      </c>
    </row>
    <row r="174" spans="1:13" s="718" customFormat="1" ht="21" customHeight="1">
      <c r="A174" s="724"/>
      <c r="B174" s="726" t="s">
        <v>5910</v>
      </c>
      <c r="C174" s="726"/>
      <c r="D174" s="726"/>
      <c r="E174" s="724"/>
      <c r="F174" s="727"/>
      <c r="G174" s="728"/>
      <c r="H174" s="728"/>
      <c r="I174" s="728"/>
      <c r="J174" s="728"/>
      <c r="K174" s="728"/>
      <c r="L174" s="724"/>
      <c r="M174" s="729"/>
    </row>
    <row r="175" spans="1:13" s="718" customFormat="1" ht="21" customHeight="1">
      <c r="A175" s="724"/>
      <c r="B175" s="725"/>
      <c r="C175" s="726"/>
      <c r="D175" s="726"/>
      <c r="E175" s="724"/>
      <c r="F175" s="727"/>
      <c r="G175" s="728"/>
      <c r="H175" s="728"/>
      <c r="I175" s="728"/>
      <c r="J175" s="728"/>
      <c r="K175" s="728"/>
      <c r="L175" s="724"/>
      <c r="M175" s="729"/>
    </row>
    <row r="176" spans="1:13" s="737" customFormat="1" ht="21" customHeight="1">
      <c r="A176" s="724" t="str">
        <f>"제"&amp;M176&amp;"호표"</f>
        <v>제37호표</v>
      </c>
      <c r="B176" s="725" t="s">
        <v>5965</v>
      </c>
      <c r="C176" s="725" t="s">
        <v>5911</v>
      </c>
      <c r="D176" s="726" t="str">
        <f>L:L</f>
        <v>제37호표</v>
      </c>
      <c r="E176" s="724" t="s">
        <v>5899</v>
      </c>
      <c r="F176" s="734"/>
      <c r="G176" s="735"/>
      <c r="H176" s="735"/>
      <c r="I176" s="735"/>
      <c r="J176" s="739">
        <f>TRUNC(J151*240%)</f>
        <v>4029</v>
      </c>
      <c r="K176" s="739">
        <f>H176+J176</f>
        <v>4029</v>
      </c>
      <c r="L176" s="724" t="str">
        <f>A176</f>
        <v>제37호표</v>
      </c>
      <c r="M176" s="736">
        <f>M173+1</f>
        <v>37</v>
      </c>
    </row>
    <row r="177" spans="1:13" s="718" customFormat="1" ht="21" customHeight="1">
      <c r="A177" s="724"/>
      <c r="B177" s="726" t="s">
        <v>5966</v>
      </c>
      <c r="C177" s="726"/>
      <c r="D177" s="726"/>
      <c r="E177" s="724"/>
      <c r="F177" s="727"/>
      <c r="G177" s="728"/>
      <c r="H177" s="728"/>
      <c r="I177" s="728"/>
      <c r="J177" s="728"/>
      <c r="K177" s="728"/>
      <c r="L177" s="724"/>
      <c r="M177" s="729"/>
    </row>
    <row r="178" spans="1:13" s="718" customFormat="1" ht="21" customHeight="1">
      <c r="A178" s="724"/>
      <c r="B178" s="725"/>
      <c r="C178" s="726"/>
      <c r="D178" s="726"/>
      <c r="E178" s="724"/>
      <c r="F178" s="727"/>
      <c r="G178" s="728"/>
      <c r="H178" s="728"/>
      <c r="I178" s="728"/>
      <c r="J178" s="728"/>
      <c r="K178" s="728"/>
      <c r="L178" s="724"/>
      <c r="M178" s="729"/>
    </row>
    <row r="179" spans="1:13" s="737" customFormat="1" ht="21" customHeight="1">
      <c r="A179" s="724" t="str">
        <f>"제"&amp;M179&amp;"호표"</f>
        <v>제38호표</v>
      </c>
      <c r="B179" s="725" t="s">
        <v>5965</v>
      </c>
      <c r="C179" s="725" t="s">
        <v>5967</v>
      </c>
      <c r="D179" s="726" t="str">
        <f>L:L</f>
        <v>제38호표</v>
      </c>
      <c r="E179" s="724" t="s">
        <v>5899</v>
      </c>
      <c r="F179" s="734"/>
      <c r="G179" s="735"/>
      <c r="H179" s="735"/>
      <c r="I179" s="735"/>
      <c r="J179" s="739">
        <f>TRUNC(J151*200%)</f>
        <v>3358</v>
      </c>
      <c r="K179" s="739">
        <f>H179+J179</f>
        <v>3358</v>
      </c>
      <c r="L179" s="724" t="str">
        <f>A179</f>
        <v>제38호표</v>
      </c>
      <c r="M179" s="736">
        <f>M176+1</f>
        <v>38</v>
      </c>
    </row>
    <row r="180" spans="1:13" s="718" customFormat="1" ht="21" customHeight="1">
      <c r="A180" s="724"/>
      <c r="B180" s="726" t="s">
        <v>5909</v>
      </c>
      <c r="C180" s="726"/>
      <c r="D180" s="726"/>
      <c r="E180" s="724"/>
      <c r="F180" s="727"/>
      <c r="G180" s="728"/>
      <c r="H180" s="728"/>
      <c r="I180" s="728"/>
      <c r="J180" s="728"/>
      <c r="K180" s="728"/>
      <c r="L180" s="724"/>
      <c r="M180" s="729"/>
    </row>
    <row r="181" spans="1:13" s="718" customFormat="1" ht="21" customHeight="1">
      <c r="A181" s="724"/>
      <c r="B181" s="725"/>
      <c r="C181" s="726"/>
      <c r="D181" s="726"/>
      <c r="E181" s="724"/>
      <c r="F181" s="727"/>
      <c r="G181" s="728"/>
      <c r="H181" s="728"/>
      <c r="I181" s="728"/>
      <c r="J181" s="728"/>
      <c r="K181" s="728"/>
      <c r="L181" s="724"/>
      <c r="M181" s="729"/>
    </row>
    <row r="182" spans="1:13" s="737" customFormat="1" ht="21" customHeight="1">
      <c r="A182" s="724" t="str">
        <f>"제"&amp;M182&amp;"호표"</f>
        <v>제39호표</v>
      </c>
      <c r="B182" s="725" t="s">
        <v>5968</v>
      </c>
      <c r="C182" s="725"/>
      <c r="D182" s="725"/>
      <c r="E182" s="724" t="s">
        <v>5899</v>
      </c>
      <c r="F182" s="734"/>
      <c r="G182" s="735"/>
      <c r="H182" s="735"/>
      <c r="I182" s="735"/>
      <c r="J182" s="735"/>
      <c r="K182" s="735">
        <f>H182+J182</f>
        <v>0</v>
      </c>
      <c r="L182" s="725"/>
      <c r="M182" s="736">
        <f>M179+1</f>
        <v>39</v>
      </c>
    </row>
    <row r="183" spans="1:13" s="737" customFormat="1" ht="21" customHeight="1">
      <c r="A183" s="725"/>
      <c r="B183" s="725"/>
      <c r="C183" s="725"/>
      <c r="D183" s="725"/>
      <c r="E183" s="725"/>
      <c r="F183" s="734"/>
      <c r="G183" s="735"/>
      <c r="H183" s="735"/>
      <c r="I183" s="735"/>
      <c r="J183" s="735"/>
      <c r="K183" s="735"/>
      <c r="L183" s="725"/>
      <c r="M183" s="738"/>
    </row>
    <row r="184" spans="1:13" s="718" customFormat="1" ht="21" customHeight="1">
      <c r="A184" s="724"/>
      <c r="B184" s="725" t="s">
        <v>5852</v>
      </c>
      <c r="C184" s="725" t="s">
        <v>5853</v>
      </c>
      <c r="D184" s="725" t="str">
        <f>SUBSTITUTE(CONCATENATE(B:B,C:C,E:E)," ","")</f>
        <v>용접봉2.6mm(CR-13)KG</v>
      </c>
      <c r="E184" s="725" t="s">
        <v>5969</v>
      </c>
      <c r="F184" s="734">
        <v>0.01</v>
      </c>
      <c r="G184" s="728">
        <f>'단가대비표(진열장)'!L41</f>
        <v>3044</v>
      </c>
      <c r="H184" s="728">
        <f>TRUNC($F:$F*G:G)</f>
        <v>30</v>
      </c>
      <c r="I184" s="728">
        <f>IF($E:$E="인",VLOOKUP($B:$B,[140]노임!$B:$H,6,FALSE),VLOOKUP($D:$D,[140]일위목록!$A:$H,7,FALSE))</f>
        <v>0</v>
      </c>
      <c r="J184" s="728">
        <f>TRUNC($F:$F*I:I)</f>
        <v>0</v>
      </c>
      <c r="K184" s="728">
        <f t="shared" ref="K184:K189" si="15">H184+J184</f>
        <v>30</v>
      </c>
      <c r="L184" s="724" t="str">
        <f>IF($E:$E="인",VLOOKUP($B:$B,[140]단가!$B:$E,3,FALSE),VLOOKUP($D:$D,[140]일위목록!$A:$H,2,FALSE))</f>
        <v>단가-37번</v>
      </c>
      <c r="M184" s="717"/>
    </row>
    <row r="185" spans="1:13" s="718" customFormat="1" ht="21" customHeight="1">
      <c r="A185" s="724"/>
      <c r="B185" s="740" t="s">
        <v>5970</v>
      </c>
      <c r="C185" s="725"/>
      <c r="D185" s="725" t="str">
        <f>SUBSTITUTE(CONCATENATE(B:B,C:C,E:E)," ","")</f>
        <v>쇠톱기조작원인</v>
      </c>
      <c r="E185" s="725" t="s">
        <v>5876</v>
      </c>
      <c r="F185" s="734">
        <v>5.0000000000000001E-3</v>
      </c>
      <c r="G185" s="728">
        <f>IF($E:$E="인",0,VLOOKUP($D:$D,[140]일위목록!$A:$H,6,FALSE))</f>
        <v>0</v>
      </c>
      <c r="H185" s="728">
        <f>TRUNC($F:$F*G:G)</f>
        <v>0</v>
      </c>
      <c r="I185" s="728">
        <f>'노임(진열장)'!G6</f>
        <v>77087</v>
      </c>
      <c r="J185" s="728">
        <f>TRUNC($F:$F*I:I)</f>
        <v>385</v>
      </c>
      <c r="K185" s="728">
        <f t="shared" si="15"/>
        <v>385</v>
      </c>
      <c r="L185" s="724" t="str">
        <f>IF($E:$E="인",VLOOKUP($B:$B,[140]노임!$B:$D,3,FALSE),VLOOKUP($D:$D,[140]일위목록!$A:$H,2,FALSE))</f>
        <v>제조임율-30</v>
      </c>
      <c r="M185" s="717"/>
    </row>
    <row r="186" spans="1:13" s="718" customFormat="1" ht="21" customHeight="1">
      <c r="A186" s="724"/>
      <c r="B186" s="725" t="s">
        <v>5971</v>
      </c>
      <c r="C186" s="725"/>
      <c r="D186" s="725" t="str">
        <f>SUBSTITUTE(CONCATENATE(B:B,C:C,E:E)," ","")</f>
        <v>용접원인</v>
      </c>
      <c r="E186" s="725" t="s">
        <v>5876</v>
      </c>
      <c r="F186" s="734">
        <v>3.0000000000000001E-3</v>
      </c>
      <c r="G186" s="728">
        <f>IF($E:$E="인",0,VLOOKUP($D:$D,[140]일위목록!$A:$H,6,FALSE))</f>
        <v>0</v>
      </c>
      <c r="H186" s="728">
        <f>TRUNC($F:$F*G:G)</f>
        <v>0</v>
      </c>
      <c r="I186" s="728">
        <f>'노임(진열장)'!G9</f>
        <v>88936</v>
      </c>
      <c r="J186" s="728">
        <f>TRUNC($F:$F*I:I)</f>
        <v>266</v>
      </c>
      <c r="K186" s="728">
        <f t="shared" si="15"/>
        <v>266</v>
      </c>
      <c r="L186" s="724" t="str">
        <f>IF($E:$E="인",VLOOKUP($B:$B,[140]노임!$B:$D,3,FALSE),VLOOKUP($D:$D,[140]일위목록!$A:$H,2,FALSE))</f>
        <v>제조임율-50</v>
      </c>
      <c r="M186" s="717"/>
    </row>
    <row r="187" spans="1:13" s="718" customFormat="1" ht="21" customHeight="1">
      <c r="A187" s="724"/>
      <c r="B187" s="740" t="s">
        <v>5972</v>
      </c>
      <c r="C187" s="725"/>
      <c r="D187" s="725" t="str">
        <f>SUBSTITUTE(CONCATENATE(B:B,C:C,E:E)," ","")</f>
        <v>연마원인</v>
      </c>
      <c r="E187" s="725" t="s">
        <v>5876</v>
      </c>
      <c r="F187" s="734">
        <v>8.0000000000000002E-3</v>
      </c>
      <c r="G187" s="728">
        <f>IF($E:$E="인",0,VLOOKUP($D:$D,[140]일위목록!$A:$H,6,FALSE))</f>
        <v>0</v>
      </c>
      <c r="H187" s="728">
        <f>TRUNC($F:$F*G:G)</f>
        <v>0</v>
      </c>
      <c r="I187" s="728">
        <f>'노임(진열장)'!G10</f>
        <v>79069</v>
      </c>
      <c r="J187" s="728">
        <f>TRUNC($F:$F*I:I)</f>
        <v>632</v>
      </c>
      <c r="K187" s="728">
        <f t="shared" si="15"/>
        <v>632</v>
      </c>
      <c r="L187" s="724" t="str">
        <f>IF($E:$E="인",VLOOKUP($B:$B,[140]노임!$B:$D,3,FALSE),VLOOKUP($D:$D,[140]일위목록!$A:$H,2,FALSE))</f>
        <v>제조임율-52</v>
      </c>
      <c r="M187" s="717"/>
    </row>
    <row r="188" spans="1:13" s="718" customFormat="1" ht="21" customHeight="1">
      <c r="A188" s="724"/>
      <c r="B188" s="725" t="s">
        <v>5973</v>
      </c>
      <c r="C188" s="725"/>
      <c r="D188" s="725" t="str">
        <f>SUBSTITUTE(CONCATENATE(B:B,C:C,E:E)," ","")</f>
        <v>보통인부인</v>
      </c>
      <c r="E188" s="725" t="s">
        <v>5876</v>
      </c>
      <c r="F188" s="734">
        <v>7.0000000000000001E-3</v>
      </c>
      <c r="G188" s="728">
        <f>IF($E:$E="인",0,VLOOKUP($D:$D,[140]일위목록!$A:$H,6,FALSE))</f>
        <v>0</v>
      </c>
      <c r="H188" s="728">
        <f>TRUNC($F:$F*G:G)</f>
        <v>0</v>
      </c>
      <c r="I188" s="728">
        <f>'노임(진열장)'!G14</f>
        <v>125427</v>
      </c>
      <c r="J188" s="728">
        <f>TRUNC($F:$F*I:I)</f>
        <v>877</v>
      </c>
      <c r="K188" s="728">
        <f t="shared" si="15"/>
        <v>877</v>
      </c>
      <c r="L188" s="724" t="str">
        <f>IF($E:$E="인",VLOOKUP($B:$B,[140]노임!$B:$D,3,FALSE),VLOOKUP($D:$D,[140]일위목록!$A:$H,2,FALSE))</f>
        <v>건설노임-1002</v>
      </c>
      <c r="M188" s="717"/>
    </row>
    <row r="189" spans="1:13" s="718" customFormat="1" ht="21" customHeight="1">
      <c r="A189" s="724"/>
      <c r="B189" s="725" t="s">
        <v>5901</v>
      </c>
      <c r="C189" s="726"/>
      <c r="D189" s="726" t="str">
        <f>L:L</f>
        <v>제39호표</v>
      </c>
      <c r="E189" s="724"/>
      <c r="F189" s="727"/>
      <c r="G189" s="728"/>
      <c r="H189" s="728">
        <f>SUM(H184:H188)</f>
        <v>30</v>
      </c>
      <c r="I189" s="728"/>
      <c r="J189" s="728">
        <f>SUM(J184:J188)</f>
        <v>2160</v>
      </c>
      <c r="K189" s="728">
        <f t="shared" si="15"/>
        <v>2190</v>
      </c>
      <c r="L189" s="724" t="str">
        <f>A182</f>
        <v>제39호표</v>
      </c>
      <c r="M189" s="717"/>
    </row>
    <row r="190" spans="1:13" s="718" customFormat="1" ht="21" customHeight="1">
      <c r="A190" s="724"/>
      <c r="B190" s="725"/>
      <c r="C190" s="726"/>
      <c r="D190" s="726"/>
      <c r="E190" s="724"/>
      <c r="F190" s="727"/>
      <c r="G190" s="728"/>
      <c r="H190" s="728"/>
      <c r="I190" s="728"/>
      <c r="J190" s="728"/>
      <c r="K190" s="728"/>
      <c r="L190" s="724"/>
      <c r="M190" s="729"/>
    </row>
    <row r="191" spans="1:13" s="718" customFormat="1" ht="21" customHeight="1">
      <c r="A191" s="724"/>
      <c r="B191" s="726" t="s">
        <v>5974</v>
      </c>
      <c r="C191" s="726"/>
      <c r="D191" s="726"/>
      <c r="E191" s="724"/>
      <c r="F191" s="727"/>
      <c r="G191" s="728"/>
      <c r="H191" s="728"/>
      <c r="I191" s="728"/>
      <c r="J191" s="728"/>
      <c r="K191" s="728"/>
      <c r="L191" s="724"/>
      <c r="M191" s="729"/>
    </row>
    <row r="192" spans="1:13" s="718" customFormat="1" ht="21" customHeight="1">
      <c r="A192" s="724"/>
      <c r="B192" s="726" t="s">
        <v>5975</v>
      </c>
      <c r="C192" s="726"/>
      <c r="D192" s="726"/>
      <c r="E192" s="724"/>
      <c r="F192" s="727"/>
      <c r="G192" s="728"/>
      <c r="H192" s="728"/>
      <c r="I192" s="728"/>
      <c r="J192" s="728"/>
      <c r="K192" s="728"/>
      <c r="L192" s="724"/>
      <c r="M192" s="729"/>
    </row>
    <row r="193" spans="1:13" s="718" customFormat="1" ht="21" customHeight="1">
      <c r="A193" s="724"/>
      <c r="B193" s="726" t="s">
        <v>5976</v>
      </c>
      <c r="C193" s="726"/>
      <c r="D193" s="726"/>
      <c r="E193" s="724"/>
      <c r="F193" s="727"/>
      <c r="G193" s="728"/>
      <c r="H193" s="728"/>
      <c r="I193" s="728"/>
      <c r="J193" s="728"/>
      <c r="K193" s="728"/>
      <c r="L193" s="724"/>
      <c r="M193" s="729"/>
    </row>
    <row r="194" spans="1:13" s="718" customFormat="1" ht="21" customHeight="1">
      <c r="A194" s="724"/>
      <c r="B194" s="726" t="s">
        <v>5977</v>
      </c>
      <c r="C194" s="726"/>
      <c r="D194" s="726"/>
      <c r="E194" s="724"/>
      <c r="F194" s="727"/>
      <c r="G194" s="728"/>
      <c r="H194" s="728"/>
      <c r="I194" s="728"/>
      <c r="J194" s="728"/>
      <c r="K194" s="728"/>
      <c r="L194" s="724"/>
      <c r="M194" s="729"/>
    </row>
    <row r="195" spans="1:13" s="718" customFormat="1" ht="21" customHeight="1">
      <c r="A195" s="724"/>
      <c r="B195" s="725"/>
      <c r="C195" s="726"/>
      <c r="D195" s="726"/>
      <c r="E195" s="724"/>
      <c r="F195" s="727"/>
      <c r="G195" s="728"/>
      <c r="H195" s="728"/>
      <c r="I195" s="728"/>
      <c r="J195" s="728"/>
      <c r="K195" s="728"/>
      <c r="L195" s="724"/>
      <c r="M195" s="729"/>
    </row>
    <row r="196" spans="1:13" s="718" customFormat="1" ht="21" customHeight="1">
      <c r="A196" s="724" t="str">
        <f>"제"&amp;M196&amp;"호표"</f>
        <v>제40호표</v>
      </c>
      <c r="B196" s="725" t="s">
        <v>5978</v>
      </c>
      <c r="C196" s="726" t="s">
        <v>5979</v>
      </c>
      <c r="D196" s="726"/>
      <c r="E196" s="724" t="s">
        <v>5980</v>
      </c>
      <c r="F196" s="727"/>
      <c r="G196" s="728"/>
      <c r="H196" s="728"/>
      <c r="I196" s="728"/>
      <c r="J196" s="728"/>
      <c r="K196" s="728"/>
      <c r="L196" s="724"/>
      <c r="M196" s="729">
        <f>M182+1</f>
        <v>40</v>
      </c>
    </row>
    <row r="197" spans="1:13" s="718" customFormat="1" ht="21" customHeight="1">
      <c r="A197" s="724"/>
      <c r="B197" s="725"/>
      <c r="C197" s="726"/>
      <c r="D197" s="726"/>
      <c r="E197" s="724"/>
      <c r="F197" s="727"/>
      <c r="G197" s="728"/>
      <c r="H197" s="728"/>
      <c r="I197" s="728"/>
      <c r="J197" s="728"/>
      <c r="K197" s="728"/>
      <c r="L197" s="724"/>
      <c r="M197" s="729"/>
    </row>
    <row r="198" spans="1:13" s="718" customFormat="1" ht="21" customHeight="1">
      <c r="A198" s="724"/>
      <c r="B198" s="725" t="s">
        <v>5981</v>
      </c>
      <c r="C198" s="733" t="s">
        <v>5982</v>
      </c>
      <c r="D198" s="726" t="str">
        <f t="shared" ref="D198:D205" si="16">SUBSTITUTE(CONCATENATE(B:B,C:C,E:E)," ","")</f>
        <v>워시프라이머ZQL011L</v>
      </c>
      <c r="E198" s="724" t="s">
        <v>5983</v>
      </c>
      <c r="F198" s="741">
        <v>0.35</v>
      </c>
      <c r="G198" s="728">
        <f>'단가대비표(진열장)'!L31</f>
        <v>6155</v>
      </c>
      <c r="H198" s="728">
        <f t="shared" ref="H198:H207" si="17">TRUNC($F:$F*G:G)</f>
        <v>2154</v>
      </c>
      <c r="I198" s="728">
        <f>IF($E:$E="인",VLOOKUP($B:$B,[140]노임!$B:$H,6,FALSE),VLOOKUP($D:$D,[140]일위목록!$A:$H,7,FALSE))</f>
        <v>0</v>
      </c>
      <c r="J198" s="728">
        <f t="shared" ref="J198:J205" si="18">TRUNC($F:$F*I:I)</f>
        <v>0</v>
      </c>
      <c r="K198" s="728">
        <f t="shared" ref="K198:K205" si="19">H198+J198</f>
        <v>2154</v>
      </c>
      <c r="L198" s="724" t="str">
        <f>IF($E:$E="인",VLOOKUP($B:$B,[140]단가!$B:$E,3,FALSE),VLOOKUP($D:$D,[140]일위목록!$A:$H,2,FALSE))</f>
        <v>단가-27번</v>
      </c>
      <c r="M198" s="717"/>
    </row>
    <row r="199" spans="1:13" s="718" customFormat="1" ht="21" customHeight="1">
      <c r="A199" s="724"/>
      <c r="B199" s="725" t="s">
        <v>5984</v>
      </c>
      <c r="C199" s="726" t="s">
        <v>5985</v>
      </c>
      <c r="D199" s="726" t="str">
        <f t="shared" si="16"/>
        <v>락카사페사(락카)DNL-4150L</v>
      </c>
      <c r="E199" s="724" t="s">
        <v>5983</v>
      </c>
      <c r="F199" s="741">
        <v>0.3</v>
      </c>
      <c r="G199" s="728">
        <f>'단가대비표(진열장)'!L29</f>
        <v>5931</v>
      </c>
      <c r="H199" s="728">
        <f t="shared" si="17"/>
        <v>1779</v>
      </c>
      <c r="I199" s="728">
        <f>IF($E:$E="인",VLOOKUP($B:$B,[140]노임!$B:$H,6,FALSE),VLOOKUP($D:$D,[140]일위목록!$A:$H,7,FALSE))</f>
        <v>0</v>
      </c>
      <c r="J199" s="728">
        <f t="shared" si="18"/>
        <v>0</v>
      </c>
      <c r="K199" s="728">
        <f t="shared" si="19"/>
        <v>1779</v>
      </c>
      <c r="L199" s="724" t="str">
        <f>IF($E:$E="인",VLOOKUP($B:$B,[140]단가!$B:$E,3,FALSE),VLOOKUP($D:$D,[140]일위목록!$A:$H,2,FALSE))</f>
        <v>단가-25번</v>
      </c>
      <c r="M199" s="717"/>
    </row>
    <row r="200" spans="1:13" s="718" customFormat="1" ht="21" customHeight="1">
      <c r="A200" s="724"/>
      <c r="B200" s="725" t="s">
        <v>5986</v>
      </c>
      <c r="C200" s="742" t="s">
        <v>5987</v>
      </c>
      <c r="D200" s="726" t="str">
        <f t="shared" si="16"/>
        <v>우레탄락카UR3600L</v>
      </c>
      <c r="E200" s="724" t="s">
        <v>5983</v>
      </c>
      <c r="F200" s="741">
        <v>0.5</v>
      </c>
      <c r="G200" s="728">
        <f>'단가대비표(진열장)'!L32</f>
        <v>16000</v>
      </c>
      <c r="H200" s="728">
        <f t="shared" si="17"/>
        <v>8000</v>
      </c>
      <c r="I200" s="728">
        <f>IF($E:$E="인",VLOOKUP($B:$B,[140]노임!$B:$H,6,FALSE),VLOOKUP($D:$D,[140]일위목록!$A:$H,7,FALSE))</f>
        <v>0</v>
      </c>
      <c r="J200" s="728">
        <f t="shared" si="18"/>
        <v>0</v>
      </c>
      <c r="K200" s="728">
        <f t="shared" si="19"/>
        <v>8000</v>
      </c>
      <c r="L200" s="724" t="str">
        <f>IF($E:$E="인",VLOOKUP($B:$B,[140]단가!$B:$E,3,FALSE),VLOOKUP($D:$D,[140]일위목록!$A:$H,2,FALSE))</f>
        <v>단가-28번</v>
      </c>
      <c r="M200" s="717"/>
    </row>
    <row r="201" spans="1:13" s="718" customFormat="1" ht="21" customHeight="1">
      <c r="A201" s="724"/>
      <c r="B201" s="725" t="s">
        <v>5988</v>
      </c>
      <c r="C201" s="742" t="s">
        <v>5989</v>
      </c>
      <c r="D201" s="726" t="str">
        <f t="shared" si="16"/>
        <v>우레탄신너037UL</v>
      </c>
      <c r="E201" s="724" t="s">
        <v>5983</v>
      </c>
      <c r="F201" s="741">
        <v>0.05</v>
      </c>
      <c r="G201" s="728">
        <f>'단가대비표(진열장)'!L28</f>
        <v>5000</v>
      </c>
      <c r="H201" s="728">
        <f t="shared" si="17"/>
        <v>250</v>
      </c>
      <c r="I201" s="728">
        <f>IF($E:$E="인",VLOOKUP($B:$B,[140]노임!$B:$H,6,FALSE),VLOOKUP($D:$D,[140]일위목록!$A:$H,7,FALSE))</f>
        <v>0</v>
      </c>
      <c r="J201" s="728">
        <f t="shared" si="18"/>
        <v>0</v>
      </c>
      <c r="K201" s="728">
        <f t="shared" si="19"/>
        <v>250</v>
      </c>
      <c r="L201" s="724" t="str">
        <f>IF($E:$E="인",VLOOKUP($B:$B,[140]단가!$B:$E,3,FALSE),VLOOKUP($D:$D,[140]일위목록!$A:$H,2,FALSE))</f>
        <v>단가-24번</v>
      </c>
      <c r="M201" s="717"/>
    </row>
    <row r="202" spans="1:13" s="718" customFormat="1" ht="21" customHeight="1">
      <c r="A202" s="724"/>
      <c r="B202" s="725" t="s">
        <v>5990</v>
      </c>
      <c r="C202" s="726" t="s">
        <v>5991</v>
      </c>
      <c r="D202" s="726" t="str">
        <f t="shared" si="16"/>
        <v>연마지#120매</v>
      </c>
      <c r="E202" s="724" t="s">
        <v>5992</v>
      </c>
      <c r="F202" s="727">
        <f>0.625+0.05</f>
        <v>0.67500000000000004</v>
      </c>
      <c r="G202" s="728">
        <f>'단가대비표(진열장)'!L70</f>
        <v>260</v>
      </c>
      <c r="H202" s="728">
        <f t="shared" si="17"/>
        <v>175</v>
      </c>
      <c r="I202" s="728">
        <f>IF($E:$E="인",VLOOKUP($B:$B,[140]노임!$B:$H,6,FALSE),VLOOKUP($D:$D,[140]일위목록!$A:$H,7,FALSE))</f>
        <v>0</v>
      </c>
      <c r="J202" s="728">
        <f t="shared" si="18"/>
        <v>0</v>
      </c>
      <c r="K202" s="728">
        <f t="shared" si="19"/>
        <v>175</v>
      </c>
      <c r="L202" s="724" t="str">
        <f>IF($E:$E="인",VLOOKUP($B:$B,[140]단가!$B:$E,3,FALSE),VLOOKUP($D:$D,[140]일위목록!$A:$H,2,FALSE))</f>
        <v>단가-66번</v>
      </c>
      <c r="M202" s="717"/>
    </row>
    <row r="203" spans="1:13" s="718" customFormat="1" ht="21" customHeight="1">
      <c r="A203" s="724"/>
      <c r="B203" s="725" t="s">
        <v>5993</v>
      </c>
      <c r="C203" s="726" t="s">
        <v>5994</v>
      </c>
      <c r="D203" s="726" t="str">
        <f t="shared" si="16"/>
        <v>포리퍼티YGL017KG</v>
      </c>
      <c r="E203" s="724" t="s">
        <v>5969</v>
      </c>
      <c r="F203" s="727">
        <v>0.15</v>
      </c>
      <c r="G203" s="728">
        <f>'단가대비표(진열장)'!L30</f>
        <v>6750</v>
      </c>
      <c r="H203" s="728">
        <f t="shared" si="17"/>
        <v>1012</v>
      </c>
      <c r="I203" s="728">
        <f>IF($E:$E="인",VLOOKUP($B:$B,[140]노임!$B:$H,6,FALSE),VLOOKUP($D:$D,[140]일위목록!$A:$H,7,FALSE))</f>
        <v>0</v>
      </c>
      <c r="J203" s="728">
        <f t="shared" si="18"/>
        <v>0</v>
      </c>
      <c r="K203" s="728">
        <f t="shared" si="19"/>
        <v>1012</v>
      </c>
      <c r="L203" s="724" t="str">
        <f>IF($E:$E="인",VLOOKUP($B:$B,[140]단가!$B:$E,3,FALSE),VLOOKUP($D:$D,[140]일위목록!$A:$H,2,FALSE))</f>
        <v>단가-26번</v>
      </c>
      <c r="M203" s="717"/>
    </row>
    <row r="204" spans="1:13" s="718" customFormat="1" ht="21" customHeight="1">
      <c r="A204" s="724"/>
      <c r="B204" s="731" t="s">
        <v>5995</v>
      </c>
      <c r="C204" s="726"/>
      <c r="D204" s="726" t="str">
        <f t="shared" si="16"/>
        <v>도장공인</v>
      </c>
      <c r="E204" s="724" t="s">
        <v>5862</v>
      </c>
      <c r="F204" s="727">
        <f>0.115+0.005</f>
        <v>0.12000000000000001</v>
      </c>
      <c r="G204" s="728">
        <f>IF($E:$E="인",0,VLOOKUP($D:$D,[140]일위목록!$A:$H,6,FALSE))</f>
        <v>0</v>
      </c>
      <c r="H204" s="728">
        <f t="shared" si="17"/>
        <v>0</v>
      </c>
      <c r="I204" s="728">
        <f>'노임(진열장)'!G21</f>
        <v>184508</v>
      </c>
      <c r="J204" s="728">
        <f t="shared" si="18"/>
        <v>22140</v>
      </c>
      <c r="K204" s="728">
        <f t="shared" si="19"/>
        <v>22140</v>
      </c>
      <c r="L204" s="724" t="str">
        <f>IF($E:$E="인",VLOOKUP($B:$B,[140]노임!$B:$D,3,FALSE),VLOOKUP($D:$D,[140]일위목록!$A:$H,2,FALSE))</f>
        <v>건설노임-1029</v>
      </c>
      <c r="M204" s="717"/>
    </row>
    <row r="205" spans="1:13" s="718" customFormat="1" ht="21" customHeight="1">
      <c r="A205" s="724"/>
      <c r="B205" s="731" t="s">
        <v>5877</v>
      </c>
      <c r="C205" s="726"/>
      <c r="D205" s="726" t="str">
        <f t="shared" si="16"/>
        <v>보통인부인</v>
      </c>
      <c r="E205" s="724" t="s">
        <v>5862</v>
      </c>
      <c r="F205" s="727">
        <v>1E-3</v>
      </c>
      <c r="G205" s="728">
        <f>IF($E:$E="인",0,VLOOKUP($D:$D,[140]일위목록!$A:$H,6,FALSE))</f>
        <v>0</v>
      </c>
      <c r="H205" s="728">
        <f t="shared" si="17"/>
        <v>0</v>
      </c>
      <c r="I205" s="728">
        <f>'노임(진열장)'!G14</f>
        <v>125427</v>
      </c>
      <c r="J205" s="728">
        <f t="shared" si="18"/>
        <v>125</v>
      </c>
      <c r="K205" s="728">
        <f t="shared" si="19"/>
        <v>125</v>
      </c>
      <c r="L205" s="724" t="str">
        <f>IF($E:$E="인",VLOOKUP($B:$B,[140]노임!$B:$D,3,FALSE),VLOOKUP($D:$D,[140]일위목록!$A:$H,2,FALSE))</f>
        <v>건설노임-1002</v>
      </c>
      <c r="M205" s="717"/>
    </row>
    <row r="206" spans="1:13" s="718" customFormat="1" ht="21" customHeight="1">
      <c r="A206" s="724"/>
      <c r="B206" s="725" t="s">
        <v>5996</v>
      </c>
      <c r="C206" s="726" t="s">
        <v>5997</v>
      </c>
      <c r="D206" s="726"/>
      <c r="E206" s="724" t="s">
        <v>5998</v>
      </c>
      <c r="F206" s="727">
        <v>1</v>
      </c>
      <c r="G206" s="728">
        <f>TRUNC(J208*9%)</f>
        <v>2003</v>
      </c>
      <c r="H206" s="728">
        <f t="shared" si="17"/>
        <v>2003</v>
      </c>
      <c r="I206" s="728"/>
      <c r="J206" s="728"/>
      <c r="K206" s="728"/>
      <c r="L206" s="724"/>
      <c r="M206" s="717"/>
    </row>
    <row r="207" spans="1:13" s="718" customFormat="1" ht="21" customHeight="1">
      <c r="A207" s="724"/>
      <c r="B207" s="731" t="s">
        <v>5999</v>
      </c>
      <c r="C207" s="726" t="s">
        <v>6000</v>
      </c>
      <c r="D207" s="726"/>
      <c r="E207" s="724" t="s">
        <v>5998</v>
      </c>
      <c r="F207" s="727">
        <v>1</v>
      </c>
      <c r="G207" s="728">
        <f>TRUNC(H198+H199+H200+H201)*6%</f>
        <v>730.98</v>
      </c>
      <c r="H207" s="728">
        <f t="shared" si="17"/>
        <v>730</v>
      </c>
      <c r="I207" s="728"/>
      <c r="J207" s="728"/>
      <c r="K207" s="728"/>
      <c r="L207" s="724"/>
      <c r="M207" s="717"/>
    </row>
    <row r="208" spans="1:13" s="718" customFormat="1" ht="21" customHeight="1">
      <c r="A208" s="724"/>
      <c r="B208" s="725" t="s">
        <v>5901</v>
      </c>
      <c r="C208" s="726"/>
      <c r="D208" s="726" t="str">
        <f>L:L</f>
        <v>제40호표</v>
      </c>
      <c r="E208" s="724"/>
      <c r="F208" s="727"/>
      <c r="G208" s="728"/>
      <c r="H208" s="728">
        <f>SUM(H198:H207)</f>
        <v>16103</v>
      </c>
      <c r="I208" s="728"/>
      <c r="J208" s="728">
        <f>SUM(J198:J207)</f>
        <v>22265</v>
      </c>
      <c r="K208" s="728">
        <f>H208+J208</f>
        <v>38368</v>
      </c>
      <c r="L208" s="724" t="str">
        <f>A196</f>
        <v>제40호표</v>
      </c>
      <c r="M208" s="717"/>
    </row>
    <row r="209" spans="1:13" s="718" customFormat="1" ht="21" customHeight="1">
      <c r="A209" s="724"/>
      <c r="B209" s="725"/>
      <c r="C209" s="726"/>
      <c r="D209" s="726"/>
      <c r="E209" s="724"/>
      <c r="F209" s="727"/>
      <c r="G209" s="728"/>
      <c r="H209" s="728"/>
      <c r="I209" s="728"/>
      <c r="J209" s="728"/>
      <c r="K209" s="728"/>
      <c r="L209" s="724"/>
      <c r="M209" s="717"/>
    </row>
    <row r="210" spans="1:13" s="718" customFormat="1" ht="21" customHeight="1">
      <c r="A210" s="724"/>
      <c r="B210" s="725"/>
      <c r="C210" s="726"/>
      <c r="D210" s="726"/>
      <c r="E210" s="724"/>
      <c r="F210" s="727"/>
      <c r="G210" s="728"/>
      <c r="H210" s="728"/>
      <c r="I210" s="728"/>
      <c r="J210" s="728"/>
      <c r="K210" s="728"/>
      <c r="L210" s="724"/>
      <c r="M210" s="717"/>
    </row>
    <row r="211" spans="1:13" s="718" customFormat="1" ht="21" customHeight="1">
      <c r="A211" s="724" t="str">
        <f>"제"&amp;M211&amp;"호표"</f>
        <v>제41호표</v>
      </c>
      <c r="B211" s="725" t="s">
        <v>6001</v>
      </c>
      <c r="C211" s="726" t="s">
        <v>5979</v>
      </c>
      <c r="D211" s="726"/>
      <c r="E211" s="724" t="s">
        <v>5980</v>
      </c>
      <c r="F211" s="727"/>
      <c r="G211" s="728"/>
      <c r="H211" s="728"/>
      <c r="I211" s="728"/>
      <c r="J211" s="728"/>
      <c r="K211" s="728"/>
      <c r="L211" s="724"/>
      <c r="M211" s="729">
        <f>M196+1</f>
        <v>41</v>
      </c>
    </row>
    <row r="212" spans="1:13" s="718" customFormat="1" ht="21" customHeight="1">
      <c r="A212" s="724"/>
      <c r="B212" s="725"/>
      <c r="C212" s="726"/>
      <c r="D212" s="726"/>
      <c r="E212" s="724"/>
      <c r="F212" s="727"/>
      <c r="G212" s="728"/>
      <c r="H212" s="728"/>
      <c r="I212" s="728"/>
      <c r="J212" s="728"/>
      <c r="K212" s="728"/>
      <c r="L212" s="724"/>
      <c r="M212" s="729"/>
    </row>
    <row r="213" spans="1:13" s="718" customFormat="1" ht="21" customHeight="1">
      <c r="A213" s="724"/>
      <c r="B213" s="725" t="s">
        <v>5993</v>
      </c>
      <c r="C213" s="726" t="s">
        <v>5994</v>
      </c>
      <c r="D213" s="726" t="str">
        <f>SUBSTITUTE(CONCATENATE(B:B,C:C,E:E)," ","")</f>
        <v>포리퍼티YGL017KG</v>
      </c>
      <c r="E213" s="724" t="s">
        <v>2477</v>
      </c>
      <c r="F213" s="727">
        <v>0.66</v>
      </c>
      <c r="G213" s="728">
        <f>'단가대비표(진열장)'!L30</f>
        <v>6750</v>
      </c>
      <c r="H213" s="728">
        <f>TRUNC($F:$F*G:G)</f>
        <v>4455</v>
      </c>
      <c r="I213" s="728">
        <f>IF($E:$E="인",VLOOKUP($B:$B,[140]노임!$B:$H,6,FALSE),VLOOKUP($D:$D,[140]일위목록!$A:$H,7,FALSE))</f>
        <v>0</v>
      </c>
      <c r="J213" s="728">
        <f>TRUNC($F:$F*I:I)</f>
        <v>0</v>
      </c>
      <c r="K213" s="728">
        <f t="shared" ref="K213:K217" si="20">H213+J213</f>
        <v>4455</v>
      </c>
      <c r="L213" s="724" t="str">
        <f>IF($E:$E="인",VLOOKUP($B:$B,[140]단가!$B:$E,3,FALSE),VLOOKUP($D:$D,[140]일위목록!$A:$H,2,FALSE))</f>
        <v>단가-26번</v>
      </c>
      <c r="M213" s="717"/>
    </row>
    <row r="214" spans="1:13" s="718" customFormat="1" ht="21" customHeight="1">
      <c r="A214" s="724"/>
      <c r="B214" s="725" t="s">
        <v>5990</v>
      </c>
      <c r="C214" s="726" t="s">
        <v>5991</v>
      </c>
      <c r="D214" s="726" t="str">
        <f>SUBSTITUTE(CONCATENATE(B:B,C:C,E:E)," ","")</f>
        <v>연마지#120매</v>
      </c>
      <c r="E214" s="724" t="s">
        <v>5992</v>
      </c>
      <c r="F214" s="727">
        <v>0.5</v>
      </c>
      <c r="G214" s="728">
        <f>'단가대비표(진열장)'!L70</f>
        <v>260</v>
      </c>
      <c r="H214" s="728">
        <f>TRUNC($F:$F*G:G)</f>
        <v>130</v>
      </c>
      <c r="I214" s="728">
        <f>IF($E:$E="인",VLOOKUP($B:$B,[140]노임!$B:$H,6,FALSE),VLOOKUP($D:$D,[140]일위목록!$A:$H,7,FALSE))</f>
        <v>0</v>
      </c>
      <c r="J214" s="728">
        <f>TRUNC($F:$F*I:I)</f>
        <v>0</v>
      </c>
      <c r="K214" s="728">
        <f t="shared" si="20"/>
        <v>130</v>
      </c>
      <c r="L214" s="724" t="str">
        <f>IF($E:$E="인",VLOOKUP($B:$B,[140]단가!$B:$E,3,FALSE),VLOOKUP($D:$D,[140]일위목록!$A:$H,2,FALSE))</f>
        <v>단가-66번</v>
      </c>
      <c r="M214" s="717"/>
    </row>
    <row r="215" spans="1:13" s="718" customFormat="1" ht="21" customHeight="1">
      <c r="A215" s="724"/>
      <c r="B215" s="731" t="s">
        <v>5995</v>
      </c>
      <c r="C215" s="726"/>
      <c r="D215" s="726" t="str">
        <f>SUBSTITUTE(CONCATENATE(B:B,C:C,E:E)," ","")</f>
        <v>도장공인</v>
      </c>
      <c r="E215" s="724" t="s">
        <v>5862</v>
      </c>
      <c r="F215" s="727">
        <v>8.3000000000000004E-2</v>
      </c>
      <c r="G215" s="728">
        <f>IF($E:$E="인",0,VLOOKUP($D:$D,[140]일위목록!$A:$H,6,FALSE))</f>
        <v>0</v>
      </c>
      <c r="H215" s="728">
        <f>TRUNC($F:$F*G:G)</f>
        <v>0</v>
      </c>
      <c r="I215" s="728">
        <f>'노임(진열장)'!G21</f>
        <v>184508</v>
      </c>
      <c r="J215" s="728">
        <f>TRUNC($F:$F*I:I)</f>
        <v>15314</v>
      </c>
      <c r="K215" s="728">
        <f t="shared" si="20"/>
        <v>15314</v>
      </c>
      <c r="L215" s="724" t="str">
        <f>IF($E:$E="인",VLOOKUP($B:$B,[140]노임!$B:$D,3,FALSE),VLOOKUP($D:$D,[140]일위목록!$A:$H,2,FALSE))</f>
        <v>건설노임-1029</v>
      </c>
      <c r="M215" s="717"/>
    </row>
    <row r="216" spans="1:13" s="718" customFormat="1" ht="21" customHeight="1">
      <c r="A216" s="724"/>
      <c r="B216" s="725" t="s">
        <v>5865</v>
      </c>
      <c r="C216" s="726" t="s">
        <v>6002</v>
      </c>
      <c r="D216" s="726" t="str">
        <f>SUBSTITUTE(CONCATENATE(B:B,C:C,E:E)," ","")</f>
        <v>기구손료인건비의2%식</v>
      </c>
      <c r="E216" s="724" t="s">
        <v>5998</v>
      </c>
      <c r="F216" s="727">
        <v>1</v>
      </c>
      <c r="G216" s="728">
        <f>TRUNC(J217*2%)</f>
        <v>306</v>
      </c>
      <c r="H216" s="728">
        <f>TRUNC($F:$F*G:G)</f>
        <v>306</v>
      </c>
      <c r="I216" s="728"/>
      <c r="J216" s="728"/>
      <c r="K216" s="728">
        <f t="shared" si="20"/>
        <v>306</v>
      </c>
      <c r="L216" s="724"/>
      <c r="M216" s="717"/>
    </row>
    <row r="217" spans="1:13" s="718" customFormat="1" ht="21" customHeight="1">
      <c r="A217" s="724"/>
      <c r="B217" s="725" t="s">
        <v>5901</v>
      </c>
      <c r="C217" s="726"/>
      <c r="D217" s="726" t="str">
        <f>L:L</f>
        <v>제41호표</v>
      </c>
      <c r="E217" s="724"/>
      <c r="F217" s="727"/>
      <c r="G217" s="728"/>
      <c r="H217" s="728">
        <f>SUM(H213:H216)</f>
        <v>4891</v>
      </c>
      <c r="I217" s="728"/>
      <c r="J217" s="728">
        <f>SUM(J213:J216)</f>
        <v>15314</v>
      </c>
      <c r="K217" s="728">
        <f t="shared" si="20"/>
        <v>20205</v>
      </c>
      <c r="L217" s="724" t="str">
        <f>A211</f>
        <v>제41호표</v>
      </c>
      <c r="M217" s="717"/>
    </row>
    <row r="218" spans="1:13" s="718" customFormat="1" ht="21" customHeight="1">
      <c r="A218" s="724"/>
      <c r="B218" s="725"/>
      <c r="C218" s="726"/>
      <c r="D218" s="726"/>
      <c r="E218" s="724"/>
      <c r="F218" s="727"/>
      <c r="G218" s="728"/>
      <c r="H218" s="728"/>
      <c r="I218" s="728"/>
      <c r="J218" s="728"/>
      <c r="K218" s="728"/>
      <c r="L218" s="724"/>
      <c r="M218" s="717"/>
    </row>
    <row r="219" spans="1:13" s="718" customFormat="1" ht="21" customHeight="1">
      <c r="A219" s="724"/>
      <c r="B219" s="725"/>
      <c r="C219" s="726"/>
      <c r="D219" s="726"/>
      <c r="E219" s="724"/>
      <c r="F219" s="727"/>
      <c r="G219" s="728"/>
      <c r="H219" s="728"/>
      <c r="I219" s="728"/>
      <c r="J219" s="728"/>
      <c r="K219" s="728"/>
      <c r="L219" s="724"/>
      <c r="M219" s="717"/>
    </row>
    <row r="220" spans="1:13" s="718" customFormat="1" ht="21" customHeight="1">
      <c r="A220" s="724" t="str">
        <f>"제"&amp;M220&amp;"호표"</f>
        <v>제42호표</v>
      </c>
      <c r="B220" s="725" t="s">
        <v>6003</v>
      </c>
      <c r="C220" s="726"/>
      <c r="D220" s="726"/>
      <c r="E220" s="724" t="s">
        <v>5980</v>
      </c>
      <c r="F220" s="727"/>
      <c r="G220" s="728"/>
      <c r="H220" s="728"/>
      <c r="I220" s="728"/>
      <c r="J220" s="728"/>
      <c r="K220" s="728"/>
      <c r="L220" s="724"/>
      <c r="M220" s="729">
        <f>M211+1</f>
        <v>42</v>
      </c>
    </row>
    <row r="221" spans="1:13" s="718" customFormat="1" ht="21" customHeight="1">
      <c r="A221" s="724"/>
      <c r="B221" s="725"/>
      <c r="C221" s="726"/>
      <c r="D221" s="726"/>
      <c r="E221" s="724"/>
      <c r="F221" s="727"/>
      <c r="G221" s="728"/>
      <c r="H221" s="728"/>
      <c r="I221" s="728"/>
      <c r="J221" s="728"/>
      <c r="K221" s="728"/>
      <c r="L221" s="724"/>
      <c r="M221" s="729"/>
    </row>
    <row r="222" spans="1:13" s="718" customFormat="1" ht="21" customHeight="1">
      <c r="A222" s="724"/>
      <c r="B222" s="725" t="s">
        <v>6004</v>
      </c>
      <c r="C222" s="733" t="s">
        <v>6005</v>
      </c>
      <c r="D222" s="726" t="str">
        <f t="shared" ref="D222:D227" si="21">SUBSTITUTE(CONCATENATE(B:B,C:C,E:E)," ","")</f>
        <v>광명단조합폐인트KSM6030-2L</v>
      </c>
      <c r="E222" s="724" t="s">
        <v>1230</v>
      </c>
      <c r="F222" s="727">
        <v>0.161</v>
      </c>
      <c r="G222" s="728">
        <f>'단가대비표(진열장)'!L22</f>
        <v>8983</v>
      </c>
      <c r="H222" s="728">
        <f t="shared" ref="H222:H229" si="22">TRUNC($F:$F*G:G)</f>
        <v>1446</v>
      </c>
      <c r="I222" s="728">
        <f>IF($E:$E="인",VLOOKUP($B:$B,[140]노임!$B:$H,6,FALSE),VLOOKUP($D:$D,[140]일위목록!$A:$H,7,FALSE))</f>
        <v>0</v>
      </c>
      <c r="J222" s="728">
        <f t="shared" ref="J222:J227" si="23">TRUNC($F:$F*I:I)</f>
        <v>0</v>
      </c>
      <c r="K222" s="728">
        <f t="shared" ref="K222:K227" si="24">H222+J222</f>
        <v>1446</v>
      </c>
      <c r="L222" s="724" t="str">
        <f>IF($E:$E="인",VLOOKUP($B:$B,[140]단가!$B:$E,3,FALSE),VLOOKUP($D:$D,[140]일위목록!$A:$H,2,FALSE))</f>
        <v>단가-18번</v>
      </c>
      <c r="M222" s="717"/>
    </row>
    <row r="223" spans="1:13" s="718" customFormat="1" ht="21" customHeight="1">
      <c r="A223" s="724"/>
      <c r="B223" s="725" t="s">
        <v>6006</v>
      </c>
      <c r="C223" s="733" t="s">
        <v>6007</v>
      </c>
      <c r="D223" s="726" t="str">
        <f t="shared" si="21"/>
        <v>신너KSM-6060,2종L</v>
      </c>
      <c r="E223" s="724" t="s">
        <v>1230</v>
      </c>
      <c r="F223" s="727">
        <v>8.0000000000000002E-3</v>
      </c>
      <c r="G223" s="728">
        <f>'단가대비표(진열장)'!L25</f>
        <v>2711</v>
      </c>
      <c r="H223" s="728">
        <f t="shared" si="22"/>
        <v>21</v>
      </c>
      <c r="I223" s="728">
        <f>IF($E:$E="인",VLOOKUP($B:$B,[140]노임!$B:$H,6,FALSE),VLOOKUP($D:$D,[140]일위목록!$A:$H,7,FALSE))</f>
        <v>0</v>
      </c>
      <c r="J223" s="728">
        <f t="shared" si="23"/>
        <v>0</v>
      </c>
      <c r="K223" s="728">
        <f t="shared" si="24"/>
        <v>21</v>
      </c>
      <c r="L223" s="724" t="str">
        <f>IF($E:$E="인",VLOOKUP($B:$B,[140]단가!$B:$E,3,FALSE),VLOOKUP($D:$D,[140]일위목록!$A:$H,2,FALSE))</f>
        <v>단가-21번</v>
      </c>
      <c r="M223" s="717"/>
    </row>
    <row r="224" spans="1:13" s="718" customFormat="1" ht="21" customHeight="1">
      <c r="A224" s="724"/>
      <c r="B224" s="725" t="s">
        <v>5990</v>
      </c>
      <c r="C224" s="726" t="s">
        <v>5991</v>
      </c>
      <c r="D224" s="726" t="str">
        <f t="shared" si="21"/>
        <v>연마지#120매</v>
      </c>
      <c r="E224" s="724" t="s">
        <v>5992</v>
      </c>
      <c r="F224" s="727">
        <v>0.01</v>
      </c>
      <c r="G224" s="728">
        <f>'단가대비표(진열장)'!L70</f>
        <v>260</v>
      </c>
      <c r="H224" s="728">
        <f t="shared" si="22"/>
        <v>2</v>
      </c>
      <c r="I224" s="728">
        <f>IF($E:$E="인",VLOOKUP($B:$B,[140]노임!$B:$H,6,FALSE),VLOOKUP($D:$D,[140]일위목록!$A:$H,7,FALSE))</f>
        <v>0</v>
      </c>
      <c r="J224" s="728">
        <f t="shared" si="23"/>
        <v>0</v>
      </c>
      <c r="K224" s="728">
        <f t="shared" si="24"/>
        <v>2</v>
      </c>
      <c r="L224" s="724" t="str">
        <f>IF($E:$E="인",VLOOKUP($B:$B,[140]단가!$B:$E,3,FALSE),VLOOKUP($D:$D,[140]일위목록!$A:$H,2,FALSE))</f>
        <v>단가-66번</v>
      </c>
      <c r="M224" s="717"/>
    </row>
    <row r="225" spans="1:13" s="718" customFormat="1" ht="21" customHeight="1">
      <c r="A225" s="724"/>
      <c r="B225" s="725" t="s">
        <v>6008</v>
      </c>
      <c r="C225" s="726" t="s">
        <v>6009</v>
      </c>
      <c r="D225" s="726" t="str">
        <f t="shared" si="21"/>
        <v>넝마면T/C제품KG</v>
      </c>
      <c r="E225" s="724" t="s">
        <v>2477</v>
      </c>
      <c r="F225" s="727">
        <v>0.01</v>
      </c>
      <c r="G225" s="728">
        <f>'단가대비표(진열장)'!L46</f>
        <v>2000</v>
      </c>
      <c r="H225" s="728">
        <f t="shared" si="22"/>
        <v>20</v>
      </c>
      <c r="I225" s="728">
        <f>IF($E:$E="인",VLOOKUP($B:$B,[140]노임!$B:$H,6,FALSE),VLOOKUP($D:$D,[140]일위목록!$A:$H,7,FALSE))</f>
        <v>0</v>
      </c>
      <c r="J225" s="728">
        <f t="shared" si="23"/>
        <v>0</v>
      </c>
      <c r="K225" s="728">
        <f t="shared" si="24"/>
        <v>20</v>
      </c>
      <c r="L225" s="724" t="str">
        <f>IF($E:$E="인",VLOOKUP($B:$B,[140]단가!$B:$E,3,FALSE),VLOOKUP($D:$D,[140]일위목록!$A:$H,2,FALSE))</f>
        <v>단가-42번</v>
      </c>
      <c r="M225" s="717"/>
    </row>
    <row r="226" spans="1:13" s="718" customFormat="1" ht="21" customHeight="1">
      <c r="A226" s="724"/>
      <c r="B226" s="731" t="s">
        <v>5995</v>
      </c>
      <c r="C226" s="726"/>
      <c r="D226" s="726" t="str">
        <f t="shared" si="21"/>
        <v>도장공인</v>
      </c>
      <c r="E226" s="724" t="s">
        <v>5862</v>
      </c>
      <c r="F226" s="727">
        <v>0.03</v>
      </c>
      <c r="G226" s="728">
        <f>IF($E:$E="인",0,VLOOKUP($D:$D,[140]일위목록!$A:$H,6,FALSE))</f>
        <v>0</v>
      </c>
      <c r="H226" s="728">
        <f t="shared" si="22"/>
        <v>0</v>
      </c>
      <c r="I226" s="728">
        <f>'노임(진열장)'!G21</f>
        <v>184508</v>
      </c>
      <c r="J226" s="728">
        <f t="shared" si="23"/>
        <v>5535</v>
      </c>
      <c r="K226" s="728">
        <f t="shared" si="24"/>
        <v>5535</v>
      </c>
      <c r="L226" s="724" t="str">
        <f>IF($E:$E="인",VLOOKUP($B:$B,[140]노임!$B:$D,3,FALSE),VLOOKUP($D:$D,[140]일위목록!$A:$H,2,FALSE))</f>
        <v>건설노임-1029</v>
      </c>
      <c r="M226" s="717"/>
    </row>
    <row r="227" spans="1:13" s="718" customFormat="1" ht="21" customHeight="1">
      <c r="A227" s="724"/>
      <c r="B227" s="731" t="s">
        <v>5877</v>
      </c>
      <c r="C227" s="726"/>
      <c r="D227" s="726" t="str">
        <f t="shared" si="21"/>
        <v>보통인부인</v>
      </c>
      <c r="E227" s="724" t="s">
        <v>5862</v>
      </c>
      <c r="F227" s="727">
        <v>6.0000000000000001E-3</v>
      </c>
      <c r="G227" s="728">
        <f>IF($E:$E="인",0,VLOOKUP($D:$D,[140]일위목록!$A:$H,6,FALSE))</f>
        <v>0</v>
      </c>
      <c r="H227" s="728">
        <f t="shared" si="22"/>
        <v>0</v>
      </c>
      <c r="I227" s="728">
        <f>'노임(진열장)'!G14</f>
        <v>125427</v>
      </c>
      <c r="J227" s="728">
        <f t="shared" si="23"/>
        <v>752</v>
      </c>
      <c r="K227" s="728">
        <f t="shared" si="24"/>
        <v>752</v>
      </c>
      <c r="L227" s="724" t="str">
        <f>IF($E:$E="인",VLOOKUP($B:$B,[140]노임!$B:$D,3,FALSE),VLOOKUP($D:$D,[140]일위목록!$A:$H,2,FALSE))</f>
        <v>건설노임-1002</v>
      </c>
      <c r="M227" s="717"/>
    </row>
    <row r="228" spans="1:13" s="718" customFormat="1" ht="21" customHeight="1">
      <c r="A228" s="724"/>
      <c r="B228" s="731" t="s">
        <v>5999</v>
      </c>
      <c r="C228" s="726" t="s">
        <v>6010</v>
      </c>
      <c r="D228" s="726"/>
      <c r="E228" s="724" t="s">
        <v>5998</v>
      </c>
      <c r="F228" s="727">
        <v>1</v>
      </c>
      <c r="G228" s="728">
        <f>TRUNC(H222+H223)*6%</f>
        <v>88.02</v>
      </c>
      <c r="H228" s="728">
        <f t="shared" si="22"/>
        <v>88</v>
      </c>
      <c r="I228" s="728"/>
      <c r="J228" s="728"/>
      <c r="K228" s="728"/>
      <c r="L228" s="724"/>
      <c r="M228" s="717"/>
    </row>
    <row r="229" spans="1:13" s="718" customFormat="1" ht="21" customHeight="1">
      <c r="A229" s="724"/>
      <c r="B229" s="725" t="s">
        <v>6011</v>
      </c>
      <c r="C229" s="726"/>
      <c r="D229" s="726" t="str">
        <f>SUBSTITUTE(CONCATENATE(B:B,C:C,E:E)," ","")</f>
        <v>방청페인트M2</v>
      </c>
      <c r="E229" s="724" t="s">
        <v>5980</v>
      </c>
      <c r="F229" s="727">
        <v>5.2999999999999999E-2</v>
      </c>
      <c r="G229" s="728">
        <f>'일위목록(진열장)'!F45</f>
        <v>1577</v>
      </c>
      <c r="H229" s="728">
        <f t="shared" si="22"/>
        <v>83</v>
      </c>
      <c r="I229" s="728">
        <f>'일위목록(진열장)'!G45</f>
        <v>6287</v>
      </c>
      <c r="J229" s="728">
        <f>TRUNC($F:$F*I:I)</f>
        <v>333</v>
      </c>
      <c r="K229" s="728">
        <f>H229+J229</f>
        <v>416</v>
      </c>
      <c r="L229" s="724" t="str">
        <f>IF($E:$E="인",VLOOKUP($B:$B,[141]노임!$B:$F,3,FALSE),VLOOKUP($D:$D,[141]일위목록!$A:$H,2,FALSE))</f>
        <v>제42호표</v>
      </c>
      <c r="M229" s="717"/>
    </row>
    <row r="230" spans="1:13" s="718" customFormat="1" ht="21" customHeight="1">
      <c r="A230" s="724"/>
      <c r="B230" s="725" t="s">
        <v>5901</v>
      </c>
      <c r="C230" s="726"/>
      <c r="D230" s="726" t="str">
        <f>L:L</f>
        <v>제42호표</v>
      </c>
      <c r="E230" s="724"/>
      <c r="F230" s="727"/>
      <c r="G230" s="728"/>
      <c r="H230" s="728">
        <f>SUM(H222:H228)</f>
        <v>1577</v>
      </c>
      <c r="I230" s="728"/>
      <c r="J230" s="728">
        <f>SUM(J222:J228)</f>
        <v>6287</v>
      </c>
      <c r="K230" s="728">
        <f t="shared" ref="K230" si="25">H230+J230</f>
        <v>7864</v>
      </c>
      <c r="L230" s="724" t="str">
        <f>A220</f>
        <v>제42호표</v>
      </c>
      <c r="M230" s="717"/>
    </row>
    <row r="231" spans="1:13" s="718" customFormat="1" ht="21" customHeight="1">
      <c r="A231" s="724"/>
      <c r="B231" s="725"/>
      <c r="C231" s="726"/>
      <c r="D231" s="726"/>
      <c r="E231" s="724"/>
      <c r="F231" s="727"/>
      <c r="G231" s="728"/>
      <c r="H231" s="728"/>
      <c r="I231" s="728"/>
      <c r="J231" s="728"/>
      <c r="K231" s="728"/>
      <c r="L231" s="724"/>
      <c r="M231" s="717"/>
    </row>
    <row r="232" spans="1:13" s="718" customFormat="1" ht="21" customHeight="1">
      <c r="A232" s="724"/>
      <c r="B232" s="725"/>
      <c r="C232" s="726"/>
      <c r="D232" s="726"/>
      <c r="E232" s="724"/>
      <c r="F232" s="727"/>
      <c r="G232" s="728"/>
      <c r="H232" s="728"/>
      <c r="I232" s="728"/>
      <c r="J232" s="728"/>
      <c r="K232" s="728"/>
      <c r="L232" s="724"/>
      <c r="M232" s="717"/>
    </row>
    <row r="233" spans="1:13" s="718" customFormat="1" ht="21" customHeight="1">
      <c r="A233" s="724" t="str">
        <f>"제"&amp;M233&amp;"호표"</f>
        <v>제43호표</v>
      </c>
      <c r="B233" s="725" t="s">
        <v>6012</v>
      </c>
      <c r="C233" s="726" t="s">
        <v>6013</v>
      </c>
      <c r="D233" s="726"/>
      <c r="E233" s="724" t="s">
        <v>5980</v>
      </c>
      <c r="F233" s="727"/>
      <c r="G233" s="728"/>
      <c r="H233" s="728"/>
      <c r="I233" s="728"/>
      <c r="J233" s="728"/>
      <c r="K233" s="728"/>
      <c r="L233" s="724"/>
      <c r="M233" s="729">
        <f>M220+1</f>
        <v>43</v>
      </c>
    </row>
    <row r="234" spans="1:13" s="718" customFormat="1" ht="21" customHeight="1">
      <c r="A234" s="724"/>
      <c r="B234" s="725"/>
      <c r="C234" s="726"/>
      <c r="D234" s="726"/>
      <c r="E234" s="724"/>
      <c r="F234" s="727"/>
      <c r="G234" s="728"/>
      <c r="H234" s="728"/>
      <c r="I234" s="728"/>
      <c r="J234" s="728"/>
      <c r="K234" s="728"/>
      <c r="L234" s="724"/>
      <c r="M234" s="729"/>
    </row>
    <row r="235" spans="1:13" s="718" customFormat="1" ht="21" customHeight="1">
      <c r="A235" s="724"/>
      <c r="B235" s="725" t="s">
        <v>6014</v>
      </c>
      <c r="C235" s="726" t="s">
        <v>6015</v>
      </c>
      <c r="D235" s="726" t="str">
        <f t="shared" ref="D235:D240" si="26">SUBSTITUTE(CONCATENATE(B:B,C:C,E:E)," ","")</f>
        <v>합판T11.5mm*4'*8'M2</v>
      </c>
      <c r="E235" s="724" t="s">
        <v>59</v>
      </c>
      <c r="F235" s="727">
        <v>2.1</v>
      </c>
      <c r="G235" s="728">
        <f>'단가대비표(진열장)'!L35</f>
        <v>8585</v>
      </c>
      <c r="H235" s="728">
        <f t="shared" ref="H235:H240" si="27">TRUNC($F:$F*G:G)</f>
        <v>18028</v>
      </c>
      <c r="I235" s="728">
        <f>IF($E:$E="인",VLOOKUP($B:$B,[140]노임!$B:$H,6,FALSE),VLOOKUP($D:$D,[140]일위목록!$A:$H,7,FALSE))</f>
        <v>0</v>
      </c>
      <c r="J235" s="728">
        <f>TRUNC($F:$F*I:I)</f>
        <v>0</v>
      </c>
      <c r="K235" s="728">
        <f t="shared" ref="K235:K240" si="28">H235+J235</f>
        <v>18028</v>
      </c>
      <c r="L235" s="724" t="str">
        <f>IF($E:$E="인",VLOOKUP($B:$B,[140]단가!$B:$E,3,FALSE),VLOOKUP($D:$D,[140]일위목록!$A:$H,2,FALSE))</f>
        <v>단가-31번</v>
      </c>
      <c r="M235" s="717"/>
    </row>
    <row r="236" spans="1:13" s="718" customFormat="1" ht="21" customHeight="1">
      <c r="A236" s="724"/>
      <c r="B236" s="725" t="s">
        <v>6016</v>
      </c>
      <c r="C236" s="726" t="s">
        <v>6017</v>
      </c>
      <c r="D236" s="726" t="str">
        <f t="shared" si="26"/>
        <v>일반용철못N50Kg</v>
      </c>
      <c r="E236" s="724" t="s">
        <v>6018</v>
      </c>
      <c r="F236" s="727">
        <v>4.3999999999999997E-2</v>
      </c>
      <c r="G236" s="728">
        <f>'단가대비표(진열장)'!L15</f>
        <v>1385</v>
      </c>
      <c r="H236" s="728">
        <f t="shared" si="27"/>
        <v>60</v>
      </c>
      <c r="I236" s="728">
        <f>IF($E:$E="인",VLOOKUP($B:$B,[140]노임!$B:$H,6,FALSE),VLOOKUP($D:$D,[140]일위목록!$A:$H,7,FALSE))</f>
        <v>0</v>
      </c>
      <c r="J236" s="728">
        <f>TRUNC($F:$F*I:I)</f>
        <v>0</v>
      </c>
      <c r="K236" s="728">
        <f t="shared" si="28"/>
        <v>60</v>
      </c>
      <c r="L236" s="724" t="str">
        <f>IF($E:$E="인",VLOOKUP($B:$B,[140]단가!$B:$E,3,FALSE),VLOOKUP($D:$D,[140]일위목록!$A:$H,2,FALSE))</f>
        <v>단가-11번</v>
      </c>
      <c r="M236" s="717"/>
    </row>
    <row r="237" spans="1:13" s="718" customFormat="1" ht="21" customHeight="1">
      <c r="A237" s="724"/>
      <c r="B237" s="725" t="s">
        <v>6019</v>
      </c>
      <c r="C237" s="725">
        <v>205</v>
      </c>
      <c r="D237" s="726" t="str">
        <f t="shared" si="26"/>
        <v>목공용접착제205kg</v>
      </c>
      <c r="E237" s="724" t="s">
        <v>6020</v>
      </c>
      <c r="F237" s="727">
        <v>0.27</v>
      </c>
      <c r="G237" s="728">
        <f>'단가대비표(진열장)'!L60</f>
        <v>3529</v>
      </c>
      <c r="H237" s="728">
        <f t="shared" si="27"/>
        <v>952</v>
      </c>
      <c r="I237" s="728">
        <f>IF($E:$E="인",VLOOKUP($B:$B,[140]노임!$B:$H,6,FALSE),VLOOKUP($D:$D,[140]일위목록!$A:$H,7,FALSE))</f>
        <v>0</v>
      </c>
      <c r="J237" s="728">
        <f>TRUNC($F:$F*I:I)</f>
        <v>0</v>
      </c>
      <c r="K237" s="728">
        <f t="shared" si="28"/>
        <v>952</v>
      </c>
      <c r="L237" s="724" t="str">
        <f>IF($E:$E="인",VLOOKUP($B:$B,[140]단가!$B:$E,3,FALSE),VLOOKUP($D:$D,[140]일위목록!$A:$H,2,FALSE))</f>
        <v>단가-56번</v>
      </c>
      <c r="M237" s="717"/>
    </row>
    <row r="238" spans="1:13" s="718" customFormat="1" ht="21" customHeight="1">
      <c r="A238" s="724"/>
      <c r="B238" s="731" t="s">
        <v>6021</v>
      </c>
      <c r="C238" s="726"/>
      <c r="D238" s="726" t="str">
        <f t="shared" si="26"/>
        <v>건축목공인</v>
      </c>
      <c r="E238" s="724" t="s">
        <v>5862</v>
      </c>
      <c r="F238" s="727">
        <v>0.1656</v>
      </c>
      <c r="G238" s="728">
        <f>IF($E:$E="인",0,VLOOKUP($D:$D,[140]일위목록!$A:$H,6,FALSE))</f>
        <v>0</v>
      </c>
      <c r="H238" s="728">
        <f t="shared" si="27"/>
        <v>0</v>
      </c>
      <c r="I238" s="728">
        <f>'노임(진열장)'!G19</f>
        <v>200925</v>
      </c>
      <c r="J238" s="728">
        <f>TRUNC($F:$F*I:I)</f>
        <v>33273</v>
      </c>
      <c r="K238" s="728">
        <f t="shared" si="28"/>
        <v>33273</v>
      </c>
      <c r="L238" s="724" t="str">
        <f>IF($E:$E="인",VLOOKUP($B:$B,[140]노임!$B:$D,3,FALSE),VLOOKUP($D:$D,[140]일위목록!$A:$H,2,FALSE))</f>
        <v>건설노임-1023</v>
      </c>
      <c r="M238" s="717"/>
    </row>
    <row r="239" spans="1:13" s="718" customFormat="1" ht="21" customHeight="1">
      <c r="A239" s="724"/>
      <c r="B239" s="731" t="s">
        <v>5877</v>
      </c>
      <c r="C239" s="726"/>
      <c r="D239" s="726" t="str">
        <f t="shared" si="26"/>
        <v>보통인부인</v>
      </c>
      <c r="E239" s="724" t="s">
        <v>5862</v>
      </c>
      <c r="F239" s="727">
        <v>1.84E-2</v>
      </c>
      <c r="G239" s="728">
        <f>IF($E:$E="인",0,VLOOKUP($D:$D,[140]일위목록!$A:$H,6,FALSE))</f>
        <v>0</v>
      </c>
      <c r="H239" s="728">
        <f t="shared" si="27"/>
        <v>0</v>
      </c>
      <c r="I239" s="728">
        <f>'노임(진열장)'!G14</f>
        <v>125427</v>
      </c>
      <c r="J239" s="728">
        <f>TRUNC($F:$F*I:I)</f>
        <v>2307</v>
      </c>
      <c r="K239" s="728">
        <f t="shared" si="28"/>
        <v>2307</v>
      </c>
      <c r="L239" s="724" t="str">
        <f>IF($E:$E="인",VLOOKUP($B:$B,[140]노임!$B:$D,3,FALSE),VLOOKUP($D:$D,[140]일위목록!$A:$H,2,FALSE))</f>
        <v>건설노임-1002</v>
      </c>
      <c r="M239" s="717"/>
    </row>
    <row r="240" spans="1:13" s="718" customFormat="1" ht="21" customHeight="1">
      <c r="A240" s="724"/>
      <c r="B240" s="725" t="s">
        <v>5865</v>
      </c>
      <c r="C240" s="726" t="s">
        <v>6022</v>
      </c>
      <c r="D240" s="726" t="str">
        <f t="shared" si="26"/>
        <v>기구손료노무비의2%식</v>
      </c>
      <c r="E240" s="724" t="s">
        <v>5867</v>
      </c>
      <c r="F240" s="727">
        <v>1</v>
      </c>
      <c r="G240" s="728">
        <f>TRUNC(J241*2%)</f>
        <v>711</v>
      </c>
      <c r="H240" s="728">
        <f t="shared" si="27"/>
        <v>711</v>
      </c>
      <c r="I240" s="728"/>
      <c r="J240" s="728"/>
      <c r="K240" s="728">
        <f t="shared" si="28"/>
        <v>711</v>
      </c>
      <c r="L240" s="724"/>
      <c r="M240" s="717"/>
    </row>
    <row r="241" spans="1:13" s="718" customFormat="1" ht="21" customHeight="1">
      <c r="A241" s="724"/>
      <c r="B241" s="725" t="s">
        <v>5901</v>
      </c>
      <c r="C241" s="726"/>
      <c r="D241" s="726" t="str">
        <f>L:L</f>
        <v>제43호표</v>
      </c>
      <c r="E241" s="724"/>
      <c r="F241" s="727"/>
      <c r="G241" s="728"/>
      <c r="H241" s="728">
        <f>SUM(H235:H240)</f>
        <v>19751</v>
      </c>
      <c r="I241" s="728"/>
      <c r="J241" s="728">
        <f>SUM(J235:J240)</f>
        <v>35580</v>
      </c>
      <c r="K241" s="728">
        <f>SUM(K235:K240)</f>
        <v>55331</v>
      </c>
      <c r="L241" s="724" t="str">
        <f>A233</f>
        <v>제43호표</v>
      </c>
      <c r="M241" s="717"/>
    </row>
    <row r="242" spans="1:13" s="718" customFormat="1" ht="21" customHeight="1">
      <c r="A242" s="724"/>
      <c r="B242" s="725"/>
      <c r="C242" s="726"/>
      <c r="D242" s="726"/>
      <c r="E242" s="724"/>
      <c r="F242" s="727"/>
      <c r="G242" s="743"/>
      <c r="H242" s="726"/>
      <c r="I242" s="728"/>
      <c r="J242" s="728"/>
      <c r="K242" s="728"/>
      <c r="L242" s="724"/>
      <c r="M242" s="717"/>
    </row>
    <row r="243" spans="1:13" s="718" customFormat="1" ht="21" customHeight="1">
      <c r="A243" s="724"/>
      <c r="B243" s="725"/>
      <c r="C243" s="726"/>
      <c r="D243" s="726"/>
      <c r="E243" s="724"/>
      <c r="F243" s="727"/>
      <c r="G243" s="743"/>
      <c r="H243" s="726"/>
      <c r="I243" s="728"/>
      <c r="J243" s="728"/>
      <c r="K243" s="728"/>
      <c r="L243" s="724"/>
      <c r="M243" s="717"/>
    </row>
    <row r="244" spans="1:13" s="718" customFormat="1" ht="21" customHeight="1">
      <c r="A244" s="724" t="str">
        <f>"제"&amp;M244&amp;"호표"</f>
        <v>제44호표</v>
      </c>
      <c r="B244" s="739" t="s">
        <v>6023</v>
      </c>
      <c r="C244" s="726" t="s">
        <v>6024</v>
      </c>
      <c r="D244" s="726"/>
      <c r="E244" s="744" t="s">
        <v>59</v>
      </c>
      <c r="F244" s="727"/>
      <c r="G244" s="728"/>
      <c r="H244" s="728"/>
      <c r="I244" s="728"/>
      <c r="J244" s="728"/>
      <c r="K244" s="728"/>
      <c r="L244" s="724"/>
      <c r="M244" s="729">
        <f>M233+1</f>
        <v>44</v>
      </c>
    </row>
    <row r="245" spans="1:13" s="718" customFormat="1" ht="21" customHeight="1">
      <c r="A245" s="724"/>
      <c r="B245" s="725"/>
      <c r="C245" s="726"/>
      <c r="D245" s="726"/>
      <c r="E245" s="724"/>
      <c r="F245" s="727"/>
      <c r="G245" s="728"/>
      <c r="H245" s="728"/>
      <c r="I245" s="728"/>
      <c r="J245" s="728"/>
      <c r="K245" s="728"/>
      <c r="L245" s="724"/>
      <c r="M245" s="717"/>
    </row>
    <row r="246" spans="1:13" s="718" customFormat="1" ht="21" customHeight="1">
      <c r="A246" s="724"/>
      <c r="B246" s="745" t="s">
        <v>6014</v>
      </c>
      <c r="C246" s="745" t="s">
        <v>6025</v>
      </c>
      <c r="D246" s="726" t="str">
        <f>SUBSTITUTE(CONCATENATE(B:B,C:C,E:E)," ","")</f>
        <v>합판T8.5mm*4'*8'M2</v>
      </c>
      <c r="E246" s="724" t="s">
        <v>59</v>
      </c>
      <c r="F246" s="727">
        <v>1.05</v>
      </c>
      <c r="G246" s="728">
        <f>'단가대비표(진열장)'!L34</f>
        <v>6882</v>
      </c>
      <c r="H246" s="728">
        <f>TRUNC($F:$F*G:G)</f>
        <v>7226</v>
      </c>
      <c r="I246" s="728">
        <f>IF($E:$E="인",VLOOKUP($B:$B,[140]노임!$B:$H,6,FALSE),VLOOKUP($D:$D,[140]일위목록!$A:$H,7,FALSE))</f>
        <v>0</v>
      </c>
      <c r="J246" s="728">
        <f>TRUNC($F:$F*I:I)</f>
        <v>0</v>
      </c>
      <c r="K246" s="728">
        <f t="shared" ref="K246:K250" si="29">H246+J246</f>
        <v>7226</v>
      </c>
      <c r="L246" s="724" t="str">
        <f>IF($E:$E="인",VLOOKUP($B:$B,[140]단가!$B:$E,3,FALSE),VLOOKUP($D:$D,[140]일위목록!$A:$H,2,FALSE))</f>
        <v>단가-30번</v>
      </c>
      <c r="M246" s="717"/>
    </row>
    <row r="247" spans="1:13" s="718" customFormat="1" ht="21" customHeight="1">
      <c r="A247" s="724"/>
      <c r="B247" s="725" t="s">
        <v>6016</v>
      </c>
      <c r="C247" s="726" t="s">
        <v>6017</v>
      </c>
      <c r="D247" s="726" t="str">
        <f>SUBSTITUTE(CONCATENATE(B:B,C:C,E:E)," ","")</f>
        <v>일반용철못N50Kg</v>
      </c>
      <c r="E247" s="724" t="s">
        <v>6018</v>
      </c>
      <c r="F247" s="727">
        <v>0.04</v>
      </c>
      <c r="G247" s="728">
        <f>'단가대비표(진열장)'!L15</f>
        <v>1385</v>
      </c>
      <c r="H247" s="728">
        <f>TRUNC($F:$F*G:G)</f>
        <v>55</v>
      </c>
      <c r="I247" s="728">
        <f>IF($E:$E="인",VLOOKUP($B:$B,[140]노임!$B:$H,6,FALSE),VLOOKUP($D:$D,[140]일위목록!$A:$H,7,FALSE))</f>
        <v>0</v>
      </c>
      <c r="J247" s="728">
        <f>TRUNC($F:$F*I:I)</f>
        <v>0</v>
      </c>
      <c r="K247" s="728">
        <f t="shared" si="29"/>
        <v>55</v>
      </c>
      <c r="L247" s="724" t="str">
        <f>IF($E:$E="인",VLOOKUP($B:$B,[140]단가!$B:$E,3,FALSE),VLOOKUP($D:$D,[140]일위목록!$A:$H,2,FALSE))</f>
        <v>단가-11번</v>
      </c>
      <c r="M247" s="717"/>
    </row>
    <row r="248" spans="1:13" s="718" customFormat="1" ht="21" customHeight="1">
      <c r="A248" s="724"/>
      <c r="B248" s="731" t="s">
        <v>6021</v>
      </c>
      <c r="C248" s="726"/>
      <c r="D248" s="726" t="str">
        <f>SUBSTITUTE(CONCATENATE(B:B,C:C,E:E)," ","")</f>
        <v>건축목공인</v>
      </c>
      <c r="E248" s="724" t="s">
        <v>5862</v>
      </c>
      <c r="F248" s="727">
        <v>0.1656</v>
      </c>
      <c r="G248" s="728">
        <f>IF($E:$E="인",0,VLOOKUP($D:$D,[140]일위목록!$A:$H,6,FALSE))</f>
        <v>0</v>
      </c>
      <c r="H248" s="728">
        <f>TRUNC($F:$F*G:G)</f>
        <v>0</v>
      </c>
      <c r="I248" s="728">
        <f>'노임(진열장)'!G19</f>
        <v>200925</v>
      </c>
      <c r="J248" s="728">
        <f>TRUNC($F:$F*I:I)</f>
        <v>33273</v>
      </c>
      <c r="K248" s="728">
        <f t="shared" si="29"/>
        <v>33273</v>
      </c>
      <c r="L248" s="724" t="str">
        <f>IF($E:$E="인",VLOOKUP($B:$B,[140]노임!$B:$D,3,FALSE),VLOOKUP($D:$D,[140]일위목록!$A:$H,2,FALSE))</f>
        <v>건설노임-1023</v>
      </c>
      <c r="M248" s="717"/>
    </row>
    <row r="249" spans="1:13" s="718" customFormat="1" ht="21" customHeight="1">
      <c r="A249" s="724"/>
      <c r="B249" s="731" t="s">
        <v>5877</v>
      </c>
      <c r="C249" s="726"/>
      <c r="D249" s="726" t="str">
        <f>SUBSTITUTE(CONCATENATE(B:B,C:C,E:E)," ","")</f>
        <v>보통인부인</v>
      </c>
      <c r="E249" s="724" t="s">
        <v>5862</v>
      </c>
      <c r="F249" s="727">
        <v>0.1656</v>
      </c>
      <c r="G249" s="728">
        <f>IF($E:$E="인",0,VLOOKUP($D:$D,[140]일위목록!$A:$H,6,FALSE))</f>
        <v>0</v>
      </c>
      <c r="H249" s="728">
        <f>TRUNC($F:$F*G:G)</f>
        <v>0</v>
      </c>
      <c r="I249" s="728">
        <f>'노임(진열장)'!G14</f>
        <v>125427</v>
      </c>
      <c r="J249" s="728">
        <f>TRUNC($F:$F*I:I)</f>
        <v>20770</v>
      </c>
      <c r="K249" s="728">
        <f t="shared" si="29"/>
        <v>20770</v>
      </c>
      <c r="L249" s="724" t="str">
        <f>IF($E:$E="인",VLOOKUP($B:$B,[140]노임!$B:$D,3,FALSE),VLOOKUP($D:$D,[140]일위목록!$A:$H,2,FALSE))</f>
        <v>건설노임-1002</v>
      </c>
      <c r="M249" s="717"/>
    </row>
    <row r="250" spans="1:13" s="718" customFormat="1" ht="21" customHeight="1">
      <c r="A250" s="724"/>
      <c r="B250" s="725" t="s">
        <v>5865</v>
      </c>
      <c r="C250" s="726" t="s">
        <v>6022</v>
      </c>
      <c r="D250" s="726" t="str">
        <f>SUBSTITUTE(CONCATENATE(B:B,C:C,E:E)," ","")</f>
        <v>기구손료노무비의2%식</v>
      </c>
      <c r="E250" s="724" t="s">
        <v>5867</v>
      </c>
      <c r="F250" s="727">
        <v>1</v>
      </c>
      <c r="G250" s="728">
        <f>TRUNC(J251*2%)</f>
        <v>1080</v>
      </c>
      <c r="H250" s="728">
        <f>TRUNC($F:$F*G:G)</f>
        <v>1080</v>
      </c>
      <c r="I250" s="728"/>
      <c r="J250" s="728"/>
      <c r="K250" s="728">
        <f t="shared" si="29"/>
        <v>1080</v>
      </c>
      <c r="L250" s="724"/>
      <c r="M250" s="717"/>
    </row>
    <row r="251" spans="1:13" s="718" customFormat="1" ht="21" customHeight="1">
      <c r="A251" s="724"/>
      <c r="B251" s="725" t="s">
        <v>5901</v>
      </c>
      <c r="C251" s="726"/>
      <c r="D251" s="726" t="str">
        <f>L:L</f>
        <v>제44호표</v>
      </c>
      <c r="E251" s="724"/>
      <c r="F251" s="727"/>
      <c r="G251" s="728"/>
      <c r="H251" s="728">
        <f>SUM(H246:H250)</f>
        <v>8361</v>
      </c>
      <c r="I251" s="728"/>
      <c r="J251" s="728">
        <f>SUM(J246:J250)</f>
        <v>54043</v>
      </c>
      <c r="K251" s="728">
        <f>SUM(K246:K250)</f>
        <v>62404</v>
      </c>
      <c r="L251" s="724" t="str">
        <f>A244</f>
        <v>제44호표</v>
      </c>
      <c r="M251" s="717"/>
    </row>
    <row r="252" spans="1:13" s="718" customFormat="1" ht="21" customHeight="1">
      <c r="A252" s="724"/>
      <c r="B252" s="746"/>
      <c r="C252" s="746"/>
      <c r="D252" s="726"/>
      <c r="E252" s="746"/>
      <c r="F252" s="741"/>
      <c r="G252" s="728"/>
      <c r="H252" s="728"/>
      <c r="I252" s="728"/>
      <c r="J252" s="728"/>
      <c r="K252" s="728"/>
      <c r="L252" s="724"/>
      <c r="M252" s="717"/>
    </row>
    <row r="253" spans="1:13" s="718" customFormat="1" ht="21" customHeight="1">
      <c r="A253" s="724"/>
      <c r="B253" s="746"/>
      <c r="C253" s="746"/>
      <c r="D253" s="726"/>
      <c r="E253" s="746"/>
      <c r="F253" s="741"/>
      <c r="G253" s="728"/>
      <c r="H253" s="728"/>
      <c r="I253" s="728"/>
      <c r="J253" s="728"/>
      <c r="K253" s="728"/>
      <c r="L253" s="724"/>
      <c r="M253" s="717"/>
    </row>
    <row r="254" spans="1:13" s="718" customFormat="1" ht="21" customHeight="1">
      <c r="A254" s="724" t="str">
        <f>"제"&amp;M254&amp;"호표"</f>
        <v>제45호표</v>
      </c>
      <c r="B254" s="725" t="s">
        <v>6026</v>
      </c>
      <c r="C254" s="726"/>
      <c r="D254" s="726"/>
      <c r="E254" s="724" t="s">
        <v>5899</v>
      </c>
      <c r="F254" s="727"/>
      <c r="G254" s="728"/>
      <c r="H254" s="728"/>
      <c r="I254" s="728"/>
      <c r="J254" s="728"/>
      <c r="K254" s="728"/>
      <c r="L254" s="724"/>
      <c r="M254" s="729">
        <f>M244+1</f>
        <v>45</v>
      </c>
    </row>
    <row r="255" spans="1:13" s="718" customFormat="1" ht="21" customHeight="1">
      <c r="A255" s="724"/>
      <c r="B255" s="725"/>
      <c r="C255" s="726"/>
      <c r="D255" s="726"/>
      <c r="E255" s="724"/>
      <c r="F255" s="727"/>
      <c r="G255" s="728"/>
      <c r="H255" s="728"/>
      <c r="I255" s="728"/>
      <c r="J255" s="728"/>
      <c r="K255" s="728"/>
      <c r="L255" s="724"/>
      <c r="M255" s="729"/>
    </row>
    <row r="256" spans="1:13" s="718" customFormat="1" ht="21" customHeight="1">
      <c r="A256" s="724"/>
      <c r="B256" s="725" t="s">
        <v>6027</v>
      </c>
      <c r="C256" s="726" t="s">
        <v>6028</v>
      </c>
      <c r="D256" s="726" t="str">
        <f>SUBSTITUTE(CONCATENATE(B:B,C:C,E:E)," ","")</f>
        <v>코레실SL907프리미엄L</v>
      </c>
      <c r="E256" s="724" t="s">
        <v>1230</v>
      </c>
      <c r="F256" s="727">
        <v>0.08</v>
      </c>
      <c r="G256" s="728">
        <f>IF($E:$E="인",0,VLOOKUP($D:$D,[140]일위목록!$A:$H,6,FALSE))</f>
        <v>10000</v>
      </c>
      <c r="H256" s="728">
        <f>TRUNC($F:$F*G:G)</f>
        <v>800</v>
      </c>
      <c r="I256" s="728">
        <f>IF($E:$E="인",VLOOKUP($B:$B,[140]노임!$B:$H,6,FALSE),VLOOKUP($D:$D,[140]일위목록!$A:$H,7,FALSE))</f>
        <v>0</v>
      </c>
      <c r="J256" s="728">
        <f>TRUNC($F:$F*I:I)</f>
        <v>0</v>
      </c>
      <c r="K256" s="728">
        <f t="shared" ref="K256" si="30">H256+J256</f>
        <v>800</v>
      </c>
      <c r="L256" s="724" t="str">
        <f>IF($E:$E="인",VLOOKUP($B:$B,[140]단가!$B:$E,3,FALSE),VLOOKUP($D:$D,[140]일위목록!$A:$H,2,FALSE))</f>
        <v>단가-17번</v>
      </c>
      <c r="M256" s="717"/>
    </row>
    <row r="257" spans="1:13" s="718" customFormat="1" ht="21" customHeight="1">
      <c r="A257" s="724"/>
      <c r="B257" s="731" t="s">
        <v>6029</v>
      </c>
      <c r="C257" s="726"/>
      <c r="D257" s="726" t="str">
        <f>SUBSTITUTE(CONCATENATE(B:B,C:C,E:E)," ","")</f>
        <v>코킹공인</v>
      </c>
      <c r="E257" s="724" t="s">
        <v>5862</v>
      </c>
      <c r="F257" s="727">
        <v>3.6999999999999998E-2</v>
      </c>
      <c r="G257" s="728">
        <f>IF($E:$E="인",0,VLOOKUP($D:$D,[140]일위목록!$A:$H,6,FALSE))</f>
        <v>0</v>
      </c>
      <c r="H257" s="728">
        <f>TRUNC($F:$F*G:G)</f>
        <v>0</v>
      </c>
      <c r="I257" s="728">
        <f>IF($E:$E="인",VLOOKUP($B:$B,[140]노임!$B:$H,6,FALSE),VLOOKUP($D:$D,[140]일위목록!$A:$H,7,FALSE))</f>
        <v>163904</v>
      </c>
      <c r="J257" s="728">
        <f>TRUNC($F:$F*I:I)</f>
        <v>6064</v>
      </c>
      <c r="K257" s="728">
        <f>H257+J257</f>
        <v>6064</v>
      </c>
      <c r="L257" s="724" t="str">
        <f>IF($E:$E="인",VLOOKUP($B:$B,[140]노임!$B:$D,3,FALSE),VLOOKUP($D:$D,[140]일위목록!$A:$H,2,FALSE))</f>
        <v>건설노임-5007</v>
      </c>
      <c r="M257" s="717"/>
    </row>
    <row r="258" spans="1:13" s="718" customFormat="1" ht="21" customHeight="1">
      <c r="A258" s="724"/>
      <c r="B258" s="731" t="s">
        <v>5999</v>
      </c>
      <c r="C258" s="726" t="s">
        <v>6030</v>
      </c>
      <c r="D258" s="726"/>
      <c r="E258" s="724" t="s">
        <v>5998</v>
      </c>
      <c r="F258" s="727">
        <v>1</v>
      </c>
      <c r="G258" s="728">
        <f>TRUNC(H256)*10%</f>
        <v>80</v>
      </c>
      <c r="H258" s="728">
        <f>TRUNC($F:$F*G:G)</f>
        <v>80</v>
      </c>
      <c r="I258" s="728"/>
      <c r="J258" s="728"/>
      <c r="K258" s="728"/>
      <c r="L258" s="724"/>
      <c r="M258" s="717"/>
    </row>
    <row r="259" spans="1:13" s="718" customFormat="1" ht="21" customHeight="1">
      <c r="A259" s="724"/>
      <c r="B259" s="725" t="s">
        <v>5901</v>
      </c>
      <c r="C259" s="726"/>
      <c r="D259" s="726" t="str">
        <f>L:L</f>
        <v>제45호표</v>
      </c>
      <c r="E259" s="724"/>
      <c r="F259" s="727"/>
      <c r="G259" s="728"/>
      <c r="H259" s="728">
        <f>SUM(H256:H258)</f>
        <v>880</v>
      </c>
      <c r="I259" s="728"/>
      <c r="J259" s="728">
        <f>SUM(J256:J258)</f>
        <v>6064</v>
      </c>
      <c r="K259" s="728">
        <f>H259+J259</f>
        <v>6944</v>
      </c>
      <c r="L259" s="724" t="str">
        <f>A254</f>
        <v>제45호표</v>
      </c>
      <c r="M259" s="717"/>
    </row>
    <row r="260" spans="1:13" s="718" customFormat="1" ht="21" customHeight="1">
      <c r="A260" s="724"/>
      <c r="B260" s="725"/>
      <c r="C260" s="726"/>
      <c r="D260" s="726"/>
      <c r="E260" s="724"/>
      <c r="F260" s="727"/>
      <c r="G260" s="728"/>
      <c r="H260" s="728"/>
      <c r="I260" s="728"/>
      <c r="J260" s="728"/>
      <c r="K260" s="728"/>
      <c r="L260" s="724"/>
      <c r="M260" s="717"/>
    </row>
    <row r="261" spans="1:13" s="718" customFormat="1" ht="21" customHeight="1">
      <c r="A261" s="724"/>
      <c r="B261" s="725"/>
      <c r="C261" s="726"/>
      <c r="D261" s="726"/>
      <c r="E261" s="724"/>
      <c r="F261" s="727"/>
      <c r="G261" s="728"/>
      <c r="H261" s="728"/>
      <c r="I261" s="728"/>
      <c r="J261" s="728"/>
      <c r="K261" s="728"/>
      <c r="L261" s="724"/>
      <c r="M261" s="717"/>
    </row>
    <row r="262" spans="1:13" s="718" customFormat="1" ht="21" customHeight="1">
      <c r="A262" s="724" t="str">
        <f>"제"&amp;M262&amp;"호표"</f>
        <v>제46호표</v>
      </c>
      <c r="B262" s="725" t="s">
        <v>6031</v>
      </c>
      <c r="C262" s="726" t="s">
        <v>6032</v>
      </c>
      <c r="D262" s="726"/>
      <c r="E262" s="724" t="s">
        <v>5899</v>
      </c>
      <c r="F262" s="727"/>
      <c r="G262" s="728"/>
      <c r="H262" s="728"/>
      <c r="I262" s="728"/>
      <c r="J262" s="728"/>
      <c r="K262" s="728"/>
      <c r="L262" s="724"/>
      <c r="M262" s="729">
        <f>M254+1</f>
        <v>46</v>
      </c>
    </row>
    <row r="263" spans="1:13" s="718" customFormat="1" ht="21" customHeight="1">
      <c r="A263" s="724"/>
      <c r="B263" s="725"/>
      <c r="C263" s="726"/>
      <c r="D263" s="726"/>
      <c r="E263" s="724"/>
      <c r="F263" s="727"/>
      <c r="G263" s="728"/>
      <c r="H263" s="728"/>
      <c r="I263" s="728"/>
      <c r="J263" s="728"/>
      <c r="K263" s="728"/>
      <c r="L263" s="724"/>
      <c r="M263" s="729"/>
    </row>
    <row r="264" spans="1:13" s="718" customFormat="1" ht="21" customHeight="1">
      <c r="A264" s="724"/>
      <c r="B264" s="725" t="s">
        <v>6033</v>
      </c>
      <c r="C264" s="726" t="str">
        <f>C262</f>
        <v>40*40*1.4T</v>
      </c>
      <c r="D264" s="726" t="str">
        <f>SUBSTITUTE(CONCATENATE(B:B,C:C,E:E)," ","")</f>
        <v>각파이프40*40*1.4TKG</v>
      </c>
      <c r="E264" s="724" t="s">
        <v>5969</v>
      </c>
      <c r="F264" s="727">
        <f>1.657*1.05</f>
        <v>1.7398500000000001</v>
      </c>
      <c r="G264" s="728">
        <f>IF($E:$E="인",0,VLOOKUP($D:$D,[140]일위목록!$A:$H,6,FALSE))</f>
        <v>1009</v>
      </c>
      <c r="H264" s="728">
        <f>TRUNC($F:$F*G:G)</f>
        <v>1755</v>
      </c>
      <c r="I264" s="728">
        <f>IF($E:$E="인",VLOOKUP($B:$B,[140]노임!$B:$H,6,FALSE),VLOOKUP($D:$D,[140]일위목록!$A:$H,7,FALSE))</f>
        <v>0</v>
      </c>
      <c r="J264" s="728">
        <f>TRUNC($F:$F*I:I)</f>
        <v>0</v>
      </c>
      <c r="K264" s="728">
        <f t="shared" ref="K264" si="31">H264+J264</f>
        <v>1755</v>
      </c>
      <c r="L264" s="724" t="str">
        <f>IF($E:$E="인",VLOOKUP($B:$B,[140]단가!$B:$E,3,FALSE),VLOOKUP($D:$D,[140]일위목록!$A:$H,2,FALSE))</f>
        <v>단가-7번</v>
      </c>
      <c r="M264" s="717"/>
    </row>
    <row r="265" spans="1:13" s="718" customFormat="1" ht="21" customHeight="1">
      <c r="A265" s="724"/>
      <c r="B265" s="725" t="s">
        <v>6034</v>
      </c>
      <c r="C265" s="726"/>
      <c r="D265" s="726" t="str">
        <f>SUBSTITUTE(CONCATENATE(B:B,C:C,E:E)," ","")</f>
        <v>철구조물가공조립KG</v>
      </c>
      <c r="E265" s="724" t="s">
        <v>5969</v>
      </c>
      <c r="F265" s="727">
        <v>1.657</v>
      </c>
      <c r="G265" s="728">
        <f>IF($E:$E="인",0,VLOOKUP($D:$D,[140]일위목록!$A:$H,6,FALSE))</f>
        <v>3233</v>
      </c>
      <c r="H265" s="728">
        <f>TRUNC($F:$F*G:G)</f>
        <v>5357</v>
      </c>
      <c r="I265" s="728">
        <f>IF($E:$E="인",VLOOKUP($B:$B,[140]노임!$B:$H,6,FALSE),VLOOKUP($D:$D,[140]일위목록!$A:$H,7,FALSE))</f>
        <v>7896</v>
      </c>
      <c r="J265" s="728">
        <f>TRUNC($F:$F*I:I)</f>
        <v>13083</v>
      </c>
      <c r="K265" s="728">
        <f>H265+J265</f>
        <v>18440</v>
      </c>
      <c r="L265" s="724" t="str">
        <f>IF($E:$E="인",VLOOKUP($B:$B,[140]단가!$B:$E,3,FALSE),VLOOKUP($D:$D,[140]일위목록!$A:$H,2,FALSE))</f>
        <v>제1호표</v>
      </c>
      <c r="M265" s="717"/>
    </row>
    <row r="266" spans="1:13" s="718" customFormat="1" ht="21" customHeight="1">
      <c r="A266" s="724"/>
      <c r="B266" s="725" t="s">
        <v>6011</v>
      </c>
      <c r="C266" s="726"/>
      <c r="D266" s="726" t="str">
        <f>SUBSTITUTE(CONCATENATE(B:B,C:C,E:E)," ","")</f>
        <v>방청페인트M2</v>
      </c>
      <c r="E266" s="724" t="s">
        <v>5980</v>
      </c>
      <c r="F266" s="727">
        <v>5.2999999999999999E-2</v>
      </c>
      <c r="G266" s="728">
        <f>IF($E:$E="인",0,VLOOKUP($D:$D,[140]일위목록!$A:$H,6,FALSE))</f>
        <v>1577</v>
      </c>
      <c r="H266" s="728">
        <f>TRUNC($F:$F*G:G)</f>
        <v>83</v>
      </c>
      <c r="I266" s="728">
        <f>IF($E:$E="인",VLOOKUP($B:$B,[140]노임!$B:$H,6,FALSE),VLOOKUP($D:$D,[140]일위목록!$A:$H,7,FALSE))</f>
        <v>6287</v>
      </c>
      <c r="J266" s="728">
        <f>TRUNC($F:$F*I:I)</f>
        <v>333</v>
      </c>
      <c r="K266" s="728">
        <f>H266+J266</f>
        <v>416</v>
      </c>
      <c r="L266" s="724" t="str">
        <f>IF($E:$E="인",VLOOKUP($B:$B,[140]단가!$B:$E,3,FALSE),VLOOKUP($D:$D,[140]일위목록!$A:$H,2,FALSE))</f>
        <v>제42호표</v>
      </c>
      <c r="M266" s="717"/>
    </row>
    <row r="267" spans="1:13" s="718" customFormat="1" ht="21" customHeight="1">
      <c r="A267" s="724"/>
      <c r="B267" s="725" t="s">
        <v>5901</v>
      </c>
      <c r="C267" s="726"/>
      <c r="D267" s="726" t="str">
        <f>L:L</f>
        <v>제46호표</v>
      </c>
      <c r="E267" s="724"/>
      <c r="F267" s="727"/>
      <c r="G267" s="728"/>
      <c r="H267" s="728">
        <f>SUM(H264:H266)</f>
        <v>7195</v>
      </c>
      <c r="I267" s="728"/>
      <c r="J267" s="728">
        <f>SUM(J264:J266)</f>
        <v>13416</v>
      </c>
      <c r="K267" s="728">
        <f>H267+J267</f>
        <v>20611</v>
      </c>
      <c r="L267" s="724" t="str">
        <f>A262</f>
        <v>제46호표</v>
      </c>
      <c r="M267" s="717"/>
    </row>
    <row r="268" spans="1:13" s="718" customFormat="1" ht="21" customHeight="1">
      <c r="A268" s="724"/>
      <c r="B268" s="725"/>
      <c r="C268" s="726"/>
      <c r="D268" s="726"/>
      <c r="E268" s="724"/>
      <c r="F268" s="727"/>
      <c r="G268" s="728"/>
      <c r="H268" s="728"/>
      <c r="I268" s="728"/>
      <c r="J268" s="728"/>
      <c r="K268" s="728"/>
      <c r="L268" s="724"/>
      <c r="M268" s="717"/>
    </row>
    <row r="269" spans="1:13" s="718" customFormat="1" ht="21" customHeight="1">
      <c r="A269" s="724"/>
      <c r="B269" s="725"/>
      <c r="C269" s="726"/>
      <c r="D269" s="726"/>
      <c r="E269" s="724"/>
      <c r="F269" s="727"/>
      <c r="G269" s="728"/>
      <c r="H269" s="728"/>
      <c r="I269" s="728"/>
      <c r="J269" s="728"/>
      <c r="K269" s="728"/>
      <c r="L269" s="724"/>
      <c r="M269" s="717"/>
    </row>
    <row r="270" spans="1:13" s="718" customFormat="1" ht="21" customHeight="1">
      <c r="A270" s="724" t="str">
        <f>"제"&amp;M270&amp;"호표"</f>
        <v>제47호표</v>
      </c>
      <c r="B270" s="725" t="s">
        <v>6035</v>
      </c>
      <c r="C270" s="726" t="s">
        <v>6036</v>
      </c>
      <c r="D270" s="726"/>
      <c r="E270" s="724" t="s">
        <v>5899</v>
      </c>
      <c r="F270" s="727"/>
      <c r="G270" s="728"/>
      <c r="H270" s="728"/>
      <c r="I270" s="728"/>
      <c r="J270" s="728"/>
      <c r="K270" s="728"/>
      <c r="L270" s="724"/>
      <c r="M270" s="729">
        <f>M262+1</f>
        <v>47</v>
      </c>
    </row>
    <row r="271" spans="1:13" s="718" customFormat="1" ht="21" customHeight="1">
      <c r="A271" s="724"/>
      <c r="B271" s="725"/>
      <c r="C271" s="726"/>
      <c r="D271" s="726"/>
      <c r="E271" s="724"/>
      <c r="F271" s="727"/>
      <c r="G271" s="728"/>
      <c r="H271" s="728"/>
      <c r="I271" s="728"/>
      <c r="J271" s="728"/>
      <c r="K271" s="728"/>
      <c r="L271" s="724"/>
      <c r="M271" s="729"/>
    </row>
    <row r="272" spans="1:13" s="718" customFormat="1" ht="21" customHeight="1">
      <c r="A272" s="724"/>
      <c r="B272" s="725" t="s">
        <v>6033</v>
      </c>
      <c r="C272" s="726" t="str">
        <f>C270</f>
        <v>50*50*1.4T</v>
      </c>
      <c r="D272" s="726" t="str">
        <f>SUBSTITUTE(CONCATENATE(B:B,C:C,E:E)," ","")</f>
        <v>각파이프50*50*1.4TKG</v>
      </c>
      <c r="E272" s="724" t="s">
        <v>5969</v>
      </c>
      <c r="F272" s="727">
        <v>2.2010000000000001</v>
      </c>
      <c r="G272" s="728">
        <f>IF($E:$E="인",0,VLOOKUP($D:$D,[140]일위목록!$A:$H,6,FALSE))</f>
        <v>1007</v>
      </c>
      <c r="H272" s="728">
        <f>TRUNC($F:$F*G:G)</f>
        <v>2216</v>
      </c>
      <c r="I272" s="728">
        <f>IF($E:$E="인",VLOOKUP($B:$B,[140]노임!$B:$H,6,FALSE),VLOOKUP($D:$D,[140]일위목록!$A:$H,7,FALSE))</f>
        <v>0</v>
      </c>
      <c r="J272" s="728">
        <f>TRUNC($F:$F*I:I)</f>
        <v>0</v>
      </c>
      <c r="K272" s="728">
        <f t="shared" ref="K272:K274" si="32">H272+J272</f>
        <v>2216</v>
      </c>
      <c r="L272" s="724" t="str">
        <f>IF($E:$E="인",VLOOKUP($B:$B,[140]단가!$B:$E,3,FALSE),VLOOKUP($D:$D,[140]일위목록!$A:$H,2,FALSE))</f>
        <v>단가-8번</v>
      </c>
      <c r="M272" s="717"/>
    </row>
    <row r="273" spans="1:13" s="718" customFormat="1" ht="21" customHeight="1">
      <c r="A273" s="724"/>
      <c r="B273" s="725" t="s">
        <v>6034</v>
      </c>
      <c r="C273" s="726"/>
      <c r="D273" s="726" t="str">
        <f>SUBSTITUTE(CONCATENATE(B:B,C:C,E:E)," ","")</f>
        <v>철구조물가공조립KG</v>
      </c>
      <c r="E273" s="724" t="s">
        <v>5969</v>
      </c>
      <c r="F273" s="727">
        <v>2.097</v>
      </c>
      <c r="G273" s="728">
        <f>IF($E:$E="인",0,VLOOKUP($D:$D,[141]일위목록!$A:$H,6,FALSE))</f>
        <v>377</v>
      </c>
      <c r="H273" s="728">
        <f>TRUNC($F:$F*G:G)</f>
        <v>790</v>
      </c>
      <c r="I273" s="728">
        <f>IF($E:$E="인",VLOOKUP($B:$B,[140]노임!$B:$H,6,FALSE),VLOOKUP($D:$D,[140]일위목록!$A:$H,7,FALSE))</f>
        <v>7896</v>
      </c>
      <c r="J273" s="728">
        <f>TRUNC($F:$F*I:I)</f>
        <v>16557</v>
      </c>
      <c r="K273" s="728">
        <f t="shared" si="32"/>
        <v>17347</v>
      </c>
      <c r="L273" s="724" t="str">
        <f>IF($E:$E="인",VLOOKUP($B:$B,[140]단가!$B:$E,3,FALSE),VLOOKUP($D:$D,[140]일위목록!$A:$H,2,FALSE))</f>
        <v>제1호표</v>
      </c>
      <c r="M273" s="717"/>
    </row>
    <row r="274" spans="1:13" s="718" customFormat="1" ht="21" customHeight="1">
      <c r="A274" s="724"/>
      <c r="B274" s="725" t="s">
        <v>6011</v>
      </c>
      <c r="C274" s="726"/>
      <c r="D274" s="726" t="str">
        <f>SUBSTITUTE(CONCATENATE(B:B,C:C,E:E)," ","")</f>
        <v>방청페인트M2</v>
      </c>
      <c r="E274" s="724" t="s">
        <v>5980</v>
      </c>
      <c r="F274" s="727">
        <v>6.7000000000000004E-2</v>
      </c>
      <c r="G274" s="728">
        <f>IF($E:$E="인",0,VLOOKUP($D:$D,[141]일위목록!$A:$H,6,FALSE))</f>
        <v>1577</v>
      </c>
      <c r="H274" s="728">
        <f>TRUNC($F:$F*G:G)</f>
        <v>105</v>
      </c>
      <c r="I274" s="728">
        <f>IF($E:$E="인",VLOOKUP($B:$B,[140]노임!$B:$H,6,FALSE),VLOOKUP($D:$D,[140]일위목록!$A:$H,7,FALSE))</f>
        <v>6287</v>
      </c>
      <c r="J274" s="728">
        <f>TRUNC($F:$F*I:I)</f>
        <v>421</v>
      </c>
      <c r="K274" s="728">
        <f t="shared" si="32"/>
        <v>526</v>
      </c>
      <c r="L274" s="724" t="str">
        <f>IF($E:$E="인",VLOOKUP($B:$B,[140]단가!$B:$E,3,FALSE),VLOOKUP($D:$D,[140]일위목록!$A:$H,2,FALSE))</f>
        <v>제42호표</v>
      </c>
      <c r="M274" s="717"/>
    </row>
    <row r="275" spans="1:13" s="718" customFormat="1" ht="21" customHeight="1">
      <c r="A275" s="724"/>
      <c r="B275" s="725" t="s">
        <v>5901</v>
      </c>
      <c r="C275" s="726"/>
      <c r="D275" s="726" t="str">
        <f>L:L</f>
        <v>제47호표</v>
      </c>
      <c r="E275" s="724"/>
      <c r="F275" s="727"/>
      <c r="G275" s="728"/>
      <c r="H275" s="728">
        <f>SUM(H272:H274)</f>
        <v>3111</v>
      </c>
      <c r="I275" s="728"/>
      <c r="J275" s="728">
        <f>SUM(J272:J274)</f>
        <v>16978</v>
      </c>
      <c r="K275" s="728">
        <f>H275+J275</f>
        <v>20089</v>
      </c>
      <c r="L275" s="724" t="str">
        <f>A270</f>
        <v>제47호표</v>
      </c>
      <c r="M275" s="717"/>
    </row>
    <row r="276" spans="1:13" s="718" customFormat="1" ht="21" customHeight="1">
      <c r="A276" s="724"/>
      <c r="B276" s="725"/>
      <c r="C276" s="726"/>
      <c r="D276" s="726"/>
      <c r="E276" s="724"/>
      <c r="F276" s="727"/>
      <c r="G276" s="728"/>
      <c r="H276" s="728"/>
      <c r="I276" s="728"/>
      <c r="J276" s="728"/>
      <c r="K276" s="728"/>
      <c r="L276" s="724"/>
      <c r="M276" s="717"/>
    </row>
    <row r="277" spans="1:13" s="718" customFormat="1" ht="21" customHeight="1">
      <c r="A277" s="724"/>
      <c r="B277" s="725"/>
      <c r="C277" s="726"/>
      <c r="D277" s="726"/>
      <c r="E277" s="724"/>
      <c r="F277" s="727"/>
      <c r="G277" s="728"/>
      <c r="H277" s="728"/>
      <c r="I277" s="728"/>
      <c r="J277" s="728"/>
      <c r="K277" s="728"/>
      <c r="L277" s="724"/>
      <c r="M277" s="717"/>
    </row>
    <row r="278" spans="1:13" s="718" customFormat="1" ht="21" customHeight="1">
      <c r="A278" s="724" t="str">
        <f>"제"&amp;M278&amp;"호표"</f>
        <v>제48호표</v>
      </c>
      <c r="B278" s="725" t="s">
        <v>6031</v>
      </c>
      <c r="C278" s="726" t="s">
        <v>6037</v>
      </c>
      <c r="D278" s="726"/>
      <c r="E278" s="724" t="s">
        <v>5899</v>
      </c>
      <c r="F278" s="727"/>
      <c r="G278" s="728"/>
      <c r="H278" s="728"/>
      <c r="I278" s="728"/>
      <c r="J278" s="728"/>
      <c r="K278" s="728"/>
      <c r="L278" s="724"/>
      <c r="M278" s="729">
        <f>M270+1</f>
        <v>48</v>
      </c>
    </row>
    <row r="279" spans="1:13" s="718" customFormat="1" ht="21" customHeight="1">
      <c r="A279" s="724"/>
      <c r="B279" s="725"/>
      <c r="C279" s="726"/>
      <c r="D279" s="726"/>
      <c r="E279" s="724"/>
      <c r="F279" s="727"/>
      <c r="G279" s="728"/>
      <c r="H279" s="728"/>
      <c r="I279" s="728"/>
      <c r="J279" s="728"/>
      <c r="K279" s="728"/>
      <c r="L279" s="724"/>
      <c r="M279" s="729"/>
    </row>
    <row r="280" spans="1:13" s="718" customFormat="1" ht="21" customHeight="1">
      <c r="A280" s="724"/>
      <c r="B280" s="725" t="s">
        <v>6033</v>
      </c>
      <c r="C280" s="726" t="str">
        <f>C278</f>
        <v>100*50*2.3T</v>
      </c>
      <c r="D280" s="726" t="str">
        <f>SUBSTITUTE(CONCATENATE(B:B,C:C,E:E)," ","")</f>
        <v>각파이프100*50*2.3TKG</v>
      </c>
      <c r="E280" s="724" t="s">
        <v>5969</v>
      </c>
      <c r="F280" s="727">
        <v>5.4</v>
      </c>
      <c r="G280" s="728">
        <f>IF($E:$E="인",0,VLOOKUP($D:$D,[140]일위목록!$A:$H,6,FALSE))</f>
        <v>871</v>
      </c>
      <c r="H280" s="728">
        <f>TRUNC($F:$F*G:G)</f>
        <v>4703</v>
      </c>
      <c r="I280" s="728">
        <f>IF($E:$E="인",VLOOKUP($B:$B,[140]노임!$B:$H,6,FALSE),VLOOKUP($D:$D,[140]일위목록!$A:$H,7,FALSE))</f>
        <v>0</v>
      </c>
      <c r="J280" s="728">
        <f>TRUNC($F:$F*I:I)</f>
        <v>0</v>
      </c>
      <c r="K280" s="728">
        <f t="shared" ref="K280:K282" si="33">H280+J280</f>
        <v>4703</v>
      </c>
      <c r="L280" s="724" t="str">
        <f>IF($E:$E="인",VLOOKUP($B:$B,[140]단가!$B:$E,3,FALSE),VLOOKUP($D:$D,[140]일위목록!$A:$H,2,FALSE))</f>
        <v>단가-9번</v>
      </c>
      <c r="M280" s="717"/>
    </row>
    <row r="281" spans="1:13" s="718" customFormat="1" ht="21" customHeight="1">
      <c r="A281" s="724"/>
      <c r="B281" s="725" t="s">
        <v>6034</v>
      </c>
      <c r="C281" s="726"/>
      <c r="D281" s="726" t="str">
        <f>SUBSTITUTE(CONCATENATE(B:B,C:C,E:E)," ","")</f>
        <v>철구조물가공조립KG</v>
      </c>
      <c r="E281" s="724" t="s">
        <v>5969</v>
      </c>
      <c r="F281" s="727">
        <v>5.1440000000000001</v>
      </c>
      <c r="G281" s="728">
        <f>IF($E:$E="인",0,VLOOKUP($D:$D,[141]일위목록!$A:$H,6,FALSE))</f>
        <v>377</v>
      </c>
      <c r="H281" s="728">
        <f>TRUNC($F:$F*G:G)</f>
        <v>1939</v>
      </c>
      <c r="I281" s="728">
        <f>IF($E:$E="인",VLOOKUP($B:$B,[140]노임!$B:$H,6,FALSE),VLOOKUP($D:$D,[140]일위목록!$A:$H,7,FALSE))</f>
        <v>7896</v>
      </c>
      <c r="J281" s="728">
        <f>TRUNC($F:$F*I:I)</f>
        <v>40617</v>
      </c>
      <c r="K281" s="728">
        <f t="shared" si="33"/>
        <v>42556</v>
      </c>
      <c r="L281" s="724" t="str">
        <f>IF($E:$E="인",VLOOKUP($B:$B,[140]단가!$B:$E,3,FALSE),VLOOKUP($D:$D,[140]일위목록!$A:$H,2,FALSE))</f>
        <v>제1호표</v>
      </c>
      <c r="M281" s="717"/>
    </row>
    <row r="282" spans="1:13" s="718" customFormat="1" ht="21" customHeight="1">
      <c r="A282" s="724"/>
      <c r="B282" s="725" t="s">
        <v>6011</v>
      </c>
      <c r="C282" s="726"/>
      <c r="D282" s="726" t="str">
        <f>SUBSTITUTE(CONCATENATE(B:B,C:C,E:E)," ","")</f>
        <v>방청페인트M2</v>
      </c>
      <c r="E282" s="724" t="s">
        <v>5980</v>
      </c>
      <c r="F282" s="727">
        <v>0.1</v>
      </c>
      <c r="G282" s="728">
        <f>IF($E:$E="인",0,VLOOKUP($D:$D,[141]일위목록!$A:$H,6,FALSE))</f>
        <v>1577</v>
      </c>
      <c r="H282" s="728">
        <f>TRUNC($F:$F*G:G)</f>
        <v>157</v>
      </c>
      <c r="I282" s="728">
        <f>IF($E:$E="인",VLOOKUP($B:$B,[140]노임!$B:$H,6,FALSE),VLOOKUP($D:$D,[140]일위목록!$A:$H,7,FALSE))</f>
        <v>6287</v>
      </c>
      <c r="J282" s="728">
        <f>TRUNC($F:$F*I:I)</f>
        <v>628</v>
      </c>
      <c r="K282" s="728">
        <f t="shared" si="33"/>
        <v>785</v>
      </c>
      <c r="L282" s="724" t="str">
        <f>IF($E:$E="인",VLOOKUP($B:$B,[140]단가!$B:$E,3,FALSE),VLOOKUP($D:$D,[140]일위목록!$A:$H,2,FALSE))</f>
        <v>제42호표</v>
      </c>
      <c r="M282" s="717"/>
    </row>
    <row r="283" spans="1:13" s="718" customFormat="1" ht="21" customHeight="1">
      <c r="A283" s="724"/>
      <c r="B283" s="725" t="s">
        <v>5901</v>
      </c>
      <c r="C283" s="726"/>
      <c r="D283" s="726" t="str">
        <f>L:L</f>
        <v>제48호표</v>
      </c>
      <c r="E283" s="724"/>
      <c r="F283" s="727"/>
      <c r="G283" s="728"/>
      <c r="H283" s="728">
        <f>SUM(H280:H282)</f>
        <v>6799</v>
      </c>
      <c r="I283" s="728"/>
      <c r="J283" s="728">
        <f>SUM(J280:J282)</f>
        <v>41245</v>
      </c>
      <c r="K283" s="728">
        <f>H283+J283</f>
        <v>48044</v>
      </c>
      <c r="L283" s="724" t="str">
        <f>A278</f>
        <v>제48호표</v>
      </c>
      <c r="M283" s="717"/>
    </row>
    <row r="284" spans="1:13" s="718" customFormat="1" ht="21" customHeight="1">
      <c r="A284" s="724"/>
      <c r="B284" s="725"/>
      <c r="C284" s="726"/>
      <c r="D284" s="726"/>
      <c r="E284" s="724"/>
      <c r="F284" s="727"/>
      <c r="G284" s="728"/>
      <c r="H284" s="728"/>
      <c r="I284" s="728"/>
      <c r="J284" s="728"/>
      <c r="K284" s="728"/>
      <c r="L284" s="724"/>
      <c r="M284" s="717"/>
    </row>
    <row r="285" spans="1:13" s="718" customFormat="1" ht="21" customHeight="1">
      <c r="A285" s="724"/>
      <c r="B285" s="725"/>
      <c r="C285" s="726"/>
      <c r="D285" s="726"/>
      <c r="E285" s="724"/>
      <c r="F285" s="727"/>
      <c r="G285" s="728"/>
      <c r="H285" s="728"/>
      <c r="I285" s="728"/>
      <c r="J285" s="728"/>
      <c r="K285" s="728"/>
      <c r="L285" s="724"/>
      <c r="M285" s="717"/>
    </row>
    <row r="286" spans="1:13" s="718" customFormat="1" ht="21" customHeight="1">
      <c r="A286" s="724" t="str">
        <f>"제"&amp;M286&amp;"호표"</f>
        <v>제49호표</v>
      </c>
      <c r="B286" s="725" t="s">
        <v>6031</v>
      </c>
      <c r="C286" s="726" t="s">
        <v>6038</v>
      </c>
      <c r="D286" s="726"/>
      <c r="E286" s="724" t="s">
        <v>5899</v>
      </c>
      <c r="F286" s="727"/>
      <c r="G286" s="728"/>
      <c r="H286" s="728"/>
      <c r="I286" s="728"/>
      <c r="J286" s="728"/>
      <c r="K286" s="728"/>
      <c r="L286" s="724"/>
      <c r="M286" s="729">
        <f>M278+1</f>
        <v>49</v>
      </c>
    </row>
    <row r="287" spans="1:13" s="718" customFormat="1" ht="21" customHeight="1">
      <c r="A287" s="724"/>
      <c r="B287" s="725"/>
      <c r="C287" s="726"/>
      <c r="D287" s="726"/>
      <c r="E287" s="724"/>
      <c r="F287" s="727"/>
      <c r="G287" s="728"/>
      <c r="H287" s="728"/>
      <c r="I287" s="728"/>
      <c r="J287" s="728"/>
      <c r="K287" s="728"/>
      <c r="L287" s="724"/>
      <c r="M287" s="729"/>
    </row>
    <row r="288" spans="1:13" s="718" customFormat="1" ht="21" customHeight="1">
      <c r="A288" s="724"/>
      <c r="B288" s="725" t="s">
        <v>6033</v>
      </c>
      <c r="C288" s="726" t="str">
        <f>C286</f>
        <v>30*30*1.4T</v>
      </c>
      <c r="D288" s="726" t="str">
        <f>SUBSTITUTE(CONCATENATE(B:B,C:C,E:E)," ","")</f>
        <v>각파이프30*30*1.4TKG</v>
      </c>
      <c r="E288" s="724" t="s">
        <v>5969</v>
      </c>
      <c r="F288" s="727">
        <v>1.2789999999999999</v>
      </c>
      <c r="G288" s="728">
        <f>IF($E:$E="인",0,VLOOKUP($D:$D,[140]일위목록!$A:$H,6,FALSE))</f>
        <v>1018</v>
      </c>
      <c r="H288" s="728">
        <f>TRUNC($F:$F*G:G)</f>
        <v>1302</v>
      </c>
      <c r="I288" s="728">
        <f>IF($E:$E="인",VLOOKUP($B:$B,[140]노임!$B:$H,6,FALSE),VLOOKUP($D:$D,[140]일위목록!$A:$H,7,FALSE))</f>
        <v>0</v>
      </c>
      <c r="J288" s="728">
        <f>TRUNC($F:$F*I:I)</f>
        <v>0</v>
      </c>
      <c r="K288" s="728">
        <f t="shared" ref="K288:K290" si="34">H288+J288</f>
        <v>1302</v>
      </c>
      <c r="L288" s="724" t="str">
        <f>IF($E:$E="인",VLOOKUP($B:$B,[140]단가!$B:$E,3,FALSE),VLOOKUP($D:$D,[140]일위목록!$A:$H,2,FALSE))</f>
        <v>단가-5번</v>
      </c>
      <c r="M288" s="717"/>
    </row>
    <row r="289" spans="1:13" s="718" customFormat="1" ht="21" customHeight="1">
      <c r="A289" s="724"/>
      <c r="B289" s="725" t="s">
        <v>6034</v>
      </c>
      <c r="C289" s="726"/>
      <c r="D289" s="726" t="str">
        <f>SUBSTITUTE(CONCATENATE(B:B,C:C,E:E)," ","")</f>
        <v>철구조물가공조립KG</v>
      </c>
      <c r="E289" s="724" t="s">
        <v>5969</v>
      </c>
      <c r="F289" s="727">
        <v>1.218</v>
      </c>
      <c r="G289" s="728">
        <f>IF($E:$E="인",0,VLOOKUP($D:$D,[141]일위목록!$A:$H,6,FALSE))</f>
        <v>377</v>
      </c>
      <c r="H289" s="728">
        <f>TRUNC($F:$F*G:G)</f>
        <v>459</v>
      </c>
      <c r="I289" s="728">
        <f>IF($E:$E="인",VLOOKUP($B:$B,[140]노임!$B:$H,6,FALSE),VLOOKUP($D:$D,[140]일위목록!$A:$H,7,FALSE))</f>
        <v>7896</v>
      </c>
      <c r="J289" s="728">
        <f>TRUNC($F:$F*I:I)</f>
        <v>9617</v>
      </c>
      <c r="K289" s="728">
        <f t="shared" si="34"/>
        <v>10076</v>
      </c>
      <c r="L289" s="724" t="str">
        <f>IF($E:$E="인",VLOOKUP($B:$B,[140]단가!$B:$E,3,FALSE),VLOOKUP($D:$D,[140]일위목록!$A:$H,2,FALSE))</f>
        <v>제1호표</v>
      </c>
      <c r="M289" s="717"/>
    </row>
    <row r="290" spans="1:13" s="718" customFormat="1" ht="21" customHeight="1">
      <c r="A290" s="724"/>
      <c r="B290" s="725" t="s">
        <v>6011</v>
      </c>
      <c r="C290" s="726"/>
      <c r="D290" s="726" t="str">
        <f>SUBSTITUTE(CONCATENATE(B:B,C:C,E:E)," ","")</f>
        <v>방청페인트M2</v>
      </c>
      <c r="E290" s="724" t="s">
        <v>5980</v>
      </c>
      <c r="F290" s="727">
        <v>0.4</v>
      </c>
      <c r="G290" s="728">
        <f>IF($E:$E="인",0,VLOOKUP($D:$D,[141]일위목록!$A:$H,6,FALSE))</f>
        <v>1577</v>
      </c>
      <c r="H290" s="728">
        <f>TRUNC($F:$F*G:G)</f>
        <v>630</v>
      </c>
      <c r="I290" s="728">
        <f>IF($E:$E="인",VLOOKUP($B:$B,[140]노임!$B:$H,6,FALSE),VLOOKUP($D:$D,[140]일위목록!$A:$H,7,FALSE))</f>
        <v>6287</v>
      </c>
      <c r="J290" s="728">
        <f>TRUNC($F:$F*I:I)</f>
        <v>2514</v>
      </c>
      <c r="K290" s="728">
        <f t="shared" si="34"/>
        <v>3144</v>
      </c>
      <c r="L290" s="724" t="str">
        <f>IF($E:$E="인",VLOOKUP($B:$B,[140]단가!$B:$E,3,FALSE),VLOOKUP($D:$D,[140]일위목록!$A:$H,2,FALSE))</f>
        <v>제42호표</v>
      </c>
      <c r="M290" s="717"/>
    </row>
    <row r="291" spans="1:13" s="718" customFormat="1" ht="21" customHeight="1">
      <c r="A291" s="724"/>
      <c r="B291" s="725" t="s">
        <v>5901</v>
      </c>
      <c r="C291" s="726"/>
      <c r="D291" s="726" t="str">
        <f>L:L</f>
        <v>제49호표</v>
      </c>
      <c r="E291" s="724"/>
      <c r="F291" s="727"/>
      <c r="G291" s="728"/>
      <c r="H291" s="728">
        <f>SUM(H288:H290)</f>
        <v>2391</v>
      </c>
      <c r="I291" s="728"/>
      <c r="J291" s="728">
        <f>SUM(J288:J290)</f>
        <v>12131</v>
      </c>
      <c r="K291" s="728">
        <f>H291+J291</f>
        <v>14522</v>
      </c>
      <c r="L291" s="724" t="str">
        <f>A286</f>
        <v>제49호표</v>
      </c>
      <c r="M291" s="717"/>
    </row>
    <row r="292" spans="1:13" s="718" customFormat="1" ht="21" customHeight="1">
      <c r="A292" s="724"/>
      <c r="B292" s="725"/>
      <c r="C292" s="726"/>
      <c r="D292" s="726"/>
      <c r="E292" s="724"/>
      <c r="F292" s="727"/>
      <c r="G292" s="728"/>
      <c r="H292" s="728"/>
      <c r="I292" s="728"/>
      <c r="J292" s="728"/>
      <c r="K292" s="728"/>
      <c r="L292" s="724"/>
      <c r="M292" s="717"/>
    </row>
    <row r="293" spans="1:13" s="718" customFormat="1" ht="21" customHeight="1">
      <c r="A293" s="724"/>
      <c r="B293" s="725"/>
      <c r="C293" s="726"/>
      <c r="D293" s="726"/>
      <c r="E293" s="724"/>
      <c r="F293" s="727"/>
      <c r="G293" s="728"/>
      <c r="H293" s="728"/>
      <c r="I293" s="728"/>
      <c r="J293" s="728"/>
      <c r="K293" s="728"/>
      <c r="L293" s="724"/>
      <c r="M293" s="717"/>
    </row>
    <row r="294" spans="1:13" s="718" customFormat="1" ht="21" customHeight="1">
      <c r="A294" s="724" t="str">
        <f>"제"&amp;M294&amp;"호표"</f>
        <v>제50호표</v>
      </c>
      <c r="B294" s="725" t="s">
        <v>6039</v>
      </c>
      <c r="C294" s="726" t="s">
        <v>6040</v>
      </c>
      <c r="D294" s="726"/>
      <c r="E294" s="724" t="s">
        <v>5899</v>
      </c>
      <c r="F294" s="727"/>
      <c r="G294" s="728"/>
      <c r="H294" s="728"/>
      <c r="I294" s="728"/>
      <c r="J294" s="728"/>
      <c r="K294" s="728"/>
      <c r="L294" s="724"/>
      <c r="M294" s="729">
        <f>M286+1</f>
        <v>50</v>
      </c>
    </row>
    <row r="295" spans="1:13" s="718" customFormat="1" ht="21" customHeight="1">
      <c r="A295" s="724"/>
      <c r="B295" s="725"/>
      <c r="C295" s="726"/>
      <c r="D295" s="726"/>
      <c r="E295" s="724"/>
      <c r="F295" s="727"/>
      <c r="G295" s="728"/>
      <c r="H295" s="728"/>
      <c r="I295" s="728"/>
      <c r="J295" s="728"/>
      <c r="K295" s="728"/>
      <c r="L295" s="724"/>
      <c r="M295" s="729"/>
    </row>
    <row r="296" spans="1:13" s="718" customFormat="1" ht="21" customHeight="1">
      <c r="A296" s="724"/>
      <c r="B296" s="725" t="s">
        <v>6041</v>
      </c>
      <c r="C296" s="726" t="str">
        <f>C294</f>
        <v>50*50*4T</v>
      </c>
      <c r="D296" s="726" t="str">
        <f>SUBSTITUTE(CONCATENATE(B:B,C:C,E:E)," ","")</f>
        <v>L-형강50*50*4TKG</v>
      </c>
      <c r="E296" s="724" t="s">
        <v>5969</v>
      </c>
      <c r="F296" s="727">
        <f>3.06*1.05</f>
        <v>3.2130000000000001</v>
      </c>
      <c r="G296" s="728">
        <f>IF($E:$E="인",0,VLOOKUP($D:$D,[140]일위목록!$A:$H,6,FALSE))</f>
        <v>875</v>
      </c>
      <c r="H296" s="728">
        <f>TRUNC($F:$F*G:G)</f>
        <v>2811</v>
      </c>
      <c r="I296" s="728">
        <f>IF($E:$E="인",VLOOKUP($B:$B,[140]노임!$B:$H,6,FALSE),VLOOKUP($D:$D,[140]일위목록!$A:$H,7,FALSE))</f>
        <v>0</v>
      </c>
      <c r="J296" s="728">
        <f>TRUNC($F:$F*I:I)</f>
        <v>0</v>
      </c>
      <c r="K296" s="728">
        <f t="shared" ref="K296:K298" si="35">H296+J296</f>
        <v>2811</v>
      </c>
      <c r="L296" s="724" t="str">
        <f>IF($E:$E="인",VLOOKUP($B:$B,[140]단가!$B:$E,3,FALSE),VLOOKUP($D:$D,[140]일위목록!$A:$H,2,FALSE))</f>
        <v>단가-1번</v>
      </c>
      <c r="M296" s="717"/>
    </row>
    <row r="297" spans="1:13" s="718" customFormat="1" ht="21" customHeight="1">
      <c r="A297" s="724"/>
      <c r="B297" s="725" t="s">
        <v>6034</v>
      </c>
      <c r="C297" s="726"/>
      <c r="D297" s="726" t="str">
        <f>SUBSTITUTE(CONCATENATE(B:B,C:C,E:E)," ","")</f>
        <v>철구조물가공조립KG</v>
      </c>
      <c r="E297" s="724" t="s">
        <v>5969</v>
      </c>
      <c r="F297" s="727">
        <v>3.06</v>
      </c>
      <c r="G297" s="728">
        <f>IF($E:$E="인",0,VLOOKUP($D:$D,[141]일위목록!$A:$H,6,FALSE))</f>
        <v>377</v>
      </c>
      <c r="H297" s="728">
        <f>TRUNC($F:$F*G:G)</f>
        <v>1153</v>
      </c>
      <c r="I297" s="728">
        <f>IF($E:$E="인",VLOOKUP($B:$B,[140]노임!$B:$H,6,FALSE),VLOOKUP($D:$D,[140]일위목록!$A:$H,7,FALSE))</f>
        <v>7896</v>
      </c>
      <c r="J297" s="728">
        <f>TRUNC($F:$F*I:I)</f>
        <v>24161</v>
      </c>
      <c r="K297" s="728">
        <f t="shared" si="35"/>
        <v>25314</v>
      </c>
      <c r="L297" s="724" t="str">
        <f>IF($E:$E="인",VLOOKUP($B:$B,[140]단가!$B:$E,3,FALSE),VLOOKUP($D:$D,[140]일위목록!$A:$H,2,FALSE))</f>
        <v>제1호표</v>
      </c>
      <c r="M297" s="717"/>
    </row>
    <row r="298" spans="1:13" s="718" customFormat="1" ht="21" customHeight="1">
      <c r="A298" s="724"/>
      <c r="B298" s="725" t="s">
        <v>6011</v>
      </c>
      <c r="C298" s="726"/>
      <c r="D298" s="726" t="str">
        <f>SUBSTITUTE(CONCATENATE(B:B,C:C,E:E)," ","")</f>
        <v>방청페인트M2</v>
      </c>
      <c r="E298" s="724" t="s">
        <v>5980</v>
      </c>
      <c r="F298" s="727">
        <f>0.2/3</f>
        <v>6.6666666666666666E-2</v>
      </c>
      <c r="G298" s="728">
        <f>IF($E:$E="인",0,VLOOKUP($D:$D,[141]일위목록!$A:$H,6,FALSE))</f>
        <v>1577</v>
      </c>
      <c r="H298" s="728">
        <f>TRUNC($F:$F*G:G)</f>
        <v>105</v>
      </c>
      <c r="I298" s="728">
        <f>IF($E:$E="인",VLOOKUP($B:$B,[140]노임!$B:$H,6,FALSE),VLOOKUP($D:$D,[140]일위목록!$A:$H,7,FALSE))</f>
        <v>6287</v>
      </c>
      <c r="J298" s="728">
        <f>TRUNC($F:$F*I:I)</f>
        <v>419</v>
      </c>
      <c r="K298" s="728">
        <f t="shared" si="35"/>
        <v>524</v>
      </c>
      <c r="L298" s="724" t="str">
        <f>IF($E:$E="인",VLOOKUP($B:$B,[140]단가!$B:$E,3,FALSE),VLOOKUP($D:$D,[140]일위목록!$A:$H,2,FALSE))</f>
        <v>제42호표</v>
      </c>
      <c r="M298" s="717"/>
    </row>
    <row r="299" spans="1:13" s="718" customFormat="1" ht="21" customHeight="1">
      <c r="A299" s="724"/>
      <c r="B299" s="725" t="s">
        <v>5901</v>
      </c>
      <c r="C299" s="726"/>
      <c r="D299" s="726" t="str">
        <f>L:L</f>
        <v>제50호표</v>
      </c>
      <c r="E299" s="724"/>
      <c r="F299" s="727"/>
      <c r="G299" s="728"/>
      <c r="H299" s="728">
        <f>SUM(H296:H298)</f>
        <v>4069</v>
      </c>
      <c r="I299" s="728"/>
      <c r="J299" s="728">
        <f>SUM(J296:J298)</f>
        <v>24580</v>
      </c>
      <c r="K299" s="728">
        <f>H299+J299</f>
        <v>28649</v>
      </c>
      <c r="L299" s="724" t="str">
        <f>A294</f>
        <v>제50호표</v>
      </c>
      <c r="M299" s="717"/>
    </row>
    <row r="300" spans="1:13" s="718" customFormat="1" ht="21" customHeight="1">
      <c r="A300" s="724"/>
      <c r="B300" s="725"/>
      <c r="C300" s="726"/>
      <c r="D300" s="726"/>
      <c r="E300" s="724"/>
      <c r="F300" s="727"/>
      <c r="G300" s="728"/>
      <c r="H300" s="728"/>
      <c r="I300" s="728"/>
      <c r="J300" s="728"/>
      <c r="K300" s="728"/>
      <c r="L300" s="724"/>
      <c r="M300" s="717"/>
    </row>
    <row r="301" spans="1:13" s="718" customFormat="1" ht="21" customHeight="1">
      <c r="A301" s="724"/>
      <c r="B301" s="725"/>
      <c r="C301" s="726"/>
      <c r="D301" s="726"/>
      <c r="E301" s="724"/>
      <c r="F301" s="727"/>
      <c r="G301" s="728"/>
      <c r="H301" s="728"/>
      <c r="I301" s="728"/>
      <c r="J301" s="728"/>
      <c r="K301" s="728"/>
      <c r="L301" s="724"/>
      <c r="M301" s="717"/>
    </row>
    <row r="302" spans="1:13" s="718" customFormat="1" ht="21" customHeight="1">
      <c r="A302" s="724" t="str">
        <f>"제"&amp;M302&amp;"호표"</f>
        <v>제51호표</v>
      </c>
      <c r="B302" s="747" t="s">
        <v>6042</v>
      </c>
      <c r="C302" s="726" t="s">
        <v>6043</v>
      </c>
      <c r="D302" s="726"/>
      <c r="E302" s="724" t="s">
        <v>5980</v>
      </c>
      <c r="F302" s="727"/>
      <c r="G302" s="728"/>
      <c r="H302" s="728"/>
      <c r="I302" s="728"/>
      <c r="J302" s="728"/>
      <c r="K302" s="728"/>
      <c r="L302" s="724"/>
      <c r="M302" s="729">
        <f>M294+1</f>
        <v>51</v>
      </c>
    </row>
    <row r="303" spans="1:13" s="718" customFormat="1" ht="21" customHeight="1">
      <c r="A303" s="724"/>
      <c r="B303" s="725"/>
      <c r="C303" s="726"/>
      <c r="D303" s="726"/>
      <c r="E303" s="724"/>
      <c r="F303" s="727"/>
      <c r="G303" s="728"/>
      <c r="H303" s="728"/>
      <c r="I303" s="728"/>
      <c r="J303" s="728"/>
      <c r="K303" s="728"/>
      <c r="L303" s="724"/>
      <c r="M303" s="729"/>
    </row>
    <row r="304" spans="1:13" s="718" customFormat="1" ht="21" customHeight="1">
      <c r="A304" s="724"/>
      <c r="B304" s="725" t="s">
        <v>6044</v>
      </c>
      <c r="C304" s="726" t="s">
        <v>5886</v>
      </c>
      <c r="D304" s="726" t="str">
        <f>SUBSTITUTE(CONCATENATE(B:B,C:C,E:E)," ","")</f>
        <v>철판T1.6GALV.M2</v>
      </c>
      <c r="E304" s="724" t="s">
        <v>59</v>
      </c>
      <c r="F304" s="727">
        <f>1*1.05</f>
        <v>1.05</v>
      </c>
      <c r="G304" s="728">
        <f>IF($E:$E="인",0,VLOOKUP($D:$D,[140]일위목록!$A:$H,6,FALSE))</f>
        <v>12232</v>
      </c>
      <c r="H304" s="728">
        <f>TRUNC($F:$F*G:G)</f>
        <v>12843</v>
      </c>
      <c r="I304" s="728">
        <f>IF($E:$E="인",VLOOKUP($B:$B,[140]노임!$B:$H,6,FALSE),VLOOKUP($D:$D,[140]일위목록!$A:$H,7,FALSE))</f>
        <v>0</v>
      </c>
      <c r="J304" s="728">
        <f>TRUNC($F:$F*I:I)</f>
        <v>0</v>
      </c>
      <c r="K304" s="728">
        <f t="shared" ref="K304:K307" si="36">H304+J304</f>
        <v>12843</v>
      </c>
      <c r="L304" s="724" t="str">
        <f>IF($E:$E="인",VLOOKUP($B:$B,[140]단가!$B:$E,3,FALSE),VLOOKUP($D:$D,[140]일위목록!$A:$H,2,FALSE))</f>
        <v>단가-3번</v>
      </c>
      <c r="M304" s="717"/>
    </row>
    <row r="305" spans="1:13" s="718" customFormat="1" ht="21" customHeight="1">
      <c r="A305" s="724"/>
      <c r="B305" s="725" t="s">
        <v>6045</v>
      </c>
      <c r="C305" s="726" t="str">
        <f>C304</f>
        <v>T1.6 GALV.</v>
      </c>
      <c r="D305" s="726" t="str">
        <f>SUBSTITUTE(CONCATENATE(B:B,C:C,E:E)," ","")</f>
        <v>절단가공T1.6GALV.M</v>
      </c>
      <c r="E305" s="724" t="s">
        <v>5899</v>
      </c>
      <c r="F305" s="727">
        <f>1+F304/1.1</f>
        <v>1.9545454545454546</v>
      </c>
      <c r="G305" s="728">
        <f>IF($E:$E="인",0,VLOOKUP($D:$D,[141]일위목록!$A:$H,6,FALSE))</f>
        <v>0</v>
      </c>
      <c r="H305" s="728">
        <f>TRUNC($F:$F*G:G)</f>
        <v>0</v>
      </c>
      <c r="I305" s="728">
        <f>IF($E:$E="인",VLOOKUP($B:$B,[140]노임!$B:$H,6,FALSE),VLOOKUP($D:$D,[140]일위목록!$A:$H,7,FALSE))</f>
        <v>2049</v>
      </c>
      <c r="J305" s="728">
        <f>TRUNC($F:$F*I:I)</f>
        <v>4004</v>
      </c>
      <c r="K305" s="728">
        <f t="shared" si="36"/>
        <v>4004</v>
      </c>
      <c r="L305" s="724" t="str">
        <f>IF($E:$E="인",VLOOKUP($B:$B,[140]단가!$B:$E,3,FALSE),VLOOKUP($D:$D,[140]일위목록!$A:$H,2,FALSE))</f>
        <v>제13호표</v>
      </c>
      <c r="M305" s="717"/>
    </row>
    <row r="306" spans="1:13" s="718" customFormat="1" ht="21" customHeight="1">
      <c r="A306" s="724"/>
      <c r="B306" s="725" t="s">
        <v>6046</v>
      </c>
      <c r="C306" s="726"/>
      <c r="D306" s="726" t="str">
        <f>SUBSTITUTE(CONCATENATE(B:B,C:C,E:E)," ","")</f>
        <v>절단가공,용접제작M</v>
      </c>
      <c r="E306" s="724" t="s">
        <v>5899</v>
      </c>
      <c r="F306" s="727">
        <f>1+F304/1.1</f>
        <v>1.9545454545454546</v>
      </c>
      <c r="G306" s="728">
        <f>IF($E:$E="인",0,VLOOKUP($D:$D,[141]일위목록!$A:$H,6,FALSE))</f>
        <v>30</v>
      </c>
      <c r="H306" s="728">
        <f>TRUNC($F:$F*G:G)</f>
        <v>58</v>
      </c>
      <c r="I306" s="728">
        <f>IF($E:$E="인",VLOOKUP($B:$B,[140]노임!$B:$H,6,FALSE),VLOOKUP($D:$D,[140]일위목록!$A:$H,7,FALSE))</f>
        <v>2160</v>
      </c>
      <c r="J306" s="728">
        <f>TRUNC($F:$F*I:I)</f>
        <v>4221</v>
      </c>
      <c r="K306" s="728">
        <f t="shared" si="36"/>
        <v>4279</v>
      </c>
      <c r="L306" s="724" t="str">
        <f>IF($E:$E="인",VLOOKUP($B:$B,[140]단가!$B:$E,3,FALSE),VLOOKUP($D:$D,[140]일위목록!$A:$H,2,FALSE))</f>
        <v>제39호표</v>
      </c>
      <c r="M306" s="717"/>
    </row>
    <row r="307" spans="1:13" s="718" customFormat="1" ht="21" customHeight="1">
      <c r="A307" s="724"/>
      <c r="B307" s="725" t="s">
        <v>6047</v>
      </c>
      <c r="C307" s="726" t="str">
        <f>C304</f>
        <v>T1.6 GALV.</v>
      </c>
      <c r="D307" s="726" t="str">
        <f>SUBSTITUTE(CONCATENATE(B:B,C:C,E:E)," ","")</f>
        <v>잡철물설치T1.6GALV.M2</v>
      </c>
      <c r="E307" s="724" t="s">
        <v>59</v>
      </c>
      <c r="F307" s="727">
        <f>F304</f>
        <v>1.05</v>
      </c>
      <c r="G307" s="728">
        <f>IF($E:$E="인",0,VLOOKUP($D:$D,[141]일위목록!$A:$H,6,FALSE))</f>
        <v>3442</v>
      </c>
      <c r="H307" s="728">
        <f>TRUNC($F:$F*G:G)</f>
        <v>3614</v>
      </c>
      <c r="I307" s="728">
        <f>IF($E:$E="인",VLOOKUP($B:$B,[140]노임!$B:$H,6,FALSE),VLOOKUP($D:$D,[140]일위목록!$A:$H,7,FALSE))</f>
        <v>54417</v>
      </c>
      <c r="J307" s="728">
        <f>TRUNC($F:$F*I:I)</f>
        <v>57137</v>
      </c>
      <c r="K307" s="728">
        <f t="shared" si="36"/>
        <v>60751</v>
      </c>
      <c r="L307" s="724" t="str">
        <f>IF($E:$E="인",VLOOKUP($B:$B,[140]단가!$B:$E,3,FALSE),VLOOKUP($D:$D,[140]일위목록!$A:$H,2,FALSE))</f>
        <v>제6호표</v>
      </c>
      <c r="M307" s="717"/>
    </row>
    <row r="308" spans="1:13" s="718" customFormat="1" ht="21" customHeight="1">
      <c r="A308" s="724"/>
      <c r="B308" s="725" t="s">
        <v>5901</v>
      </c>
      <c r="C308" s="726"/>
      <c r="D308" s="726" t="str">
        <f>L:L</f>
        <v>제51호표</v>
      </c>
      <c r="E308" s="724"/>
      <c r="F308" s="727"/>
      <c r="G308" s="728"/>
      <c r="H308" s="728">
        <f>SUM(H303:H307)</f>
        <v>16515</v>
      </c>
      <c r="I308" s="728"/>
      <c r="J308" s="728">
        <f>SUM(J303:J307)</f>
        <v>65362</v>
      </c>
      <c r="K308" s="728">
        <f>SUM(K303:K307)</f>
        <v>81877</v>
      </c>
      <c r="L308" s="724" t="str">
        <f>A302</f>
        <v>제51호표</v>
      </c>
      <c r="M308" s="717"/>
    </row>
    <row r="309" spans="1:13" s="718" customFormat="1" ht="21" customHeight="1">
      <c r="A309" s="724"/>
      <c r="B309" s="725"/>
      <c r="C309" s="726"/>
      <c r="D309" s="726"/>
      <c r="E309" s="724"/>
      <c r="F309" s="727"/>
      <c r="G309" s="728"/>
      <c r="H309" s="728"/>
      <c r="I309" s="728"/>
      <c r="J309" s="728"/>
      <c r="K309" s="728"/>
      <c r="L309" s="724"/>
      <c r="M309" s="717"/>
    </row>
    <row r="310" spans="1:13" s="718" customFormat="1" ht="21" customHeight="1">
      <c r="A310" s="724"/>
      <c r="B310" s="725"/>
      <c r="C310" s="726"/>
      <c r="D310" s="726"/>
      <c r="E310" s="724"/>
      <c r="F310" s="727"/>
      <c r="G310" s="728"/>
      <c r="H310" s="728"/>
      <c r="I310" s="728"/>
      <c r="J310" s="728"/>
      <c r="K310" s="728"/>
      <c r="L310" s="724"/>
      <c r="M310" s="717"/>
    </row>
    <row r="311" spans="1:13" s="718" customFormat="1" ht="21" customHeight="1">
      <c r="A311" s="724" t="str">
        <f>"제"&amp;M311&amp;"호표"</f>
        <v>제52호표</v>
      </c>
      <c r="B311" s="747" t="s">
        <v>6042</v>
      </c>
      <c r="C311" s="726" t="s">
        <v>6048</v>
      </c>
      <c r="D311" s="726"/>
      <c r="E311" s="724" t="s">
        <v>5980</v>
      </c>
      <c r="F311" s="727"/>
      <c r="G311" s="728"/>
      <c r="H311" s="728"/>
      <c r="I311" s="728"/>
      <c r="J311" s="728"/>
      <c r="K311" s="728"/>
      <c r="L311" s="724"/>
      <c r="M311" s="729">
        <f>M302+1</f>
        <v>52</v>
      </c>
    </row>
    <row r="312" spans="1:13" s="718" customFormat="1" ht="21" customHeight="1">
      <c r="A312" s="724"/>
      <c r="B312" s="725"/>
      <c r="C312" s="726"/>
      <c r="D312" s="726"/>
      <c r="E312" s="724"/>
      <c r="F312" s="727"/>
      <c r="G312" s="728"/>
      <c r="H312" s="728"/>
      <c r="I312" s="728"/>
      <c r="J312" s="728"/>
      <c r="K312" s="728"/>
      <c r="L312" s="724"/>
      <c r="M312" s="729"/>
    </row>
    <row r="313" spans="1:13" s="718" customFormat="1" ht="21" customHeight="1">
      <c r="A313" s="724"/>
      <c r="B313" s="725" t="s">
        <v>6044</v>
      </c>
      <c r="C313" s="726" t="s">
        <v>5882</v>
      </c>
      <c r="D313" s="726" t="str">
        <f>SUBSTITUTE(CONCATENATE(B:B,C:C,E:E)," ","")</f>
        <v>철판T1.2GALV.M2</v>
      </c>
      <c r="E313" s="724" t="s">
        <v>59</v>
      </c>
      <c r="F313" s="727">
        <f>1*1.05</f>
        <v>1.05</v>
      </c>
      <c r="G313" s="728">
        <f>IF($E:$E="인",0,VLOOKUP($D:$D,[140]일위목록!$A:$H,6,FALSE))</f>
        <v>9232</v>
      </c>
      <c r="H313" s="728">
        <f>TRUNC($F:$F*G:G)</f>
        <v>9693</v>
      </c>
      <c r="I313" s="728">
        <f>IF($E:$E="인",VLOOKUP($B:$B,[140]노임!$B:$H,6,FALSE),VLOOKUP($D:$D,[140]일위목록!$A:$H,7,FALSE))</f>
        <v>0</v>
      </c>
      <c r="J313" s="728">
        <f>TRUNC($F:$F*I:I)</f>
        <v>0</v>
      </c>
      <c r="K313" s="728">
        <f t="shared" ref="K313:K316" si="37">H313+J313</f>
        <v>9693</v>
      </c>
      <c r="L313" s="724" t="str">
        <f>IF($E:$E="인",VLOOKUP($B:$B,[140]단가!$B:$E,3,FALSE),VLOOKUP($D:$D,[140]일위목록!$A:$H,2,FALSE))</f>
        <v>단가-2번</v>
      </c>
      <c r="M313" s="717"/>
    </row>
    <row r="314" spans="1:13" s="718" customFormat="1" ht="21" customHeight="1">
      <c r="A314" s="724"/>
      <c r="B314" s="725" t="s">
        <v>6045</v>
      </c>
      <c r="C314" s="726" t="str">
        <f>C313</f>
        <v>T1.2 GALV.</v>
      </c>
      <c r="D314" s="726" t="str">
        <f>SUBSTITUTE(CONCATENATE(B:B,C:C,E:E)," ","")</f>
        <v>절단가공T1.2GALV.M</v>
      </c>
      <c r="E314" s="724" t="s">
        <v>5899</v>
      </c>
      <c r="F314" s="727">
        <f>1+F313/1.1</f>
        <v>1.9545454545454546</v>
      </c>
      <c r="G314" s="728">
        <f>IF($E:$E="인",0,VLOOKUP($D:$D,[141]일위목록!$A:$H,6,FALSE))</f>
        <v>0</v>
      </c>
      <c r="H314" s="728">
        <f>TRUNC($F:$F*G:G)</f>
        <v>0</v>
      </c>
      <c r="I314" s="728">
        <f>IF($E:$E="인",VLOOKUP($B:$B,[140]노임!$B:$H,6,FALSE),VLOOKUP($D:$D,[140]일위목록!$A:$H,7,FALSE))</f>
        <v>1708</v>
      </c>
      <c r="J314" s="728">
        <f>TRUNC($F:$F*I:I)</f>
        <v>3338</v>
      </c>
      <c r="K314" s="728">
        <f t="shared" si="37"/>
        <v>3338</v>
      </c>
      <c r="L314" s="724" t="str">
        <f>IF($E:$E="인",VLOOKUP($B:$B,[140]단가!$B:$E,3,FALSE),VLOOKUP($D:$D,[140]일위목록!$A:$H,2,FALSE))</f>
        <v>제12호표</v>
      </c>
      <c r="M314" s="717"/>
    </row>
    <row r="315" spans="1:13" s="718" customFormat="1" ht="21" customHeight="1">
      <c r="A315" s="724"/>
      <c r="B315" s="725" t="s">
        <v>6046</v>
      </c>
      <c r="C315" s="726"/>
      <c r="D315" s="726" t="str">
        <f>SUBSTITUTE(CONCATENATE(B:B,C:C,E:E)," ","")</f>
        <v>절단가공,용접제작M</v>
      </c>
      <c r="E315" s="724" t="s">
        <v>5899</v>
      </c>
      <c r="F315" s="727">
        <f>1+F313/1.1</f>
        <v>1.9545454545454546</v>
      </c>
      <c r="G315" s="728">
        <f>IF($E:$E="인",0,VLOOKUP($D:$D,[141]일위목록!$A:$H,6,FALSE))</f>
        <v>30</v>
      </c>
      <c r="H315" s="728">
        <f>TRUNC($F:$F*G:G)</f>
        <v>58</v>
      </c>
      <c r="I315" s="728">
        <f>IF($E:$E="인",VLOOKUP($B:$B,[140]노임!$B:$H,6,FALSE),VLOOKUP($D:$D,[140]일위목록!$A:$H,7,FALSE))</f>
        <v>2160</v>
      </c>
      <c r="J315" s="728">
        <f>TRUNC($F:$F*I:I)</f>
        <v>4221</v>
      </c>
      <c r="K315" s="728">
        <f t="shared" si="37"/>
        <v>4279</v>
      </c>
      <c r="L315" s="724" t="str">
        <f>IF($E:$E="인",VLOOKUP($B:$B,[140]단가!$B:$E,3,FALSE),VLOOKUP($D:$D,[140]일위목록!$A:$H,2,FALSE))</f>
        <v>제39호표</v>
      </c>
      <c r="M315" s="717"/>
    </row>
    <row r="316" spans="1:13" s="718" customFormat="1" ht="21" customHeight="1">
      <c r="A316" s="724"/>
      <c r="B316" s="725" t="s">
        <v>6049</v>
      </c>
      <c r="C316" s="726" t="str">
        <f>C313</f>
        <v>T1.2 GALV.</v>
      </c>
      <c r="D316" s="726" t="str">
        <f>SUBSTITUTE(CONCATENATE(B:B,C:C,E:E)," ","")</f>
        <v>잡철물설치T1.2GALV.M2</v>
      </c>
      <c r="E316" s="724" t="s">
        <v>59</v>
      </c>
      <c r="F316" s="727">
        <f>F313</f>
        <v>1.05</v>
      </c>
      <c r="G316" s="728">
        <f>IF($E:$E="인",0,VLOOKUP($D:$D,[141]일위목록!$A:$H,6,FALSE))</f>
        <v>2092</v>
      </c>
      <c r="H316" s="728">
        <f>TRUNC($F:$F*G:G)</f>
        <v>2196</v>
      </c>
      <c r="I316" s="728">
        <f>IF($E:$E="인",VLOOKUP($B:$B,[140]노임!$B:$H,6,FALSE),VLOOKUP($D:$D,[140]일위목록!$A:$H,7,FALSE))</f>
        <v>33077</v>
      </c>
      <c r="J316" s="728">
        <f>TRUNC($F:$F*I:I)</f>
        <v>34730</v>
      </c>
      <c r="K316" s="728">
        <f t="shared" si="37"/>
        <v>36926</v>
      </c>
      <c r="L316" s="724" t="str">
        <f>IF($E:$E="인",VLOOKUP($B:$B,[140]단가!$B:$E,3,FALSE),VLOOKUP($D:$D,[140]일위목록!$A:$H,2,FALSE))</f>
        <v>제4호표</v>
      </c>
      <c r="M316" s="717"/>
    </row>
    <row r="317" spans="1:13" s="718" customFormat="1" ht="21" customHeight="1">
      <c r="A317" s="724"/>
      <c r="B317" s="725" t="s">
        <v>5901</v>
      </c>
      <c r="C317" s="726"/>
      <c r="D317" s="726" t="str">
        <f>L:L</f>
        <v>제52호표</v>
      </c>
      <c r="E317" s="724"/>
      <c r="F317" s="727"/>
      <c r="G317" s="728"/>
      <c r="H317" s="728">
        <f>SUM(H312:H316)</f>
        <v>11947</v>
      </c>
      <c r="I317" s="728"/>
      <c r="J317" s="728">
        <f>SUM(J312:J316)</f>
        <v>42289</v>
      </c>
      <c r="K317" s="728">
        <f>SUM(K312:K316)</f>
        <v>54236</v>
      </c>
      <c r="L317" s="724" t="str">
        <f>A311</f>
        <v>제52호표</v>
      </c>
      <c r="M317" s="717"/>
    </row>
    <row r="318" spans="1:13" s="718" customFormat="1" ht="21" customHeight="1">
      <c r="A318" s="724"/>
      <c r="B318" s="725"/>
      <c r="C318" s="726"/>
      <c r="D318" s="726"/>
      <c r="E318" s="724"/>
      <c r="F318" s="727"/>
      <c r="G318" s="728"/>
      <c r="H318" s="728"/>
      <c r="I318" s="728"/>
      <c r="J318" s="728"/>
      <c r="K318" s="728"/>
      <c r="L318" s="724"/>
      <c r="M318" s="717"/>
    </row>
    <row r="319" spans="1:13" s="718" customFormat="1" ht="21" customHeight="1">
      <c r="A319" s="724"/>
      <c r="B319" s="725"/>
      <c r="C319" s="726"/>
      <c r="D319" s="726"/>
      <c r="E319" s="724"/>
      <c r="F319" s="727"/>
      <c r="G319" s="728"/>
      <c r="H319" s="728"/>
      <c r="I319" s="728"/>
      <c r="J319" s="728"/>
      <c r="K319" s="728"/>
      <c r="L319" s="724"/>
      <c r="M319" s="717"/>
    </row>
    <row r="320" spans="1:13" s="718" customFormat="1" ht="21" customHeight="1">
      <c r="A320" s="724" t="str">
        <f>"제"&amp;M320&amp;"호표"</f>
        <v>제53호표</v>
      </c>
      <c r="B320" s="748" t="s">
        <v>6050</v>
      </c>
      <c r="C320" s="749"/>
      <c r="D320" s="726"/>
      <c r="E320" s="724" t="s">
        <v>5899</v>
      </c>
      <c r="F320" s="727"/>
      <c r="G320" s="728"/>
      <c r="H320" s="728"/>
      <c r="I320" s="728"/>
      <c r="J320" s="728"/>
      <c r="K320" s="728"/>
      <c r="L320" s="724"/>
      <c r="M320" s="729">
        <f>M311+1</f>
        <v>53</v>
      </c>
    </row>
    <row r="321" spans="1:13" s="718" customFormat="1" ht="21" customHeight="1">
      <c r="A321" s="724"/>
      <c r="B321" s="731"/>
      <c r="C321" s="726"/>
      <c r="D321" s="726"/>
      <c r="E321" s="724"/>
      <c r="F321" s="727"/>
      <c r="G321" s="728"/>
      <c r="H321" s="728"/>
      <c r="I321" s="728"/>
      <c r="J321" s="728"/>
      <c r="K321" s="728"/>
      <c r="L321" s="724"/>
      <c r="M321" s="717"/>
    </row>
    <row r="322" spans="1:13" s="718" customFormat="1" ht="21" customHeight="1">
      <c r="A322" s="724"/>
      <c r="B322" s="731" t="s">
        <v>6051</v>
      </c>
      <c r="C322" s="726"/>
      <c r="D322" s="726" t="str">
        <f>SUBSTITUTE(CONCATENATE(B:B,C:C,E:E)," ","")</f>
        <v>단순노무종사원인</v>
      </c>
      <c r="E322" s="724" t="s">
        <v>5862</v>
      </c>
      <c r="F322" s="727">
        <v>0.01</v>
      </c>
      <c r="G322" s="728">
        <f>IF($E:$E="인",0,VLOOKUP($D:$D,[141]일위목록!$A:$H,6,FALSE))</f>
        <v>0</v>
      </c>
      <c r="H322" s="728">
        <f>TRUNC($F:$F*G:G)</f>
        <v>0</v>
      </c>
      <c r="I322" s="728">
        <f>IF($E:$E="인",VLOOKUP($B:$B,[140]노임!$B:$H,6,FALSE),VLOOKUP($D:$D,[140]일위목록!$A:$H,7,FALSE))</f>
        <v>72020</v>
      </c>
      <c r="J322" s="728">
        <f>TRUNC($F:$F*I:I)</f>
        <v>720</v>
      </c>
      <c r="K322" s="728">
        <f t="shared" ref="K322" si="38">H322+J322</f>
        <v>720</v>
      </c>
      <c r="L322" s="724" t="e">
        <f>IF($E:$E="인",VLOOKUP($B:$B,[140]단가!$B:$E,3,FALSE),VLOOKUP($D:$D,[140]일위목록!$A:$H,2,FALSE))</f>
        <v>#N/A</v>
      </c>
      <c r="M322" s="717"/>
    </row>
    <row r="323" spans="1:13" s="718" customFormat="1" ht="21" customHeight="1">
      <c r="A323" s="724"/>
      <c r="B323" s="725" t="s">
        <v>5901</v>
      </c>
      <c r="C323" s="726"/>
      <c r="D323" s="726" t="str">
        <f>L:L</f>
        <v>제53호표</v>
      </c>
      <c r="E323" s="724"/>
      <c r="F323" s="727"/>
      <c r="G323" s="728"/>
      <c r="H323" s="728">
        <f>SUM(H321:H322)</f>
        <v>0</v>
      </c>
      <c r="I323" s="728"/>
      <c r="J323" s="728">
        <f>SUM(J321:J322)</f>
        <v>720</v>
      </c>
      <c r="K323" s="728">
        <f>SUM(K321:K322)</f>
        <v>720</v>
      </c>
      <c r="L323" s="724" t="str">
        <f>A320</f>
        <v>제53호표</v>
      </c>
      <c r="M323" s="717"/>
    </row>
    <row r="324" spans="1:13" s="718" customFormat="1" ht="21" customHeight="1">
      <c r="A324" s="724"/>
      <c r="B324" s="725"/>
      <c r="C324" s="726"/>
      <c r="D324" s="726"/>
      <c r="E324" s="724"/>
      <c r="F324" s="727"/>
      <c r="G324" s="728"/>
      <c r="H324" s="728"/>
      <c r="I324" s="728"/>
      <c r="J324" s="728"/>
      <c r="K324" s="728"/>
      <c r="L324" s="724"/>
      <c r="M324" s="717"/>
    </row>
    <row r="325" spans="1:13" s="718" customFormat="1" ht="21" customHeight="1">
      <c r="A325" s="724"/>
      <c r="B325" s="725"/>
      <c r="C325" s="726"/>
      <c r="D325" s="726"/>
      <c r="E325" s="724"/>
      <c r="F325" s="727"/>
      <c r="G325" s="728"/>
      <c r="H325" s="728"/>
      <c r="I325" s="728"/>
      <c r="J325" s="728"/>
      <c r="K325" s="728"/>
      <c r="L325" s="724"/>
      <c r="M325" s="717"/>
    </row>
    <row r="326" spans="1:13" s="718" customFormat="1" ht="21" customHeight="1">
      <c r="A326" s="724" t="str">
        <f>"제"&amp;M326&amp;"호표"</f>
        <v>제54호표</v>
      </c>
      <c r="B326" s="750" t="s">
        <v>6052</v>
      </c>
      <c r="C326" s="733" t="s">
        <v>6043</v>
      </c>
      <c r="D326" s="726"/>
      <c r="E326" s="724" t="s">
        <v>5899</v>
      </c>
      <c r="F326" s="727"/>
      <c r="G326" s="728"/>
      <c r="H326" s="728"/>
      <c r="I326" s="728"/>
      <c r="J326" s="728"/>
      <c r="K326" s="728"/>
      <c r="L326" s="724"/>
      <c r="M326" s="729">
        <f>M320+1</f>
        <v>54</v>
      </c>
    </row>
    <row r="327" spans="1:13" s="718" customFormat="1" ht="21" customHeight="1">
      <c r="A327" s="724"/>
      <c r="B327" s="750"/>
      <c r="C327" s="733"/>
      <c r="D327" s="726"/>
      <c r="E327" s="724"/>
      <c r="F327" s="727"/>
      <c r="G327" s="728"/>
      <c r="H327" s="728"/>
      <c r="I327" s="728"/>
      <c r="J327" s="728"/>
      <c r="K327" s="728"/>
      <c r="L327" s="724"/>
      <c r="M327" s="729"/>
    </row>
    <row r="328" spans="1:13" s="718" customFormat="1" ht="21" customHeight="1">
      <c r="A328" s="724"/>
      <c r="B328" s="725" t="s">
        <v>6044</v>
      </c>
      <c r="C328" s="726" t="s">
        <v>5886</v>
      </c>
      <c r="D328" s="726" t="str">
        <f>SUBSTITUTE(CONCATENATE(B:B,C:C,E:E)," ","")</f>
        <v>철판T1.6GALV.M2</v>
      </c>
      <c r="E328" s="724" t="s">
        <v>59</v>
      </c>
      <c r="F328" s="727">
        <f>0.21*1.1</f>
        <v>0.23100000000000001</v>
      </c>
      <c r="G328" s="728">
        <f>IF($E:$E="인",0,VLOOKUP($D:$D,[140]일위목록!$A:$H,6,FALSE))</f>
        <v>12232</v>
      </c>
      <c r="H328" s="728">
        <f>TRUNC($F:$F*G:G)</f>
        <v>2825</v>
      </c>
      <c r="I328" s="728">
        <f>IF($E:$E="인",VLOOKUP($B:$B,[140]노임!$B:$H,6,FALSE),VLOOKUP($D:$D,[140]일위목록!$A:$H,7,FALSE))</f>
        <v>0</v>
      </c>
      <c r="J328" s="728">
        <f>TRUNC($F:$F*I:I)</f>
        <v>0</v>
      </c>
      <c r="K328" s="728">
        <f t="shared" ref="K328:K330" si="39">H328+J328</f>
        <v>2825</v>
      </c>
      <c r="L328" s="724" t="str">
        <f>IF($E:$E="인",VLOOKUP($B:$B,[140]단가!$B:$E,3,FALSE),VLOOKUP($D:$D,[140]일위목록!$A:$H,2,FALSE))</f>
        <v>단가-3번</v>
      </c>
      <c r="M328" s="717"/>
    </row>
    <row r="329" spans="1:13" s="718" customFormat="1" ht="21" customHeight="1">
      <c r="A329" s="724"/>
      <c r="B329" s="725" t="s">
        <v>6047</v>
      </c>
      <c r="C329" s="726" t="str">
        <f>C328</f>
        <v>T1.6 GALV.</v>
      </c>
      <c r="D329" s="726" t="str">
        <f>SUBSTITUTE(CONCATENATE(B:B,C:C,E:E)," ","")</f>
        <v>잡철물설치T1.6GALV.M2</v>
      </c>
      <c r="E329" s="724" t="s">
        <v>59</v>
      </c>
      <c r="F329" s="727">
        <f>F328</f>
        <v>0.23100000000000001</v>
      </c>
      <c r="G329" s="728">
        <f>IF($E:$E="인",0,VLOOKUP($D:$D,[141]일위목록!$A:$H,6,FALSE))</f>
        <v>3442</v>
      </c>
      <c r="H329" s="728">
        <f>TRUNC($F:$F*G:G)</f>
        <v>795</v>
      </c>
      <c r="I329" s="728">
        <f>IF($E:$E="인",VLOOKUP($B:$B,[140]노임!$B:$H,6,FALSE),VLOOKUP($D:$D,[140]일위목록!$A:$H,7,FALSE))</f>
        <v>54417</v>
      </c>
      <c r="J329" s="728">
        <f>TRUNC($F:$F*I:I)</f>
        <v>12570</v>
      </c>
      <c r="K329" s="728">
        <f t="shared" si="39"/>
        <v>13365</v>
      </c>
      <c r="L329" s="724" t="str">
        <f>IF($E:$E="인",VLOOKUP($B:$B,[140]단가!$B:$E,3,FALSE),VLOOKUP($D:$D,[140]일위목록!$A:$H,2,FALSE))</f>
        <v>제6호표</v>
      </c>
      <c r="M329" s="717"/>
    </row>
    <row r="330" spans="1:13" s="718" customFormat="1" ht="21" customHeight="1">
      <c r="A330" s="724"/>
      <c r="B330" s="725" t="s">
        <v>6053</v>
      </c>
      <c r="C330" s="726" t="s">
        <v>6054</v>
      </c>
      <c r="D330" s="726" t="str">
        <f>SUBSTITUTE(CONCATENATE(B:B,C:C,E:E)," ","")</f>
        <v>우레탄칼라락카도장철재면기준M2</v>
      </c>
      <c r="E330" s="724" t="s">
        <v>59</v>
      </c>
      <c r="F330" s="727">
        <f>0.21/1.1</f>
        <v>0.19090909090909089</v>
      </c>
      <c r="G330" s="728">
        <f>IF($E:$E="인",0,VLOOKUP($D:$D,[141]일위목록!$A:$H,6,FALSE))</f>
        <v>15992</v>
      </c>
      <c r="H330" s="728">
        <f>TRUNC($F:$F*G:G)</f>
        <v>3053</v>
      </c>
      <c r="I330" s="728">
        <f>IF($E:$E="인",VLOOKUP($B:$B,[140]노임!$B:$H,6,FALSE),VLOOKUP($D:$D,[140]일위목록!$A:$H,7,FALSE))</f>
        <v>22265</v>
      </c>
      <c r="J330" s="728">
        <f>TRUNC($F:$F*I:I)</f>
        <v>4250</v>
      </c>
      <c r="K330" s="728">
        <f t="shared" si="39"/>
        <v>7303</v>
      </c>
      <c r="L330" s="724" t="str">
        <f>IF($E:$E="인",VLOOKUP($B:$B,[140]단가!$B:$E,3,FALSE),VLOOKUP($D:$D,[140]일위목록!$A:$H,2,FALSE))</f>
        <v>제40호표</v>
      </c>
      <c r="M330" s="717"/>
    </row>
    <row r="331" spans="1:13" s="718" customFormat="1" ht="21" customHeight="1">
      <c r="A331" s="724"/>
      <c r="B331" s="725" t="s">
        <v>5901</v>
      </c>
      <c r="C331" s="726"/>
      <c r="D331" s="726" t="str">
        <f>L:L</f>
        <v>제54호표</v>
      </c>
      <c r="E331" s="724"/>
      <c r="F331" s="727"/>
      <c r="G331" s="728"/>
      <c r="H331" s="728">
        <f>SUM(H328:H330)</f>
        <v>6673</v>
      </c>
      <c r="I331" s="728"/>
      <c r="J331" s="728">
        <f>SUM(J328:J330)</f>
        <v>16820</v>
      </c>
      <c r="K331" s="728">
        <f>SUM(K328:K330)</f>
        <v>23493</v>
      </c>
      <c r="L331" s="724" t="str">
        <f>A326</f>
        <v>제54호표</v>
      </c>
      <c r="M331" s="717"/>
    </row>
    <row r="332" spans="1:13" s="718" customFormat="1" ht="21" customHeight="1">
      <c r="A332" s="724"/>
      <c r="B332" s="725"/>
      <c r="C332" s="726"/>
      <c r="D332" s="726"/>
      <c r="E332" s="724"/>
      <c r="F332" s="727"/>
      <c r="G332" s="728"/>
      <c r="H332" s="728"/>
      <c r="I332" s="728"/>
      <c r="J332" s="728"/>
      <c r="K332" s="728"/>
      <c r="L332" s="724"/>
      <c r="M332" s="717"/>
    </row>
    <row r="333" spans="1:13" s="718" customFormat="1" ht="21" customHeight="1">
      <c r="A333" s="724"/>
      <c r="B333" s="725"/>
      <c r="C333" s="726"/>
      <c r="D333" s="726"/>
      <c r="E333" s="724"/>
      <c r="F333" s="727"/>
      <c r="G333" s="728"/>
      <c r="H333" s="728"/>
      <c r="I333" s="728"/>
      <c r="J333" s="728"/>
      <c r="K333" s="728"/>
      <c r="L333" s="724"/>
      <c r="M333" s="717"/>
    </row>
    <row r="334" spans="1:13" s="718" customFormat="1" ht="21" customHeight="1">
      <c r="A334" s="724" t="str">
        <f>"제"&amp;M334&amp;"호표"</f>
        <v>제55호표</v>
      </c>
      <c r="B334" s="750" t="s">
        <v>6055</v>
      </c>
      <c r="C334" s="751" t="s">
        <v>6056</v>
      </c>
      <c r="D334" s="726"/>
      <c r="E334" s="724" t="s">
        <v>5980</v>
      </c>
      <c r="F334" s="727"/>
      <c r="G334" s="728"/>
      <c r="H334" s="728"/>
      <c r="I334" s="728"/>
      <c r="J334" s="728"/>
      <c r="K334" s="728"/>
      <c r="L334" s="724"/>
      <c r="M334" s="729">
        <f>M326+1</f>
        <v>55</v>
      </c>
    </row>
    <row r="335" spans="1:13" s="718" customFormat="1" ht="21" customHeight="1">
      <c r="A335" s="724"/>
      <c r="B335" s="725"/>
      <c r="C335" s="726"/>
      <c r="D335" s="726"/>
      <c r="E335" s="724"/>
      <c r="F335" s="727"/>
      <c r="G335" s="728"/>
      <c r="H335" s="728"/>
      <c r="I335" s="728"/>
      <c r="J335" s="728"/>
      <c r="K335" s="728"/>
      <c r="L335" s="724"/>
      <c r="M335" s="729"/>
    </row>
    <row r="336" spans="1:13" s="718" customFormat="1" ht="21" customHeight="1">
      <c r="A336" s="724"/>
      <c r="B336" s="725" t="s">
        <v>6057</v>
      </c>
      <c r="C336" s="726" t="s">
        <v>6058</v>
      </c>
      <c r="D336" s="726" t="str">
        <f t="shared" ref="D336:D341" si="40">SUBSTITUTE(CONCATENATE(B:B,C:C,E:E)," ","")</f>
        <v>퍼티핸디코트KG</v>
      </c>
      <c r="E336" s="724" t="s">
        <v>2477</v>
      </c>
      <c r="F336" s="727">
        <v>0.45300000000000001</v>
      </c>
      <c r="G336" s="728">
        <f>IF($E:$E="인",0,VLOOKUP($D:$D,[140]일위목록!$A:$H,6,FALSE))</f>
        <v>1030</v>
      </c>
      <c r="H336" s="728">
        <f t="shared" ref="H336:H341" si="41">TRUNC($F:$F*G:G)</f>
        <v>466</v>
      </c>
      <c r="I336" s="728">
        <f>IF($E:$E="인",VLOOKUP($B:$B,[140]노임!$B:$H,6,FALSE),VLOOKUP($D:$D,[140]일위목록!$A:$H,7,FALSE))</f>
        <v>0</v>
      </c>
      <c r="J336" s="728">
        <f>TRUNC($F:$F*I:I)</f>
        <v>0</v>
      </c>
      <c r="K336" s="728">
        <f t="shared" ref="K336:K342" si="42">H336+J336</f>
        <v>466</v>
      </c>
      <c r="L336" s="724" t="str">
        <f>IF($E:$E="인",VLOOKUP($B:$B,[140]단가!$B:$E,3,FALSE),VLOOKUP($D:$D,[140]일위목록!$A:$H,2,FALSE))</f>
        <v>단가-64번</v>
      </c>
      <c r="M336" s="717"/>
    </row>
    <row r="337" spans="1:13" s="718" customFormat="1" ht="21" customHeight="1">
      <c r="A337" s="724"/>
      <c r="B337" s="725" t="s">
        <v>6059</v>
      </c>
      <c r="C337" s="726" t="s">
        <v>6060</v>
      </c>
      <c r="D337" s="726" t="str">
        <f t="shared" si="40"/>
        <v>연마포#120매</v>
      </c>
      <c r="E337" s="724" t="s">
        <v>5992</v>
      </c>
      <c r="F337" s="727">
        <v>0.123</v>
      </c>
      <c r="G337" s="728">
        <f>IF($E:$E="인",0,VLOOKUP($D:$D,[140]일위목록!$A:$H,6,FALSE))</f>
        <v>440</v>
      </c>
      <c r="H337" s="728">
        <f t="shared" si="41"/>
        <v>54</v>
      </c>
      <c r="I337" s="728">
        <f>IF($E:$E="인",VLOOKUP($B:$B,[140]노임!$B:$H,6,FALSE),VLOOKUP($D:$D,[140]일위목록!$A:$H,7,FALSE))</f>
        <v>0</v>
      </c>
      <c r="J337" s="728">
        <f>TRUNC($F:$F*I:I)</f>
        <v>0</v>
      </c>
      <c r="K337" s="728">
        <f t="shared" si="42"/>
        <v>54</v>
      </c>
      <c r="L337" s="724" t="str">
        <f>IF($E:$E="인",VLOOKUP($B:$B,[140]단가!$B:$E,3,FALSE),VLOOKUP($D:$D,[140]일위목록!$A:$H,2,FALSE))</f>
        <v>단가-38번</v>
      </c>
      <c r="M337" s="717"/>
    </row>
    <row r="338" spans="1:13" s="718" customFormat="1" ht="21" customHeight="1">
      <c r="A338" s="724"/>
      <c r="B338" s="725" t="s">
        <v>6061</v>
      </c>
      <c r="C338" s="726"/>
      <c r="D338" s="726" t="str">
        <f t="shared" si="40"/>
        <v>망사테이프M</v>
      </c>
      <c r="E338" s="724" t="s">
        <v>5899</v>
      </c>
      <c r="F338" s="727">
        <v>1.52</v>
      </c>
      <c r="G338" s="728">
        <f>IF($E:$E="인",0,VLOOKUP($D:$D,[140]일위목록!$A:$H,6,FALSE))</f>
        <v>320</v>
      </c>
      <c r="H338" s="728">
        <f t="shared" si="41"/>
        <v>486</v>
      </c>
      <c r="I338" s="728">
        <f>IF($E:$E="인",VLOOKUP($B:$B,[140]노임!$B:$H,6,FALSE),VLOOKUP($D:$D,[140]일위목록!$A:$H,7,FALSE))</f>
        <v>0</v>
      </c>
      <c r="J338" s="728">
        <f>TRUNC($F:$F*I:I)</f>
        <v>0</v>
      </c>
      <c r="K338" s="728">
        <f t="shared" si="42"/>
        <v>486</v>
      </c>
      <c r="L338" s="724" t="str">
        <f>IF($E:$E="인",VLOOKUP($B:$B,[140]단가!$B:$E,3,FALSE),VLOOKUP($D:$D,[140]일위목록!$A:$H,2,FALSE))</f>
        <v>단가-76번</v>
      </c>
      <c r="M338" s="717"/>
    </row>
    <row r="339" spans="1:13" s="718" customFormat="1" ht="21" customHeight="1">
      <c r="A339" s="724"/>
      <c r="B339" s="731" t="s">
        <v>5995</v>
      </c>
      <c r="C339" s="726"/>
      <c r="D339" s="726" t="str">
        <f t="shared" si="40"/>
        <v>도장공인</v>
      </c>
      <c r="E339" s="724" t="s">
        <v>5862</v>
      </c>
      <c r="F339" s="727">
        <v>3.5000000000000003E-2</v>
      </c>
      <c r="G339" s="728">
        <f>IF($E:$E="인",0,VLOOKUP($D:$D,[140]일위목록!$A:$H,6,FALSE))</f>
        <v>0</v>
      </c>
      <c r="H339" s="728">
        <f t="shared" si="41"/>
        <v>0</v>
      </c>
      <c r="I339" s="728">
        <f>IF($E:$E="인",VLOOKUP($B:$B,[140]노임!$B:$H,6,FALSE),VLOOKUP($D:$D,[140]일위목록!$A:$H,7,FALSE))</f>
        <v>184508</v>
      </c>
      <c r="J339" s="728">
        <f>TRUNC($F:$F*I:I)</f>
        <v>6457</v>
      </c>
      <c r="K339" s="728">
        <f t="shared" si="42"/>
        <v>6457</v>
      </c>
      <c r="L339" s="724" t="str">
        <f>IF($E:$E="인",VLOOKUP($B:$B,[140]노임!$B:$D,3,FALSE),VLOOKUP($D:$D,[140]일위목록!$A:$H,2,FALSE))</f>
        <v>건설노임-1029</v>
      </c>
      <c r="M339" s="717"/>
    </row>
    <row r="340" spans="1:13" s="718" customFormat="1" ht="21" customHeight="1">
      <c r="A340" s="724"/>
      <c r="B340" s="725" t="s">
        <v>5877</v>
      </c>
      <c r="C340" s="726"/>
      <c r="D340" s="726" t="str">
        <f t="shared" si="40"/>
        <v>보통인부인</v>
      </c>
      <c r="E340" s="724" t="s">
        <v>5862</v>
      </c>
      <c r="F340" s="727">
        <v>0.01</v>
      </c>
      <c r="G340" s="728">
        <f>IF($E:$E="인",0,VLOOKUP($D:$D,[140]일위목록!$A:$H,6,FALSE))</f>
        <v>0</v>
      </c>
      <c r="H340" s="728">
        <f t="shared" si="41"/>
        <v>0</v>
      </c>
      <c r="I340" s="728">
        <f>IF($E:$E="인",VLOOKUP($B:$B,[140]노임!$B:$H,6,FALSE),VLOOKUP($D:$D,[140]일위목록!$A:$H,7,FALSE))</f>
        <v>125427</v>
      </c>
      <c r="J340" s="728">
        <f>TRUNC($F:$F*I:I)</f>
        <v>1254</v>
      </c>
      <c r="K340" s="728">
        <f t="shared" si="42"/>
        <v>1254</v>
      </c>
      <c r="L340" s="724" t="str">
        <f>IF($E:$E="인",VLOOKUP($B:$B,[140]노임!$B:$D,3,FALSE),VLOOKUP($D:$D,[140]일위목록!$A:$H,2,FALSE))</f>
        <v>건설노임-1002</v>
      </c>
      <c r="M340" s="717"/>
    </row>
    <row r="341" spans="1:13" s="718" customFormat="1" ht="21" customHeight="1">
      <c r="A341" s="724"/>
      <c r="B341" s="725" t="s">
        <v>5865</v>
      </c>
      <c r="C341" s="726" t="s">
        <v>6002</v>
      </c>
      <c r="D341" s="726" t="str">
        <f t="shared" si="40"/>
        <v>기구손료인건비의2%식</v>
      </c>
      <c r="E341" s="724" t="s">
        <v>5998</v>
      </c>
      <c r="F341" s="727">
        <v>1</v>
      </c>
      <c r="G341" s="728">
        <f>TRUNC(J342*2%)</f>
        <v>154</v>
      </c>
      <c r="H341" s="728">
        <f t="shared" si="41"/>
        <v>154</v>
      </c>
      <c r="I341" s="728"/>
      <c r="J341" s="728"/>
      <c r="K341" s="728">
        <f t="shared" si="42"/>
        <v>154</v>
      </c>
      <c r="L341" s="724"/>
      <c r="M341" s="717"/>
    </row>
    <row r="342" spans="1:13" s="718" customFormat="1" ht="21" customHeight="1">
      <c r="A342" s="724"/>
      <c r="B342" s="725" t="s">
        <v>5901</v>
      </c>
      <c r="C342" s="726"/>
      <c r="D342" s="726" t="str">
        <f>L:L</f>
        <v>제55호표</v>
      </c>
      <c r="E342" s="724"/>
      <c r="F342" s="727"/>
      <c r="G342" s="728"/>
      <c r="H342" s="728">
        <f>SUM(H336:H341)</f>
        <v>1160</v>
      </c>
      <c r="I342" s="728"/>
      <c r="J342" s="728">
        <f>SUM(J336:J341)</f>
        <v>7711</v>
      </c>
      <c r="K342" s="728">
        <f t="shared" si="42"/>
        <v>8871</v>
      </c>
      <c r="L342" s="724" t="str">
        <f>A334</f>
        <v>제55호표</v>
      </c>
      <c r="M342" s="717"/>
    </row>
    <row r="343" spans="1:13" s="718" customFormat="1" ht="21" customHeight="1">
      <c r="A343" s="724"/>
      <c r="B343" s="725"/>
      <c r="C343" s="726"/>
      <c r="D343" s="726"/>
      <c r="E343" s="724"/>
      <c r="F343" s="727"/>
      <c r="G343" s="728"/>
      <c r="H343" s="728"/>
      <c r="I343" s="728"/>
      <c r="J343" s="728"/>
      <c r="K343" s="728"/>
      <c r="L343" s="724"/>
      <c r="M343" s="717"/>
    </row>
    <row r="344" spans="1:13" s="718" customFormat="1" ht="21" customHeight="1">
      <c r="A344" s="724"/>
      <c r="B344" s="725"/>
      <c r="C344" s="726"/>
      <c r="D344" s="726"/>
      <c r="E344" s="724"/>
      <c r="F344" s="727"/>
      <c r="G344" s="728"/>
      <c r="H344" s="728"/>
      <c r="I344" s="728"/>
      <c r="J344" s="728"/>
      <c r="K344" s="728"/>
      <c r="L344" s="724"/>
      <c r="M344" s="717"/>
    </row>
    <row r="345" spans="1:13" s="718" customFormat="1" ht="21" customHeight="1">
      <c r="A345" s="724" t="str">
        <f>"제"&amp;M345&amp;"호표"</f>
        <v>제56호표</v>
      </c>
      <c r="B345" s="725" t="s">
        <v>6062</v>
      </c>
      <c r="C345" s="725" t="s">
        <v>6063</v>
      </c>
      <c r="D345" s="726"/>
      <c r="E345" s="724" t="s">
        <v>5980</v>
      </c>
      <c r="F345" s="752"/>
      <c r="G345" s="728"/>
      <c r="H345" s="728"/>
      <c r="I345" s="728"/>
      <c r="J345" s="728"/>
      <c r="K345" s="728"/>
      <c r="L345" s="724"/>
      <c r="M345" s="729">
        <f>M334+1</f>
        <v>56</v>
      </c>
    </row>
    <row r="346" spans="1:13" s="718" customFormat="1" ht="21" customHeight="1">
      <c r="A346" s="724"/>
      <c r="B346" s="725"/>
      <c r="C346" s="725"/>
      <c r="D346" s="726"/>
      <c r="E346" s="724"/>
      <c r="F346" s="752"/>
      <c r="G346" s="728"/>
      <c r="H346" s="728"/>
      <c r="I346" s="728"/>
      <c r="J346" s="728"/>
      <c r="K346" s="728"/>
      <c r="L346" s="724"/>
      <c r="M346" s="729"/>
    </row>
    <row r="347" spans="1:13" s="718" customFormat="1" ht="21" customHeight="1">
      <c r="A347" s="724"/>
      <c r="B347" s="725" t="s">
        <v>6064</v>
      </c>
      <c r="C347" s="725" t="s">
        <v>6065</v>
      </c>
      <c r="D347" s="726" t="str">
        <f>SUBSTITUTE(CONCATENATE(B:B,C:C,E:E)," ","")</f>
        <v>초배지양지A급M2</v>
      </c>
      <c r="E347" s="724" t="s">
        <v>59</v>
      </c>
      <c r="F347" s="752">
        <v>0.8</v>
      </c>
      <c r="G347" s="728">
        <f>IF($E:$E="인",0,VLOOKUP($D:$D,[140]일위목록!$A:$H,6,FALSE))</f>
        <v>253</v>
      </c>
      <c r="H347" s="728">
        <f>TRUNC($F:$F*G:G)</f>
        <v>202</v>
      </c>
      <c r="I347" s="728">
        <f>IF($E:$E="인",VLOOKUP($B:$B,[140]노임!$B:$H,6,FALSE),VLOOKUP($D:$D,[140]일위목록!$A:$H,7,FALSE))</f>
        <v>0</v>
      </c>
      <c r="J347" s="728">
        <f>TRUNC($F:$F*I:I)</f>
        <v>0</v>
      </c>
      <c r="K347" s="728">
        <f t="shared" ref="K347:K352" si="43">H347+J347</f>
        <v>202</v>
      </c>
      <c r="L347" s="724" t="str">
        <f>IF($E:$E="인",VLOOKUP($B:$B,[140]단가!$B:$E,3,FALSE),VLOOKUP($D:$D,[140]일위목록!$A:$H,2,FALSE))</f>
        <v>단가-36번</v>
      </c>
      <c r="M347" s="717"/>
    </row>
    <row r="348" spans="1:13" s="718" customFormat="1" ht="21" customHeight="1">
      <c r="A348" s="724"/>
      <c r="B348" s="725" t="s">
        <v>6066</v>
      </c>
      <c r="C348" s="725" t="s">
        <v>6067</v>
      </c>
      <c r="D348" s="726" t="str">
        <f>SUBSTITUTE(CONCATENATE(B:B,C:C,E:E)," ","")</f>
        <v>세마직벽지1회특수벽지M2</v>
      </c>
      <c r="E348" s="724" t="s">
        <v>59</v>
      </c>
      <c r="F348" s="752">
        <v>1.2</v>
      </c>
      <c r="G348" s="728">
        <f>IF($E:$E="인",0,VLOOKUP($D:$D,[140]일위목록!$A:$H,6,FALSE))</f>
        <v>38000</v>
      </c>
      <c r="H348" s="728">
        <f>TRUNC($F:$F*G:G)</f>
        <v>45600</v>
      </c>
      <c r="I348" s="728">
        <f>IF($E:$E="인",VLOOKUP($B:$B,[140]노임!$B:$H,6,FALSE),VLOOKUP($D:$D,[140]일위목록!$A:$H,7,FALSE))</f>
        <v>0</v>
      </c>
      <c r="J348" s="728">
        <f>TRUNC($F:$F*I:I)</f>
        <v>0</v>
      </c>
      <c r="K348" s="728">
        <f t="shared" si="43"/>
        <v>45600</v>
      </c>
      <c r="L348" s="724" t="str">
        <f>IF($E:$E="인",VLOOKUP($B:$B,[140]단가!$B:$E,3,FALSE),VLOOKUP($D:$D,[140]일위목록!$A:$H,2,FALSE))</f>
        <v>단가-85번</v>
      </c>
      <c r="M348" s="717"/>
    </row>
    <row r="349" spans="1:13" s="718" customFormat="1" ht="21" customHeight="1">
      <c r="A349" s="724"/>
      <c r="B349" s="725" t="s">
        <v>6068</v>
      </c>
      <c r="C349" s="725" t="s">
        <v>6069</v>
      </c>
      <c r="D349" s="726" t="str">
        <f>SUBSTITUTE(CONCATENATE(B:B,C:C,E:E)," ","")</f>
        <v>풀밀가루풀포</v>
      </c>
      <c r="E349" s="724" t="s">
        <v>6070</v>
      </c>
      <c r="F349" s="752">
        <v>0.3</v>
      </c>
      <c r="G349" s="728">
        <f>IF($E:$E="인",0,VLOOKUP($D:$D,[140]일위목록!$A:$H,6,FALSE))</f>
        <v>4500</v>
      </c>
      <c r="H349" s="728">
        <f>TRUNC($F:$F*G:G)</f>
        <v>1350</v>
      </c>
      <c r="I349" s="728">
        <f>IF($E:$E="인",VLOOKUP($B:$B,[140]노임!$B:$H,6,FALSE),VLOOKUP($D:$D,[140]일위목록!$A:$H,7,FALSE))</f>
        <v>0</v>
      </c>
      <c r="J349" s="728">
        <f>TRUNC($F:$F*I:I)</f>
        <v>0</v>
      </c>
      <c r="K349" s="728">
        <f t="shared" si="43"/>
        <v>1350</v>
      </c>
      <c r="L349" s="724" t="str">
        <f>IF($E:$E="인",VLOOKUP($B:$B,[140]단가!$B:$E,3,FALSE),VLOOKUP($D:$D,[140]일위목록!$A:$H,2,FALSE))</f>
        <v>단가-47번</v>
      </c>
      <c r="M349" s="717"/>
    </row>
    <row r="350" spans="1:13" s="718" customFormat="1" ht="21" customHeight="1">
      <c r="A350" s="724"/>
      <c r="B350" s="731" t="s">
        <v>6071</v>
      </c>
      <c r="C350" s="725"/>
      <c r="D350" s="726" t="str">
        <f>SUBSTITUTE(CONCATENATE(B:B,C:C,E:E)," ","")</f>
        <v>도배공인</v>
      </c>
      <c r="E350" s="724" t="s">
        <v>5862</v>
      </c>
      <c r="F350" s="752">
        <v>2.7E-2</v>
      </c>
      <c r="G350" s="728">
        <f>IF($E:$E="인",0,VLOOKUP($D:$D,[140]일위목록!$A:$H,6,FALSE))</f>
        <v>0</v>
      </c>
      <c r="H350" s="728">
        <f>TRUNC($F:$F*G:G)</f>
        <v>0</v>
      </c>
      <c r="I350" s="728">
        <f>IF($E:$E="인",VLOOKUP($B:$B,[140]노임!$B:$H,6,FALSE),VLOOKUP($D:$D,[140]일위목록!$A:$H,7,FALSE))</f>
        <v>165558</v>
      </c>
      <c r="J350" s="728">
        <f>TRUNC($F:$F*I:I)</f>
        <v>4470</v>
      </c>
      <c r="K350" s="728">
        <f t="shared" si="43"/>
        <v>4470</v>
      </c>
      <c r="L350" s="724" t="str">
        <f>IF($E:$E="인",VLOOKUP($B:$B,[140]노임!$B:$D,3,FALSE),VLOOKUP($D:$D,[140]일위목록!$A:$H,2,FALSE))</f>
        <v>건설노임-1031</v>
      </c>
      <c r="M350" s="717"/>
    </row>
    <row r="351" spans="1:13" s="718" customFormat="1" ht="21" customHeight="1">
      <c r="A351" s="724"/>
      <c r="B351" s="731" t="s">
        <v>5877</v>
      </c>
      <c r="C351" s="725"/>
      <c r="D351" s="726" t="str">
        <f>SUBSTITUTE(CONCATENATE(B:B,C:C,E:E)," ","")</f>
        <v>보통인부인</v>
      </c>
      <c r="E351" s="724" t="s">
        <v>5862</v>
      </c>
      <c r="F351" s="752">
        <v>6.0000000000000001E-3</v>
      </c>
      <c r="G351" s="728">
        <f>IF($E:$E="인",0,VLOOKUP($D:$D,[140]일위목록!$A:$H,6,FALSE))</f>
        <v>0</v>
      </c>
      <c r="H351" s="728">
        <f>TRUNC($F:$F*G:G)</f>
        <v>0</v>
      </c>
      <c r="I351" s="728">
        <f>IF($E:$E="인",VLOOKUP($B:$B,[140]노임!$B:$H,6,FALSE),VLOOKUP($D:$D,[140]일위목록!$A:$H,7,FALSE))</f>
        <v>125427</v>
      </c>
      <c r="J351" s="728">
        <f>TRUNC($F:$F*I:I)</f>
        <v>752</v>
      </c>
      <c r="K351" s="728">
        <f t="shared" si="43"/>
        <v>752</v>
      </c>
      <c r="L351" s="724" t="str">
        <f>IF($E:$E="인",VLOOKUP($B:$B,[140]노임!$B:$D,3,FALSE),VLOOKUP($D:$D,[140]일위목록!$A:$H,2,FALSE))</f>
        <v>건설노임-1002</v>
      </c>
      <c r="M351" s="717"/>
    </row>
    <row r="352" spans="1:13" s="718" customFormat="1" ht="21" customHeight="1">
      <c r="A352" s="724"/>
      <c r="B352" s="725" t="s">
        <v>6072</v>
      </c>
      <c r="C352" s="725"/>
      <c r="D352" s="726" t="str">
        <f>L:L</f>
        <v>제56호표</v>
      </c>
      <c r="E352" s="724"/>
      <c r="F352" s="752"/>
      <c r="G352" s="728"/>
      <c r="H352" s="728">
        <f>SUM(H347:H351)</f>
        <v>47152</v>
      </c>
      <c r="I352" s="728"/>
      <c r="J352" s="728">
        <f>SUM(J347:J351)</f>
        <v>5222</v>
      </c>
      <c r="K352" s="728">
        <f t="shared" si="43"/>
        <v>52374</v>
      </c>
      <c r="L352" s="724" t="str">
        <f>A345</f>
        <v>제56호표</v>
      </c>
      <c r="M352" s="717"/>
    </row>
    <row r="353" spans="1:13" s="718" customFormat="1" ht="21" customHeight="1">
      <c r="A353" s="724"/>
      <c r="B353" s="725"/>
      <c r="C353" s="725"/>
      <c r="D353" s="726"/>
      <c r="E353" s="724"/>
      <c r="F353" s="752"/>
      <c r="G353" s="728"/>
      <c r="H353" s="728"/>
      <c r="I353" s="728"/>
      <c r="J353" s="728"/>
      <c r="K353" s="728"/>
      <c r="L353" s="724"/>
      <c r="M353" s="717"/>
    </row>
    <row r="354" spans="1:13" s="718" customFormat="1" ht="21" customHeight="1">
      <c r="A354" s="724"/>
      <c r="B354" s="725"/>
      <c r="C354" s="725"/>
      <c r="D354" s="726"/>
      <c r="E354" s="724"/>
      <c r="F354" s="752"/>
      <c r="G354" s="728"/>
      <c r="H354" s="728"/>
      <c r="I354" s="728"/>
      <c r="J354" s="728"/>
      <c r="K354" s="728"/>
      <c r="L354" s="724"/>
      <c r="M354" s="717"/>
    </row>
    <row r="355" spans="1:13" s="718" customFormat="1" ht="21" customHeight="1">
      <c r="A355" s="724"/>
      <c r="B355" s="725"/>
      <c r="C355" s="725"/>
      <c r="D355" s="726"/>
      <c r="E355" s="724"/>
      <c r="F355" s="752"/>
      <c r="G355" s="728"/>
      <c r="H355" s="728"/>
      <c r="I355" s="728"/>
      <c r="J355" s="728"/>
      <c r="K355" s="728"/>
      <c r="L355" s="724"/>
      <c r="M355" s="717"/>
    </row>
    <row r="356" spans="1:13" s="718" customFormat="1" ht="21" customHeight="1">
      <c r="A356" s="724" t="str">
        <f>"제"&amp;M356&amp;"호표"</f>
        <v>제57호표</v>
      </c>
      <c r="B356" s="739" t="s">
        <v>6073</v>
      </c>
      <c r="C356" s="726" t="s">
        <v>6074</v>
      </c>
      <c r="D356" s="726"/>
      <c r="E356" s="724" t="s">
        <v>5980</v>
      </c>
      <c r="F356" s="727"/>
      <c r="G356" s="728"/>
      <c r="H356" s="728"/>
      <c r="I356" s="728"/>
      <c r="J356" s="728"/>
      <c r="K356" s="728"/>
      <c r="L356" s="724"/>
      <c r="M356" s="729">
        <f>M345+1</f>
        <v>57</v>
      </c>
    </row>
    <row r="357" spans="1:13" s="718" customFormat="1" ht="21" customHeight="1">
      <c r="A357" s="724"/>
      <c r="B357" s="725"/>
      <c r="C357" s="726"/>
      <c r="D357" s="726"/>
      <c r="E357" s="724"/>
      <c r="F357" s="727"/>
      <c r="G357" s="728"/>
      <c r="H357" s="728"/>
      <c r="I357" s="728"/>
      <c r="J357" s="728"/>
      <c r="K357" s="728"/>
      <c r="L357" s="724"/>
      <c r="M357" s="729"/>
    </row>
    <row r="358" spans="1:13" s="718" customFormat="1" ht="21" customHeight="1">
      <c r="A358" s="724"/>
      <c r="B358" s="739" t="s">
        <v>6075</v>
      </c>
      <c r="C358" s="733" t="s">
        <v>6076</v>
      </c>
      <c r="D358" s="726" t="str">
        <f>SUBSTITUTE(CONCATENATE(B:B,C:C,E:E)," ","")</f>
        <v>코아합판T18mm*4'*8'M2</v>
      </c>
      <c r="E358" s="724" t="s">
        <v>59</v>
      </c>
      <c r="F358" s="727">
        <v>1.05</v>
      </c>
      <c r="G358" s="728">
        <f>IF($E:$E="인",0,VLOOKUP($D:$D,[140]일위목록!$A:$H,6,FALSE))</f>
        <v>10942</v>
      </c>
      <c r="H358" s="728">
        <f>TRUNC($F:$F*G:G)</f>
        <v>11489</v>
      </c>
      <c r="I358" s="728">
        <f>IF($E:$E="인",VLOOKUP($B:$B,[140]노임!$B:$H,6,FALSE),VLOOKUP($D:$D,[140]일위목록!$A:$H,7,FALSE))</f>
        <v>0</v>
      </c>
      <c r="J358" s="728">
        <f>TRUNC($F:$F*I:I)</f>
        <v>0</v>
      </c>
      <c r="K358" s="728">
        <f t="shared" ref="K358:K361" si="44">H358+J358</f>
        <v>11489</v>
      </c>
      <c r="L358" s="724" t="str">
        <f>IF($E:$E="인",VLOOKUP($B:$B,[140]단가!$B:$E,3,FALSE),VLOOKUP($D:$D,[140]일위목록!$A:$H,2,FALSE))</f>
        <v>단가-29번</v>
      </c>
      <c r="M358" s="717"/>
    </row>
    <row r="359" spans="1:13" s="718" customFormat="1" ht="21" customHeight="1">
      <c r="A359" s="724"/>
      <c r="B359" s="725" t="s">
        <v>6077</v>
      </c>
      <c r="C359" s="726" t="s">
        <v>6078</v>
      </c>
      <c r="D359" s="726" t="str">
        <f>SUBSTITUTE(CONCATENATE(B:B,C:C,E:E)," ","")</f>
        <v>스테인리스작은나사m3*8mmEA</v>
      </c>
      <c r="E359" s="724" t="s">
        <v>321</v>
      </c>
      <c r="F359" s="727">
        <v>9</v>
      </c>
      <c r="G359" s="728">
        <f>IF($E:$E="인",0,VLOOKUP($D:$D,[140]일위목록!$A:$H,6,FALSE))</f>
        <v>12</v>
      </c>
      <c r="H359" s="728">
        <f>TRUNC($F:$F*G:G)</f>
        <v>108</v>
      </c>
      <c r="I359" s="728">
        <f>IF($E:$E="인",VLOOKUP($B:$B,[140]노임!$B:$H,6,FALSE),VLOOKUP($D:$D,[140]일위목록!$A:$H,7,FALSE))</f>
        <v>0</v>
      </c>
      <c r="J359" s="728">
        <f>TRUNC($F:$F*I:I)</f>
        <v>0</v>
      </c>
      <c r="K359" s="728">
        <f t="shared" si="44"/>
        <v>108</v>
      </c>
      <c r="L359" s="724" t="str">
        <f>IF($E:$E="인",VLOOKUP($B:$B,[140]단가!$B:$E,3,FALSE),VLOOKUP($D:$D,[140]일위목록!$A:$H,2,FALSE))</f>
        <v>단가-15번</v>
      </c>
      <c r="M359" s="717"/>
    </row>
    <row r="360" spans="1:13" s="718" customFormat="1" ht="21" customHeight="1">
      <c r="A360" s="724"/>
      <c r="B360" s="731" t="s">
        <v>6021</v>
      </c>
      <c r="C360" s="726"/>
      <c r="D360" s="726" t="str">
        <f>SUBSTITUTE(CONCATENATE(B:B,C:C,E:E)," ","")</f>
        <v>건축목공인</v>
      </c>
      <c r="E360" s="724" t="s">
        <v>5862</v>
      </c>
      <c r="F360" s="727">
        <v>0.09</v>
      </c>
      <c r="G360" s="728">
        <f>IF($E:$E="인",0,VLOOKUP($D:$D,[140]일위목록!$A:$H,6,FALSE))</f>
        <v>0</v>
      </c>
      <c r="H360" s="728">
        <f>TRUNC($F:$F*G:G)</f>
        <v>0</v>
      </c>
      <c r="I360" s="728">
        <f>IF($E:$E="인",VLOOKUP($B:$B,[140]노임!$B:$H,6,FALSE),VLOOKUP($D:$D,[140]일위목록!$A:$H,7,FALSE))</f>
        <v>200925</v>
      </c>
      <c r="J360" s="728">
        <f>TRUNC($F:$F*I:I)</f>
        <v>18083</v>
      </c>
      <c r="K360" s="728">
        <f t="shared" si="44"/>
        <v>18083</v>
      </c>
      <c r="L360" s="724" t="str">
        <f>IF($E:$E="인",VLOOKUP($B:$B,[140]노임!$B:$D,3,FALSE),VLOOKUP($D:$D,[140]일위목록!$A:$H,2,FALSE))</f>
        <v>건설노임-1023</v>
      </c>
      <c r="M360" s="717"/>
    </row>
    <row r="361" spans="1:13" s="718" customFormat="1" ht="21" customHeight="1">
      <c r="A361" s="724"/>
      <c r="B361" s="731" t="s">
        <v>5877</v>
      </c>
      <c r="C361" s="726"/>
      <c r="D361" s="726" t="str">
        <f>SUBSTITUTE(CONCATENATE(B:B,C:C,E:E)," ","")</f>
        <v>보통인부인</v>
      </c>
      <c r="E361" s="724" t="s">
        <v>5862</v>
      </c>
      <c r="F361" s="727">
        <v>0.01</v>
      </c>
      <c r="G361" s="728">
        <f>IF($E:$E="인",0,VLOOKUP($D:$D,[140]일위목록!$A:$H,6,FALSE))</f>
        <v>0</v>
      </c>
      <c r="H361" s="728">
        <f>TRUNC($F:$F*G:G)</f>
        <v>0</v>
      </c>
      <c r="I361" s="728">
        <f>IF($E:$E="인",VLOOKUP($B:$B,[140]노임!$B:$H,6,FALSE),VLOOKUP($D:$D,[140]일위목록!$A:$H,7,FALSE))</f>
        <v>125427</v>
      </c>
      <c r="J361" s="728">
        <f>TRUNC($F:$F*I:I)</f>
        <v>1254</v>
      </c>
      <c r="K361" s="728">
        <f t="shared" si="44"/>
        <v>1254</v>
      </c>
      <c r="L361" s="724" t="str">
        <f>IF($E:$E="인",VLOOKUP($B:$B,[140]노임!$B:$D,3,FALSE),VLOOKUP($D:$D,[140]일위목록!$A:$H,2,FALSE))</f>
        <v>건설노임-1002</v>
      </c>
      <c r="M361" s="717"/>
    </row>
    <row r="362" spans="1:13" s="718" customFormat="1" ht="21" customHeight="1">
      <c r="A362" s="724"/>
      <c r="B362" s="725" t="s">
        <v>5901</v>
      </c>
      <c r="C362" s="726"/>
      <c r="D362" s="726" t="str">
        <f>L:L</f>
        <v>제57호표</v>
      </c>
      <c r="E362" s="724"/>
      <c r="F362" s="727"/>
      <c r="G362" s="728"/>
      <c r="H362" s="728">
        <f>SUM(H358:H361)</f>
        <v>11597</v>
      </c>
      <c r="I362" s="728"/>
      <c r="J362" s="728">
        <f>SUM(J358:J361)</f>
        <v>19337</v>
      </c>
      <c r="K362" s="728">
        <f>H362+J362</f>
        <v>30934</v>
      </c>
      <c r="L362" s="724" t="str">
        <f>A356</f>
        <v>제57호표</v>
      </c>
      <c r="M362" s="717"/>
    </row>
    <row r="363" spans="1:13" s="718" customFormat="1" ht="21" customHeight="1">
      <c r="A363" s="724"/>
      <c r="B363" s="725"/>
      <c r="C363" s="726"/>
      <c r="D363" s="726"/>
      <c r="E363" s="724"/>
      <c r="F363" s="727"/>
      <c r="G363" s="728"/>
      <c r="H363" s="728"/>
      <c r="I363" s="728"/>
      <c r="J363" s="728"/>
      <c r="K363" s="728"/>
      <c r="L363" s="724"/>
      <c r="M363" s="717"/>
    </row>
    <row r="364" spans="1:13" s="718" customFormat="1" ht="21" customHeight="1">
      <c r="A364" s="724"/>
      <c r="B364" s="725"/>
      <c r="C364" s="726"/>
      <c r="D364" s="726"/>
      <c r="E364" s="724"/>
      <c r="F364" s="727"/>
      <c r="G364" s="728"/>
      <c r="H364" s="728"/>
      <c r="I364" s="728"/>
      <c r="J364" s="728"/>
      <c r="K364" s="728"/>
      <c r="L364" s="724"/>
      <c r="M364" s="717"/>
    </row>
    <row r="365" spans="1:13" s="718" customFormat="1" ht="21" customHeight="1">
      <c r="A365" s="724" t="str">
        <f>"제"&amp;M365&amp;"호표"</f>
        <v>제58호표</v>
      </c>
      <c r="B365" s="739" t="s">
        <v>6079</v>
      </c>
      <c r="C365" s="733" t="s">
        <v>6080</v>
      </c>
      <c r="D365" s="726"/>
      <c r="E365" s="724" t="s">
        <v>59</v>
      </c>
      <c r="F365" s="727"/>
      <c r="G365" s="728"/>
      <c r="H365" s="728"/>
      <c r="I365" s="728"/>
      <c r="J365" s="728"/>
      <c r="K365" s="728"/>
      <c r="L365" s="724"/>
      <c r="M365" s="729">
        <f>M356+1</f>
        <v>58</v>
      </c>
    </row>
    <row r="366" spans="1:13" s="718" customFormat="1" ht="21" customHeight="1">
      <c r="A366" s="724"/>
      <c r="B366" s="753"/>
      <c r="C366" s="726"/>
      <c r="D366" s="726"/>
      <c r="E366" s="724"/>
      <c r="F366" s="727"/>
      <c r="G366" s="728"/>
      <c r="H366" s="728"/>
      <c r="I366" s="728"/>
      <c r="J366" s="728"/>
      <c r="K366" s="728"/>
      <c r="L366" s="724"/>
      <c r="M366" s="729"/>
    </row>
    <row r="367" spans="1:13" s="718" customFormat="1" ht="21" customHeight="1">
      <c r="A367" s="724"/>
      <c r="B367" s="739" t="s">
        <v>6081</v>
      </c>
      <c r="C367" s="733" t="s">
        <v>6080</v>
      </c>
      <c r="D367" s="726" t="str">
        <f>SUBSTITUTE(CONCATENATE(B:B,C:C,E:E)," ","")</f>
        <v>저반사접합유리(투과율99%)T10.76mmM2</v>
      </c>
      <c r="E367" s="724" t="s">
        <v>59</v>
      </c>
      <c r="F367" s="727">
        <v>1.05</v>
      </c>
      <c r="G367" s="728">
        <f>IF($E:$E="인",0,VLOOKUP($D:$D,[140]일위목록!$A:$H,6,FALSE))</f>
        <v>1500000</v>
      </c>
      <c r="H367" s="728">
        <f>TRUNC($F:$F*G:G)</f>
        <v>1575000</v>
      </c>
      <c r="I367" s="728">
        <f>IF($E:$E="인",VLOOKUP($B:$B,[140]노임!$B:$H,6,FALSE),VLOOKUP($D:$D,[140]일위목록!$A:$H,7,FALSE))</f>
        <v>0</v>
      </c>
      <c r="J367" s="728">
        <f>TRUNC($F:$F*I:I)</f>
        <v>0</v>
      </c>
      <c r="K367" s="728">
        <f t="shared" ref="K367:K371" si="45">H367+J367</f>
        <v>1575000</v>
      </c>
      <c r="L367" s="724" t="str">
        <f>IF($E:$E="인",VLOOKUP($B:$B,[140]단가!$B:$E,3,FALSE),VLOOKUP($D:$D,[140]일위목록!$A:$H,2,FALSE))</f>
        <v>단가-110번</v>
      </c>
      <c r="M367" s="717"/>
    </row>
    <row r="368" spans="1:13" s="718" customFormat="1" ht="21" customHeight="1">
      <c r="A368" s="724"/>
      <c r="B368" s="725" t="s">
        <v>6082</v>
      </c>
      <c r="C368" s="726" t="s">
        <v>6009</v>
      </c>
      <c r="D368" s="726" t="str">
        <f>SUBSTITUTE(CONCATENATE(B:B,C:C,E:E)," ","")</f>
        <v>넝마면T/C제품KG</v>
      </c>
      <c r="E368" s="724" t="s">
        <v>2477</v>
      </c>
      <c r="F368" s="727">
        <v>0.04</v>
      </c>
      <c r="G368" s="728">
        <f>IF($E:$E="인",0,VLOOKUP($D:$D,[140]일위목록!$A:$H,6,FALSE))</f>
        <v>2000</v>
      </c>
      <c r="H368" s="728">
        <f>TRUNC($F:$F*G:G)</f>
        <v>80</v>
      </c>
      <c r="I368" s="728">
        <f>IF($E:$E="인",VLOOKUP($B:$B,[140]노임!$B:$H,6,FALSE),VLOOKUP($D:$D,[140]일위목록!$A:$H,7,FALSE))</f>
        <v>0</v>
      </c>
      <c r="J368" s="728">
        <f>TRUNC($F:$F*I:I)</f>
        <v>0</v>
      </c>
      <c r="K368" s="728">
        <f t="shared" si="45"/>
        <v>80</v>
      </c>
      <c r="L368" s="724" t="str">
        <f>IF($E:$E="인",VLOOKUP($B:$B,[140]단가!$B:$E,3,FALSE),VLOOKUP($D:$D,[140]일위목록!$A:$H,2,FALSE))</f>
        <v>단가-42번</v>
      </c>
      <c r="M368" s="717"/>
    </row>
    <row r="369" spans="1:13" s="718" customFormat="1" ht="21" customHeight="1">
      <c r="A369" s="724"/>
      <c r="B369" s="725" t="s">
        <v>6083</v>
      </c>
      <c r="C369" s="726" t="s">
        <v>6084</v>
      </c>
      <c r="D369" s="726" t="str">
        <f>SUBSTITUTE(CONCATENATE(B:B,C:C,E:E)," ","")</f>
        <v>세제유리용KG</v>
      </c>
      <c r="E369" s="724" t="s">
        <v>2477</v>
      </c>
      <c r="F369" s="727">
        <v>1.4999999999999999E-2</v>
      </c>
      <c r="G369" s="728">
        <f>IF($E:$E="인",0,VLOOKUP($D:$D,[140]일위목록!$A:$H,6,FALSE))</f>
        <v>2133</v>
      </c>
      <c r="H369" s="728">
        <f>TRUNC($F:$F*G:G)</f>
        <v>31</v>
      </c>
      <c r="I369" s="728">
        <f>IF($E:$E="인",VLOOKUP($B:$B,[140]노임!$B:$H,6,FALSE),VLOOKUP($D:$D,[140]일위목록!$A:$H,7,FALSE))</f>
        <v>0</v>
      </c>
      <c r="J369" s="728">
        <f>TRUNC($F:$F*I:I)</f>
        <v>0</v>
      </c>
      <c r="K369" s="728">
        <f t="shared" si="45"/>
        <v>31</v>
      </c>
      <c r="L369" s="724" t="str">
        <f>IF($E:$E="인",VLOOKUP($B:$B,[140]단가!$B:$E,3,FALSE),VLOOKUP($D:$D,[140]일위목록!$A:$H,2,FALSE))</f>
        <v>단가-43번</v>
      </c>
      <c r="M369" s="717"/>
    </row>
    <row r="370" spans="1:13" s="718" customFormat="1" ht="21" customHeight="1">
      <c r="A370" s="724"/>
      <c r="B370" s="731" t="s">
        <v>6085</v>
      </c>
      <c r="C370" s="726"/>
      <c r="D370" s="726" t="str">
        <f>SUBSTITUTE(CONCATENATE(B:B,C:C,E:E)," ","")</f>
        <v>유리공인</v>
      </c>
      <c r="E370" s="724" t="s">
        <v>5862</v>
      </c>
      <c r="F370" s="727">
        <v>0.21</v>
      </c>
      <c r="G370" s="728">
        <f>IF($E:$E="인",0,VLOOKUP($D:$D,[140]일위목록!$A:$H,6,FALSE))</f>
        <v>0</v>
      </c>
      <c r="H370" s="728">
        <f>TRUNC($F:$F*G:G)</f>
        <v>0</v>
      </c>
      <c r="I370" s="728">
        <f>IF($E:$E="인",VLOOKUP($B:$B,[140]노임!$B:$H,6,FALSE),VLOOKUP($D:$D,[140]일위목록!$A:$H,7,FALSE))</f>
        <v>181240</v>
      </c>
      <c r="J370" s="728">
        <f>TRUNC($F:$F*I:I)</f>
        <v>38060</v>
      </c>
      <c r="K370" s="728">
        <f t="shared" si="45"/>
        <v>38060</v>
      </c>
      <c r="L370" s="724" t="str">
        <f>IF($E:$E="인",VLOOKUP($B:$B,[140]노임!$B:$D,3,FALSE),VLOOKUP($D:$D,[140]일위목록!$A:$H,2,FALSE))</f>
        <v>건설노임-1025</v>
      </c>
      <c r="M370" s="717"/>
    </row>
    <row r="371" spans="1:13" s="718" customFormat="1" ht="21" customHeight="1">
      <c r="A371" s="724"/>
      <c r="B371" s="731" t="s">
        <v>5877</v>
      </c>
      <c r="C371" s="726"/>
      <c r="D371" s="726" t="str">
        <f>SUBSTITUTE(CONCATENATE(B:B,C:C,E:E)," ","")</f>
        <v>보통인부인</v>
      </c>
      <c r="E371" s="724" t="s">
        <v>5862</v>
      </c>
      <c r="F371" s="727">
        <v>2.4E-2</v>
      </c>
      <c r="G371" s="728">
        <f>IF($E:$E="인",0,VLOOKUP($D:$D,[140]일위목록!$A:$H,6,FALSE))</f>
        <v>0</v>
      </c>
      <c r="H371" s="728">
        <f>TRUNC($F:$F*G:G)</f>
        <v>0</v>
      </c>
      <c r="I371" s="728">
        <f>IF($E:$E="인",VLOOKUP($B:$B,[140]노임!$B:$H,6,FALSE),VLOOKUP($D:$D,[140]일위목록!$A:$H,7,FALSE))</f>
        <v>125427</v>
      </c>
      <c r="J371" s="728">
        <f>TRUNC($F:$F*I:I)</f>
        <v>3010</v>
      </c>
      <c r="K371" s="728">
        <f t="shared" si="45"/>
        <v>3010</v>
      </c>
      <c r="L371" s="724" t="str">
        <f>IF($E:$E="인",VLOOKUP($B:$B,[140]노임!$B:$D,3,FALSE),VLOOKUP($D:$D,[140]일위목록!$A:$H,2,FALSE))</f>
        <v>건설노임-1002</v>
      </c>
      <c r="M371" s="717"/>
    </row>
    <row r="372" spans="1:13" s="718" customFormat="1" ht="21" customHeight="1">
      <c r="A372" s="724"/>
      <c r="B372" s="725" t="s">
        <v>5901</v>
      </c>
      <c r="C372" s="726"/>
      <c r="D372" s="726" t="str">
        <f>L:L</f>
        <v>제58호표</v>
      </c>
      <c r="E372" s="724"/>
      <c r="F372" s="727"/>
      <c r="G372" s="728"/>
      <c r="H372" s="728">
        <f>SUM(H367:H371)</f>
        <v>1575111</v>
      </c>
      <c r="I372" s="728"/>
      <c r="J372" s="728">
        <f>SUM(J367:J371)</f>
        <v>41070</v>
      </c>
      <c r="K372" s="728">
        <f>SUM(K367:K371)</f>
        <v>1616181</v>
      </c>
      <c r="L372" s="724" t="str">
        <f>A365</f>
        <v>제58호표</v>
      </c>
      <c r="M372" s="717"/>
    </row>
    <row r="373" spans="1:13" s="718" customFormat="1" ht="21" customHeight="1">
      <c r="A373" s="724"/>
      <c r="B373" s="725"/>
      <c r="C373" s="726"/>
      <c r="D373" s="726"/>
      <c r="E373" s="724"/>
      <c r="F373" s="727"/>
      <c r="G373" s="728"/>
      <c r="H373" s="728"/>
      <c r="I373" s="728"/>
      <c r="J373" s="728"/>
      <c r="K373" s="728"/>
      <c r="L373" s="724"/>
      <c r="M373" s="717"/>
    </row>
    <row r="374" spans="1:13" s="718" customFormat="1" ht="21" customHeight="1">
      <c r="A374" s="724"/>
      <c r="B374" s="725"/>
      <c r="C374" s="726"/>
      <c r="D374" s="726"/>
      <c r="E374" s="724"/>
      <c r="F374" s="727"/>
      <c r="G374" s="728"/>
      <c r="H374" s="728"/>
      <c r="I374" s="728"/>
      <c r="J374" s="728"/>
      <c r="K374" s="728"/>
      <c r="L374" s="724"/>
      <c r="M374" s="717"/>
    </row>
    <row r="375" spans="1:13" s="718" customFormat="1" ht="21" customHeight="1">
      <c r="A375" s="724" t="str">
        <f>"제"&amp;M375&amp;"호표"</f>
        <v>제59호표</v>
      </c>
      <c r="B375" s="739" t="s">
        <v>6086</v>
      </c>
      <c r="C375" s="733" t="s">
        <v>6080</v>
      </c>
      <c r="D375" s="726"/>
      <c r="E375" s="724" t="s">
        <v>59</v>
      </c>
      <c r="F375" s="727"/>
      <c r="G375" s="728"/>
      <c r="H375" s="728"/>
      <c r="I375" s="728"/>
      <c r="J375" s="728"/>
      <c r="K375" s="728"/>
      <c r="L375" s="724"/>
      <c r="M375" s="729">
        <f>M365+1</f>
        <v>59</v>
      </c>
    </row>
    <row r="376" spans="1:13" s="718" customFormat="1" ht="21" customHeight="1">
      <c r="A376" s="724"/>
      <c r="B376" s="753"/>
      <c r="C376" s="726"/>
      <c r="D376" s="726"/>
      <c r="E376" s="724"/>
      <c r="F376" s="727"/>
      <c r="G376" s="728"/>
      <c r="H376" s="728"/>
      <c r="I376" s="728"/>
      <c r="J376" s="728"/>
      <c r="K376" s="728"/>
      <c r="L376" s="724"/>
      <c r="M376" s="729"/>
    </row>
    <row r="377" spans="1:13" s="718" customFormat="1" ht="21" customHeight="1">
      <c r="A377" s="724"/>
      <c r="B377" s="739" t="s">
        <v>6087</v>
      </c>
      <c r="C377" s="733" t="s">
        <v>6080</v>
      </c>
      <c r="D377" s="726" t="str">
        <f>SUBSTITUTE(CONCATENATE(B:B,C:C,E:E)," ","")</f>
        <v>저반사접합유리(투과율98%)T10.76mmM2</v>
      </c>
      <c r="E377" s="724" t="s">
        <v>59</v>
      </c>
      <c r="F377" s="727">
        <v>1.05</v>
      </c>
      <c r="G377" s="728">
        <f>IF($E:$E="인",0,VLOOKUP($D:$D,[140]일위목록!$A:$H,6,FALSE))</f>
        <v>1250000</v>
      </c>
      <c r="H377" s="728">
        <f>TRUNC($F:$F*G:G)</f>
        <v>1312500</v>
      </c>
      <c r="I377" s="728">
        <f>IF($E:$E="인",VLOOKUP($B:$B,[140]노임!$B:$H,6,FALSE),VLOOKUP($D:$D,[140]일위목록!$A:$H,7,FALSE))</f>
        <v>0</v>
      </c>
      <c r="J377" s="728">
        <f>TRUNC($F:$F*I:I)</f>
        <v>0</v>
      </c>
      <c r="K377" s="728">
        <f t="shared" ref="K377:K381" si="46">H377+J377</f>
        <v>1312500</v>
      </c>
      <c r="L377" s="724" t="str">
        <f>IF($E:$E="인",VLOOKUP($B:$B,[140]단가!$B:$E,3,FALSE),VLOOKUP($D:$D,[140]일위목록!$A:$H,2,FALSE))</f>
        <v>단가-111번</v>
      </c>
      <c r="M377" s="717"/>
    </row>
    <row r="378" spans="1:13" s="718" customFormat="1" ht="21" customHeight="1">
      <c r="A378" s="724"/>
      <c r="B378" s="725" t="s">
        <v>6082</v>
      </c>
      <c r="C378" s="726" t="s">
        <v>6009</v>
      </c>
      <c r="D378" s="726" t="str">
        <f>SUBSTITUTE(CONCATENATE(B:B,C:C,E:E)," ","")</f>
        <v>넝마면T/C제품KG</v>
      </c>
      <c r="E378" s="724" t="s">
        <v>2477</v>
      </c>
      <c r="F378" s="727">
        <v>0.04</v>
      </c>
      <c r="G378" s="728">
        <f>IF($E:$E="인",0,VLOOKUP($D:$D,[140]일위목록!$A:$H,6,FALSE))</f>
        <v>2000</v>
      </c>
      <c r="H378" s="728">
        <f>TRUNC($F:$F*G:G)</f>
        <v>80</v>
      </c>
      <c r="I378" s="728">
        <f>IF($E:$E="인",VLOOKUP($B:$B,[140]노임!$B:$H,6,FALSE),VLOOKUP($D:$D,[140]일위목록!$A:$H,7,FALSE))</f>
        <v>0</v>
      </c>
      <c r="J378" s="728">
        <f>TRUNC($F:$F*I:I)</f>
        <v>0</v>
      </c>
      <c r="K378" s="728">
        <f t="shared" si="46"/>
        <v>80</v>
      </c>
      <c r="L378" s="724" t="str">
        <f>IF($E:$E="인",VLOOKUP($B:$B,[140]단가!$B:$E,3,FALSE),VLOOKUP($D:$D,[140]일위목록!$A:$H,2,FALSE))</f>
        <v>단가-42번</v>
      </c>
      <c r="M378" s="717"/>
    </row>
    <row r="379" spans="1:13" s="718" customFormat="1" ht="21" customHeight="1">
      <c r="A379" s="724"/>
      <c r="B379" s="725" t="s">
        <v>6083</v>
      </c>
      <c r="C379" s="726" t="s">
        <v>6084</v>
      </c>
      <c r="D379" s="726" t="str">
        <f>SUBSTITUTE(CONCATENATE(B:B,C:C,E:E)," ","")</f>
        <v>세제유리용KG</v>
      </c>
      <c r="E379" s="724" t="s">
        <v>2477</v>
      </c>
      <c r="F379" s="727">
        <v>1.4999999999999999E-2</v>
      </c>
      <c r="G379" s="728">
        <f>IF($E:$E="인",0,VLOOKUP($D:$D,[140]일위목록!$A:$H,6,FALSE))</f>
        <v>2133</v>
      </c>
      <c r="H379" s="728">
        <f>TRUNC($F:$F*G:G)</f>
        <v>31</v>
      </c>
      <c r="I379" s="728">
        <f>IF($E:$E="인",VLOOKUP($B:$B,[140]노임!$B:$H,6,FALSE),VLOOKUP($D:$D,[140]일위목록!$A:$H,7,FALSE))</f>
        <v>0</v>
      </c>
      <c r="J379" s="728">
        <f>TRUNC($F:$F*I:I)</f>
        <v>0</v>
      </c>
      <c r="K379" s="728">
        <f t="shared" si="46"/>
        <v>31</v>
      </c>
      <c r="L379" s="724" t="str">
        <f>IF($E:$E="인",VLOOKUP($B:$B,[140]단가!$B:$E,3,FALSE),VLOOKUP($D:$D,[140]일위목록!$A:$H,2,FALSE))</f>
        <v>단가-43번</v>
      </c>
      <c r="M379" s="717"/>
    </row>
    <row r="380" spans="1:13" s="718" customFormat="1" ht="21" customHeight="1">
      <c r="A380" s="724"/>
      <c r="B380" s="731" t="s">
        <v>6085</v>
      </c>
      <c r="C380" s="726"/>
      <c r="D380" s="726" t="str">
        <f>SUBSTITUTE(CONCATENATE(B:B,C:C,E:E)," ","")</f>
        <v>유리공인</v>
      </c>
      <c r="E380" s="724" t="s">
        <v>5862</v>
      </c>
      <c r="F380" s="727">
        <v>0.21</v>
      </c>
      <c r="G380" s="728">
        <f>IF($E:$E="인",0,VLOOKUP($D:$D,[140]일위목록!$A:$H,6,FALSE))</f>
        <v>0</v>
      </c>
      <c r="H380" s="728">
        <f>TRUNC($F:$F*G:G)</f>
        <v>0</v>
      </c>
      <c r="I380" s="728">
        <f>IF($E:$E="인",VLOOKUP($B:$B,[140]노임!$B:$H,6,FALSE),VLOOKUP($D:$D,[140]일위목록!$A:$H,7,FALSE))</f>
        <v>181240</v>
      </c>
      <c r="J380" s="728">
        <f>TRUNC($F:$F*I:I)</f>
        <v>38060</v>
      </c>
      <c r="K380" s="728">
        <f t="shared" si="46"/>
        <v>38060</v>
      </c>
      <c r="L380" s="724" t="str">
        <f>IF($E:$E="인",VLOOKUP($B:$B,[140]노임!$B:$D,3,FALSE),VLOOKUP($D:$D,[140]일위목록!$A:$H,2,FALSE))</f>
        <v>건설노임-1025</v>
      </c>
      <c r="M380" s="717"/>
    </row>
    <row r="381" spans="1:13" s="718" customFormat="1" ht="21" customHeight="1">
      <c r="A381" s="724"/>
      <c r="B381" s="731" t="s">
        <v>5877</v>
      </c>
      <c r="C381" s="726"/>
      <c r="D381" s="726" t="str">
        <f>SUBSTITUTE(CONCATENATE(B:B,C:C,E:E)," ","")</f>
        <v>보통인부인</v>
      </c>
      <c r="E381" s="724" t="s">
        <v>5862</v>
      </c>
      <c r="F381" s="727">
        <v>2.4E-2</v>
      </c>
      <c r="G381" s="728">
        <f>IF($E:$E="인",0,VLOOKUP($D:$D,[140]일위목록!$A:$H,6,FALSE))</f>
        <v>0</v>
      </c>
      <c r="H381" s="728">
        <f>TRUNC($F:$F*G:G)</f>
        <v>0</v>
      </c>
      <c r="I381" s="728">
        <f>IF($E:$E="인",VLOOKUP($B:$B,[140]노임!$B:$H,6,FALSE),VLOOKUP($D:$D,[140]일위목록!$A:$H,7,FALSE))</f>
        <v>125427</v>
      </c>
      <c r="J381" s="728">
        <f>TRUNC($F:$F*I:I)</f>
        <v>3010</v>
      </c>
      <c r="K381" s="728">
        <f t="shared" si="46"/>
        <v>3010</v>
      </c>
      <c r="L381" s="724" t="str">
        <f>IF($E:$E="인",VLOOKUP($B:$B,[140]노임!$B:$D,3,FALSE),VLOOKUP($D:$D,[140]일위목록!$A:$H,2,FALSE))</f>
        <v>건설노임-1002</v>
      </c>
      <c r="M381" s="717"/>
    </row>
    <row r="382" spans="1:13" s="718" customFormat="1" ht="21" customHeight="1">
      <c r="A382" s="724"/>
      <c r="B382" s="725" t="s">
        <v>5901</v>
      </c>
      <c r="C382" s="726"/>
      <c r="D382" s="726" t="str">
        <f>L:L</f>
        <v>제59호표</v>
      </c>
      <c r="E382" s="724"/>
      <c r="F382" s="727"/>
      <c r="G382" s="728"/>
      <c r="H382" s="728">
        <f>SUM(H377:H381)</f>
        <v>1312611</v>
      </c>
      <c r="I382" s="728"/>
      <c r="J382" s="728">
        <f>SUM(J377:J381)</f>
        <v>41070</v>
      </c>
      <c r="K382" s="728">
        <f>SUM(K377:K381)</f>
        <v>1353681</v>
      </c>
      <c r="L382" s="724" t="str">
        <f>A375</f>
        <v>제59호표</v>
      </c>
      <c r="M382" s="717"/>
    </row>
    <row r="383" spans="1:13" s="718" customFormat="1" ht="21" customHeight="1">
      <c r="A383" s="724"/>
      <c r="B383" s="725"/>
      <c r="C383" s="726"/>
      <c r="D383" s="726"/>
      <c r="E383" s="724"/>
      <c r="F383" s="727"/>
      <c r="G383" s="728"/>
      <c r="H383" s="728"/>
      <c r="I383" s="728"/>
      <c r="J383" s="728"/>
      <c r="K383" s="728"/>
      <c r="L383" s="724"/>
      <c r="M383" s="717"/>
    </row>
    <row r="384" spans="1:13" s="718" customFormat="1" ht="21" customHeight="1">
      <c r="A384" s="724"/>
      <c r="B384" s="725"/>
      <c r="C384" s="726"/>
      <c r="D384" s="726"/>
      <c r="E384" s="724"/>
      <c r="F384" s="727"/>
      <c r="G384" s="728"/>
      <c r="H384" s="728"/>
      <c r="I384" s="728"/>
      <c r="J384" s="728"/>
      <c r="K384" s="728"/>
      <c r="L384" s="724"/>
      <c r="M384" s="717"/>
    </row>
    <row r="385" spans="1:13" s="718" customFormat="1" ht="21" customHeight="1">
      <c r="A385" s="724" t="str">
        <f>"제"&amp;M385&amp;"호표"</f>
        <v>제60호표</v>
      </c>
      <c r="B385" s="739" t="s">
        <v>6088</v>
      </c>
      <c r="C385" s="733" t="s">
        <v>6080</v>
      </c>
      <c r="D385" s="726"/>
      <c r="E385" s="724" t="s">
        <v>59</v>
      </c>
      <c r="F385" s="727"/>
      <c r="G385" s="728"/>
      <c r="H385" s="728"/>
      <c r="I385" s="728"/>
      <c r="J385" s="728"/>
      <c r="K385" s="728"/>
      <c r="L385" s="724"/>
      <c r="M385" s="729">
        <f>M375+1</f>
        <v>60</v>
      </c>
    </row>
    <row r="386" spans="1:13" s="718" customFormat="1" ht="21" customHeight="1">
      <c r="A386" s="724"/>
      <c r="B386" s="753"/>
      <c r="C386" s="726"/>
      <c r="D386" s="726"/>
      <c r="E386" s="724"/>
      <c r="F386" s="727"/>
      <c r="G386" s="728"/>
      <c r="H386" s="728"/>
      <c r="I386" s="728"/>
      <c r="J386" s="728"/>
      <c r="K386" s="728"/>
      <c r="L386" s="724"/>
      <c r="M386" s="729"/>
    </row>
    <row r="387" spans="1:13" s="718" customFormat="1" ht="21" customHeight="1">
      <c r="A387" s="724"/>
      <c r="B387" s="739" t="s">
        <v>6089</v>
      </c>
      <c r="C387" s="733" t="s">
        <v>6080</v>
      </c>
      <c r="D387" s="726" t="str">
        <f>SUBSTITUTE(CONCATENATE(B:B,C:C,E:E)," ","")</f>
        <v>저반사접합유리(투과율96%)T10.76mmM2</v>
      </c>
      <c r="E387" s="724" t="s">
        <v>59</v>
      </c>
      <c r="F387" s="727">
        <v>1.05</v>
      </c>
      <c r="G387" s="728">
        <f>IF($E:$E="인",0,VLOOKUP($D:$D,[140]일위목록!$A:$H,6,FALSE))</f>
        <v>980000</v>
      </c>
      <c r="H387" s="728">
        <f>TRUNC($F:$F*G:G)</f>
        <v>1029000</v>
      </c>
      <c r="I387" s="728">
        <f>IF($E:$E="인",VLOOKUP($B:$B,[140]노임!$B:$H,6,FALSE),VLOOKUP($D:$D,[140]일위목록!$A:$H,7,FALSE))</f>
        <v>0</v>
      </c>
      <c r="J387" s="728">
        <f>TRUNC($F:$F*I:I)</f>
        <v>0</v>
      </c>
      <c r="K387" s="728">
        <f t="shared" ref="K387:K391" si="47">H387+J387</f>
        <v>1029000</v>
      </c>
      <c r="L387" s="724" t="str">
        <f>IF($E:$E="인",VLOOKUP($B:$B,[140]단가!$B:$E,3,FALSE),VLOOKUP($D:$D,[140]일위목록!$A:$H,2,FALSE))</f>
        <v>단가-112번</v>
      </c>
      <c r="M387" s="717"/>
    </row>
    <row r="388" spans="1:13" s="718" customFormat="1" ht="21" customHeight="1">
      <c r="A388" s="724"/>
      <c r="B388" s="725" t="s">
        <v>6082</v>
      </c>
      <c r="C388" s="726" t="s">
        <v>6009</v>
      </c>
      <c r="D388" s="726" t="str">
        <f>SUBSTITUTE(CONCATENATE(B:B,C:C,E:E)," ","")</f>
        <v>넝마면T/C제품KG</v>
      </c>
      <c r="E388" s="724" t="s">
        <v>2477</v>
      </c>
      <c r="F388" s="727">
        <v>0.04</v>
      </c>
      <c r="G388" s="728">
        <f>IF($E:$E="인",0,VLOOKUP($D:$D,[140]일위목록!$A:$H,6,FALSE))</f>
        <v>2000</v>
      </c>
      <c r="H388" s="728">
        <f>TRUNC($F:$F*G:G)</f>
        <v>80</v>
      </c>
      <c r="I388" s="728">
        <f>IF($E:$E="인",VLOOKUP($B:$B,[140]노임!$B:$H,6,FALSE),VLOOKUP($D:$D,[140]일위목록!$A:$H,7,FALSE))</f>
        <v>0</v>
      </c>
      <c r="J388" s="728">
        <f>TRUNC($F:$F*I:I)</f>
        <v>0</v>
      </c>
      <c r="K388" s="728">
        <f t="shared" si="47"/>
        <v>80</v>
      </c>
      <c r="L388" s="724" t="str">
        <f>IF($E:$E="인",VLOOKUP($B:$B,[140]단가!$B:$E,3,FALSE),VLOOKUP($D:$D,[140]일위목록!$A:$H,2,FALSE))</f>
        <v>단가-42번</v>
      </c>
      <c r="M388" s="717"/>
    </row>
    <row r="389" spans="1:13" s="718" customFormat="1" ht="21" customHeight="1">
      <c r="A389" s="724"/>
      <c r="B389" s="725" t="s">
        <v>6083</v>
      </c>
      <c r="C389" s="726" t="s">
        <v>6084</v>
      </c>
      <c r="D389" s="726" t="str">
        <f>SUBSTITUTE(CONCATENATE(B:B,C:C,E:E)," ","")</f>
        <v>세제유리용KG</v>
      </c>
      <c r="E389" s="724" t="s">
        <v>2477</v>
      </c>
      <c r="F389" s="727">
        <v>1.4999999999999999E-2</v>
      </c>
      <c r="G389" s="728">
        <f>IF($E:$E="인",0,VLOOKUP($D:$D,[140]일위목록!$A:$H,6,FALSE))</f>
        <v>2133</v>
      </c>
      <c r="H389" s="728">
        <f>TRUNC($F:$F*G:G)</f>
        <v>31</v>
      </c>
      <c r="I389" s="728">
        <f>IF($E:$E="인",VLOOKUP($B:$B,[140]노임!$B:$H,6,FALSE),VLOOKUP($D:$D,[140]일위목록!$A:$H,7,FALSE))</f>
        <v>0</v>
      </c>
      <c r="J389" s="728">
        <f>TRUNC($F:$F*I:I)</f>
        <v>0</v>
      </c>
      <c r="K389" s="728">
        <f t="shared" si="47"/>
        <v>31</v>
      </c>
      <c r="L389" s="724" t="str">
        <f>IF($E:$E="인",VLOOKUP($B:$B,[140]단가!$B:$E,3,FALSE),VLOOKUP($D:$D,[140]일위목록!$A:$H,2,FALSE))</f>
        <v>단가-43번</v>
      </c>
      <c r="M389" s="717"/>
    </row>
    <row r="390" spans="1:13" s="718" customFormat="1" ht="21" customHeight="1">
      <c r="A390" s="724"/>
      <c r="B390" s="731" t="s">
        <v>6085</v>
      </c>
      <c r="C390" s="726"/>
      <c r="D390" s="726" t="str">
        <f>SUBSTITUTE(CONCATENATE(B:B,C:C,E:E)," ","")</f>
        <v>유리공인</v>
      </c>
      <c r="E390" s="724" t="s">
        <v>5862</v>
      </c>
      <c r="F390" s="727">
        <v>0.21</v>
      </c>
      <c r="G390" s="728">
        <f>IF($E:$E="인",0,VLOOKUP($D:$D,[140]일위목록!$A:$H,6,FALSE))</f>
        <v>0</v>
      </c>
      <c r="H390" s="728">
        <f>TRUNC($F:$F*G:G)</f>
        <v>0</v>
      </c>
      <c r="I390" s="728">
        <f>IF($E:$E="인",VLOOKUP($B:$B,[140]노임!$B:$H,6,FALSE),VLOOKUP($D:$D,[140]일위목록!$A:$H,7,FALSE))</f>
        <v>181240</v>
      </c>
      <c r="J390" s="728">
        <f>TRUNC($F:$F*I:I)</f>
        <v>38060</v>
      </c>
      <c r="K390" s="728">
        <f t="shared" si="47"/>
        <v>38060</v>
      </c>
      <c r="L390" s="724" t="str">
        <f>IF($E:$E="인",VLOOKUP($B:$B,[140]노임!$B:$D,3,FALSE),VLOOKUP($D:$D,[140]일위목록!$A:$H,2,FALSE))</f>
        <v>건설노임-1025</v>
      </c>
      <c r="M390" s="717"/>
    </row>
    <row r="391" spans="1:13" s="718" customFormat="1" ht="21" customHeight="1">
      <c r="A391" s="724"/>
      <c r="B391" s="731" t="s">
        <v>5877</v>
      </c>
      <c r="C391" s="726"/>
      <c r="D391" s="726" t="str">
        <f>SUBSTITUTE(CONCATENATE(B:B,C:C,E:E)," ","")</f>
        <v>보통인부인</v>
      </c>
      <c r="E391" s="724" t="s">
        <v>5862</v>
      </c>
      <c r="F391" s="727">
        <v>2.4E-2</v>
      </c>
      <c r="G391" s="728">
        <f>IF($E:$E="인",0,VLOOKUP($D:$D,[140]일위목록!$A:$H,6,FALSE))</f>
        <v>0</v>
      </c>
      <c r="H391" s="728">
        <f>TRUNC($F:$F*G:G)</f>
        <v>0</v>
      </c>
      <c r="I391" s="728">
        <f>IF($E:$E="인",VLOOKUP($B:$B,[140]노임!$B:$H,6,FALSE),VLOOKUP($D:$D,[140]일위목록!$A:$H,7,FALSE))</f>
        <v>125427</v>
      </c>
      <c r="J391" s="728">
        <f>TRUNC($F:$F*I:I)</f>
        <v>3010</v>
      </c>
      <c r="K391" s="728">
        <f t="shared" si="47"/>
        <v>3010</v>
      </c>
      <c r="L391" s="724" t="str">
        <f>IF($E:$E="인",VLOOKUP($B:$B,[140]노임!$B:$D,3,FALSE),VLOOKUP($D:$D,[140]일위목록!$A:$H,2,FALSE))</f>
        <v>건설노임-1002</v>
      </c>
      <c r="M391" s="717"/>
    </row>
    <row r="392" spans="1:13" s="718" customFormat="1" ht="21" customHeight="1">
      <c r="A392" s="724"/>
      <c r="B392" s="725" t="s">
        <v>5901</v>
      </c>
      <c r="C392" s="726"/>
      <c r="D392" s="726" t="str">
        <f>L:L</f>
        <v>제60호표</v>
      </c>
      <c r="E392" s="724"/>
      <c r="F392" s="727"/>
      <c r="G392" s="728"/>
      <c r="H392" s="728">
        <f>SUM(H387:H391)</f>
        <v>1029111</v>
      </c>
      <c r="I392" s="728"/>
      <c r="J392" s="728">
        <f>SUM(J387:J391)</f>
        <v>41070</v>
      </c>
      <c r="K392" s="728">
        <f>SUM(K387:K391)</f>
        <v>1070181</v>
      </c>
      <c r="L392" s="724" t="str">
        <f>A385</f>
        <v>제60호표</v>
      </c>
      <c r="M392" s="717"/>
    </row>
    <row r="393" spans="1:13" s="718" customFormat="1" ht="21" customHeight="1">
      <c r="A393" s="724"/>
      <c r="B393" s="725"/>
      <c r="C393" s="726"/>
      <c r="D393" s="726"/>
      <c r="E393" s="724"/>
      <c r="F393" s="727"/>
      <c r="G393" s="728"/>
      <c r="H393" s="728"/>
      <c r="I393" s="728"/>
      <c r="J393" s="728"/>
      <c r="K393" s="728"/>
      <c r="L393" s="724"/>
      <c r="M393" s="717"/>
    </row>
    <row r="394" spans="1:13" s="718" customFormat="1" ht="21" customHeight="1">
      <c r="A394" s="724"/>
      <c r="B394" s="725"/>
      <c r="C394" s="726"/>
      <c r="D394" s="726"/>
      <c r="E394" s="724"/>
      <c r="F394" s="727"/>
      <c r="G394" s="728"/>
      <c r="H394" s="728"/>
      <c r="I394" s="728"/>
      <c r="J394" s="728"/>
      <c r="K394" s="728"/>
      <c r="L394" s="724"/>
      <c r="M394" s="717"/>
    </row>
    <row r="395" spans="1:13" s="718" customFormat="1" ht="21" customHeight="1">
      <c r="A395" s="724" t="str">
        <f>"제"&amp;M395&amp;"호표"</f>
        <v>제61호표</v>
      </c>
      <c r="B395" s="739" t="s">
        <v>6090</v>
      </c>
      <c r="C395" s="733" t="s">
        <v>6091</v>
      </c>
      <c r="D395" s="726"/>
      <c r="E395" s="724" t="s">
        <v>59</v>
      </c>
      <c r="F395" s="727"/>
      <c r="G395" s="728"/>
      <c r="H395" s="728"/>
      <c r="I395" s="728"/>
      <c r="J395" s="728"/>
      <c r="K395" s="728"/>
      <c r="L395" s="724"/>
      <c r="M395" s="729">
        <f>M385+1</f>
        <v>61</v>
      </c>
    </row>
    <row r="396" spans="1:13" s="718" customFormat="1" ht="21" customHeight="1">
      <c r="A396" s="724"/>
      <c r="B396" s="753"/>
      <c r="C396" s="726"/>
      <c r="D396" s="726"/>
      <c r="E396" s="724"/>
      <c r="F396" s="727"/>
      <c r="G396" s="728"/>
      <c r="H396" s="728"/>
      <c r="I396" s="728"/>
      <c r="J396" s="728"/>
      <c r="K396" s="728"/>
      <c r="L396" s="724"/>
      <c r="M396" s="729"/>
    </row>
    <row r="397" spans="1:13" s="718" customFormat="1" ht="21" customHeight="1">
      <c r="A397" s="724"/>
      <c r="B397" s="739" t="s">
        <v>6092</v>
      </c>
      <c r="C397" s="733" t="s">
        <v>6091</v>
      </c>
      <c r="D397" s="726" t="str">
        <f>SUBSTITUTE(CONCATENATE(B:B,C:C,E:E)," ","")</f>
        <v>화이트접합유리T10.76mmM2</v>
      </c>
      <c r="E397" s="724" t="s">
        <v>59</v>
      </c>
      <c r="F397" s="727">
        <v>1.05</v>
      </c>
      <c r="G397" s="728">
        <f>IF($E:$E="인",0,VLOOKUP($D:$D,[140]일위목록!$A:$H,6,FALSE))</f>
        <v>209450</v>
      </c>
      <c r="H397" s="728">
        <f>TRUNC($F:$F*G:G)</f>
        <v>219922</v>
      </c>
      <c r="I397" s="728">
        <f>IF($E:$E="인",VLOOKUP($B:$B,[140]노임!$B:$H,6,FALSE),VLOOKUP($D:$D,[140]일위목록!$A:$H,7,FALSE))</f>
        <v>0</v>
      </c>
      <c r="J397" s="728">
        <f>TRUNC($F:$F*I:I)</f>
        <v>0</v>
      </c>
      <c r="K397" s="728">
        <f t="shared" ref="K397:K401" si="48">H397+J397</f>
        <v>219922</v>
      </c>
      <c r="L397" s="724" t="str">
        <f>IF($E:$E="인",VLOOKUP($B:$B,[140]단가!$B:$E,3,FALSE),VLOOKUP($D:$D,[140]일위목록!$A:$H,2,FALSE))</f>
        <v>단가-113번</v>
      </c>
      <c r="M397" s="717"/>
    </row>
    <row r="398" spans="1:13" s="718" customFormat="1" ht="21" customHeight="1">
      <c r="A398" s="724"/>
      <c r="B398" s="725" t="s">
        <v>6082</v>
      </c>
      <c r="C398" s="726" t="s">
        <v>6093</v>
      </c>
      <c r="D398" s="726" t="str">
        <f>SUBSTITUTE(CONCATENATE(B:B,C:C,E:E)," ","")</f>
        <v>넝마면T/C제품KG</v>
      </c>
      <c r="E398" s="724" t="s">
        <v>2477</v>
      </c>
      <c r="F398" s="727">
        <v>0.04</v>
      </c>
      <c r="G398" s="728">
        <f>IF($E:$E="인",0,VLOOKUP($D:$D,[140]일위목록!$A:$H,6,FALSE))</f>
        <v>2000</v>
      </c>
      <c r="H398" s="728">
        <f>TRUNC($F:$F*G:G)</f>
        <v>80</v>
      </c>
      <c r="I398" s="728">
        <f>IF($E:$E="인",VLOOKUP($B:$B,[140]노임!$B:$H,6,FALSE),VLOOKUP($D:$D,[140]일위목록!$A:$H,7,FALSE))</f>
        <v>0</v>
      </c>
      <c r="J398" s="728">
        <f>TRUNC($F:$F*I:I)</f>
        <v>0</v>
      </c>
      <c r="K398" s="728">
        <f t="shared" si="48"/>
        <v>80</v>
      </c>
      <c r="L398" s="724" t="str">
        <f>IF($E:$E="인",VLOOKUP($B:$B,[140]단가!$B:$E,3,FALSE),VLOOKUP($D:$D,[140]일위목록!$A:$H,2,FALSE))</f>
        <v>단가-42번</v>
      </c>
      <c r="M398" s="717"/>
    </row>
    <row r="399" spans="1:13" s="718" customFormat="1" ht="21" customHeight="1">
      <c r="A399" s="724"/>
      <c r="B399" s="725" t="s">
        <v>6094</v>
      </c>
      <c r="C399" s="726" t="s">
        <v>6084</v>
      </c>
      <c r="D399" s="726" t="str">
        <f>SUBSTITUTE(CONCATENATE(B:B,C:C,E:E)," ","")</f>
        <v>세제유리용KG</v>
      </c>
      <c r="E399" s="724" t="s">
        <v>2477</v>
      </c>
      <c r="F399" s="727">
        <v>1.4999999999999999E-2</v>
      </c>
      <c r="G399" s="728">
        <f>IF($E:$E="인",0,VLOOKUP($D:$D,[140]일위목록!$A:$H,6,FALSE))</f>
        <v>2133</v>
      </c>
      <c r="H399" s="728">
        <f>TRUNC($F:$F*G:G)</f>
        <v>31</v>
      </c>
      <c r="I399" s="728">
        <f>IF($E:$E="인",VLOOKUP($B:$B,[140]노임!$B:$H,6,FALSE),VLOOKUP($D:$D,[140]일위목록!$A:$H,7,FALSE))</f>
        <v>0</v>
      </c>
      <c r="J399" s="728">
        <f>TRUNC($F:$F*I:I)</f>
        <v>0</v>
      </c>
      <c r="K399" s="728">
        <f t="shared" si="48"/>
        <v>31</v>
      </c>
      <c r="L399" s="724" t="str">
        <f>IF($E:$E="인",VLOOKUP($B:$B,[140]단가!$B:$E,3,FALSE),VLOOKUP($D:$D,[140]일위목록!$A:$H,2,FALSE))</f>
        <v>단가-43번</v>
      </c>
      <c r="M399" s="717"/>
    </row>
    <row r="400" spans="1:13" s="718" customFormat="1" ht="21" customHeight="1">
      <c r="A400" s="724"/>
      <c r="B400" s="731" t="s">
        <v>6095</v>
      </c>
      <c r="C400" s="726"/>
      <c r="D400" s="726" t="str">
        <f>SUBSTITUTE(CONCATENATE(B:B,C:C,E:E)," ","")</f>
        <v>유리공인</v>
      </c>
      <c r="E400" s="724" t="s">
        <v>5862</v>
      </c>
      <c r="F400" s="727">
        <v>0.21</v>
      </c>
      <c r="G400" s="728">
        <f>IF($E:$E="인",0,VLOOKUP($D:$D,[140]일위목록!$A:$H,6,FALSE))</f>
        <v>0</v>
      </c>
      <c r="H400" s="728">
        <f>TRUNC($F:$F*G:G)</f>
        <v>0</v>
      </c>
      <c r="I400" s="728">
        <f>IF($E:$E="인",VLOOKUP($B:$B,[140]노임!$B:$H,6,FALSE),VLOOKUP($D:$D,[140]일위목록!$A:$H,7,FALSE))</f>
        <v>181240</v>
      </c>
      <c r="J400" s="728">
        <f>TRUNC($F:$F*I:I)</f>
        <v>38060</v>
      </c>
      <c r="K400" s="728">
        <f t="shared" si="48"/>
        <v>38060</v>
      </c>
      <c r="L400" s="724" t="str">
        <f>IF($E:$E="인",VLOOKUP($B:$B,[140]노임!$B:$D,3,FALSE),VLOOKUP($D:$D,[140]일위목록!$A:$H,2,FALSE))</f>
        <v>건설노임-1025</v>
      </c>
      <c r="M400" s="717"/>
    </row>
    <row r="401" spans="1:13" s="718" customFormat="1" ht="21" customHeight="1">
      <c r="A401" s="724"/>
      <c r="B401" s="731" t="s">
        <v>6096</v>
      </c>
      <c r="C401" s="726"/>
      <c r="D401" s="726" t="str">
        <f>SUBSTITUTE(CONCATENATE(B:B,C:C,E:E)," ","")</f>
        <v>보통인부인</v>
      </c>
      <c r="E401" s="724" t="s">
        <v>5862</v>
      </c>
      <c r="F401" s="727">
        <v>2.4E-2</v>
      </c>
      <c r="G401" s="728">
        <f>IF($E:$E="인",0,VLOOKUP($D:$D,[140]일위목록!$A:$H,6,FALSE))</f>
        <v>0</v>
      </c>
      <c r="H401" s="728">
        <f>TRUNC($F:$F*G:G)</f>
        <v>0</v>
      </c>
      <c r="I401" s="728">
        <f>IF($E:$E="인",VLOOKUP($B:$B,[140]노임!$B:$H,6,FALSE),VLOOKUP($D:$D,[140]일위목록!$A:$H,7,FALSE))</f>
        <v>125427</v>
      </c>
      <c r="J401" s="728">
        <f>TRUNC($F:$F*I:I)</f>
        <v>3010</v>
      </c>
      <c r="K401" s="728">
        <f t="shared" si="48"/>
        <v>3010</v>
      </c>
      <c r="L401" s="724" t="str">
        <f>IF($E:$E="인",VLOOKUP($B:$B,[140]노임!$B:$D,3,FALSE),VLOOKUP($D:$D,[140]일위목록!$A:$H,2,FALSE))</f>
        <v>건설노임-1002</v>
      </c>
      <c r="M401" s="717"/>
    </row>
    <row r="402" spans="1:13" s="718" customFormat="1" ht="21" customHeight="1">
      <c r="A402" s="724"/>
      <c r="B402" s="725" t="s">
        <v>5901</v>
      </c>
      <c r="C402" s="726"/>
      <c r="D402" s="726" t="str">
        <f>L:L</f>
        <v>제61호표</v>
      </c>
      <c r="E402" s="724"/>
      <c r="F402" s="727"/>
      <c r="G402" s="728"/>
      <c r="H402" s="728">
        <f>SUM(H397:H401)</f>
        <v>220033</v>
      </c>
      <c r="I402" s="728"/>
      <c r="J402" s="728">
        <f>SUM(J397:J401)</f>
        <v>41070</v>
      </c>
      <c r="K402" s="728">
        <f>SUM(K397:K401)</f>
        <v>261103</v>
      </c>
      <c r="L402" s="724" t="str">
        <f>A395</f>
        <v>제61호표</v>
      </c>
      <c r="M402" s="717"/>
    </row>
    <row r="403" spans="1:13" s="718" customFormat="1" ht="21" customHeight="1">
      <c r="A403" s="724"/>
      <c r="B403" s="725"/>
      <c r="C403" s="726"/>
      <c r="D403" s="726"/>
      <c r="E403" s="724"/>
      <c r="F403" s="727"/>
      <c r="G403" s="728"/>
      <c r="H403" s="728"/>
      <c r="I403" s="728"/>
      <c r="J403" s="728"/>
      <c r="K403" s="728"/>
      <c r="L403" s="724"/>
      <c r="M403" s="717"/>
    </row>
    <row r="404" spans="1:13" s="718" customFormat="1" ht="21" customHeight="1">
      <c r="A404" s="724"/>
      <c r="B404" s="725"/>
      <c r="C404" s="726"/>
      <c r="D404" s="726"/>
      <c r="E404" s="724"/>
      <c r="F404" s="727"/>
      <c r="G404" s="728"/>
      <c r="H404" s="728"/>
      <c r="I404" s="728"/>
      <c r="J404" s="728"/>
      <c r="K404" s="728"/>
      <c r="L404" s="724"/>
      <c r="M404" s="717"/>
    </row>
    <row r="405" spans="1:13" s="718" customFormat="1" ht="21" customHeight="1">
      <c r="A405" s="724" t="str">
        <f>"제"&amp;M405&amp;"호표"</f>
        <v>제62호표</v>
      </c>
      <c r="B405" s="739" t="s">
        <v>6097</v>
      </c>
      <c r="C405" s="733" t="s">
        <v>6098</v>
      </c>
      <c r="D405" s="726"/>
      <c r="E405" s="724" t="s">
        <v>59</v>
      </c>
      <c r="F405" s="727"/>
      <c r="G405" s="728"/>
      <c r="H405" s="728"/>
      <c r="I405" s="728"/>
      <c r="J405" s="728"/>
      <c r="K405" s="728"/>
      <c r="L405" s="724"/>
      <c r="M405" s="729">
        <f>M395+1</f>
        <v>62</v>
      </c>
    </row>
    <row r="406" spans="1:13" s="718" customFormat="1" ht="21" customHeight="1">
      <c r="A406" s="724"/>
      <c r="B406" s="753"/>
      <c r="C406" s="726"/>
      <c r="D406" s="726"/>
      <c r="E406" s="724"/>
      <c r="F406" s="727"/>
      <c r="G406" s="728"/>
      <c r="H406" s="728"/>
      <c r="I406" s="728"/>
      <c r="J406" s="728"/>
      <c r="K406" s="728"/>
      <c r="L406" s="724"/>
      <c r="M406" s="729"/>
    </row>
    <row r="407" spans="1:13" s="718" customFormat="1" ht="21" customHeight="1">
      <c r="A407" s="724"/>
      <c r="B407" s="739" t="s">
        <v>6099</v>
      </c>
      <c r="C407" s="733" t="s">
        <v>6100</v>
      </c>
      <c r="D407" s="726" t="str">
        <f>SUBSTITUTE(CONCATENATE(B:B,C:C,E:E)," ","")</f>
        <v>투명접합유리T12.76mm(2,400*3,000기준)M2</v>
      </c>
      <c r="E407" s="724" t="s">
        <v>59</v>
      </c>
      <c r="F407" s="727">
        <v>1.05</v>
      </c>
      <c r="G407" s="728">
        <f>IF($E:$E="인",0,VLOOKUP($D:$D,[140]일위목록!$A:$H,6,FALSE))</f>
        <v>143000</v>
      </c>
      <c r="H407" s="728">
        <f>TRUNC($F:$F*G:G)</f>
        <v>150150</v>
      </c>
      <c r="I407" s="728">
        <f>IF($E:$E="인",VLOOKUP($B:$B,[140]노임!$B:$H,6,FALSE),VLOOKUP($D:$D,[140]일위목록!$A:$H,7,FALSE))</f>
        <v>0</v>
      </c>
      <c r="J407" s="728">
        <f>TRUNC($F:$F*I:I)</f>
        <v>0</v>
      </c>
      <c r="K407" s="728">
        <f t="shared" ref="K407:K412" si="49">H407+J407</f>
        <v>150150</v>
      </c>
      <c r="L407" s="724" t="str">
        <f>IF($E:$E="인",VLOOKUP($B:$B,[140]단가!$B:$E,3,FALSE),VLOOKUP($D:$D,[140]일위목록!$A:$H,2,FALSE))</f>
        <v>단가-115번</v>
      </c>
      <c r="M407" s="717"/>
    </row>
    <row r="408" spans="1:13" s="718" customFormat="1" ht="21" customHeight="1">
      <c r="A408" s="724"/>
      <c r="B408" s="725" t="s">
        <v>6082</v>
      </c>
      <c r="C408" s="726" t="s">
        <v>6009</v>
      </c>
      <c r="D408" s="726" t="str">
        <f>SUBSTITUTE(CONCATENATE(B:B,C:C,E:E)," ","")</f>
        <v>넝마면T/C제품KG</v>
      </c>
      <c r="E408" s="724" t="s">
        <v>2477</v>
      </c>
      <c r="F408" s="727">
        <v>0.04</v>
      </c>
      <c r="G408" s="728">
        <f>IF($E:$E="인",0,VLOOKUP($D:$D,[140]일위목록!$A:$H,6,FALSE))</f>
        <v>2000</v>
      </c>
      <c r="H408" s="728">
        <f>TRUNC($F:$F*G:G)</f>
        <v>80</v>
      </c>
      <c r="I408" s="728">
        <f>IF($E:$E="인",VLOOKUP($B:$B,[140]노임!$B:$H,6,FALSE),VLOOKUP($D:$D,[140]일위목록!$A:$H,7,FALSE))</f>
        <v>0</v>
      </c>
      <c r="J408" s="728">
        <f>TRUNC($F:$F*I:I)</f>
        <v>0</v>
      </c>
      <c r="K408" s="728">
        <f t="shared" si="49"/>
        <v>80</v>
      </c>
      <c r="L408" s="724" t="str">
        <f>IF($E:$E="인",VLOOKUP($B:$B,[140]단가!$B:$E,3,FALSE),VLOOKUP($D:$D,[140]일위목록!$A:$H,2,FALSE))</f>
        <v>단가-42번</v>
      </c>
      <c r="M408" s="717"/>
    </row>
    <row r="409" spans="1:13" s="718" customFormat="1" ht="21" customHeight="1">
      <c r="A409" s="724"/>
      <c r="B409" s="725" t="s">
        <v>6083</v>
      </c>
      <c r="C409" s="726" t="s">
        <v>6084</v>
      </c>
      <c r="D409" s="726" t="str">
        <f>SUBSTITUTE(CONCATENATE(B:B,C:C,E:E)," ","")</f>
        <v>세제유리용KG</v>
      </c>
      <c r="E409" s="724" t="s">
        <v>2477</v>
      </c>
      <c r="F409" s="727">
        <v>1.4999999999999999E-2</v>
      </c>
      <c r="G409" s="728">
        <f>IF($E:$E="인",0,VLOOKUP($D:$D,[140]일위목록!$A:$H,6,FALSE))</f>
        <v>2133</v>
      </c>
      <c r="H409" s="728">
        <f>TRUNC($F:$F*G:G)</f>
        <v>31</v>
      </c>
      <c r="I409" s="728">
        <f>IF($E:$E="인",VLOOKUP($B:$B,[140]노임!$B:$H,6,FALSE),VLOOKUP($D:$D,[140]일위목록!$A:$H,7,FALSE))</f>
        <v>0</v>
      </c>
      <c r="J409" s="728">
        <f>TRUNC($F:$F*I:I)</f>
        <v>0</v>
      </c>
      <c r="K409" s="728">
        <f t="shared" si="49"/>
        <v>31</v>
      </c>
      <c r="L409" s="724" t="str">
        <f>IF($E:$E="인",VLOOKUP($B:$B,[140]단가!$B:$E,3,FALSE),VLOOKUP($D:$D,[140]일위목록!$A:$H,2,FALSE))</f>
        <v>단가-43번</v>
      </c>
      <c r="M409" s="717"/>
    </row>
    <row r="410" spans="1:13" s="718" customFormat="1" ht="21" customHeight="1">
      <c r="A410" s="724"/>
      <c r="B410" s="731" t="s">
        <v>6085</v>
      </c>
      <c r="C410" s="726"/>
      <c r="D410" s="726" t="str">
        <f>SUBSTITUTE(CONCATENATE(B:B,C:C,E:E)," ","")</f>
        <v>유리공인</v>
      </c>
      <c r="E410" s="724" t="s">
        <v>5862</v>
      </c>
      <c r="F410" s="727">
        <v>0.38</v>
      </c>
      <c r="G410" s="728">
        <f>IF($E:$E="인",0,VLOOKUP($D:$D,[140]일위목록!$A:$H,6,FALSE))</f>
        <v>0</v>
      </c>
      <c r="H410" s="728">
        <f>TRUNC($F:$F*G:G)</f>
        <v>0</v>
      </c>
      <c r="I410" s="728">
        <f>IF($E:$E="인",VLOOKUP($B:$B,[140]노임!$B:$H,6,FALSE),VLOOKUP($D:$D,[140]일위목록!$A:$H,7,FALSE))</f>
        <v>181240</v>
      </c>
      <c r="J410" s="728">
        <f>TRUNC($F:$F*I:I)</f>
        <v>68871</v>
      </c>
      <c r="K410" s="728">
        <f t="shared" si="49"/>
        <v>68871</v>
      </c>
      <c r="L410" s="724" t="str">
        <f>IF($E:$E="인",VLOOKUP($B:$B,[140]노임!$B:$D,3,FALSE),VLOOKUP($D:$D,[140]일위목록!$A:$H,2,FALSE))</f>
        <v>건설노임-1025</v>
      </c>
      <c r="M410" s="717"/>
    </row>
    <row r="411" spans="1:13" s="718" customFormat="1" ht="21" customHeight="1">
      <c r="A411" s="724"/>
      <c r="B411" s="731" t="s">
        <v>5877</v>
      </c>
      <c r="C411" s="726"/>
      <c r="D411" s="726" t="str">
        <f>SUBSTITUTE(CONCATENATE(B:B,C:C,E:E)," ","")</f>
        <v>보통인부인</v>
      </c>
      <c r="E411" s="724" t="s">
        <v>5862</v>
      </c>
      <c r="F411" s="727">
        <v>2.4E-2</v>
      </c>
      <c r="G411" s="728">
        <f>IF($E:$E="인",0,VLOOKUP($D:$D,[140]일위목록!$A:$H,6,FALSE))</f>
        <v>0</v>
      </c>
      <c r="H411" s="728">
        <f>TRUNC($F:$F*G:G)</f>
        <v>0</v>
      </c>
      <c r="I411" s="728">
        <f>IF($E:$E="인",VLOOKUP($B:$B,[140]노임!$B:$H,6,FALSE),VLOOKUP($D:$D,[140]일위목록!$A:$H,7,FALSE))</f>
        <v>125427</v>
      </c>
      <c r="J411" s="728">
        <f>TRUNC($F:$F*I:I)</f>
        <v>3010</v>
      </c>
      <c r="K411" s="728">
        <f t="shared" si="49"/>
        <v>3010</v>
      </c>
      <c r="L411" s="724" t="str">
        <f>IF($E:$E="인",VLOOKUP($B:$B,[140]노임!$B:$D,3,FALSE),VLOOKUP($D:$D,[140]일위목록!$A:$H,2,FALSE))</f>
        <v>건설노임-1002</v>
      </c>
      <c r="M411" s="717"/>
    </row>
    <row r="412" spans="1:13" s="718" customFormat="1" ht="21" customHeight="1">
      <c r="A412" s="724"/>
      <c r="B412" s="725" t="s">
        <v>5901</v>
      </c>
      <c r="C412" s="726"/>
      <c r="D412" s="726" t="str">
        <f>L:L</f>
        <v>제62호표</v>
      </c>
      <c r="E412" s="724"/>
      <c r="F412" s="727"/>
      <c r="G412" s="728"/>
      <c r="H412" s="728">
        <f>SUM(H407:H411)</f>
        <v>150261</v>
      </c>
      <c r="I412" s="728"/>
      <c r="J412" s="728">
        <f>SUM(J407:J411)</f>
        <v>71881</v>
      </c>
      <c r="K412" s="728">
        <f t="shared" si="49"/>
        <v>222142</v>
      </c>
      <c r="L412" s="724" t="str">
        <f>A405</f>
        <v>제62호표</v>
      </c>
      <c r="M412" s="717"/>
    </row>
    <row r="413" spans="1:13" s="718" customFormat="1" ht="21" customHeight="1">
      <c r="A413" s="724"/>
      <c r="B413" s="725"/>
      <c r="C413" s="726"/>
      <c r="D413" s="726"/>
      <c r="E413" s="724"/>
      <c r="F413" s="727"/>
      <c r="G413" s="728"/>
      <c r="H413" s="728"/>
      <c r="I413" s="728"/>
      <c r="J413" s="728"/>
      <c r="K413" s="728"/>
      <c r="L413" s="724"/>
      <c r="M413" s="717"/>
    </row>
    <row r="414" spans="1:13" s="718" customFormat="1" ht="21" customHeight="1">
      <c r="A414" s="724"/>
      <c r="B414" s="725"/>
      <c r="C414" s="726"/>
      <c r="D414" s="726"/>
      <c r="E414" s="724"/>
      <c r="F414" s="727"/>
      <c r="G414" s="728"/>
      <c r="H414" s="728"/>
      <c r="I414" s="728"/>
      <c r="J414" s="728"/>
      <c r="K414" s="728"/>
      <c r="L414" s="724"/>
      <c r="M414" s="717"/>
    </row>
    <row r="415" spans="1:13" s="718" customFormat="1" ht="21" customHeight="1">
      <c r="A415" s="724" t="str">
        <f>"제"&amp;M415&amp;"호표"</f>
        <v>제63호표</v>
      </c>
      <c r="B415" s="739" t="s">
        <v>6101</v>
      </c>
      <c r="C415" s="733" t="s">
        <v>6102</v>
      </c>
      <c r="D415" s="726"/>
      <c r="E415" s="724" t="s">
        <v>59</v>
      </c>
      <c r="F415" s="727"/>
      <c r="G415" s="728"/>
      <c r="H415" s="728"/>
      <c r="I415" s="728"/>
      <c r="J415" s="728"/>
      <c r="K415" s="728"/>
      <c r="L415" s="724"/>
      <c r="M415" s="729">
        <f>M405+1</f>
        <v>63</v>
      </c>
    </row>
    <row r="416" spans="1:13" s="718" customFormat="1" ht="21" customHeight="1">
      <c r="A416" s="724"/>
      <c r="B416" s="753"/>
      <c r="C416" s="726"/>
      <c r="D416" s="726"/>
      <c r="E416" s="724"/>
      <c r="F416" s="727"/>
      <c r="G416" s="728"/>
      <c r="H416" s="728"/>
      <c r="I416" s="728"/>
      <c r="J416" s="728"/>
      <c r="K416" s="728"/>
      <c r="L416" s="724"/>
      <c r="M416" s="729"/>
    </row>
    <row r="417" spans="1:13" s="718" customFormat="1" ht="21" customHeight="1">
      <c r="A417" s="724"/>
      <c r="B417" s="739" t="s">
        <v>6103</v>
      </c>
      <c r="C417" s="733" t="s">
        <v>6102</v>
      </c>
      <c r="D417" s="726" t="str">
        <f>SUBSTITUTE(CONCATENATE(B:B,C:C,E:E)," ","")</f>
        <v>화이트접합유리T12.76mm(2,400*3,400기준)M2</v>
      </c>
      <c r="E417" s="724" t="s">
        <v>59</v>
      </c>
      <c r="F417" s="727">
        <v>1.05</v>
      </c>
      <c r="G417" s="728">
        <f>IF($E:$E="인",0,VLOOKUP($D:$D,[140]일위목록!$A:$H,6,FALSE))</f>
        <v>214450</v>
      </c>
      <c r="H417" s="728">
        <f>TRUNC($F:$F*G:G)</f>
        <v>225172</v>
      </c>
      <c r="I417" s="728">
        <f>IF($E:$E="인",VLOOKUP($B:$B,[140]노임!$B:$H,6,FALSE),VLOOKUP($D:$D,[140]일위목록!$A:$H,7,FALSE))</f>
        <v>0</v>
      </c>
      <c r="J417" s="728">
        <f>TRUNC($F:$F*I:I)</f>
        <v>0</v>
      </c>
      <c r="K417" s="728">
        <f t="shared" ref="K417:K422" si="50">H417+J417</f>
        <v>225172</v>
      </c>
      <c r="L417" s="724" t="str">
        <f>IF($E:$E="인",VLOOKUP($B:$B,[140]단가!$B:$E,3,FALSE),VLOOKUP($D:$D,[140]일위목록!$A:$H,2,FALSE))</f>
        <v>단가-114번</v>
      </c>
      <c r="M417" s="717"/>
    </row>
    <row r="418" spans="1:13" s="718" customFormat="1" ht="21" customHeight="1">
      <c r="A418" s="724"/>
      <c r="B418" s="725" t="s">
        <v>6082</v>
      </c>
      <c r="C418" s="726" t="s">
        <v>6009</v>
      </c>
      <c r="D418" s="726" t="str">
        <f>SUBSTITUTE(CONCATENATE(B:B,C:C,E:E)," ","")</f>
        <v>넝마면T/C제품KG</v>
      </c>
      <c r="E418" s="724" t="s">
        <v>2477</v>
      </c>
      <c r="F418" s="727">
        <v>0.04</v>
      </c>
      <c r="G418" s="728">
        <f>IF($E:$E="인",0,VLOOKUP($D:$D,[140]일위목록!$A:$H,6,FALSE))</f>
        <v>2000</v>
      </c>
      <c r="H418" s="728">
        <f>TRUNC($F:$F*G:G)</f>
        <v>80</v>
      </c>
      <c r="I418" s="728">
        <f>IF($E:$E="인",VLOOKUP($B:$B,[140]노임!$B:$H,6,FALSE),VLOOKUP($D:$D,[140]일위목록!$A:$H,7,FALSE))</f>
        <v>0</v>
      </c>
      <c r="J418" s="728">
        <f>TRUNC($F:$F*I:I)</f>
        <v>0</v>
      </c>
      <c r="K418" s="728">
        <f t="shared" si="50"/>
        <v>80</v>
      </c>
      <c r="L418" s="724" t="str">
        <f>IF($E:$E="인",VLOOKUP($B:$B,[140]단가!$B:$E,3,FALSE),VLOOKUP($D:$D,[140]일위목록!$A:$H,2,FALSE))</f>
        <v>단가-42번</v>
      </c>
      <c r="M418" s="717"/>
    </row>
    <row r="419" spans="1:13" s="718" customFormat="1" ht="21" customHeight="1">
      <c r="A419" s="724"/>
      <c r="B419" s="725" t="s">
        <v>6083</v>
      </c>
      <c r="C419" s="726" t="s">
        <v>6084</v>
      </c>
      <c r="D419" s="726" t="str">
        <f>SUBSTITUTE(CONCATENATE(B:B,C:C,E:E)," ","")</f>
        <v>세제유리용KG</v>
      </c>
      <c r="E419" s="724" t="s">
        <v>2477</v>
      </c>
      <c r="F419" s="727">
        <v>1.4999999999999999E-2</v>
      </c>
      <c r="G419" s="728">
        <f>IF($E:$E="인",0,VLOOKUP($D:$D,[140]일위목록!$A:$H,6,FALSE))</f>
        <v>2133</v>
      </c>
      <c r="H419" s="728">
        <f>TRUNC($F:$F*G:G)</f>
        <v>31</v>
      </c>
      <c r="I419" s="728">
        <f>IF($E:$E="인",VLOOKUP($B:$B,[140]노임!$B:$H,6,FALSE),VLOOKUP($D:$D,[140]일위목록!$A:$H,7,FALSE))</f>
        <v>0</v>
      </c>
      <c r="J419" s="728">
        <f>TRUNC($F:$F*I:I)</f>
        <v>0</v>
      </c>
      <c r="K419" s="728">
        <f t="shared" si="50"/>
        <v>31</v>
      </c>
      <c r="L419" s="724" t="str">
        <f>IF($E:$E="인",VLOOKUP($B:$B,[140]단가!$B:$E,3,FALSE),VLOOKUP($D:$D,[140]일위목록!$A:$H,2,FALSE))</f>
        <v>단가-43번</v>
      </c>
      <c r="M419" s="717"/>
    </row>
    <row r="420" spans="1:13" s="718" customFormat="1" ht="21" customHeight="1">
      <c r="A420" s="724"/>
      <c r="B420" s="731" t="s">
        <v>6085</v>
      </c>
      <c r="C420" s="726"/>
      <c r="D420" s="726" t="str">
        <f>SUBSTITUTE(CONCATENATE(B:B,C:C,E:E)," ","")</f>
        <v>유리공인</v>
      </c>
      <c r="E420" s="724" t="s">
        <v>5862</v>
      </c>
      <c r="F420" s="727">
        <v>0.38</v>
      </c>
      <c r="G420" s="728">
        <f>IF($E:$E="인",0,VLOOKUP($D:$D,[140]일위목록!$A:$H,6,FALSE))</f>
        <v>0</v>
      </c>
      <c r="H420" s="728">
        <f>TRUNC($F:$F*G:G)</f>
        <v>0</v>
      </c>
      <c r="I420" s="728">
        <f>IF($E:$E="인",VLOOKUP($B:$B,[140]노임!$B:$H,6,FALSE),VLOOKUP($D:$D,[140]일위목록!$A:$H,7,FALSE))</f>
        <v>181240</v>
      </c>
      <c r="J420" s="728">
        <f>TRUNC($F:$F*I:I)</f>
        <v>68871</v>
      </c>
      <c r="K420" s="728">
        <f t="shared" si="50"/>
        <v>68871</v>
      </c>
      <c r="L420" s="724" t="str">
        <f>IF($E:$E="인",VLOOKUP($B:$B,[140]노임!$B:$D,3,FALSE),VLOOKUP($D:$D,[140]일위목록!$A:$H,2,FALSE))</f>
        <v>건설노임-1025</v>
      </c>
      <c r="M420" s="717"/>
    </row>
    <row r="421" spans="1:13" s="718" customFormat="1" ht="21" customHeight="1">
      <c r="A421" s="724"/>
      <c r="B421" s="731" t="s">
        <v>5877</v>
      </c>
      <c r="C421" s="726"/>
      <c r="D421" s="726" t="str">
        <f>SUBSTITUTE(CONCATENATE(B:B,C:C,E:E)," ","")</f>
        <v>보통인부인</v>
      </c>
      <c r="E421" s="724" t="s">
        <v>5862</v>
      </c>
      <c r="F421" s="727">
        <v>2.4E-2</v>
      </c>
      <c r="G421" s="728">
        <f>IF($E:$E="인",0,VLOOKUP($D:$D,[140]일위목록!$A:$H,6,FALSE))</f>
        <v>0</v>
      </c>
      <c r="H421" s="728">
        <f>TRUNC($F:$F*G:G)</f>
        <v>0</v>
      </c>
      <c r="I421" s="728">
        <f>IF($E:$E="인",VLOOKUP($B:$B,[140]노임!$B:$H,6,FALSE),VLOOKUP($D:$D,[140]일위목록!$A:$H,7,FALSE))</f>
        <v>125427</v>
      </c>
      <c r="J421" s="728">
        <f>TRUNC($F:$F*I:I)</f>
        <v>3010</v>
      </c>
      <c r="K421" s="728">
        <f t="shared" si="50"/>
        <v>3010</v>
      </c>
      <c r="L421" s="724" t="str">
        <f>IF($E:$E="인",VLOOKUP($B:$B,[140]노임!$B:$D,3,FALSE),VLOOKUP($D:$D,[140]일위목록!$A:$H,2,FALSE))</f>
        <v>건설노임-1002</v>
      </c>
      <c r="M421" s="717"/>
    </row>
    <row r="422" spans="1:13" s="718" customFormat="1" ht="21" customHeight="1">
      <c r="A422" s="724"/>
      <c r="B422" s="725" t="s">
        <v>5901</v>
      </c>
      <c r="C422" s="726"/>
      <c r="D422" s="726" t="str">
        <f>L:L</f>
        <v>제63호표</v>
      </c>
      <c r="E422" s="724"/>
      <c r="F422" s="727"/>
      <c r="G422" s="728"/>
      <c r="H422" s="728">
        <f>SUM(H417:H421)</f>
        <v>225283</v>
      </c>
      <c r="I422" s="728"/>
      <c r="J422" s="728">
        <f>SUM(J417:J421)</f>
        <v>71881</v>
      </c>
      <c r="K422" s="728">
        <f t="shared" si="50"/>
        <v>297164</v>
      </c>
      <c r="L422" s="724" t="str">
        <f>A415</f>
        <v>제63호표</v>
      </c>
      <c r="M422" s="717"/>
    </row>
    <row r="423" spans="1:13" s="718" customFormat="1" ht="21" customHeight="1">
      <c r="A423" s="724"/>
      <c r="B423" s="725"/>
      <c r="C423" s="726"/>
      <c r="D423" s="726"/>
      <c r="E423" s="724"/>
      <c r="F423" s="727"/>
      <c r="G423" s="728"/>
      <c r="H423" s="728"/>
      <c r="I423" s="728"/>
      <c r="J423" s="728"/>
      <c r="K423" s="728"/>
      <c r="L423" s="724"/>
      <c r="M423" s="717"/>
    </row>
    <row r="424" spans="1:13" s="718" customFormat="1" ht="21" customHeight="1">
      <c r="A424" s="724"/>
      <c r="B424" s="725"/>
      <c r="C424" s="726"/>
      <c r="D424" s="726"/>
      <c r="E424" s="724"/>
      <c r="F424" s="727"/>
      <c r="G424" s="728"/>
      <c r="H424" s="728"/>
      <c r="I424" s="728"/>
      <c r="J424" s="728"/>
      <c r="K424" s="728"/>
      <c r="L424" s="724"/>
      <c r="M424" s="717"/>
    </row>
    <row r="425" spans="1:13" s="718" customFormat="1" ht="21" customHeight="1">
      <c r="A425" s="724" t="str">
        <f>"제"&amp;M425&amp;"호표"</f>
        <v>제64호표</v>
      </c>
      <c r="B425" s="739" t="s">
        <v>6104</v>
      </c>
      <c r="C425" s="733" t="s">
        <v>6105</v>
      </c>
      <c r="D425" s="726"/>
      <c r="E425" s="724" t="s">
        <v>59</v>
      </c>
      <c r="F425" s="727"/>
      <c r="G425" s="728"/>
      <c r="H425" s="728"/>
      <c r="I425" s="728"/>
      <c r="J425" s="728"/>
      <c r="K425" s="728"/>
      <c r="L425" s="724"/>
      <c r="M425" s="729">
        <f>M415+1</f>
        <v>64</v>
      </c>
    </row>
    <row r="426" spans="1:13" s="718" customFormat="1" ht="21" customHeight="1">
      <c r="A426" s="724"/>
      <c r="B426" s="753"/>
      <c r="C426" s="726"/>
      <c r="D426" s="726"/>
      <c r="E426" s="724"/>
      <c r="F426" s="727"/>
      <c r="G426" s="728"/>
      <c r="H426" s="728"/>
      <c r="I426" s="728"/>
      <c r="J426" s="728"/>
      <c r="K426" s="728"/>
      <c r="L426" s="724"/>
      <c r="M426" s="729"/>
    </row>
    <row r="427" spans="1:13" s="718" customFormat="1" ht="21" customHeight="1">
      <c r="A427" s="724"/>
      <c r="B427" s="739" t="s">
        <v>6106</v>
      </c>
      <c r="C427" s="733" t="s">
        <v>6105</v>
      </c>
      <c r="D427" s="726" t="str">
        <f>SUBSTITUTE(CONCATENATE(B:B,C:C,E:E)," ","")</f>
        <v>강화유리T12mmM2</v>
      </c>
      <c r="E427" s="724" t="s">
        <v>5980</v>
      </c>
      <c r="F427" s="727">
        <v>1.05</v>
      </c>
      <c r="G427" s="728">
        <f>IF($E:$E="인",0,VLOOKUP($D:$D,[140]일위목록!$A:$H,6,FALSE))</f>
        <v>38000</v>
      </c>
      <c r="H427" s="728">
        <f>TRUNC($F:$F*G:G)</f>
        <v>39900</v>
      </c>
      <c r="I427" s="728">
        <f>IF($E:$E="인",VLOOKUP($B:$B,[140]노임!$B:$H,6,FALSE),VLOOKUP($D:$D,[140]일위목록!$A:$H,7,FALSE))</f>
        <v>0</v>
      </c>
      <c r="J427" s="728">
        <f>TRUNC($F:$F*I:I)</f>
        <v>0</v>
      </c>
      <c r="K427" s="728">
        <f t="shared" ref="K427:K431" si="51">H427+J427</f>
        <v>39900</v>
      </c>
      <c r="L427" s="724" t="str">
        <f>IF($E:$E="인",VLOOKUP($B:$B,[140]단가!$B:$E,3,FALSE),VLOOKUP($D:$D,[140]일위목록!$A:$H,2,FALSE))</f>
        <v>단가-69번</v>
      </c>
      <c r="M427" s="717"/>
    </row>
    <row r="428" spans="1:13" s="718" customFormat="1" ht="21" customHeight="1">
      <c r="A428" s="724"/>
      <c r="B428" s="725" t="s">
        <v>6008</v>
      </c>
      <c r="C428" s="726" t="s">
        <v>6009</v>
      </c>
      <c r="D428" s="726" t="str">
        <f>SUBSTITUTE(CONCATENATE(B:B,C:C,E:E)," ","")</f>
        <v>넝마면T/C제품KG</v>
      </c>
      <c r="E428" s="724" t="s">
        <v>5969</v>
      </c>
      <c r="F428" s="727">
        <v>0.04</v>
      </c>
      <c r="G428" s="728">
        <f>IF($E:$E="인",0,VLOOKUP($D:$D,[140]일위목록!$A:$H,6,FALSE))</f>
        <v>2000</v>
      </c>
      <c r="H428" s="728">
        <f>TRUNC($F:$F*G:G)</f>
        <v>80</v>
      </c>
      <c r="I428" s="728">
        <f>IF($E:$E="인",VLOOKUP($B:$B,[140]노임!$B:$H,6,FALSE),VLOOKUP($D:$D,[140]일위목록!$A:$H,7,FALSE))</f>
        <v>0</v>
      </c>
      <c r="J428" s="728">
        <f>TRUNC($F:$F*I:I)</f>
        <v>0</v>
      </c>
      <c r="K428" s="728">
        <f t="shared" si="51"/>
        <v>80</v>
      </c>
      <c r="L428" s="724" t="str">
        <f>IF($E:$E="인",VLOOKUP($B:$B,[140]단가!$B:$E,3,FALSE),VLOOKUP($D:$D,[140]일위목록!$A:$H,2,FALSE))</f>
        <v>단가-42번</v>
      </c>
      <c r="M428" s="717"/>
    </row>
    <row r="429" spans="1:13" s="718" customFormat="1" ht="21" customHeight="1">
      <c r="A429" s="724"/>
      <c r="B429" s="725" t="s">
        <v>6083</v>
      </c>
      <c r="C429" s="726" t="s">
        <v>6107</v>
      </c>
      <c r="D429" s="726" t="str">
        <f>SUBSTITUTE(CONCATENATE(B:B,C:C,E:E)," ","")</f>
        <v>세제유리용KG</v>
      </c>
      <c r="E429" s="724" t="s">
        <v>5969</v>
      </c>
      <c r="F429" s="727">
        <v>1.4999999999999999E-2</v>
      </c>
      <c r="G429" s="728">
        <f>IF($E:$E="인",0,VLOOKUP($D:$D,[140]일위목록!$A:$H,6,FALSE))</f>
        <v>2133</v>
      </c>
      <c r="H429" s="728">
        <f>TRUNC($F:$F*G:G)</f>
        <v>31</v>
      </c>
      <c r="I429" s="728">
        <f>IF($E:$E="인",VLOOKUP($B:$B,[140]노임!$B:$H,6,FALSE),VLOOKUP($D:$D,[140]일위목록!$A:$H,7,FALSE))</f>
        <v>0</v>
      </c>
      <c r="J429" s="728">
        <f>TRUNC($F:$F*I:I)</f>
        <v>0</v>
      </c>
      <c r="K429" s="728">
        <f t="shared" si="51"/>
        <v>31</v>
      </c>
      <c r="L429" s="724" t="str">
        <f>IF($E:$E="인",VLOOKUP($B:$B,[140]단가!$B:$E,3,FALSE),VLOOKUP($D:$D,[140]일위목록!$A:$H,2,FALSE))</f>
        <v>단가-43번</v>
      </c>
      <c r="M429" s="717"/>
    </row>
    <row r="430" spans="1:13" s="718" customFormat="1" ht="21" customHeight="1">
      <c r="A430" s="724"/>
      <c r="B430" s="731" t="s">
        <v>6085</v>
      </c>
      <c r="C430" s="726"/>
      <c r="D430" s="726" t="str">
        <f>SUBSTITUTE(CONCATENATE(B:B,C:C,E:E)," ","")</f>
        <v>유리공인</v>
      </c>
      <c r="E430" s="724" t="s">
        <v>5862</v>
      </c>
      <c r="F430" s="727">
        <v>0.38</v>
      </c>
      <c r="G430" s="728">
        <f>IF($E:$E="인",0,VLOOKUP($D:$D,[140]일위목록!$A:$H,6,FALSE))</f>
        <v>0</v>
      </c>
      <c r="H430" s="728">
        <f>TRUNC($F:$F*G:G)</f>
        <v>0</v>
      </c>
      <c r="I430" s="728">
        <f>IF($E:$E="인",VLOOKUP($B:$B,[140]노임!$B:$H,6,FALSE),VLOOKUP($D:$D,[140]일위목록!$A:$H,7,FALSE))</f>
        <v>181240</v>
      </c>
      <c r="J430" s="728">
        <f>TRUNC($F:$F*I:I)</f>
        <v>68871</v>
      </c>
      <c r="K430" s="728">
        <f t="shared" si="51"/>
        <v>68871</v>
      </c>
      <c r="L430" s="724" t="str">
        <f>IF($E:$E="인",VLOOKUP($B:$B,[140]노임!$B:$D,3,FALSE),VLOOKUP($D:$D,[140]일위목록!$A:$H,2,FALSE))</f>
        <v>건설노임-1025</v>
      </c>
      <c r="M430" s="717"/>
    </row>
    <row r="431" spans="1:13" s="718" customFormat="1" ht="21" customHeight="1">
      <c r="A431" s="724"/>
      <c r="B431" s="754" t="s">
        <v>5877</v>
      </c>
      <c r="C431" s="726"/>
      <c r="D431" s="726" t="str">
        <f>SUBSTITUTE(CONCATENATE(B:B,C:C,E:E)," ","")</f>
        <v>보통인부인</v>
      </c>
      <c r="E431" s="724" t="s">
        <v>5862</v>
      </c>
      <c r="F431" s="755">
        <v>2.4E-2</v>
      </c>
      <c r="G431" s="728">
        <f>IF($E:$E="인",0,VLOOKUP($D:$D,[140]일위목록!$A:$H,6,FALSE))</f>
        <v>0</v>
      </c>
      <c r="H431" s="728">
        <f>TRUNC($F:$F*G:G)</f>
        <v>0</v>
      </c>
      <c r="I431" s="728">
        <f>IF($E:$E="인",VLOOKUP($B:$B,[140]노임!$B:$H,6,FALSE),VLOOKUP($D:$D,[140]일위목록!$A:$H,7,FALSE))</f>
        <v>125427</v>
      </c>
      <c r="J431" s="728">
        <f>TRUNC($F:$F*I:I)</f>
        <v>3010</v>
      </c>
      <c r="K431" s="728">
        <f t="shared" si="51"/>
        <v>3010</v>
      </c>
      <c r="L431" s="724" t="str">
        <f>IF($E:$E="인",VLOOKUP($B:$B,[140]노임!$B:$D,3,FALSE),VLOOKUP($D:$D,[140]일위목록!$A:$H,2,FALSE))</f>
        <v>건설노임-1002</v>
      </c>
      <c r="M431" s="717"/>
    </row>
    <row r="432" spans="1:13" s="718" customFormat="1" ht="21" customHeight="1">
      <c r="A432" s="724"/>
      <c r="B432" s="725" t="s">
        <v>5901</v>
      </c>
      <c r="C432" s="726"/>
      <c r="D432" s="726" t="str">
        <f>L:L</f>
        <v>제64호표</v>
      </c>
      <c r="E432" s="724"/>
      <c r="F432" s="727"/>
      <c r="G432" s="728"/>
      <c r="H432" s="728">
        <f>SUM(H427:H431)</f>
        <v>40011</v>
      </c>
      <c r="I432" s="728"/>
      <c r="J432" s="728">
        <f>SUM(J427:J431)</f>
        <v>71881</v>
      </c>
      <c r="K432" s="728">
        <f>SUM(K427:K431)</f>
        <v>111892</v>
      </c>
      <c r="L432" s="724" t="str">
        <f>A425</f>
        <v>제64호표</v>
      </c>
      <c r="M432" s="717"/>
    </row>
    <row r="433" spans="1:13" s="718" customFormat="1" ht="21" customHeight="1">
      <c r="A433" s="724"/>
      <c r="B433" s="725"/>
      <c r="C433" s="726"/>
      <c r="D433" s="726"/>
      <c r="E433" s="724"/>
      <c r="F433" s="727"/>
      <c r="G433" s="728"/>
      <c r="H433" s="728"/>
      <c r="I433" s="728"/>
      <c r="J433" s="728"/>
      <c r="K433" s="728"/>
      <c r="L433" s="724"/>
      <c r="M433" s="717"/>
    </row>
    <row r="434" spans="1:13" s="718" customFormat="1" ht="21" customHeight="1">
      <c r="A434" s="724"/>
      <c r="B434" s="725"/>
      <c r="C434" s="726"/>
      <c r="D434" s="726"/>
      <c r="E434" s="724"/>
      <c r="F434" s="727"/>
      <c r="G434" s="728"/>
      <c r="H434" s="728"/>
      <c r="I434" s="728"/>
      <c r="J434" s="728"/>
      <c r="K434" s="728"/>
      <c r="L434" s="724"/>
      <c r="M434" s="717"/>
    </row>
    <row r="435" spans="1:13" s="718" customFormat="1" ht="21" customHeight="1">
      <c r="A435" s="724"/>
      <c r="B435" s="725"/>
      <c r="C435" s="726"/>
      <c r="D435" s="726"/>
      <c r="E435" s="724"/>
      <c r="F435" s="727"/>
      <c r="G435" s="728"/>
      <c r="H435" s="728"/>
      <c r="I435" s="728"/>
      <c r="J435" s="728"/>
      <c r="K435" s="728"/>
      <c r="L435" s="724"/>
      <c r="M435" s="717"/>
    </row>
    <row r="436" spans="1:13" s="718" customFormat="1" ht="21" customHeight="1">
      <c r="A436" s="724" t="str">
        <f>"제"&amp;M436&amp;"호표"</f>
        <v>제65호표</v>
      </c>
      <c r="B436" s="739" t="s">
        <v>6104</v>
      </c>
      <c r="C436" s="733" t="s">
        <v>6108</v>
      </c>
      <c r="D436" s="726"/>
      <c r="E436" s="724" t="s">
        <v>59</v>
      </c>
      <c r="F436" s="727"/>
      <c r="G436" s="728"/>
      <c r="H436" s="728"/>
      <c r="I436" s="728"/>
      <c r="J436" s="728"/>
      <c r="K436" s="728"/>
      <c r="L436" s="724"/>
      <c r="M436" s="729">
        <f>M425+1</f>
        <v>65</v>
      </c>
    </row>
    <row r="437" spans="1:13" s="718" customFormat="1" ht="21" customHeight="1">
      <c r="A437" s="724"/>
      <c r="B437" s="753"/>
      <c r="C437" s="726"/>
      <c r="D437" s="726"/>
      <c r="E437" s="724"/>
      <c r="F437" s="727"/>
      <c r="G437" s="728"/>
      <c r="H437" s="728"/>
      <c r="I437" s="728"/>
      <c r="J437" s="728"/>
      <c r="K437" s="728"/>
      <c r="L437" s="724"/>
      <c r="M437" s="729"/>
    </row>
    <row r="438" spans="1:13" s="718" customFormat="1" ht="21" customHeight="1">
      <c r="A438" s="724"/>
      <c r="B438" s="739" t="s">
        <v>6106</v>
      </c>
      <c r="C438" s="733" t="s">
        <v>6108</v>
      </c>
      <c r="D438" s="726" t="str">
        <f>SUBSTITUTE(CONCATENATE(B:B,C:C,E:E)," ","")</f>
        <v>강화유리T10mmM2</v>
      </c>
      <c r="E438" s="724" t="s">
        <v>59</v>
      </c>
      <c r="F438" s="727">
        <v>1.05</v>
      </c>
      <c r="G438" s="728">
        <f>IF($E:$E="인",0,VLOOKUP($D:$D,[140]일위목록!$A:$H,6,FALSE))</f>
        <v>32000</v>
      </c>
      <c r="H438" s="728">
        <f>TRUNC($F:$F*G:G)</f>
        <v>33600</v>
      </c>
      <c r="I438" s="728">
        <f>IF($E:$E="인",VLOOKUP($B:$B,[140]노임!$B:$H,6,FALSE),VLOOKUP($D:$D,[140]일위목록!$A:$H,7,FALSE))</f>
        <v>0</v>
      </c>
      <c r="J438" s="728">
        <f>TRUNC($F:$F*I:I)</f>
        <v>0</v>
      </c>
      <c r="K438" s="728">
        <f t="shared" ref="K438:K442" si="52">H438+J438</f>
        <v>33600</v>
      </c>
      <c r="L438" s="724" t="str">
        <f>IF($E:$E="인",VLOOKUP($B:$B,[140]단가!$B:$E,3,FALSE),VLOOKUP($D:$D,[140]일위목록!$A:$H,2,FALSE))</f>
        <v>단가-70번</v>
      </c>
      <c r="M438" s="717"/>
    </row>
    <row r="439" spans="1:13" s="718" customFormat="1" ht="21" customHeight="1">
      <c r="A439" s="724"/>
      <c r="B439" s="725" t="s">
        <v>6082</v>
      </c>
      <c r="C439" s="726" t="s">
        <v>6009</v>
      </c>
      <c r="D439" s="726" t="str">
        <f>SUBSTITUTE(CONCATENATE(B:B,C:C,E:E)," ","")</f>
        <v>넝마면T/C제품KG</v>
      </c>
      <c r="E439" s="724" t="s">
        <v>2477</v>
      </c>
      <c r="F439" s="727">
        <v>0.04</v>
      </c>
      <c r="G439" s="728">
        <f>IF($E:$E="인",0,VLOOKUP($D:$D,[140]일위목록!$A:$H,6,FALSE))</f>
        <v>2000</v>
      </c>
      <c r="H439" s="728">
        <f>TRUNC($F:$F*G:G)</f>
        <v>80</v>
      </c>
      <c r="I439" s="728">
        <f>IF($E:$E="인",VLOOKUP($B:$B,[140]노임!$B:$H,6,FALSE),VLOOKUP($D:$D,[140]일위목록!$A:$H,7,FALSE))</f>
        <v>0</v>
      </c>
      <c r="J439" s="728">
        <f>TRUNC($F:$F*I:I)</f>
        <v>0</v>
      </c>
      <c r="K439" s="728">
        <f t="shared" si="52"/>
        <v>80</v>
      </c>
      <c r="L439" s="724" t="str">
        <f>IF($E:$E="인",VLOOKUP($B:$B,[140]단가!$B:$E,3,FALSE),VLOOKUP($D:$D,[140]일위목록!$A:$H,2,FALSE))</f>
        <v>단가-42번</v>
      </c>
      <c r="M439" s="717"/>
    </row>
    <row r="440" spans="1:13" s="718" customFormat="1" ht="21" customHeight="1">
      <c r="A440" s="724"/>
      <c r="B440" s="725" t="s">
        <v>6083</v>
      </c>
      <c r="C440" s="726" t="s">
        <v>6084</v>
      </c>
      <c r="D440" s="726" t="str">
        <f>SUBSTITUTE(CONCATENATE(B:B,C:C,E:E)," ","")</f>
        <v>세제유리용KG</v>
      </c>
      <c r="E440" s="724" t="s">
        <v>2477</v>
      </c>
      <c r="F440" s="727">
        <v>1.4999999999999999E-2</v>
      </c>
      <c r="G440" s="728">
        <f>IF($E:$E="인",0,VLOOKUP($D:$D,[140]일위목록!$A:$H,6,FALSE))</f>
        <v>2133</v>
      </c>
      <c r="H440" s="728">
        <f>TRUNC($F:$F*G:G)</f>
        <v>31</v>
      </c>
      <c r="I440" s="728">
        <f>IF($E:$E="인",VLOOKUP($B:$B,[140]노임!$B:$H,6,FALSE),VLOOKUP($D:$D,[140]일위목록!$A:$H,7,FALSE))</f>
        <v>0</v>
      </c>
      <c r="J440" s="728">
        <f>TRUNC($F:$F*I:I)</f>
        <v>0</v>
      </c>
      <c r="K440" s="728">
        <f t="shared" si="52"/>
        <v>31</v>
      </c>
      <c r="L440" s="724" t="str">
        <f>IF($E:$E="인",VLOOKUP($B:$B,[140]단가!$B:$E,3,FALSE),VLOOKUP($D:$D,[140]일위목록!$A:$H,2,FALSE))</f>
        <v>단가-43번</v>
      </c>
      <c r="M440" s="717"/>
    </row>
    <row r="441" spans="1:13" s="718" customFormat="1" ht="21" customHeight="1">
      <c r="A441" s="724"/>
      <c r="B441" s="731" t="s">
        <v>6085</v>
      </c>
      <c r="C441" s="726"/>
      <c r="D441" s="726" t="str">
        <f>SUBSTITUTE(CONCATENATE(B:B,C:C,E:E)," ","")</f>
        <v>유리공인</v>
      </c>
      <c r="E441" s="724" t="s">
        <v>5862</v>
      </c>
      <c r="F441" s="727">
        <v>0.21</v>
      </c>
      <c r="G441" s="728">
        <f>IF($E:$E="인",0,VLOOKUP($D:$D,[140]일위목록!$A:$H,6,FALSE))</f>
        <v>0</v>
      </c>
      <c r="H441" s="728">
        <f>TRUNC($F:$F*G:G)</f>
        <v>0</v>
      </c>
      <c r="I441" s="728">
        <f>IF($E:$E="인",VLOOKUP($B:$B,[140]노임!$B:$H,6,FALSE),VLOOKUP($D:$D,[140]일위목록!$A:$H,7,FALSE))</f>
        <v>181240</v>
      </c>
      <c r="J441" s="728">
        <f>TRUNC($F:$F*I:I)</f>
        <v>38060</v>
      </c>
      <c r="K441" s="728">
        <f t="shared" si="52"/>
        <v>38060</v>
      </c>
      <c r="L441" s="724" t="str">
        <f>IF($E:$E="인",VLOOKUP($B:$B,[140]노임!$B:$D,3,FALSE),VLOOKUP($D:$D,[140]일위목록!$A:$H,2,FALSE))</f>
        <v>건설노임-1025</v>
      </c>
      <c r="M441" s="717"/>
    </row>
    <row r="442" spans="1:13" s="718" customFormat="1" ht="21" customHeight="1">
      <c r="A442" s="724"/>
      <c r="B442" s="754" t="s">
        <v>5877</v>
      </c>
      <c r="C442" s="726"/>
      <c r="D442" s="726" t="str">
        <f>SUBSTITUTE(CONCATENATE(B:B,C:C,E:E)," ","")</f>
        <v>보통인부인</v>
      </c>
      <c r="E442" s="724" t="s">
        <v>5862</v>
      </c>
      <c r="F442" s="755">
        <v>2.4E-2</v>
      </c>
      <c r="G442" s="728">
        <f>IF($E:$E="인",0,VLOOKUP($D:$D,[140]일위목록!$A:$H,6,FALSE))</f>
        <v>0</v>
      </c>
      <c r="H442" s="728">
        <f>TRUNC($F:$F*G:G)</f>
        <v>0</v>
      </c>
      <c r="I442" s="728">
        <f>IF($E:$E="인",VLOOKUP($B:$B,[140]노임!$B:$H,6,FALSE),VLOOKUP($D:$D,[140]일위목록!$A:$H,7,FALSE))</f>
        <v>125427</v>
      </c>
      <c r="J442" s="728">
        <f>TRUNC($F:$F*I:I)</f>
        <v>3010</v>
      </c>
      <c r="K442" s="728">
        <f t="shared" si="52"/>
        <v>3010</v>
      </c>
      <c r="L442" s="724" t="str">
        <f>IF($E:$E="인",VLOOKUP($B:$B,[140]노임!$B:$D,3,FALSE),VLOOKUP($D:$D,[140]일위목록!$A:$H,2,FALSE))</f>
        <v>건설노임-1002</v>
      </c>
      <c r="M442" s="717"/>
    </row>
    <row r="443" spans="1:13" s="718" customFormat="1" ht="21" customHeight="1">
      <c r="A443" s="724"/>
      <c r="B443" s="725" t="s">
        <v>5901</v>
      </c>
      <c r="C443" s="726"/>
      <c r="D443" s="726" t="str">
        <f>L:L</f>
        <v>제65호표</v>
      </c>
      <c r="E443" s="724"/>
      <c r="F443" s="727"/>
      <c r="G443" s="728"/>
      <c r="H443" s="728">
        <f>SUM(H438:H442)</f>
        <v>33711</v>
      </c>
      <c r="I443" s="728"/>
      <c r="J443" s="728">
        <f>SUM(J438:J442)</f>
        <v>41070</v>
      </c>
      <c r="K443" s="728">
        <f>SUM(K438:K442)</f>
        <v>74781</v>
      </c>
      <c r="L443" s="724" t="str">
        <f>A436</f>
        <v>제65호표</v>
      </c>
      <c r="M443" s="717"/>
    </row>
    <row r="444" spans="1:13" s="718" customFormat="1" ht="21" customHeight="1">
      <c r="A444" s="724"/>
      <c r="B444" s="725"/>
      <c r="C444" s="726"/>
      <c r="D444" s="726"/>
      <c r="E444" s="724"/>
      <c r="F444" s="727"/>
      <c r="G444" s="728"/>
      <c r="H444" s="728"/>
      <c r="I444" s="728"/>
      <c r="J444" s="728"/>
      <c r="K444" s="728"/>
      <c r="L444" s="724"/>
      <c r="M444" s="717"/>
    </row>
    <row r="445" spans="1:13" s="718" customFormat="1" ht="21" customHeight="1">
      <c r="A445" s="724"/>
      <c r="B445" s="725"/>
      <c r="C445" s="726"/>
      <c r="D445" s="726"/>
      <c r="E445" s="724"/>
      <c r="F445" s="727"/>
      <c r="G445" s="728"/>
      <c r="H445" s="728"/>
      <c r="I445" s="728"/>
      <c r="J445" s="728"/>
      <c r="K445" s="728"/>
      <c r="L445" s="724"/>
      <c r="M445" s="717"/>
    </row>
    <row r="446" spans="1:13" s="718" customFormat="1" ht="21" customHeight="1">
      <c r="A446" s="724"/>
      <c r="B446" s="725"/>
      <c r="C446" s="726"/>
      <c r="D446" s="726"/>
      <c r="E446" s="724"/>
      <c r="F446" s="727"/>
      <c r="G446" s="728"/>
      <c r="H446" s="728"/>
      <c r="I446" s="728"/>
      <c r="J446" s="728"/>
      <c r="K446" s="728"/>
      <c r="L446" s="724"/>
      <c r="M446" s="717"/>
    </row>
    <row r="447" spans="1:13" s="718" customFormat="1" ht="21" customHeight="1">
      <c r="A447" s="724" t="str">
        <f>"제"&amp;M447&amp;"호표"</f>
        <v>제66호표</v>
      </c>
      <c r="B447" s="739" t="s">
        <v>6104</v>
      </c>
      <c r="C447" s="733" t="s">
        <v>6109</v>
      </c>
      <c r="D447" s="726"/>
      <c r="E447" s="724" t="s">
        <v>59</v>
      </c>
      <c r="F447" s="727"/>
      <c r="G447" s="728"/>
      <c r="H447" s="728"/>
      <c r="I447" s="728"/>
      <c r="J447" s="728"/>
      <c r="K447" s="728"/>
      <c r="L447" s="724"/>
      <c r="M447" s="729">
        <f>M436+1</f>
        <v>66</v>
      </c>
    </row>
    <row r="448" spans="1:13" s="718" customFormat="1" ht="21" customHeight="1">
      <c r="A448" s="724"/>
      <c r="B448" s="753"/>
      <c r="C448" s="726"/>
      <c r="D448" s="726"/>
      <c r="E448" s="724"/>
      <c r="F448" s="727"/>
      <c r="G448" s="728"/>
      <c r="H448" s="728"/>
      <c r="I448" s="728"/>
      <c r="J448" s="728"/>
      <c r="K448" s="728"/>
      <c r="L448" s="724"/>
      <c r="M448" s="729"/>
    </row>
    <row r="449" spans="1:13" s="718" customFormat="1" ht="21" customHeight="1">
      <c r="A449" s="724"/>
      <c r="B449" s="739" t="s">
        <v>6106</v>
      </c>
      <c r="C449" s="733" t="s">
        <v>6108</v>
      </c>
      <c r="D449" s="726" t="str">
        <f>SUBSTITUTE(CONCATENATE(B:B,C:C,E:E)," ","")</f>
        <v>강화유리T10mmM2</v>
      </c>
      <c r="E449" s="724" t="s">
        <v>59</v>
      </c>
      <c r="F449" s="727">
        <v>1.05</v>
      </c>
      <c r="G449" s="728">
        <f>IF($E:$E="인",0,VLOOKUP($D:$D,[140]일위목록!$A:$H,6,FALSE))</f>
        <v>32000</v>
      </c>
      <c r="H449" s="728">
        <f>TRUNC($F:$F*G:G)</f>
        <v>33600</v>
      </c>
      <c r="I449" s="728">
        <f>IF($E:$E="인",VLOOKUP($B:$B,[140]노임!$B:$H,6,FALSE),VLOOKUP($D:$D,[140]일위목록!$A:$H,7,FALSE))</f>
        <v>0</v>
      </c>
      <c r="J449" s="728">
        <f>TRUNC($F:$F*I:I)</f>
        <v>0</v>
      </c>
      <c r="K449" s="728">
        <f t="shared" ref="K449:K453" si="53">H449+J449</f>
        <v>33600</v>
      </c>
      <c r="L449" s="724" t="str">
        <f>IF($E:$E="인",VLOOKUP($B:$B,[140]단가!$B:$E,3,FALSE),VLOOKUP($D:$D,[140]일위목록!$A:$H,2,FALSE))</f>
        <v>단가-70번</v>
      </c>
      <c r="M449" s="717"/>
    </row>
    <row r="450" spans="1:13" s="718" customFormat="1" ht="21" customHeight="1">
      <c r="A450" s="724"/>
      <c r="B450" s="725" t="s">
        <v>6082</v>
      </c>
      <c r="C450" s="726" t="s">
        <v>6009</v>
      </c>
      <c r="D450" s="726" t="str">
        <f>SUBSTITUTE(CONCATENATE(B:B,C:C,E:E)," ","")</f>
        <v>넝마면T/C제품KG</v>
      </c>
      <c r="E450" s="724" t="s">
        <v>2477</v>
      </c>
      <c r="F450" s="727">
        <v>0.04</v>
      </c>
      <c r="G450" s="728">
        <f>IF($E:$E="인",0,VLOOKUP($D:$D,[140]일위목록!$A:$H,6,FALSE))</f>
        <v>2000</v>
      </c>
      <c r="H450" s="728">
        <f>TRUNC($F:$F*G:G)</f>
        <v>80</v>
      </c>
      <c r="I450" s="728">
        <f>IF($E:$E="인",VLOOKUP($B:$B,[140]노임!$B:$H,6,FALSE),VLOOKUP($D:$D,[140]일위목록!$A:$H,7,FALSE))</f>
        <v>0</v>
      </c>
      <c r="J450" s="728">
        <f>TRUNC($F:$F*I:I)</f>
        <v>0</v>
      </c>
      <c r="K450" s="728">
        <f t="shared" si="53"/>
        <v>80</v>
      </c>
      <c r="L450" s="724" t="str">
        <f>IF($E:$E="인",VLOOKUP($B:$B,[140]단가!$B:$E,3,FALSE),VLOOKUP($D:$D,[140]일위목록!$A:$H,2,FALSE))</f>
        <v>단가-42번</v>
      </c>
      <c r="M450" s="717"/>
    </row>
    <row r="451" spans="1:13" s="718" customFormat="1" ht="21" customHeight="1">
      <c r="A451" s="724"/>
      <c r="B451" s="725" t="s">
        <v>6083</v>
      </c>
      <c r="C451" s="726" t="s">
        <v>6084</v>
      </c>
      <c r="D451" s="726" t="str">
        <f>SUBSTITUTE(CONCATENATE(B:B,C:C,E:E)," ","")</f>
        <v>세제유리용KG</v>
      </c>
      <c r="E451" s="724" t="s">
        <v>2477</v>
      </c>
      <c r="F451" s="727">
        <v>1.4999999999999999E-2</v>
      </c>
      <c r="G451" s="728">
        <f>IF($E:$E="인",0,VLOOKUP($D:$D,[140]일위목록!$A:$H,6,FALSE))</f>
        <v>2133</v>
      </c>
      <c r="H451" s="728">
        <f>TRUNC($F:$F*G:G)</f>
        <v>31</v>
      </c>
      <c r="I451" s="728">
        <f>IF($E:$E="인",VLOOKUP($B:$B,[140]노임!$B:$H,6,FALSE),VLOOKUP($D:$D,[140]일위목록!$A:$H,7,FALSE))</f>
        <v>0</v>
      </c>
      <c r="J451" s="728">
        <f>TRUNC($F:$F*I:I)</f>
        <v>0</v>
      </c>
      <c r="K451" s="728">
        <f t="shared" si="53"/>
        <v>31</v>
      </c>
      <c r="L451" s="724" t="str">
        <f>IF($E:$E="인",VLOOKUP($B:$B,[140]단가!$B:$E,3,FALSE),VLOOKUP($D:$D,[140]일위목록!$A:$H,2,FALSE))</f>
        <v>단가-43번</v>
      </c>
      <c r="M451" s="717"/>
    </row>
    <row r="452" spans="1:13" s="718" customFormat="1" ht="21" customHeight="1">
      <c r="A452" s="724"/>
      <c r="B452" s="731" t="s">
        <v>6085</v>
      </c>
      <c r="C452" s="726"/>
      <c r="D452" s="726" t="str">
        <f>SUBSTITUTE(CONCATENATE(B:B,C:C,E:E)," ","")</f>
        <v>유리공인</v>
      </c>
      <c r="E452" s="724" t="s">
        <v>5862</v>
      </c>
      <c r="F452" s="727">
        <v>0.19</v>
      </c>
      <c r="G452" s="728">
        <f>IF($E:$E="인",0,VLOOKUP($D:$D,[140]일위목록!$A:$H,6,FALSE))</f>
        <v>0</v>
      </c>
      <c r="H452" s="728">
        <f>TRUNC($F:$F*G:G)</f>
        <v>0</v>
      </c>
      <c r="I452" s="728">
        <f>IF($E:$E="인",VLOOKUP($B:$B,[140]노임!$B:$H,6,FALSE),VLOOKUP($D:$D,[140]일위목록!$A:$H,7,FALSE))</f>
        <v>181240</v>
      </c>
      <c r="J452" s="728">
        <f>TRUNC($F:$F*I:I)</f>
        <v>34435</v>
      </c>
      <c r="K452" s="728">
        <f t="shared" si="53"/>
        <v>34435</v>
      </c>
      <c r="L452" s="724" t="str">
        <f>IF($E:$E="인",VLOOKUP($B:$B,[140]노임!$B:$D,3,FALSE),VLOOKUP($D:$D,[140]일위목록!$A:$H,2,FALSE))</f>
        <v>건설노임-1025</v>
      </c>
      <c r="M452" s="717"/>
    </row>
    <row r="453" spans="1:13" s="718" customFormat="1" ht="21" customHeight="1">
      <c r="A453" s="724"/>
      <c r="B453" s="754" t="s">
        <v>5877</v>
      </c>
      <c r="C453" s="726"/>
      <c r="D453" s="726" t="str">
        <f>SUBSTITUTE(CONCATENATE(B:B,C:C,E:E)," ","")</f>
        <v>보통인부인</v>
      </c>
      <c r="E453" s="724" t="s">
        <v>5862</v>
      </c>
      <c r="F453" s="755">
        <v>2.4E-2</v>
      </c>
      <c r="G453" s="728">
        <f>IF($E:$E="인",0,VLOOKUP($D:$D,[140]일위목록!$A:$H,6,FALSE))</f>
        <v>0</v>
      </c>
      <c r="H453" s="728">
        <f>TRUNC($F:$F*G:G)</f>
        <v>0</v>
      </c>
      <c r="I453" s="728">
        <f>IF($E:$E="인",VLOOKUP($B:$B,[140]노임!$B:$H,6,FALSE),VLOOKUP($D:$D,[140]일위목록!$A:$H,7,FALSE))</f>
        <v>125427</v>
      </c>
      <c r="J453" s="728">
        <f>TRUNC($F:$F*I:I)</f>
        <v>3010</v>
      </c>
      <c r="K453" s="728">
        <f t="shared" si="53"/>
        <v>3010</v>
      </c>
      <c r="L453" s="724" t="str">
        <f>IF($E:$E="인",VLOOKUP($B:$B,[140]노임!$B:$D,3,FALSE),VLOOKUP($D:$D,[140]일위목록!$A:$H,2,FALSE))</f>
        <v>건설노임-1002</v>
      </c>
      <c r="M453" s="717"/>
    </row>
    <row r="454" spans="1:13" s="718" customFormat="1" ht="21" customHeight="1">
      <c r="A454" s="724"/>
      <c r="B454" s="725" t="s">
        <v>5901</v>
      </c>
      <c r="C454" s="726"/>
      <c r="D454" s="726" t="str">
        <f>L:L</f>
        <v>제66호표</v>
      </c>
      <c r="E454" s="724"/>
      <c r="F454" s="727"/>
      <c r="G454" s="728"/>
      <c r="H454" s="728">
        <f>SUM(H449:H453)</f>
        <v>33711</v>
      </c>
      <c r="I454" s="728"/>
      <c r="J454" s="728">
        <f>SUM(J449:J453)</f>
        <v>37445</v>
      </c>
      <c r="K454" s="728">
        <f>SUM(K449:K453)</f>
        <v>71156</v>
      </c>
      <c r="L454" s="724" t="str">
        <f>A447</f>
        <v>제66호표</v>
      </c>
      <c r="M454" s="717"/>
    </row>
    <row r="455" spans="1:13" s="718" customFormat="1" ht="21" customHeight="1">
      <c r="A455" s="724"/>
      <c r="B455" s="725"/>
      <c r="C455" s="726"/>
      <c r="D455" s="726"/>
      <c r="E455" s="724"/>
      <c r="F455" s="727"/>
      <c r="G455" s="728"/>
      <c r="H455" s="728"/>
      <c r="I455" s="728"/>
      <c r="J455" s="728"/>
      <c r="K455" s="728"/>
      <c r="L455" s="724"/>
      <c r="M455" s="717"/>
    </row>
    <row r="456" spans="1:13" s="718" customFormat="1" ht="21" customHeight="1">
      <c r="A456" s="724"/>
      <c r="B456" s="725"/>
      <c r="C456" s="726"/>
      <c r="D456" s="726"/>
      <c r="E456" s="724"/>
      <c r="F456" s="727"/>
      <c r="G456" s="728"/>
      <c r="H456" s="728"/>
      <c r="I456" s="728"/>
      <c r="J456" s="728"/>
      <c r="K456" s="728"/>
      <c r="L456" s="724"/>
      <c r="M456" s="717"/>
    </row>
    <row r="457" spans="1:13" s="718" customFormat="1" ht="21" customHeight="1">
      <c r="A457" s="724" t="str">
        <f>"제"&amp;M457&amp;"호표"</f>
        <v>제67호표</v>
      </c>
      <c r="B457" s="756" t="s">
        <v>6110</v>
      </c>
      <c r="C457" s="733" t="s">
        <v>6111</v>
      </c>
      <c r="D457" s="726"/>
      <c r="E457" s="724" t="s">
        <v>59</v>
      </c>
      <c r="F457" s="727"/>
      <c r="G457" s="728"/>
      <c r="H457" s="728"/>
      <c r="I457" s="728"/>
      <c r="J457" s="728"/>
      <c r="K457" s="728"/>
      <c r="L457" s="724"/>
      <c r="M457" s="729">
        <f>M447+1</f>
        <v>67</v>
      </c>
    </row>
    <row r="458" spans="1:13" s="718" customFormat="1" ht="21" customHeight="1">
      <c r="A458" s="724"/>
      <c r="B458" s="753"/>
      <c r="C458" s="726"/>
      <c r="D458" s="726"/>
      <c r="E458" s="724"/>
      <c r="F458" s="727"/>
      <c r="G458" s="728"/>
      <c r="H458" s="728"/>
      <c r="I458" s="728"/>
      <c r="J458" s="728"/>
      <c r="K458" s="728"/>
      <c r="L458" s="724"/>
      <c r="M458" s="729"/>
    </row>
    <row r="459" spans="1:13" s="718" customFormat="1" ht="21" customHeight="1">
      <c r="A459" s="724"/>
      <c r="B459" s="739" t="s">
        <v>6112</v>
      </c>
      <c r="C459" s="733" t="s">
        <v>6111</v>
      </c>
      <c r="D459" s="726" t="str">
        <f>SUBSTITUTE(CONCATENATE(B:B,C:C,E:E)," ","")</f>
        <v>조명용아크릴T5mmm2</v>
      </c>
      <c r="E459" s="724" t="s">
        <v>6113</v>
      </c>
      <c r="F459" s="727">
        <v>1.05</v>
      </c>
      <c r="G459" s="728">
        <f>IF($E:$E="인",0,VLOOKUP($D:$D,[140]일위목록!$A:$H,6,FALSE))</f>
        <v>71000</v>
      </c>
      <c r="H459" s="728">
        <f>TRUNC($F:$F*G:G)</f>
        <v>74550</v>
      </c>
      <c r="I459" s="728">
        <f>IF($E:$E="인",VLOOKUP($B:$B,[140]노임!$B:$H,6,FALSE),VLOOKUP($D:$D,[140]일위목록!$A:$H,7,FALSE))</f>
        <v>0</v>
      </c>
      <c r="J459" s="728">
        <f>TRUNC($F:$F*I:I)</f>
        <v>0</v>
      </c>
      <c r="K459" s="728">
        <f t="shared" ref="K459:K460" si="54">H459+J459</f>
        <v>74550</v>
      </c>
      <c r="L459" s="724" t="str">
        <f>IF($E:$E="인",VLOOKUP($B:$B,[140]단가!$B:$E,3,FALSE),VLOOKUP($D:$D,[140]일위목록!$A:$H,2,FALSE))</f>
        <v>단가-119번</v>
      </c>
      <c r="M459" s="717"/>
    </row>
    <row r="460" spans="1:13" s="718" customFormat="1" ht="21" customHeight="1">
      <c r="A460" s="724"/>
      <c r="B460" s="731" t="s">
        <v>6085</v>
      </c>
      <c r="C460" s="726"/>
      <c r="D460" s="726" t="str">
        <f>SUBSTITUTE(CONCATENATE(B:B,C:C,E:E)," ","")</f>
        <v>유리공인</v>
      </c>
      <c r="E460" s="724" t="s">
        <v>5862</v>
      </c>
      <c r="F460" s="727">
        <v>0.106</v>
      </c>
      <c r="G460" s="728">
        <f>IF($E:$E="인",0,VLOOKUP($D:$D,[140]일위목록!$A:$H,6,FALSE))</f>
        <v>0</v>
      </c>
      <c r="H460" s="728">
        <f>TRUNC($F:$F*G:G)</f>
        <v>0</v>
      </c>
      <c r="I460" s="728">
        <f>IF($E:$E="인",VLOOKUP($B:$B,[140]노임!$B:$H,6,FALSE),VLOOKUP($D:$D,[140]일위목록!$A:$H,7,FALSE))</f>
        <v>181240</v>
      </c>
      <c r="J460" s="728">
        <f>TRUNC($F:$F*I:I)</f>
        <v>19211</v>
      </c>
      <c r="K460" s="728">
        <f t="shared" si="54"/>
        <v>19211</v>
      </c>
      <c r="L460" s="724" t="str">
        <f>IF($E:$E="인",VLOOKUP($B:$B,[140]노임!$B:$D,3,FALSE),VLOOKUP($D:$D,[140]일위목록!$A:$H,2,FALSE))</f>
        <v>건설노임-1025</v>
      </c>
      <c r="M460" s="717"/>
    </row>
    <row r="461" spans="1:13" s="718" customFormat="1" ht="21" customHeight="1">
      <c r="A461" s="724"/>
      <c r="B461" s="725" t="s">
        <v>5901</v>
      </c>
      <c r="C461" s="726"/>
      <c r="D461" s="726" t="str">
        <f>L:L</f>
        <v>제67호표</v>
      </c>
      <c r="E461" s="724"/>
      <c r="F461" s="727"/>
      <c r="G461" s="728"/>
      <c r="H461" s="728">
        <f>SUM(H459:H460)</f>
        <v>74550</v>
      </c>
      <c r="I461" s="728"/>
      <c r="J461" s="728">
        <f>SUM(J459:J460)</f>
        <v>19211</v>
      </c>
      <c r="K461" s="728">
        <f>H461+J461</f>
        <v>93761</v>
      </c>
      <c r="L461" s="724" t="str">
        <f>A457</f>
        <v>제67호표</v>
      </c>
      <c r="M461" s="717"/>
    </row>
    <row r="462" spans="1:13" s="718" customFormat="1" ht="21" customHeight="1">
      <c r="A462" s="724"/>
      <c r="B462" s="725"/>
      <c r="C462" s="726"/>
      <c r="D462" s="726"/>
      <c r="E462" s="724"/>
      <c r="F462" s="727"/>
      <c r="G462" s="728"/>
      <c r="H462" s="728"/>
      <c r="I462" s="728"/>
      <c r="J462" s="728"/>
      <c r="K462" s="728"/>
      <c r="L462" s="724"/>
      <c r="M462" s="717"/>
    </row>
    <row r="463" spans="1:13" s="718" customFormat="1" ht="21" customHeight="1">
      <c r="A463" s="724"/>
      <c r="B463" s="725"/>
      <c r="C463" s="726"/>
      <c r="D463" s="726"/>
      <c r="E463" s="724"/>
      <c r="F463" s="727"/>
      <c r="G463" s="728"/>
      <c r="H463" s="728"/>
      <c r="I463" s="728"/>
      <c r="J463" s="728"/>
      <c r="K463" s="728"/>
      <c r="L463" s="724"/>
      <c r="M463" s="717"/>
    </row>
    <row r="464" spans="1:13" s="718" customFormat="1" ht="21" customHeight="1">
      <c r="A464" s="724" t="str">
        <f>"제"&amp;M464&amp;"호표"</f>
        <v>제68호표</v>
      </c>
      <c r="B464" s="725" t="s">
        <v>6114</v>
      </c>
      <c r="C464" s="726" t="s">
        <v>6115</v>
      </c>
      <c r="D464" s="726"/>
      <c r="E464" s="724" t="s">
        <v>59</v>
      </c>
      <c r="F464" s="727"/>
      <c r="G464" s="728"/>
      <c r="H464" s="728"/>
      <c r="I464" s="728"/>
      <c r="J464" s="728"/>
      <c r="K464" s="728"/>
      <c r="L464" s="724"/>
      <c r="M464" s="729">
        <f>M457+1</f>
        <v>68</v>
      </c>
    </row>
    <row r="465" spans="1:13" s="718" customFormat="1" ht="21" customHeight="1">
      <c r="A465" s="724"/>
      <c r="B465" s="725"/>
      <c r="C465" s="726"/>
      <c r="D465" s="726"/>
      <c r="E465" s="724"/>
      <c r="F465" s="727"/>
      <c r="G465" s="728"/>
      <c r="H465" s="728"/>
      <c r="I465" s="728"/>
      <c r="J465" s="728"/>
      <c r="K465" s="728"/>
      <c r="L465" s="724"/>
      <c r="M465" s="717"/>
    </row>
    <row r="466" spans="1:13" s="718" customFormat="1" ht="21" customHeight="1">
      <c r="A466" s="724"/>
      <c r="B466" s="725" t="s">
        <v>6116</v>
      </c>
      <c r="C466" s="726" t="s">
        <v>6117</v>
      </c>
      <c r="D466" s="726" t="str">
        <f t="shared" ref="D466:D471" si="55">SUBSTITUTE(CONCATENATE(B:B,C:C,E:E)," ","")</f>
        <v>석고보드T9.5mm*900*1,800M2</v>
      </c>
      <c r="E466" s="724" t="s">
        <v>59</v>
      </c>
      <c r="F466" s="727">
        <v>2.1</v>
      </c>
      <c r="G466" s="728">
        <f>IF($E:$E="인",0,VLOOKUP($D:$D,[140]일위목록!$A:$H,6,FALSE))</f>
        <v>2407</v>
      </c>
      <c r="H466" s="728">
        <f t="shared" ref="H466:H473" si="56">TRUNC($F:$F*G:G)</f>
        <v>5054</v>
      </c>
      <c r="I466" s="728">
        <f>IF($E:$E="인",VLOOKUP($B:$B,[140]노임!$B:$H,6,FALSE),VLOOKUP($D:$D,[140]일위목록!$A:$H,7,FALSE))</f>
        <v>0</v>
      </c>
      <c r="J466" s="728">
        <f t="shared" ref="J466:J473" si="57">TRUNC($F:$F*I:I)</f>
        <v>0</v>
      </c>
      <c r="K466" s="728">
        <f t="shared" ref="K466:K472" si="58">H466+J466</f>
        <v>5054</v>
      </c>
      <c r="L466" s="724" t="str">
        <f>IF($E:$E="인",VLOOKUP($B:$B,[140]단가!$B:$E,3,FALSE),VLOOKUP($D:$D,[140]일위목록!$A:$H,2,FALSE))</f>
        <v>단가-46번</v>
      </c>
      <c r="M466" s="717"/>
    </row>
    <row r="467" spans="1:13" s="718" customFormat="1" ht="21" customHeight="1">
      <c r="A467" s="724"/>
      <c r="B467" s="725" t="s">
        <v>6077</v>
      </c>
      <c r="C467" s="726" t="s">
        <v>6078</v>
      </c>
      <c r="D467" s="726" t="str">
        <f t="shared" si="55"/>
        <v>스테인리스작은나사m3*8mmEA</v>
      </c>
      <c r="E467" s="724" t="s">
        <v>6118</v>
      </c>
      <c r="F467" s="727">
        <v>42</v>
      </c>
      <c r="G467" s="728">
        <f>IF($E:$E="인",0,VLOOKUP($D:$D,[140]일위목록!$A:$H,6,FALSE))</f>
        <v>12</v>
      </c>
      <c r="H467" s="728">
        <f t="shared" si="56"/>
        <v>504</v>
      </c>
      <c r="I467" s="728">
        <f>IF($E:$E="인",VLOOKUP($B:$B,[140]노임!$B:$H,6,FALSE),VLOOKUP($D:$D,[140]일위목록!$A:$H,7,FALSE))</f>
        <v>0</v>
      </c>
      <c r="J467" s="728">
        <f t="shared" si="57"/>
        <v>0</v>
      </c>
      <c r="K467" s="728">
        <f t="shared" si="58"/>
        <v>504</v>
      </c>
      <c r="L467" s="724" t="str">
        <f>IF($E:$E="인",VLOOKUP($B:$B,[140]단가!$B:$E,3,FALSE),VLOOKUP($D:$D,[140]일위목록!$A:$H,2,FALSE))</f>
        <v>단가-15번</v>
      </c>
      <c r="M467" s="717"/>
    </row>
    <row r="468" spans="1:13" s="718" customFormat="1" ht="21" customHeight="1">
      <c r="A468" s="724"/>
      <c r="B468" s="725" t="s">
        <v>6019</v>
      </c>
      <c r="C468" s="725">
        <v>205</v>
      </c>
      <c r="D468" s="726" t="str">
        <f t="shared" si="55"/>
        <v>목공용접착제205kg</v>
      </c>
      <c r="E468" s="724" t="s">
        <v>6020</v>
      </c>
      <c r="F468" s="727">
        <v>0.27</v>
      </c>
      <c r="G468" s="728">
        <f>IF($E:$E="인",0,VLOOKUP($D:$D,[140]일위목록!$A:$H,6,FALSE))</f>
        <v>3529</v>
      </c>
      <c r="H468" s="728">
        <f t="shared" si="56"/>
        <v>952</v>
      </c>
      <c r="I468" s="728">
        <f>IF($E:$E="인",VLOOKUP($B:$B,[140]노임!$B:$H,6,FALSE),VLOOKUP($D:$D,[140]일위목록!$A:$H,7,FALSE))</f>
        <v>0</v>
      </c>
      <c r="J468" s="728">
        <f t="shared" si="57"/>
        <v>0</v>
      </c>
      <c r="K468" s="728">
        <f t="shared" si="58"/>
        <v>952</v>
      </c>
      <c r="L468" s="724" t="str">
        <f>IF($E:$E="인",VLOOKUP($B:$B,[140]단가!$B:$E,3,FALSE),VLOOKUP($D:$D,[140]일위목록!$A:$H,2,FALSE))</f>
        <v>단가-56번</v>
      </c>
      <c r="M468" s="717"/>
    </row>
    <row r="469" spans="1:13" s="718" customFormat="1" ht="21" customHeight="1">
      <c r="A469" s="724"/>
      <c r="B469" s="742" t="s">
        <v>6119</v>
      </c>
      <c r="C469" s="757" t="s">
        <v>6120</v>
      </c>
      <c r="D469" s="726" t="str">
        <f t="shared" si="55"/>
        <v>M-BAR50*20*0.8Tm</v>
      </c>
      <c r="E469" s="724" t="s">
        <v>6121</v>
      </c>
      <c r="F469" s="727">
        <v>3.3</v>
      </c>
      <c r="G469" s="728">
        <f>IF($E:$E="인",0,VLOOKUP($D:$D,[140]일위목록!$A:$H,6,FALSE))</f>
        <v>3500</v>
      </c>
      <c r="H469" s="728">
        <f t="shared" si="56"/>
        <v>11550</v>
      </c>
      <c r="I469" s="728">
        <f>IF($E:$E="인",VLOOKUP($B:$B,[140]노임!$B:$H,6,FALSE),VLOOKUP($D:$D,[140]일위목록!$A:$H,7,FALSE))</f>
        <v>0</v>
      </c>
      <c r="J469" s="728">
        <f t="shared" si="57"/>
        <v>0</v>
      </c>
      <c r="K469" s="728">
        <f t="shared" si="58"/>
        <v>11550</v>
      </c>
      <c r="L469" s="724" t="str">
        <f>IF($E:$E="인",VLOOKUP($B:$B,[140]단가!$B:$E,3,FALSE),VLOOKUP($D:$D,[140]일위목록!$A:$H,2,FALSE))</f>
        <v>단가-74번</v>
      </c>
      <c r="M469" s="717"/>
    </row>
    <row r="470" spans="1:13" s="718" customFormat="1" ht="21" customHeight="1">
      <c r="A470" s="724"/>
      <c r="B470" s="746" t="s">
        <v>6122</v>
      </c>
      <c r="C470" s="726"/>
      <c r="D470" s="726" t="str">
        <f t="shared" si="55"/>
        <v>내장공인</v>
      </c>
      <c r="E470" s="724" t="s">
        <v>5862</v>
      </c>
      <c r="F470" s="755">
        <v>4.5999999999999999E-2</v>
      </c>
      <c r="G470" s="728">
        <f>IF($E:$E="인",0,VLOOKUP($D:$D,[140]일위목록!$A:$H,6,FALSE))</f>
        <v>0</v>
      </c>
      <c r="H470" s="728">
        <f t="shared" si="56"/>
        <v>0</v>
      </c>
      <c r="I470" s="728">
        <f>IF($E:$E="인",VLOOKUP($B:$B,[140]노임!$B:$H,6,FALSE),VLOOKUP($D:$D,[140]일위목록!$A:$H,7,FALSE))</f>
        <v>189600</v>
      </c>
      <c r="J470" s="728">
        <f t="shared" si="57"/>
        <v>8721</v>
      </c>
      <c r="K470" s="728">
        <f t="shared" si="58"/>
        <v>8721</v>
      </c>
      <c r="L470" s="724" t="str">
        <f>IF($E:$E="인",VLOOKUP($B:$B,[140]노임!$B:$D,3,FALSE),VLOOKUP($D:$D,[140]일위목록!$A:$H,2,FALSE))</f>
        <v>건설노임-1030</v>
      </c>
      <c r="M470" s="717"/>
    </row>
    <row r="471" spans="1:13" s="718" customFormat="1" ht="21" customHeight="1">
      <c r="A471" s="724"/>
      <c r="B471" s="754" t="s">
        <v>5877</v>
      </c>
      <c r="C471" s="726"/>
      <c r="D471" s="726" t="str">
        <f t="shared" si="55"/>
        <v>보통인부인</v>
      </c>
      <c r="E471" s="724" t="s">
        <v>5862</v>
      </c>
      <c r="F471" s="755">
        <v>2.3E-2</v>
      </c>
      <c r="G471" s="728">
        <f>IF($E:$E="인",0,VLOOKUP($D:$D,[140]일위목록!$A:$H,6,FALSE))</f>
        <v>0</v>
      </c>
      <c r="H471" s="728">
        <f t="shared" si="56"/>
        <v>0</v>
      </c>
      <c r="I471" s="728">
        <f>IF($E:$E="인",VLOOKUP($B:$B,[140]노임!$B:$H,6,FALSE),VLOOKUP($D:$D,[140]일위목록!$A:$H,7,FALSE))</f>
        <v>125427</v>
      </c>
      <c r="J471" s="728">
        <f t="shared" si="57"/>
        <v>2884</v>
      </c>
      <c r="K471" s="728">
        <f t="shared" si="58"/>
        <v>2884</v>
      </c>
      <c r="L471" s="724" t="str">
        <f>IF($E:$E="인",VLOOKUP($B:$B,[140]노임!$B:$D,3,FALSE),VLOOKUP($D:$D,[140]일위목록!$A:$H,2,FALSE))</f>
        <v>건설노임-1002</v>
      </c>
      <c r="M471" s="717"/>
    </row>
    <row r="472" spans="1:13" s="718" customFormat="1" ht="21" customHeight="1">
      <c r="A472" s="724"/>
      <c r="B472" s="731" t="s">
        <v>5863</v>
      </c>
      <c r="C472" s="726"/>
      <c r="D472" s="726"/>
      <c r="E472" s="724" t="s">
        <v>5862</v>
      </c>
      <c r="F472" s="727">
        <v>0.05</v>
      </c>
      <c r="G472" s="728">
        <f>IF($E:$E="인",0,VLOOKUP($D:$D,[140]일위목록!$A:$H,6,FALSE))</f>
        <v>0</v>
      </c>
      <c r="H472" s="728">
        <f t="shared" si="56"/>
        <v>0</v>
      </c>
      <c r="I472" s="728">
        <f>IF($E:$E="인",VLOOKUP($B:$B,[140]노임!$B:$H,6,FALSE),VLOOKUP($D:$D,[140]일위목록!$A:$H,7,FALSE))</f>
        <v>198711</v>
      </c>
      <c r="J472" s="728">
        <f t="shared" si="57"/>
        <v>9935</v>
      </c>
      <c r="K472" s="728">
        <f t="shared" si="58"/>
        <v>9935</v>
      </c>
      <c r="L472" s="724" t="str">
        <f>IF($E:$E="인",VLOOKUP($B:$B,[140]노임!$B:$D,3,FALSE),VLOOKUP($D:$D,[140]일위목록!$A:$H,2,FALSE))</f>
        <v>건설노임-1012</v>
      </c>
      <c r="M472" s="717"/>
    </row>
    <row r="473" spans="1:13" s="718" customFormat="1" ht="21" customHeight="1">
      <c r="A473" s="724"/>
      <c r="B473" s="725" t="s">
        <v>5865</v>
      </c>
      <c r="C473" s="726" t="s">
        <v>6123</v>
      </c>
      <c r="D473" s="726" t="str">
        <f>SUBSTITUTE(CONCATENATE(B:B,C:C,E:E)," ","")</f>
        <v>기구손료인건비의1%식</v>
      </c>
      <c r="E473" s="724" t="s">
        <v>5998</v>
      </c>
      <c r="F473" s="727">
        <v>1</v>
      </c>
      <c r="G473" s="728">
        <f>TRUNC(J474*1%)</f>
        <v>215</v>
      </c>
      <c r="H473" s="728">
        <f t="shared" si="56"/>
        <v>215</v>
      </c>
      <c r="I473" s="728">
        <f>IF($E:$E="인",VLOOKUP($B:$B,[142]건설노임!$B:$F,2,FALSE),0)</f>
        <v>0</v>
      </c>
      <c r="J473" s="728">
        <f t="shared" si="57"/>
        <v>0</v>
      </c>
      <c r="K473" s="728">
        <f>H473+J473</f>
        <v>215</v>
      </c>
      <c r="L473" s="724"/>
      <c r="M473" s="717"/>
    </row>
    <row r="474" spans="1:13" s="718" customFormat="1" ht="21" customHeight="1">
      <c r="A474" s="724"/>
      <c r="B474" s="725" t="s">
        <v>5901</v>
      </c>
      <c r="C474" s="726"/>
      <c r="D474" s="726" t="str">
        <f>L:L</f>
        <v>제68호표</v>
      </c>
      <c r="E474" s="724"/>
      <c r="F474" s="727"/>
      <c r="G474" s="728"/>
      <c r="H474" s="728">
        <f>SUM(H466:H473)</f>
        <v>18275</v>
      </c>
      <c r="I474" s="728"/>
      <c r="J474" s="728">
        <f>SUM(J466:J473)</f>
        <v>21540</v>
      </c>
      <c r="K474" s="728">
        <f>SUM(K466:K473)</f>
        <v>39815</v>
      </c>
      <c r="L474" s="724" t="str">
        <f>A464</f>
        <v>제68호표</v>
      </c>
      <c r="M474" s="717"/>
    </row>
    <row r="475" spans="1:13" s="718" customFormat="1" ht="21" customHeight="1">
      <c r="A475" s="724"/>
      <c r="B475" s="725"/>
      <c r="C475" s="726"/>
      <c r="D475" s="726"/>
      <c r="E475" s="724"/>
      <c r="F475" s="727"/>
      <c r="G475" s="728"/>
      <c r="H475" s="728"/>
      <c r="I475" s="728"/>
      <c r="J475" s="728"/>
      <c r="K475" s="728"/>
      <c r="L475" s="724"/>
      <c r="M475" s="717"/>
    </row>
    <row r="476" spans="1:13" s="718" customFormat="1" ht="21" customHeight="1">
      <c r="A476" s="724"/>
      <c r="B476" s="725"/>
      <c r="C476" s="726"/>
      <c r="D476" s="726"/>
      <c r="E476" s="724"/>
      <c r="F476" s="727"/>
      <c r="G476" s="728"/>
      <c r="H476" s="728"/>
      <c r="I476" s="728"/>
      <c r="J476" s="728"/>
      <c r="K476" s="728"/>
      <c r="L476" s="724"/>
      <c r="M476" s="717"/>
    </row>
    <row r="477" spans="1:13" s="718" customFormat="1" ht="21" customHeight="1">
      <c r="A477" s="724" t="str">
        <f>"제"&amp;M477&amp;"호표"</f>
        <v>제69호표</v>
      </c>
      <c r="B477" s="725" t="s">
        <v>6124</v>
      </c>
      <c r="C477" s="758" t="s">
        <v>6125</v>
      </c>
      <c r="D477" s="726"/>
      <c r="E477" s="724" t="s">
        <v>59</v>
      </c>
      <c r="F477" s="727"/>
      <c r="G477" s="728"/>
      <c r="H477" s="728"/>
      <c r="I477" s="728"/>
      <c r="J477" s="728"/>
      <c r="K477" s="728"/>
      <c r="L477" s="724"/>
      <c r="M477" s="729">
        <f>M464+1</f>
        <v>69</v>
      </c>
    </row>
    <row r="478" spans="1:13" s="718" customFormat="1" ht="21" customHeight="1">
      <c r="A478" s="724"/>
      <c r="B478" s="725"/>
      <c r="C478" s="726"/>
      <c r="D478" s="726"/>
      <c r="E478" s="724"/>
      <c r="F478" s="727"/>
      <c r="G478" s="728"/>
      <c r="H478" s="728"/>
      <c r="I478" s="728"/>
      <c r="J478" s="728"/>
      <c r="K478" s="728"/>
      <c r="L478" s="724"/>
      <c r="M478" s="717"/>
    </row>
    <row r="479" spans="1:13" s="718" customFormat="1" ht="21" customHeight="1">
      <c r="A479" s="724"/>
      <c r="B479" s="739" t="s">
        <v>6126</v>
      </c>
      <c r="C479" s="758" t="s">
        <v>6125</v>
      </c>
      <c r="D479" s="726" t="str">
        <f>SUBSTITUTE(CONCATENATE(B:B,C:C,E:E)," ","")</f>
        <v>알루미늄판4T*900*1800M2</v>
      </c>
      <c r="E479" s="724" t="s">
        <v>59</v>
      </c>
      <c r="F479" s="727">
        <v>1</v>
      </c>
      <c r="G479" s="728">
        <f>IF($E:$E="인",0,VLOOKUP($D:$D,[140]일위목록!$A:$H,6,FALSE))</f>
        <v>130000</v>
      </c>
      <c r="H479" s="728">
        <f>TRUNC($F:$F*G:G)</f>
        <v>130000</v>
      </c>
      <c r="I479" s="728">
        <f>IF($E:$E="인",VLOOKUP($B:$B,[140]노임!$B:$H,6,FALSE),VLOOKUP($D:$D,[140]일위목록!$A:$H,7,FALSE))</f>
        <v>0</v>
      </c>
      <c r="J479" s="728">
        <f>TRUNC($F:$F*I:I)</f>
        <v>0</v>
      </c>
      <c r="K479" s="728">
        <f t="shared" ref="K479:K483" si="59">H479+J479</f>
        <v>130000</v>
      </c>
      <c r="L479" s="724" t="str">
        <f>IF($E:$E="인",VLOOKUP($B:$B,[140]단가!$B:$E,3,FALSE),VLOOKUP($D:$D,[140]일위목록!$A:$H,2,FALSE))</f>
        <v>단가-124번</v>
      </c>
      <c r="M479" s="717"/>
    </row>
    <row r="480" spans="1:13" s="718" customFormat="1" ht="21" customHeight="1">
      <c r="A480" s="724"/>
      <c r="B480" s="725" t="s">
        <v>6077</v>
      </c>
      <c r="C480" s="726" t="s">
        <v>6078</v>
      </c>
      <c r="D480" s="726" t="str">
        <f>SUBSTITUTE(CONCATENATE(B:B,C:C,E:E)," ","")</f>
        <v>스테인리스작은나사m3*8mmEA</v>
      </c>
      <c r="E480" s="724" t="s">
        <v>321</v>
      </c>
      <c r="F480" s="727">
        <v>16</v>
      </c>
      <c r="G480" s="728">
        <f>IF($E:$E="인",0,VLOOKUP($D:$D,[140]일위목록!$A:$H,6,FALSE))</f>
        <v>12</v>
      </c>
      <c r="H480" s="728">
        <f>TRUNC($F:$F*G:G)</f>
        <v>192</v>
      </c>
      <c r="I480" s="728">
        <f>IF($E:$E="인",VLOOKUP($B:$B,[140]노임!$B:$H,6,FALSE),VLOOKUP($D:$D,[140]일위목록!$A:$H,7,FALSE))</f>
        <v>0</v>
      </c>
      <c r="J480" s="728">
        <f>TRUNC($F:$F*I:I)</f>
        <v>0</v>
      </c>
      <c r="K480" s="728">
        <f t="shared" si="59"/>
        <v>192</v>
      </c>
      <c r="L480" s="724" t="str">
        <f>IF($E:$E="인",VLOOKUP($B:$B,[140]단가!$B:$E,3,FALSE),VLOOKUP($D:$D,[140]일위목록!$A:$H,2,FALSE))</f>
        <v>단가-15번</v>
      </c>
      <c r="M480" s="717"/>
    </row>
    <row r="481" spans="1:13" s="718" customFormat="1" ht="21" customHeight="1">
      <c r="A481" s="724"/>
      <c r="B481" s="731" t="s">
        <v>5900</v>
      </c>
      <c r="C481" s="726"/>
      <c r="D481" s="726"/>
      <c r="E481" s="724" t="s">
        <v>5862</v>
      </c>
      <c r="F481" s="727">
        <v>3.7999999999999999E-2</v>
      </c>
      <c r="G481" s="728">
        <f>IF($E:$E="인",0,VLOOKUP($D:$D,[140]일위목록!$A:$H,6,FALSE))</f>
        <v>0</v>
      </c>
      <c r="H481" s="728">
        <f>TRUNC($F:$F*G:G)</f>
        <v>0</v>
      </c>
      <c r="I481" s="728">
        <f>IF($E:$E="인",VLOOKUP($B:$B,[140]노임!$B:$H,6,FALSE),VLOOKUP($D:$D,[140]일위목록!$A:$H,7,FALSE))</f>
        <v>88131</v>
      </c>
      <c r="J481" s="728">
        <f>TRUNC($F:$F*I:I)</f>
        <v>3348</v>
      </c>
      <c r="K481" s="728">
        <f t="shared" si="59"/>
        <v>3348</v>
      </c>
      <c r="L481" s="724" t="str">
        <f>IF($E:$E="인",VLOOKUP($B:$B,[140]노임!$B:$D,3,FALSE),VLOOKUP($D:$D,[140]일위목록!$A:$H,2,FALSE))</f>
        <v>제조임율-32</v>
      </c>
      <c r="M481" s="717"/>
    </row>
    <row r="482" spans="1:13" s="718" customFormat="1" ht="21" customHeight="1">
      <c r="A482" s="724"/>
      <c r="B482" s="754" t="s">
        <v>6127</v>
      </c>
      <c r="C482" s="726"/>
      <c r="D482" s="726" t="str">
        <f>SUBSTITUTE(CONCATENATE(B:B,C:C,E:E)," ","")</f>
        <v>작업반장인</v>
      </c>
      <c r="E482" s="724" t="s">
        <v>5862</v>
      </c>
      <c r="F482" s="741">
        <v>0.09</v>
      </c>
      <c r="G482" s="728">
        <f>IF($E:$E="인",0,VLOOKUP($D:$D,[140]일위목록!$A:$H,6,FALSE))</f>
        <v>0</v>
      </c>
      <c r="H482" s="728">
        <f>TRUNC($F:$F*G:G)</f>
        <v>0</v>
      </c>
      <c r="I482" s="728">
        <f>IF($E:$E="인",VLOOKUP($B:$B,[140]노임!$B:$H,6,FALSE),VLOOKUP($D:$D,[140]일위목록!$A:$H,7,FALSE))</f>
        <v>108234</v>
      </c>
      <c r="J482" s="728">
        <f>TRUNC($F:$F*I:I)</f>
        <v>9741</v>
      </c>
      <c r="K482" s="728">
        <f t="shared" si="59"/>
        <v>9741</v>
      </c>
      <c r="L482" s="724" t="str">
        <f>IF($E:$E="인",VLOOKUP($B:$B,[140]노임!$B:$D,3,FALSE),VLOOKUP($D:$D,[140]일위목록!$A:$H,2,FALSE))</f>
        <v>제조임율-136</v>
      </c>
      <c r="M482" s="717"/>
    </row>
    <row r="483" spans="1:13" s="718" customFormat="1" ht="21" customHeight="1">
      <c r="A483" s="724"/>
      <c r="B483" s="754" t="s">
        <v>6128</v>
      </c>
      <c r="C483" s="726"/>
      <c r="D483" s="726" t="str">
        <f>SUBSTITUTE(CONCATENATE(B:B,C:C,E:E)," ","")</f>
        <v>단순노무종사원인</v>
      </c>
      <c r="E483" s="724" t="s">
        <v>5862</v>
      </c>
      <c r="F483" s="741">
        <v>2.3E-2</v>
      </c>
      <c r="G483" s="728">
        <f>IF($E:$E="인",0,VLOOKUP($D:$D,[140]일위목록!$A:$H,6,FALSE))</f>
        <v>0</v>
      </c>
      <c r="H483" s="728">
        <f>TRUNC($F:$F*G:G)</f>
        <v>0</v>
      </c>
      <c r="I483" s="728">
        <f>IF($E:$E="인",VLOOKUP($B:$B,[140]노임!$B:$H,6,FALSE),VLOOKUP($D:$D,[140]일위목록!$A:$H,7,FALSE))</f>
        <v>72020</v>
      </c>
      <c r="J483" s="728">
        <f>TRUNC($F:$F*I:I)</f>
        <v>1656</v>
      </c>
      <c r="K483" s="728">
        <f t="shared" si="59"/>
        <v>1656</v>
      </c>
      <c r="L483" s="724" t="str">
        <f>IF($E:$E="인",VLOOKUP($B:$B,[140]노임!$B:$D,3,FALSE),VLOOKUP($D:$D,[140]일위목록!$A:$H,2,FALSE))</f>
        <v>제조임율-135</v>
      </c>
      <c r="M483" s="717"/>
    </row>
    <row r="484" spans="1:13" s="718" customFormat="1" ht="21" customHeight="1">
      <c r="A484" s="724"/>
      <c r="B484" s="725" t="s">
        <v>5901</v>
      </c>
      <c r="C484" s="726"/>
      <c r="D484" s="726" t="str">
        <f>L:L</f>
        <v>제69호표</v>
      </c>
      <c r="E484" s="724"/>
      <c r="F484" s="727"/>
      <c r="G484" s="728"/>
      <c r="H484" s="728">
        <f>SUM(H479:H483)</f>
        <v>130192</v>
      </c>
      <c r="I484" s="728"/>
      <c r="J484" s="728">
        <f>SUM(J479:J483)</f>
        <v>14745</v>
      </c>
      <c r="K484" s="728">
        <f>SUM(K479:K483)</f>
        <v>144937</v>
      </c>
      <c r="L484" s="724" t="str">
        <f>A477</f>
        <v>제69호표</v>
      </c>
      <c r="M484" s="717"/>
    </row>
    <row r="485" spans="1:13" s="718" customFormat="1" ht="21" customHeight="1">
      <c r="A485" s="724"/>
      <c r="B485" s="725"/>
      <c r="C485" s="726"/>
      <c r="D485" s="726"/>
      <c r="E485" s="724"/>
      <c r="F485" s="727"/>
      <c r="G485" s="728"/>
      <c r="H485" s="728"/>
      <c r="I485" s="728"/>
      <c r="J485" s="728"/>
      <c r="K485" s="728"/>
      <c r="L485" s="724"/>
      <c r="M485" s="717"/>
    </row>
    <row r="486" spans="1:13" s="718" customFormat="1" ht="21" customHeight="1">
      <c r="A486" s="724"/>
      <c r="B486" s="725"/>
      <c r="C486" s="726"/>
      <c r="D486" s="726"/>
      <c r="E486" s="724"/>
      <c r="F486" s="727"/>
      <c r="G486" s="728"/>
      <c r="H486" s="728"/>
      <c r="I486" s="728"/>
      <c r="J486" s="728"/>
      <c r="K486" s="728"/>
      <c r="L486" s="724"/>
      <c r="M486" s="717"/>
    </row>
    <row r="487" spans="1:13" s="718" customFormat="1" ht="21" customHeight="1">
      <c r="A487" s="724" t="str">
        <f>"제"&amp;M487&amp;"호표"</f>
        <v>제70호표</v>
      </c>
      <c r="B487" s="725" t="s">
        <v>6114</v>
      </c>
      <c r="C487" s="726" t="s">
        <v>6129</v>
      </c>
      <c r="D487" s="726"/>
      <c r="E487" s="724" t="s">
        <v>59</v>
      </c>
      <c r="F487" s="727"/>
      <c r="G487" s="728"/>
      <c r="H487" s="728"/>
      <c r="I487" s="728"/>
      <c r="J487" s="728"/>
      <c r="K487" s="728"/>
      <c r="L487" s="724"/>
      <c r="M487" s="729">
        <f>M477+1</f>
        <v>70</v>
      </c>
    </row>
    <row r="488" spans="1:13" s="718" customFormat="1" ht="21" customHeight="1">
      <c r="A488" s="724"/>
      <c r="B488" s="725"/>
      <c r="C488" s="726"/>
      <c r="D488" s="726"/>
      <c r="E488" s="724"/>
      <c r="F488" s="727"/>
      <c r="G488" s="728"/>
      <c r="H488" s="728"/>
      <c r="I488" s="728"/>
      <c r="J488" s="728"/>
      <c r="K488" s="728"/>
      <c r="L488" s="724"/>
      <c r="M488" s="717"/>
    </row>
    <row r="489" spans="1:13" s="718" customFormat="1" ht="21" customHeight="1">
      <c r="A489" s="724"/>
      <c r="B489" s="725" t="s">
        <v>6116</v>
      </c>
      <c r="C489" s="726" t="s">
        <v>6117</v>
      </c>
      <c r="D489" s="726" t="str">
        <f>SUBSTITUTE(CONCATENATE(B:B,C:C,E:E)," ","")</f>
        <v>석고보드T9.5mm*900*1,800M2</v>
      </c>
      <c r="E489" s="724" t="s">
        <v>59</v>
      </c>
      <c r="F489" s="727">
        <v>1.05</v>
      </c>
      <c r="G489" s="728">
        <f>IF($E:$E="인",0,VLOOKUP($D:$D,[140]일위목록!$A:$H,6,FALSE))</f>
        <v>2407</v>
      </c>
      <c r="H489" s="728">
        <f t="shared" ref="H489:H495" si="60">TRUNC($F:$F*G:G)</f>
        <v>2527</v>
      </c>
      <c r="I489" s="728">
        <f>IF($E:$E="인",VLOOKUP($B:$B,[140]노임!$B:$H,6,FALSE),VLOOKUP($D:$D,[140]일위목록!$A:$H,7,FALSE))</f>
        <v>0</v>
      </c>
      <c r="J489" s="728">
        <f t="shared" ref="J489:J495" si="61">TRUNC($F:$F*I:I)</f>
        <v>0</v>
      </c>
      <c r="K489" s="728">
        <f t="shared" ref="K489:K495" si="62">H489+J489</f>
        <v>2527</v>
      </c>
      <c r="L489" s="724" t="str">
        <f>IF($E:$E="인",VLOOKUP($B:$B,[140]단가!$B:$E,3,FALSE),VLOOKUP($D:$D,[140]일위목록!$A:$H,2,FALSE))</f>
        <v>단가-46번</v>
      </c>
      <c r="M489" s="717"/>
    </row>
    <row r="490" spans="1:13" s="718" customFormat="1" ht="21" customHeight="1">
      <c r="A490" s="724"/>
      <c r="B490" s="725" t="s">
        <v>6077</v>
      </c>
      <c r="C490" s="726" t="s">
        <v>6078</v>
      </c>
      <c r="D490" s="726" t="str">
        <f>SUBSTITUTE(CONCATENATE(B:B,C:C,E:E)," ","")</f>
        <v>스테인리스작은나사m3*8mmEA</v>
      </c>
      <c r="E490" s="724" t="s">
        <v>6118</v>
      </c>
      <c r="F490" s="727">
        <v>21</v>
      </c>
      <c r="G490" s="728">
        <f>IF($E:$E="인",0,VLOOKUP($D:$D,[140]일위목록!$A:$H,6,FALSE))</f>
        <v>12</v>
      </c>
      <c r="H490" s="728">
        <f t="shared" si="60"/>
        <v>252</v>
      </c>
      <c r="I490" s="728">
        <f>IF($E:$E="인",VLOOKUP($B:$B,[140]노임!$B:$H,6,FALSE),VLOOKUP($D:$D,[140]일위목록!$A:$H,7,FALSE))</f>
        <v>0</v>
      </c>
      <c r="J490" s="728">
        <f t="shared" si="61"/>
        <v>0</v>
      </c>
      <c r="K490" s="728">
        <f t="shared" si="62"/>
        <v>252</v>
      </c>
      <c r="L490" s="724" t="str">
        <f>IF($E:$E="인",VLOOKUP($B:$B,[140]단가!$B:$E,3,FALSE),VLOOKUP($D:$D,[140]일위목록!$A:$H,2,FALSE))</f>
        <v>단가-15번</v>
      </c>
      <c r="M490" s="717"/>
    </row>
    <row r="491" spans="1:13" s="718" customFormat="1" ht="21" customHeight="1">
      <c r="A491" s="724"/>
      <c r="B491" s="742" t="s">
        <v>6119</v>
      </c>
      <c r="C491" s="757" t="s">
        <v>6120</v>
      </c>
      <c r="D491" s="726" t="str">
        <f>SUBSTITUTE(CONCATENATE(B:B,C:C,E:E)," ","")</f>
        <v>M-BAR50*20*0.8Tm</v>
      </c>
      <c r="E491" s="724" t="s">
        <v>6121</v>
      </c>
      <c r="F491" s="727">
        <v>3.3</v>
      </c>
      <c r="G491" s="728">
        <f>IF($E:$E="인",0,VLOOKUP($D:$D,[140]일위목록!$A:$H,6,FALSE))</f>
        <v>3500</v>
      </c>
      <c r="H491" s="728">
        <f t="shared" si="60"/>
        <v>11550</v>
      </c>
      <c r="I491" s="728">
        <f>IF($E:$E="인",VLOOKUP($B:$B,[140]노임!$B:$H,6,FALSE),VLOOKUP($D:$D,[140]일위목록!$A:$H,7,FALSE))</f>
        <v>0</v>
      </c>
      <c r="J491" s="728">
        <f t="shared" si="61"/>
        <v>0</v>
      </c>
      <c r="K491" s="728">
        <f t="shared" si="62"/>
        <v>11550</v>
      </c>
      <c r="L491" s="724" t="str">
        <f>IF($E:$E="인",VLOOKUP($B:$B,[140]단가!$B:$E,3,FALSE),VLOOKUP($D:$D,[140]일위목록!$A:$H,2,FALSE))</f>
        <v>단가-74번</v>
      </c>
      <c r="M491" s="717"/>
    </row>
    <row r="492" spans="1:13" s="718" customFormat="1" ht="21" customHeight="1">
      <c r="A492" s="724"/>
      <c r="B492" s="746" t="s">
        <v>6122</v>
      </c>
      <c r="C492" s="726"/>
      <c r="D492" s="726" t="str">
        <f>SUBSTITUTE(CONCATENATE(B:B,C:C,E:E)," ","")</f>
        <v>내장공인</v>
      </c>
      <c r="E492" s="724" t="s">
        <v>5862</v>
      </c>
      <c r="F492" s="755">
        <v>3.3000000000000002E-2</v>
      </c>
      <c r="G492" s="728">
        <f>IF($E:$E="인",0,VLOOKUP($D:$D,[140]일위목록!$A:$H,6,FALSE))</f>
        <v>0</v>
      </c>
      <c r="H492" s="728">
        <f t="shared" si="60"/>
        <v>0</v>
      </c>
      <c r="I492" s="728">
        <f>IF($E:$E="인",VLOOKUP($B:$B,[140]노임!$B:$H,6,FALSE),VLOOKUP($D:$D,[140]일위목록!$A:$H,7,FALSE))</f>
        <v>189600</v>
      </c>
      <c r="J492" s="728">
        <f t="shared" si="61"/>
        <v>6256</v>
      </c>
      <c r="K492" s="728">
        <f t="shared" si="62"/>
        <v>6256</v>
      </c>
      <c r="L492" s="724" t="str">
        <f>IF($E:$E="인",VLOOKUP($B:$B,[140]노임!$B:$D,3,FALSE),VLOOKUP($D:$D,[140]일위목록!$A:$H,2,FALSE))</f>
        <v>건설노임-1030</v>
      </c>
      <c r="M492" s="717"/>
    </row>
    <row r="493" spans="1:13" s="718" customFormat="1" ht="21" customHeight="1">
      <c r="A493" s="724"/>
      <c r="B493" s="754" t="s">
        <v>5877</v>
      </c>
      <c r="C493" s="726"/>
      <c r="D493" s="726" t="str">
        <f>SUBSTITUTE(CONCATENATE(B:B,C:C,E:E)," ","")</f>
        <v>보통인부인</v>
      </c>
      <c r="E493" s="724" t="s">
        <v>5862</v>
      </c>
      <c r="F493" s="755">
        <v>1.6E-2</v>
      </c>
      <c r="G493" s="728">
        <f>IF($E:$E="인",0,VLOOKUP($D:$D,[140]일위목록!$A:$H,6,FALSE))</f>
        <v>0</v>
      </c>
      <c r="H493" s="728">
        <f t="shared" si="60"/>
        <v>0</v>
      </c>
      <c r="I493" s="728">
        <f>IF($E:$E="인",VLOOKUP($B:$B,[140]노임!$B:$H,6,FALSE),VLOOKUP($D:$D,[140]일위목록!$A:$H,7,FALSE))</f>
        <v>125427</v>
      </c>
      <c r="J493" s="728">
        <f t="shared" si="61"/>
        <v>2006</v>
      </c>
      <c r="K493" s="728">
        <f t="shared" si="62"/>
        <v>2006</v>
      </c>
      <c r="L493" s="724" t="str">
        <f>IF($E:$E="인",VLOOKUP($B:$B,[140]노임!$B:$D,3,FALSE),VLOOKUP($D:$D,[140]일위목록!$A:$H,2,FALSE))</f>
        <v>건설노임-1002</v>
      </c>
      <c r="M493" s="717"/>
    </row>
    <row r="494" spans="1:13" s="718" customFormat="1" ht="21" customHeight="1">
      <c r="A494" s="724"/>
      <c r="B494" s="731" t="s">
        <v>5863</v>
      </c>
      <c r="C494" s="726"/>
      <c r="D494" s="726"/>
      <c r="E494" s="724" t="s">
        <v>5862</v>
      </c>
      <c r="F494" s="727">
        <v>0.05</v>
      </c>
      <c r="G494" s="728">
        <f>IF($E:$E="인",0,VLOOKUP($D:$D,[140]일위목록!$A:$H,6,FALSE))</f>
        <v>0</v>
      </c>
      <c r="H494" s="728">
        <f t="shared" si="60"/>
        <v>0</v>
      </c>
      <c r="I494" s="728">
        <f>IF($E:$E="인",VLOOKUP($B:$B,[140]노임!$B:$H,6,FALSE),VLOOKUP($D:$D,[140]일위목록!$A:$H,7,FALSE))</f>
        <v>198711</v>
      </c>
      <c r="J494" s="728">
        <f t="shared" si="61"/>
        <v>9935</v>
      </c>
      <c r="K494" s="728">
        <f t="shared" si="62"/>
        <v>9935</v>
      </c>
      <c r="L494" s="724" t="str">
        <f>IF($E:$E="인",VLOOKUP($B:$B,[140]노임!$B:$D,3,FALSE),VLOOKUP($D:$D,[140]일위목록!$A:$H,2,FALSE))</f>
        <v>건설노임-1012</v>
      </c>
      <c r="M494" s="717"/>
    </row>
    <row r="495" spans="1:13" s="718" customFormat="1" ht="21" customHeight="1">
      <c r="A495" s="724"/>
      <c r="B495" s="725" t="s">
        <v>5865</v>
      </c>
      <c r="C495" s="726" t="s">
        <v>6123</v>
      </c>
      <c r="D495" s="726" t="str">
        <f>SUBSTITUTE(CONCATENATE(B:B,C:C,E:E)," ","")</f>
        <v>기구손료인건비의1%식</v>
      </c>
      <c r="E495" s="724" t="s">
        <v>5998</v>
      </c>
      <c r="F495" s="727">
        <v>1</v>
      </c>
      <c r="G495" s="728">
        <f>TRUNC(J496*1%)</f>
        <v>181</v>
      </c>
      <c r="H495" s="728">
        <f t="shared" si="60"/>
        <v>181</v>
      </c>
      <c r="I495" s="728">
        <f>IF($E:$E="인",VLOOKUP($B:$B,[142]건설노임!$B:$F,2,FALSE),0)</f>
        <v>0</v>
      </c>
      <c r="J495" s="728">
        <f t="shared" si="61"/>
        <v>0</v>
      </c>
      <c r="K495" s="728">
        <f t="shared" si="62"/>
        <v>181</v>
      </c>
      <c r="L495" s="724"/>
      <c r="M495" s="717"/>
    </row>
    <row r="496" spans="1:13" s="718" customFormat="1" ht="21" customHeight="1">
      <c r="A496" s="724"/>
      <c r="B496" s="725" t="s">
        <v>5901</v>
      </c>
      <c r="C496" s="726"/>
      <c r="D496" s="726" t="str">
        <f>L:L</f>
        <v>제70호표</v>
      </c>
      <c r="E496" s="724"/>
      <c r="F496" s="727"/>
      <c r="G496" s="728"/>
      <c r="H496" s="728">
        <f>SUM(H489:H495)</f>
        <v>14510</v>
      </c>
      <c r="I496" s="728"/>
      <c r="J496" s="728">
        <f>SUM(J489:J495)</f>
        <v>18197</v>
      </c>
      <c r="K496" s="728">
        <f>SUM(K489:K495)</f>
        <v>32707</v>
      </c>
      <c r="L496" s="724" t="str">
        <f>A487</f>
        <v>제70호표</v>
      </c>
      <c r="M496" s="717"/>
    </row>
    <row r="497" spans="1:13" s="718" customFormat="1" ht="21" customHeight="1">
      <c r="A497" s="724"/>
      <c r="B497" s="759"/>
      <c r="C497" s="726"/>
      <c r="D497" s="726"/>
      <c r="E497" s="724"/>
      <c r="F497" s="727"/>
      <c r="G497" s="728"/>
      <c r="H497" s="728"/>
      <c r="I497" s="728"/>
      <c r="J497" s="728"/>
      <c r="K497" s="728"/>
      <c r="L497" s="724"/>
      <c r="M497" s="717"/>
    </row>
    <row r="498" spans="1:13" s="718" customFormat="1" ht="21" customHeight="1">
      <c r="A498" s="724"/>
      <c r="B498" s="759"/>
      <c r="C498" s="726"/>
      <c r="D498" s="726"/>
      <c r="E498" s="724"/>
      <c r="F498" s="727"/>
      <c r="G498" s="728"/>
      <c r="H498" s="728"/>
      <c r="I498" s="728"/>
      <c r="J498" s="728"/>
      <c r="K498" s="728"/>
      <c r="L498" s="724"/>
      <c r="M498" s="717"/>
    </row>
    <row r="499" spans="1:13" s="718" customFormat="1" ht="21" customHeight="1">
      <c r="A499" s="724" t="str">
        <f>"제"&amp;M499&amp;"호표"</f>
        <v>제71호표</v>
      </c>
      <c r="B499" s="760" t="s">
        <v>6130</v>
      </c>
      <c r="C499" s="726"/>
      <c r="D499" s="726"/>
      <c r="E499" s="761" t="s">
        <v>6131</v>
      </c>
      <c r="F499" s="727"/>
      <c r="G499" s="728"/>
      <c r="H499" s="728"/>
      <c r="I499" s="728"/>
      <c r="J499" s="728"/>
      <c r="K499" s="728"/>
      <c r="L499" s="724"/>
      <c r="M499" s="729">
        <f>M487+1</f>
        <v>71</v>
      </c>
    </row>
    <row r="500" spans="1:13" s="718" customFormat="1" ht="21" customHeight="1">
      <c r="A500" s="724"/>
      <c r="B500" s="725"/>
      <c r="C500" s="726"/>
      <c r="D500" s="726"/>
      <c r="E500" s="724"/>
      <c r="F500" s="727"/>
      <c r="G500" s="728"/>
      <c r="H500" s="728"/>
      <c r="I500" s="728"/>
      <c r="J500" s="728"/>
      <c r="K500" s="728"/>
      <c r="L500" s="724"/>
      <c r="M500" s="717"/>
    </row>
    <row r="501" spans="1:13" s="718" customFormat="1" ht="21" customHeight="1">
      <c r="A501" s="724"/>
      <c r="B501" s="762" t="s">
        <v>6021</v>
      </c>
      <c r="C501" s="763"/>
      <c r="D501" s="726" t="str">
        <f>SUBSTITUTE(CONCATENATE(B:B,C:C,E:E)," ","")</f>
        <v>건축목공인</v>
      </c>
      <c r="E501" s="764" t="s">
        <v>6132</v>
      </c>
      <c r="F501" s="765">
        <v>2.9000000000000001E-2</v>
      </c>
      <c r="G501" s="728">
        <f>IF($E:$E="인",0,VLOOKUP($D:$D,[140]일위목록!$A:$H,6,FALSE))</f>
        <v>0</v>
      </c>
      <c r="H501" s="728">
        <f>TRUNC($F:$F*G:G)</f>
        <v>0</v>
      </c>
      <c r="I501" s="728">
        <f>IF($E:$E="인",VLOOKUP($B:$B,[140]노임!$B:$H,6,FALSE),VLOOKUP($D:$D,[140]일위목록!$A:$H,7,FALSE))</f>
        <v>200925</v>
      </c>
      <c r="J501" s="728">
        <f>TRUNC($F:$F*I:I)</f>
        <v>5826</v>
      </c>
      <c r="K501" s="728">
        <f t="shared" ref="K501" si="63">H501+J501</f>
        <v>5826</v>
      </c>
      <c r="L501" s="724" t="str">
        <f>IF($E:$E="인",VLOOKUP($B:$B,[140]노임!$B:$D,3,FALSE),VLOOKUP($D:$D,[140]일위목록!$A:$H,2,FALSE))</f>
        <v>건설노임-1023</v>
      </c>
      <c r="M501" s="717"/>
    </row>
    <row r="502" spans="1:13" s="718" customFormat="1" ht="21" customHeight="1">
      <c r="A502" s="724"/>
      <c r="B502" s="762"/>
      <c r="C502" s="763"/>
      <c r="D502" s="726"/>
      <c r="E502" s="764"/>
      <c r="F502" s="766"/>
      <c r="G502" s="728"/>
      <c r="H502" s="728"/>
      <c r="I502" s="728"/>
      <c r="J502" s="728"/>
      <c r="K502" s="728"/>
      <c r="L502" s="724"/>
      <c r="M502" s="717"/>
    </row>
    <row r="503" spans="1:13" s="718" customFormat="1" ht="21" customHeight="1">
      <c r="A503" s="724"/>
      <c r="B503" s="731" t="s">
        <v>6133</v>
      </c>
      <c r="C503" s="763"/>
      <c r="D503" s="726"/>
      <c r="E503" s="764"/>
      <c r="F503" s="766"/>
      <c r="G503" s="728"/>
      <c r="H503" s="728"/>
      <c r="I503" s="728"/>
      <c r="J503" s="728"/>
      <c r="K503" s="728"/>
      <c r="L503" s="724"/>
      <c r="M503" s="717"/>
    </row>
    <row r="504" spans="1:13" s="718" customFormat="1" ht="21" customHeight="1">
      <c r="A504" s="724"/>
      <c r="B504" s="725" t="s">
        <v>5901</v>
      </c>
      <c r="C504" s="726"/>
      <c r="D504" s="726" t="str">
        <f>L:L</f>
        <v>제71호표</v>
      </c>
      <c r="E504" s="724"/>
      <c r="F504" s="727"/>
      <c r="G504" s="728"/>
      <c r="H504" s="728">
        <f>SUM(H501:H503)</f>
        <v>0</v>
      </c>
      <c r="I504" s="728"/>
      <c r="J504" s="728">
        <f>SUM(J501:J503)</f>
        <v>5826</v>
      </c>
      <c r="K504" s="728">
        <f>SUM(K501:K503)</f>
        <v>5826</v>
      </c>
      <c r="L504" s="724" t="str">
        <f>A499</f>
        <v>제71호표</v>
      </c>
      <c r="M504" s="767"/>
    </row>
    <row r="505" spans="1:13" s="718" customFormat="1" ht="21" customHeight="1">
      <c r="A505" s="724"/>
      <c r="B505" s="725"/>
      <c r="C505" s="726"/>
      <c r="D505" s="726"/>
      <c r="E505" s="724"/>
      <c r="F505" s="727"/>
      <c r="G505" s="728"/>
      <c r="H505" s="728"/>
      <c r="I505" s="728"/>
      <c r="J505" s="728"/>
      <c r="K505" s="728"/>
      <c r="L505" s="724"/>
      <c r="M505" s="768"/>
    </row>
    <row r="506" spans="1:13" s="718" customFormat="1" ht="21" customHeight="1">
      <c r="A506" s="724"/>
      <c r="B506" s="725"/>
      <c r="C506" s="726"/>
      <c r="D506" s="726"/>
      <c r="E506" s="724"/>
      <c r="F506" s="727"/>
      <c r="G506" s="728"/>
      <c r="H506" s="728"/>
      <c r="I506" s="728"/>
      <c r="J506" s="728"/>
      <c r="K506" s="728"/>
      <c r="L506" s="724"/>
      <c r="M506" s="768"/>
    </row>
    <row r="507" spans="1:13" s="718" customFormat="1" ht="21" customHeight="1">
      <c r="A507" s="724" t="str">
        <f>"제"&amp;M507&amp;"호표"</f>
        <v>제72호표</v>
      </c>
      <c r="B507" s="745" t="s">
        <v>6134</v>
      </c>
      <c r="C507" s="745" t="s">
        <v>6135</v>
      </c>
      <c r="D507" s="726"/>
      <c r="E507" s="742" t="s">
        <v>59</v>
      </c>
      <c r="F507" s="727"/>
      <c r="G507" s="728"/>
      <c r="H507" s="728"/>
      <c r="I507" s="728"/>
      <c r="J507" s="728"/>
      <c r="K507" s="728"/>
      <c r="L507" s="724"/>
      <c r="M507" s="729">
        <f>M499+1</f>
        <v>72</v>
      </c>
    </row>
    <row r="508" spans="1:13" s="718" customFormat="1" ht="21" customHeight="1">
      <c r="A508" s="724"/>
      <c r="B508" s="725"/>
      <c r="C508" s="726"/>
      <c r="D508" s="726"/>
      <c r="E508" s="724"/>
      <c r="F508" s="727"/>
      <c r="G508" s="728"/>
      <c r="H508" s="728"/>
      <c r="I508" s="728"/>
      <c r="J508" s="728"/>
      <c r="K508" s="728"/>
      <c r="L508" s="724"/>
      <c r="M508" s="717"/>
    </row>
    <row r="509" spans="1:13" s="718" customFormat="1" ht="21" customHeight="1">
      <c r="A509" s="724"/>
      <c r="B509" s="769" t="s">
        <v>6116</v>
      </c>
      <c r="C509" s="770" t="s">
        <v>6117</v>
      </c>
      <c r="D509" s="726" t="str">
        <f t="shared" ref="D509:D515" si="64">SUBSTITUTE(CONCATENATE(B:B,C:C,E:E)," ","")</f>
        <v>석고보드T9.5mm*900*1,800M2</v>
      </c>
      <c r="E509" s="771" t="s">
        <v>59</v>
      </c>
      <c r="F509" s="741">
        <v>2.2000000000000002</v>
      </c>
      <c r="G509" s="728">
        <f>IF($E:$E="인",0,VLOOKUP($D:$D,[140]일위목록!$A:$H,6,FALSE))</f>
        <v>2407</v>
      </c>
      <c r="H509" s="728">
        <f t="shared" ref="H509:H515" si="65">TRUNC($F:$F*G:G)</f>
        <v>5295</v>
      </c>
      <c r="I509" s="728">
        <f>IF($E:$E="인",VLOOKUP($B:$B,[140]노임!$B:$H,6,FALSE),VLOOKUP($D:$D,[140]일위목록!$A:$H,7,FALSE))</f>
        <v>0</v>
      </c>
      <c r="J509" s="728">
        <f t="shared" ref="J509:J514" si="66">TRUNC($F:$F*I:I)</f>
        <v>0</v>
      </c>
      <c r="K509" s="728">
        <f t="shared" ref="K509:K515" si="67">H509+J509</f>
        <v>5295</v>
      </c>
      <c r="L509" s="724" t="str">
        <f>IF($E:$E="인",VLOOKUP($B:$B,[140]단가!$B:$E,3,FALSE),VLOOKUP($D:$D,[140]일위목록!$A:$H,2,FALSE))</f>
        <v>단가-46번</v>
      </c>
      <c r="M509" s="717"/>
    </row>
    <row r="510" spans="1:13" s="718" customFormat="1" ht="21" customHeight="1">
      <c r="A510" s="724"/>
      <c r="B510" s="772" t="s">
        <v>6136</v>
      </c>
      <c r="C510" s="773" t="s">
        <v>6137</v>
      </c>
      <c r="D510" s="726" t="str">
        <f t="shared" si="64"/>
        <v>집성스크류#825mmEA</v>
      </c>
      <c r="E510" s="774" t="s">
        <v>321</v>
      </c>
      <c r="F510" s="727">
        <v>42.33</v>
      </c>
      <c r="G510" s="728">
        <f>IF($E:$E="인",0,VLOOKUP($D:$D,[140]일위목록!$A:$H,6,FALSE))</f>
        <v>12</v>
      </c>
      <c r="H510" s="728">
        <f t="shared" si="65"/>
        <v>507</v>
      </c>
      <c r="I510" s="728">
        <f>IF($E:$E="인",VLOOKUP($B:$B,[140]노임!$B:$H,6,FALSE),VLOOKUP($D:$D,[140]일위목록!$A:$H,7,FALSE))</f>
        <v>0</v>
      </c>
      <c r="J510" s="728">
        <f t="shared" si="66"/>
        <v>0</v>
      </c>
      <c r="K510" s="728">
        <f t="shared" si="67"/>
        <v>507</v>
      </c>
      <c r="L510" s="724" t="str">
        <f>IF($E:$E="인",VLOOKUP($B:$B,[140]단가!$B:$E,3,FALSE),VLOOKUP($D:$D,[140]일위목록!$A:$H,2,FALSE))</f>
        <v>단가-16번</v>
      </c>
      <c r="M510" s="717"/>
    </row>
    <row r="511" spans="1:13" s="718" customFormat="1" ht="21" customHeight="1">
      <c r="A511" s="724"/>
      <c r="B511" s="772" t="s">
        <v>6016</v>
      </c>
      <c r="C511" s="773" t="s">
        <v>6138</v>
      </c>
      <c r="D511" s="726" t="str">
        <f t="shared" si="64"/>
        <v>일반용철못N75Kg</v>
      </c>
      <c r="E511" s="774" t="s">
        <v>6018</v>
      </c>
      <c r="F511" s="727">
        <v>3.5000000000000003E-2</v>
      </c>
      <c r="G511" s="728">
        <f>IF($E:$E="인",0,VLOOKUP($D:$D,[140]일위목록!$A:$H,6,FALSE))</f>
        <v>1375</v>
      </c>
      <c r="H511" s="728">
        <f t="shared" si="65"/>
        <v>48</v>
      </c>
      <c r="I511" s="728">
        <f>IF($E:$E="인",VLOOKUP($B:$B,[140]노임!$B:$H,6,FALSE),VLOOKUP($D:$D,[140]일위목록!$A:$H,7,FALSE))</f>
        <v>0</v>
      </c>
      <c r="J511" s="728">
        <f t="shared" si="66"/>
        <v>0</v>
      </c>
      <c r="K511" s="728">
        <f t="shared" si="67"/>
        <v>48</v>
      </c>
      <c r="L511" s="724" t="str">
        <f>IF($E:$E="인",VLOOKUP($B:$B,[140]단가!$B:$E,3,FALSE),VLOOKUP($D:$D,[140]일위목록!$A:$H,2,FALSE))</f>
        <v>단가-12번</v>
      </c>
      <c r="M511" s="717"/>
    </row>
    <row r="512" spans="1:13" s="718" customFormat="1" ht="21" customHeight="1">
      <c r="A512" s="724"/>
      <c r="B512" s="725" t="s">
        <v>6019</v>
      </c>
      <c r="C512" s="725">
        <v>205</v>
      </c>
      <c r="D512" s="726" t="str">
        <f t="shared" si="64"/>
        <v>목공용접착제205kg</v>
      </c>
      <c r="E512" s="724" t="s">
        <v>6020</v>
      </c>
      <c r="F512" s="727">
        <v>0.27</v>
      </c>
      <c r="G512" s="728">
        <f>IF($E:$E="인",0,VLOOKUP($D:$D,[140]일위목록!$A:$H,6,FALSE))</f>
        <v>3529</v>
      </c>
      <c r="H512" s="728">
        <f t="shared" si="65"/>
        <v>952</v>
      </c>
      <c r="I512" s="728">
        <f>IF($E:$E="인",VLOOKUP($B:$B,[140]노임!$B:$H,6,FALSE),VLOOKUP($D:$D,[140]일위목록!$A:$H,7,FALSE))</f>
        <v>0</v>
      </c>
      <c r="J512" s="728">
        <f t="shared" si="66"/>
        <v>0</v>
      </c>
      <c r="K512" s="728">
        <f t="shared" si="67"/>
        <v>952</v>
      </c>
      <c r="L512" s="724" t="str">
        <f>IF($E:$E="인",VLOOKUP($B:$B,[140]단가!$B:$E,3,FALSE),VLOOKUP($D:$D,[140]일위목록!$A:$H,2,FALSE))</f>
        <v>단가-56번</v>
      </c>
      <c r="M512" s="717"/>
    </row>
    <row r="513" spans="1:13" s="718" customFormat="1" ht="21" customHeight="1">
      <c r="A513" s="724"/>
      <c r="B513" s="746" t="s">
        <v>6122</v>
      </c>
      <c r="C513" s="726"/>
      <c r="D513" s="726" t="str">
        <f t="shared" si="64"/>
        <v>내장공인</v>
      </c>
      <c r="E513" s="724" t="s">
        <v>5862</v>
      </c>
      <c r="F513" s="765">
        <v>5.9799999999999999E-2</v>
      </c>
      <c r="G513" s="728">
        <f>IF($E:$E="인",0,VLOOKUP($D:$D,[140]일위목록!$A:$H,6,FALSE))</f>
        <v>0</v>
      </c>
      <c r="H513" s="728">
        <f t="shared" si="65"/>
        <v>0</v>
      </c>
      <c r="I513" s="728">
        <f>IF($E:$E="인",VLOOKUP($B:$B,[140]노임!$B:$H,6,FALSE),VLOOKUP($D:$D,[140]일위목록!$A:$H,7,FALSE))</f>
        <v>189600</v>
      </c>
      <c r="J513" s="728">
        <f t="shared" si="66"/>
        <v>11338</v>
      </c>
      <c r="K513" s="728">
        <f t="shared" si="67"/>
        <v>11338</v>
      </c>
      <c r="L513" s="724" t="str">
        <f>IF($E:$E="인",VLOOKUP($B:$B,[140]노임!$B:$D,3,FALSE),VLOOKUP($D:$D,[140]일위목록!$A:$H,2,FALSE))</f>
        <v>건설노임-1030</v>
      </c>
      <c r="M513" s="717"/>
    </row>
    <row r="514" spans="1:13" s="718" customFormat="1" ht="21" customHeight="1">
      <c r="A514" s="724"/>
      <c r="B514" s="754" t="s">
        <v>5877</v>
      </c>
      <c r="C514" s="726"/>
      <c r="D514" s="726" t="str">
        <f t="shared" si="64"/>
        <v>보통인부인</v>
      </c>
      <c r="E514" s="724" t="s">
        <v>5862</v>
      </c>
      <c r="F514" s="765">
        <v>2.9899999999999999E-2</v>
      </c>
      <c r="G514" s="728">
        <f>IF($E:$E="인",0,VLOOKUP($D:$D,[140]일위목록!$A:$H,6,FALSE))</f>
        <v>0</v>
      </c>
      <c r="H514" s="728">
        <f t="shared" si="65"/>
        <v>0</v>
      </c>
      <c r="I514" s="728">
        <f>IF($E:$E="인",VLOOKUP($B:$B,[140]노임!$B:$H,6,FALSE),VLOOKUP($D:$D,[140]일위목록!$A:$H,7,FALSE))</f>
        <v>125427</v>
      </c>
      <c r="J514" s="728">
        <f t="shared" si="66"/>
        <v>3750</v>
      </c>
      <c r="K514" s="728">
        <f t="shared" si="67"/>
        <v>3750</v>
      </c>
      <c r="L514" s="724" t="str">
        <f>IF($E:$E="인",VLOOKUP($B:$B,[140]노임!$B:$D,3,FALSE),VLOOKUP($D:$D,[140]일위목록!$A:$H,2,FALSE))</f>
        <v>건설노임-1002</v>
      </c>
      <c r="M514" s="717"/>
    </row>
    <row r="515" spans="1:13" s="718" customFormat="1" ht="21" customHeight="1">
      <c r="A515" s="724"/>
      <c r="B515" s="769" t="s">
        <v>6139</v>
      </c>
      <c r="C515" s="770" t="s">
        <v>6140</v>
      </c>
      <c r="D515" s="726" t="str">
        <f t="shared" si="64"/>
        <v>기구손료노무비의1%식</v>
      </c>
      <c r="E515" s="775" t="s">
        <v>5867</v>
      </c>
      <c r="F515" s="741">
        <v>1</v>
      </c>
      <c r="G515" s="776">
        <f>TRUNC(J516*1%)</f>
        <v>150</v>
      </c>
      <c r="H515" s="728">
        <f t="shared" si="65"/>
        <v>150</v>
      </c>
      <c r="I515" s="728"/>
      <c r="J515" s="728"/>
      <c r="K515" s="728">
        <f t="shared" si="67"/>
        <v>150</v>
      </c>
      <c r="L515" s="724"/>
      <c r="M515" s="717"/>
    </row>
    <row r="516" spans="1:13" s="718" customFormat="1" ht="21" customHeight="1">
      <c r="A516" s="724"/>
      <c r="B516" s="725" t="s">
        <v>5901</v>
      </c>
      <c r="C516" s="726"/>
      <c r="D516" s="726" t="str">
        <f>L:L</f>
        <v>제72호표</v>
      </c>
      <c r="E516" s="724"/>
      <c r="F516" s="727"/>
      <c r="G516" s="728"/>
      <c r="H516" s="728">
        <f>SUM(H509:H515)</f>
        <v>6952</v>
      </c>
      <c r="I516" s="728"/>
      <c r="J516" s="728">
        <f>SUM(J509:J515)</f>
        <v>15088</v>
      </c>
      <c r="K516" s="728">
        <f>SUM(K509:K515)</f>
        <v>22040</v>
      </c>
      <c r="L516" s="724" t="str">
        <f>A507</f>
        <v>제72호표</v>
      </c>
      <c r="M516" s="777"/>
    </row>
    <row r="517" spans="1:13" s="718" customFormat="1" ht="21" customHeight="1">
      <c r="A517" s="724"/>
      <c r="B517" s="725"/>
      <c r="C517" s="726"/>
      <c r="D517" s="726"/>
      <c r="E517" s="724"/>
      <c r="F517" s="727"/>
      <c r="G517" s="728"/>
      <c r="H517" s="728"/>
      <c r="I517" s="728"/>
      <c r="J517" s="728"/>
      <c r="K517" s="728"/>
      <c r="L517" s="724"/>
      <c r="M517" s="778"/>
    </row>
    <row r="518" spans="1:13" s="718" customFormat="1" ht="21" customHeight="1">
      <c r="A518" s="724"/>
      <c r="B518" s="725"/>
      <c r="C518" s="726"/>
      <c r="D518" s="726"/>
      <c r="E518" s="724"/>
      <c r="F518" s="727"/>
      <c r="G518" s="728"/>
      <c r="H518" s="728"/>
      <c r="I518" s="728"/>
      <c r="J518" s="728"/>
      <c r="K518" s="728"/>
      <c r="L518" s="724"/>
      <c r="M518" s="717"/>
    </row>
    <row r="519" spans="1:13" s="718" customFormat="1" ht="21" customHeight="1">
      <c r="A519" s="724" t="str">
        <f>"제"&amp;M519&amp;"호표"</f>
        <v>제73호표</v>
      </c>
      <c r="B519" s="745" t="s">
        <v>6134</v>
      </c>
      <c r="C519" s="745" t="s">
        <v>6141</v>
      </c>
      <c r="D519" s="726"/>
      <c r="E519" s="742" t="s">
        <v>59</v>
      </c>
      <c r="F519" s="727"/>
      <c r="G519" s="728"/>
      <c r="H519" s="728"/>
      <c r="I519" s="728"/>
      <c r="J519" s="728"/>
      <c r="K519" s="728"/>
      <c r="L519" s="724"/>
      <c r="M519" s="729">
        <f>M507+1</f>
        <v>73</v>
      </c>
    </row>
    <row r="520" spans="1:13" s="718" customFormat="1" ht="21" customHeight="1">
      <c r="A520" s="724"/>
      <c r="B520" s="725"/>
      <c r="C520" s="726"/>
      <c r="D520" s="726"/>
      <c r="E520" s="724"/>
      <c r="F520" s="727"/>
      <c r="G520" s="728"/>
      <c r="H520" s="728"/>
      <c r="I520" s="728"/>
      <c r="J520" s="728"/>
      <c r="K520" s="728"/>
      <c r="L520" s="724"/>
      <c r="M520" s="717"/>
    </row>
    <row r="521" spans="1:13" s="718" customFormat="1" ht="21" customHeight="1">
      <c r="A521" s="724"/>
      <c r="B521" s="769" t="s">
        <v>6116</v>
      </c>
      <c r="C521" s="770" t="s">
        <v>6117</v>
      </c>
      <c r="D521" s="726" t="s">
        <v>6142</v>
      </c>
      <c r="E521" s="771" t="s">
        <v>59</v>
      </c>
      <c r="F521" s="741">
        <v>2.2000000000000002</v>
      </c>
      <c r="G521" s="728">
        <f>IF($E:$E="인",0,VLOOKUP($D:$D,[140]일위목록!$A:$H,6,FALSE))</f>
        <v>2407</v>
      </c>
      <c r="H521" s="728">
        <f t="shared" ref="H521:H527" si="68">TRUNC($F:$F*G:G)</f>
        <v>5295</v>
      </c>
      <c r="I521" s="728">
        <f>IF($E:$E="인",VLOOKUP($B:$B,[140]노임!$B:$H,6,FALSE),VLOOKUP($D:$D,[140]일위목록!$A:$H,7,FALSE))</f>
        <v>0</v>
      </c>
      <c r="J521" s="728">
        <f t="shared" ref="J521:J526" si="69">TRUNC($F:$F*I:I)</f>
        <v>0</v>
      </c>
      <c r="K521" s="728">
        <f t="shared" ref="K521:K527" si="70">H521+J521</f>
        <v>5295</v>
      </c>
      <c r="L521" s="724" t="str">
        <f>IF($E:$E="인",VLOOKUP($B:$B,[140]단가!$B:$E,3,FALSE),VLOOKUP($D:$D,[140]일위목록!$A:$H,2,FALSE))</f>
        <v>단가-46번</v>
      </c>
      <c r="M521" s="717"/>
    </row>
    <row r="522" spans="1:13" s="718" customFormat="1" ht="21" customHeight="1">
      <c r="A522" s="724"/>
      <c r="B522" s="772" t="s">
        <v>6136</v>
      </c>
      <c r="C522" s="773" t="s">
        <v>6137</v>
      </c>
      <c r="D522" s="726" t="str">
        <f t="shared" ref="D522:D527" si="71">SUBSTITUTE(CONCATENATE(B:B,C:C,E:E)," ","")</f>
        <v>집성스크류#825mmEA</v>
      </c>
      <c r="E522" s="774" t="s">
        <v>321</v>
      </c>
      <c r="F522" s="727">
        <v>42.33</v>
      </c>
      <c r="G522" s="728">
        <f>IF($E:$E="인",0,VLOOKUP($D:$D,[140]일위목록!$A:$H,6,FALSE))</f>
        <v>12</v>
      </c>
      <c r="H522" s="728">
        <f t="shared" si="68"/>
        <v>507</v>
      </c>
      <c r="I522" s="728">
        <f>IF($E:$E="인",VLOOKUP($B:$B,[140]노임!$B:$H,6,FALSE),VLOOKUP($D:$D,[140]일위목록!$A:$H,7,FALSE))</f>
        <v>0</v>
      </c>
      <c r="J522" s="728">
        <f t="shared" si="69"/>
        <v>0</v>
      </c>
      <c r="K522" s="728">
        <f t="shared" si="70"/>
        <v>507</v>
      </c>
      <c r="L522" s="724" t="str">
        <f>IF($E:$E="인",VLOOKUP($B:$B,[140]단가!$B:$E,3,FALSE),VLOOKUP($D:$D,[140]일위목록!$A:$H,2,FALSE))</f>
        <v>단가-16번</v>
      </c>
      <c r="M522" s="717"/>
    </row>
    <row r="523" spans="1:13" s="718" customFormat="1" ht="21" customHeight="1">
      <c r="A523" s="724"/>
      <c r="B523" s="772" t="s">
        <v>6016</v>
      </c>
      <c r="C523" s="773" t="s">
        <v>6138</v>
      </c>
      <c r="D523" s="726" t="str">
        <f t="shared" si="71"/>
        <v>일반용철못N75Kg</v>
      </c>
      <c r="E523" s="774" t="s">
        <v>6018</v>
      </c>
      <c r="F523" s="727">
        <v>3.5000000000000003E-2</v>
      </c>
      <c r="G523" s="728">
        <f>IF($E:$E="인",0,VLOOKUP($D:$D,[140]일위목록!$A:$H,6,FALSE))</f>
        <v>1375</v>
      </c>
      <c r="H523" s="728">
        <f t="shared" si="68"/>
        <v>48</v>
      </c>
      <c r="I523" s="728">
        <f>IF($E:$E="인",VLOOKUP($B:$B,[140]노임!$B:$H,6,FALSE),VLOOKUP($D:$D,[140]일위목록!$A:$H,7,FALSE))</f>
        <v>0</v>
      </c>
      <c r="J523" s="728">
        <f t="shared" si="69"/>
        <v>0</v>
      </c>
      <c r="K523" s="728">
        <f t="shared" si="70"/>
        <v>48</v>
      </c>
      <c r="L523" s="724" t="str">
        <f>IF($E:$E="인",VLOOKUP($B:$B,[140]단가!$B:$E,3,FALSE),VLOOKUP($D:$D,[140]일위목록!$A:$H,2,FALSE))</f>
        <v>단가-12번</v>
      </c>
      <c r="M523" s="717"/>
    </row>
    <row r="524" spans="1:13" s="718" customFormat="1" ht="21" customHeight="1">
      <c r="A524" s="724"/>
      <c r="B524" s="725" t="s">
        <v>6019</v>
      </c>
      <c r="C524" s="725">
        <v>205</v>
      </c>
      <c r="D524" s="726" t="str">
        <f t="shared" si="71"/>
        <v>목공용접착제205kg</v>
      </c>
      <c r="E524" s="724" t="s">
        <v>6020</v>
      </c>
      <c r="F524" s="727">
        <v>0.27</v>
      </c>
      <c r="G524" s="728">
        <f>IF($E:$E="인",0,VLOOKUP($D:$D,[140]일위목록!$A:$H,6,FALSE))</f>
        <v>3529</v>
      </c>
      <c r="H524" s="728">
        <f t="shared" si="68"/>
        <v>952</v>
      </c>
      <c r="I524" s="728">
        <f>IF($E:$E="인",VLOOKUP($B:$B,[140]노임!$B:$H,6,FALSE),VLOOKUP($D:$D,[140]일위목록!$A:$H,7,FALSE))</f>
        <v>0</v>
      </c>
      <c r="J524" s="728">
        <f t="shared" si="69"/>
        <v>0</v>
      </c>
      <c r="K524" s="728">
        <f t="shared" si="70"/>
        <v>952</v>
      </c>
      <c r="L524" s="724" t="str">
        <f>IF($E:$E="인",VLOOKUP($B:$B,[140]단가!$B:$E,3,FALSE),VLOOKUP($D:$D,[140]일위목록!$A:$H,2,FALSE))</f>
        <v>단가-56번</v>
      </c>
      <c r="M524" s="717"/>
    </row>
    <row r="525" spans="1:13" s="718" customFormat="1" ht="21" customHeight="1">
      <c r="A525" s="724"/>
      <c r="B525" s="746" t="s">
        <v>6122</v>
      </c>
      <c r="C525" s="726"/>
      <c r="D525" s="726" t="str">
        <f t="shared" si="71"/>
        <v>내장공인</v>
      </c>
      <c r="E525" s="724" t="s">
        <v>5862</v>
      </c>
      <c r="F525" s="779">
        <v>4.5999999999999999E-2</v>
      </c>
      <c r="G525" s="728">
        <f>IF($E:$E="인",0,VLOOKUP($D:$D,[140]일위목록!$A:$H,6,FALSE))</f>
        <v>0</v>
      </c>
      <c r="H525" s="728">
        <f t="shared" si="68"/>
        <v>0</v>
      </c>
      <c r="I525" s="728">
        <f>IF($E:$E="인",VLOOKUP($B:$B,[140]노임!$B:$H,6,FALSE),VLOOKUP($D:$D,[140]일위목록!$A:$H,7,FALSE))</f>
        <v>189600</v>
      </c>
      <c r="J525" s="728">
        <f t="shared" si="69"/>
        <v>8721</v>
      </c>
      <c r="K525" s="728">
        <f t="shared" si="70"/>
        <v>8721</v>
      </c>
      <c r="L525" s="724" t="str">
        <f>IF($E:$E="인",VLOOKUP($B:$B,[140]노임!$B:$D,3,FALSE),VLOOKUP($D:$D,[140]일위목록!$A:$H,2,FALSE))</f>
        <v>건설노임-1030</v>
      </c>
      <c r="M525" s="717"/>
    </row>
    <row r="526" spans="1:13" s="718" customFormat="1" ht="21" customHeight="1">
      <c r="A526" s="724"/>
      <c r="B526" s="754" t="s">
        <v>5877</v>
      </c>
      <c r="C526" s="726"/>
      <c r="D526" s="726" t="str">
        <f t="shared" si="71"/>
        <v>보통인부인</v>
      </c>
      <c r="E526" s="724" t="s">
        <v>5862</v>
      </c>
      <c r="F526" s="779">
        <v>2.3E-2</v>
      </c>
      <c r="G526" s="728">
        <f>IF($E:$E="인",0,VLOOKUP($D:$D,[140]일위목록!$A:$H,6,FALSE))</f>
        <v>0</v>
      </c>
      <c r="H526" s="728">
        <f t="shared" si="68"/>
        <v>0</v>
      </c>
      <c r="I526" s="728">
        <f>IF($E:$E="인",VLOOKUP($B:$B,[140]노임!$B:$H,6,FALSE),VLOOKUP($D:$D,[140]일위목록!$A:$H,7,FALSE))</f>
        <v>125427</v>
      </c>
      <c r="J526" s="728">
        <f t="shared" si="69"/>
        <v>2884</v>
      </c>
      <c r="K526" s="728">
        <f t="shared" si="70"/>
        <v>2884</v>
      </c>
      <c r="L526" s="724" t="str">
        <f>IF($E:$E="인",VLOOKUP($B:$B,[140]노임!$B:$D,3,FALSE),VLOOKUP($D:$D,[140]일위목록!$A:$H,2,FALSE))</f>
        <v>건설노임-1002</v>
      </c>
      <c r="M526" s="717"/>
    </row>
    <row r="527" spans="1:13" s="718" customFormat="1" ht="21" customHeight="1">
      <c r="A527" s="724"/>
      <c r="B527" s="769" t="s">
        <v>6139</v>
      </c>
      <c r="C527" s="770" t="s">
        <v>6143</v>
      </c>
      <c r="D527" s="726" t="str">
        <f t="shared" si="71"/>
        <v>기구손료노무비의1%식</v>
      </c>
      <c r="E527" s="775" t="s">
        <v>5867</v>
      </c>
      <c r="F527" s="741">
        <v>1</v>
      </c>
      <c r="G527" s="776">
        <f>TRUNC(J528*1%)</f>
        <v>116</v>
      </c>
      <c r="H527" s="728">
        <f t="shared" si="68"/>
        <v>116</v>
      </c>
      <c r="I527" s="728"/>
      <c r="J527" s="728"/>
      <c r="K527" s="728">
        <f t="shared" si="70"/>
        <v>116</v>
      </c>
      <c r="L527" s="724"/>
      <c r="M527" s="717"/>
    </row>
    <row r="528" spans="1:13" s="718" customFormat="1" ht="21" customHeight="1">
      <c r="A528" s="724"/>
      <c r="B528" s="725" t="s">
        <v>5901</v>
      </c>
      <c r="C528" s="726"/>
      <c r="D528" s="726" t="str">
        <f>L:L</f>
        <v>제73호표</v>
      </c>
      <c r="E528" s="724"/>
      <c r="F528" s="727"/>
      <c r="G528" s="728"/>
      <c r="H528" s="728">
        <f>SUM(H521:H527)</f>
        <v>6918</v>
      </c>
      <c r="I528" s="728"/>
      <c r="J528" s="728">
        <f>SUM(J521:J527)</f>
        <v>11605</v>
      </c>
      <c r="K528" s="728">
        <f>SUM(K521:K527)</f>
        <v>18523</v>
      </c>
      <c r="L528" s="724" t="str">
        <f>A519</f>
        <v>제73호표</v>
      </c>
      <c r="M528" s="777"/>
    </row>
    <row r="529" spans="1:13" s="718" customFormat="1" ht="21" customHeight="1">
      <c r="A529" s="724"/>
      <c r="B529" s="725"/>
      <c r="C529" s="726"/>
      <c r="D529" s="726"/>
      <c r="E529" s="724"/>
      <c r="F529" s="727"/>
      <c r="G529" s="728"/>
      <c r="H529" s="728"/>
      <c r="I529" s="728"/>
      <c r="J529" s="728"/>
      <c r="K529" s="728"/>
      <c r="L529" s="724"/>
      <c r="M529" s="778"/>
    </row>
    <row r="530" spans="1:13" s="718" customFormat="1" ht="21" customHeight="1">
      <c r="A530" s="724"/>
      <c r="B530" s="725"/>
      <c r="C530" s="726"/>
      <c r="D530" s="726"/>
      <c r="E530" s="724"/>
      <c r="F530" s="727"/>
      <c r="G530" s="728"/>
      <c r="H530" s="728"/>
      <c r="I530" s="728"/>
      <c r="J530" s="728"/>
      <c r="K530" s="728"/>
      <c r="L530" s="724"/>
      <c r="M530" s="778"/>
    </row>
    <row r="531" spans="1:13" s="718" customFormat="1" ht="21" customHeight="1">
      <c r="A531" s="724" t="str">
        <f>"제"&amp;M531&amp;"호표"</f>
        <v>제74호표</v>
      </c>
      <c r="B531" s="745" t="s">
        <v>6144</v>
      </c>
      <c r="C531" s="745" t="s">
        <v>6145</v>
      </c>
      <c r="D531" s="726"/>
      <c r="E531" s="742" t="s">
        <v>59</v>
      </c>
      <c r="F531" s="727"/>
      <c r="G531" s="728"/>
      <c r="H531" s="728"/>
      <c r="I531" s="728"/>
      <c r="J531" s="728"/>
      <c r="K531" s="728"/>
      <c r="L531" s="724"/>
      <c r="M531" s="729">
        <f>M519+1</f>
        <v>74</v>
      </c>
    </row>
    <row r="532" spans="1:13" s="718" customFormat="1" ht="21" customHeight="1">
      <c r="A532" s="724"/>
      <c r="B532" s="725"/>
      <c r="C532" s="726"/>
      <c r="D532" s="726"/>
      <c r="E532" s="724"/>
      <c r="F532" s="727"/>
      <c r="G532" s="728"/>
      <c r="H532" s="728"/>
      <c r="I532" s="728"/>
      <c r="J532" s="728"/>
      <c r="K532" s="728"/>
      <c r="L532" s="724"/>
      <c r="M532" s="717"/>
    </row>
    <row r="533" spans="1:13" s="718" customFormat="1" ht="21" customHeight="1">
      <c r="A533" s="724"/>
      <c r="B533" s="769" t="s">
        <v>6116</v>
      </c>
      <c r="C533" s="770" t="s">
        <v>6117</v>
      </c>
      <c r="D533" s="726" t="s">
        <v>6142</v>
      </c>
      <c r="E533" s="771" t="s">
        <v>59</v>
      </c>
      <c r="F533" s="741">
        <v>1.1000000000000001</v>
      </c>
      <c r="G533" s="728">
        <f>IF($E:$E="인",0,VLOOKUP($D:$D,[140]일위목록!$A:$H,6,FALSE))</f>
        <v>2407</v>
      </c>
      <c r="H533" s="728">
        <f>TRUNC($F:$F*G:G)</f>
        <v>2647</v>
      </c>
      <c r="I533" s="728">
        <f>IF($E:$E="인",VLOOKUP($B:$B,[140]노임!$B:$H,6,FALSE),VLOOKUP($D:$D,[140]일위목록!$A:$H,7,FALSE))</f>
        <v>0</v>
      </c>
      <c r="J533" s="728">
        <f>TRUNC($F:$F*I:I)</f>
        <v>0</v>
      </c>
      <c r="K533" s="728">
        <f t="shared" ref="K533:K536" si="72">H533+J533</f>
        <v>2647</v>
      </c>
      <c r="L533" s="724" t="str">
        <f>IF($E:$E="인",VLOOKUP($B:$B,[140]단가!$B:$E,3,FALSE),VLOOKUP($D:$D,[140]일위목록!$A:$H,2,FALSE))</f>
        <v>단가-46번</v>
      </c>
      <c r="M533" s="717"/>
    </row>
    <row r="534" spans="1:13" s="718" customFormat="1" ht="21" customHeight="1">
      <c r="A534" s="724"/>
      <c r="B534" s="772" t="s">
        <v>6136</v>
      </c>
      <c r="C534" s="773" t="s">
        <v>6137</v>
      </c>
      <c r="D534" s="726" t="str">
        <f>SUBSTITUTE(CONCATENATE(B:B,C:C,E:E)," ","")</f>
        <v>집성스크류#825mmEA</v>
      </c>
      <c r="E534" s="774" t="s">
        <v>321</v>
      </c>
      <c r="F534" s="727">
        <v>42.33</v>
      </c>
      <c r="G534" s="728">
        <f>IF($E:$E="인",0,VLOOKUP($D:$D,[140]일위목록!$A:$H,6,FALSE))</f>
        <v>12</v>
      </c>
      <c r="H534" s="728">
        <f>TRUNC($F:$F*G:G)</f>
        <v>507</v>
      </c>
      <c r="I534" s="728">
        <f>IF($E:$E="인",VLOOKUP($B:$B,[140]노임!$B:$H,6,FALSE),VLOOKUP($D:$D,[140]일위목록!$A:$H,7,FALSE))</f>
        <v>0</v>
      </c>
      <c r="J534" s="728">
        <f>TRUNC($F:$F*I:I)</f>
        <v>0</v>
      </c>
      <c r="K534" s="728">
        <f t="shared" si="72"/>
        <v>507</v>
      </c>
      <c r="L534" s="724" t="str">
        <f>IF($E:$E="인",VLOOKUP($B:$B,[140]단가!$B:$E,3,FALSE),VLOOKUP($D:$D,[140]일위목록!$A:$H,2,FALSE))</f>
        <v>단가-16번</v>
      </c>
      <c r="M534" s="717"/>
    </row>
    <row r="535" spans="1:13" s="718" customFormat="1" ht="21" customHeight="1">
      <c r="A535" s="724"/>
      <c r="B535" s="746" t="s">
        <v>6122</v>
      </c>
      <c r="C535" s="726"/>
      <c r="D535" s="726" t="str">
        <f>SUBSTITUTE(CONCATENATE(B:B,C:C,E:E)," ","")</f>
        <v>내장공인</v>
      </c>
      <c r="E535" s="724" t="s">
        <v>5862</v>
      </c>
      <c r="F535" s="779">
        <v>3.3000000000000002E-2</v>
      </c>
      <c r="G535" s="728">
        <f>IF($E:$E="인",0,VLOOKUP($D:$D,[140]일위목록!$A:$H,6,FALSE))</f>
        <v>0</v>
      </c>
      <c r="H535" s="728">
        <f>TRUNC($F:$F*G:G)</f>
        <v>0</v>
      </c>
      <c r="I535" s="728">
        <f>IF($E:$E="인",VLOOKUP($B:$B,[140]노임!$B:$H,6,FALSE),VLOOKUP($D:$D,[140]일위목록!$A:$H,7,FALSE))</f>
        <v>189600</v>
      </c>
      <c r="J535" s="728">
        <f>TRUNC($F:$F*I:I)</f>
        <v>6256</v>
      </c>
      <c r="K535" s="728">
        <f t="shared" si="72"/>
        <v>6256</v>
      </c>
      <c r="L535" s="724" t="str">
        <f>IF($E:$E="인",VLOOKUP($B:$B,[140]노임!$B:$D,3,FALSE),VLOOKUP($D:$D,[140]일위목록!$A:$H,2,FALSE))</f>
        <v>건설노임-1030</v>
      </c>
      <c r="M535" s="717"/>
    </row>
    <row r="536" spans="1:13" s="718" customFormat="1" ht="21" customHeight="1">
      <c r="A536" s="724"/>
      <c r="B536" s="754" t="s">
        <v>5877</v>
      </c>
      <c r="C536" s="726"/>
      <c r="D536" s="726" t="str">
        <f>SUBSTITUTE(CONCATENATE(B:B,C:C,E:E)," ","")</f>
        <v>보통인부인</v>
      </c>
      <c r="E536" s="724" t="s">
        <v>5862</v>
      </c>
      <c r="F536" s="779">
        <v>1.6E-2</v>
      </c>
      <c r="G536" s="728">
        <f>IF($E:$E="인",0,VLOOKUP($D:$D,[140]일위목록!$A:$H,6,FALSE))</f>
        <v>0</v>
      </c>
      <c r="H536" s="728">
        <f>TRUNC($F:$F*G:G)</f>
        <v>0</v>
      </c>
      <c r="I536" s="728">
        <f>IF($E:$E="인",VLOOKUP($B:$B,[140]노임!$B:$H,6,FALSE),VLOOKUP($D:$D,[140]일위목록!$A:$H,7,FALSE))</f>
        <v>125427</v>
      </c>
      <c r="J536" s="728">
        <f>TRUNC($F:$F*I:I)</f>
        <v>2006</v>
      </c>
      <c r="K536" s="728">
        <f t="shared" si="72"/>
        <v>2006</v>
      </c>
      <c r="L536" s="724" t="str">
        <f>IF($E:$E="인",VLOOKUP($B:$B,[140]노임!$B:$D,3,FALSE),VLOOKUP($D:$D,[140]일위목록!$A:$H,2,FALSE))</f>
        <v>건설노임-1002</v>
      </c>
      <c r="M536" s="717"/>
    </row>
    <row r="537" spans="1:13" s="718" customFormat="1" ht="21" customHeight="1">
      <c r="A537" s="724"/>
      <c r="B537" s="769" t="s">
        <v>6139</v>
      </c>
      <c r="C537" s="770" t="s">
        <v>6143</v>
      </c>
      <c r="D537" s="726" t="str">
        <f>SUBSTITUTE(CONCATENATE(B:B,C:C,E:E)," ","")</f>
        <v>기구손료노무비의1%식</v>
      </c>
      <c r="E537" s="775" t="s">
        <v>5867</v>
      </c>
      <c r="F537" s="741">
        <v>1</v>
      </c>
      <c r="G537" s="776">
        <f>TRUNC(J538*1%)</f>
        <v>82</v>
      </c>
      <c r="H537" s="728">
        <f>TRUNC($F:$F*G:G)</f>
        <v>82</v>
      </c>
      <c r="I537" s="728"/>
      <c r="J537" s="728"/>
      <c r="K537" s="728">
        <f>H537+J537</f>
        <v>82</v>
      </c>
      <c r="L537" s="724"/>
      <c r="M537" s="717"/>
    </row>
    <row r="538" spans="1:13" s="718" customFormat="1" ht="21" customHeight="1">
      <c r="A538" s="724"/>
      <c r="B538" s="725" t="s">
        <v>5901</v>
      </c>
      <c r="C538" s="726"/>
      <c r="D538" s="726" t="str">
        <f>L:L</f>
        <v>제74호표</v>
      </c>
      <c r="E538" s="724"/>
      <c r="F538" s="727"/>
      <c r="G538" s="728"/>
      <c r="H538" s="728">
        <f>SUM(H533:H537)</f>
        <v>3236</v>
      </c>
      <c r="I538" s="728"/>
      <c r="J538" s="728">
        <f>SUM(J533:J537)</f>
        <v>8262</v>
      </c>
      <c r="K538" s="728">
        <f>SUM(K533:K537)</f>
        <v>11498</v>
      </c>
      <c r="L538" s="724" t="str">
        <f>A531</f>
        <v>제74호표</v>
      </c>
      <c r="M538" s="777"/>
    </row>
    <row r="539" spans="1:13" s="718" customFormat="1" ht="21" customHeight="1">
      <c r="A539" s="724"/>
      <c r="B539" s="725"/>
      <c r="C539" s="726"/>
      <c r="D539" s="726"/>
      <c r="E539" s="724"/>
      <c r="F539" s="727"/>
      <c r="G539" s="728"/>
      <c r="H539" s="728"/>
      <c r="I539" s="728"/>
      <c r="J539" s="728"/>
      <c r="K539" s="728"/>
      <c r="L539" s="724"/>
      <c r="M539" s="778"/>
    </row>
    <row r="540" spans="1:13" s="718" customFormat="1" ht="21" customHeight="1">
      <c r="A540" s="724"/>
      <c r="B540" s="725"/>
      <c r="C540" s="726"/>
      <c r="D540" s="726"/>
      <c r="E540" s="724"/>
      <c r="F540" s="727"/>
      <c r="G540" s="728"/>
      <c r="H540" s="728"/>
      <c r="I540" s="728"/>
      <c r="J540" s="728"/>
      <c r="K540" s="728"/>
      <c r="L540" s="724"/>
      <c r="M540" s="717"/>
    </row>
    <row r="541" spans="1:13" s="718" customFormat="1" ht="21" customHeight="1">
      <c r="A541" s="724" t="str">
        <f>"제"&amp;M541&amp;"호표"</f>
        <v>제75호표</v>
      </c>
      <c r="B541" s="745" t="s">
        <v>6146</v>
      </c>
      <c r="C541" s="745" t="s">
        <v>6147</v>
      </c>
      <c r="D541" s="726"/>
      <c r="E541" s="742" t="s">
        <v>59</v>
      </c>
      <c r="F541" s="727"/>
      <c r="G541" s="728"/>
      <c r="H541" s="728"/>
      <c r="I541" s="728"/>
      <c r="J541" s="728"/>
      <c r="K541" s="728"/>
      <c r="L541" s="724"/>
      <c r="M541" s="729">
        <f>M531+1</f>
        <v>75</v>
      </c>
    </row>
    <row r="542" spans="1:13" s="718" customFormat="1" ht="21" customHeight="1">
      <c r="A542" s="724"/>
      <c r="B542" s="725"/>
      <c r="C542" s="726"/>
      <c r="D542" s="726"/>
      <c r="E542" s="724"/>
      <c r="F542" s="727"/>
      <c r="G542" s="728"/>
      <c r="H542" s="728"/>
      <c r="I542" s="728"/>
      <c r="J542" s="728"/>
      <c r="K542" s="728"/>
      <c r="L542" s="724"/>
      <c r="M542" s="717"/>
    </row>
    <row r="543" spans="1:13" s="718" customFormat="1" ht="21" customHeight="1">
      <c r="A543" s="724"/>
      <c r="B543" s="780" t="s">
        <v>6148</v>
      </c>
      <c r="C543" s="781" t="s">
        <v>6149</v>
      </c>
      <c r="D543" s="726" t="str">
        <f t="shared" ref="D543:D550" si="73">SUBSTITUTE(CONCATENATE(B:B,C:C,E:E)," ","")</f>
        <v>친환경수성페인트내부수성도료ℓ</v>
      </c>
      <c r="E543" s="771" t="s">
        <v>6150</v>
      </c>
      <c r="F543" s="779">
        <v>0.25600000000000001</v>
      </c>
      <c r="G543" s="728">
        <f>IF($E:$E="인",0,VLOOKUP($D:$D,[140]일위목록!$A:$H,6,FALSE))</f>
        <v>5705</v>
      </c>
      <c r="H543" s="728">
        <f t="shared" ref="H543:H550" si="74">TRUNC($F:$F*G:G)</f>
        <v>1460</v>
      </c>
      <c r="I543" s="728">
        <f>IF($E:$E="인",VLOOKUP($B:$B,[140]노임!$B:$H,6,FALSE),VLOOKUP($D:$D,[140]일위목록!$A:$H,7,FALSE))</f>
        <v>0</v>
      </c>
      <c r="J543" s="728">
        <f>TRUNC($F:$F*I:I)</f>
        <v>0</v>
      </c>
      <c r="K543" s="728">
        <f t="shared" ref="K543:K550" si="75">H543+J543</f>
        <v>1460</v>
      </c>
      <c r="L543" s="724" t="str">
        <f>IF($E:$E="인",VLOOKUP($B:$B,[140]단가!$B:$E,3,FALSE),VLOOKUP($D:$D,[140]일위목록!$A:$H,2,FALSE))</f>
        <v>단가-63번</v>
      </c>
      <c r="M543" s="717"/>
    </row>
    <row r="544" spans="1:13" s="718" customFormat="1" ht="21" customHeight="1">
      <c r="A544" s="724"/>
      <c r="B544" s="731" t="s">
        <v>5995</v>
      </c>
      <c r="C544" s="726"/>
      <c r="D544" s="726" t="str">
        <f t="shared" si="73"/>
        <v>도장공인</v>
      </c>
      <c r="E544" s="724" t="s">
        <v>5862</v>
      </c>
      <c r="F544" s="765">
        <v>7.0000000000000007E-2</v>
      </c>
      <c r="G544" s="728">
        <f>IF($E:$E="인",0,VLOOKUP($D:$D,[140]일위목록!$A:$H,6,FALSE))</f>
        <v>0</v>
      </c>
      <c r="H544" s="728">
        <f t="shared" si="74"/>
        <v>0</v>
      </c>
      <c r="I544" s="728">
        <f>IF($E:$E="인",VLOOKUP($B:$B,[140]노임!$B:$H,6,FALSE),VLOOKUP($D:$D,[140]일위목록!$A:$H,7,FALSE))</f>
        <v>184508</v>
      </c>
      <c r="J544" s="728">
        <f>TRUNC($F:$F*I:I)</f>
        <v>12915</v>
      </c>
      <c r="K544" s="728">
        <f t="shared" si="75"/>
        <v>12915</v>
      </c>
      <c r="L544" s="724" t="str">
        <f>IF($E:$E="인",VLOOKUP($B:$B,[140]노임!$B:$D,3,FALSE),VLOOKUP($D:$D,[140]일위목록!$A:$H,2,FALSE))</f>
        <v>건설노임-1029</v>
      </c>
      <c r="M544" s="717"/>
    </row>
    <row r="545" spans="1:13" s="718" customFormat="1" ht="21" customHeight="1">
      <c r="A545" s="724"/>
      <c r="B545" s="769" t="s">
        <v>6151</v>
      </c>
      <c r="C545" s="770" t="s">
        <v>6152</v>
      </c>
      <c r="D545" s="726" t="str">
        <f t="shared" si="73"/>
        <v>잡재료비주재료비의6%식</v>
      </c>
      <c r="E545" s="771" t="s">
        <v>5867</v>
      </c>
      <c r="F545" s="779">
        <v>1</v>
      </c>
      <c r="G545" s="728">
        <f>H543*6%</f>
        <v>87.6</v>
      </c>
      <c r="H545" s="728">
        <f t="shared" si="74"/>
        <v>87</v>
      </c>
      <c r="I545" s="728"/>
      <c r="J545" s="728"/>
      <c r="K545" s="728">
        <f t="shared" si="75"/>
        <v>87</v>
      </c>
      <c r="L545" s="724"/>
      <c r="M545" s="717"/>
    </row>
    <row r="546" spans="1:13" s="718" customFormat="1" ht="21" customHeight="1">
      <c r="A546" s="724"/>
      <c r="B546" s="769" t="s">
        <v>6139</v>
      </c>
      <c r="C546" s="770" t="s">
        <v>6153</v>
      </c>
      <c r="D546" s="726" t="str">
        <f t="shared" si="73"/>
        <v>기구손료노무비의9%식</v>
      </c>
      <c r="E546" s="775" t="s">
        <v>5867</v>
      </c>
      <c r="F546" s="779">
        <v>1</v>
      </c>
      <c r="G546" s="776">
        <f>TRUNC(J551*9%)</f>
        <v>1256</v>
      </c>
      <c r="H546" s="728">
        <f t="shared" si="74"/>
        <v>1256</v>
      </c>
      <c r="I546" s="728"/>
      <c r="J546" s="728"/>
      <c r="K546" s="728">
        <f t="shared" si="75"/>
        <v>1256</v>
      </c>
      <c r="L546" s="724"/>
      <c r="M546" s="717"/>
    </row>
    <row r="547" spans="1:13" s="718" customFormat="1" ht="21" customHeight="1">
      <c r="A547" s="724"/>
      <c r="B547" s="769" t="s">
        <v>6154</v>
      </c>
      <c r="C547" s="770" t="s">
        <v>6155</v>
      </c>
      <c r="D547" s="726" t="str">
        <f t="shared" si="73"/>
        <v>퍼티핸디코트Kg</v>
      </c>
      <c r="E547" s="771" t="s">
        <v>2353</v>
      </c>
      <c r="F547" s="779">
        <v>0.08</v>
      </c>
      <c r="G547" s="728">
        <f>IF($E:$E="인",0,VLOOKUP($D:$D,[140]일위목록!$A:$H,6,FALSE))</f>
        <v>1030</v>
      </c>
      <c r="H547" s="728">
        <f t="shared" si="74"/>
        <v>82</v>
      </c>
      <c r="I547" s="728">
        <f>IF($E:$E="인",VLOOKUP($B:$B,[140]노임!$B:$H,6,FALSE),VLOOKUP($D:$D,[140]일위목록!$A:$H,7,FALSE))</f>
        <v>0</v>
      </c>
      <c r="J547" s="728">
        <f>TRUNC($F:$F*I:I)</f>
        <v>0</v>
      </c>
      <c r="K547" s="728">
        <f t="shared" si="75"/>
        <v>82</v>
      </c>
      <c r="L547" s="724" t="str">
        <f>IF($E:$E="인",VLOOKUP($B:$B,[140]단가!$B:$E,3,FALSE),VLOOKUP($D:$D,[140]일위목록!$A:$H,2,FALSE))</f>
        <v>단가-64번</v>
      </c>
      <c r="M547" s="717"/>
    </row>
    <row r="548" spans="1:13" s="718" customFormat="1" ht="21" customHeight="1">
      <c r="A548" s="724"/>
      <c r="B548" s="725" t="s">
        <v>6059</v>
      </c>
      <c r="C548" s="726" t="s">
        <v>6060</v>
      </c>
      <c r="D548" s="726" t="str">
        <f t="shared" si="73"/>
        <v>연마포#120매</v>
      </c>
      <c r="E548" s="771" t="s">
        <v>6156</v>
      </c>
      <c r="F548" s="779">
        <v>0.05</v>
      </c>
      <c r="G548" s="728">
        <f>IF($E:$E="인",0,VLOOKUP($D:$D,[140]일위목록!$A:$H,6,FALSE))</f>
        <v>440</v>
      </c>
      <c r="H548" s="728">
        <f t="shared" si="74"/>
        <v>22</v>
      </c>
      <c r="I548" s="728">
        <f>IF($E:$E="인",VLOOKUP($B:$B,[140]노임!$B:$H,6,FALSE),VLOOKUP($D:$D,[140]일위목록!$A:$H,7,FALSE))</f>
        <v>0</v>
      </c>
      <c r="J548" s="728">
        <f>TRUNC($F:$F*I:I)</f>
        <v>0</v>
      </c>
      <c r="K548" s="728">
        <f t="shared" si="75"/>
        <v>22</v>
      </c>
      <c r="L548" s="724" t="str">
        <f>IF($E:$E="인",VLOOKUP($B:$B,[140]단가!$B:$E,3,FALSE),VLOOKUP($D:$D,[140]일위목록!$A:$H,2,FALSE))</f>
        <v>단가-38번</v>
      </c>
      <c r="M548" s="717"/>
    </row>
    <row r="549" spans="1:13" s="718" customFormat="1" ht="21" customHeight="1">
      <c r="A549" s="724"/>
      <c r="B549" s="731" t="s">
        <v>5995</v>
      </c>
      <c r="C549" s="726"/>
      <c r="D549" s="726" t="str">
        <f t="shared" si="73"/>
        <v>도장공인</v>
      </c>
      <c r="E549" s="724" t="s">
        <v>5862</v>
      </c>
      <c r="F549" s="765">
        <v>5.0000000000000001E-3</v>
      </c>
      <c r="G549" s="728">
        <f>IF($E:$E="인",0,VLOOKUP($D:$D,[140]일위목록!$A:$H,6,FALSE))</f>
        <v>0</v>
      </c>
      <c r="H549" s="728">
        <f t="shared" si="74"/>
        <v>0</v>
      </c>
      <c r="I549" s="728">
        <f>IF($E:$E="인",VLOOKUP($B:$B,[140]노임!$B:$H,6,FALSE),VLOOKUP($D:$D,[140]일위목록!$A:$H,7,FALSE))</f>
        <v>184508</v>
      </c>
      <c r="J549" s="728">
        <f>TRUNC($F:$F*I:I)</f>
        <v>922</v>
      </c>
      <c r="K549" s="728">
        <f t="shared" si="75"/>
        <v>922</v>
      </c>
      <c r="L549" s="724" t="str">
        <f>IF($E:$E="인",VLOOKUP($B:$B,[140]노임!$B:$D,3,FALSE),VLOOKUP($D:$D,[140]일위목록!$A:$H,2,FALSE))</f>
        <v>건설노임-1029</v>
      </c>
      <c r="M549" s="717"/>
    </row>
    <row r="550" spans="1:13" s="718" customFormat="1" ht="21" customHeight="1">
      <c r="A550" s="724"/>
      <c r="B550" s="754" t="s">
        <v>5877</v>
      </c>
      <c r="C550" s="726"/>
      <c r="D550" s="726" t="str">
        <f t="shared" si="73"/>
        <v>보통인부인</v>
      </c>
      <c r="E550" s="724" t="s">
        <v>5862</v>
      </c>
      <c r="F550" s="765">
        <v>1E-3</v>
      </c>
      <c r="G550" s="728">
        <f>IF($E:$E="인",0,VLOOKUP($D:$D,[140]일위목록!$A:$H,6,FALSE))</f>
        <v>0</v>
      </c>
      <c r="H550" s="728">
        <f t="shared" si="74"/>
        <v>0</v>
      </c>
      <c r="I550" s="728">
        <f>IF($E:$E="인",VLOOKUP($B:$B,[140]노임!$B:$H,6,FALSE),VLOOKUP($D:$D,[140]일위목록!$A:$H,7,FALSE))</f>
        <v>125427</v>
      </c>
      <c r="J550" s="728">
        <f>TRUNC($F:$F*I:I)</f>
        <v>125</v>
      </c>
      <c r="K550" s="728">
        <f t="shared" si="75"/>
        <v>125</v>
      </c>
      <c r="L550" s="724" t="str">
        <f>IF($E:$E="인",VLOOKUP($B:$B,[140]노임!$B:$D,3,FALSE),VLOOKUP($D:$D,[140]일위목록!$A:$H,2,FALSE))</f>
        <v>건설노임-1002</v>
      </c>
      <c r="M550" s="717"/>
    </row>
    <row r="551" spans="1:13" s="718" customFormat="1" ht="21" customHeight="1">
      <c r="A551" s="724"/>
      <c r="B551" s="725" t="s">
        <v>5901</v>
      </c>
      <c r="C551" s="726"/>
      <c r="D551" s="726" t="str">
        <f>L:L</f>
        <v>제75호표</v>
      </c>
      <c r="E551" s="724"/>
      <c r="F551" s="727"/>
      <c r="G551" s="728"/>
      <c r="H551" s="728">
        <f>SUM(H543:H550)</f>
        <v>2907</v>
      </c>
      <c r="I551" s="728"/>
      <c r="J551" s="728">
        <f>SUM(J543:J550)</f>
        <v>13962</v>
      </c>
      <c r="K551" s="728">
        <f>SUM(K543:K550)</f>
        <v>16869</v>
      </c>
      <c r="L551" s="724" t="str">
        <f>A541</f>
        <v>제75호표</v>
      </c>
      <c r="M551" s="767"/>
    </row>
    <row r="552" spans="1:13" s="718" customFormat="1" ht="21" customHeight="1">
      <c r="A552" s="724"/>
      <c r="B552" s="725"/>
      <c r="C552" s="726"/>
      <c r="D552" s="726"/>
      <c r="E552" s="724"/>
      <c r="F552" s="727"/>
      <c r="G552" s="728"/>
      <c r="H552" s="728"/>
      <c r="I552" s="728"/>
      <c r="J552" s="728"/>
      <c r="K552" s="728"/>
      <c r="L552" s="724"/>
      <c r="M552" s="768"/>
    </row>
    <row r="553" spans="1:13" s="718" customFormat="1" ht="21" customHeight="1">
      <c r="A553" s="724"/>
      <c r="B553" s="725"/>
      <c r="C553" s="726"/>
      <c r="D553" s="726"/>
      <c r="E553" s="724"/>
      <c r="F553" s="727"/>
      <c r="G553" s="728"/>
      <c r="H553" s="728"/>
      <c r="I553" s="728"/>
      <c r="J553" s="728"/>
      <c r="K553" s="728"/>
      <c r="L553" s="724"/>
      <c r="M553" s="717"/>
    </row>
    <row r="554" spans="1:13" s="718" customFormat="1" ht="21" customHeight="1">
      <c r="A554" s="724" t="str">
        <f>"제"&amp;M554&amp;"호표"</f>
        <v>제76호표</v>
      </c>
      <c r="B554" s="745" t="s">
        <v>6157</v>
      </c>
      <c r="C554" s="745" t="s">
        <v>6158</v>
      </c>
      <c r="D554" s="726"/>
      <c r="E554" s="742" t="s">
        <v>59</v>
      </c>
      <c r="F554" s="727"/>
      <c r="G554" s="728"/>
      <c r="H554" s="728"/>
      <c r="I554" s="728"/>
      <c r="J554" s="728"/>
      <c r="K554" s="728"/>
      <c r="L554" s="724"/>
      <c r="M554" s="729">
        <f>M541+1</f>
        <v>76</v>
      </c>
    </row>
    <row r="555" spans="1:13" s="718" customFormat="1" ht="21" customHeight="1">
      <c r="A555" s="724"/>
      <c r="B555" s="725"/>
      <c r="C555" s="726"/>
      <c r="D555" s="726"/>
      <c r="E555" s="724"/>
      <c r="F555" s="727"/>
      <c r="G555" s="728"/>
      <c r="H555" s="728"/>
      <c r="I555" s="728"/>
      <c r="J555" s="728"/>
      <c r="K555" s="728"/>
      <c r="L555" s="724"/>
      <c r="M555" s="717"/>
    </row>
    <row r="556" spans="1:13" s="718" customFormat="1" ht="21" customHeight="1">
      <c r="A556" s="724"/>
      <c r="B556" s="769" t="s">
        <v>6154</v>
      </c>
      <c r="C556" s="770" t="s">
        <v>6155</v>
      </c>
      <c r="D556" s="726" t="str">
        <f t="shared" ref="D556:D562" si="76">SUBSTITUTE(CONCATENATE(B:B,C:C,E:E)," ","")</f>
        <v>퍼티핸디코트Kg</v>
      </c>
      <c r="E556" s="771" t="s">
        <v>2353</v>
      </c>
      <c r="F556" s="779">
        <v>0.66700000000000004</v>
      </c>
      <c r="G556" s="728">
        <f>IF($E:$E="인",0,VLOOKUP($D:$D,[140]일위목록!$A:$H,6,FALSE))</f>
        <v>1030</v>
      </c>
      <c r="H556" s="728">
        <f t="shared" ref="H556:H562" si="77">TRUNC($F:$F*G:G)</f>
        <v>687</v>
      </c>
      <c r="I556" s="728">
        <f>IF($E:$E="인",VLOOKUP($B:$B,[140]노임!$B:$H,6,FALSE),VLOOKUP($D:$D,[140]일위목록!$A:$H,7,FALSE))</f>
        <v>0</v>
      </c>
      <c r="J556" s="728">
        <f t="shared" ref="J556:J561" si="78">TRUNC($F:$F*I:I)</f>
        <v>0</v>
      </c>
      <c r="K556" s="728">
        <f t="shared" ref="K556:K561" si="79">H556+J556</f>
        <v>687</v>
      </c>
      <c r="L556" s="724" t="str">
        <f>IF($E:$E="인",VLOOKUP($B:$B,[140]단가!$B:$E,3,FALSE),VLOOKUP($D:$D,[140]일위목록!$A:$H,2,FALSE))</f>
        <v>단가-64번</v>
      </c>
      <c r="M556" s="717"/>
    </row>
    <row r="557" spans="1:13" s="718" customFormat="1" ht="21" customHeight="1">
      <c r="A557" s="724"/>
      <c r="B557" s="769" t="s">
        <v>6159</v>
      </c>
      <c r="C557" s="782" t="s">
        <v>6160</v>
      </c>
      <c r="D557" s="726" t="str">
        <f t="shared" si="76"/>
        <v>휠러외부용25kgKg</v>
      </c>
      <c r="E557" s="771" t="s">
        <v>2353</v>
      </c>
      <c r="F557" s="779">
        <v>0.32500000000000001</v>
      </c>
      <c r="G557" s="728">
        <f>IF($E:$E="인",0,VLOOKUP($D:$D,[140]일위목록!$A:$H,6,FALSE))</f>
        <v>1650</v>
      </c>
      <c r="H557" s="728">
        <f t="shared" si="77"/>
        <v>536</v>
      </c>
      <c r="I557" s="728">
        <f>IF($E:$E="인",VLOOKUP($B:$B,[140]노임!$B:$H,6,FALSE),VLOOKUP($D:$D,[140]일위목록!$A:$H,7,FALSE))</f>
        <v>0</v>
      </c>
      <c r="J557" s="728">
        <f t="shared" si="78"/>
        <v>0</v>
      </c>
      <c r="K557" s="728">
        <f t="shared" si="79"/>
        <v>536</v>
      </c>
      <c r="L557" s="724" t="str">
        <f>IF($E:$E="인",VLOOKUP($B:$B,[140]단가!$B:$E,3,FALSE),VLOOKUP($D:$D,[140]일위목록!$A:$H,2,FALSE))</f>
        <v>단가-65번</v>
      </c>
      <c r="M557" s="717"/>
    </row>
    <row r="558" spans="1:13" s="718" customFormat="1" ht="21" customHeight="1">
      <c r="A558" s="724"/>
      <c r="B558" s="769" t="s">
        <v>6161</v>
      </c>
      <c r="C558" s="770" t="s">
        <v>6162</v>
      </c>
      <c r="D558" s="726" t="str">
        <f t="shared" si="76"/>
        <v>연마지#120매</v>
      </c>
      <c r="E558" s="771" t="s">
        <v>6156</v>
      </c>
      <c r="F558" s="779">
        <v>0.18</v>
      </c>
      <c r="G558" s="728">
        <f>IF($E:$E="인",0,VLOOKUP($D:$D,[140]일위목록!$A:$H,6,FALSE))</f>
        <v>260</v>
      </c>
      <c r="H558" s="728">
        <f t="shared" si="77"/>
        <v>46</v>
      </c>
      <c r="I558" s="728">
        <f>IF($E:$E="인",VLOOKUP($B:$B,[140]노임!$B:$H,6,FALSE),VLOOKUP($D:$D,[140]일위목록!$A:$H,7,FALSE))</f>
        <v>0</v>
      </c>
      <c r="J558" s="728">
        <f t="shared" si="78"/>
        <v>0</v>
      </c>
      <c r="K558" s="728">
        <f t="shared" si="79"/>
        <v>46</v>
      </c>
      <c r="L558" s="724" t="str">
        <f>IF($E:$E="인",VLOOKUP($B:$B,[140]단가!$B:$E,3,FALSE),VLOOKUP($D:$D,[140]일위목록!$A:$H,2,FALSE))</f>
        <v>단가-66번</v>
      </c>
      <c r="M558" s="717"/>
    </row>
    <row r="559" spans="1:13" s="718" customFormat="1" ht="21" customHeight="1">
      <c r="A559" s="724"/>
      <c r="B559" s="769" t="s">
        <v>6163</v>
      </c>
      <c r="C559" s="770"/>
      <c r="D559" s="726" t="str">
        <f t="shared" si="76"/>
        <v>화이버테이프m</v>
      </c>
      <c r="E559" s="771" t="s">
        <v>1192</v>
      </c>
      <c r="F559" s="779">
        <v>1.52</v>
      </c>
      <c r="G559" s="728">
        <f>IF($E:$E="인",0,VLOOKUP($D:$D,[140]일위목록!$A:$H,6,FALSE))</f>
        <v>60</v>
      </c>
      <c r="H559" s="728">
        <f t="shared" si="77"/>
        <v>91</v>
      </c>
      <c r="I559" s="728">
        <f>IF($E:$E="인",VLOOKUP($B:$B,[140]노임!$B:$H,6,FALSE),VLOOKUP($D:$D,[140]일위목록!$A:$H,7,FALSE))</f>
        <v>0</v>
      </c>
      <c r="J559" s="728">
        <f t="shared" si="78"/>
        <v>0</v>
      </c>
      <c r="K559" s="728">
        <f t="shared" si="79"/>
        <v>91</v>
      </c>
      <c r="L559" s="724" t="str">
        <f>IF($E:$E="인",VLOOKUP($B:$B,[140]단가!$B:$E,3,FALSE),VLOOKUP($D:$D,[140]일위목록!$A:$H,2,FALSE))</f>
        <v>단가-73번</v>
      </c>
      <c r="M559" s="717"/>
    </row>
    <row r="560" spans="1:13" s="718" customFormat="1" ht="21" customHeight="1">
      <c r="A560" s="724"/>
      <c r="B560" s="731" t="s">
        <v>5995</v>
      </c>
      <c r="C560" s="726"/>
      <c r="D560" s="726" t="str">
        <f t="shared" si="76"/>
        <v>도장공인</v>
      </c>
      <c r="E560" s="724" t="s">
        <v>5862</v>
      </c>
      <c r="F560" s="779">
        <v>6.6000000000000003E-2</v>
      </c>
      <c r="G560" s="728">
        <f>IF($E:$E="인",0,VLOOKUP($D:$D,[140]일위목록!$A:$H,6,FALSE))</f>
        <v>0</v>
      </c>
      <c r="H560" s="728">
        <f t="shared" si="77"/>
        <v>0</v>
      </c>
      <c r="I560" s="728">
        <f>IF($E:$E="인",VLOOKUP($B:$B,[140]노임!$B:$H,6,FALSE),VLOOKUP($D:$D,[140]일위목록!$A:$H,7,FALSE))</f>
        <v>184508</v>
      </c>
      <c r="J560" s="728">
        <f t="shared" si="78"/>
        <v>12177</v>
      </c>
      <c r="K560" s="728">
        <f t="shared" si="79"/>
        <v>12177</v>
      </c>
      <c r="L560" s="724" t="str">
        <f>IF($E:$E="인",VLOOKUP($B:$B,[140]노임!$B:$D,3,FALSE),VLOOKUP($D:$D,[140]일위목록!$A:$H,2,FALSE))</f>
        <v>건설노임-1029</v>
      </c>
      <c r="M560" s="717"/>
    </row>
    <row r="561" spans="1:13" s="718" customFormat="1" ht="21" customHeight="1">
      <c r="A561" s="724"/>
      <c r="B561" s="754" t="s">
        <v>5877</v>
      </c>
      <c r="C561" s="726"/>
      <c r="D561" s="726" t="str">
        <f t="shared" si="76"/>
        <v>보통인부인</v>
      </c>
      <c r="E561" s="724" t="s">
        <v>5862</v>
      </c>
      <c r="F561" s="779">
        <v>1.7999999999999999E-2</v>
      </c>
      <c r="G561" s="728">
        <f>IF($E:$E="인",0,VLOOKUP($D:$D,[140]일위목록!$A:$H,6,FALSE))</f>
        <v>0</v>
      </c>
      <c r="H561" s="728">
        <f t="shared" si="77"/>
        <v>0</v>
      </c>
      <c r="I561" s="728">
        <f>IF($E:$E="인",VLOOKUP($B:$B,[140]노임!$B:$H,6,FALSE),VLOOKUP($D:$D,[140]일위목록!$A:$H,7,FALSE))</f>
        <v>125427</v>
      </c>
      <c r="J561" s="728">
        <f t="shared" si="78"/>
        <v>2257</v>
      </c>
      <c r="K561" s="728">
        <f t="shared" si="79"/>
        <v>2257</v>
      </c>
      <c r="L561" s="724" t="str">
        <f>IF($E:$E="인",VLOOKUP($B:$B,[140]노임!$B:$D,3,FALSE),VLOOKUP($D:$D,[140]일위목록!$A:$H,2,FALSE))</f>
        <v>건설노임-1002</v>
      </c>
      <c r="M561" s="717"/>
    </row>
    <row r="562" spans="1:13" s="718" customFormat="1" ht="21" customHeight="1">
      <c r="A562" s="724"/>
      <c r="B562" s="769" t="s">
        <v>6139</v>
      </c>
      <c r="C562" s="770" t="s">
        <v>6164</v>
      </c>
      <c r="D562" s="726" t="str">
        <f t="shared" si="76"/>
        <v>기구손료노무비의2%식</v>
      </c>
      <c r="E562" s="775" t="s">
        <v>5867</v>
      </c>
      <c r="F562" s="779">
        <v>1</v>
      </c>
      <c r="G562" s="776">
        <f>TRUNC(J563*2%)</f>
        <v>288</v>
      </c>
      <c r="H562" s="728">
        <f t="shared" si="77"/>
        <v>288</v>
      </c>
      <c r="I562" s="728"/>
      <c r="J562" s="728"/>
      <c r="K562" s="728">
        <f>H562+J562</f>
        <v>288</v>
      </c>
      <c r="L562" s="724"/>
      <c r="M562" s="717"/>
    </row>
    <row r="563" spans="1:13" s="718" customFormat="1" ht="21" customHeight="1">
      <c r="A563" s="724"/>
      <c r="B563" s="725" t="s">
        <v>5901</v>
      </c>
      <c r="C563" s="726"/>
      <c r="D563" s="726" t="str">
        <f>L:L</f>
        <v>제76호표</v>
      </c>
      <c r="E563" s="724"/>
      <c r="F563" s="727"/>
      <c r="G563" s="728"/>
      <c r="H563" s="728">
        <f>SUM(H556:H562)</f>
        <v>1648</v>
      </c>
      <c r="I563" s="728"/>
      <c r="J563" s="728">
        <f>SUM(J556:J562)</f>
        <v>14434</v>
      </c>
      <c r="K563" s="728">
        <f>SUM(K556:K562)</f>
        <v>16082</v>
      </c>
      <c r="L563" s="724" t="str">
        <f>A554</f>
        <v>제76호표</v>
      </c>
      <c r="M563" s="777"/>
    </row>
    <row r="564" spans="1:13" s="718" customFormat="1" ht="21" customHeight="1">
      <c r="A564" s="724"/>
      <c r="B564" s="725"/>
      <c r="C564" s="726"/>
      <c r="D564" s="726"/>
      <c r="E564" s="724"/>
      <c r="F564" s="727"/>
      <c r="G564" s="728"/>
      <c r="H564" s="728"/>
      <c r="I564" s="728"/>
      <c r="J564" s="728"/>
      <c r="K564" s="728"/>
      <c r="L564" s="724"/>
      <c r="M564" s="778"/>
    </row>
    <row r="565" spans="1:13" s="718" customFormat="1" ht="21" customHeight="1">
      <c r="A565" s="724"/>
      <c r="B565" s="725"/>
      <c r="C565" s="726"/>
      <c r="D565" s="726"/>
      <c r="E565" s="724"/>
      <c r="F565" s="727"/>
      <c r="G565" s="728"/>
      <c r="H565" s="728"/>
      <c r="I565" s="728"/>
      <c r="J565" s="728"/>
      <c r="K565" s="728"/>
      <c r="L565" s="724"/>
      <c r="M565" s="717"/>
    </row>
    <row r="566" spans="1:13" s="718" customFormat="1" ht="21" customHeight="1">
      <c r="A566" s="724" t="str">
        <f>"제"&amp;M566&amp;"호표"</f>
        <v>제77호표</v>
      </c>
      <c r="B566" s="745" t="s">
        <v>6165</v>
      </c>
      <c r="C566" s="745" t="s">
        <v>6158</v>
      </c>
      <c r="D566" s="726"/>
      <c r="E566" s="742" t="s">
        <v>5980</v>
      </c>
      <c r="F566" s="727"/>
      <c r="G566" s="728"/>
      <c r="H566" s="728"/>
      <c r="I566" s="728"/>
      <c r="J566" s="728"/>
      <c r="K566" s="728"/>
      <c r="L566" s="724"/>
      <c r="M566" s="729">
        <f>M554+1</f>
        <v>77</v>
      </c>
    </row>
    <row r="567" spans="1:13" s="718" customFormat="1" ht="21" customHeight="1">
      <c r="A567" s="724"/>
      <c r="B567" s="725"/>
      <c r="C567" s="726"/>
      <c r="D567" s="726"/>
      <c r="E567" s="724"/>
      <c r="F567" s="727"/>
      <c r="G567" s="728"/>
      <c r="H567" s="728"/>
      <c r="I567" s="728"/>
      <c r="J567" s="728"/>
      <c r="K567" s="728"/>
      <c r="L567" s="724"/>
      <c r="M567" s="717"/>
    </row>
    <row r="568" spans="1:13" s="718" customFormat="1" ht="21" customHeight="1">
      <c r="A568" s="724"/>
      <c r="B568" s="769" t="s">
        <v>6166</v>
      </c>
      <c r="C568" s="770"/>
      <c r="D568" s="726" t="str">
        <f t="shared" ref="D568:D575" si="80">SUBSTITUTE(CONCATENATE(B:B,C:C,E:E)," ","")</f>
        <v>쉐락니스L</v>
      </c>
      <c r="E568" s="775" t="s">
        <v>6167</v>
      </c>
      <c r="F568" s="779">
        <v>0.01</v>
      </c>
      <c r="G568" s="728">
        <f>IF($E:$E="인",0,VLOOKUP($D:$D,[140]일위목록!$A:$H,6,FALSE))</f>
        <v>4850</v>
      </c>
      <c r="H568" s="728">
        <f t="shared" ref="H568:H577" si="81">TRUNC($F:$F*G:G)</f>
        <v>48</v>
      </c>
      <c r="I568" s="728">
        <f>IF($E:$E="인",VLOOKUP($B:$B,[140]노임!$B:$H,6,FALSE),VLOOKUP($D:$D,[140]일위목록!$A:$H,7,FALSE))</f>
        <v>0</v>
      </c>
      <c r="J568" s="728">
        <f t="shared" ref="J568:J575" si="82">TRUNC($F:$F*I:I)</f>
        <v>0</v>
      </c>
      <c r="K568" s="728">
        <f t="shared" ref="K568:K576" si="83">H568+J568</f>
        <v>48</v>
      </c>
      <c r="L568" s="724" t="str">
        <f>IF($E:$E="인",VLOOKUP($B:$B,[140]단가!$B:$E,3,FALSE),VLOOKUP($D:$D,[140]일위목록!$A:$H,2,FALSE))</f>
        <v>단가-72번</v>
      </c>
      <c r="M568" s="717"/>
    </row>
    <row r="569" spans="1:13" s="718" customFormat="1" ht="21" customHeight="1">
      <c r="A569" s="724"/>
      <c r="B569" s="769" t="s">
        <v>6168</v>
      </c>
      <c r="C569" s="770" t="s">
        <v>6169</v>
      </c>
      <c r="D569" s="726" t="str">
        <f t="shared" si="80"/>
        <v>락카사페사(락카)DNL-4150L</v>
      </c>
      <c r="E569" s="775" t="s">
        <v>6167</v>
      </c>
      <c r="F569" s="779">
        <v>0.3</v>
      </c>
      <c r="G569" s="728">
        <f>IF($E:$E="인",0,VLOOKUP($D:$D,[140]일위목록!$A:$H,6,FALSE))</f>
        <v>5931</v>
      </c>
      <c r="H569" s="728">
        <f t="shared" si="81"/>
        <v>1779</v>
      </c>
      <c r="I569" s="728">
        <f>IF($E:$E="인",VLOOKUP($B:$B,[140]노임!$B:$H,6,FALSE),VLOOKUP($D:$D,[140]일위목록!$A:$H,7,FALSE))</f>
        <v>0</v>
      </c>
      <c r="J569" s="728">
        <f t="shared" si="82"/>
        <v>0</v>
      </c>
      <c r="K569" s="728">
        <f t="shared" si="83"/>
        <v>1779</v>
      </c>
      <c r="L569" s="724" t="str">
        <f>IF($E:$E="인",VLOOKUP($B:$B,[140]단가!$B:$E,3,FALSE),VLOOKUP($D:$D,[140]일위목록!$A:$H,2,FALSE))</f>
        <v>단가-25번</v>
      </c>
      <c r="M569" s="717"/>
    </row>
    <row r="570" spans="1:13" s="718" customFormat="1" ht="21" customHeight="1">
      <c r="A570" s="724"/>
      <c r="B570" s="769" t="s">
        <v>6170</v>
      </c>
      <c r="C570" s="770" t="s">
        <v>6171</v>
      </c>
      <c r="D570" s="726" t="str">
        <f t="shared" si="80"/>
        <v>신너KSM6060-3L</v>
      </c>
      <c r="E570" s="775" t="s">
        <v>6167</v>
      </c>
      <c r="F570" s="779">
        <v>0.19500000000000001</v>
      </c>
      <c r="G570" s="728">
        <f>IF($E:$E="인",0,VLOOKUP($D:$D,[140]일위목록!$A:$H,6,FALSE))</f>
        <v>2577</v>
      </c>
      <c r="H570" s="728">
        <f t="shared" si="81"/>
        <v>502</v>
      </c>
      <c r="I570" s="728">
        <f>IF($E:$E="인",VLOOKUP($B:$B,[140]노임!$B:$H,6,FALSE),VLOOKUP($D:$D,[140]일위목록!$A:$H,7,FALSE))</f>
        <v>0</v>
      </c>
      <c r="J570" s="728">
        <f t="shared" si="82"/>
        <v>0</v>
      </c>
      <c r="K570" s="728">
        <f t="shared" si="83"/>
        <v>502</v>
      </c>
      <c r="L570" s="724" t="str">
        <f>IF($E:$E="인",VLOOKUP($B:$B,[140]단가!$B:$E,3,FALSE),VLOOKUP($D:$D,[140]일위목록!$A:$H,2,FALSE))</f>
        <v>단가-22번</v>
      </c>
      <c r="M570" s="717"/>
    </row>
    <row r="571" spans="1:13" s="718" customFormat="1" ht="21" customHeight="1">
      <c r="A571" s="724"/>
      <c r="B571" s="769" t="s">
        <v>6172</v>
      </c>
      <c r="C571" s="770" t="s">
        <v>6173</v>
      </c>
      <c r="D571" s="726" t="str">
        <f t="shared" si="80"/>
        <v>칼라락카CL440L</v>
      </c>
      <c r="E571" s="775" t="s">
        <v>6167</v>
      </c>
      <c r="F571" s="779">
        <v>0.5</v>
      </c>
      <c r="G571" s="728">
        <f>IF($E:$E="인",0,VLOOKUP($D:$D,[140]일위목록!$A:$H,6,FALSE))</f>
        <v>6467</v>
      </c>
      <c r="H571" s="728">
        <f t="shared" si="81"/>
        <v>3233</v>
      </c>
      <c r="I571" s="728">
        <f>IF($E:$E="인",VLOOKUP($B:$B,[140]노임!$B:$H,6,FALSE),VLOOKUP($D:$D,[140]일위목록!$A:$H,7,FALSE))</f>
        <v>0</v>
      </c>
      <c r="J571" s="728">
        <f t="shared" si="82"/>
        <v>0</v>
      </c>
      <c r="K571" s="728">
        <f t="shared" si="83"/>
        <v>3233</v>
      </c>
      <c r="L571" s="724" t="str">
        <f>IF($E:$E="인",VLOOKUP($B:$B,[140]단가!$B:$E,3,FALSE),VLOOKUP($D:$D,[140]일위목록!$A:$H,2,FALSE))</f>
        <v>단가-23번</v>
      </c>
      <c r="M571" s="717"/>
    </row>
    <row r="572" spans="1:13" s="718" customFormat="1" ht="21" customHeight="1">
      <c r="A572" s="724"/>
      <c r="B572" s="769" t="s">
        <v>6161</v>
      </c>
      <c r="C572" s="770" t="s">
        <v>6162</v>
      </c>
      <c r="D572" s="726" t="str">
        <f t="shared" si="80"/>
        <v>연마지#120매</v>
      </c>
      <c r="E572" s="775" t="s">
        <v>6156</v>
      </c>
      <c r="F572" s="779">
        <v>0.5</v>
      </c>
      <c r="G572" s="728">
        <f>IF($E:$E="인",0,VLOOKUP($D:$D,[140]일위목록!$A:$H,6,FALSE))</f>
        <v>260</v>
      </c>
      <c r="H572" s="728">
        <f t="shared" si="81"/>
        <v>130</v>
      </c>
      <c r="I572" s="728">
        <f>IF($E:$E="인",VLOOKUP($B:$B,[140]노임!$B:$H,6,FALSE),VLOOKUP($D:$D,[140]일위목록!$A:$H,7,FALSE))</f>
        <v>0</v>
      </c>
      <c r="J572" s="728">
        <f t="shared" si="82"/>
        <v>0</v>
      </c>
      <c r="K572" s="728">
        <f t="shared" si="83"/>
        <v>130</v>
      </c>
      <c r="L572" s="724" t="str">
        <f>IF($E:$E="인",VLOOKUP($B:$B,[140]단가!$B:$E,3,FALSE),VLOOKUP($D:$D,[140]일위목록!$A:$H,2,FALSE))</f>
        <v>단가-66번</v>
      </c>
      <c r="M572" s="717"/>
    </row>
    <row r="573" spans="1:13" s="718" customFormat="1" ht="21" customHeight="1">
      <c r="A573" s="724"/>
      <c r="B573" s="783" t="s">
        <v>6174</v>
      </c>
      <c r="C573" s="784" t="s">
        <v>6175</v>
      </c>
      <c r="D573" s="726" t="str">
        <f t="shared" si="80"/>
        <v>퍼티핸디코트Kg</v>
      </c>
      <c r="E573" s="732" t="s">
        <v>2353</v>
      </c>
      <c r="F573" s="785">
        <v>0.15</v>
      </c>
      <c r="G573" s="728">
        <f>IF($E:$E="인",0,VLOOKUP($D:$D,[140]일위목록!$A:$H,6,FALSE))</f>
        <v>1030</v>
      </c>
      <c r="H573" s="728">
        <f t="shared" si="81"/>
        <v>154</v>
      </c>
      <c r="I573" s="728">
        <f>IF($E:$E="인",VLOOKUP($B:$B,[140]노임!$B:$H,6,FALSE),VLOOKUP($D:$D,[140]일위목록!$A:$H,7,FALSE))</f>
        <v>0</v>
      </c>
      <c r="J573" s="728">
        <f t="shared" si="82"/>
        <v>0</v>
      </c>
      <c r="K573" s="728">
        <f t="shared" si="83"/>
        <v>154</v>
      </c>
      <c r="L573" s="724" t="str">
        <f>IF($E:$E="인",VLOOKUP($B:$B,[140]단가!$B:$E,3,FALSE),VLOOKUP($D:$D,[140]일위목록!$A:$H,2,FALSE))</f>
        <v>단가-64번</v>
      </c>
      <c r="M573" s="717"/>
    </row>
    <row r="574" spans="1:13" s="718" customFormat="1" ht="21" customHeight="1">
      <c r="A574" s="724"/>
      <c r="B574" s="769" t="s">
        <v>6176</v>
      </c>
      <c r="C574" s="770"/>
      <c r="D574" s="726" t="str">
        <f t="shared" si="80"/>
        <v>도장공인</v>
      </c>
      <c r="E574" s="775" t="s">
        <v>6177</v>
      </c>
      <c r="F574" s="779">
        <f>0.115+0.005</f>
        <v>0.12000000000000001</v>
      </c>
      <c r="G574" s="728">
        <f>IF($E:$E="인",0,VLOOKUP($D:$D,[140]일위목록!$A:$H,6,FALSE))</f>
        <v>0</v>
      </c>
      <c r="H574" s="728">
        <f t="shared" si="81"/>
        <v>0</v>
      </c>
      <c r="I574" s="728">
        <f>IF($E:$E="인",VLOOKUP($B:$B,[140]노임!$B:$H,6,FALSE),VLOOKUP($D:$D,[140]일위목록!$A:$H,7,FALSE))</f>
        <v>184508</v>
      </c>
      <c r="J574" s="728">
        <f t="shared" si="82"/>
        <v>22140</v>
      </c>
      <c r="K574" s="728">
        <f t="shared" si="83"/>
        <v>22140</v>
      </c>
      <c r="L574" s="724" t="str">
        <f>IF($E:$E="인",VLOOKUP($B:$B,[140]노임!$B:$D,3,FALSE),VLOOKUP($D:$D,[140]일위목록!$A:$H,2,FALSE))</f>
        <v>건설노임-1029</v>
      </c>
      <c r="M574" s="717"/>
    </row>
    <row r="575" spans="1:13" s="718" customFormat="1" ht="21" customHeight="1">
      <c r="A575" s="724"/>
      <c r="B575" s="754" t="s">
        <v>5877</v>
      </c>
      <c r="C575" s="726"/>
      <c r="D575" s="726" t="str">
        <f t="shared" si="80"/>
        <v>보통인부인</v>
      </c>
      <c r="E575" s="724" t="s">
        <v>5862</v>
      </c>
      <c r="F575" s="779">
        <v>1E-3</v>
      </c>
      <c r="G575" s="728">
        <f>IF($E:$E="인",0,VLOOKUP($D:$D,[140]일위목록!$A:$H,6,FALSE))</f>
        <v>0</v>
      </c>
      <c r="H575" s="728">
        <f t="shared" si="81"/>
        <v>0</v>
      </c>
      <c r="I575" s="728">
        <f>IF($E:$E="인",VLOOKUP($B:$B,[140]노임!$B:$H,6,FALSE),VLOOKUP($D:$D,[140]일위목록!$A:$H,7,FALSE))</f>
        <v>125427</v>
      </c>
      <c r="J575" s="728">
        <f t="shared" si="82"/>
        <v>125</v>
      </c>
      <c r="K575" s="728">
        <f t="shared" si="83"/>
        <v>125</v>
      </c>
      <c r="L575" s="724" t="str">
        <f>IF($E:$E="인",VLOOKUP($B:$B,[140]노임!$B:$D,3,FALSE),VLOOKUP($D:$D,[140]일위목록!$A:$H,2,FALSE))</f>
        <v>건설노임-1002</v>
      </c>
      <c r="M575" s="717"/>
    </row>
    <row r="576" spans="1:13" s="718" customFormat="1" ht="21" customHeight="1">
      <c r="A576" s="724"/>
      <c r="B576" s="731" t="s">
        <v>5999</v>
      </c>
      <c r="C576" s="726" t="s">
        <v>6000</v>
      </c>
      <c r="D576" s="726"/>
      <c r="E576" s="724" t="s">
        <v>5998</v>
      </c>
      <c r="F576" s="727">
        <v>1</v>
      </c>
      <c r="G576" s="728">
        <f>TRUNC(H568+H569+H570+H571+H572+H573)*6%</f>
        <v>350.76</v>
      </c>
      <c r="H576" s="728">
        <f t="shared" si="81"/>
        <v>350</v>
      </c>
      <c r="I576" s="728"/>
      <c r="J576" s="728"/>
      <c r="K576" s="728">
        <f t="shared" si="83"/>
        <v>350</v>
      </c>
      <c r="L576" s="724"/>
      <c r="M576" s="717"/>
    </row>
    <row r="577" spans="1:13" s="718" customFormat="1" ht="21" customHeight="1">
      <c r="A577" s="724"/>
      <c r="B577" s="769" t="s">
        <v>6139</v>
      </c>
      <c r="C577" s="770" t="s">
        <v>6153</v>
      </c>
      <c r="D577" s="726" t="str">
        <f>SUBSTITUTE(CONCATENATE(B:B,C:C,E:E)," ","")</f>
        <v>기구손료노무비의9%식</v>
      </c>
      <c r="E577" s="775" t="s">
        <v>5867</v>
      </c>
      <c r="F577" s="779">
        <v>1</v>
      </c>
      <c r="G577" s="776">
        <f>TRUNC(J578*9%)</f>
        <v>2003</v>
      </c>
      <c r="H577" s="728">
        <f t="shared" si="81"/>
        <v>2003</v>
      </c>
      <c r="I577" s="728"/>
      <c r="J577" s="728"/>
      <c r="K577" s="728">
        <f>H577+J577</f>
        <v>2003</v>
      </c>
      <c r="L577" s="724"/>
      <c r="M577" s="717"/>
    </row>
    <row r="578" spans="1:13" s="718" customFormat="1" ht="21" customHeight="1">
      <c r="A578" s="724"/>
      <c r="B578" s="725" t="s">
        <v>5901</v>
      </c>
      <c r="C578" s="726"/>
      <c r="D578" s="726" t="str">
        <f>L:L</f>
        <v>제77호표</v>
      </c>
      <c r="E578" s="724"/>
      <c r="F578" s="727"/>
      <c r="G578" s="728"/>
      <c r="H578" s="728">
        <f>SUM(H568:H577)</f>
        <v>8199</v>
      </c>
      <c r="I578" s="728"/>
      <c r="J578" s="728">
        <f>SUM(J568:J577)</f>
        <v>22265</v>
      </c>
      <c r="K578" s="728">
        <f>SUM(K568:K577)</f>
        <v>30464</v>
      </c>
      <c r="L578" s="724" t="str">
        <f>A566</f>
        <v>제77호표</v>
      </c>
      <c r="M578" s="777"/>
    </row>
    <row r="579" spans="1:13" s="718" customFormat="1" ht="21" customHeight="1">
      <c r="A579" s="724"/>
      <c r="B579" s="725"/>
      <c r="C579" s="726"/>
      <c r="D579" s="726"/>
      <c r="E579" s="724"/>
      <c r="F579" s="727"/>
      <c r="G579" s="728"/>
      <c r="H579" s="728"/>
      <c r="I579" s="728"/>
      <c r="J579" s="728"/>
      <c r="K579" s="728"/>
      <c r="L579" s="724"/>
      <c r="M579" s="778"/>
    </row>
    <row r="580" spans="1:13" s="718" customFormat="1" ht="21" customHeight="1">
      <c r="A580" s="724"/>
      <c r="B580" s="725"/>
      <c r="C580" s="726"/>
      <c r="D580" s="726"/>
      <c r="E580" s="724"/>
      <c r="F580" s="727"/>
      <c r="G580" s="728"/>
      <c r="H580" s="728"/>
      <c r="I580" s="728"/>
      <c r="J580" s="728"/>
      <c r="K580" s="728"/>
      <c r="L580" s="724"/>
      <c r="M580" s="717"/>
    </row>
    <row r="581" spans="1:13" s="718" customFormat="1" ht="21" customHeight="1">
      <c r="A581" s="724" t="str">
        <f>"제"&amp;M581&amp;"호표"</f>
        <v>제78호표</v>
      </c>
      <c r="B581" s="739" t="s">
        <v>6178</v>
      </c>
      <c r="C581" s="726" t="s">
        <v>6179</v>
      </c>
      <c r="D581" s="726"/>
      <c r="E581" s="786" t="s">
        <v>6180</v>
      </c>
      <c r="F581" s="727"/>
      <c r="G581" s="728"/>
      <c r="H581" s="728"/>
      <c r="I581" s="728"/>
      <c r="J581" s="728"/>
      <c r="K581" s="728"/>
      <c r="L581" s="724"/>
      <c r="M581" s="729">
        <f>M566+1</f>
        <v>78</v>
      </c>
    </row>
    <row r="582" spans="1:13" s="718" customFormat="1" ht="21" customHeight="1">
      <c r="A582" s="724"/>
      <c r="B582" s="725"/>
      <c r="C582" s="726"/>
      <c r="D582" s="726"/>
      <c r="E582" s="724"/>
      <c r="F582" s="727"/>
      <c r="G582" s="728"/>
      <c r="H582" s="728"/>
      <c r="I582" s="728"/>
      <c r="J582" s="728"/>
      <c r="K582" s="728"/>
      <c r="L582" s="724"/>
      <c r="M582" s="729"/>
    </row>
    <row r="583" spans="1:13" s="718" customFormat="1" ht="21" customHeight="1">
      <c r="A583" s="724"/>
      <c r="B583" s="739" t="s">
        <v>6181</v>
      </c>
      <c r="C583" s="733" t="s">
        <v>6182</v>
      </c>
      <c r="D583" s="726" t="str">
        <f t="shared" ref="D583:D588" si="84">SUBSTITUTE(CONCATENATE(B:B,C:C,E:E)," ","")</f>
        <v>mdfT9mm*4'*8'M2</v>
      </c>
      <c r="E583" s="724" t="s">
        <v>5980</v>
      </c>
      <c r="F583" s="727">
        <v>1.05</v>
      </c>
      <c r="G583" s="728">
        <f>IF($E:$E="인",0,VLOOKUP($D:$D,[140]일위목록!$A:$H,6,FALSE))</f>
        <v>4006</v>
      </c>
      <c r="H583" s="728">
        <f t="shared" ref="H583:H588" si="85">TRUNC($F:$F*G:G)</f>
        <v>4206</v>
      </c>
      <c r="I583" s="728">
        <f>IF($E:$E="인",VLOOKUP($B:$B,[140]노임!$B:$H,6,FALSE),VLOOKUP($D:$D,[140]일위목록!$A:$H,7,FALSE))</f>
        <v>0</v>
      </c>
      <c r="J583" s="728">
        <f>TRUNC($F:$F*I:I)</f>
        <v>0</v>
      </c>
      <c r="K583" s="728">
        <f t="shared" ref="K583:K588" si="86">H583+J583</f>
        <v>4206</v>
      </c>
      <c r="L583" s="724" t="str">
        <f>IF($E:$E="인",VLOOKUP($B:$B,[140]단가!$B:$E,3,FALSE),VLOOKUP($D:$D,[140]일위목록!$A:$H,2,FALSE))</f>
        <v>단가-33번</v>
      </c>
      <c r="M583" s="717"/>
    </row>
    <row r="584" spans="1:13" s="718" customFormat="1" ht="21" customHeight="1">
      <c r="A584" s="724"/>
      <c r="B584" s="725" t="s">
        <v>6019</v>
      </c>
      <c r="C584" s="725">
        <v>205</v>
      </c>
      <c r="D584" s="726" t="str">
        <f t="shared" si="84"/>
        <v>목공용접착제205kg</v>
      </c>
      <c r="E584" s="724" t="s">
        <v>6020</v>
      </c>
      <c r="F584" s="727">
        <v>0.27</v>
      </c>
      <c r="G584" s="728">
        <f>IF($E:$E="인",0,VLOOKUP($D:$D,[140]일위목록!$A:$H,6,FALSE))</f>
        <v>3529</v>
      </c>
      <c r="H584" s="728">
        <f t="shared" si="85"/>
        <v>952</v>
      </c>
      <c r="I584" s="728">
        <f>IF($E:$E="인",VLOOKUP($B:$B,[140]노임!$B:$H,6,FALSE),VLOOKUP($D:$D,[140]일위목록!$A:$H,7,FALSE))</f>
        <v>0</v>
      </c>
      <c r="J584" s="728">
        <f>TRUNC($F:$F*I:I)</f>
        <v>0</v>
      </c>
      <c r="K584" s="728">
        <f t="shared" si="86"/>
        <v>952</v>
      </c>
      <c r="L584" s="724" t="str">
        <f>IF($E:$E="인",VLOOKUP($B:$B,[140]단가!$B:$E,3,FALSE),VLOOKUP($D:$D,[140]일위목록!$A:$H,2,FALSE))</f>
        <v>단가-56번</v>
      </c>
      <c r="M584" s="717"/>
    </row>
    <row r="585" spans="1:13" s="718" customFormat="1" ht="21" customHeight="1">
      <c r="A585" s="724"/>
      <c r="B585" s="725" t="s">
        <v>6016</v>
      </c>
      <c r="C585" s="726" t="s">
        <v>6017</v>
      </c>
      <c r="D585" s="726" t="str">
        <f t="shared" si="84"/>
        <v>일반용철못N50kg</v>
      </c>
      <c r="E585" s="724" t="s">
        <v>6020</v>
      </c>
      <c r="F585" s="727">
        <v>4.0000000000000001E-3</v>
      </c>
      <c r="G585" s="728">
        <f>IF($E:$E="인",0,VLOOKUP($D:$D,[140]일위목록!$A:$H,6,FALSE))</f>
        <v>1385</v>
      </c>
      <c r="H585" s="728">
        <f t="shared" si="85"/>
        <v>5</v>
      </c>
      <c r="I585" s="728">
        <f>IF($E:$E="인",VLOOKUP($B:$B,[140]노임!$B:$H,6,FALSE),VLOOKUP($D:$D,[140]일위목록!$A:$H,7,FALSE))</f>
        <v>0</v>
      </c>
      <c r="J585" s="728">
        <f>TRUNC($F:$F*I:I)</f>
        <v>0</v>
      </c>
      <c r="K585" s="728">
        <f t="shared" si="86"/>
        <v>5</v>
      </c>
      <c r="L585" s="724" t="str">
        <f>IF($E:$E="인",VLOOKUP($B:$B,[140]단가!$B:$E,3,FALSE),VLOOKUP($D:$D,[140]일위목록!$A:$H,2,FALSE))</f>
        <v>단가-11번</v>
      </c>
      <c r="M585" s="717"/>
    </row>
    <row r="586" spans="1:13" s="718" customFormat="1" ht="21" customHeight="1">
      <c r="A586" s="724"/>
      <c r="B586" s="731" t="s">
        <v>6021</v>
      </c>
      <c r="C586" s="726"/>
      <c r="D586" s="726" t="str">
        <f t="shared" si="84"/>
        <v>건축목공인</v>
      </c>
      <c r="E586" s="724" t="s">
        <v>5862</v>
      </c>
      <c r="F586" s="727">
        <v>6.5000000000000002E-2</v>
      </c>
      <c r="G586" s="728">
        <f>IF($E:$E="인",0,VLOOKUP($D:$D,[140]일위목록!$A:$H,6,FALSE))</f>
        <v>0</v>
      </c>
      <c r="H586" s="728">
        <f t="shared" si="85"/>
        <v>0</v>
      </c>
      <c r="I586" s="728">
        <f>IF($E:$E="인",VLOOKUP($B:$B,[140]노임!$B:$H,6,FALSE),VLOOKUP($D:$D,[140]일위목록!$A:$H,7,FALSE))</f>
        <v>200925</v>
      </c>
      <c r="J586" s="728">
        <f>TRUNC($F:$F*I:I)</f>
        <v>13060</v>
      </c>
      <c r="K586" s="728">
        <f t="shared" si="86"/>
        <v>13060</v>
      </c>
      <c r="L586" s="724" t="str">
        <f>IF($E:$E="인",VLOOKUP($B:$B,[140]노임!$B:$D,3,FALSE),VLOOKUP($D:$D,[140]일위목록!$A:$H,2,FALSE))</f>
        <v>건설노임-1023</v>
      </c>
      <c r="M586" s="717"/>
    </row>
    <row r="587" spans="1:13" s="718" customFormat="1" ht="21" customHeight="1">
      <c r="A587" s="724"/>
      <c r="B587" s="731" t="s">
        <v>5877</v>
      </c>
      <c r="C587" s="726"/>
      <c r="D587" s="726" t="str">
        <f t="shared" si="84"/>
        <v>보통인부인</v>
      </c>
      <c r="E587" s="724" t="s">
        <v>5862</v>
      </c>
      <c r="F587" s="727">
        <v>7.0000000000000001E-3</v>
      </c>
      <c r="G587" s="728">
        <f>IF($E:$E="인",0,VLOOKUP($D:$D,[140]일위목록!$A:$H,6,FALSE))</f>
        <v>0</v>
      </c>
      <c r="H587" s="728">
        <f t="shared" si="85"/>
        <v>0</v>
      </c>
      <c r="I587" s="728">
        <f>IF($E:$E="인",VLOOKUP($B:$B,[140]노임!$B:$H,6,FALSE),VLOOKUP($D:$D,[140]일위목록!$A:$H,7,FALSE))</f>
        <v>125427</v>
      </c>
      <c r="J587" s="728">
        <f>TRUNC($F:$F*I:I)</f>
        <v>877</v>
      </c>
      <c r="K587" s="728">
        <f t="shared" si="86"/>
        <v>877</v>
      </c>
      <c r="L587" s="724" t="str">
        <f>IF($E:$E="인",VLOOKUP($B:$B,[140]노임!$B:$D,3,FALSE),VLOOKUP($D:$D,[140]일위목록!$A:$H,2,FALSE))</f>
        <v>건설노임-1002</v>
      </c>
      <c r="M587" s="717"/>
    </row>
    <row r="588" spans="1:13" s="718" customFormat="1" ht="21" customHeight="1">
      <c r="A588" s="724"/>
      <c r="B588" s="725" t="s">
        <v>5996</v>
      </c>
      <c r="C588" s="726" t="s">
        <v>6183</v>
      </c>
      <c r="D588" s="726" t="str">
        <f t="shared" si="84"/>
        <v>기구손료노무비의2%식</v>
      </c>
      <c r="E588" s="724" t="s">
        <v>5998</v>
      </c>
      <c r="F588" s="727">
        <v>1</v>
      </c>
      <c r="G588" s="776">
        <f>TRUNC(J589*2%)</f>
        <v>278</v>
      </c>
      <c r="H588" s="728">
        <f t="shared" si="85"/>
        <v>278</v>
      </c>
      <c r="I588" s="728"/>
      <c r="J588" s="728"/>
      <c r="K588" s="728">
        <f t="shared" si="86"/>
        <v>278</v>
      </c>
      <c r="L588" s="724"/>
      <c r="M588" s="717"/>
    </row>
    <row r="589" spans="1:13" s="718" customFormat="1" ht="21" customHeight="1">
      <c r="A589" s="724"/>
      <c r="B589" s="725" t="s">
        <v>5901</v>
      </c>
      <c r="C589" s="726"/>
      <c r="D589" s="726" t="str">
        <f>L:L</f>
        <v>제78호표</v>
      </c>
      <c r="E589" s="724"/>
      <c r="F589" s="727"/>
      <c r="G589" s="728"/>
      <c r="H589" s="728">
        <f>SUM(H583:H588)</f>
        <v>5441</v>
      </c>
      <c r="I589" s="728"/>
      <c r="J589" s="728">
        <f>SUM(J583:J588)</f>
        <v>13937</v>
      </c>
      <c r="K589" s="728">
        <f>SUM(K583:K588)</f>
        <v>19378</v>
      </c>
      <c r="L589" s="724" t="str">
        <f>A581</f>
        <v>제78호표</v>
      </c>
      <c r="M589" s="717"/>
    </row>
    <row r="590" spans="1:13" s="718" customFormat="1" ht="21" customHeight="1">
      <c r="A590" s="724"/>
      <c r="B590" s="725"/>
      <c r="C590" s="726"/>
      <c r="D590" s="726"/>
      <c r="E590" s="724"/>
      <c r="F590" s="727"/>
      <c r="G590" s="728"/>
      <c r="H590" s="728"/>
      <c r="I590" s="728"/>
      <c r="J590" s="728"/>
      <c r="K590" s="728"/>
      <c r="L590" s="724"/>
      <c r="M590" s="717"/>
    </row>
    <row r="591" spans="1:13" s="718" customFormat="1" ht="21" customHeight="1">
      <c r="A591" s="724"/>
      <c r="B591" s="725"/>
      <c r="C591" s="726"/>
      <c r="D591" s="726"/>
      <c r="E591" s="724"/>
      <c r="F591" s="727"/>
      <c r="G591" s="728"/>
      <c r="H591" s="728"/>
      <c r="I591" s="728"/>
      <c r="J591" s="728"/>
      <c r="K591" s="728"/>
      <c r="L591" s="724"/>
      <c r="M591" s="717"/>
    </row>
    <row r="592" spans="1:13" s="718" customFormat="1" ht="21" customHeight="1">
      <c r="A592" s="724" t="str">
        <f>"제"&amp;M592&amp;"호표"</f>
        <v>제79호표</v>
      </c>
      <c r="B592" s="739" t="s">
        <v>6184</v>
      </c>
      <c r="C592" s="726" t="s">
        <v>6185</v>
      </c>
      <c r="D592" s="726"/>
      <c r="E592" s="786" t="s">
        <v>6180</v>
      </c>
      <c r="F592" s="727"/>
      <c r="G592" s="728"/>
      <c r="H592" s="728"/>
      <c r="I592" s="728"/>
      <c r="J592" s="728"/>
      <c r="K592" s="728"/>
      <c r="L592" s="724"/>
      <c r="M592" s="729">
        <f>M581+1</f>
        <v>79</v>
      </c>
    </row>
    <row r="593" spans="1:13" s="718" customFormat="1" ht="21" customHeight="1">
      <c r="A593" s="724"/>
      <c r="B593" s="725"/>
      <c r="C593" s="726"/>
      <c r="D593" s="726"/>
      <c r="E593" s="724"/>
      <c r="F593" s="727"/>
      <c r="G593" s="728"/>
      <c r="H593" s="728"/>
      <c r="I593" s="728"/>
      <c r="J593" s="728"/>
      <c r="K593" s="728"/>
      <c r="L593" s="724"/>
      <c r="M593" s="729"/>
    </row>
    <row r="594" spans="1:13" s="718" customFormat="1" ht="21" customHeight="1">
      <c r="A594" s="724"/>
      <c r="B594" s="742" t="s">
        <v>6186</v>
      </c>
      <c r="C594" s="742" t="s">
        <v>6187</v>
      </c>
      <c r="D594" s="726" t="str">
        <f>SUBSTITUTE(CONCATENATE(B:B,C:C,E:E)," ","")</f>
        <v>바탕처리도배퍼티M2</v>
      </c>
      <c r="E594" s="787" t="s">
        <v>59</v>
      </c>
      <c r="F594" s="727">
        <v>1.05</v>
      </c>
      <c r="G594" s="728">
        <f>IF($E:$E="인",0,VLOOKUP($D:$D,[140]일위목록!$A:$H,6,FALSE))</f>
        <v>1160</v>
      </c>
      <c r="H594" s="728">
        <f>TRUNC($F:$F*G:G)</f>
        <v>1218</v>
      </c>
      <c r="I594" s="728">
        <f>IF($E:$E="인",VLOOKUP($B:$B,[140]노임!$B:$H,6,FALSE),VLOOKUP($D:$D,[140]일위목록!$A:$H,7,FALSE))</f>
        <v>7711</v>
      </c>
      <c r="J594" s="728">
        <f>TRUNC($F:$F*I:I)</f>
        <v>8096</v>
      </c>
      <c r="K594" s="728">
        <f t="shared" ref="K594:K596" si="87">H594+J594</f>
        <v>9314</v>
      </c>
      <c r="L594" s="724" t="str">
        <f>IF($E:$E="인",VLOOKUP($B:$B,[140]노임!$B:$D,3,FALSE),VLOOKUP($D:$D,[140]일위목록!$A:$H,2,FALSE))</f>
        <v>제55호표</v>
      </c>
      <c r="M594" s="717"/>
    </row>
    <row r="595" spans="1:13" s="718" customFormat="1" ht="21" customHeight="1">
      <c r="A595" s="724"/>
      <c r="B595" s="725" t="s">
        <v>6188</v>
      </c>
      <c r="C595" s="726" t="s">
        <v>6063</v>
      </c>
      <c r="D595" s="726" t="str">
        <f>SUBSTITUTE(CONCATENATE(B:B,C:C,E:E)," ","")</f>
        <v>내부도배세마직벽지M2</v>
      </c>
      <c r="E595" s="787" t="s">
        <v>59</v>
      </c>
      <c r="F595" s="727">
        <v>1.05</v>
      </c>
      <c r="G595" s="728">
        <f>IF($E:$E="인",0,VLOOKUP($D:$D,[140]일위목록!$A:$H,6,FALSE))</f>
        <v>47152</v>
      </c>
      <c r="H595" s="728">
        <f>TRUNC($F:$F*G:G)</f>
        <v>49509</v>
      </c>
      <c r="I595" s="728">
        <f>IF($E:$E="인",VLOOKUP($B:$B,[140]노임!$B:$H,6,FALSE),VLOOKUP($D:$D,[140]일위목록!$A:$H,7,FALSE))</f>
        <v>5222</v>
      </c>
      <c r="J595" s="728">
        <f>TRUNC($F:$F*I:I)</f>
        <v>5483</v>
      </c>
      <c r="K595" s="728">
        <f t="shared" si="87"/>
        <v>54992</v>
      </c>
      <c r="L595" s="724" t="str">
        <f>IF($E:$E="인",VLOOKUP($B:$B,[140]노임!$B:$D,3,FALSE),VLOOKUP($D:$D,[140]일위목록!$A:$H,2,FALSE))</f>
        <v>제56호표</v>
      </c>
      <c r="M595" s="717"/>
    </row>
    <row r="596" spans="1:13" s="718" customFormat="1" ht="21" customHeight="1">
      <c r="A596" s="724"/>
      <c r="B596" s="762" t="s">
        <v>6178</v>
      </c>
      <c r="C596" s="726" t="s">
        <v>6179</v>
      </c>
      <c r="D596" s="726" t="str">
        <f>SUBSTITUTE(CONCATENATE(B:B,C:C,E:E)," ","")</f>
        <v>mdf취부T9mm㎡</v>
      </c>
      <c r="E596" s="787" t="s">
        <v>6131</v>
      </c>
      <c r="F596" s="727">
        <v>1.05</v>
      </c>
      <c r="G596" s="728">
        <f>IF($E:$E="인",0,VLOOKUP($D:$D,[140]일위목록!$A:$H,6,FALSE))</f>
        <v>5441</v>
      </c>
      <c r="H596" s="728">
        <f>TRUNC($F:$F*G:G)</f>
        <v>5713</v>
      </c>
      <c r="I596" s="728">
        <f>IF($E:$E="인",VLOOKUP($B:$B,[140]노임!$B:$H,6,FALSE),VLOOKUP($D:$D,[140]일위목록!$A:$H,7,FALSE))</f>
        <v>13937</v>
      </c>
      <c r="J596" s="728">
        <f>TRUNC($F:$F*I:I)</f>
        <v>14633</v>
      </c>
      <c r="K596" s="728">
        <f t="shared" si="87"/>
        <v>20346</v>
      </c>
      <c r="L596" s="724" t="str">
        <f>IF($E:$E="인",VLOOKUP($B:$B,[140]노임!$B:$D,3,FALSE),VLOOKUP($D:$D,[140]일위목록!$A:$H,2,FALSE))</f>
        <v>제78호표</v>
      </c>
      <c r="M596" s="717"/>
    </row>
    <row r="597" spans="1:13" s="718" customFormat="1" ht="21" customHeight="1">
      <c r="A597" s="724"/>
      <c r="B597" s="725" t="s">
        <v>5901</v>
      </c>
      <c r="C597" s="726"/>
      <c r="D597" s="726" t="str">
        <f>L:L</f>
        <v>제79호표</v>
      </c>
      <c r="E597" s="724"/>
      <c r="F597" s="727"/>
      <c r="G597" s="728"/>
      <c r="H597" s="728">
        <f>SUM(H594:H596)</f>
        <v>56440</v>
      </c>
      <c r="I597" s="728"/>
      <c r="J597" s="728">
        <f>SUM(J594:J596)</f>
        <v>28212</v>
      </c>
      <c r="K597" s="728">
        <f>H597+J597</f>
        <v>84652</v>
      </c>
      <c r="L597" s="724" t="str">
        <f>A592</f>
        <v>제79호표</v>
      </c>
      <c r="M597" s="717"/>
    </row>
    <row r="598" spans="1:13" s="718" customFormat="1" ht="21" customHeight="1">
      <c r="A598" s="724"/>
      <c r="B598" s="725"/>
      <c r="C598" s="726"/>
      <c r="D598" s="726"/>
      <c r="E598" s="724"/>
      <c r="F598" s="727"/>
      <c r="G598" s="728"/>
      <c r="H598" s="728"/>
      <c r="I598" s="728"/>
      <c r="J598" s="728"/>
      <c r="K598" s="728"/>
      <c r="L598" s="724"/>
      <c r="M598" s="717"/>
    </row>
    <row r="599" spans="1:13" s="718" customFormat="1" ht="21" customHeight="1">
      <c r="A599" s="724"/>
      <c r="B599" s="725"/>
      <c r="C599" s="726"/>
      <c r="D599" s="726"/>
      <c r="E599" s="724"/>
      <c r="F599" s="727"/>
      <c r="G599" s="728"/>
      <c r="H599" s="728"/>
      <c r="I599" s="728"/>
      <c r="J599" s="728"/>
      <c r="K599" s="728"/>
      <c r="L599" s="724"/>
      <c r="M599" s="717"/>
    </row>
    <row r="600" spans="1:13" s="718" customFormat="1" ht="21" customHeight="1">
      <c r="A600" s="724" t="str">
        <f>"제"&amp;M600&amp;"호표"</f>
        <v>제80호표</v>
      </c>
      <c r="B600" s="739" t="s">
        <v>6189</v>
      </c>
      <c r="C600" s="726"/>
      <c r="D600" s="726"/>
      <c r="E600" s="786" t="s">
        <v>6121</v>
      </c>
      <c r="F600" s="727"/>
      <c r="G600" s="728"/>
      <c r="H600" s="728"/>
      <c r="I600" s="728"/>
      <c r="J600" s="728"/>
      <c r="K600" s="728"/>
      <c r="L600" s="724"/>
      <c r="M600" s="729">
        <f>M592+1</f>
        <v>80</v>
      </c>
    </row>
    <row r="601" spans="1:13" s="718" customFormat="1" ht="21" customHeight="1">
      <c r="A601" s="724"/>
      <c r="B601" s="725"/>
      <c r="C601" s="726"/>
      <c r="D601" s="726"/>
      <c r="E601" s="724"/>
      <c r="F601" s="727"/>
      <c r="G601" s="728"/>
      <c r="H601" s="728"/>
      <c r="I601" s="728"/>
      <c r="J601" s="728"/>
      <c r="K601" s="728"/>
      <c r="L601" s="724"/>
      <c r="M601" s="729"/>
    </row>
    <row r="602" spans="1:13" s="718" customFormat="1" ht="21" customHeight="1">
      <c r="A602" s="724"/>
      <c r="B602" s="742" t="s">
        <v>6190</v>
      </c>
      <c r="C602" s="742" t="s">
        <v>6191</v>
      </c>
      <c r="D602" s="726" t="str">
        <f>SUBSTITUTE(CONCATENATE(B:B,C:C,E:E)," ","")</f>
        <v>멀티트랙트랙레일(1회로)m</v>
      </c>
      <c r="E602" s="787" t="s">
        <v>6121</v>
      </c>
      <c r="F602" s="727">
        <v>1.05</v>
      </c>
      <c r="G602" s="728">
        <f>IF($E:$E="인",0,VLOOKUP($D:$D,[140]일위목록!$A:$H,6,FALSE))</f>
        <v>23800</v>
      </c>
      <c r="H602" s="728">
        <f>TRUNC($F:$F*G:G)</f>
        <v>24990</v>
      </c>
      <c r="I602" s="728">
        <f>IF($E:$E="인",VLOOKUP($B:$B,[140]노임!$B:$H,6,FALSE),VLOOKUP($D:$D,[140]일위목록!$A:$H,7,FALSE))</f>
        <v>0</v>
      </c>
      <c r="J602" s="728">
        <f>TRUNC($F:$F*I:I)</f>
        <v>0</v>
      </c>
      <c r="K602" s="728">
        <f t="shared" ref="K602:K603" si="88">H602+J602</f>
        <v>24990</v>
      </c>
      <c r="L602" s="724" t="str">
        <f>IF($E:$E="인",VLOOKUP($B:$B,[140]단가!$B:$E,3,FALSE),VLOOKUP($D:$D,[140]일위목록!$A:$H,2,FALSE))</f>
        <v>단가-132번</v>
      </c>
      <c r="M602" s="717"/>
    </row>
    <row r="603" spans="1:13" s="718" customFormat="1" ht="21" customHeight="1">
      <c r="A603" s="724"/>
      <c r="B603" s="726" t="s">
        <v>6192</v>
      </c>
      <c r="C603" s="726"/>
      <c r="D603" s="726" t="str">
        <f>SUBSTITUTE(CONCATENATE(B:B,C:C,E:E)," ","")</f>
        <v>내선전공인</v>
      </c>
      <c r="E603" s="787" t="s">
        <v>6193</v>
      </c>
      <c r="F603" s="727">
        <v>0.252</v>
      </c>
      <c r="G603" s="728">
        <f>IF($E:$E="인",0,VLOOKUP($D:$D,[140]일위목록!$A:$H,6,FALSE))</f>
        <v>0</v>
      </c>
      <c r="H603" s="728">
        <f>TRUNC($F:$F*G:G)</f>
        <v>0</v>
      </c>
      <c r="I603" s="728">
        <f>IF($E:$E="인",VLOOKUP($B:$B,[140]노임!$B:$H,6,FALSE),VLOOKUP($D:$D,[140]일위목록!$A:$H,7,FALSE))</f>
        <v>225408</v>
      </c>
      <c r="J603" s="728">
        <f>TRUNC($F:$F*I:I)</f>
        <v>56802</v>
      </c>
      <c r="K603" s="728">
        <f t="shared" si="88"/>
        <v>56802</v>
      </c>
      <c r="L603" s="724" t="str">
        <f>IF($E:$E="인",VLOOKUP($B:$B,[140]노임!$B:$D,3,FALSE),VLOOKUP($D:$D,[140]일위목록!$A:$H,2,FALSE))</f>
        <v>건설노임-1075</v>
      </c>
      <c r="M603" s="717"/>
    </row>
    <row r="604" spans="1:13" s="718" customFormat="1" ht="21" customHeight="1">
      <c r="A604" s="724"/>
      <c r="B604" s="762" t="s">
        <v>6194</v>
      </c>
      <c r="C604" s="726"/>
      <c r="D604" s="726" t="str">
        <f>SUBSTITUTE(CONCATENATE(B:B,C:C,E:E)," ","")</f>
        <v>공구손료식</v>
      </c>
      <c r="E604" s="787" t="s">
        <v>6195</v>
      </c>
      <c r="F604" s="727">
        <v>1</v>
      </c>
      <c r="G604" s="728">
        <v>524</v>
      </c>
      <c r="H604" s="728">
        <f>TRUNC($F:$F*G:G)</f>
        <v>524</v>
      </c>
      <c r="I604" s="728"/>
      <c r="J604" s="728">
        <f>TRUNC($F:$F*I:I)</f>
        <v>0</v>
      </c>
      <c r="K604" s="728">
        <f>H604+J604</f>
        <v>524</v>
      </c>
      <c r="L604" s="724"/>
      <c r="M604" s="717"/>
    </row>
    <row r="605" spans="1:13" s="718" customFormat="1" ht="21" customHeight="1">
      <c r="A605" s="724"/>
      <c r="B605" s="725" t="s">
        <v>5901</v>
      </c>
      <c r="C605" s="726"/>
      <c r="D605" s="726" t="str">
        <f>L:L</f>
        <v>제80호표</v>
      </c>
      <c r="E605" s="724"/>
      <c r="F605" s="727"/>
      <c r="G605" s="728"/>
      <c r="H605" s="728">
        <f>SUM(H602:H604)</f>
        <v>25514</v>
      </c>
      <c r="I605" s="728"/>
      <c r="J605" s="728">
        <f>SUM(J602:J604)</f>
        <v>56802</v>
      </c>
      <c r="K605" s="728">
        <f>H605+J605</f>
        <v>82316</v>
      </c>
      <c r="L605" s="724" t="str">
        <f>A600</f>
        <v>제80호표</v>
      </c>
      <c r="M605" s="717"/>
    </row>
    <row r="606" spans="1:13" s="718" customFormat="1" ht="21" customHeight="1">
      <c r="A606" s="724"/>
      <c r="B606" s="725"/>
      <c r="C606" s="726"/>
      <c r="D606" s="726"/>
      <c r="E606" s="724"/>
      <c r="F606" s="727"/>
      <c r="G606" s="728"/>
      <c r="H606" s="728"/>
      <c r="I606" s="728"/>
      <c r="J606" s="728"/>
      <c r="K606" s="728"/>
      <c r="L606" s="724"/>
      <c r="M606" s="717"/>
    </row>
    <row r="607" spans="1:13" s="718" customFormat="1" ht="21" customHeight="1">
      <c r="A607" s="724"/>
      <c r="B607" s="725"/>
      <c r="C607" s="726"/>
      <c r="D607" s="726"/>
      <c r="E607" s="724"/>
      <c r="F607" s="727"/>
      <c r="G607" s="728"/>
      <c r="H607" s="728"/>
      <c r="I607" s="728"/>
      <c r="J607" s="728"/>
      <c r="K607" s="728"/>
      <c r="L607" s="724"/>
      <c r="M607" s="717"/>
    </row>
    <row r="608" spans="1:13" s="718" customFormat="1" ht="21" customHeight="1">
      <c r="A608" s="724" t="str">
        <f>"제"&amp;M608&amp;"호표"</f>
        <v>제81호표</v>
      </c>
      <c r="B608" s="739" t="s">
        <v>6196</v>
      </c>
      <c r="C608" s="726" t="s">
        <v>6197</v>
      </c>
      <c r="D608" s="726"/>
      <c r="E608" s="744" t="s">
        <v>6198</v>
      </c>
      <c r="F608" s="727"/>
      <c r="G608" s="728"/>
      <c r="H608" s="728"/>
      <c r="I608" s="728"/>
      <c r="J608" s="728"/>
      <c r="K608" s="728"/>
      <c r="L608" s="724"/>
      <c r="M608" s="729">
        <f>M600+1</f>
        <v>81</v>
      </c>
    </row>
    <row r="609" spans="1:13" s="718" customFormat="1" ht="21" customHeight="1">
      <c r="A609" s="724"/>
      <c r="B609" s="725"/>
      <c r="C609" s="726"/>
      <c r="D609" s="726"/>
      <c r="E609" s="724"/>
      <c r="F609" s="727"/>
      <c r="G609" s="728"/>
      <c r="H609" s="728"/>
      <c r="I609" s="728"/>
      <c r="J609" s="728"/>
      <c r="K609" s="728"/>
      <c r="L609" s="724"/>
      <c r="M609" s="717"/>
    </row>
    <row r="610" spans="1:13" s="718" customFormat="1" ht="21" customHeight="1">
      <c r="A610" s="724"/>
      <c r="B610" s="745" t="s">
        <v>6199</v>
      </c>
      <c r="C610" s="745" t="s">
        <v>6200</v>
      </c>
      <c r="D610" s="726" t="str">
        <f>SUBSTITUTE(CONCATENATE(B:B,C:C,E:E)," ","")</f>
        <v>박물관용led램프핀스포트형(벽부형)EA</v>
      </c>
      <c r="E610" s="724" t="s">
        <v>6118</v>
      </c>
      <c r="F610" s="727">
        <v>1.05</v>
      </c>
      <c r="G610" s="728">
        <f>IF($E:$E="인",0,VLOOKUP($D:$D,[140]일위목록!$A:$H,6,FALSE))</f>
        <v>170000</v>
      </c>
      <c r="H610" s="728">
        <f>TRUNC($F:$F*G:G)</f>
        <v>178500</v>
      </c>
      <c r="I610" s="728">
        <f>IF($E:$E="인",VLOOKUP($B:$B,[140]노임!$B:$H,6,FALSE),VLOOKUP($D:$D,[140]일위목록!$A:$H,7,FALSE))</f>
        <v>0</v>
      </c>
      <c r="J610" s="728">
        <f>TRUNC($F:$F*I:I)</f>
        <v>0</v>
      </c>
      <c r="K610" s="728">
        <f t="shared" ref="K610:K611" si="89">H610+J610</f>
        <v>178500</v>
      </c>
      <c r="L610" s="724" t="str">
        <f>IF($E:$E="인",VLOOKUP($B:$B,[140]단가!$B:$E,3,FALSE),VLOOKUP($D:$D,[140]일위목록!$A:$H,2,FALSE))</f>
        <v>단가-121번</v>
      </c>
      <c r="M610" s="717"/>
    </row>
    <row r="611" spans="1:13" s="718" customFormat="1" ht="21" customHeight="1">
      <c r="A611" s="724"/>
      <c r="B611" s="731" t="s">
        <v>6192</v>
      </c>
      <c r="C611" s="726"/>
      <c r="D611" s="726" t="str">
        <f>SUBSTITUTE(CONCATENATE(B:B,C:C,E:E)," ","")</f>
        <v>내선전공인</v>
      </c>
      <c r="E611" s="724" t="s">
        <v>5862</v>
      </c>
      <c r="F611" s="727">
        <v>0.11700000000000001</v>
      </c>
      <c r="G611" s="728">
        <f>IF($E:$E="인",0,VLOOKUP($D:$D,[140]일위목록!$A:$H,6,FALSE))</f>
        <v>0</v>
      </c>
      <c r="H611" s="728">
        <f>TRUNC($F:$F*G:G)</f>
        <v>0</v>
      </c>
      <c r="I611" s="728">
        <f>IF($E:$E="인",VLOOKUP($B:$B,[140]노임!$B:$H,6,FALSE),VLOOKUP($D:$D,[140]일위목록!$A:$H,7,FALSE))</f>
        <v>225408</v>
      </c>
      <c r="J611" s="728">
        <f>TRUNC($F:$F*I:I)</f>
        <v>26372</v>
      </c>
      <c r="K611" s="728">
        <f t="shared" si="89"/>
        <v>26372</v>
      </c>
      <c r="L611" s="724" t="str">
        <f>IF($E:$E="인",VLOOKUP($B:$B,[140]노임!$B:$D,3,FALSE),VLOOKUP($D:$D,[140]일위목록!$A:$H,2,FALSE))</f>
        <v>건설노임-1075</v>
      </c>
      <c r="M611" s="717"/>
    </row>
    <row r="612" spans="1:13" s="718" customFormat="1" ht="21" customHeight="1">
      <c r="A612" s="724"/>
      <c r="B612" s="731"/>
      <c r="C612" s="726"/>
      <c r="D612" s="726"/>
      <c r="E612" s="724"/>
      <c r="F612" s="727"/>
      <c r="G612" s="728"/>
      <c r="H612" s="728"/>
      <c r="I612" s="728"/>
      <c r="J612" s="728"/>
      <c r="K612" s="728"/>
      <c r="L612" s="724"/>
      <c r="M612" s="717"/>
    </row>
    <row r="613" spans="1:13" s="718" customFormat="1" ht="21" customHeight="1">
      <c r="A613" s="724"/>
      <c r="B613" s="725" t="s">
        <v>5901</v>
      </c>
      <c r="C613" s="726"/>
      <c r="D613" s="726" t="str">
        <f>L:L</f>
        <v>제81호표</v>
      </c>
      <c r="E613" s="724"/>
      <c r="F613" s="727"/>
      <c r="G613" s="728"/>
      <c r="H613" s="728">
        <f>SUM(H610:H612)</f>
        <v>178500</v>
      </c>
      <c r="I613" s="728"/>
      <c r="J613" s="728">
        <f>SUM(J610:J612)</f>
        <v>26372</v>
      </c>
      <c r="K613" s="728">
        <f>SUM(K610:K612)</f>
        <v>204872</v>
      </c>
      <c r="L613" s="724" t="str">
        <f>A608</f>
        <v>제81호표</v>
      </c>
      <c r="M613" s="717"/>
    </row>
    <row r="614" spans="1:13" s="718" customFormat="1" ht="21" customHeight="1">
      <c r="A614" s="724"/>
      <c r="B614" s="746"/>
      <c r="C614" s="746"/>
      <c r="D614" s="726"/>
      <c r="E614" s="746"/>
      <c r="F614" s="741"/>
      <c r="G614" s="728"/>
      <c r="H614" s="728"/>
      <c r="I614" s="728"/>
      <c r="J614" s="728"/>
      <c r="K614" s="728"/>
      <c r="L614" s="724"/>
      <c r="M614" s="717"/>
    </row>
    <row r="615" spans="1:13" s="718" customFormat="1" ht="21" customHeight="1">
      <c r="A615" s="724"/>
      <c r="B615" s="746"/>
      <c r="C615" s="746"/>
      <c r="D615" s="726"/>
      <c r="E615" s="746"/>
      <c r="F615" s="741"/>
      <c r="G615" s="728"/>
      <c r="H615" s="728"/>
      <c r="I615" s="728"/>
      <c r="J615" s="728"/>
      <c r="K615" s="728"/>
      <c r="L615" s="724"/>
      <c r="M615" s="717"/>
    </row>
    <row r="616" spans="1:13" s="718" customFormat="1" ht="21" customHeight="1">
      <c r="A616" s="724" t="str">
        <f>"제"&amp;M616&amp;"호표"</f>
        <v>제82호표</v>
      </c>
      <c r="B616" s="739" t="s">
        <v>6201</v>
      </c>
      <c r="C616" s="726" t="s">
        <v>6197</v>
      </c>
      <c r="D616" s="726"/>
      <c r="E616" s="744" t="s">
        <v>6198</v>
      </c>
      <c r="F616" s="727"/>
      <c r="G616" s="728"/>
      <c r="H616" s="728"/>
      <c r="I616" s="728"/>
      <c r="J616" s="728"/>
      <c r="K616" s="728"/>
      <c r="L616" s="724"/>
      <c r="M616" s="729">
        <f>M608+1</f>
        <v>82</v>
      </c>
    </row>
    <row r="617" spans="1:13" s="718" customFormat="1" ht="21" customHeight="1">
      <c r="A617" s="724"/>
      <c r="B617" s="725"/>
      <c r="C617" s="726"/>
      <c r="D617" s="726"/>
      <c r="E617" s="724"/>
      <c r="F617" s="727"/>
      <c r="G617" s="728"/>
      <c r="H617" s="728"/>
      <c r="I617" s="728"/>
      <c r="J617" s="728"/>
      <c r="K617" s="728"/>
      <c r="L617" s="724"/>
      <c r="M617" s="717"/>
    </row>
    <row r="618" spans="1:13" s="718" customFormat="1" ht="21" customHeight="1">
      <c r="A618" s="724"/>
      <c r="B618" s="745" t="s">
        <v>6199</v>
      </c>
      <c r="C618" s="745" t="s">
        <v>6202</v>
      </c>
      <c r="D618" s="726" t="str">
        <f>SUBSTITUTE(CONCATENATE(B:B,C:C,E:E)," ","")</f>
        <v>박물관용led램프핀스포트형(독립장형)EA</v>
      </c>
      <c r="E618" s="724" t="s">
        <v>6118</v>
      </c>
      <c r="F618" s="727">
        <v>1.05</v>
      </c>
      <c r="G618" s="728">
        <f>IF($E:$E="인",0,VLOOKUP($D:$D,[140]일위목록!$A:$H,6,FALSE))</f>
        <v>110000</v>
      </c>
      <c r="H618" s="728">
        <f>TRUNC($F:$F*G:G)</f>
        <v>115500</v>
      </c>
      <c r="I618" s="728">
        <f>IF($E:$E="인",VLOOKUP($B:$B,[140]노임!$B:$H,6,FALSE),VLOOKUP($D:$D,[140]일위목록!$A:$H,7,FALSE))</f>
        <v>0</v>
      </c>
      <c r="J618" s="728">
        <f>TRUNC($F:$F*I:I)</f>
        <v>0</v>
      </c>
      <c r="K618" s="728">
        <f t="shared" ref="K618:K619" si="90">H618+J618</f>
        <v>115500</v>
      </c>
      <c r="L618" s="724" t="str">
        <f>IF($E:$E="인",VLOOKUP($B:$B,[140]단가!$B:$E,3,FALSE),VLOOKUP($D:$D,[140]일위목록!$A:$H,2,FALSE))</f>
        <v>단가-122번</v>
      </c>
      <c r="M618" s="717"/>
    </row>
    <row r="619" spans="1:13" s="718" customFormat="1" ht="21" customHeight="1">
      <c r="A619" s="724"/>
      <c r="B619" s="731" t="s">
        <v>6192</v>
      </c>
      <c r="C619" s="726"/>
      <c r="D619" s="726" t="str">
        <f>SUBSTITUTE(CONCATENATE(B:B,C:C,E:E)," ","")</f>
        <v>내선전공인</v>
      </c>
      <c r="E619" s="724" t="s">
        <v>5862</v>
      </c>
      <c r="F619" s="727">
        <v>0.11700000000000001</v>
      </c>
      <c r="G619" s="728">
        <f>IF($E:$E="인",0,VLOOKUP($D:$D,[140]일위목록!$A:$H,6,FALSE))</f>
        <v>0</v>
      </c>
      <c r="H619" s="728">
        <f>TRUNC($F:$F*G:G)</f>
        <v>0</v>
      </c>
      <c r="I619" s="728">
        <f>IF($E:$E="인",VLOOKUP($B:$B,[140]노임!$B:$H,6,FALSE),VLOOKUP($D:$D,[140]일위목록!$A:$H,7,FALSE))</f>
        <v>225408</v>
      </c>
      <c r="J619" s="728">
        <f>TRUNC($F:$F*I:I)</f>
        <v>26372</v>
      </c>
      <c r="K619" s="728">
        <f t="shared" si="90"/>
        <v>26372</v>
      </c>
      <c r="L619" s="724" t="str">
        <f>IF($E:$E="인",VLOOKUP($B:$B,[140]노임!$B:$D,3,FALSE),VLOOKUP($D:$D,[140]일위목록!$A:$H,2,FALSE))</f>
        <v>건설노임-1075</v>
      </c>
      <c r="M619" s="717"/>
    </row>
    <row r="620" spans="1:13" s="718" customFormat="1" ht="21" customHeight="1">
      <c r="A620" s="724"/>
      <c r="B620" s="731"/>
      <c r="C620" s="726"/>
      <c r="D620" s="726"/>
      <c r="E620" s="724"/>
      <c r="F620" s="727"/>
      <c r="G620" s="728"/>
      <c r="H620" s="728"/>
      <c r="I620" s="728"/>
      <c r="J620" s="728"/>
      <c r="K620" s="728"/>
      <c r="L620" s="724"/>
      <c r="M620" s="717"/>
    </row>
    <row r="621" spans="1:13" s="718" customFormat="1" ht="21" customHeight="1">
      <c r="A621" s="724"/>
      <c r="B621" s="725" t="s">
        <v>5901</v>
      </c>
      <c r="C621" s="726"/>
      <c r="D621" s="726" t="str">
        <f>L:L</f>
        <v>제82호표</v>
      </c>
      <c r="E621" s="724"/>
      <c r="F621" s="727"/>
      <c r="G621" s="728"/>
      <c r="H621" s="728">
        <f>SUM(H618:H620)</f>
        <v>115500</v>
      </c>
      <c r="I621" s="728"/>
      <c r="J621" s="728">
        <f>SUM(J618:J620)</f>
        <v>26372</v>
      </c>
      <c r="K621" s="728">
        <f>SUM(K618:K620)</f>
        <v>141872</v>
      </c>
      <c r="L621" s="724" t="str">
        <f>A616</f>
        <v>제82호표</v>
      </c>
      <c r="M621" s="717"/>
    </row>
    <row r="622" spans="1:13" s="718" customFormat="1" ht="21" customHeight="1">
      <c r="A622" s="724"/>
      <c r="B622" s="746"/>
      <c r="C622" s="746"/>
      <c r="D622" s="726"/>
      <c r="E622" s="746"/>
      <c r="F622" s="741"/>
      <c r="G622" s="728"/>
      <c r="H622" s="728"/>
      <c r="I622" s="728"/>
      <c r="J622" s="728"/>
      <c r="K622" s="728"/>
      <c r="L622" s="724"/>
      <c r="M622" s="717"/>
    </row>
    <row r="623" spans="1:13" s="718" customFormat="1" ht="21" customHeight="1">
      <c r="A623" s="724"/>
      <c r="B623" s="746"/>
      <c r="C623" s="746"/>
      <c r="D623" s="726"/>
      <c r="E623" s="746"/>
      <c r="F623" s="741"/>
      <c r="G623" s="728"/>
      <c r="H623" s="728"/>
      <c r="I623" s="728"/>
      <c r="J623" s="728"/>
      <c r="K623" s="728"/>
      <c r="L623" s="724"/>
      <c r="M623" s="717"/>
    </row>
    <row r="624" spans="1:13" s="718" customFormat="1" ht="21" customHeight="1">
      <c r="A624" s="724" t="str">
        <f>"제"&amp;M624&amp;"호표"</f>
        <v>제83호표</v>
      </c>
      <c r="B624" s="739" t="s">
        <v>6203</v>
      </c>
      <c r="C624" s="726" t="s">
        <v>6204</v>
      </c>
      <c r="D624" s="726"/>
      <c r="E624" s="788" t="s">
        <v>5899</v>
      </c>
      <c r="F624" s="727"/>
      <c r="G624" s="728"/>
      <c r="H624" s="728"/>
      <c r="I624" s="728"/>
      <c r="J624" s="728"/>
      <c r="K624" s="728"/>
      <c r="L624" s="724"/>
      <c r="M624" s="729">
        <f>M616+1</f>
        <v>83</v>
      </c>
    </row>
    <row r="625" spans="1:13" s="718" customFormat="1" ht="21" customHeight="1">
      <c r="A625" s="724"/>
      <c r="B625" s="725"/>
      <c r="C625" s="726"/>
      <c r="D625" s="726"/>
      <c r="E625" s="724"/>
      <c r="F625" s="727"/>
      <c r="G625" s="728"/>
      <c r="H625" s="728"/>
      <c r="I625" s="728"/>
      <c r="J625" s="728"/>
      <c r="K625" s="728"/>
      <c r="L625" s="724"/>
      <c r="M625" s="717"/>
    </row>
    <row r="626" spans="1:13" s="718" customFormat="1" ht="21" customHeight="1">
      <c r="A626" s="724"/>
      <c r="B626" s="745" t="s">
        <v>6205</v>
      </c>
      <c r="C626" s="745" t="s">
        <v>6206</v>
      </c>
      <c r="D626" s="726" t="str">
        <f>SUBSTITUTE(CONCATENATE(B:B,C:C,E:E)," ","")</f>
        <v>박물관용ledBAR상부천장용M</v>
      </c>
      <c r="E626" s="724" t="s">
        <v>5899</v>
      </c>
      <c r="F626" s="727">
        <v>1.05</v>
      </c>
      <c r="G626" s="728">
        <f>IF($E:$E="인",0,VLOOKUP($D:$D,[140]일위목록!$A:$H,6,FALSE))</f>
        <v>100000</v>
      </c>
      <c r="H626" s="728">
        <f>TRUNC($F:$F*G:G)</f>
        <v>105000</v>
      </c>
      <c r="I626" s="728">
        <f>IF($E:$E="인",VLOOKUP($B:$B,[140]노임!$B:$H,6,FALSE),VLOOKUP($D:$D,[140]일위목록!$A:$H,7,FALSE))</f>
        <v>0</v>
      </c>
      <c r="J626" s="728">
        <f>TRUNC($F:$F*I:I)</f>
        <v>0</v>
      </c>
      <c r="K626" s="728">
        <f t="shared" ref="K626:K627" si="91">H626+J626</f>
        <v>105000</v>
      </c>
      <c r="L626" s="724" t="str">
        <f>IF($E:$E="인",VLOOKUP($B:$B,[140]단가!$B:$E,3,FALSE),VLOOKUP($D:$D,[140]일위목록!$A:$H,2,FALSE))</f>
        <v>단가-123번</v>
      </c>
      <c r="M626" s="717"/>
    </row>
    <row r="627" spans="1:13" s="718" customFormat="1" ht="21" customHeight="1">
      <c r="A627" s="724"/>
      <c r="B627" s="731" t="s">
        <v>6192</v>
      </c>
      <c r="C627" s="726"/>
      <c r="D627" s="726" t="str">
        <f>SUBSTITUTE(CONCATENATE(B:B,C:C,E:E)," ","")</f>
        <v>내선전공인</v>
      </c>
      <c r="E627" s="724" t="s">
        <v>5862</v>
      </c>
      <c r="F627" s="727">
        <v>0.11700000000000001</v>
      </c>
      <c r="G627" s="728">
        <f>IF($E:$E="인",0,VLOOKUP($D:$D,[140]일위목록!$A:$H,6,FALSE))</f>
        <v>0</v>
      </c>
      <c r="H627" s="728">
        <f>TRUNC($F:$F*G:G)</f>
        <v>0</v>
      </c>
      <c r="I627" s="728">
        <f>IF($E:$E="인",VLOOKUP($B:$B,[140]노임!$B:$H,6,FALSE),VLOOKUP($D:$D,[140]일위목록!$A:$H,7,FALSE))</f>
        <v>225408</v>
      </c>
      <c r="J627" s="728">
        <f>TRUNC($F:$F*I:I)</f>
        <v>26372</v>
      </c>
      <c r="K627" s="728">
        <f t="shared" si="91"/>
        <v>26372</v>
      </c>
      <c r="L627" s="724" t="str">
        <f>IF($E:$E="인",VLOOKUP($B:$B,[140]노임!$B:$D,3,FALSE),VLOOKUP($D:$D,[140]일위목록!$A:$H,2,FALSE))</f>
        <v>건설노임-1075</v>
      </c>
      <c r="M627" s="717"/>
    </row>
    <row r="628" spans="1:13" s="718" customFormat="1" ht="21" customHeight="1">
      <c r="A628" s="724"/>
      <c r="B628" s="731"/>
      <c r="C628" s="726"/>
      <c r="D628" s="726"/>
      <c r="E628" s="724"/>
      <c r="F628" s="727"/>
      <c r="G628" s="728"/>
      <c r="H628" s="728"/>
      <c r="I628" s="728"/>
      <c r="J628" s="728"/>
      <c r="K628" s="728"/>
      <c r="L628" s="724"/>
      <c r="M628" s="717"/>
    </row>
    <row r="629" spans="1:13" s="718" customFormat="1" ht="21" customHeight="1">
      <c r="A629" s="724"/>
      <c r="B629" s="725" t="s">
        <v>5901</v>
      </c>
      <c r="C629" s="726"/>
      <c r="D629" s="726" t="str">
        <f>L:L</f>
        <v>제83호표</v>
      </c>
      <c r="E629" s="724"/>
      <c r="F629" s="727"/>
      <c r="G629" s="728"/>
      <c r="H629" s="728">
        <f>SUM(H626:H628)</f>
        <v>105000</v>
      </c>
      <c r="I629" s="728"/>
      <c r="J629" s="728">
        <f>SUM(J626:J628)</f>
        <v>26372</v>
      </c>
      <c r="K629" s="728">
        <f>SUM(K626:K628)</f>
        <v>131372</v>
      </c>
      <c r="L629" s="724" t="str">
        <f>A624</f>
        <v>제83호표</v>
      </c>
      <c r="M629" s="717"/>
    </row>
    <row r="630" spans="1:13" s="718" customFormat="1" ht="21" customHeight="1">
      <c r="A630" s="724"/>
      <c r="B630" s="725"/>
      <c r="C630" s="726"/>
      <c r="D630" s="726"/>
      <c r="E630" s="724"/>
      <c r="F630" s="727"/>
      <c r="G630" s="728"/>
      <c r="H630" s="728"/>
      <c r="I630" s="728"/>
      <c r="J630" s="728"/>
      <c r="K630" s="728"/>
      <c r="L630" s="724"/>
      <c r="M630" s="717"/>
    </row>
    <row r="631" spans="1:13" s="718" customFormat="1" ht="21" customHeight="1">
      <c r="A631" s="724"/>
      <c r="B631" s="725"/>
      <c r="C631" s="726"/>
      <c r="D631" s="726"/>
      <c r="E631" s="724"/>
      <c r="F631" s="727"/>
      <c r="G631" s="728"/>
      <c r="H631" s="728"/>
      <c r="I631" s="728"/>
      <c r="J631" s="728"/>
      <c r="K631" s="728"/>
      <c r="L631" s="724"/>
      <c r="M631" s="717"/>
    </row>
    <row r="632" spans="1:13" s="718" customFormat="1" ht="21" customHeight="1">
      <c r="A632" s="724" t="str">
        <f>"제"&amp;M632&amp;"호표"</f>
        <v>제84호표</v>
      </c>
      <c r="B632" s="739" t="s">
        <v>6207</v>
      </c>
      <c r="C632" s="726" t="s">
        <v>6208</v>
      </c>
      <c r="D632" s="726"/>
      <c r="E632" s="789" t="s">
        <v>6209</v>
      </c>
      <c r="F632" s="727"/>
      <c r="G632" s="728"/>
      <c r="H632" s="728"/>
      <c r="I632" s="728"/>
      <c r="J632" s="728"/>
      <c r="K632" s="728"/>
      <c r="L632" s="724"/>
      <c r="M632" s="729">
        <f>M624+1</f>
        <v>84</v>
      </c>
    </row>
    <row r="633" spans="1:13" s="718" customFormat="1" ht="21" customHeight="1">
      <c r="A633" s="724"/>
      <c r="B633" s="725"/>
      <c r="C633" s="726"/>
      <c r="D633" s="726"/>
      <c r="E633" s="724"/>
      <c r="F633" s="727"/>
      <c r="G633" s="728"/>
      <c r="H633" s="728"/>
      <c r="I633" s="728"/>
      <c r="J633" s="728"/>
      <c r="K633" s="728"/>
      <c r="L633" s="724"/>
      <c r="M633" s="717"/>
    </row>
    <row r="634" spans="1:13" s="718" customFormat="1" ht="21" customHeight="1">
      <c r="A634" s="724"/>
      <c r="B634" s="745" t="s">
        <v>6199</v>
      </c>
      <c r="C634" s="745" t="s">
        <v>6208</v>
      </c>
      <c r="D634" s="726" t="str">
        <f>SUBSTITUTE(CONCATENATE(B:B,C:C,E:E)," ","")</f>
        <v>박물관용led램프컨트롤러(24채널)set</v>
      </c>
      <c r="E634" s="789" t="s">
        <v>6209</v>
      </c>
      <c r="F634" s="727">
        <v>1</v>
      </c>
      <c r="G634" s="728">
        <f>IF($E:$E="인",0,VLOOKUP($D:$D,[140]일위목록!$A:$H,6,FALSE))</f>
        <v>800000</v>
      </c>
      <c r="H634" s="728">
        <f>TRUNC($F:$F*G:G)</f>
        <v>800000</v>
      </c>
      <c r="I634" s="728">
        <f>IF($E:$E="인",VLOOKUP($B:$B,[140]노임!$B:$H,6,FALSE),VLOOKUP($D:$D,[140]일위목록!$A:$H,7,FALSE))</f>
        <v>0</v>
      </c>
      <c r="J634" s="728">
        <f>TRUNC($F:$F*I:I)</f>
        <v>0</v>
      </c>
      <c r="K634" s="728">
        <f t="shared" ref="K634:K635" si="92">H634+J634</f>
        <v>800000</v>
      </c>
      <c r="L634" s="724" t="str">
        <f>IF($E:$E="인",VLOOKUP($B:$B,[140]단가!$B:$E,3,FALSE),VLOOKUP($D:$D,[140]일위목록!$A:$H,2,FALSE))</f>
        <v>단가-125번</v>
      </c>
      <c r="M634" s="717"/>
    </row>
    <row r="635" spans="1:13" s="718" customFormat="1" ht="21" customHeight="1">
      <c r="A635" s="724"/>
      <c r="B635" s="731" t="s">
        <v>6192</v>
      </c>
      <c r="C635" s="726"/>
      <c r="D635" s="726" t="str">
        <f>SUBSTITUTE(CONCATENATE(B:B,C:C,E:E)," ","")</f>
        <v>내선전공인</v>
      </c>
      <c r="E635" s="724" t="s">
        <v>5862</v>
      </c>
      <c r="F635" s="727">
        <v>0.6</v>
      </c>
      <c r="G635" s="728">
        <f>IF($E:$E="인",0,VLOOKUP($D:$D,[140]일위목록!$A:$H,6,FALSE))</f>
        <v>0</v>
      </c>
      <c r="H635" s="728">
        <f>TRUNC($F:$F*G:G)</f>
        <v>0</v>
      </c>
      <c r="I635" s="728">
        <f>IF($E:$E="인",VLOOKUP($B:$B,[140]노임!$B:$H,6,FALSE),VLOOKUP($D:$D,[140]일위목록!$A:$H,7,FALSE))</f>
        <v>225408</v>
      </c>
      <c r="J635" s="728">
        <f>TRUNC($F:$F*I:I)</f>
        <v>135244</v>
      </c>
      <c r="K635" s="728">
        <f t="shared" si="92"/>
        <v>135244</v>
      </c>
      <c r="L635" s="724" t="str">
        <f>IF($E:$E="인",VLOOKUP($B:$B,[140]노임!$B:$D,3,FALSE),VLOOKUP($D:$D,[140]일위목록!$A:$H,2,FALSE))</f>
        <v>건설노임-1075</v>
      </c>
      <c r="M635" s="717"/>
    </row>
    <row r="636" spans="1:13" s="718" customFormat="1" ht="21" customHeight="1">
      <c r="A636" s="724"/>
      <c r="B636" s="731"/>
      <c r="C636" s="726"/>
      <c r="D636" s="726"/>
      <c r="E636" s="724"/>
      <c r="F636" s="727"/>
      <c r="G636" s="728"/>
      <c r="H636" s="728"/>
      <c r="I636" s="728"/>
      <c r="J636" s="728"/>
      <c r="K636" s="728"/>
      <c r="L636" s="724"/>
      <c r="M636" s="717"/>
    </row>
    <row r="637" spans="1:13" s="718" customFormat="1" ht="21" customHeight="1">
      <c r="A637" s="724"/>
      <c r="B637" s="725" t="s">
        <v>5901</v>
      </c>
      <c r="C637" s="726"/>
      <c r="D637" s="726" t="str">
        <f>L:L</f>
        <v>제84호표</v>
      </c>
      <c r="E637" s="724"/>
      <c r="F637" s="727"/>
      <c r="G637" s="728"/>
      <c r="H637" s="728">
        <f>SUM(H634:H636)</f>
        <v>800000</v>
      </c>
      <c r="I637" s="728"/>
      <c r="J637" s="728">
        <f>SUM(J634:J636)</f>
        <v>135244</v>
      </c>
      <c r="K637" s="728">
        <f>SUM(K634:K636)</f>
        <v>935244</v>
      </c>
      <c r="L637" s="724" t="str">
        <f>A632</f>
        <v>제84호표</v>
      </c>
      <c r="M637" s="717"/>
    </row>
    <row r="638" spans="1:13" s="718" customFormat="1" ht="21" customHeight="1">
      <c r="A638" s="724"/>
      <c r="B638" s="746"/>
      <c r="C638" s="746"/>
      <c r="D638" s="726"/>
      <c r="E638" s="746"/>
      <c r="F638" s="741"/>
      <c r="G638" s="728"/>
      <c r="H638" s="728"/>
      <c r="I638" s="728"/>
      <c r="J638" s="728"/>
      <c r="K638" s="728"/>
      <c r="L638" s="724"/>
      <c r="M638" s="717"/>
    </row>
    <row r="639" spans="1:13" s="718" customFormat="1" ht="21" customHeight="1">
      <c r="A639" s="724"/>
      <c r="B639" s="746"/>
      <c r="C639" s="746"/>
      <c r="D639" s="726"/>
      <c r="E639" s="746"/>
      <c r="F639" s="741"/>
      <c r="G639" s="728"/>
      <c r="H639" s="728"/>
      <c r="I639" s="728"/>
      <c r="J639" s="728"/>
      <c r="K639" s="728"/>
      <c r="L639" s="724"/>
      <c r="M639" s="717"/>
    </row>
    <row r="640" spans="1:13" s="718" customFormat="1" ht="21" customHeight="1">
      <c r="A640" s="724" t="str">
        <f>"제"&amp;M640&amp;"호표"</f>
        <v>제85호표</v>
      </c>
      <c r="B640" s="739" t="s">
        <v>6207</v>
      </c>
      <c r="C640" s="726" t="s">
        <v>6210</v>
      </c>
      <c r="D640" s="726"/>
      <c r="E640" s="789" t="s">
        <v>6209</v>
      </c>
      <c r="F640" s="727"/>
      <c r="G640" s="728"/>
      <c r="H640" s="728"/>
      <c r="I640" s="728"/>
      <c r="J640" s="728"/>
      <c r="K640" s="728"/>
      <c r="L640" s="724"/>
      <c r="M640" s="729">
        <f>M632+1</f>
        <v>85</v>
      </c>
    </row>
    <row r="641" spans="1:13" s="718" customFormat="1" ht="21" customHeight="1">
      <c r="A641" s="724"/>
      <c r="B641" s="725"/>
      <c r="C641" s="726"/>
      <c r="D641" s="726"/>
      <c r="E641" s="724"/>
      <c r="F641" s="727"/>
      <c r="G641" s="728"/>
      <c r="H641" s="728"/>
      <c r="I641" s="728"/>
      <c r="J641" s="728"/>
      <c r="K641" s="728"/>
      <c r="L641" s="724"/>
      <c r="M641" s="717"/>
    </row>
    <row r="642" spans="1:13" s="718" customFormat="1" ht="21" customHeight="1">
      <c r="A642" s="724"/>
      <c r="B642" s="745" t="s">
        <v>6199</v>
      </c>
      <c r="C642" s="745" t="s">
        <v>6210</v>
      </c>
      <c r="D642" s="726" t="str">
        <f>SUBSTITUTE(CONCATENATE(B:B,C:C,E:E)," ","")</f>
        <v>박물관용led램프컨트롤러(16채널)set</v>
      </c>
      <c r="E642" s="789" t="s">
        <v>6209</v>
      </c>
      <c r="F642" s="727">
        <v>1</v>
      </c>
      <c r="G642" s="728">
        <f>IF($E:$E="인",0,VLOOKUP($D:$D,[140]일위목록!$A:$H,6,FALSE))</f>
        <v>650000</v>
      </c>
      <c r="H642" s="728">
        <f>TRUNC($F:$F*G:G)</f>
        <v>650000</v>
      </c>
      <c r="I642" s="728">
        <f>IF($E:$E="인",VLOOKUP($B:$B,[140]노임!$B:$H,6,FALSE),VLOOKUP($D:$D,[140]일위목록!$A:$H,7,FALSE))</f>
        <v>0</v>
      </c>
      <c r="J642" s="728">
        <f>TRUNC($F:$F*I:I)</f>
        <v>0</v>
      </c>
      <c r="K642" s="728">
        <f t="shared" ref="K642:K643" si="93">H642+J642</f>
        <v>650000</v>
      </c>
      <c r="L642" s="724" t="str">
        <f>IF($E:$E="인",VLOOKUP($B:$B,[140]단가!$B:$E,3,FALSE),VLOOKUP($D:$D,[140]일위목록!$A:$H,2,FALSE))</f>
        <v>단가-126번</v>
      </c>
      <c r="M642" s="717"/>
    </row>
    <row r="643" spans="1:13" s="718" customFormat="1" ht="21" customHeight="1">
      <c r="A643" s="724"/>
      <c r="B643" s="731" t="s">
        <v>6192</v>
      </c>
      <c r="C643" s="726"/>
      <c r="D643" s="726" t="str">
        <f>SUBSTITUTE(CONCATENATE(B:B,C:C,E:E)," ","")</f>
        <v>내선전공인</v>
      </c>
      <c r="E643" s="724" t="s">
        <v>5862</v>
      </c>
      <c r="F643" s="727">
        <v>0.4</v>
      </c>
      <c r="G643" s="728">
        <f>IF($E:$E="인",0,VLOOKUP($D:$D,[140]일위목록!$A:$H,6,FALSE))</f>
        <v>0</v>
      </c>
      <c r="H643" s="728">
        <f>TRUNC($F:$F*G:G)</f>
        <v>0</v>
      </c>
      <c r="I643" s="728">
        <f>IF($E:$E="인",VLOOKUP($B:$B,[140]노임!$B:$H,6,FALSE),VLOOKUP($D:$D,[140]일위목록!$A:$H,7,FALSE))</f>
        <v>225408</v>
      </c>
      <c r="J643" s="728">
        <f>TRUNC($F:$F*I:I)</f>
        <v>90163</v>
      </c>
      <c r="K643" s="728">
        <f t="shared" si="93"/>
        <v>90163</v>
      </c>
      <c r="L643" s="724" t="str">
        <f>IF($E:$E="인",VLOOKUP($B:$B,[140]노임!$B:$D,3,FALSE),VLOOKUP($D:$D,[140]일위목록!$A:$H,2,FALSE))</f>
        <v>건설노임-1075</v>
      </c>
      <c r="M643" s="717"/>
    </row>
    <row r="644" spans="1:13" s="718" customFormat="1" ht="21" customHeight="1">
      <c r="A644" s="724"/>
      <c r="B644" s="731"/>
      <c r="C644" s="726"/>
      <c r="D644" s="726"/>
      <c r="E644" s="724"/>
      <c r="F644" s="727"/>
      <c r="G644" s="728"/>
      <c r="H644" s="728"/>
      <c r="I644" s="728"/>
      <c r="J644" s="728"/>
      <c r="K644" s="728"/>
      <c r="L644" s="724"/>
      <c r="M644" s="717"/>
    </row>
    <row r="645" spans="1:13" s="718" customFormat="1" ht="21" customHeight="1">
      <c r="A645" s="724"/>
      <c r="B645" s="725" t="s">
        <v>5901</v>
      </c>
      <c r="C645" s="726"/>
      <c r="D645" s="726" t="str">
        <f>L:L</f>
        <v>제85호표</v>
      </c>
      <c r="E645" s="724"/>
      <c r="F645" s="727"/>
      <c r="G645" s="728"/>
      <c r="H645" s="728">
        <f>SUM(H642:H644)</f>
        <v>650000</v>
      </c>
      <c r="I645" s="728"/>
      <c r="J645" s="728">
        <f>SUM(J642:J644)</f>
        <v>90163</v>
      </c>
      <c r="K645" s="728">
        <f>SUM(K642:K644)</f>
        <v>740163</v>
      </c>
      <c r="L645" s="724" t="str">
        <f>A640</f>
        <v>제85호표</v>
      </c>
      <c r="M645" s="717"/>
    </row>
    <row r="646" spans="1:13" s="718" customFormat="1" ht="21" customHeight="1">
      <c r="A646" s="724"/>
      <c r="B646" s="746"/>
      <c r="C646" s="746"/>
      <c r="D646" s="726"/>
      <c r="E646" s="746"/>
      <c r="F646" s="741"/>
      <c r="G646" s="728"/>
      <c r="H646" s="728"/>
      <c r="I646" s="728"/>
      <c r="J646" s="728"/>
      <c r="K646" s="728"/>
      <c r="L646" s="724"/>
      <c r="M646" s="717"/>
    </row>
    <row r="647" spans="1:13" s="718" customFormat="1" ht="21" customHeight="1">
      <c r="A647" s="724"/>
      <c r="B647" s="746"/>
      <c r="C647" s="746"/>
      <c r="D647" s="726"/>
      <c r="E647" s="746"/>
      <c r="F647" s="741"/>
      <c r="G647" s="728"/>
      <c r="H647" s="728"/>
      <c r="I647" s="728"/>
      <c r="J647" s="728"/>
      <c r="K647" s="728"/>
      <c r="L647" s="724"/>
      <c r="M647" s="717"/>
    </row>
    <row r="648" spans="1:13" s="718" customFormat="1" ht="21" customHeight="1">
      <c r="A648" s="724" t="str">
        <f>"제"&amp;M648&amp;"호표"</f>
        <v>제86호표</v>
      </c>
      <c r="B648" s="739" t="s">
        <v>6207</v>
      </c>
      <c r="C648" s="726" t="s">
        <v>6211</v>
      </c>
      <c r="D648" s="726"/>
      <c r="E648" s="789" t="s">
        <v>6209</v>
      </c>
      <c r="F648" s="727"/>
      <c r="G648" s="728"/>
      <c r="H648" s="728"/>
      <c r="I648" s="728"/>
      <c r="J648" s="728"/>
      <c r="K648" s="728"/>
      <c r="L648" s="724"/>
      <c r="M648" s="729">
        <f>M640+1</f>
        <v>86</v>
      </c>
    </row>
    <row r="649" spans="1:13" s="718" customFormat="1" ht="21" customHeight="1">
      <c r="A649" s="724"/>
      <c r="B649" s="725"/>
      <c r="C649" s="726"/>
      <c r="D649" s="726"/>
      <c r="E649" s="724"/>
      <c r="F649" s="727"/>
      <c r="G649" s="728"/>
      <c r="H649" s="728"/>
      <c r="I649" s="728"/>
      <c r="J649" s="728"/>
      <c r="K649" s="728"/>
      <c r="L649" s="724"/>
      <c r="M649" s="717"/>
    </row>
    <row r="650" spans="1:13" s="718" customFormat="1" ht="21" customHeight="1">
      <c r="A650" s="724"/>
      <c r="B650" s="745" t="s">
        <v>6199</v>
      </c>
      <c r="C650" s="745" t="s">
        <v>6211</v>
      </c>
      <c r="D650" s="726" t="str">
        <f>SUBSTITUTE(CONCATENATE(B:B,C:C,E:E)," ","")</f>
        <v>박물관용led램프컨트롤러(8채널)set</v>
      </c>
      <c r="E650" s="789" t="s">
        <v>6209</v>
      </c>
      <c r="F650" s="727">
        <v>1</v>
      </c>
      <c r="G650" s="728">
        <f>IF($E:$E="인",0,VLOOKUP($D:$D,[140]일위목록!$A:$H,6,FALSE))</f>
        <v>600000</v>
      </c>
      <c r="H650" s="728">
        <f>TRUNC($F:$F*G:G)</f>
        <v>600000</v>
      </c>
      <c r="I650" s="728">
        <f>IF($E:$E="인",VLOOKUP($B:$B,[140]노임!$B:$H,6,FALSE),VLOOKUP($D:$D,[140]일위목록!$A:$H,7,FALSE))</f>
        <v>0</v>
      </c>
      <c r="J650" s="728">
        <f>TRUNC($F:$F*I:I)</f>
        <v>0</v>
      </c>
      <c r="K650" s="728">
        <f t="shared" ref="K650:K651" si="94">H650+J650</f>
        <v>600000</v>
      </c>
      <c r="L650" s="724" t="str">
        <f>IF($E:$E="인",VLOOKUP($B:$B,[140]단가!$B:$E,3,FALSE),VLOOKUP($D:$D,[140]일위목록!$A:$H,2,FALSE))</f>
        <v>단가-127번</v>
      </c>
      <c r="M650" s="717"/>
    </row>
    <row r="651" spans="1:13" s="718" customFormat="1" ht="21" customHeight="1">
      <c r="A651" s="724"/>
      <c r="B651" s="731" t="s">
        <v>6192</v>
      </c>
      <c r="C651" s="726"/>
      <c r="D651" s="726" t="str">
        <f>SUBSTITUTE(CONCATENATE(B:B,C:C,E:E)," ","")</f>
        <v>내선전공인</v>
      </c>
      <c r="E651" s="724" t="s">
        <v>5862</v>
      </c>
      <c r="F651" s="727">
        <v>0.4</v>
      </c>
      <c r="G651" s="728">
        <f>IF($E:$E="인",0,VLOOKUP($D:$D,[140]일위목록!$A:$H,6,FALSE))</f>
        <v>0</v>
      </c>
      <c r="H651" s="728">
        <f>TRUNC($F:$F*G:G)</f>
        <v>0</v>
      </c>
      <c r="I651" s="728">
        <f>IF($E:$E="인",VLOOKUP($B:$B,[140]노임!$B:$H,6,FALSE),VLOOKUP($D:$D,[140]일위목록!$A:$H,7,FALSE))</f>
        <v>225408</v>
      </c>
      <c r="J651" s="728">
        <f>TRUNC($F:$F*I:I)</f>
        <v>90163</v>
      </c>
      <c r="K651" s="728">
        <f t="shared" si="94"/>
        <v>90163</v>
      </c>
      <c r="L651" s="724" t="str">
        <f>IF($E:$E="인",VLOOKUP($B:$B,[140]노임!$B:$D,3,FALSE),VLOOKUP($D:$D,[140]일위목록!$A:$H,2,FALSE))</f>
        <v>건설노임-1075</v>
      </c>
      <c r="M651" s="717"/>
    </row>
    <row r="652" spans="1:13" s="718" customFormat="1" ht="21" customHeight="1">
      <c r="A652" s="724"/>
      <c r="B652" s="731"/>
      <c r="C652" s="726"/>
      <c r="D652" s="726"/>
      <c r="E652" s="724"/>
      <c r="F652" s="727"/>
      <c r="G652" s="728"/>
      <c r="H652" s="728"/>
      <c r="I652" s="728"/>
      <c r="J652" s="728"/>
      <c r="K652" s="728"/>
      <c r="L652" s="724"/>
      <c r="M652" s="717"/>
    </row>
    <row r="653" spans="1:13" s="718" customFormat="1" ht="21" customHeight="1">
      <c r="A653" s="724"/>
      <c r="B653" s="725" t="s">
        <v>5901</v>
      </c>
      <c r="C653" s="726"/>
      <c r="D653" s="726" t="str">
        <f>L:L</f>
        <v>제86호표</v>
      </c>
      <c r="E653" s="724"/>
      <c r="F653" s="727"/>
      <c r="G653" s="728"/>
      <c r="H653" s="728">
        <f>SUM(H650:H652)</f>
        <v>600000</v>
      </c>
      <c r="I653" s="728"/>
      <c r="J653" s="728">
        <f>SUM(J650:J652)</f>
        <v>90163</v>
      </c>
      <c r="K653" s="728">
        <f>SUM(K650:K652)</f>
        <v>690163</v>
      </c>
      <c r="L653" s="724" t="str">
        <f>A648</f>
        <v>제86호표</v>
      </c>
      <c r="M653" s="717"/>
    </row>
    <row r="654" spans="1:13" s="718" customFormat="1" ht="21" customHeight="1">
      <c r="A654" s="724"/>
      <c r="B654" s="746"/>
      <c r="C654" s="746"/>
      <c r="D654" s="726"/>
      <c r="E654" s="746"/>
      <c r="F654" s="741"/>
      <c r="G654" s="728"/>
      <c r="H654" s="728"/>
      <c r="I654" s="728"/>
      <c r="J654" s="728"/>
      <c r="K654" s="728"/>
      <c r="L654" s="724"/>
      <c r="M654" s="717"/>
    </row>
    <row r="655" spans="1:13" s="718" customFormat="1" ht="21" customHeight="1">
      <c r="A655" s="724"/>
      <c r="B655" s="746"/>
      <c r="C655" s="746"/>
      <c r="D655" s="726"/>
      <c r="E655" s="746"/>
      <c r="F655" s="741"/>
      <c r="G655" s="728"/>
      <c r="H655" s="728"/>
      <c r="I655" s="728"/>
      <c r="J655" s="728"/>
      <c r="K655" s="728"/>
      <c r="L655" s="724"/>
      <c r="M655" s="717"/>
    </row>
    <row r="656" spans="1:13" s="718" customFormat="1" ht="21" customHeight="1">
      <c r="A656" s="724" t="str">
        <f>"제"&amp;M656&amp;"호표"</f>
        <v>제87호표</v>
      </c>
      <c r="B656" s="739" t="s">
        <v>6212</v>
      </c>
      <c r="C656" s="733" t="s">
        <v>6213</v>
      </c>
      <c r="D656" s="726"/>
      <c r="E656" s="789" t="s">
        <v>6209</v>
      </c>
      <c r="F656" s="727"/>
      <c r="G656" s="728"/>
      <c r="H656" s="728"/>
      <c r="I656" s="728"/>
      <c r="J656" s="728"/>
      <c r="K656" s="728"/>
      <c r="L656" s="724"/>
      <c r="M656" s="729">
        <f>M648+1</f>
        <v>87</v>
      </c>
    </row>
    <row r="657" spans="1:13" s="718" customFormat="1" ht="21" customHeight="1">
      <c r="A657" s="724"/>
      <c r="B657" s="725"/>
      <c r="C657" s="726"/>
      <c r="D657" s="726"/>
      <c r="E657" s="724"/>
      <c r="F657" s="727"/>
      <c r="G657" s="728"/>
      <c r="H657" s="728"/>
      <c r="I657" s="728"/>
      <c r="J657" s="728"/>
      <c r="K657" s="728"/>
      <c r="L657" s="724"/>
      <c r="M657" s="717"/>
    </row>
    <row r="658" spans="1:13" s="718" customFormat="1" ht="21" customHeight="1">
      <c r="A658" s="724"/>
      <c r="B658" s="745" t="s">
        <v>6205</v>
      </c>
      <c r="C658" s="733" t="s">
        <v>6213</v>
      </c>
      <c r="D658" s="726" t="str">
        <f>SUBSTITUTE(CONCATENATE(B:B,C:C,E:E)," ","")</f>
        <v>박물관용ledBAR컨트롤러set</v>
      </c>
      <c r="E658" s="789" t="s">
        <v>6209</v>
      </c>
      <c r="F658" s="727">
        <v>1</v>
      </c>
      <c r="G658" s="728">
        <f>IF($E:$E="인",0,VLOOKUP($D:$D,[140]일위목록!$A:$H,6,FALSE))</f>
        <v>400000</v>
      </c>
      <c r="H658" s="728">
        <f>TRUNC($F:$F*G:G)</f>
        <v>400000</v>
      </c>
      <c r="I658" s="728">
        <f>IF($E:$E="인",VLOOKUP($B:$B,[140]노임!$B:$H,6,FALSE),VLOOKUP($D:$D,[140]일위목록!$A:$H,7,FALSE))</f>
        <v>0</v>
      </c>
      <c r="J658" s="728">
        <f>TRUNC($F:$F*I:I)</f>
        <v>0</v>
      </c>
      <c r="K658" s="728">
        <f t="shared" ref="K658:K660" si="95">H658+J658</f>
        <v>400000</v>
      </c>
      <c r="L658" s="724" t="str">
        <f>IF($E:$E="인",VLOOKUP($B:$B,[140]단가!$B:$E,3,FALSE),VLOOKUP($D:$D,[140]일위목록!$A:$H,2,FALSE))</f>
        <v>단가-128번</v>
      </c>
      <c r="M658" s="717"/>
    </row>
    <row r="659" spans="1:13" s="718" customFormat="1" ht="21" customHeight="1">
      <c r="A659" s="724"/>
      <c r="B659" s="745" t="s">
        <v>6214</v>
      </c>
      <c r="C659" s="733" t="s">
        <v>6215</v>
      </c>
      <c r="D659" s="726" t="str">
        <f>SUBSTITUTE(CONCATENATE(B:B,C:C,E:E)," ","")</f>
        <v>LED파워컨트롤러SMPSEA</v>
      </c>
      <c r="E659" s="789" t="s">
        <v>6118</v>
      </c>
      <c r="F659" s="727">
        <v>1</v>
      </c>
      <c r="G659" s="728">
        <f>IF($E:$E="인",0,VLOOKUP($D:$D,[140]일위목록!$A:$H,6,FALSE))</f>
        <v>130000</v>
      </c>
      <c r="H659" s="728">
        <f>TRUNC($F:$F*G:G)</f>
        <v>130000</v>
      </c>
      <c r="I659" s="728">
        <f>IF($E:$E="인",VLOOKUP($B:$B,[140]노임!$B:$H,6,FALSE),VLOOKUP($D:$D,[140]일위목록!$A:$H,7,FALSE))</f>
        <v>0</v>
      </c>
      <c r="J659" s="728">
        <f>TRUNC($F:$F*I:I)</f>
        <v>0</v>
      </c>
      <c r="K659" s="728">
        <f t="shared" si="95"/>
        <v>130000</v>
      </c>
      <c r="L659" s="724" t="str">
        <f>IF($E:$E="인",VLOOKUP($B:$B,[140]단가!$B:$E,3,FALSE),VLOOKUP($D:$D,[140]일위목록!$A:$H,2,FALSE))</f>
        <v>단가-131번</v>
      </c>
      <c r="M659" s="717"/>
    </row>
    <row r="660" spans="1:13" s="718" customFormat="1" ht="21" customHeight="1">
      <c r="A660" s="724"/>
      <c r="B660" s="731" t="s">
        <v>6192</v>
      </c>
      <c r="C660" s="726"/>
      <c r="D660" s="726" t="str">
        <f>SUBSTITUTE(CONCATENATE(B:B,C:C,E:E)," ","")</f>
        <v>내선전공인</v>
      </c>
      <c r="E660" s="724" t="s">
        <v>5862</v>
      </c>
      <c r="F660" s="727">
        <v>0.5</v>
      </c>
      <c r="G660" s="728">
        <f>IF($E:$E="인",0,VLOOKUP($D:$D,[140]일위목록!$A:$H,6,FALSE))</f>
        <v>0</v>
      </c>
      <c r="H660" s="728">
        <f>TRUNC($F:$F*G:G)</f>
        <v>0</v>
      </c>
      <c r="I660" s="728">
        <f>IF($E:$E="인",VLOOKUP($B:$B,[140]노임!$B:$H,6,FALSE),VLOOKUP($D:$D,[140]일위목록!$A:$H,7,FALSE))</f>
        <v>225408</v>
      </c>
      <c r="J660" s="728">
        <f>TRUNC($F:$F*I:I)</f>
        <v>112704</v>
      </c>
      <c r="K660" s="728">
        <f t="shared" si="95"/>
        <v>112704</v>
      </c>
      <c r="L660" s="724" t="str">
        <f>IF($E:$E="인",VLOOKUP($B:$B,[140]노임!$B:$D,3,FALSE),VLOOKUP($D:$D,[140]일위목록!$A:$H,2,FALSE))</f>
        <v>건설노임-1075</v>
      </c>
      <c r="M660" s="717"/>
    </row>
    <row r="661" spans="1:13" s="718" customFormat="1" ht="21" customHeight="1">
      <c r="A661" s="724"/>
      <c r="B661" s="731"/>
      <c r="C661" s="726"/>
      <c r="D661" s="726"/>
      <c r="E661" s="724"/>
      <c r="F661" s="727"/>
      <c r="G661" s="728"/>
      <c r="H661" s="728"/>
      <c r="I661" s="728"/>
      <c r="J661" s="728"/>
      <c r="K661" s="728"/>
      <c r="L661" s="724"/>
      <c r="M661" s="717"/>
    </row>
    <row r="662" spans="1:13" s="718" customFormat="1" ht="21" customHeight="1">
      <c r="A662" s="724"/>
      <c r="B662" s="725" t="s">
        <v>5901</v>
      </c>
      <c r="C662" s="726"/>
      <c r="D662" s="726" t="str">
        <f>L:L</f>
        <v>제87호표</v>
      </c>
      <c r="E662" s="724"/>
      <c r="F662" s="727"/>
      <c r="G662" s="728"/>
      <c r="H662" s="728">
        <f>SUM(H658:H661)</f>
        <v>530000</v>
      </c>
      <c r="I662" s="728"/>
      <c r="J662" s="728">
        <f>SUM(J658:J661)</f>
        <v>112704</v>
      </c>
      <c r="K662" s="728">
        <f>SUM(K658:K661)</f>
        <v>642704</v>
      </c>
      <c r="L662" s="724" t="str">
        <f>A656</f>
        <v>제87호표</v>
      </c>
      <c r="M662" s="717"/>
    </row>
    <row r="663" spans="1:13" s="718" customFormat="1" ht="21" customHeight="1">
      <c r="A663" s="724"/>
      <c r="B663" s="746"/>
      <c r="C663" s="746"/>
      <c r="D663" s="726"/>
      <c r="E663" s="746"/>
      <c r="F663" s="741"/>
      <c r="G663" s="728"/>
      <c r="H663" s="728"/>
      <c r="I663" s="728"/>
      <c r="J663" s="728"/>
      <c r="K663" s="728"/>
      <c r="L663" s="724"/>
      <c r="M663" s="717"/>
    </row>
    <row r="664" spans="1:13" s="718" customFormat="1" ht="21" customHeight="1">
      <c r="A664" s="724"/>
      <c r="B664" s="746"/>
      <c r="C664" s="746"/>
      <c r="D664" s="726"/>
      <c r="E664" s="746"/>
      <c r="F664" s="741"/>
      <c r="G664" s="728"/>
      <c r="H664" s="728"/>
      <c r="I664" s="728"/>
      <c r="J664" s="728"/>
      <c r="K664" s="728"/>
      <c r="L664" s="724"/>
      <c r="M664" s="717"/>
    </row>
    <row r="665" spans="1:13" s="718" customFormat="1" ht="21" customHeight="1">
      <c r="A665" s="724" t="str">
        <f>"제"&amp;M665&amp;"호표"</f>
        <v>제88호표</v>
      </c>
      <c r="B665" s="739" t="s">
        <v>6216</v>
      </c>
      <c r="C665" s="726"/>
      <c r="D665" s="726"/>
      <c r="E665" s="724" t="s">
        <v>5899</v>
      </c>
      <c r="F665" s="727"/>
      <c r="G665" s="728"/>
      <c r="H665" s="728"/>
      <c r="I665" s="728"/>
      <c r="J665" s="728"/>
      <c r="K665" s="728"/>
      <c r="L665" s="724"/>
      <c r="M665" s="729">
        <f>M656+1</f>
        <v>88</v>
      </c>
    </row>
    <row r="666" spans="1:13" s="718" customFormat="1" ht="21" customHeight="1">
      <c r="A666" s="724"/>
      <c r="B666" s="725"/>
      <c r="C666" s="726"/>
      <c r="D666" s="726"/>
      <c r="E666" s="724"/>
      <c r="F666" s="727"/>
      <c r="G666" s="728"/>
      <c r="H666" s="728"/>
      <c r="I666" s="728"/>
      <c r="J666" s="728"/>
      <c r="K666" s="728"/>
      <c r="L666" s="724"/>
      <c r="M666" s="717"/>
    </row>
    <row r="667" spans="1:13" s="718" customFormat="1" ht="21" customHeight="1">
      <c r="A667" s="724"/>
      <c r="B667" s="745" t="s">
        <v>6217</v>
      </c>
      <c r="C667" s="745"/>
      <c r="D667" s="726" t="str">
        <f>SUBSTITUTE(CONCATENATE(B:B,C:C,E:E)," ","")</f>
        <v>피아노경첩M</v>
      </c>
      <c r="E667" s="724" t="s">
        <v>5899</v>
      </c>
      <c r="F667" s="727">
        <v>1.05</v>
      </c>
      <c r="G667" s="728">
        <f>IF($E:$E="인",0,VLOOKUP($D:$D,[140]일위목록!$A:$H,6,FALSE))</f>
        <v>12000</v>
      </c>
      <c r="H667" s="728">
        <f>TRUNC($F:$F*G:G)</f>
        <v>12600</v>
      </c>
      <c r="I667" s="728">
        <f>IF($E:$E="인",VLOOKUP($B:$B,[140]노임!$B:$H,6,FALSE),VLOOKUP($D:$D,[140]일위목록!$A:$H,7,FALSE))</f>
        <v>0</v>
      </c>
      <c r="J667" s="728">
        <f>TRUNC($F:$F*I:I)</f>
        <v>0</v>
      </c>
      <c r="K667" s="728">
        <f t="shared" ref="K667:K669" si="96">H667+J667</f>
        <v>12600</v>
      </c>
      <c r="L667" s="724" t="str">
        <f>IF($E:$E="인",VLOOKUP($B:$B,[140]단가!$B:$E,3,FALSE),VLOOKUP($D:$D,[140]일위목록!$A:$H,2,FALSE))</f>
        <v>단가-78번</v>
      </c>
      <c r="M667" s="717"/>
    </row>
    <row r="668" spans="1:13" s="718" customFormat="1" ht="21" customHeight="1">
      <c r="A668" s="724"/>
      <c r="B668" s="725" t="s">
        <v>6046</v>
      </c>
      <c r="C668" s="726"/>
      <c r="D668" s="726" t="str">
        <f>SUBSTITUTE(CONCATENATE(B:B,C:C,E:E)," ","")</f>
        <v>절단가공,용접제작M</v>
      </c>
      <c r="E668" s="724" t="s">
        <v>5899</v>
      </c>
      <c r="F668" s="727">
        <v>1</v>
      </c>
      <c r="G668" s="728">
        <f>IF($E:$E="인",0,VLOOKUP($D:$D,[140]일위목록!$A:$H,6,FALSE))</f>
        <v>30</v>
      </c>
      <c r="H668" s="728">
        <f>TRUNC($F:$F*G:G)</f>
        <v>30</v>
      </c>
      <c r="I668" s="728">
        <f>IF($E:$E="인",VLOOKUP($B:$B,[140]노임!$B:$H,6,FALSE),VLOOKUP($D:$D,[140]일위목록!$A:$H,7,FALSE))</f>
        <v>2160</v>
      </c>
      <c r="J668" s="728">
        <f>TRUNC($F:$F*I:I)</f>
        <v>2160</v>
      </c>
      <c r="K668" s="728">
        <f t="shared" si="96"/>
        <v>2190</v>
      </c>
      <c r="L668" s="724" t="str">
        <f>IF($E:$E="인",VLOOKUP($B:$B,[140]노임!$B:$D,3,FALSE),VLOOKUP($D:$D,[140]일위목록!$A:$H,2,FALSE))</f>
        <v>제39호표</v>
      </c>
      <c r="M668" s="717"/>
    </row>
    <row r="669" spans="1:13" s="718" customFormat="1" ht="21" customHeight="1">
      <c r="A669" s="724"/>
      <c r="B669" s="725" t="s">
        <v>5900</v>
      </c>
      <c r="C669" s="726"/>
      <c r="D669" s="726" t="str">
        <f>SUBSTITUTE(CONCATENATE(B:B,C:C,E:E)," ","")</f>
        <v>절단원인</v>
      </c>
      <c r="E669" s="724" t="s">
        <v>5862</v>
      </c>
      <c r="F669" s="727">
        <v>0.1</v>
      </c>
      <c r="G669" s="728">
        <f>IF($E:$E="인",0,VLOOKUP($D:$D,[140]일위목록!$A:$H,6,FALSE))</f>
        <v>0</v>
      </c>
      <c r="H669" s="728">
        <f>TRUNC($F:$F*G:G)</f>
        <v>0</v>
      </c>
      <c r="I669" s="728">
        <f>IF($E:$E="인",VLOOKUP($B:$B,[140]노임!$B:$H,6,FALSE),VLOOKUP($D:$D,[140]일위목록!$A:$H,7,FALSE))</f>
        <v>88131</v>
      </c>
      <c r="J669" s="728">
        <f>TRUNC($F:$F*I:I)</f>
        <v>8813</v>
      </c>
      <c r="K669" s="728">
        <f t="shared" si="96"/>
        <v>8813</v>
      </c>
      <c r="L669" s="724" t="str">
        <f>IF($E:$E="인",VLOOKUP($B:$B,[140]노임!$B:$D,3,FALSE),VLOOKUP($D:$D,[140]일위목록!$A:$H,2,FALSE))</f>
        <v>제조임율-32</v>
      </c>
      <c r="M669" s="717"/>
    </row>
    <row r="670" spans="1:13" s="718" customFormat="1" ht="21" customHeight="1">
      <c r="A670" s="724"/>
      <c r="B670" s="725" t="s">
        <v>5901</v>
      </c>
      <c r="C670" s="726"/>
      <c r="D670" s="726" t="str">
        <f>L:L</f>
        <v>제88호표</v>
      </c>
      <c r="E670" s="724"/>
      <c r="F670" s="727"/>
      <c r="G670" s="728"/>
      <c r="H670" s="728">
        <f>SUM(H667:H669)</f>
        <v>12630</v>
      </c>
      <c r="I670" s="728"/>
      <c r="J670" s="728">
        <f>SUM(J667:J669)</f>
        <v>10973</v>
      </c>
      <c r="K670" s="728">
        <f>SUM(K667:K669)</f>
        <v>23603</v>
      </c>
      <c r="L670" s="724" t="str">
        <f>A665</f>
        <v>제88호표</v>
      </c>
      <c r="M670" s="717"/>
    </row>
    <row r="671" spans="1:13" s="718" customFormat="1" ht="21" customHeight="1">
      <c r="A671" s="724"/>
      <c r="B671" s="731"/>
      <c r="C671" s="726"/>
      <c r="D671" s="726"/>
      <c r="E671" s="724"/>
      <c r="F671" s="727"/>
      <c r="G671" s="728"/>
      <c r="H671" s="728"/>
      <c r="I671" s="728"/>
      <c r="J671" s="728"/>
      <c r="K671" s="728"/>
      <c r="L671" s="724"/>
      <c r="M671" s="717"/>
    </row>
    <row r="672" spans="1:13" s="718" customFormat="1" ht="21" customHeight="1">
      <c r="A672" s="724"/>
      <c r="B672" s="725"/>
      <c r="C672" s="726"/>
      <c r="D672" s="726"/>
      <c r="E672" s="724"/>
      <c r="F672" s="727"/>
      <c r="G672" s="728"/>
      <c r="H672" s="728"/>
      <c r="I672" s="728"/>
      <c r="J672" s="728"/>
      <c r="K672" s="728"/>
      <c r="L672" s="724"/>
      <c r="M672" s="717"/>
    </row>
    <row r="673" spans="1:13" s="718" customFormat="1" ht="21" customHeight="1">
      <c r="A673" s="724" t="str">
        <f>"제"&amp;M673&amp;"호표"</f>
        <v>제89호표</v>
      </c>
      <c r="B673" s="739" t="s">
        <v>6218</v>
      </c>
      <c r="C673" s="726" t="s">
        <v>6219</v>
      </c>
      <c r="D673" s="726"/>
      <c r="E673" s="724" t="s">
        <v>6209</v>
      </c>
      <c r="F673" s="727"/>
      <c r="G673" s="728"/>
      <c r="H673" s="728"/>
      <c r="I673" s="728"/>
      <c r="J673" s="728"/>
      <c r="K673" s="728"/>
      <c r="L673" s="724"/>
      <c r="M673" s="729">
        <f>M665+1</f>
        <v>89</v>
      </c>
    </row>
    <row r="674" spans="1:13" s="718" customFormat="1" ht="21" customHeight="1">
      <c r="A674" s="724"/>
      <c r="B674" s="725"/>
      <c r="C674" s="726"/>
      <c r="D674" s="726"/>
      <c r="E674" s="724"/>
      <c r="F674" s="727"/>
      <c r="G674" s="728"/>
      <c r="H674" s="728"/>
      <c r="I674" s="728"/>
      <c r="J674" s="728"/>
      <c r="K674" s="728"/>
      <c r="L674" s="724"/>
      <c r="M674" s="717"/>
    </row>
    <row r="675" spans="1:13" s="718" customFormat="1" ht="21" customHeight="1">
      <c r="A675" s="724"/>
      <c r="B675" s="745" t="s">
        <v>6220</v>
      </c>
      <c r="C675" s="745" t="s">
        <v>6221</v>
      </c>
      <c r="D675" s="726" t="str">
        <f t="shared" ref="D675:D680" si="97">SUBSTITUTE(CONCATENATE(B:B,C:C,E:E)," ","")</f>
        <v>LOCKSETTWOPINEA</v>
      </c>
      <c r="E675" s="789" t="s">
        <v>321</v>
      </c>
      <c r="F675" s="727">
        <v>1.05</v>
      </c>
      <c r="G675" s="728">
        <f>IF($E:$E="인",0,VLOOKUP($D:$D,[140]일위목록!$A:$H,6,FALSE))</f>
        <v>30000</v>
      </c>
      <c r="H675" s="728">
        <f t="shared" ref="H675:H680" si="98">TRUNC($F:$F*G:G)</f>
        <v>31500</v>
      </c>
      <c r="I675" s="728">
        <f>IF($E:$E="인",VLOOKUP($B:$B,[140]노임!$B:$H,6,FALSE),VLOOKUP($D:$D,[140]일위목록!$A:$H,7,FALSE))</f>
        <v>0</v>
      </c>
      <c r="J675" s="728">
        <f t="shared" ref="J675:J680" si="99">TRUNC($F:$F*I:I)</f>
        <v>0</v>
      </c>
      <c r="K675" s="728">
        <f t="shared" ref="K675:K680" si="100">H675+J675</f>
        <v>31500</v>
      </c>
      <c r="L675" s="724" t="str">
        <f>IF($E:$E="인",VLOOKUP($B:$B,[140]단가!$B:$E,3,FALSE),VLOOKUP($D:$D,[140]일위목록!$A:$H,2,FALSE))</f>
        <v>단가-83번</v>
      </c>
      <c r="M675" s="717"/>
    </row>
    <row r="676" spans="1:13" s="718" customFormat="1" ht="21" customHeight="1">
      <c r="A676" s="724"/>
      <c r="B676" s="745" t="s">
        <v>6222</v>
      </c>
      <c r="C676" s="745"/>
      <c r="D676" s="726" t="str">
        <f t="shared" si="97"/>
        <v>LOCKSET보강EA</v>
      </c>
      <c r="E676" s="789" t="s">
        <v>321</v>
      </c>
      <c r="F676" s="727">
        <v>1.05</v>
      </c>
      <c r="G676" s="728">
        <f>IF($E:$E="인",0,VLOOKUP($D:$D,[140]일위목록!$A:$H,6,FALSE))</f>
        <v>15000</v>
      </c>
      <c r="H676" s="728">
        <f t="shared" si="98"/>
        <v>15750</v>
      </c>
      <c r="I676" s="728">
        <f>IF($E:$E="인",VLOOKUP($B:$B,[140]노임!$B:$H,6,FALSE),VLOOKUP($D:$D,[140]일위목록!$A:$H,7,FALSE))</f>
        <v>0</v>
      </c>
      <c r="J676" s="728">
        <f t="shared" si="99"/>
        <v>0</v>
      </c>
      <c r="K676" s="728">
        <f t="shared" si="100"/>
        <v>15750</v>
      </c>
      <c r="L676" s="724" t="str">
        <f>IF($E:$E="인",VLOOKUP($B:$B,[140]단가!$B:$E,3,FALSE),VLOOKUP($D:$D,[140]일위목록!$A:$H,2,FALSE))</f>
        <v>단가-84번</v>
      </c>
      <c r="M676" s="717"/>
    </row>
    <row r="677" spans="1:13" s="718" customFormat="1" ht="21" customHeight="1">
      <c r="A677" s="724"/>
      <c r="B677" s="745" t="s">
        <v>6223</v>
      </c>
      <c r="C677" s="745" t="s">
        <v>5886</v>
      </c>
      <c r="D677" s="726" t="str">
        <f t="shared" si="97"/>
        <v>철판T1.6GALV.M2</v>
      </c>
      <c r="E677" s="789" t="s">
        <v>5980</v>
      </c>
      <c r="F677" s="727">
        <v>0.03</v>
      </c>
      <c r="G677" s="728">
        <f>IF($E:$E="인",0,VLOOKUP($D:$D,[140]일위목록!$A:$H,6,FALSE))</f>
        <v>12232</v>
      </c>
      <c r="H677" s="728">
        <f t="shared" si="98"/>
        <v>366</v>
      </c>
      <c r="I677" s="728">
        <f>IF($E:$E="인",VLOOKUP($B:$B,[140]노임!$B:$H,6,FALSE),VLOOKUP($D:$D,[140]일위목록!$A:$H,7,FALSE))</f>
        <v>0</v>
      </c>
      <c r="J677" s="728">
        <f t="shared" si="99"/>
        <v>0</v>
      </c>
      <c r="K677" s="728">
        <f t="shared" si="100"/>
        <v>366</v>
      </c>
      <c r="L677" s="724" t="str">
        <f>IF($E:$E="인",VLOOKUP($B:$B,[140]단가!$B:$E,3,FALSE),VLOOKUP($D:$D,[140]일위목록!$A:$H,2,FALSE))</f>
        <v>단가-3번</v>
      </c>
      <c r="M677" s="717"/>
    </row>
    <row r="678" spans="1:13" s="718" customFormat="1" ht="21" customHeight="1">
      <c r="A678" s="724"/>
      <c r="B678" s="725" t="s">
        <v>6049</v>
      </c>
      <c r="C678" s="726" t="s">
        <v>5886</v>
      </c>
      <c r="D678" s="726" t="str">
        <f t="shared" si="97"/>
        <v>잡철물설치T1.6GALV.M2</v>
      </c>
      <c r="E678" s="789" t="s">
        <v>5980</v>
      </c>
      <c r="F678" s="727">
        <v>0.03</v>
      </c>
      <c r="G678" s="728">
        <f>IF($E:$E="인",0,VLOOKUP($D:$D,[140]일위목록!$A:$H,6,FALSE))</f>
        <v>39831</v>
      </c>
      <c r="H678" s="728">
        <f t="shared" si="98"/>
        <v>1194</v>
      </c>
      <c r="I678" s="728">
        <f>IF($E:$E="인",VLOOKUP($B:$B,[140]노임!$B:$H,6,FALSE),VLOOKUP($D:$D,[140]일위목록!$A:$H,7,FALSE))</f>
        <v>54417</v>
      </c>
      <c r="J678" s="728">
        <f t="shared" si="99"/>
        <v>1632</v>
      </c>
      <c r="K678" s="728">
        <f t="shared" si="100"/>
        <v>2826</v>
      </c>
      <c r="L678" s="724" t="str">
        <f>IF($E:$E="인",VLOOKUP($B:$B,[140]노임!$B:$D,3,FALSE),VLOOKUP($D:$D,[140]일위목록!$A:$H,2,FALSE))</f>
        <v>제6호표</v>
      </c>
      <c r="M678" s="717"/>
    </row>
    <row r="679" spans="1:13" s="718" customFormat="1" ht="21" customHeight="1">
      <c r="A679" s="724"/>
      <c r="B679" s="725" t="s">
        <v>6046</v>
      </c>
      <c r="C679" s="726"/>
      <c r="D679" s="726" t="str">
        <f t="shared" si="97"/>
        <v>절단가공,용접제작M</v>
      </c>
      <c r="E679" s="724" t="s">
        <v>5899</v>
      </c>
      <c r="F679" s="727">
        <v>1</v>
      </c>
      <c r="G679" s="728">
        <f>IF($E:$E="인",0,VLOOKUP($D:$D,[140]일위목록!$A:$H,6,FALSE))</f>
        <v>30</v>
      </c>
      <c r="H679" s="728">
        <f t="shared" si="98"/>
        <v>30</v>
      </c>
      <c r="I679" s="728">
        <f>IF($E:$E="인",VLOOKUP($B:$B,[140]노임!$B:$H,6,FALSE),VLOOKUP($D:$D,[140]일위목록!$A:$H,7,FALSE))</f>
        <v>2160</v>
      </c>
      <c r="J679" s="728">
        <f t="shared" si="99"/>
        <v>2160</v>
      </c>
      <c r="K679" s="728">
        <f t="shared" si="100"/>
        <v>2190</v>
      </c>
      <c r="L679" s="724" t="str">
        <f>IF($E:$E="인",VLOOKUP($B:$B,[140]노임!$B:$D,3,FALSE),VLOOKUP($D:$D,[140]일위목록!$A:$H,2,FALSE))</f>
        <v>제39호표</v>
      </c>
      <c r="M679" s="717"/>
    </row>
    <row r="680" spans="1:13" s="718" customFormat="1" ht="21" customHeight="1">
      <c r="A680" s="724"/>
      <c r="B680" s="725" t="s">
        <v>5900</v>
      </c>
      <c r="C680" s="726"/>
      <c r="D680" s="726" t="str">
        <f t="shared" si="97"/>
        <v>절단원인</v>
      </c>
      <c r="E680" s="724" t="s">
        <v>5862</v>
      </c>
      <c r="F680" s="727">
        <v>0.1</v>
      </c>
      <c r="G680" s="728">
        <f>IF($E:$E="인",0,VLOOKUP($D:$D,[140]일위목록!$A:$H,6,FALSE))</f>
        <v>0</v>
      </c>
      <c r="H680" s="728">
        <f t="shared" si="98"/>
        <v>0</v>
      </c>
      <c r="I680" s="728">
        <f>IF($E:$E="인",VLOOKUP($B:$B,[140]노임!$B:$H,6,FALSE),VLOOKUP($D:$D,[140]일위목록!$A:$H,7,FALSE))</f>
        <v>88131</v>
      </c>
      <c r="J680" s="728">
        <f t="shared" si="99"/>
        <v>8813</v>
      </c>
      <c r="K680" s="728">
        <f t="shared" si="100"/>
        <v>8813</v>
      </c>
      <c r="L680" s="724" t="str">
        <f>IF($E:$E="인",VLOOKUP($B:$B,[140]노임!$B:$D,3,FALSE),VLOOKUP($D:$D,[140]일위목록!$A:$H,2,FALSE))</f>
        <v>제조임율-32</v>
      </c>
      <c r="M680" s="717"/>
    </row>
    <row r="681" spans="1:13" s="718" customFormat="1" ht="21" customHeight="1">
      <c r="A681" s="724"/>
      <c r="B681" s="725" t="s">
        <v>5901</v>
      </c>
      <c r="C681" s="726"/>
      <c r="D681" s="726" t="str">
        <f>L:L</f>
        <v>제89호표</v>
      </c>
      <c r="E681" s="724"/>
      <c r="F681" s="727"/>
      <c r="G681" s="728"/>
      <c r="H681" s="728">
        <f>SUM(H675:H680)</f>
        <v>48840</v>
      </c>
      <c r="I681" s="728"/>
      <c r="J681" s="728">
        <f>SUM(J675:J680)</f>
        <v>12605</v>
      </c>
      <c r="K681" s="728">
        <f>SUM(K675:K680)</f>
        <v>61445</v>
      </c>
      <c r="L681" s="724" t="str">
        <f>A673</f>
        <v>제89호표</v>
      </c>
      <c r="M681" s="717"/>
    </row>
    <row r="682" spans="1:13" s="718" customFormat="1" ht="21" customHeight="1">
      <c r="A682" s="724"/>
      <c r="B682" s="731"/>
      <c r="C682" s="726"/>
      <c r="D682" s="726"/>
      <c r="E682" s="724"/>
      <c r="F682" s="727"/>
      <c r="G682" s="728"/>
      <c r="H682" s="728"/>
      <c r="I682" s="728"/>
      <c r="J682" s="728"/>
      <c r="K682" s="728"/>
      <c r="L682" s="724"/>
      <c r="M682" s="717"/>
    </row>
    <row r="683" spans="1:13" s="718" customFormat="1" ht="21" customHeight="1">
      <c r="A683" s="724"/>
      <c r="B683" s="731"/>
      <c r="C683" s="726"/>
      <c r="D683" s="726"/>
      <c r="E683" s="724"/>
      <c r="F683" s="727"/>
      <c r="G683" s="728"/>
      <c r="H683" s="728"/>
      <c r="I683" s="728"/>
      <c r="J683" s="728"/>
      <c r="K683" s="728"/>
      <c r="L683" s="724"/>
      <c r="M683" s="717"/>
    </row>
    <row r="684" spans="1:13" s="718" customFormat="1" ht="21" customHeight="1">
      <c r="A684" s="724" t="str">
        <f>"제"&amp;M684&amp;"호표"</f>
        <v>제90호표</v>
      </c>
      <c r="B684" s="739" t="s">
        <v>6224</v>
      </c>
      <c r="C684" s="726" t="s">
        <v>6225</v>
      </c>
      <c r="D684" s="726"/>
      <c r="E684" s="724" t="s">
        <v>6209</v>
      </c>
      <c r="F684" s="727"/>
      <c r="G684" s="728"/>
      <c r="H684" s="728"/>
      <c r="I684" s="728"/>
      <c r="J684" s="728"/>
      <c r="K684" s="728"/>
      <c r="L684" s="724"/>
      <c r="M684" s="729">
        <f>M673+1</f>
        <v>90</v>
      </c>
    </row>
    <row r="685" spans="1:13" s="718" customFormat="1" ht="21" customHeight="1">
      <c r="A685" s="724"/>
      <c r="B685" s="725"/>
      <c r="C685" s="726"/>
      <c r="D685" s="726"/>
      <c r="E685" s="724"/>
      <c r="F685" s="727"/>
      <c r="G685" s="728"/>
      <c r="H685" s="728"/>
      <c r="I685" s="728"/>
      <c r="J685" s="728"/>
      <c r="K685" s="728"/>
      <c r="L685" s="724"/>
      <c r="M685" s="717"/>
    </row>
    <row r="686" spans="1:13" s="718" customFormat="1" ht="21" customHeight="1">
      <c r="A686" s="724"/>
      <c r="B686" s="745" t="s">
        <v>6226</v>
      </c>
      <c r="C686" s="745" t="s">
        <v>6225</v>
      </c>
      <c r="D686" s="726" t="str">
        <f>SUBSTITUTE(CONCATENATE(B:B,C:C,E:E)," ","")</f>
        <v>유압쇽업쇼바20kgSET</v>
      </c>
      <c r="E686" s="790" t="s">
        <v>6227</v>
      </c>
      <c r="F686" s="727">
        <v>1</v>
      </c>
      <c r="G686" s="728">
        <f>IF($E:$E="인",0,VLOOKUP($D:$D,[140]일위목록!$A:$H,6,FALSE))</f>
        <v>20000</v>
      </c>
      <c r="H686" s="728">
        <f>TRUNC($F:$F*G:G)</f>
        <v>20000</v>
      </c>
      <c r="I686" s="728">
        <f>IF($E:$E="인",VLOOKUP($B:$B,[140]노임!$B:$H,6,FALSE),VLOOKUP($D:$D,[140]일위목록!$A:$H,7,FALSE))</f>
        <v>0</v>
      </c>
      <c r="J686" s="728">
        <f>TRUNC($F:$F*I:I)</f>
        <v>0</v>
      </c>
      <c r="K686" s="728">
        <f t="shared" ref="K686:K689" si="101">H686+J686</f>
        <v>20000</v>
      </c>
      <c r="L686" s="724" t="str">
        <f>IF($E:$E="인",VLOOKUP($B:$B,[140]단가!$B:$E,3,FALSE),VLOOKUP($D:$D,[140]일위목록!$A:$H,2,FALSE))</f>
        <v>단가-105번</v>
      </c>
      <c r="M686" s="717"/>
    </row>
    <row r="687" spans="1:13" s="718" customFormat="1" ht="21" customHeight="1">
      <c r="A687" s="724"/>
      <c r="B687" s="745" t="s">
        <v>6228</v>
      </c>
      <c r="C687" s="745" t="s">
        <v>6229</v>
      </c>
      <c r="D687" s="726" t="str">
        <f>SUBSTITUTE(CONCATENATE(B:B,C:C,E:E)," ","")</f>
        <v>유압쇽업쇼바보강T4.5mm레이져가공ea</v>
      </c>
      <c r="E687" s="790" t="s">
        <v>6198</v>
      </c>
      <c r="F687" s="727">
        <v>2</v>
      </c>
      <c r="G687" s="728">
        <f>IF($E:$E="인",0,VLOOKUP($D:$D,[140]일위목록!$A:$H,6,FALSE))</f>
        <v>9000</v>
      </c>
      <c r="H687" s="728">
        <f>TRUNC($F:$F*G:G)</f>
        <v>18000</v>
      </c>
      <c r="I687" s="728">
        <f>IF($E:$E="인",VLOOKUP($B:$B,[140]노임!$B:$H,6,FALSE),VLOOKUP($D:$D,[140]일위목록!$A:$H,7,FALSE))</f>
        <v>0</v>
      </c>
      <c r="J687" s="728">
        <f>TRUNC($F:$F*I:I)</f>
        <v>0</v>
      </c>
      <c r="K687" s="728">
        <f t="shared" si="101"/>
        <v>18000</v>
      </c>
      <c r="L687" s="724" t="str">
        <f>IF($E:$E="인",VLOOKUP($B:$B,[140]단가!$B:$E,3,FALSE),VLOOKUP($D:$D,[140]일위목록!$A:$H,2,FALSE))</f>
        <v>단가-107번</v>
      </c>
      <c r="M687" s="717"/>
    </row>
    <row r="688" spans="1:13" s="718" customFormat="1" ht="21" customHeight="1">
      <c r="A688" s="724"/>
      <c r="B688" s="725" t="s">
        <v>6049</v>
      </c>
      <c r="C688" s="726" t="s">
        <v>5886</v>
      </c>
      <c r="D688" s="726" t="str">
        <f>SUBSTITUTE(CONCATENATE(B:B,C:C,E:E)," ","")</f>
        <v>잡철물설치T1.6GALV.M2</v>
      </c>
      <c r="E688" s="789" t="s">
        <v>5980</v>
      </c>
      <c r="F688" s="727">
        <v>0.03</v>
      </c>
      <c r="G688" s="728">
        <f>IF($E:$E="인",0,VLOOKUP($D:$D,[140]일위목록!$A:$H,6,FALSE))</f>
        <v>39831</v>
      </c>
      <c r="H688" s="728">
        <f>TRUNC($F:$F*G:G)</f>
        <v>1194</v>
      </c>
      <c r="I688" s="728">
        <f>IF($E:$E="인",VLOOKUP($B:$B,[140]노임!$B:$H,6,FALSE),VLOOKUP($D:$D,[140]일위목록!$A:$H,7,FALSE))</f>
        <v>54417</v>
      </c>
      <c r="J688" s="728">
        <f>TRUNC($F:$F*I:I)</f>
        <v>1632</v>
      </c>
      <c r="K688" s="728">
        <f t="shared" si="101"/>
        <v>2826</v>
      </c>
      <c r="L688" s="724" t="str">
        <f>IF($E:$E="인",VLOOKUP($B:$B,[140]노임!$B:$D,3,FALSE),VLOOKUP($D:$D,[140]일위목록!$A:$H,2,FALSE))</f>
        <v>제6호표</v>
      </c>
      <c r="M688" s="717"/>
    </row>
    <row r="689" spans="1:13" s="718" customFormat="1" ht="21" customHeight="1">
      <c r="A689" s="724"/>
      <c r="B689" s="725" t="s">
        <v>6046</v>
      </c>
      <c r="C689" s="726"/>
      <c r="D689" s="726" t="str">
        <f>SUBSTITUTE(CONCATENATE(B:B,C:C,E:E)," ","")</f>
        <v>절단가공,용접제작M</v>
      </c>
      <c r="E689" s="724" t="s">
        <v>5899</v>
      </c>
      <c r="F689" s="727">
        <v>1</v>
      </c>
      <c r="G689" s="728">
        <f>IF($E:$E="인",0,VLOOKUP($D:$D,[140]일위목록!$A:$H,6,FALSE))</f>
        <v>30</v>
      </c>
      <c r="H689" s="728">
        <f>TRUNC($F:$F*G:G)</f>
        <v>30</v>
      </c>
      <c r="I689" s="728">
        <f>IF($E:$E="인",VLOOKUP($B:$B,[140]노임!$B:$H,6,FALSE),VLOOKUP($D:$D,[140]일위목록!$A:$H,7,FALSE))</f>
        <v>2160</v>
      </c>
      <c r="J689" s="728">
        <f>TRUNC($F:$F*I:I)</f>
        <v>2160</v>
      </c>
      <c r="K689" s="728">
        <f t="shared" si="101"/>
        <v>2190</v>
      </c>
      <c r="L689" s="724" t="str">
        <f>IF($E:$E="인",VLOOKUP($B:$B,[140]노임!$B:$D,3,FALSE),VLOOKUP($D:$D,[140]일위목록!$A:$H,2,FALSE))</f>
        <v>제39호표</v>
      </c>
      <c r="M689" s="717"/>
    </row>
    <row r="690" spans="1:13" s="718" customFormat="1" ht="21" customHeight="1">
      <c r="A690" s="724"/>
      <c r="B690" s="725" t="s">
        <v>5901</v>
      </c>
      <c r="C690" s="726"/>
      <c r="D690" s="726" t="str">
        <f>L:L</f>
        <v>제90호표</v>
      </c>
      <c r="E690" s="724"/>
      <c r="F690" s="727"/>
      <c r="G690" s="728"/>
      <c r="H690" s="728">
        <f>SUM(H686:H689)</f>
        <v>39224</v>
      </c>
      <c r="I690" s="728"/>
      <c r="J690" s="728">
        <f>SUM(J686:J689)</f>
        <v>3792</v>
      </c>
      <c r="K690" s="728">
        <f>SUM(K686:K689)</f>
        <v>43016</v>
      </c>
      <c r="L690" s="724" t="str">
        <f>A684</f>
        <v>제90호표</v>
      </c>
      <c r="M690" s="717"/>
    </row>
    <row r="691" spans="1:13" s="718" customFormat="1" ht="21" customHeight="1">
      <c r="A691" s="724"/>
      <c r="B691" s="725"/>
      <c r="C691" s="726"/>
      <c r="D691" s="726"/>
      <c r="E691" s="724"/>
      <c r="F691" s="727"/>
      <c r="G691" s="728"/>
      <c r="H691" s="728"/>
      <c r="I691" s="728"/>
      <c r="J691" s="728"/>
      <c r="K691" s="728"/>
      <c r="L691" s="724"/>
      <c r="M691" s="717"/>
    </row>
    <row r="692" spans="1:13" s="718" customFormat="1" ht="21" customHeight="1">
      <c r="A692" s="724"/>
      <c r="B692" s="725"/>
      <c r="C692" s="726"/>
      <c r="D692" s="726"/>
      <c r="E692" s="724"/>
      <c r="F692" s="727"/>
      <c r="G692" s="728"/>
      <c r="H692" s="728"/>
      <c r="I692" s="728"/>
      <c r="J692" s="728"/>
      <c r="K692" s="728"/>
      <c r="L692" s="724"/>
      <c r="M692" s="717"/>
    </row>
    <row r="693" spans="1:13" s="718" customFormat="1" ht="21" customHeight="1">
      <c r="A693" s="724" t="str">
        <f>"제"&amp;M693&amp;"호표"</f>
        <v>제91호표</v>
      </c>
      <c r="B693" s="739" t="s">
        <v>6224</v>
      </c>
      <c r="C693" s="726" t="s">
        <v>6230</v>
      </c>
      <c r="D693" s="726"/>
      <c r="E693" s="724" t="s">
        <v>6209</v>
      </c>
      <c r="F693" s="727"/>
      <c r="G693" s="728"/>
      <c r="H693" s="728"/>
      <c r="I693" s="728"/>
      <c r="J693" s="728"/>
      <c r="K693" s="728"/>
      <c r="L693" s="724"/>
      <c r="M693" s="729">
        <f>M684+1</f>
        <v>91</v>
      </c>
    </row>
    <row r="694" spans="1:13" s="718" customFormat="1" ht="21" customHeight="1">
      <c r="A694" s="724"/>
      <c r="B694" s="725"/>
      <c r="C694" s="726"/>
      <c r="D694" s="726"/>
      <c r="E694" s="724"/>
      <c r="F694" s="727"/>
      <c r="G694" s="728"/>
      <c r="H694" s="728"/>
      <c r="I694" s="728"/>
      <c r="J694" s="728"/>
      <c r="K694" s="728"/>
      <c r="L694" s="724"/>
      <c r="M694" s="717"/>
    </row>
    <row r="695" spans="1:13" s="718" customFormat="1" ht="21" customHeight="1">
      <c r="A695" s="724"/>
      <c r="B695" s="745" t="s">
        <v>6226</v>
      </c>
      <c r="C695" s="745" t="s">
        <v>6230</v>
      </c>
      <c r="D695" s="726" t="str">
        <f>SUBSTITUTE(CONCATENATE(B:B,C:C,E:E)," ","")</f>
        <v>유압쇽업쇼바40kgSET</v>
      </c>
      <c r="E695" s="790" t="s">
        <v>6227</v>
      </c>
      <c r="F695" s="727">
        <v>1</v>
      </c>
      <c r="G695" s="728">
        <f>IF($E:$E="인",0,VLOOKUP($D:$D,[140]일위목록!$A:$H,6,FALSE))</f>
        <v>30000</v>
      </c>
      <c r="H695" s="728">
        <f>TRUNC($F:$F*G:G)</f>
        <v>30000</v>
      </c>
      <c r="I695" s="728">
        <f>IF($E:$E="인",VLOOKUP($B:$B,[140]노임!$B:$H,6,FALSE),VLOOKUP($D:$D,[140]일위목록!$A:$H,7,FALSE))</f>
        <v>0</v>
      </c>
      <c r="J695" s="728">
        <f>TRUNC($F:$F*I:I)</f>
        <v>0</v>
      </c>
      <c r="K695" s="728">
        <f t="shared" ref="K695:K698" si="102">H695+J695</f>
        <v>30000</v>
      </c>
      <c r="L695" s="724" t="str">
        <f>IF($E:$E="인",VLOOKUP($B:$B,[140]단가!$B:$E,3,FALSE),VLOOKUP($D:$D,[140]일위목록!$A:$H,2,FALSE))</f>
        <v>단가-106번</v>
      </c>
      <c r="M695" s="717"/>
    </row>
    <row r="696" spans="1:13" s="718" customFormat="1" ht="21" customHeight="1">
      <c r="A696" s="724"/>
      <c r="B696" s="745" t="s">
        <v>6228</v>
      </c>
      <c r="C696" s="745" t="s">
        <v>6229</v>
      </c>
      <c r="D696" s="726" t="str">
        <f>SUBSTITUTE(CONCATENATE(B:B,C:C,E:E)," ","")</f>
        <v>유압쇽업쇼바보강T4.5mm레이져가공ea</v>
      </c>
      <c r="E696" s="790" t="s">
        <v>6198</v>
      </c>
      <c r="F696" s="727">
        <v>2</v>
      </c>
      <c r="G696" s="728">
        <f>IF($E:$E="인",0,VLOOKUP($D:$D,[140]일위목록!$A:$H,6,FALSE))</f>
        <v>9000</v>
      </c>
      <c r="H696" s="728">
        <f>TRUNC($F:$F*G:G)</f>
        <v>18000</v>
      </c>
      <c r="I696" s="728">
        <f>IF($E:$E="인",VLOOKUP($B:$B,[140]노임!$B:$H,6,FALSE),VLOOKUP($D:$D,[140]일위목록!$A:$H,7,FALSE))</f>
        <v>0</v>
      </c>
      <c r="J696" s="728">
        <f>TRUNC($F:$F*I:I)</f>
        <v>0</v>
      </c>
      <c r="K696" s="728">
        <f t="shared" si="102"/>
        <v>18000</v>
      </c>
      <c r="L696" s="724" t="str">
        <f>IF($E:$E="인",VLOOKUP($B:$B,[140]단가!$B:$E,3,FALSE),VLOOKUP($D:$D,[140]일위목록!$A:$H,2,FALSE))</f>
        <v>단가-107번</v>
      </c>
      <c r="M696" s="717"/>
    </row>
    <row r="697" spans="1:13" s="718" customFormat="1" ht="21" customHeight="1">
      <c r="A697" s="724"/>
      <c r="B697" s="725" t="s">
        <v>6049</v>
      </c>
      <c r="C697" s="726" t="s">
        <v>5886</v>
      </c>
      <c r="D697" s="726" t="str">
        <f>SUBSTITUTE(CONCATENATE(B:B,C:C,E:E)," ","")</f>
        <v>잡철물설치T1.6GALV.M2</v>
      </c>
      <c r="E697" s="789" t="s">
        <v>5980</v>
      </c>
      <c r="F697" s="727">
        <v>0.03</v>
      </c>
      <c r="G697" s="728">
        <f>IF($E:$E="인",0,VLOOKUP($D:$D,[140]일위목록!$A:$H,6,FALSE))</f>
        <v>39831</v>
      </c>
      <c r="H697" s="728">
        <f>TRUNC($F:$F*G:G)</f>
        <v>1194</v>
      </c>
      <c r="I697" s="728">
        <f>IF($E:$E="인",VLOOKUP($B:$B,[140]노임!$B:$H,6,FALSE),VLOOKUP($D:$D,[140]일위목록!$A:$H,7,FALSE))</f>
        <v>54417</v>
      </c>
      <c r="J697" s="728">
        <f>TRUNC($F:$F*I:I)</f>
        <v>1632</v>
      </c>
      <c r="K697" s="728">
        <f t="shared" si="102"/>
        <v>2826</v>
      </c>
      <c r="L697" s="724" t="str">
        <f>IF($E:$E="인",VLOOKUP($B:$B,[140]노임!$B:$D,3,FALSE),VLOOKUP($D:$D,[140]일위목록!$A:$H,2,FALSE))</f>
        <v>제6호표</v>
      </c>
      <c r="M697" s="717"/>
    </row>
    <row r="698" spans="1:13" s="718" customFormat="1" ht="21" customHeight="1">
      <c r="A698" s="724"/>
      <c r="B698" s="725" t="s">
        <v>6046</v>
      </c>
      <c r="C698" s="726"/>
      <c r="D698" s="726" t="str">
        <f>SUBSTITUTE(CONCATENATE(B:B,C:C,E:E)," ","")</f>
        <v>절단가공,용접제작M</v>
      </c>
      <c r="E698" s="724" t="s">
        <v>5899</v>
      </c>
      <c r="F698" s="727">
        <v>1</v>
      </c>
      <c r="G698" s="728">
        <f>IF($E:$E="인",0,VLOOKUP($D:$D,[140]일위목록!$A:$H,6,FALSE))</f>
        <v>30</v>
      </c>
      <c r="H698" s="728">
        <f>TRUNC($F:$F*G:G)</f>
        <v>30</v>
      </c>
      <c r="I698" s="728">
        <f>IF($E:$E="인",VLOOKUP($B:$B,[140]노임!$B:$H,6,FALSE),VLOOKUP($D:$D,[140]일위목록!$A:$H,7,FALSE))</f>
        <v>2160</v>
      </c>
      <c r="J698" s="728">
        <f>TRUNC($F:$F*I:I)</f>
        <v>2160</v>
      </c>
      <c r="K698" s="728">
        <f t="shared" si="102"/>
        <v>2190</v>
      </c>
      <c r="L698" s="724" t="str">
        <f>IF($E:$E="인",VLOOKUP($B:$B,[140]노임!$B:$D,3,FALSE),VLOOKUP($D:$D,[140]일위목록!$A:$H,2,FALSE))</f>
        <v>제39호표</v>
      </c>
      <c r="M698" s="717"/>
    </row>
    <row r="699" spans="1:13" s="718" customFormat="1" ht="21" customHeight="1">
      <c r="A699" s="724"/>
      <c r="B699" s="725" t="s">
        <v>5901</v>
      </c>
      <c r="C699" s="726"/>
      <c r="D699" s="726" t="str">
        <f>L:L</f>
        <v>제91호표</v>
      </c>
      <c r="E699" s="724"/>
      <c r="F699" s="727"/>
      <c r="G699" s="728"/>
      <c r="H699" s="728">
        <f>SUM(H695:H698)</f>
        <v>49224</v>
      </c>
      <c r="I699" s="728"/>
      <c r="J699" s="728">
        <f>SUM(J695:J698)</f>
        <v>3792</v>
      </c>
      <c r="K699" s="728">
        <f>SUM(K695:K698)</f>
        <v>53016</v>
      </c>
      <c r="L699" s="724" t="str">
        <f>A693</f>
        <v>제91호표</v>
      </c>
      <c r="M699" s="717"/>
    </row>
    <row r="700" spans="1:13" s="718" customFormat="1" ht="21" customHeight="1">
      <c r="A700" s="724"/>
      <c r="B700" s="725"/>
      <c r="C700" s="726"/>
      <c r="D700" s="726"/>
      <c r="E700" s="724"/>
      <c r="F700" s="727"/>
      <c r="G700" s="728"/>
      <c r="H700" s="728"/>
      <c r="I700" s="728"/>
      <c r="J700" s="728"/>
      <c r="K700" s="728"/>
      <c r="L700" s="724"/>
      <c r="M700" s="717"/>
    </row>
    <row r="701" spans="1:13" s="718" customFormat="1" ht="21" customHeight="1">
      <c r="A701" s="724"/>
      <c r="B701" s="725"/>
      <c r="C701" s="726"/>
      <c r="D701" s="726"/>
      <c r="E701" s="724"/>
      <c r="F701" s="727"/>
      <c r="G701" s="728"/>
      <c r="H701" s="728"/>
      <c r="I701" s="728"/>
      <c r="J701" s="728"/>
      <c r="K701" s="728"/>
      <c r="L701" s="724"/>
      <c r="M701" s="717"/>
    </row>
    <row r="702" spans="1:13" s="718" customFormat="1" ht="21" customHeight="1">
      <c r="A702" s="724" t="str">
        <f>"제"&amp;M702&amp;"호표"</f>
        <v>제92호표</v>
      </c>
      <c r="B702" s="739" t="s">
        <v>6231</v>
      </c>
      <c r="C702" s="726"/>
      <c r="D702" s="726"/>
      <c r="E702" s="724" t="s">
        <v>5899</v>
      </c>
      <c r="F702" s="727"/>
      <c r="G702" s="728"/>
      <c r="H702" s="728"/>
      <c r="I702" s="728"/>
      <c r="J702" s="728"/>
      <c r="K702" s="728"/>
      <c r="L702" s="724"/>
      <c r="M702" s="729">
        <f>M693+1</f>
        <v>92</v>
      </c>
    </row>
    <row r="703" spans="1:13" s="718" customFormat="1" ht="21" customHeight="1">
      <c r="A703" s="724"/>
      <c r="B703" s="725"/>
      <c r="C703" s="726"/>
      <c r="D703" s="726"/>
      <c r="E703" s="724"/>
      <c r="F703" s="727"/>
      <c r="G703" s="728"/>
      <c r="H703" s="728"/>
      <c r="I703" s="728"/>
      <c r="J703" s="728"/>
      <c r="K703" s="728"/>
      <c r="L703" s="724"/>
      <c r="M703" s="717"/>
    </row>
    <row r="704" spans="1:13" s="718" customFormat="1" ht="21" customHeight="1">
      <c r="A704" s="724"/>
      <c r="B704" s="745" t="s">
        <v>6232</v>
      </c>
      <c r="C704" s="745"/>
      <c r="D704" s="726" t="str">
        <f>SUBSTITUTE(CONCATENATE(B:B,C:C,E:E)," ","")</f>
        <v>AL.패킹바M</v>
      </c>
      <c r="E704" s="724" t="s">
        <v>5899</v>
      </c>
      <c r="F704" s="727">
        <v>1.05</v>
      </c>
      <c r="G704" s="728">
        <f>IF($E:$E="인",0,VLOOKUP($D:$D,[140]일위목록!$A:$H,6,FALSE))</f>
        <v>5000</v>
      </c>
      <c r="H704" s="728">
        <f>TRUNC($F:$F*G:G)</f>
        <v>5250</v>
      </c>
      <c r="I704" s="728">
        <f>IF($E:$E="인",VLOOKUP($B:$B,[140]노임!$B:$H,6,FALSE),VLOOKUP($D:$D,[140]일위목록!$A:$H,7,FALSE))</f>
        <v>0</v>
      </c>
      <c r="J704" s="728">
        <f>TRUNC($F:$F*I:I)</f>
        <v>0</v>
      </c>
      <c r="K704" s="728">
        <f t="shared" ref="K704:K706" si="103">H704+J704</f>
        <v>5250</v>
      </c>
      <c r="L704" s="724" t="str">
        <f>IF($E:$E="인",VLOOKUP($B:$B,[140]단가!$B:$E,3,FALSE),VLOOKUP($D:$D,[140]일위목록!$A:$H,2,FALSE))</f>
        <v>단가-80번</v>
      </c>
      <c r="M704" s="717"/>
    </row>
    <row r="705" spans="1:13" s="718" customFormat="1" ht="21" customHeight="1">
      <c r="A705" s="724"/>
      <c r="B705" s="791" t="s">
        <v>5864</v>
      </c>
      <c r="C705" s="726"/>
      <c r="D705" s="726" t="str">
        <f>SUBSTITUTE(CONCATENATE(B:B,C:C,E:E)," ","")</f>
        <v>특별인부인</v>
      </c>
      <c r="E705" s="724" t="s">
        <v>5876</v>
      </c>
      <c r="F705" s="727">
        <v>1.4999999999999999E-2</v>
      </c>
      <c r="G705" s="728">
        <f>IF($E:$E="인",0,VLOOKUP($D:$D,[140]일위목록!$A:$H,6,FALSE))</f>
        <v>0</v>
      </c>
      <c r="H705" s="728">
        <f>TRUNC($F:$F*G:G)</f>
        <v>0</v>
      </c>
      <c r="I705" s="728">
        <f>IF($E:$E="인",VLOOKUP($B:$B,[140]노임!$B:$H,6,FALSE),VLOOKUP($D:$D,[140]일위목록!$A:$H,7,FALSE))</f>
        <v>152019</v>
      </c>
      <c r="J705" s="728">
        <f>TRUNC($F:$F*I:I)</f>
        <v>2280</v>
      </c>
      <c r="K705" s="728">
        <f t="shared" si="103"/>
        <v>2280</v>
      </c>
      <c r="L705" s="724" t="str">
        <f>IF($E:$E="인",VLOOKUP($B:$B,[140]노임!$B:$D,3,FALSE),VLOOKUP($D:$D,[140]일위목록!$A:$H,2,FALSE))</f>
        <v>건설노임-1003</v>
      </c>
      <c r="M705" s="717"/>
    </row>
    <row r="706" spans="1:13" s="718" customFormat="1" ht="21" customHeight="1">
      <c r="A706" s="724"/>
      <c r="B706" s="725" t="s">
        <v>5877</v>
      </c>
      <c r="C706" s="726"/>
      <c r="D706" s="726" t="str">
        <f>SUBSTITUTE(CONCATENATE(B:B,C:C,E:E)," ","")</f>
        <v>보통인부인</v>
      </c>
      <c r="E706" s="724" t="s">
        <v>5862</v>
      </c>
      <c r="F706" s="727">
        <v>0.01</v>
      </c>
      <c r="G706" s="728">
        <f>IF($E:$E="인",0,VLOOKUP($D:$D,[140]일위목록!$A:$H,6,FALSE))</f>
        <v>0</v>
      </c>
      <c r="H706" s="728">
        <f>TRUNC($F:$F*G:G)</f>
        <v>0</v>
      </c>
      <c r="I706" s="728">
        <f>IF($E:$E="인",VLOOKUP($B:$B,[140]노임!$B:$H,6,FALSE),VLOOKUP($D:$D,[140]일위목록!$A:$H,7,FALSE))</f>
        <v>125427</v>
      </c>
      <c r="J706" s="728">
        <f>TRUNC($F:$F*I:I)</f>
        <v>1254</v>
      </c>
      <c r="K706" s="728">
        <f t="shared" si="103"/>
        <v>1254</v>
      </c>
      <c r="L706" s="724" t="str">
        <f>IF($E:$E="인",VLOOKUP($B:$B,[140]노임!$B:$D,3,FALSE),VLOOKUP($D:$D,[140]일위목록!$A:$H,2,FALSE))</f>
        <v>건설노임-1002</v>
      </c>
      <c r="M706" s="717"/>
    </row>
    <row r="707" spans="1:13" s="718" customFormat="1" ht="21" customHeight="1">
      <c r="A707" s="724"/>
      <c r="B707" s="725" t="s">
        <v>5901</v>
      </c>
      <c r="C707" s="726"/>
      <c r="D707" s="726" t="str">
        <f>L:L</f>
        <v>제92호표</v>
      </c>
      <c r="E707" s="724"/>
      <c r="F707" s="727"/>
      <c r="G707" s="728"/>
      <c r="H707" s="728">
        <f>SUM(H704:H706)</f>
        <v>5250</v>
      </c>
      <c r="I707" s="728"/>
      <c r="J707" s="728">
        <f>SUM(J704:J706)</f>
        <v>3534</v>
      </c>
      <c r="K707" s="728">
        <f>SUM(K704:K706)</f>
        <v>8784</v>
      </c>
      <c r="L707" s="724" t="str">
        <f>A702</f>
        <v>제92호표</v>
      </c>
      <c r="M707" s="717"/>
    </row>
    <row r="708" spans="1:13" s="718" customFormat="1" ht="21" customHeight="1">
      <c r="A708" s="724"/>
      <c r="B708" s="725"/>
      <c r="C708" s="726"/>
      <c r="D708" s="726"/>
      <c r="E708" s="724"/>
      <c r="F708" s="727"/>
      <c r="G708" s="728"/>
      <c r="H708" s="728"/>
      <c r="I708" s="728"/>
      <c r="J708" s="728"/>
      <c r="K708" s="728"/>
      <c r="L708" s="724"/>
      <c r="M708" s="717"/>
    </row>
    <row r="709" spans="1:13" s="718" customFormat="1" ht="21" customHeight="1">
      <c r="A709" s="724"/>
      <c r="B709" s="725"/>
      <c r="C709" s="726"/>
      <c r="D709" s="726"/>
      <c r="E709" s="724"/>
      <c r="F709" s="727"/>
      <c r="G709" s="728"/>
      <c r="H709" s="728"/>
      <c r="I709" s="728"/>
      <c r="J709" s="728"/>
      <c r="K709" s="728"/>
      <c r="L709" s="724"/>
      <c r="M709" s="717"/>
    </row>
    <row r="710" spans="1:13" s="718" customFormat="1" ht="21" customHeight="1">
      <c r="A710" s="724" t="str">
        <f>"제"&amp;M710&amp;"호표"</f>
        <v>제93호표</v>
      </c>
      <c r="B710" s="739" t="s">
        <v>6233</v>
      </c>
      <c r="C710" s="726" t="s">
        <v>6234</v>
      </c>
      <c r="D710" s="726"/>
      <c r="E710" s="724" t="s">
        <v>5899</v>
      </c>
      <c r="F710" s="727"/>
      <c r="G710" s="728"/>
      <c r="H710" s="728"/>
      <c r="I710" s="728"/>
      <c r="J710" s="728"/>
      <c r="K710" s="728"/>
      <c r="L710" s="724"/>
      <c r="M710" s="729">
        <f>M702+1</f>
        <v>93</v>
      </c>
    </row>
    <row r="711" spans="1:13" s="718" customFormat="1" ht="21" customHeight="1">
      <c r="A711" s="724"/>
      <c r="B711" s="725"/>
      <c r="C711" s="726"/>
      <c r="D711" s="726"/>
      <c r="E711" s="724"/>
      <c r="F711" s="727"/>
      <c r="G711" s="728"/>
      <c r="H711" s="728"/>
      <c r="I711" s="728"/>
      <c r="J711" s="728"/>
      <c r="K711" s="728"/>
      <c r="L711" s="724"/>
      <c r="M711" s="717"/>
    </row>
    <row r="712" spans="1:13" s="718" customFormat="1" ht="21" customHeight="1">
      <c r="A712" s="724"/>
      <c r="B712" s="745" t="s">
        <v>6235</v>
      </c>
      <c r="C712" s="726" t="s">
        <v>6234</v>
      </c>
      <c r="D712" s="726" t="str">
        <f>SUBSTITUTE(CONCATENATE(B:B,C:C,E:E)," ","")</f>
        <v>밀폐패킹소형M</v>
      </c>
      <c r="E712" s="724" t="s">
        <v>5899</v>
      </c>
      <c r="F712" s="727">
        <v>1.05</v>
      </c>
      <c r="G712" s="728">
        <f>IF($E:$E="인",0,VLOOKUP($D:$D,[140]일위목록!$A:$H,6,FALSE))</f>
        <v>6000</v>
      </c>
      <c r="H712" s="728">
        <f>TRUNC($F:$F*G:G)</f>
        <v>6300</v>
      </c>
      <c r="I712" s="728">
        <f>IF($E:$E="인",VLOOKUP($B:$B,[140]노임!$B:$H,6,FALSE),VLOOKUP($D:$D,[140]일위목록!$A:$H,7,FALSE))</f>
        <v>0</v>
      </c>
      <c r="J712" s="728">
        <f>TRUNC($F:$F*I:I)</f>
        <v>0</v>
      </c>
      <c r="K712" s="728">
        <f t="shared" ref="K712:K714" si="104">H712+J712</f>
        <v>6300</v>
      </c>
      <c r="L712" s="724" t="str">
        <f>IF($E:$E="인",VLOOKUP($B:$B,[140]단가!$B:$E,3,FALSE),VLOOKUP($D:$D,[140]일위목록!$A:$H,2,FALSE))</f>
        <v>단가-81번</v>
      </c>
      <c r="M712" s="717"/>
    </row>
    <row r="713" spans="1:13" s="718" customFormat="1" ht="21" customHeight="1">
      <c r="A713" s="724"/>
      <c r="B713" s="791" t="s">
        <v>5864</v>
      </c>
      <c r="C713" s="726"/>
      <c r="D713" s="726" t="str">
        <f>SUBSTITUTE(CONCATENATE(B:B,C:C,E:E)," ","")</f>
        <v>특별인부인</v>
      </c>
      <c r="E713" s="724" t="s">
        <v>5876</v>
      </c>
      <c r="F713" s="727">
        <v>0.01</v>
      </c>
      <c r="G713" s="728">
        <f>IF($E:$E="인",0,VLOOKUP($D:$D,[140]일위목록!$A:$H,6,FALSE))</f>
        <v>0</v>
      </c>
      <c r="H713" s="728">
        <f>TRUNC($F:$F*G:G)</f>
        <v>0</v>
      </c>
      <c r="I713" s="728">
        <f>IF($E:$E="인",VLOOKUP($B:$B,[140]노임!$B:$H,6,FALSE),VLOOKUP($D:$D,[140]일위목록!$A:$H,7,FALSE))</f>
        <v>152019</v>
      </c>
      <c r="J713" s="728">
        <f>TRUNC($F:$F*I:I)</f>
        <v>1520</v>
      </c>
      <c r="K713" s="728">
        <f t="shared" si="104"/>
        <v>1520</v>
      </c>
      <c r="L713" s="724" t="str">
        <f>IF($E:$E="인",VLOOKUP($B:$B,[140]노임!$B:$D,3,FALSE),VLOOKUP($D:$D,[140]일위목록!$A:$H,2,FALSE))</f>
        <v>건설노임-1003</v>
      </c>
      <c r="M713" s="717"/>
    </row>
    <row r="714" spans="1:13" s="718" customFormat="1" ht="21" customHeight="1">
      <c r="A714" s="724"/>
      <c r="B714" s="725" t="s">
        <v>5877</v>
      </c>
      <c r="C714" s="726"/>
      <c r="D714" s="726" t="str">
        <f>SUBSTITUTE(CONCATENATE(B:B,C:C,E:E)," ","")</f>
        <v>보통인부인</v>
      </c>
      <c r="E714" s="724" t="s">
        <v>5862</v>
      </c>
      <c r="F714" s="727">
        <v>7.0000000000000001E-3</v>
      </c>
      <c r="G714" s="728">
        <f>IF($E:$E="인",0,VLOOKUP($D:$D,[140]일위목록!$A:$H,6,FALSE))</f>
        <v>0</v>
      </c>
      <c r="H714" s="728">
        <f>TRUNC($F:$F*G:G)</f>
        <v>0</v>
      </c>
      <c r="I714" s="728">
        <f>IF($E:$E="인",VLOOKUP($B:$B,[140]노임!$B:$H,6,FALSE),VLOOKUP($D:$D,[140]일위목록!$A:$H,7,FALSE))</f>
        <v>125427</v>
      </c>
      <c r="J714" s="728">
        <f>TRUNC($F:$F*I:I)</f>
        <v>877</v>
      </c>
      <c r="K714" s="728">
        <f t="shared" si="104"/>
        <v>877</v>
      </c>
      <c r="L714" s="724" t="str">
        <f>IF($E:$E="인",VLOOKUP($B:$B,[140]노임!$B:$D,3,FALSE),VLOOKUP($D:$D,[140]일위목록!$A:$H,2,FALSE))</f>
        <v>건설노임-1002</v>
      </c>
      <c r="M714" s="717"/>
    </row>
    <row r="715" spans="1:13" s="718" customFormat="1" ht="21" customHeight="1">
      <c r="A715" s="724"/>
      <c r="B715" s="725" t="s">
        <v>5901</v>
      </c>
      <c r="C715" s="726"/>
      <c r="D715" s="726" t="str">
        <f>L:L</f>
        <v>제93호표</v>
      </c>
      <c r="E715" s="724"/>
      <c r="F715" s="727"/>
      <c r="G715" s="728"/>
      <c r="H715" s="728">
        <f>SUM(H712:H714)</f>
        <v>6300</v>
      </c>
      <c r="I715" s="728"/>
      <c r="J715" s="728">
        <f>SUM(J712:J714)</f>
        <v>2397</v>
      </c>
      <c r="K715" s="728">
        <f>SUM(K712:K714)</f>
        <v>8697</v>
      </c>
      <c r="L715" s="724" t="str">
        <f>A710</f>
        <v>제93호표</v>
      </c>
      <c r="M715" s="717"/>
    </row>
    <row r="716" spans="1:13" s="718" customFormat="1" ht="21" customHeight="1">
      <c r="A716" s="724"/>
      <c r="B716" s="725"/>
      <c r="C716" s="726"/>
      <c r="D716" s="726"/>
      <c r="E716" s="724"/>
      <c r="F716" s="727"/>
      <c r="G716" s="728"/>
      <c r="H716" s="728"/>
      <c r="I716" s="728"/>
      <c r="J716" s="728"/>
      <c r="K716" s="728"/>
      <c r="L716" s="724"/>
      <c r="M716" s="717"/>
    </row>
    <row r="717" spans="1:13" s="718" customFormat="1" ht="21" customHeight="1">
      <c r="A717" s="724"/>
      <c r="B717" s="725"/>
      <c r="C717" s="726"/>
      <c r="D717" s="726"/>
      <c r="E717" s="724"/>
      <c r="F717" s="727"/>
      <c r="G717" s="728"/>
      <c r="H717" s="728"/>
      <c r="I717" s="728"/>
      <c r="J717" s="728"/>
      <c r="K717" s="728"/>
      <c r="L717" s="724"/>
      <c r="M717" s="717"/>
    </row>
    <row r="718" spans="1:13" s="718" customFormat="1" ht="21" customHeight="1">
      <c r="A718" s="724" t="str">
        <f>"제"&amp;M718&amp;"호표"</f>
        <v>제94호표</v>
      </c>
      <c r="B718" s="739" t="s">
        <v>6233</v>
      </c>
      <c r="C718" s="726" t="s">
        <v>6236</v>
      </c>
      <c r="D718" s="726"/>
      <c r="E718" s="724" t="s">
        <v>5899</v>
      </c>
      <c r="F718" s="727"/>
      <c r="G718" s="728"/>
      <c r="H718" s="728"/>
      <c r="I718" s="728"/>
      <c r="J718" s="728"/>
      <c r="K718" s="728"/>
      <c r="L718" s="724"/>
      <c r="M718" s="729">
        <f>M710+1</f>
        <v>94</v>
      </c>
    </row>
    <row r="719" spans="1:13" s="718" customFormat="1" ht="21" customHeight="1">
      <c r="A719" s="724"/>
      <c r="B719" s="725"/>
      <c r="C719" s="726"/>
      <c r="D719" s="726"/>
      <c r="E719" s="724"/>
      <c r="F719" s="727"/>
      <c r="G719" s="728"/>
      <c r="H719" s="728"/>
      <c r="I719" s="728"/>
      <c r="J719" s="728"/>
      <c r="K719" s="728"/>
      <c r="L719" s="724"/>
      <c r="M719" s="717"/>
    </row>
    <row r="720" spans="1:13" s="718" customFormat="1" ht="21" customHeight="1">
      <c r="A720" s="724"/>
      <c r="B720" s="745" t="s">
        <v>6235</v>
      </c>
      <c r="C720" s="726" t="s">
        <v>6236</v>
      </c>
      <c r="D720" s="726" t="str">
        <f>SUBSTITUTE(CONCATENATE(B:B,C:C,E:E)," ","")</f>
        <v>밀폐패킹대형M</v>
      </c>
      <c r="E720" s="724" t="s">
        <v>5899</v>
      </c>
      <c r="F720" s="727">
        <v>1.05</v>
      </c>
      <c r="G720" s="728">
        <f>IF($E:$E="인",0,VLOOKUP($D:$D,[140]일위목록!$A:$H,6,FALSE))</f>
        <v>9000</v>
      </c>
      <c r="H720" s="728">
        <f>TRUNC($F:$F*G:G)</f>
        <v>9450</v>
      </c>
      <c r="I720" s="728">
        <f>IF($E:$E="인",VLOOKUP($B:$B,[140]노임!$B:$H,6,FALSE),VLOOKUP($D:$D,[140]일위목록!$A:$H,7,FALSE))</f>
        <v>0</v>
      </c>
      <c r="J720" s="728">
        <f>TRUNC($F:$F*I:I)</f>
        <v>0</v>
      </c>
      <c r="K720" s="728">
        <f t="shared" ref="K720:K722" si="105">H720+J720</f>
        <v>9450</v>
      </c>
      <c r="L720" s="724" t="str">
        <f>IF($E:$E="인",VLOOKUP($B:$B,[140]단가!$B:$E,3,FALSE),VLOOKUP($D:$D,[140]일위목록!$A:$H,2,FALSE))</f>
        <v>단가-82번</v>
      </c>
      <c r="M720" s="717"/>
    </row>
    <row r="721" spans="1:13" s="718" customFormat="1" ht="21" customHeight="1">
      <c r="A721" s="724"/>
      <c r="B721" s="791" t="s">
        <v>5864</v>
      </c>
      <c r="C721" s="726"/>
      <c r="D721" s="726" t="str">
        <f>SUBSTITUTE(CONCATENATE(B:B,C:C,E:E)," ","")</f>
        <v>특별인부인</v>
      </c>
      <c r="E721" s="724" t="s">
        <v>5876</v>
      </c>
      <c r="F721" s="727">
        <v>0.01</v>
      </c>
      <c r="G721" s="728">
        <f>IF($E:$E="인",0,VLOOKUP($D:$D,[140]일위목록!$A:$H,6,FALSE))</f>
        <v>0</v>
      </c>
      <c r="H721" s="728">
        <f>TRUNC($F:$F*G:G)</f>
        <v>0</v>
      </c>
      <c r="I721" s="728">
        <f>IF($E:$E="인",VLOOKUP($B:$B,[140]노임!$B:$H,6,FALSE),VLOOKUP($D:$D,[140]일위목록!$A:$H,7,FALSE))</f>
        <v>152019</v>
      </c>
      <c r="J721" s="728">
        <f>TRUNC($F:$F*I:I)</f>
        <v>1520</v>
      </c>
      <c r="K721" s="728">
        <f t="shared" si="105"/>
        <v>1520</v>
      </c>
      <c r="L721" s="724" t="str">
        <f>IF($E:$E="인",VLOOKUP($B:$B,[140]노임!$B:$D,3,FALSE),VLOOKUP($D:$D,[140]일위목록!$A:$H,2,FALSE))</f>
        <v>건설노임-1003</v>
      </c>
      <c r="M721" s="717"/>
    </row>
    <row r="722" spans="1:13" s="718" customFormat="1" ht="21" customHeight="1">
      <c r="A722" s="724"/>
      <c r="B722" s="725" t="s">
        <v>5877</v>
      </c>
      <c r="C722" s="726"/>
      <c r="D722" s="726" t="str">
        <f>SUBSTITUTE(CONCATENATE(B:B,C:C,E:E)," ","")</f>
        <v>보통인부인</v>
      </c>
      <c r="E722" s="724" t="s">
        <v>5862</v>
      </c>
      <c r="F722" s="727">
        <v>7.0000000000000001E-3</v>
      </c>
      <c r="G722" s="728">
        <f>IF($E:$E="인",0,VLOOKUP($D:$D,[140]일위목록!$A:$H,6,FALSE))</f>
        <v>0</v>
      </c>
      <c r="H722" s="728">
        <f>TRUNC($F:$F*G:G)</f>
        <v>0</v>
      </c>
      <c r="I722" s="728">
        <f>IF($E:$E="인",VLOOKUP($B:$B,[140]노임!$B:$H,6,FALSE),VLOOKUP($D:$D,[140]일위목록!$A:$H,7,FALSE))</f>
        <v>125427</v>
      </c>
      <c r="J722" s="728">
        <f>TRUNC($F:$F*I:I)</f>
        <v>877</v>
      </c>
      <c r="K722" s="728">
        <f t="shared" si="105"/>
        <v>877</v>
      </c>
      <c r="L722" s="724" t="str">
        <f>IF($E:$E="인",VLOOKUP($B:$B,[140]노임!$B:$D,3,FALSE),VLOOKUP($D:$D,[140]일위목록!$A:$H,2,FALSE))</f>
        <v>건설노임-1002</v>
      </c>
      <c r="M722" s="717"/>
    </row>
    <row r="723" spans="1:13" s="718" customFormat="1" ht="21" customHeight="1">
      <c r="A723" s="724"/>
      <c r="B723" s="725" t="s">
        <v>5901</v>
      </c>
      <c r="C723" s="726"/>
      <c r="D723" s="726" t="str">
        <f>L:L</f>
        <v>제94호표</v>
      </c>
      <c r="E723" s="724"/>
      <c r="F723" s="727"/>
      <c r="G723" s="728"/>
      <c r="H723" s="728">
        <f>SUM(H720:H722)</f>
        <v>9450</v>
      </c>
      <c r="I723" s="728"/>
      <c r="J723" s="728">
        <f>SUM(J720:J722)</f>
        <v>2397</v>
      </c>
      <c r="K723" s="728">
        <f>SUM(K720:K722)</f>
        <v>11847</v>
      </c>
      <c r="L723" s="724" t="str">
        <f>A718</f>
        <v>제94호표</v>
      </c>
      <c r="M723" s="717"/>
    </row>
    <row r="724" spans="1:13" s="718" customFormat="1" ht="21" customHeight="1">
      <c r="A724" s="724"/>
      <c r="B724" s="725"/>
      <c r="C724" s="726"/>
      <c r="D724" s="726"/>
      <c r="E724" s="724"/>
      <c r="F724" s="727"/>
      <c r="G724" s="728"/>
      <c r="H724" s="728"/>
      <c r="I724" s="728"/>
      <c r="J724" s="728"/>
      <c r="K724" s="728"/>
      <c r="L724" s="724"/>
      <c r="M724" s="717"/>
    </row>
    <row r="725" spans="1:13" s="718" customFormat="1" ht="21" customHeight="1">
      <c r="A725" s="724"/>
      <c r="B725" s="725"/>
      <c r="C725" s="726"/>
      <c r="D725" s="726"/>
      <c r="E725" s="724"/>
      <c r="F725" s="727"/>
      <c r="G725" s="728"/>
      <c r="H725" s="728"/>
      <c r="I725" s="728"/>
      <c r="J725" s="728"/>
      <c r="K725" s="728"/>
      <c r="L725" s="724"/>
      <c r="M725" s="717"/>
    </row>
    <row r="726" spans="1:13" s="718" customFormat="1" ht="21" customHeight="1">
      <c r="A726" s="724" t="str">
        <f>"제"&amp;M726&amp;"호표"</f>
        <v>제95호표</v>
      </c>
      <c r="B726" s="739" t="s">
        <v>6237</v>
      </c>
      <c r="C726" s="792" t="s">
        <v>6238</v>
      </c>
      <c r="D726" s="726"/>
      <c r="E726" s="724" t="s">
        <v>5899</v>
      </c>
      <c r="F726" s="727"/>
      <c r="G726" s="728"/>
      <c r="H726" s="728"/>
      <c r="I726" s="728"/>
      <c r="J726" s="728"/>
      <c r="K726" s="728"/>
      <c r="L726" s="724"/>
      <c r="M726" s="729">
        <f>M718+1</f>
        <v>95</v>
      </c>
    </row>
    <row r="727" spans="1:13" s="718" customFormat="1" ht="21" customHeight="1">
      <c r="A727" s="724"/>
      <c r="B727" s="725"/>
      <c r="C727" s="726"/>
      <c r="D727" s="726"/>
      <c r="E727" s="724"/>
      <c r="F727" s="727"/>
      <c r="G727" s="728"/>
      <c r="H727" s="728"/>
      <c r="I727" s="728"/>
      <c r="J727" s="728"/>
      <c r="K727" s="728"/>
      <c r="L727" s="724"/>
      <c r="M727" s="717"/>
    </row>
    <row r="728" spans="1:13" s="718" customFormat="1" ht="21" customHeight="1">
      <c r="A728" s="724"/>
      <c r="B728" s="745" t="s">
        <v>6239</v>
      </c>
      <c r="C728" s="726" t="s">
        <v>6240</v>
      </c>
      <c r="D728" s="726" t="str">
        <f>SUBSTITUTE(CONCATENATE(B:B,C:C,E:E)," ","")</f>
        <v>AL.사출유리후렘성형가공벽부장(상부)205M</v>
      </c>
      <c r="E728" s="724" t="s">
        <v>5899</v>
      </c>
      <c r="F728" s="727">
        <v>1.05</v>
      </c>
      <c r="G728" s="728">
        <f>IF($E:$E="인",0,VLOOKUP($D:$D,[140]일위목록!$A:$H,6,FALSE))</f>
        <v>200000</v>
      </c>
      <c r="H728" s="728">
        <f>TRUNC($F:$F*G:G)</f>
        <v>210000</v>
      </c>
      <c r="I728" s="728">
        <f>IF($E:$E="인",VLOOKUP($B:$B,[140]노임!$B:$H,6,FALSE),VLOOKUP($D:$D,[140]일위목록!$A:$H,7,FALSE))</f>
        <v>0</v>
      </c>
      <c r="J728" s="728">
        <f>TRUNC($F:$F*I:I)</f>
        <v>0</v>
      </c>
      <c r="K728" s="728">
        <f t="shared" ref="K728:K730" si="106">H728+J728</f>
        <v>210000</v>
      </c>
      <c r="L728" s="724" t="str">
        <f>IF($E:$E="인",VLOOKUP($B:$B,[140]단가!$B:$E,3,FALSE),VLOOKUP($D:$D,[140]일위목록!$A:$H,2,FALSE))</f>
        <v>단가-87번</v>
      </c>
      <c r="M728" s="717"/>
    </row>
    <row r="729" spans="1:13" s="718" customFormat="1" ht="21" customHeight="1">
      <c r="A729" s="724"/>
      <c r="B729" s="791" t="s">
        <v>5864</v>
      </c>
      <c r="C729" s="726"/>
      <c r="D729" s="726" t="str">
        <f>SUBSTITUTE(CONCATENATE(B:B,C:C,E:E)," ","")</f>
        <v>특별인부인</v>
      </c>
      <c r="E729" s="724" t="s">
        <v>5876</v>
      </c>
      <c r="F729" s="727">
        <v>0.3</v>
      </c>
      <c r="G729" s="728">
        <f>IF($E:$E="인",0,VLOOKUP($D:$D,[140]일위목록!$A:$H,6,FALSE))</f>
        <v>0</v>
      </c>
      <c r="H729" s="728">
        <f>TRUNC($F:$F*G:G)</f>
        <v>0</v>
      </c>
      <c r="I729" s="728">
        <f>IF($E:$E="인",VLOOKUP($B:$B,[140]노임!$B:$H,6,FALSE),VLOOKUP($D:$D,[140]일위목록!$A:$H,7,FALSE))</f>
        <v>152019</v>
      </c>
      <c r="J729" s="728">
        <f>TRUNC($F:$F*I:I)</f>
        <v>45605</v>
      </c>
      <c r="K729" s="728">
        <f t="shared" si="106"/>
        <v>45605</v>
      </c>
      <c r="L729" s="724" t="str">
        <f>IF($E:$E="인",VLOOKUP($B:$B,[140]노임!$B:$D,3,FALSE),VLOOKUP($D:$D,[140]일위목록!$A:$H,2,FALSE))</f>
        <v>건설노임-1003</v>
      </c>
      <c r="M729" s="717"/>
    </row>
    <row r="730" spans="1:13" s="718" customFormat="1" ht="21" customHeight="1">
      <c r="A730" s="724"/>
      <c r="B730" s="725" t="s">
        <v>5877</v>
      </c>
      <c r="C730" s="726"/>
      <c r="D730" s="726" t="str">
        <f>SUBSTITUTE(CONCATENATE(B:B,C:C,E:E)," ","")</f>
        <v>보통인부인</v>
      </c>
      <c r="E730" s="724" t="s">
        <v>5862</v>
      </c>
      <c r="F730" s="727">
        <v>0.06</v>
      </c>
      <c r="G730" s="728">
        <f>IF($E:$E="인",0,VLOOKUP($D:$D,[140]일위목록!$A:$H,6,FALSE))</f>
        <v>0</v>
      </c>
      <c r="H730" s="728">
        <f>TRUNC($F:$F*G:G)</f>
        <v>0</v>
      </c>
      <c r="I730" s="728">
        <f>IF($E:$E="인",VLOOKUP($B:$B,[140]노임!$B:$H,6,FALSE),VLOOKUP($D:$D,[140]일위목록!$A:$H,7,FALSE))</f>
        <v>125427</v>
      </c>
      <c r="J730" s="728">
        <f>TRUNC($F:$F*I:I)</f>
        <v>7525</v>
      </c>
      <c r="K730" s="728">
        <f t="shared" si="106"/>
        <v>7525</v>
      </c>
      <c r="L730" s="724" t="str">
        <f>IF($E:$E="인",VLOOKUP($B:$B,[140]노임!$B:$D,3,FALSE),VLOOKUP($D:$D,[140]일위목록!$A:$H,2,FALSE))</f>
        <v>건설노임-1002</v>
      </c>
      <c r="M730" s="717"/>
    </row>
    <row r="731" spans="1:13" s="718" customFormat="1" ht="21" customHeight="1">
      <c r="A731" s="724"/>
      <c r="B731" s="725" t="s">
        <v>5901</v>
      </c>
      <c r="C731" s="726"/>
      <c r="D731" s="726" t="str">
        <f>L:L</f>
        <v>제95호표</v>
      </c>
      <c r="E731" s="724"/>
      <c r="F731" s="727"/>
      <c r="G731" s="728"/>
      <c r="H731" s="728">
        <f>SUM(H728:H730)</f>
        <v>210000</v>
      </c>
      <c r="I731" s="728"/>
      <c r="J731" s="728">
        <f>SUM(J728:J730)</f>
        <v>53130</v>
      </c>
      <c r="K731" s="728">
        <f>SUM(K728:K730)</f>
        <v>263130</v>
      </c>
      <c r="L731" s="724" t="str">
        <f>A726</f>
        <v>제95호표</v>
      </c>
      <c r="M731" s="717"/>
    </row>
    <row r="732" spans="1:13" s="718" customFormat="1" ht="21" customHeight="1">
      <c r="A732" s="724"/>
      <c r="B732" s="725"/>
      <c r="C732" s="726"/>
      <c r="D732" s="726"/>
      <c r="E732" s="724"/>
      <c r="F732" s="727"/>
      <c r="G732" s="728"/>
      <c r="H732" s="728"/>
      <c r="I732" s="728"/>
      <c r="J732" s="728"/>
      <c r="K732" s="728"/>
      <c r="L732" s="724"/>
      <c r="M732" s="717"/>
    </row>
    <row r="733" spans="1:13" s="718" customFormat="1" ht="21" customHeight="1">
      <c r="A733" s="724"/>
      <c r="B733" s="725"/>
      <c r="C733" s="726"/>
      <c r="D733" s="726"/>
      <c r="E733" s="724"/>
      <c r="F733" s="727"/>
      <c r="G733" s="728"/>
      <c r="H733" s="728"/>
      <c r="I733" s="728"/>
      <c r="J733" s="728"/>
      <c r="K733" s="728"/>
      <c r="L733" s="724"/>
      <c r="M733" s="717"/>
    </row>
    <row r="734" spans="1:13" s="718" customFormat="1" ht="21" customHeight="1">
      <c r="A734" s="724" t="str">
        <f>"제"&amp;M734&amp;"호표"</f>
        <v>제96호표</v>
      </c>
      <c r="B734" s="739" t="s">
        <v>6237</v>
      </c>
      <c r="C734" s="792" t="s">
        <v>6241</v>
      </c>
      <c r="D734" s="726"/>
      <c r="E734" s="724" t="s">
        <v>5899</v>
      </c>
      <c r="F734" s="727"/>
      <c r="G734" s="728"/>
      <c r="H734" s="728"/>
      <c r="I734" s="728"/>
      <c r="J734" s="728"/>
      <c r="K734" s="728"/>
      <c r="L734" s="724"/>
      <c r="M734" s="729">
        <f>M726+1</f>
        <v>96</v>
      </c>
    </row>
    <row r="735" spans="1:13" s="718" customFormat="1" ht="21" customHeight="1">
      <c r="A735" s="724"/>
      <c r="B735" s="725"/>
      <c r="C735" s="726"/>
      <c r="D735" s="726"/>
      <c r="E735" s="724"/>
      <c r="F735" s="727"/>
      <c r="G735" s="728"/>
      <c r="H735" s="728"/>
      <c r="I735" s="728"/>
      <c r="J735" s="728"/>
      <c r="K735" s="728"/>
      <c r="L735" s="724"/>
      <c r="M735" s="717"/>
    </row>
    <row r="736" spans="1:13" s="718" customFormat="1" ht="21" customHeight="1">
      <c r="A736" s="724"/>
      <c r="B736" s="745" t="s">
        <v>6239</v>
      </c>
      <c r="C736" s="726" t="s">
        <v>6242</v>
      </c>
      <c r="D736" s="726" t="str">
        <f>SUBSTITUTE(CONCATENATE(B:B,C:C,E:E)," ","")</f>
        <v>AL.사출유리후렘성형가공벽부장(하부)117M</v>
      </c>
      <c r="E736" s="724" t="s">
        <v>5899</v>
      </c>
      <c r="F736" s="727">
        <v>1.05</v>
      </c>
      <c r="G736" s="728">
        <f>IF($E:$E="인",0,VLOOKUP($D:$D,[140]일위목록!$A:$H,6,FALSE))</f>
        <v>120000</v>
      </c>
      <c r="H736" s="728">
        <f>TRUNC($F:$F*G:G)</f>
        <v>126000</v>
      </c>
      <c r="I736" s="728">
        <f>IF($E:$E="인",VLOOKUP($B:$B,[140]노임!$B:$H,6,FALSE),VLOOKUP($D:$D,[140]일위목록!$A:$H,7,FALSE))</f>
        <v>0</v>
      </c>
      <c r="J736" s="728">
        <f>TRUNC($F:$F*I:I)</f>
        <v>0</v>
      </c>
      <c r="K736" s="728">
        <f t="shared" ref="K736:K738" si="107">H736+J736</f>
        <v>126000</v>
      </c>
      <c r="L736" s="724" t="str">
        <f>IF($E:$E="인",VLOOKUP($B:$B,[140]단가!$B:$E,3,FALSE),VLOOKUP($D:$D,[140]일위목록!$A:$H,2,FALSE))</f>
        <v>단가-88번</v>
      </c>
      <c r="M736" s="717"/>
    </row>
    <row r="737" spans="1:13" s="718" customFormat="1" ht="21" customHeight="1">
      <c r="A737" s="724"/>
      <c r="B737" s="791" t="s">
        <v>5864</v>
      </c>
      <c r="C737" s="726"/>
      <c r="D737" s="726" t="str">
        <f>SUBSTITUTE(CONCATENATE(B:B,C:C,E:E)," ","")</f>
        <v>특별인부인</v>
      </c>
      <c r="E737" s="724" t="s">
        <v>5876</v>
      </c>
      <c r="F737" s="727">
        <v>0.2</v>
      </c>
      <c r="G737" s="728">
        <f>IF($E:$E="인",0,VLOOKUP($D:$D,[140]일위목록!$A:$H,6,FALSE))</f>
        <v>0</v>
      </c>
      <c r="H737" s="728">
        <f>TRUNC($F:$F*G:G)</f>
        <v>0</v>
      </c>
      <c r="I737" s="728">
        <f>IF($E:$E="인",VLOOKUP($B:$B,[140]노임!$B:$H,6,FALSE),VLOOKUP($D:$D,[140]일위목록!$A:$H,7,FALSE))</f>
        <v>152019</v>
      </c>
      <c r="J737" s="728">
        <f>TRUNC($F:$F*I:I)</f>
        <v>30403</v>
      </c>
      <c r="K737" s="728">
        <f t="shared" si="107"/>
        <v>30403</v>
      </c>
      <c r="L737" s="724" t="str">
        <f>IF($E:$E="인",VLOOKUP($B:$B,[140]노임!$B:$D,3,FALSE),VLOOKUP($D:$D,[140]일위목록!$A:$H,2,FALSE))</f>
        <v>건설노임-1003</v>
      </c>
      <c r="M737" s="717"/>
    </row>
    <row r="738" spans="1:13" s="718" customFormat="1" ht="21" customHeight="1">
      <c r="A738" s="724"/>
      <c r="B738" s="725" t="s">
        <v>5877</v>
      </c>
      <c r="C738" s="726"/>
      <c r="D738" s="726" t="str">
        <f>SUBSTITUTE(CONCATENATE(B:B,C:C,E:E)," ","")</f>
        <v>보통인부인</v>
      </c>
      <c r="E738" s="724" t="s">
        <v>5862</v>
      </c>
      <c r="F738" s="727">
        <v>0.04</v>
      </c>
      <c r="G738" s="728">
        <f>IF($E:$E="인",0,VLOOKUP($D:$D,[140]일위목록!$A:$H,6,FALSE))</f>
        <v>0</v>
      </c>
      <c r="H738" s="728">
        <f>TRUNC($F:$F*G:G)</f>
        <v>0</v>
      </c>
      <c r="I738" s="728">
        <f>IF($E:$E="인",VLOOKUP($B:$B,[140]노임!$B:$H,6,FALSE),VLOOKUP($D:$D,[140]일위목록!$A:$H,7,FALSE))</f>
        <v>125427</v>
      </c>
      <c r="J738" s="728">
        <f>TRUNC($F:$F*I:I)</f>
        <v>5017</v>
      </c>
      <c r="K738" s="728">
        <f t="shared" si="107"/>
        <v>5017</v>
      </c>
      <c r="L738" s="724" t="str">
        <f>IF($E:$E="인",VLOOKUP($B:$B,[140]노임!$B:$D,3,FALSE),VLOOKUP($D:$D,[140]일위목록!$A:$H,2,FALSE))</f>
        <v>건설노임-1002</v>
      </c>
      <c r="M738" s="717"/>
    </row>
    <row r="739" spans="1:13" s="718" customFormat="1" ht="21" customHeight="1">
      <c r="A739" s="724"/>
      <c r="B739" s="725" t="s">
        <v>5901</v>
      </c>
      <c r="C739" s="726"/>
      <c r="D739" s="726" t="str">
        <f>L:L</f>
        <v>제96호표</v>
      </c>
      <c r="E739" s="724"/>
      <c r="F739" s="727"/>
      <c r="G739" s="728"/>
      <c r="H739" s="728">
        <f>SUM(H736:H738)</f>
        <v>126000</v>
      </c>
      <c r="I739" s="728"/>
      <c r="J739" s="728">
        <f>SUM(J736:J738)</f>
        <v>35420</v>
      </c>
      <c r="K739" s="728">
        <f>SUM(K736:K738)</f>
        <v>161420</v>
      </c>
      <c r="L739" s="724" t="str">
        <f>A734</f>
        <v>제96호표</v>
      </c>
      <c r="M739" s="717"/>
    </row>
    <row r="740" spans="1:13" s="718" customFormat="1" ht="21" customHeight="1">
      <c r="A740" s="724"/>
      <c r="B740" s="725"/>
      <c r="C740" s="726"/>
      <c r="D740" s="726"/>
      <c r="E740" s="724"/>
      <c r="F740" s="727"/>
      <c r="G740" s="728"/>
      <c r="H740" s="728"/>
      <c r="I740" s="728"/>
      <c r="J740" s="728"/>
      <c r="K740" s="728"/>
      <c r="L740" s="724"/>
      <c r="M740" s="717"/>
    </row>
    <row r="741" spans="1:13" s="718" customFormat="1" ht="21" customHeight="1">
      <c r="A741" s="724"/>
      <c r="B741" s="725"/>
      <c r="C741" s="726"/>
      <c r="D741" s="726"/>
      <c r="E741" s="724"/>
      <c r="F741" s="727"/>
      <c r="G741" s="728"/>
      <c r="H741" s="728"/>
      <c r="I741" s="728"/>
      <c r="J741" s="728"/>
      <c r="K741" s="728"/>
      <c r="L741" s="724"/>
      <c r="M741" s="717"/>
    </row>
    <row r="742" spans="1:13" s="718" customFormat="1" ht="21" customHeight="1">
      <c r="A742" s="724" t="str">
        <f>"제"&amp;M742&amp;"호표"</f>
        <v>제97호표</v>
      </c>
      <c r="B742" s="739" t="s">
        <v>6237</v>
      </c>
      <c r="C742" s="726" t="s">
        <v>6243</v>
      </c>
      <c r="D742" s="726"/>
      <c r="E742" s="724" t="s">
        <v>5899</v>
      </c>
      <c r="F742" s="727"/>
      <c r="G742" s="728"/>
      <c r="H742" s="728"/>
      <c r="I742" s="728"/>
      <c r="J742" s="728"/>
      <c r="K742" s="728"/>
      <c r="L742" s="724"/>
      <c r="M742" s="729">
        <f>M734+1</f>
        <v>97</v>
      </c>
    </row>
    <row r="743" spans="1:13" s="718" customFormat="1" ht="21" customHeight="1">
      <c r="A743" s="724"/>
      <c r="B743" s="725"/>
      <c r="C743" s="726"/>
      <c r="D743" s="726"/>
      <c r="E743" s="724"/>
      <c r="F743" s="727"/>
      <c r="G743" s="728"/>
      <c r="H743" s="728"/>
      <c r="I743" s="728"/>
      <c r="J743" s="728"/>
      <c r="K743" s="728"/>
      <c r="L743" s="724"/>
      <c r="M743" s="717"/>
    </row>
    <row r="744" spans="1:13" s="718" customFormat="1" ht="21" customHeight="1">
      <c r="A744" s="724"/>
      <c r="B744" s="745" t="s">
        <v>6239</v>
      </c>
      <c r="C744" s="726" t="s">
        <v>6244</v>
      </c>
      <c r="D744" s="726" t="str">
        <f>SUBSTITUTE(CONCATENATE(B:B,C:C,E:E)," ","")</f>
        <v>AL.사출유리후렘성형가공독립장(상부)150M</v>
      </c>
      <c r="E744" s="724" t="s">
        <v>5899</v>
      </c>
      <c r="F744" s="727">
        <v>1.05</v>
      </c>
      <c r="G744" s="728">
        <f>IF($E:$E="인",0,VLOOKUP($D:$D,[140]일위목록!$A:$H,6,FALSE))</f>
        <v>150000</v>
      </c>
      <c r="H744" s="728">
        <f>TRUNC($F:$F*G:G)</f>
        <v>157500</v>
      </c>
      <c r="I744" s="728">
        <f>IF($E:$E="인",VLOOKUP($B:$B,[140]노임!$B:$H,6,FALSE),VLOOKUP($D:$D,[140]일위목록!$A:$H,7,FALSE))</f>
        <v>0</v>
      </c>
      <c r="J744" s="728">
        <f>TRUNC($F:$F*I:I)</f>
        <v>0</v>
      </c>
      <c r="K744" s="728">
        <f t="shared" ref="K744:K746" si="108">H744+J744</f>
        <v>157500</v>
      </c>
      <c r="L744" s="724" t="str">
        <f>IF($E:$E="인",VLOOKUP($B:$B,[140]단가!$B:$E,3,FALSE),VLOOKUP($D:$D,[140]일위목록!$A:$H,2,FALSE))</f>
        <v>단가-89번</v>
      </c>
      <c r="M744" s="717"/>
    </row>
    <row r="745" spans="1:13" s="718" customFormat="1" ht="21" customHeight="1">
      <c r="A745" s="724"/>
      <c r="B745" s="791" t="s">
        <v>5864</v>
      </c>
      <c r="C745" s="726"/>
      <c r="D745" s="726" t="str">
        <f>SUBSTITUTE(CONCATENATE(B:B,C:C,E:E)," ","")</f>
        <v>특별인부인</v>
      </c>
      <c r="E745" s="724" t="s">
        <v>5876</v>
      </c>
      <c r="F745" s="727">
        <v>0.3</v>
      </c>
      <c r="G745" s="728">
        <f>IF($E:$E="인",0,VLOOKUP($D:$D,[140]일위목록!$A:$H,6,FALSE))</f>
        <v>0</v>
      </c>
      <c r="H745" s="728">
        <f>TRUNC($F:$F*G:G)</f>
        <v>0</v>
      </c>
      <c r="I745" s="728">
        <f>IF($E:$E="인",VLOOKUP($B:$B,[140]노임!$B:$H,6,FALSE),VLOOKUP($D:$D,[140]일위목록!$A:$H,7,FALSE))</f>
        <v>152019</v>
      </c>
      <c r="J745" s="728">
        <f>TRUNC($F:$F*I:I)</f>
        <v>45605</v>
      </c>
      <c r="K745" s="728">
        <f t="shared" si="108"/>
        <v>45605</v>
      </c>
      <c r="L745" s="724" t="str">
        <f>IF($E:$E="인",VLOOKUP($B:$B,[140]노임!$B:$D,3,FALSE),VLOOKUP($D:$D,[140]일위목록!$A:$H,2,FALSE))</f>
        <v>건설노임-1003</v>
      </c>
      <c r="M745" s="717"/>
    </row>
    <row r="746" spans="1:13" s="718" customFormat="1" ht="21" customHeight="1">
      <c r="A746" s="724"/>
      <c r="B746" s="725" t="s">
        <v>5877</v>
      </c>
      <c r="C746" s="726"/>
      <c r="D746" s="726" t="str">
        <f>SUBSTITUTE(CONCATENATE(B:B,C:C,E:E)," ","")</f>
        <v>보통인부인</v>
      </c>
      <c r="E746" s="724" t="s">
        <v>5862</v>
      </c>
      <c r="F746" s="727">
        <v>0.06</v>
      </c>
      <c r="G746" s="728">
        <f>IF($E:$E="인",0,VLOOKUP($D:$D,[140]일위목록!$A:$H,6,FALSE))</f>
        <v>0</v>
      </c>
      <c r="H746" s="728">
        <f>TRUNC($F:$F*G:G)</f>
        <v>0</v>
      </c>
      <c r="I746" s="728">
        <f>IF($E:$E="인",VLOOKUP($B:$B,[140]노임!$B:$H,6,FALSE),VLOOKUP($D:$D,[140]일위목록!$A:$H,7,FALSE))</f>
        <v>125427</v>
      </c>
      <c r="J746" s="728">
        <f>TRUNC($F:$F*I:I)</f>
        <v>7525</v>
      </c>
      <c r="K746" s="728">
        <f t="shared" si="108"/>
        <v>7525</v>
      </c>
      <c r="L746" s="724" t="str">
        <f>IF($E:$E="인",VLOOKUP($B:$B,[140]노임!$B:$D,3,FALSE),VLOOKUP($D:$D,[140]일위목록!$A:$H,2,FALSE))</f>
        <v>건설노임-1002</v>
      </c>
      <c r="M746" s="717"/>
    </row>
    <row r="747" spans="1:13" s="718" customFormat="1" ht="21" customHeight="1">
      <c r="A747" s="724"/>
      <c r="B747" s="725" t="s">
        <v>5901</v>
      </c>
      <c r="C747" s="726"/>
      <c r="D747" s="726" t="str">
        <f>L:L</f>
        <v>제97호표</v>
      </c>
      <c r="E747" s="724"/>
      <c r="F747" s="727"/>
      <c r="G747" s="728"/>
      <c r="H747" s="728">
        <f>SUM(H744:H746)</f>
        <v>157500</v>
      </c>
      <c r="I747" s="728"/>
      <c r="J747" s="728">
        <f>SUM(J744:J746)</f>
        <v>53130</v>
      </c>
      <c r="K747" s="728">
        <f>SUM(K744:K746)</f>
        <v>210630</v>
      </c>
      <c r="L747" s="724" t="str">
        <f>A742</f>
        <v>제97호표</v>
      </c>
      <c r="M747" s="717"/>
    </row>
    <row r="748" spans="1:13" s="718" customFormat="1" ht="21" customHeight="1">
      <c r="A748" s="724"/>
      <c r="B748" s="725"/>
      <c r="C748" s="726"/>
      <c r="D748" s="726"/>
      <c r="E748" s="724"/>
      <c r="F748" s="727"/>
      <c r="G748" s="728"/>
      <c r="H748" s="728"/>
      <c r="I748" s="728"/>
      <c r="J748" s="728"/>
      <c r="K748" s="728"/>
      <c r="L748" s="724"/>
      <c r="M748" s="717"/>
    </row>
    <row r="749" spans="1:13" s="718" customFormat="1" ht="21" customHeight="1">
      <c r="A749" s="724"/>
      <c r="B749" s="725"/>
      <c r="C749" s="726"/>
      <c r="D749" s="726"/>
      <c r="E749" s="724"/>
      <c r="F749" s="727"/>
      <c r="G749" s="728"/>
      <c r="H749" s="728"/>
      <c r="I749" s="728"/>
      <c r="J749" s="728"/>
      <c r="K749" s="728"/>
      <c r="L749" s="724"/>
      <c r="M749" s="717"/>
    </row>
    <row r="750" spans="1:13" s="718" customFormat="1" ht="21" customHeight="1">
      <c r="A750" s="724" t="str">
        <f>"제"&amp;M750&amp;"호표"</f>
        <v>제98호표</v>
      </c>
      <c r="B750" s="739" t="s">
        <v>6237</v>
      </c>
      <c r="C750" s="726" t="s">
        <v>6245</v>
      </c>
      <c r="D750" s="726"/>
      <c r="E750" s="724" t="s">
        <v>5899</v>
      </c>
      <c r="F750" s="727"/>
      <c r="G750" s="728"/>
      <c r="H750" s="728"/>
      <c r="I750" s="728"/>
      <c r="J750" s="728"/>
      <c r="K750" s="728"/>
      <c r="L750" s="724"/>
      <c r="M750" s="729">
        <f>M742+1</f>
        <v>98</v>
      </c>
    </row>
    <row r="751" spans="1:13" s="718" customFormat="1" ht="21" customHeight="1">
      <c r="A751" s="724"/>
      <c r="B751" s="725"/>
      <c r="C751" s="726"/>
      <c r="D751" s="726"/>
      <c r="E751" s="724"/>
      <c r="F751" s="727"/>
      <c r="G751" s="728"/>
      <c r="H751" s="728"/>
      <c r="I751" s="728"/>
      <c r="J751" s="728"/>
      <c r="K751" s="728"/>
      <c r="L751" s="724"/>
      <c r="M751" s="717"/>
    </row>
    <row r="752" spans="1:13" s="718" customFormat="1" ht="21" customHeight="1">
      <c r="A752" s="724"/>
      <c r="B752" s="745" t="s">
        <v>6239</v>
      </c>
      <c r="C752" s="726" t="s">
        <v>6246</v>
      </c>
      <c r="D752" s="726" t="str">
        <f>SUBSTITUTE(CONCATENATE(B:B,C:C,E:E)," ","")</f>
        <v>AL.사출유리후렘성형가공독립장(하부)103M</v>
      </c>
      <c r="E752" s="724" t="s">
        <v>5899</v>
      </c>
      <c r="F752" s="727">
        <v>1.05</v>
      </c>
      <c r="G752" s="728">
        <f>IF($E:$E="인",0,VLOOKUP($D:$D,[140]일위목록!$A:$H,6,FALSE))</f>
        <v>110000</v>
      </c>
      <c r="H752" s="728">
        <f>TRUNC($F:$F*G:G)</f>
        <v>115500</v>
      </c>
      <c r="I752" s="728">
        <f>IF($E:$E="인",VLOOKUP($B:$B,[140]노임!$B:$H,6,FALSE),VLOOKUP($D:$D,[140]일위목록!$A:$H,7,FALSE))</f>
        <v>0</v>
      </c>
      <c r="J752" s="728">
        <f>TRUNC($F:$F*I:I)</f>
        <v>0</v>
      </c>
      <c r="K752" s="728">
        <f t="shared" ref="K752:K754" si="109">H752+J752</f>
        <v>115500</v>
      </c>
      <c r="L752" s="724" t="str">
        <f>IF($E:$E="인",VLOOKUP($B:$B,[140]단가!$B:$E,3,FALSE),VLOOKUP($D:$D,[140]일위목록!$A:$H,2,FALSE))</f>
        <v>단가-90번</v>
      </c>
      <c r="M752" s="717"/>
    </row>
    <row r="753" spans="1:13" s="718" customFormat="1" ht="21" customHeight="1">
      <c r="A753" s="724"/>
      <c r="B753" s="791" t="s">
        <v>5864</v>
      </c>
      <c r="C753" s="726"/>
      <c r="D753" s="726" t="str">
        <f>SUBSTITUTE(CONCATENATE(B:B,C:C,E:E)," ","")</f>
        <v>특별인부인</v>
      </c>
      <c r="E753" s="724" t="s">
        <v>5876</v>
      </c>
      <c r="F753" s="727">
        <v>0.2</v>
      </c>
      <c r="G753" s="728">
        <f>IF($E:$E="인",0,VLOOKUP($D:$D,[140]일위목록!$A:$H,6,FALSE))</f>
        <v>0</v>
      </c>
      <c r="H753" s="728">
        <f>TRUNC($F:$F*G:G)</f>
        <v>0</v>
      </c>
      <c r="I753" s="728">
        <f>IF($E:$E="인",VLOOKUP($B:$B,[140]노임!$B:$H,6,FALSE),VLOOKUP($D:$D,[140]일위목록!$A:$H,7,FALSE))</f>
        <v>152019</v>
      </c>
      <c r="J753" s="728">
        <f>TRUNC($F:$F*I:I)</f>
        <v>30403</v>
      </c>
      <c r="K753" s="728">
        <f t="shared" si="109"/>
        <v>30403</v>
      </c>
      <c r="L753" s="724" t="str">
        <f>IF($E:$E="인",VLOOKUP($B:$B,[140]노임!$B:$D,3,FALSE),VLOOKUP($D:$D,[140]일위목록!$A:$H,2,FALSE))</f>
        <v>건설노임-1003</v>
      </c>
      <c r="M753" s="717"/>
    </row>
    <row r="754" spans="1:13" s="718" customFormat="1" ht="21" customHeight="1">
      <c r="A754" s="724"/>
      <c r="B754" s="725" t="s">
        <v>5877</v>
      </c>
      <c r="C754" s="726"/>
      <c r="D754" s="726" t="str">
        <f>SUBSTITUTE(CONCATENATE(B:B,C:C,E:E)," ","")</f>
        <v>보통인부인</v>
      </c>
      <c r="E754" s="724" t="s">
        <v>5862</v>
      </c>
      <c r="F754" s="727">
        <v>0.04</v>
      </c>
      <c r="G754" s="728">
        <f>IF($E:$E="인",0,VLOOKUP($D:$D,[140]일위목록!$A:$H,6,FALSE))</f>
        <v>0</v>
      </c>
      <c r="H754" s="728">
        <f>TRUNC($F:$F*G:G)</f>
        <v>0</v>
      </c>
      <c r="I754" s="728">
        <f>IF($E:$E="인",VLOOKUP($B:$B,[140]노임!$B:$H,6,FALSE),VLOOKUP($D:$D,[140]일위목록!$A:$H,7,FALSE))</f>
        <v>125427</v>
      </c>
      <c r="J754" s="728">
        <f>TRUNC($F:$F*I:I)</f>
        <v>5017</v>
      </c>
      <c r="K754" s="728">
        <f t="shared" si="109"/>
        <v>5017</v>
      </c>
      <c r="L754" s="724" t="str">
        <f>IF($E:$E="인",VLOOKUP($B:$B,[140]노임!$B:$D,3,FALSE),VLOOKUP($D:$D,[140]일위목록!$A:$H,2,FALSE))</f>
        <v>건설노임-1002</v>
      </c>
      <c r="M754" s="717"/>
    </row>
    <row r="755" spans="1:13" s="718" customFormat="1" ht="21" customHeight="1">
      <c r="A755" s="724"/>
      <c r="B755" s="725" t="s">
        <v>5901</v>
      </c>
      <c r="C755" s="726"/>
      <c r="D755" s="726" t="str">
        <f>L:L</f>
        <v>제98호표</v>
      </c>
      <c r="E755" s="724"/>
      <c r="F755" s="727"/>
      <c r="G755" s="728"/>
      <c r="H755" s="728">
        <f>SUM(H752:H754)</f>
        <v>115500</v>
      </c>
      <c r="I755" s="728"/>
      <c r="J755" s="728">
        <f>SUM(J752:J754)</f>
        <v>35420</v>
      </c>
      <c r="K755" s="728">
        <f>SUM(K752:K754)</f>
        <v>150920</v>
      </c>
      <c r="L755" s="724" t="str">
        <f>A750</f>
        <v>제98호표</v>
      </c>
      <c r="M755" s="717"/>
    </row>
    <row r="756" spans="1:13" s="718" customFormat="1" ht="21" customHeight="1">
      <c r="A756" s="724"/>
      <c r="B756" s="725"/>
      <c r="C756" s="726"/>
      <c r="D756" s="726"/>
      <c r="E756" s="724"/>
      <c r="F756" s="727"/>
      <c r="G756" s="728"/>
      <c r="H756" s="728"/>
      <c r="I756" s="728"/>
      <c r="J756" s="728"/>
      <c r="K756" s="728"/>
      <c r="L756" s="724"/>
      <c r="M756" s="717"/>
    </row>
    <row r="757" spans="1:13" s="718" customFormat="1" ht="21" customHeight="1">
      <c r="A757" s="724"/>
      <c r="B757" s="725"/>
      <c r="C757" s="726"/>
      <c r="D757" s="726"/>
      <c r="E757" s="724"/>
      <c r="F757" s="727"/>
      <c r="G757" s="728"/>
      <c r="H757" s="728"/>
      <c r="I757" s="728"/>
      <c r="J757" s="728"/>
      <c r="K757" s="728"/>
      <c r="L757" s="724"/>
      <c r="M757" s="717"/>
    </row>
    <row r="758" spans="1:13" s="718" customFormat="1" ht="21" customHeight="1">
      <c r="A758" s="724" t="str">
        <f>"제"&amp;M758&amp;"호표"</f>
        <v>제99호표</v>
      </c>
      <c r="B758" s="739" t="s">
        <v>6247</v>
      </c>
      <c r="C758" s="726" t="s">
        <v>6248</v>
      </c>
      <c r="D758" s="726"/>
      <c r="E758" s="724" t="s">
        <v>5912</v>
      </c>
      <c r="F758" s="727"/>
      <c r="G758" s="728"/>
      <c r="H758" s="728"/>
      <c r="I758" s="728"/>
      <c r="J758" s="728"/>
      <c r="K758" s="728"/>
      <c r="L758" s="724"/>
      <c r="M758" s="729">
        <f>M750+1</f>
        <v>99</v>
      </c>
    </row>
    <row r="759" spans="1:13" s="718" customFormat="1" ht="21" customHeight="1">
      <c r="A759" s="724"/>
      <c r="B759" s="725"/>
      <c r="C759" s="726"/>
      <c r="D759" s="726"/>
      <c r="E759" s="724"/>
      <c r="F759" s="727"/>
      <c r="G759" s="728"/>
      <c r="H759" s="728"/>
      <c r="I759" s="728"/>
      <c r="J759" s="728"/>
      <c r="K759" s="728"/>
      <c r="L759" s="724"/>
      <c r="M759" s="717"/>
    </row>
    <row r="760" spans="1:13" s="718" customFormat="1" ht="21" customHeight="1">
      <c r="A760" s="724"/>
      <c r="B760" s="745" t="s">
        <v>6249</v>
      </c>
      <c r="C760" s="726" t="s">
        <v>6250</v>
      </c>
      <c r="D760" s="726" t="str">
        <f>SUBSTITUTE(CONCATENATE(B:B,C:C,E:E)," ","")</f>
        <v>AL.사출유리후렘성형가공독립장(하부)103M</v>
      </c>
      <c r="E760" s="724" t="s">
        <v>5912</v>
      </c>
      <c r="F760" s="727">
        <v>1.05</v>
      </c>
      <c r="G760" s="728">
        <f>IF($E:$E="인",0,VLOOKUP($D:$D,[140]일위목록!$A:$H,6,FALSE))</f>
        <v>110000</v>
      </c>
      <c r="H760" s="728">
        <f>TRUNC($F:$F*G:G)</f>
        <v>115500</v>
      </c>
      <c r="I760" s="728">
        <f>IF($E:$E="인",VLOOKUP($B:$B,[140]노임!$B:$H,6,FALSE),VLOOKUP($D:$D,[140]일위목록!$A:$H,7,FALSE))</f>
        <v>0</v>
      </c>
      <c r="J760" s="728">
        <f>TRUNC($F:$F*I:I)</f>
        <v>0</v>
      </c>
      <c r="K760" s="728">
        <f t="shared" ref="K760:K762" si="110">H760+J760</f>
        <v>115500</v>
      </c>
      <c r="L760" s="724" t="str">
        <f>IF($E:$E="인",VLOOKUP($B:$B,[140]단가!$B:$E,3,FALSE),VLOOKUP($D:$D,[140]일위목록!$A:$H,2,FALSE))</f>
        <v>단가-90번</v>
      </c>
      <c r="M760" s="717"/>
    </row>
    <row r="761" spans="1:13" s="718" customFormat="1" ht="21" customHeight="1">
      <c r="A761" s="724"/>
      <c r="B761" s="791" t="s">
        <v>6251</v>
      </c>
      <c r="C761" s="726"/>
      <c r="D761" s="726" t="str">
        <f>SUBSTITUTE(CONCATENATE(B:B,C:C,E:E)," ","")</f>
        <v>특별인부인</v>
      </c>
      <c r="E761" s="724" t="s">
        <v>5876</v>
      </c>
      <c r="F761" s="727">
        <v>0.08</v>
      </c>
      <c r="G761" s="728">
        <f>IF($E:$E="인",0,VLOOKUP($D:$D,[140]일위목록!$A:$H,6,FALSE))</f>
        <v>0</v>
      </c>
      <c r="H761" s="728">
        <f>TRUNC($F:$F*G:G)</f>
        <v>0</v>
      </c>
      <c r="I761" s="728">
        <f>IF($E:$E="인",VLOOKUP($B:$B,[140]노임!$B:$H,6,FALSE),VLOOKUP($D:$D,[140]일위목록!$A:$H,7,FALSE))</f>
        <v>152019</v>
      </c>
      <c r="J761" s="728">
        <f>TRUNC($F:$F*I:I)</f>
        <v>12161</v>
      </c>
      <c r="K761" s="728">
        <f t="shared" si="110"/>
        <v>12161</v>
      </c>
      <c r="L761" s="724" t="str">
        <f>IF($E:$E="인",VLOOKUP($B:$B,[140]노임!$B:$D,3,FALSE),VLOOKUP($D:$D,[140]일위목록!$A:$H,2,FALSE))</f>
        <v>건설노임-1003</v>
      </c>
      <c r="M761" s="717"/>
    </row>
    <row r="762" spans="1:13" s="718" customFormat="1" ht="21" customHeight="1">
      <c r="A762" s="724"/>
      <c r="B762" s="725" t="s">
        <v>5877</v>
      </c>
      <c r="C762" s="726"/>
      <c r="D762" s="726" t="str">
        <f>SUBSTITUTE(CONCATENATE(B:B,C:C,E:E)," ","")</f>
        <v>보통인부인</v>
      </c>
      <c r="E762" s="724" t="s">
        <v>5862</v>
      </c>
      <c r="F762" s="727">
        <v>0.01</v>
      </c>
      <c r="G762" s="728">
        <f>IF($E:$E="인",0,VLOOKUP($D:$D,[140]일위목록!$A:$H,6,FALSE))</f>
        <v>0</v>
      </c>
      <c r="H762" s="728">
        <f>TRUNC($F:$F*G:G)</f>
        <v>0</v>
      </c>
      <c r="I762" s="728">
        <f>IF($E:$E="인",VLOOKUP($B:$B,[140]노임!$B:$H,6,FALSE),VLOOKUP($D:$D,[140]일위목록!$A:$H,7,FALSE))</f>
        <v>125427</v>
      </c>
      <c r="J762" s="728">
        <f>TRUNC($F:$F*I:I)</f>
        <v>1254</v>
      </c>
      <c r="K762" s="728">
        <f t="shared" si="110"/>
        <v>1254</v>
      </c>
      <c r="L762" s="724" t="str">
        <f>IF($E:$E="인",VLOOKUP($B:$B,[140]노임!$B:$D,3,FALSE),VLOOKUP($D:$D,[140]일위목록!$A:$H,2,FALSE))</f>
        <v>건설노임-1002</v>
      </c>
      <c r="M762" s="717"/>
    </row>
    <row r="763" spans="1:13" s="718" customFormat="1" ht="21" customHeight="1">
      <c r="A763" s="724"/>
      <c r="B763" s="725" t="s">
        <v>5901</v>
      </c>
      <c r="C763" s="726"/>
      <c r="D763" s="726" t="str">
        <f>L:L</f>
        <v>제99호표</v>
      </c>
      <c r="E763" s="724"/>
      <c r="F763" s="727"/>
      <c r="G763" s="728"/>
      <c r="H763" s="728">
        <f>SUM(H760:H762)</f>
        <v>115500</v>
      </c>
      <c r="I763" s="728"/>
      <c r="J763" s="728">
        <f>SUM(J760:J762)</f>
        <v>13415</v>
      </c>
      <c r="K763" s="728">
        <f>SUM(K760:K762)</f>
        <v>128915</v>
      </c>
      <c r="L763" s="724" t="str">
        <f>A758</f>
        <v>제99호표</v>
      </c>
      <c r="M763" s="717"/>
    </row>
    <row r="764" spans="1:13" s="718" customFormat="1" ht="21" customHeight="1">
      <c r="A764" s="724"/>
      <c r="B764" s="725"/>
      <c r="C764" s="726"/>
      <c r="D764" s="726"/>
      <c r="E764" s="724"/>
      <c r="F764" s="727"/>
      <c r="G764" s="728"/>
      <c r="H764" s="728"/>
      <c r="I764" s="728"/>
      <c r="J764" s="728"/>
      <c r="K764" s="728"/>
      <c r="L764" s="724"/>
      <c r="M764" s="717"/>
    </row>
    <row r="765" spans="1:13" s="718" customFormat="1" ht="21" customHeight="1">
      <c r="A765" s="724"/>
      <c r="B765" s="725"/>
      <c r="C765" s="726"/>
      <c r="D765" s="726"/>
      <c r="E765" s="724"/>
      <c r="F765" s="727"/>
      <c r="G765" s="728"/>
      <c r="H765" s="728"/>
      <c r="I765" s="728"/>
      <c r="J765" s="728"/>
      <c r="K765" s="728"/>
      <c r="L765" s="724"/>
      <c r="M765" s="717"/>
    </row>
    <row r="766" spans="1:13" s="718" customFormat="1" ht="21" customHeight="1">
      <c r="A766" s="724" t="str">
        <f>"제"&amp;M766&amp;"호표"</f>
        <v>제100호표</v>
      </c>
      <c r="B766" s="739" t="s">
        <v>6252</v>
      </c>
      <c r="C766" s="726" t="s">
        <v>6253</v>
      </c>
      <c r="D766" s="726"/>
      <c r="E766" s="790" t="s">
        <v>6227</v>
      </c>
      <c r="F766" s="727"/>
      <c r="G766" s="728"/>
      <c r="H766" s="728"/>
      <c r="I766" s="728"/>
      <c r="J766" s="728"/>
      <c r="K766" s="728"/>
      <c r="L766" s="724"/>
      <c r="M766" s="729">
        <f>M758+1</f>
        <v>100</v>
      </c>
    </row>
    <row r="767" spans="1:13" s="718" customFormat="1" ht="21" customHeight="1">
      <c r="A767" s="724"/>
      <c r="B767" s="725"/>
      <c r="C767" s="726"/>
      <c r="D767" s="726"/>
      <c r="E767" s="724"/>
      <c r="F767" s="727"/>
      <c r="G767" s="728"/>
      <c r="H767" s="728"/>
      <c r="I767" s="728"/>
      <c r="J767" s="728"/>
      <c r="K767" s="728"/>
      <c r="L767" s="724"/>
      <c r="M767" s="717"/>
    </row>
    <row r="768" spans="1:13" s="718" customFormat="1" ht="21" customHeight="1">
      <c r="A768" s="724"/>
      <c r="B768" s="739" t="s">
        <v>6254</v>
      </c>
      <c r="C768" s="793" t="s">
        <v>6253</v>
      </c>
      <c r="D768" s="726" t="str">
        <f>SUBSTITUTE(CONCATENATE(B:B,C:C,E:E)," ","")</f>
        <v>LM가이드시스템Ø25SET</v>
      </c>
      <c r="E768" s="790" t="s">
        <v>6227</v>
      </c>
      <c r="F768" s="727">
        <v>1.05</v>
      </c>
      <c r="G768" s="728">
        <f>IF($E:$E="인",0,VLOOKUP($D:$D,[140]일위목록!$A:$H,6,FALSE))</f>
        <v>120000</v>
      </c>
      <c r="H768" s="728">
        <f>TRUNC($F:$F*G:G)</f>
        <v>126000</v>
      </c>
      <c r="I768" s="728">
        <f>IF($E:$E="인",VLOOKUP($B:$B,[140]노임!$B:$H,6,FALSE),VLOOKUP($D:$D,[140]일위목록!$A:$H,7,FALSE))</f>
        <v>0</v>
      </c>
      <c r="J768" s="728">
        <f>TRUNC($F:$F*I:I)</f>
        <v>0</v>
      </c>
      <c r="K768" s="728">
        <f t="shared" ref="K768:K772" si="111">H768+J768</f>
        <v>126000</v>
      </c>
      <c r="L768" s="724" t="str">
        <f>IF($E:$E="인",VLOOKUP($B:$B,[140]단가!$B:$E,3,FALSE),VLOOKUP($D:$D,[140]일위목록!$A:$H,2,FALSE))</f>
        <v>단가-91번</v>
      </c>
      <c r="M768" s="717"/>
    </row>
    <row r="769" spans="1:13" s="718" customFormat="1" ht="21" customHeight="1">
      <c r="A769" s="724"/>
      <c r="B769" s="739" t="s">
        <v>6255</v>
      </c>
      <c r="C769" s="745" t="s">
        <v>6256</v>
      </c>
      <c r="D769" s="726" t="str">
        <f>SUBSTITUTE(CONCATENATE(B:B,C:C,E:E)," ","")</f>
        <v>LM가이드시스템보강판T10mm레이져가공ea</v>
      </c>
      <c r="E769" s="790" t="s">
        <v>6198</v>
      </c>
      <c r="F769" s="727">
        <v>1</v>
      </c>
      <c r="G769" s="728">
        <f>IF($E:$E="인",0,VLOOKUP($D:$D,[140]일위목록!$A:$H,6,FALSE))</f>
        <v>18000</v>
      </c>
      <c r="H769" s="728">
        <f>TRUNC($F:$F*G:G)</f>
        <v>18000</v>
      </c>
      <c r="I769" s="728">
        <f>IF($E:$E="인",VLOOKUP($B:$B,[140]노임!$B:$H,6,FALSE),VLOOKUP($D:$D,[140]일위목록!$A:$H,7,FALSE))</f>
        <v>0</v>
      </c>
      <c r="J769" s="728">
        <f>TRUNC($F:$F*I:I)</f>
        <v>0</v>
      </c>
      <c r="K769" s="728">
        <f t="shared" si="111"/>
        <v>18000</v>
      </c>
      <c r="L769" s="724" t="str">
        <f>IF($E:$E="인",VLOOKUP($B:$B,[140]단가!$B:$E,3,FALSE),VLOOKUP($D:$D,[140]일위목록!$A:$H,2,FALSE))</f>
        <v>단가-93번</v>
      </c>
      <c r="M769" s="717"/>
    </row>
    <row r="770" spans="1:13" s="718" customFormat="1" ht="21" customHeight="1">
      <c r="A770" s="724"/>
      <c r="B770" s="791" t="s">
        <v>5863</v>
      </c>
      <c r="C770" s="726"/>
      <c r="D770" s="726" t="str">
        <f>SUBSTITUTE(CONCATENATE(B:B,C:C,E:E)," ","")</f>
        <v>용접공인</v>
      </c>
      <c r="E770" s="724" t="s">
        <v>5876</v>
      </c>
      <c r="F770" s="727">
        <v>0.04</v>
      </c>
      <c r="G770" s="728">
        <f>IF($E:$E="인",0,VLOOKUP($D:$D,[140]일위목록!$A:$H,6,FALSE))</f>
        <v>0</v>
      </c>
      <c r="H770" s="728">
        <f>TRUNC($F:$F*G:G)</f>
        <v>0</v>
      </c>
      <c r="I770" s="728">
        <f>IF($E:$E="인",VLOOKUP($B:$B,[140]노임!$B:$H,6,FALSE),VLOOKUP($D:$D,[140]일위목록!$A:$H,7,FALSE))</f>
        <v>198711</v>
      </c>
      <c r="J770" s="728">
        <f>TRUNC($F:$F*I:I)</f>
        <v>7948</v>
      </c>
      <c r="K770" s="728">
        <f t="shared" si="111"/>
        <v>7948</v>
      </c>
      <c r="L770" s="724" t="str">
        <f>IF($E:$E="인",VLOOKUP($B:$B,[140]노임!$B:$D,3,FALSE),VLOOKUP($D:$D,[140]일위목록!$A:$H,2,FALSE))</f>
        <v>건설노임-1012</v>
      </c>
      <c r="M770" s="717"/>
    </row>
    <row r="771" spans="1:13" s="718" customFormat="1" ht="21" customHeight="1">
      <c r="A771" s="724"/>
      <c r="B771" s="791" t="s">
        <v>5864</v>
      </c>
      <c r="C771" s="726"/>
      <c r="D771" s="726" t="str">
        <f>SUBSTITUTE(CONCATENATE(B:B,C:C,E:E)," ","")</f>
        <v>특별인부인</v>
      </c>
      <c r="E771" s="724" t="s">
        <v>5876</v>
      </c>
      <c r="F771" s="727">
        <v>0.06</v>
      </c>
      <c r="G771" s="728">
        <f>IF($E:$E="인",0,VLOOKUP($D:$D,[140]일위목록!$A:$H,6,FALSE))</f>
        <v>0</v>
      </c>
      <c r="H771" s="728">
        <f>TRUNC($F:$F*G:G)</f>
        <v>0</v>
      </c>
      <c r="I771" s="728">
        <f>IF($E:$E="인",VLOOKUP($B:$B,[140]노임!$B:$H,6,FALSE),VLOOKUP($D:$D,[140]일위목록!$A:$H,7,FALSE))</f>
        <v>152019</v>
      </c>
      <c r="J771" s="728">
        <f>TRUNC($F:$F*I:I)</f>
        <v>9121</v>
      </c>
      <c r="K771" s="728">
        <f t="shared" si="111"/>
        <v>9121</v>
      </c>
      <c r="L771" s="724" t="str">
        <f>IF($E:$E="인",VLOOKUP($B:$B,[140]노임!$B:$D,3,FALSE),VLOOKUP($D:$D,[140]일위목록!$A:$H,2,FALSE))</f>
        <v>건설노임-1003</v>
      </c>
      <c r="M771" s="717"/>
    </row>
    <row r="772" spans="1:13" s="718" customFormat="1" ht="21" customHeight="1">
      <c r="A772" s="724"/>
      <c r="B772" s="725" t="s">
        <v>5877</v>
      </c>
      <c r="C772" s="726"/>
      <c r="D772" s="726" t="str">
        <f>SUBSTITUTE(CONCATENATE(B:B,C:C,E:E)," ","")</f>
        <v>보통인부인</v>
      </c>
      <c r="E772" s="724" t="s">
        <v>5862</v>
      </c>
      <c r="F772" s="727">
        <v>0.01</v>
      </c>
      <c r="G772" s="728">
        <f>IF($E:$E="인",0,VLOOKUP($D:$D,[140]일위목록!$A:$H,6,FALSE))</f>
        <v>0</v>
      </c>
      <c r="H772" s="728">
        <f>TRUNC($F:$F*G:G)</f>
        <v>0</v>
      </c>
      <c r="I772" s="728">
        <f>IF($E:$E="인",VLOOKUP($B:$B,[140]노임!$B:$H,6,FALSE),VLOOKUP($D:$D,[140]일위목록!$A:$H,7,FALSE))</f>
        <v>125427</v>
      </c>
      <c r="J772" s="728">
        <f>TRUNC($F:$F*I:I)</f>
        <v>1254</v>
      </c>
      <c r="K772" s="728">
        <f t="shared" si="111"/>
        <v>1254</v>
      </c>
      <c r="L772" s="724" t="str">
        <f>IF($E:$E="인",VLOOKUP($B:$B,[140]노임!$B:$D,3,FALSE),VLOOKUP($D:$D,[140]일위목록!$A:$H,2,FALSE))</f>
        <v>건설노임-1002</v>
      </c>
      <c r="M772" s="717"/>
    </row>
    <row r="773" spans="1:13" s="718" customFormat="1" ht="21" customHeight="1">
      <c r="A773" s="724"/>
      <c r="B773" s="725" t="s">
        <v>5901</v>
      </c>
      <c r="C773" s="726"/>
      <c r="D773" s="726" t="str">
        <f>L:L</f>
        <v>제100호표</v>
      </c>
      <c r="E773" s="724"/>
      <c r="F773" s="727"/>
      <c r="G773" s="728"/>
      <c r="H773" s="728">
        <f>SUM(H768:H772)</f>
        <v>144000</v>
      </c>
      <c r="I773" s="728"/>
      <c r="J773" s="728">
        <f>SUM(J768:J772)</f>
        <v>18323</v>
      </c>
      <c r="K773" s="728">
        <f>SUM(K768:K772)</f>
        <v>162323</v>
      </c>
      <c r="L773" s="724" t="str">
        <f>A766</f>
        <v>제100호표</v>
      </c>
      <c r="M773" s="717"/>
    </row>
    <row r="774" spans="1:13" s="718" customFormat="1" ht="21" customHeight="1">
      <c r="A774" s="724"/>
      <c r="B774" s="725"/>
      <c r="C774" s="726"/>
      <c r="D774" s="726"/>
      <c r="E774" s="724"/>
      <c r="F774" s="727"/>
      <c r="G774" s="728"/>
      <c r="H774" s="728"/>
      <c r="I774" s="728"/>
      <c r="J774" s="728"/>
      <c r="K774" s="728"/>
      <c r="L774" s="724"/>
      <c r="M774" s="717"/>
    </row>
    <row r="775" spans="1:13" s="718" customFormat="1" ht="21" customHeight="1">
      <c r="A775" s="724"/>
      <c r="B775" s="725"/>
      <c r="C775" s="726"/>
      <c r="D775" s="726"/>
      <c r="E775" s="724"/>
      <c r="F775" s="727"/>
      <c r="G775" s="728"/>
      <c r="H775" s="728"/>
      <c r="I775" s="728"/>
      <c r="J775" s="728"/>
      <c r="K775" s="728"/>
      <c r="L775" s="724"/>
      <c r="M775" s="717"/>
    </row>
    <row r="776" spans="1:13" s="718" customFormat="1" ht="21" customHeight="1">
      <c r="A776" s="724" t="str">
        <f>"제"&amp;M776&amp;"호표"</f>
        <v>제101호표</v>
      </c>
      <c r="B776" s="739" t="s">
        <v>6257</v>
      </c>
      <c r="C776" s="726" t="s">
        <v>6258</v>
      </c>
      <c r="D776" s="726"/>
      <c r="E776" s="790" t="s">
        <v>6227</v>
      </c>
      <c r="F776" s="727"/>
      <c r="G776" s="728"/>
      <c r="H776" s="728"/>
      <c r="I776" s="728"/>
      <c r="J776" s="728"/>
      <c r="K776" s="728"/>
      <c r="L776" s="724"/>
      <c r="M776" s="729">
        <f>M766+1</f>
        <v>101</v>
      </c>
    </row>
    <row r="777" spans="1:13" s="718" customFormat="1" ht="21" customHeight="1">
      <c r="A777" s="724"/>
      <c r="B777" s="725"/>
      <c r="C777" s="726"/>
      <c r="D777" s="726"/>
      <c r="E777" s="724"/>
      <c r="F777" s="727"/>
      <c r="G777" s="728"/>
      <c r="H777" s="728"/>
      <c r="I777" s="728"/>
      <c r="J777" s="728"/>
      <c r="K777" s="728"/>
      <c r="L777" s="724"/>
      <c r="M777" s="717"/>
    </row>
    <row r="778" spans="1:13" s="718" customFormat="1" ht="21" customHeight="1">
      <c r="A778" s="724"/>
      <c r="B778" s="739" t="s">
        <v>6259</v>
      </c>
      <c r="C778" s="793" t="s">
        <v>6258</v>
      </c>
      <c r="D778" s="726" t="str">
        <f t="shared" ref="D778:D783" si="112">SUBSTITUTE(CONCATENATE(B:B,C:C,E:E)," ","")</f>
        <v>모터구동시스템웜기어전동실린더SET</v>
      </c>
      <c r="E778" s="790" t="s">
        <v>6227</v>
      </c>
      <c r="F778" s="727">
        <v>1.05</v>
      </c>
      <c r="G778" s="728">
        <f>IF($E:$E="인",0,VLOOKUP($D:$D,[140]일위목록!$A:$H,6,FALSE))</f>
        <v>300000</v>
      </c>
      <c r="H778" s="728">
        <f t="shared" ref="H778:H783" si="113">TRUNC($F:$F*G:G)</f>
        <v>315000</v>
      </c>
      <c r="I778" s="728">
        <f>IF($E:$E="인",VLOOKUP($B:$B,[140]노임!$B:$H,6,FALSE),VLOOKUP($D:$D,[140]일위목록!$A:$H,7,FALSE))</f>
        <v>0</v>
      </c>
      <c r="J778" s="728">
        <f t="shared" ref="J778:J783" si="114">TRUNC($F:$F*I:I)</f>
        <v>0</v>
      </c>
      <c r="K778" s="728">
        <f t="shared" ref="K778:K783" si="115">H778+J778</f>
        <v>315000</v>
      </c>
      <c r="L778" s="724" t="str">
        <f>IF($E:$E="인",VLOOKUP($B:$B,[140]단가!$B:$E,3,FALSE),VLOOKUP($D:$D,[140]일위목록!$A:$H,2,FALSE))</f>
        <v>단가-94번</v>
      </c>
      <c r="M778" s="717"/>
    </row>
    <row r="779" spans="1:13" s="718" customFormat="1" ht="21" customHeight="1">
      <c r="A779" s="724"/>
      <c r="B779" s="739" t="s">
        <v>6260</v>
      </c>
      <c r="C779" s="745" t="s">
        <v>6256</v>
      </c>
      <c r="D779" s="726" t="str">
        <f t="shared" si="112"/>
        <v>모터구동시스템보강T10mm레이져가공ea</v>
      </c>
      <c r="E779" s="790" t="s">
        <v>6198</v>
      </c>
      <c r="F779" s="727">
        <v>1</v>
      </c>
      <c r="G779" s="728">
        <f>IF($E:$E="인",0,VLOOKUP($D:$D,[140]일위목록!$A:$H,6,FALSE))</f>
        <v>38000</v>
      </c>
      <c r="H779" s="728">
        <f t="shared" si="113"/>
        <v>38000</v>
      </c>
      <c r="I779" s="728">
        <f>IF($E:$E="인",VLOOKUP($B:$B,[140]노임!$B:$H,6,FALSE),VLOOKUP($D:$D,[140]일위목록!$A:$H,7,FALSE))</f>
        <v>0</v>
      </c>
      <c r="J779" s="728">
        <f t="shared" si="114"/>
        <v>0</v>
      </c>
      <c r="K779" s="728">
        <f t="shared" si="115"/>
        <v>38000</v>
      </c>
      <c r="L779" s="724" t="str">
        <f>IF($E:$E="인",VLOOKUP($B:$B,[140]단가!$B:$E,3,FALSE),VLOOKUP($D:$D,[140]일위목록!$A:$H,2,FALSE))</f>
        <v>단가-95번</v>
      </c>
      <c r="M779" s="717"/>
    </row>
    <row r="780" spans="1:13" s="718" customFormat="1" ht="21" customHeight="1">
      <c r="A780" s="724"/>
      <c r="B780" s="791" t="s">
        <v>6192</v>
      </c>
      <c r="C780" s="726"/>
      <c r="D780" s="726" t="str">
        <f t="shared" si="112"/>
        <v>내선전공인</v>
      </c>
      <c r="E780" s="724" t="s">
        <v>5876</v>
      </c>
      <c r="F780" s="727">
        <v>0.28000000000000003</v>
      </c>
      <c r="G780" s="728">
        <f>IF($E:$E="인",0,VLOOKUP($D:$D,[140]일위목록!$A:$H,6,FALSE))</f>
        <v>0</v>
      </c>
      <c r="H780" s="728">
        <f t="shared" si="113"/>
        <v>0</v>
      </c>
      <c r="I780" s="728">
        <f>IF($E:$E="인",VLOOKUP($B:$B,[140]노임!$B:$H,6,FALSE),VLOOKUP($D:$D,[140]일위목록!$A:$H,7,FALSE))</f>
        <v>225408</v>
      </c>
      <c r="J780" s="728">
        <f t="shared" si="114"/>
        <v>63114</v>
      </c>
      <c r="K780" s="728">
        <f t="shared" si="115"/>
        <v>63114</v>
      </c>
      <c r="L780" s="724" t="str">
        <f>IF($E:$E="인",VLOOKUP($B:$B,[140]노임!$B:$D,3,FALSE),VLOOKUP($D:$D,[140]일위목록!$A:$H,2,FALSE))</f>
        <v>건설노임-1075</v>
      </c>
      <c r="M780" s="717"/>
    </row>
    <row r="781" spans="1:13" s="718" customFormat="1" ht="21" customHeight="1">
      <c r="A781" s="724"/>
      <c r="B781" s="791" t="s">
        <v>5863</v>
      </c>
      <c r="C781" s="726"/>
      <c r="D781" s="726" t="str">
        <f t="shared" si="112"/>
        <v>용접공인</v>
      </c>
      <c r="E781" s="724" t="s">
        <v>5876</v>
      </c>
      <c r="F781" s="727">
        <v>0.09</v>
      </c>
      <c r="G781" s="728">
        <f>IF($E:$E="인",0,VLOOKUP($D:$D,[140]일위목록!$A:$H,6,FALSE))</f>
        <v>0</v>
      </c>
      <c r="H781" s="728">
        <f t="shared" si="113"/>
        <v>0</v>
      </c>
      <c r="I781" s="728">
        <f>IF($E:$E="인",VLOOKUP($B:$B,[140]노임!$B:$H,6,FALSE),VLOOKUP($D:$D,[140]일위목록!$A:$H,7,FALSE))</f>
        <v>198711</v>
      </c>
      <c r="J781" s="728">
        <f t="shared" si="114"/>
        <v>17883</v>
      </c>
      <c r="K781" s="728">
        <f t="shared" si="115"/>
        <v>17883</v>
      </c>
      <c r="L781" s="724" t="str">
        <f>IF($E:$E="인",VLOOKUP($B:$B,[140]노임!$B:$D,3,FALSE),VLOOKUP($D:$D,[140]일위목록!$A:$H,2,FALSE))</f>
        <v>건설노임-1012</v>
      </c>
      <c r="M781" s="717"/>
    </row>
    <row r="782" spans="1:13" s="718" customFormat="1" ht="21" customHeight="1">
      <c r="A782" s="724"/>
      <c r="B782" s="791" t="s">
        <v>5864</v>
      </c>
      <c r="C782" s="726"/>
      <c r="D782" s="726" t="str">
        <f t="shared" si="112"/>
        <v>특별인부인</v>
      </c>
      <c r="E782" s="724" t="s">
        <v>5876</v>
      </c>
      <c r="F782" s="727">
        <v>7.0000000000000007E-2</v>
      </c>
      <c r="G782" s="728">
        <f>IF($E:$E="인",0,VLOOKUP($D:$D,[140]일위목록!$A:$H,6,FALSE))</f>
        <v>0</v>
      </c>
      <c r="H782" s="728">
        <f t="shared" si="113"/>
        <v>0</v>
      </c>
      <c r="I782" s="728">
        <f>IF($E:$E="인",VLOOKUP($B:$B,[140]노임!$B:$H,6,FALSE),VLOOKUP($D:$D,[140]일위목록!$A:$H,7,FALSE))</f>
        <v>152019</v>
      </c>
      <c r="J782" s="728">
        <f t="shared" si="114"/>
        <v>10641</v>
      </c>
      <c r="K782" s="728">
        <f t="shared" si="115"/>
        <v>10641</v>
      </c>
      <c r="L782" s="724" t="str">
        <f>IF($E:$E="인",VLOOKUP($B:$B,[140]노임!$B:$D,3,FALSE),VLOOKUP($D:$D,[140]일위목록!$A:$H,2,FALSE))</f>
        <v>건설노임-1003</v>
      </c>
      <c r="M782" s="717"/>
    </row>
    <row r="783" spans="1:13" s="718" customFormat="1" ht="21" customHeight="1">
      <c r="A783" s="724"/>
      <c r="B783" s="725" t="s">
        <v>5877</v>
      </c>
      <c r="C783" s="726"/>
      <c r="D783" s="726" t="str">
        <f t="shared" si="112"/>
        <v>보통인부인</v>
      </c>
      <c r="E783" s="724" t="s">
        <v>5862</v>
      </c>
      <c r="F783" s="727">
        <v>0.04</v>
      </c>
      <c r="G783" s="728">
        <f>IF($E:$E="인",0,VLOOKUP($D:$D,[140]일위목록!$A:$H,6,FALSE))</f>
        <v>0</v>
      </c>
      <c r="H783" s="728">
        <f t="shared" si="113"/>
        <v>0</v>
      </c>
      <c r="I783" s="728">
        <f>IF($E:$E="인",VLOOKUP($B:$B,[140]노임!$B:$H,6,FALSE),VLOOKUP($D:$D,[140]일위목록!$A:$H,7,FALSE))</f>
        <v>125427</v>
      </c>
      <c r="J783" s="728">
        <f t="shared" si="114"/>
        <v>5017</v>
      </c>
      <c r="K783" s="728">
        <f t="shared" si="115"/>
        <v>5017</v>
      </c>
      <c r="L783" s="724" t="str">
        <f>IF($E:$E="인",VLOOKUP($B:$B,[140]노임!$B:$D,3,FALSE),VLOOKUP($D:$D,[140]일위목록!$A:$H,2,FALSE))</f>
        <v>건설노임-1002</v>
      </c>
      <c r="M783" s="717"/>
    </row>
    <row r="784" spans="1:13" s="718" customFormat="1" ht="21" customHeight="1">
      <c r="A784" s="724"/>
      <c r="B784" s="725" t="s">
        <v>5901</v>
      </c>
      <c r="C784" s="726"/>
      <c r="D784" s="726" t="str">
        <f>L:L</f>
        <v>제101호표</v>
      </c>
      <c r="E784" s="724"/>
      <c r="F784" s="727"/>
      <c r="G784" s="728"/>
      <c r="H784" s="728">
        <f>SUM(H778:H783)</f>
        <v>353000</v>
      </c>
      <c r="I784" s="728"/>
      <c r="J784" s="728">
        <f>SUM(J778:J783)</f>
        <v>96655</v>
      </c>
      <c r="K784" s="728">
        <f>SUM(K778:K783)</f>
        <v>449655</v>
      </c>
      <c r="L784" s="724" t="str">
        <f>A776</f>
        <v>제101호표</v>
      </c>
      <c r="M784" s="717"/>
    </row>
    <row r="785" spans="1:13" s="718" customFormat="1" ht="21" customHeight="1">
      <c r="A785" s="724"/>
      <c r="B785" s="725"/>
      <c r="C785" s="726"/>
      <c r="D785" s="726"/>
      <c r="E785" s="724"/>
      <c r="F785" s="727"/>
      <c r="G785" s="728"/>
      <c r="H785" s="728"/>
      <c r="I785" s="728"/>
      <c r="J785" s="728"/>
      <c r="K785" s="728"/>
      <c r="L785" s="724"/>
      <c r="M785" s="717"/>
    </row>
    <row r="786" spans="1:13" s="718" customFormat="1" ht="21" customHeight="1">
      <c r="A786" s="724"/>
      <c r="B786" s="725"/>
      <c r="C786" s="726"/>
      <c r="D786" s="726"/>
      <c r="E786" s="724"/>
      <c r="F786" s="727"/>
      <c r="G786" s="728"/>
      <c r="H786" s="728"/>
      <c r="I786" s="728"/>
      <c r="J786" s="728"/>
      <c r="K786" s="728"/>
      <c r="L786" s="724"/>
      <c r="M786" s="717"/>
    </row>
    <row r="787" spans="1:13" s="718" customFormat="1" ht="21" customHeight="1">
      <c r="A787" s="724" t="str">
        <f>"제"&amp;M787&amp;"호표"</f>
        <v>제102호표</v>
      </c>
      <c r="B787" s="739" t="s">
        <v>6261</v>
      </c>
      <c r="C787" s="794" t="s">
        <v>6262</v>
      </c>
      <c r="D787" s="726"/>
      <c r="E787" s="724" t="s">
        <v>5899</v>
      </c>
      <c r="F787" s="727"/>
      <c r="G787" s="728"/>
      <c r="H787" s="728"/>
      <c r="I787" s="728"/>
      <c r="J787" s="728"/>
      <c r="K787" s="728"/>
      <c r="L787" s="724"/>
      <c r="M787" s="729">
        <f>M776+1</f>
        <v>102</v>
      </c>
    </row>
    <row r="788" spans="1:13" s="718" customFormat="1" ht="21" customHeight="1">
      <c r="A788" s="724"/>
      <c r="B788" s="725"/>
      <c r="C788" s="726"/>
      <c r="D788" s="726"/>
      <c r="E788" s="724"/>
      <c r="F788" s="727"/>
      <c r="G788" s="728"/>
      <c r="H788" s="728"/>
      <c r="I788" s="728"/>
      <c r="J788" s="728"/>
      <c r="K788" s="728"/>
      <c r="L788" s="724"/>
      <c r="M788" s="717"/>
    </row>
    <row r="789" spans="1:13" s="718" customFormat="1" ht="21" customHeight="1">
      <c r="A789" s="724"/>
      <c r="B789" s="795" t="s">
        <v>6263</v>
      </c>
      <c r="C789" s="794" t="s">
        <v>6262</v>
      </c>
      <c r="D789" s="726" t="str">
        <f>SUBSTITUTE(CONCATENATE(B:B,C:C,E:E)," ","")</f>
        <v>베어링레일및가공22*422.3T가공M</v>
      </c>
      <c r="E789" s="724" t="s">
        <v>5899</v>
      </c>
      <c r="F789" s="727">
        <v>1.05</v>
      </c>
      <c r="G789" s="728">
        <f>IF($E:$E="인",0,VLOOKUP($D:$D,[140]일위목록!$A:$H,6,FALSE))</f>
        <v>130000</v>
      </c>
      <c r="H789" s="728">
        <f>TRUNC($F:$F*G:G)</f>
        <v>136500</v>
      </c>
      <c r="I789" s="728">
        <f>IF($E:$E="인",VLOOKUP($B:$B,[140]노임!$B:$H,6,FALSE),VLOOKUP($D:$D,[140]일위목록!$A:$H,7,FALSE))</f>
        <v>0</v>
      </c>
      <c r="J789" s="728">
        <f>TRUNC($F:$F*I:I)</f>
        <v>0</v>
      </c>
      <c r="K789" s="728">
        <f t="shared" ref="K789:K791" si="116">H789+J789</f>
        <v>136500</v>
      </c>
      <c r="L789" s="724" t="str">
        <f>IF($E:$E="인",VLOOKUP($B:$B,[140]단가!$B:$E,3,FALSE),VLOOKUP($D:$D,[140]일위목록!$A:$H,2,FALSE))</f>
        <v>단가-96번</v>
      </c>
      <c r="M789" s="717"/>
    </row>
    <row r="790" spans="1:13" s="718" customFormat="1" ht="21" customHeight="1">
      <c r="A790" s="724"/>
      <c r="B790" s="791" t="s">
        <v>5864</v>
      </c>
      <c r="C790" s="726"/>
      <c r="D790" s="726" t="str">
        <f>SUBSTITUTE(CONCATENATE(B:B,C:C,E:E)," ","")</f>
        <v>특별인부인</v>
      </c>
      <c r="E790" s="724" t="s">
        <v>5876</v>
      </c>
      <c r="F790" s="727">
        <v>0.2</v>
      </c>
      <c r="G790" s="728">
        <f>IF($E:$E="인",0,VLOOKUP($D:$D,[140]일위목록!$A:$H,6,FALSE))</f>
        <v>0</v>
      </c>
      <c r="H790" s="728">
        <f>TRUNC($F:$F*G:G)</f>
        <v>0</v>
      </c>
      <c r="I790" s="728">
        <f>IF($E:$E="인",VLOOKUP($B:$B,[140]노임!$B:$H,6,FALSE),VLOOKUP($D:$D,[140]일위목록!$A:$H,7,FALSE))</f>
        <v>152019</v>
      </c>
      <c r="J790" s="728">
        <f>TRUNC($F:$F*I:I)</f>
        <v>30403</v>
      </c>
      <c r="K790" s="728">
        <f t="shared" si="116"/>
        <v>30403</v>
      </c>
      <c r="L790" s="724" t="str">
        <f>IF($E:$E="인",VLOOKUP($B:$B,[140]노임!$B:$D,3,FALSE),VLOOKUP($D:$D,[140]일위목록!$A:$H,2,FALSE))</f>
        <v>건설노임-1003</v>
      </c>
      <c r="M790" s="717"/>
    </row>
    <row r="791" spans="1:13" s="718" customFormat="1" ht="21" customHeight="1">
      <c r="A791" s="724"/>
      <c r="B791" s="725" t="s">
        <v>5877</v>
      </c>
      <c r="C791" s="726"/>
      <c r="D791" s="726" t="str">
        <f>SUBSTITUTE(CONCATENATE(B:B,C:C,E:E)," ","")</f>
        <v>보통인부인</v>
      </c>
      <c r="E791" s="724" t="s">
        <v>5862</v>
      </c>
      <c r="F791" s="727">
        <v>0.04</v>
      </c>
      <c r="G791" s="728">
        <f>IF($E:$E="인",0,VLOOKUP($D:$D,[140]일위목록!$A:$H,6,FALSE))</f>
        <v>0</v>
      </c>
      <c r="H791" s="728">
        <f>TRUNC($F:$F*G:G)</f>
        <v>0</v>
      </c>
      <c r="I791" s="728">
        <f>IF($E:$E="인",VLOOKUP($B:$B,[140]노임!$B:$H,6,FALSE),VLOOKUP($D:$D,[140]일위목록!$A:$H,7,FALSE))</f>
        <v>125427</v>
      </c>
      <c r="J791" s="728">
        <f>TRUNC($F:$F*I:I)</f>
        <v>5017</v>
      </c>
      <c r="K791" s="728">
        <f t="shared" si="116"/>
        <v>5017</v>
      </c>
      <c r="L791" s="724" t="str">
        <f>IF($E:$E="인",VLOOKUP($B:$B,[140]노임!$B:$D,3,FALSE),VLOOKUP($D:$D,[140]일위목록!$A:$H,2,FALSE))</f>
        <v>건설노임-1002</v>
      </c>
      <c r="M791" s="717"/>
    </row>
    <row r="792" spans="1:13" s="718" customFormat="1" ht="21" customHeight="1">
      <c r="A792" s="724"/>
      <c r="B792" s="725" t="s">
        <v>5901</v>
      </c>
      <c r="C792" s="726"/>
      <c r="D792" s="726" t="str">
        <f>L:L</f>
        <v>제102호표</v>
      </c>
      <c r="E792" s="724"/>
      <c r="F792" s="727"/>
      <c r="G792" s="728"/>
      <c r="H792" s="728">
        <f>SUM(H789:H791)</f>
        <v>136500</v>
      </c>
      <c r="I792" s="728"/>
      <c r="J792" s="728">
        <f>SUM(J789:J791)</f>
        <v>35420</v>
      </c>
      <c r="K792" s="728">
        <f>SUM(K789:K791)</f>
        <v>171920</v>
      </c>
      <c r="L792" s="724" t="str">
        <f>A787</f>
        <v>제102호표</v>
      </c>
      <c r="M792" s="717"/>
    </row>
    <row r="793" spans="1:13" s="718" customFormat="1" ht="21" customHeight="1">
      <c r="A793" s="724"/>
      <c r="B793" s="725"/>
      <c r="C793" s="726"/>
      <c r="D793" s="726"/>
      <c r="E793" s="724"/>
      <c r="F793" s="727"/>
      <c r="G793" s="728"/>
      <c r="H793" s="728"/>
      <c r="I793" s="728"/>
      <c r="J793" s="728"/>
      <c r="K793" s="728"/>
      <c r="L793" s="724"/>
      <c r="M793" s="717"/>
    </row>
    <row r="794" spans="1:13" s="718" customFormat="1" ht="21" customHeight="1">
      <c r="A794" s="724"/>
      <c r="B794" s="725"/>
      <c r="C794" s="726"/>
      <c r="D794" s="726"/>
      <c r="E794" s="724"/>
      <c r="F794" s="727"/>
      <c r="G794" s="728"/>
      <c r="H794" s="728"/>
      <c r="I794" s="728"/>
      <c r="J794" s="728"/>
      <c r="K794" s="728"/>
      <c r="L794" s="724"/>
      <c r="M794" s="717"/>
    </row>
    <row r="795" spans="1:13" s="718" customFormat="1" ht="21" customHeight="1">
      <c r="A795" s="724" t="str">
        <f>"제"&amp;M795&amp;"호표"</f>
        <v>제103호표</v>
      </c>
      <c r="B795" s="739" t="s">
        <v>6261</v>
      </c>
      <c r="C795" s="794" t="s">
        <v>6264</v>
      </c>
      <c r="D795" s="726"/>
      <c r="E795" s="724" t="s">
        <v>5899</v>
      </c>
      <c r="F795" s="727"/>
      <c r="G795" s="728"/>
      <c r="H795" s="728"/>
      <c r="I795" s="728"/>
      <c r="J795" s="728"/>
      <c r="K795" s="728"/>
      <c r="L795" s="724"/>
      <c r="M795" s="729">
        <f>M787+1</f>
        <v>103</v>
      </c>
    </row>
    <row r="796" spans="1:13" s="718" customFormat="1" ht="21" customHeight="1">
      <c r="A796" s="724"/>
      <c r="B796" s="725"/>
      <c r="C796" s="726"/>
      <c r="D796" s="726"/>
      <c r="E796" s="724"/>
      <c r="F796" s="727"/>
      <c r="G796" s="728"/>
      <c r="H796" s="728"/>
      <c r="I796" s="728"/>
      <c r="J796" s="728"/>
      <c r="K796" s="728"/>
      <c r="L796" s="724"/>
      <c r="M796" s="717"/>
    </row>
    <row r="797" spans="1:13" s="718" customFormat="1" ht="21" customHeight="1">
      <c r="A797" s="724"/>
      <c r="B797" s="795" t="s">
        <v>6263</v>
      </c>
      <c r="C797" s="794" t="s">
        <v>6262</v>
      </c>
      <c r="D797" s="726" t="str">
        <f>SUBSTITUTE(CONCATENATE(B:B,C:C,E:E)," ","")</f>
        <v>베어링레일및가공22*422.3T가공M</v>
      </c>
      <c r="E797" s="724" t="s">
        <v>5899</v>
      </c>
      <c r="F797" s="727">
        <v>2.1</v>
      </c>
      <c r="G797" s="728">
        <f>IF($E:$E="인",0,VLOOKUP($D:$D,[140]일위목록!$A:$H,6,FALSE))</f>
        <v>130000</v>
      </c>
      <c r="H797" s="728">
        <f>TRUNC($F:$F*G:G)</f>
        <v>273000</v>
      </c>
      <c r="I797" s="728">
        <f>IF($E:$E="인",VLOOKUP($B:$B,[140]노임!$B:$H,6,FALSE),VLOOKUP($D:$D,[140]일위목록!$A:$H,7,FALSE))</f>
        <v>0</v>
      </c>
      <c r="J797" s="728">
        <f>TRUNC($F:$F*I:I)</f>
        <v>0</v>
      </c>
      <c r="K797" s="728">
        <f t="shared" ref="K797:K799" si="117">H797+J797</f>
        <v>273000</v>
      </c>
      <c r="L797" s="724" t="str">
        <f>IF($E:$E="인",VLOOKUP($B:$B,[140]단가!$B:$E,3,FALSE),VLOOKUP($D:$D,[140]일위목록!$A:$H,2,FALSE))</f>
        <v>단가-96번</v>
      </c>
      <c r="M797" s="717"/>
    </row>
    <row r="798" spans="1:13" s="718" customFormat="1" ht="21" customHeight="1">
      <c r="A798" s="724"/>
      <c r="B798" s="791" t="s">
        <v>5864</v>
      </c>
      <c r="C798" s="726"/>
      <c r="D798" s="726" t="str">
        <f>SUBSTITUTE(CONCATENATE(B:B,C:C,E:E)," ","")</f>
        <v>특별인부인</v>
      </c>
      <c r="E798" s="724" t="s">
        <v>5876</v>
      </c>
      <c r="F798" s="727">
        <v>0.4</v>
      </c>
      <c r="G798" s="728">
        <f>IF($E:$E="인",0,VLOOKUP($D:$D,[140]일위목록!$A:$H,6,FALSE))</f>
        <v>0</v>
      </c>
      <c r="H798" s="728">
        <f>TRUNC($F:$F*G:G)</f>
        <v>0</v>
      </c>
      <c r="I798" s="728">
        <f>IF($E:$E="인",VLOOKUP($B:$B,[140]노임!$B:$H,6,FALSE),VLOOKUP($D:$D,[140]일위목록!$A:$H,7,FALSE))</f>
        <v>152019</v>
      </c>
      <c r="J798" s="728">
        <f>TRUNC($F:$F*I:I)</f>
        <v>60807</v>
      </c>
      <c r="K798" s="728">
        <f t="shared" si="117"/>
        <v>60807</v>
      </c>
      <c r="L798" s="724" t="str">
        <f>IF($E:$E="인",VLOOKUP($B:$B,[140]노임!$B:$D,3,FALSE),VLOOKUP($D:$D,[140]일위목록!$A:$H,2,FALSE))</f>
        <v>건설노임-1003</v>
      </c>
      <c r="M798" s="717"/>
    </row>
    <row r="799" spans="1:13" s="718" customFormat="1" ht="21" customHeight="1">
      <c r="A799" s="724"/>
      <c r="B799" s="725" t="s">
        <v>5877</v>
      </c>
      <c r="C799" s="726"/>
      <c r="D799" s="726" t="str">
        <f>SUBSTITUTE(CONCATENATE(B:B,C:C,E:E)," ","")</f>
        <v>보통인부인</v>
      </c>
      <c r="E799" s="724" t="s">
        <v>5862</v>
      </c>
      <c r="F799" s="727">
        <v>0.08</v>
      </c>
      <c r="G799" s="728">
        <f>IF($E:$E="인",0,VLOOKUP($D:$D,[140]일위목록!$A:$H,6,FALSE))</f>
        <v>0</v>
      </c>
      <c r="H799" s="728">
        <f>TRUNC($F:$F*G:G)</f>
        <v>0</v>
      </c>
      <c r="I799" s="728">
        <f>IF($E:$E="인",VLOOKUP($B:$B,[140]노임!$B:$H,6,FALSE),VLOOKUP($D:$D,[140]일위목록!$A:$H,7,FALSE))</f>
        <v>125427</v>
      </c>
      <c r="J799" s="728">
        <f>TRUNC($F:$F*I:I)</f>
        <v>10034</v>
      </c>
      <c r="K799" s="728">
        <f t="shared" si="117"/>
        <v>10034</v>
      </c>
      <c r="L799" s="724" t="str">
        <f>IF($E:$E="인",VLOOKUP($B:$B,[140]노임!$B:$D,3,FALSE),VLOOKUP($D:$D,[140]일위목록!$A:$H,2,FALSE))</f>
        <v>건설노임-1002</v>
      </c>
      <c r="M799" s="717"/>
    </row>
    <row r="800" spans="1:13" s="718" customFormat="1" ht="21" customHeight="1">
      <c r="A800" s="724"/>
      <c r="B800" s="725" t="s">
        <v>5901</v>
      </c>
      <c r="C800" s="726"/>
      <c r="D800" s="726" t="str">
        <f>L:L</f>
        <v>제103호표</v>
      </c>
      <c r="E800" s="724"/>
      <c r="F800" s="727"/>
      <c r="G800" s="728"/>
      <c r="H800" s="728">
        <f>SUM(H797:H799)</f>
        <v>273000</v>
      </c>
      <c r="I800" s="728"/>
      <c r="J800" s="728">
        <f>SUM(J797:J799)</f>
        <v>70841</v>
      </c>
      <c r="K800" s="728">
        <f>SUM(K797:K799)</f>
        <v>343841</v>
      </c>
      <c r="L800" s="724" t="str">
        <f>A795</f>
        <v>제103호표</v>
      </c>
      <c r="M800" s="717"/>
    </row>
    <row r="801" spans="1:13" s="718" customFormat="1" ht="21" customHeight="1">
      <c r="A801" s="724"/>
      <c r="B801" s="725"/>
      <c r="C801" s="726"/>
      <c r="D801" s="726"/>
      <c r="E801" s="724"/>
      <c r="F801" s="727"/>
      <c r="G801" s="728"/>
      <c r="H801" s="728"/>
      <c r="I801" s="728"/>
      <c r="J801" s="728"/>
      <c r="K801" s="728"/>
      <c r="L801" s="724"/>
      <c r="M801" s="717"/>
    </row>
    <row r="802" spans="1:13" s="718" customFormat="1" ht="21" customHeight="1">
      <c r="A802" s="724"/>
      <c r="B802" s="725"/>
      <c r="C802" s="726"/>
      <c r="D802" s="726"/>
      <c r="E802" s="724"/>
      <c r="F802" s="727"/>
      <c r="G802" s="728"/>
      <c r="H802" s="728"/>
      <c r="I802" s="728"/>
      <c r="J802" s="728"/>
      <c r="K802" s="728"/>
      <c r="L802" s="724"/>
      <c r="M802" s="717"/>
    </row>
    <row r="803" spans="1:13" s="718" customFormat="1" ht="21" customHeight="1">
      <c r="A803" s="724" t="str">
        <f>"제"&amp;M803&amp;"호표"</f>
        <v>제104호표</v>
      </c>
      <c r="B803" s="739" t="s">
        <v>6265</v>
      </c>
      <c r="C803" s="794" t="s">
        <v>5075</v>
      </c>
      <c r="D803" s="726"/>
      <c r="E803" s="724" t="s">
        <v>6198</v>
      </c>
      <c r="F803" s="727"/>
      <c r="G803" s="728"/>
      <c r="H803" s="728"/>
      <c r="I803" s="728"/>
      <c r="J803" s="728"/>
      <c r="K803" s="728"/>
      <c r="L803" s="724"/>
      <c r="M803" s="729">
        <f>M795+1</f>
        <v>104</v>
      </c>
    </row>
    <row r="804" spans="1:13" s="718" customFormat="1" ht="21" customHeight="1">
      <c r="A804" s="724"/>
      <c r="B804" s="725"/>
      <c r="C804" s="726"/>
      <c r="D804" s="726"/>
      <c r="E804" s="724"/>
      <c r="F804" s="727"/>
      <c r="G804" s="728"/>
      <c r="H804" s="728"/>
      <c r="I804" s="728"/>
      <c r="J804" s="728"/>
      <c r="K804" s="728"/>
      <c r="L804" s="724"/>
      <c r="M804" s="717"/>
    </row>
    <row r="805" spans="1:13" s="718" customFormat="1" ht="21" customHeight="1">
      <c r="A805" s="724"/>
      <c r="B805" s="795" t="s">
        <v>6266</v>
      </c>
      <c r="C805" s="794" t="s">
        <v>6267</v>
      </c>
      <c r="D805" s="726" t="str">
        <f>SUBSTITUTE(CONCATENATE(B:B,C:C,E:E)," ","")</f>
        <v>슬라이딩베어링Ø26ea</v>
      </c>
      <c r="E805" s="724" t="s">
        <v>6198</v>
      </c>
      <c r="F805" s="727">
        <v>1</v>
      </c>
      <c r="G805" s="728">
        <f>IF($E:$E="인",0,VLOOKUP($D:$D,[140]일위목록!$A:$H,6,FALSE))</f>
        <v>6500</v>
      </c>
      <c r="H805" s="728">
        <f>TRUNC($F:$F*G:G)</f>
        <v>6500</v>
      </c>
      <c r="I805" s="728">
        <f>IF($E:$E="인",VLOOKUP($B:$B,[140]노임!$B:$H,6,FALSE),VLOOKUP($D:$D,[140]일위목록!$A:$H,7,FALSE))</f>
        <v>0</v>
      </c>
      <c r="J805" s="728">
        <f>TRUNC($F:$F*I:I)</f>
        <v>0</v>
      </c>
      <c r="K805" s="728">
        <f t="shared" ref="K805:K807" si="118">H805+J805</f>
        <v>6500</v>
      </c>
      <c r="L805" s="724" t="str">
        <f>IF($E:$E="인",VLOOKUP($B:$B,[140]단가!$B:$E,3,FALSE),VLOOKUP($D:$D,[140]일위목록!$A:$H,2,FALSE))</f>
        <v>단가-97번</v>
      </c>
      <c r="M805" s="717"/>
    </row>
    <row r="806" spans="1:13" s="718" customFormat="1" ht="21" customHeight="1">
      <c r="A806" s="724"/>
      <c r="B806" s="791" t="s">
        <v>5864</v>
      </c>
      <c r="C806" s="726"/>
      <c r="D806" s="726" t="str">
        <f>SUBSTITUTE(CONCATENATE(B:B,C:C,E:E)," ","")</f>
        <v>특별인부인</v>
      </c>
      <c r="E806" s="724" t="s">
        <v>5876</v>
      </c>
      <c r="F806" s="727">
        <v>1.7999999999999999E-2</v>
      </c>
      <c r="G806" s="728">
        <f>IF($E:$E="인",0,VLOOKUP($D:$D,[140]일위목록!$A:$H,6,FALSE))</f>
        <v>0</v>
      </c>
      <c r="H806" s="728">
        <f>TRUNC($F:$F*G:G)</f>
        <v>0</v>
      </c>
      <c r="I806" s="728">
        <f>IF($E:$E="인",VLOOKUP($B:$B,[140]노임!$B:$H,6,FALSE),VLOOKUP($D:$D,[140]일위목록!$A:$H,7,FALSE))</f>
        <v>152019</v>
      </c>
      <c r="J806" s="728">
        <f>TRUNC($F:$F*I:I)</f>
        <v>2736</v>
      </c>
      <c r="K806" s="728">
        <f t="shared" si="118"/>
        <v>2736</v>
      </c>
      <c r="L806" s="724" t="str">
        <f>IF($E:$E="인",VLOOKUP($B:$B,[140]노임!$B:$D,3,FALSE),VLOOKUP($D:$D,[140]일위목록!$A:$H,2,FALSE))</f>
        <v>건설노임-1003</v>
      </c>
      <c r="M806" s="717"/>
    </row>
    <row r="807" spans="1:13" s="718" customFormat="1" ht="21" customHeight="1">
      <c r="A807" s="724"/>
      <c r="B807" s="725" t="s">
        <v>5877</v>
      </c>
      <c r="C807" s="726"/>
      <c r="D807" s="726" t="str">
        <f>SUBSTITUTE(CONCATENATE(B:B,C:C,E:E)," ","")</f>
        <v>보통인부인</v>
      </c>
      <c r="E807" s="724" t="s">
        <v>5862</v>
      </c>
      <c r="F807" s="727">
        <v>8.9999999999999993E-3</v>
      </c>
      <c r="G807" s="728">
        <f>IF($E:$E="인",0,VLOOKUP($D:$D,[140]일위목록!$A:$H,6,FALSE))</f>
        <v>0</v>
      </c>
      <c r="H807" s="728">
        <f>TRUNC($F:$F*G:G)</f>
        <v>0</v>
      </c>
      <c r="I807" s="728">
        <f>IF($E:$E="인",VLOOKUP($B:$B,[140]노임!$B:$H,6,FALSE),VLOOKUP($D:$D,[140]일위목록!$A:$H,7,FALSE))</f>
        <v>125427</v>
      </c>
      <c r="J807" s="728">
        <f>TRUNC($F:$F*I:I)</f>
        <v>1128</v>
      </c>
      <c r="K807" s="728">
        <f t="shared" si="118"/>
        <v>1128</v>
      </c>
      <c r="L807" s="724" t="str">
        <f>IF($E:$E="인",VLOOKUP($B:$B,[140]노임!$B:$D,3,FALSE),VLOOKUP($D:$D,[140]일위목록!$A:$H,2,FALSE))</f>
        <v>건설노임-1002</v>
      </c>
      <c r="M807" s="717"/>
    </row>
    <row r="808" spans="1:13" s="718" customFormat="1" ht="21" customHeight="1">
      <c r="A808" s="724"/>
      <c r="B808" s="725" t="s">
        <v>5901</v>
      </c>
      <c r="C808" s="726"/>
      <c r="D808" s="726" t="str">
        <f>L:L</f>
        <v>제104호표</v>
      </c>
      <c r="E808" s="724"/>
      <c r="F808" s="727"/>
      <c r="G808" s="728"/>
      <c r="H808" s="728">
        <f>SUM(H805:H807)</f>
        <v>6500</v>
      </c>
      <c r="I808" s="728"/>
      <c r="J808" s="728">
        <f>SUM(J805:J807)</f>
        <v>3864</v>
      </c>
      <c r="K808" s="728">
        <f>SUM(K805:K807)</f>
        <v>10364</v>
      </c>
      <c r="L808" s="724" t="str">
        <f>A803</f>
        <v>제104호표</v>
      </c>
      <c r="M808" s="717"/>
    </row>
    <row r="809" spans="1:13" s="718" customFormat="1" ht="21" customHeight="1">
      <c r="A809" s="724"/>
      <c r="B809" s="725"/>
      <c r="C809" s="726"/>
      <c r="D809" s="726"/>
      <c r="E809" s="724"/>
      <c r="F809" s="727"/>
      <c r="G809" s="728"/>
      <c r="H809" s="728"/>
      <c r="I809" s="728"/>
      <c r="J809" s="728"/>
      <c r="K809" s="728"/>
      <c r="L809" s="724"/>
      <c r="M809" s="717"/>
    </row>
    <row r="810" spans="1:13" s="718" customFormat="1" ht="21" customHeight="1">
      <c r="A810" s="724"/>
      <c r="B810" s="725"/>
      <c r="C810" s="726"/>
      <c r="D810" s="726"/>
      <c r="E810" s="724"/>
      <c r="F810" s="727"/>
      <c r="G810" s="728"/>
      <c r="H810" s="728"/>
      <c r="I810" s="728"/>
      <c r="J810" s="728"/>
      <c r="K810" s="728"/>
      <c r="L810" s="724"/>
      <c r="M810" s="717"/>
    </row>
    <row r="811" spans="1:13" s="718" customFormat="1" ht="21" customHeight="1">
      <c r="A811" s="724" t="str">
        <f>"제"&amp;M811&amp;"호표"</f>
        <v>제105호표</v>
      </c>
      <c r="B811" s="739" t="s">
        <v>6268</v>
      </c>
      <c r="C811" s="794" t="s">
        <v>6269</v>
      </c>
      <c r="D811" s="726"/>
      <c r="E811" s="724" t="s">
        <v>6198</v>
      </c>
      <c r="F811" s="727"/>
      <c r="G811" s="728"/>
      <c r="H811" s="728"/>
      <c r="I811" s="728"/>
      <c r="J811" s="728"/>
      <c r="K811" s="728"/>
      <c r="L811" s="724"/>
      <c r="M811" s="729">
        <f>M803+1</f>
        <v>105</v>
      </c>
    </row>
    <row r="812" spans="1:13" s="718" customFormat="1" ht="21" customHeight="1">
      <c r="A812" s="724"/>
      <c r="B812" s="725"/>
      <c r="C812" s="726"/>
      <c r="D812" s="726"/>
      <c r="E812" s="724"/>
      <c r="F812" s="727"/>
      <c r="G812" s="728"/>
      <c r="H812" s="728"/>
      <c r="I812" s="728"/>
      <c r="J812" s="728"/>
      <c r="K812" s="728"/>
      <c r="L812" s="724"/>
      <c r="M812" s="717"/>
    </row>
    <row r="813" spans="1:13" s="718" customFormat="1" ht="21" customHeight="1">
      <c r="A813" s="724"/>
      <c r="B813" s="739" t="s">
        <v>6270</v>
      </c>
      <c r="C813" s="794" t="s">
        <v>6269</v>
      </c>
      <c r="D813" s="726" t="str">
        <f>SUBSTITUTE(CONCATENATE(B:B,C:C,E:E)," ","")</f>
        <v>베어링붓싱가공#6200ea</v>
      </c>
      <c r="E813" s="724" t="s">
        <v>6198</v>
      </c>
      <c r="F813" s="727">
        <v>1</v>
      </c>
      <c r="G813" s="728">
        <f>IF($E:$E="인",0,VLOOKUP($D:$D,[140]일위목록!$A:$H,6,FALSE))</f>
        <v>6000</v>
      </c>
      <c r="H813" s="728">
        <f>TRUNC($F:$F*G:G)</f>
        <v>6000</v>
      </c>
      <c r="I813" s="728">
        <f>IF($E:$E="인",VLOOKUP($B:$B,[140]노임!$B:$H,6,FALSE),VLOOKUP($D:$D,[140]일위목록!$A:$H,7,FALSE))</f>
        <v>0</v>
      </c>
      <c r="J813" s="728">
        <f>TRUNC($F:$F*I:I)</f>
        <v>0</v>
      </c>
      <c r="K813" s="728">
        <f t="shared" ref="K813:K815" si="119">H813+J813</f>
        <v>6000</v>
      </c>
      <c r="L813" s="724" t="str">
        <f>IF($E:$E="인",VLOOKUP($B:$B,[140]단가!$B:$E,3,FALSE),VLOOKUP($D:$D,[140]일위목록!$A:$H,2,FALSE))</f>
        <v>단가-98번</v>
      </c>
      <c r="M813" s="717"/>
    </row>
    <row r="814" spans="1:13" s="718" customFormat="1" ht="21" customHeight="1">
      <c r="A814" s="724"/>
      <c r="B814" s="791" t="s">
        <v>5864</v>
      </c>
      <c r="C814" s="726"/>
      <c r="D814" s="726" t="str">
        <f>SUBSTITUTE(CONCATENATE(B:B,C:C,E:E)," ","")</f>
        <v>특별인부인</v>
      </c>
      <c r="E814" s="724" t="s">
        <v>5876</v>
      </c>
      <c r="F814" s="727">
        <v>1.7999999999999999E-2</v>
      </c>
      <c r="G814" s="728">
        <f>IF($E:$E="인",0,VLOOKUP($D:$D,[140]일위목록!$A:$H,6,FALSE))</f>
        <v>0</v>
      </c>
      <c r="H814" s="728">
        <f>TRUNC($F:$F*G:G)</f>
        <v>0</v>
      </c>
      <c r="I814" s="728">
        <f>IF($E:$E="인",VLOOKUP($B:$B,[140]노임!$B:$H,6,FALSE),VLOOKUP($D:$D,[140]일위목록!$A:$H,7,FALSE))</f>
        <v>152019</v>
      </c>
      <c r="J814" s="728">
        <f>TRUNC($F:$F*I:I)</f>
        <v>2736</v>
      </c>
      <c r="K814" s="728">
        <f t="shared" si="119"/>
        <v>2736</v>
      </c>
      <c r="L814" s="724" t="str">
        <f>IF($E:$E="인",VLOOKUP($B:$B,[140]노임!$B:$D,3,FALSE),VLOOKUP($D:$D,[140]일위목록!$A:$H,2,FALSE))</f>
        <v>건설노임-1003</v>
      </c>
      <c r="M814" s="717"/>
    </row>
    <row r="815" spans="1:13" s="718" customFormat="1" ht="21" customHeight="1">
      <c r="A815" s="724"/>
      <c r="B815" s="725" t="s">
        <v>5877</v>
      </c>
      <c r="C815" s="726"/>
      <c r="D815" s="726" t="str">
        <f>SUBSTITUTE(CONCATENATE(B:B,C:C,E:E)," ","")</f>
        <v>보통인부인</v>
      </c>
      <c r="E815" s="724" t="s">
        <v>5862</v>
      </c>
      <c r="F815" s="727">
        <v>8.9999999999999993E-3</v>
      </c>
      <c r="G815" s="728">
        <f>IF($E:$E="인",0,VLOOKUP($D:$D,[140]일위목록!$A:$H,6,FALSE))</f>
        <v>0</v>
      </c>
      <c r="H815" s="728">
        <f>TRUNC($F:$F*G:G)</f>
        <v>0</v>
      </c>
      <c r="I815" s="728">
        <f>IF($E:$E="인",VLOOKUP($B:$B,[140]노임!$B:$H,6,FALSE),VLOOKUP($D:$D,[140]일위목록!$A:$H,7,FALSE))</f>
        <v>125427</v>
      </c>
      <c r="J815" s="728">
        <f>TRUNC($F:$F*I:I)</f>
        <v>1128</v>
      </c>
      <c r="K815" s="728">
        <f t="shared" si="119"/>
        <v>1128</v>
      </c>
      <c r="L815" s="724" t="str">
        <f>IF($E:$E="인",VLOOKUP($B:$B,[140]노임!$B:$D,3,FALSE),VLOOKUP($D:$D,[140]일위목록!$A:$H,2,FALSE))</f>
        <v>건설노임-1002</v>
      </c>
      <c r="M815" s="717"/>
    </row>
    <row r="816" spans="1:13" s="718" customFormat="1" ht="21" customHeight="1">
      <c r="A816" s="724"/>
      <c r="B816" s="725" t="s">
        <v>5901</v>
      </c>
      <c r="C816" s="726"/>
      <c r="D816" s="726" t="str">
        <f>L:L</f>
        <v>제105호표</v>
      </c>
      <c r="E816" s="724"/>
      <c r="F816" s="727"/>
      <c r="G816" s="728"/>
      <c r="H816" s="728">
        <f>SUM(H813:H815)</f>
        <v>6000</v>
      </c>
      <c r="I816" s="728"/>
      <c r="J816" s="728">
        <f>SUM(J813:J815)</f>
        <v>3864</v>
      </c>
      <c r="K816" s="728">
        <f>SUM(K813:K815)</f>
        <v>9864</v>
      </c>
      <c r="L816" s="724" t="str">
        <f>A811</f>
        <v>제105호표</v>
      </c>
      <c r="M816" s="717"/>
    </row>
    <row r="817" spans="1:13" s="718" customFormat="1" ht="21" customHeight="1">
      <c r="A817" s="724"/>
      <c r="B817" s="725"/>
      <c r="C817" s="726"/>
      <c r="D817" s="726"/>
      <c r="E817" s="724"/>
      <c r="F817" s="727"/>
      <c r="G817" s="728"/>
      <c r="H817" s="728"/>
      <c r="I817" s="728"/>
      <c r="J817" s="728"/>
      <c r="K817" s="728"/>
      <c r="L817" s="724"/>
      <c r="M817" s="717"/>
    </row>
    <row r="818" spans="1:13" s="718" customFormat="1" ht="21" customHeight="1">
      <c r="A818" s="724"/>
      <c r="B818" s="725"/>
      <c r="C818" s="726"/>
      <c r="D818" s="726"/>
      <c r="E818" s="724"/>
      <c r="F818" s="727"/>
      <c r="G818" s="728"/>
      <c r="H818" s="728"/>
      <c r="I818" s="728"/>
      <c r="J818" s="728"/>
      <c r="K818" s="728"/>
      <c r="L818" s="724"/>
      <c r="M818" s="717"/>
    </row>
    <row r="819" spans="1:13" s="718" customFormat="1" ht="21" customHeight="1">
      <c r="A819" s="724" t="str">
        <f>"제"&amp;M819&amp;"호표"</f>
        <v>제106호표</v>
      </c>
      <c r="B819" s="739" t="s">
        <v>6271</v>
      </c>
      <c r="C819" s="794"/>
      <c r="D819" s="726"/>
      <c r="E819" s="724" t="s">
        <v>5899</v>
      </c>
      <c r="F819" s="727"/>
      <c r="G819" s="728"/>
      <c r="H819" s="728"/>
      <c r="I819" s="728"/>
      <c r="J819" s="728"/>
      <c r="K819" s="728"/>
      <c r="L819" s="724"/>
      <c r="M819" s="729">
        <f>M811+1</f>
        <v>106</v>
      </c>
    </row>
    <row r="820" spans="1:13" s="718" customFormat="1" ht="21" customHeight="1">
      <c r="A820" s="724"/>
      <c r="B820" s="725"/>
      <c r="C820" s="726"/>
      <c r="D820" s="726"/>
      <c r="E820" s="724"/>
      <c r="F820" s="727"/>
      <c r="G820" s="728"/>
      <c r="H820" s="728"/>
      <c r="I820" s="728"/>
      <c r="J820" s="728"/>
      <c r="K820" s="728"/>
      <c r="L820" s="724"/>
      <c r="M820" s="717"/>
    </row>
    <row r="821" spans="1:13" s="718" customFormat="1" ht="21" customHeight="1">
      <c r="A821" s="724"/>
      <c r="B821" s="739" t="s">
        <v>6272</v>
      </c>
      <c r="C821" s="794"/>
      <c r="D821" s="726" t="str">
        <f>SUBSTITUTE(CONCATENATE(B:B,C:C,E:E)," ","")</f>
        <v>그림걸이레일M</v>
      </c>
      <c r="E821" s="724" t="s">
        <v>5899</v>
      </c>
      <c r="F821" s="727">
        <v>1</v>
      </c>
      <c r="G821" s="728">
        <f>IF($E:$E="인",0,VLOOKUP($D:$D,[140]일위목록!$A:$H,6,FALSE))</f>
        <v>6500</v>
      </c>
      <c r="H821" s="728">
        <f>TRUNC($F:$F*G:G)</f>
        <v>6500</v>
      </c>
      <c r="I821" s="728">
        <f>IF($E:$E="인",VLOOKUP($B:$B,[140]노임!$B:$H,6,FALSE),VLOOKUP($D:$D,[140]일위목록!$A:$H,7,FALSE))</f>
        <v>0</v>
      </c>
      <c r="J821" s="728">
        <f>TRUNC($F:$F*I:I)</f>
        <v>0</v>
      </c>
      <c r="K821" s="728">
        <f t="shared" ref="K821:K823" si="120">H821+J821</f>
        <v>6500</v>
      </c>
      <c r="L821" s="724" t="str">
        <f>IF($E:$E="인",VLOOKUP($B:$B,[140]단가!$B:$E,3,FALSE),VLOOKUP($D:$D,[140]일위목록!$A:$H,2,FALSE))</f>
        <v>단가-75번</v>
      </c>
      <c r="M821" s="717"/>
    </row>
    <row r="822" spans="1:13" s="718" customFormat="1" ht="21" customHeight="1">
      <c r="A822" s="724"/>
      <c r="B822" s="791" t="s">
        <v>5864</v>
      </c>
      <c r="C822" s="726"/>
      <c r="D822" s="726" t="str">
        <f>SUBSTITUTE(CONCATENATE(B:B,C:C,E:E)," ","")</f>
        <v>특별인부인</v>
      </c>
      <c r="E822" s="724" t="s">
        <v>5876</v>
      </c>
      <c r="F822" s="727">
        <v>0.02</v>
      </c>
      <c r="G822" s="728">
        <f>IF($E:$E="인",0,VLOOKUP($D:$D,[140]일위목록!$A:$H,6,FALSE))</f>
        <v>0</v>
      </c>
      <c r="H822" s="728">
        <f>TRUNC($F:$F*G:G)</f>
        <v>0</v>
      </c>
      <c r="I822" s="728">
        <f>IF($E:$E="인",VLOOKUP($B:$B,[140]노임!$B:$H,6,FALSE),VLOOKUP($D:$D,[140]일위목록!$A:$H,7,FALSE))</f>
        <v>152019</v>
      </c>
      <c r="J822" s="728">
        <f>TRUNC($F:$F*I:I)</f>
        <v>3040</v>
      </c>
      <c r="K822" s="728">
        <f t="shared" si="120"/>
        <v>3040</v>
      </c>
      <c r="L822" s="724" t="str">
        <f>IF($E:$E="인",VLOOKUP($B:$B,[140]노임!$B:$D,3,FALSE),VLOOKUP($D:$D,[140]일위목록!$A:$H,2,FALSE))</f>
        <v>건설노임-1003</v>
      </c>
      <c r="M822" s="717"/>
    </row>
    <row r="823" spans="1:13" s="718" customFormat="1" ht="21" customHeight="1">
      <c r="A823" s="724"/>
      <c r="B823" s="725" t="s">
        <v>5877</v>
      </c>
      <c r="C823" s="726"/>
      <c r="D823" s="726" t="str">
        <f>SUBSTITUTE(CONCATENATE(B:B,C:C,E:E)," ","")</f>
        <v>보통인부인</v>
      </c>
      <c r="E823" s="724" t="s">
        <v>5862</v>
      </c>
      <c r="F823" s="727">
        <v>0.01</v>
      </c>
      <c r="G823" s="728">
        <f>IF($E:$E="인",0,VLOOKUP($D:$D,[140]일위목록!$A:$H,6,FALSE))</f>
        <v>0</v>
      </c>
      <c r="H823" s="728">
        <f>TRUNC($F:$F*G:G)</f>
        <v>0</v>
      </c>
      <c r="I823" s="728">
        <f>IF($E:$E="인",VLOOKUP($B:$B,[140]노임!$B:$H,6,FALSE),VLOOKUP($D:$D,[140]일위목록!$A:$H,7,FALSE))</f>
        <v>125427</v>
      </c>
      <c r="J823" s="728">
        <f>TRUNC($F:$F*I:I)</f>
        <v>1254</v>
      </c>
      <c r="K823" s="728">
        <f t="shared" si="120"/>
        <v>1254</v>
      </c>
      <c r="L823" s="724" t="str">
        <f>IF($E:$E="인",VLOOKUP($B:$B,[140]노임!$B:$D,3,FALSE),VLOOKUP($D:$D,[140]일위목록!$A:$H,2,FALSE))</f>
        <v>건설노임-1002</v>
      </c>
      <c r="M823" s="717"/>
    </row>
    <row r="824" spans="1:13" s="718" customFormat="1" ht="21" customHeight="1">
      <c r="A824" s="724"/>
      <c r="B824" s="725" t="s">
        <v>5901</v>
      </c>
      <c r="C824" s="726"/>
      <c r="D824" s="726" t="str">
        <f>L:L</f>
        <v>제106호표</v>
      </c>
      <c r="E824" s="724"/>
      <c r="F824" s="727"/>
      <c r="G824" s="728"/>
      <c r="H824" s="728">
        <f>SUM(H821:H823)</f>
        <v>6500</v>
      </c>
      <c r="I824" s="728"/>
      <c r="J824" s="728">
        <f>SUM(J821:J823)</f>
        <v>4294</v>
      </c>
      <c r="K824" s="728">
        <f>SUM(K821:K823)</f>
        <v>10794</v>
      </c>
      <c r="L824" s="724" t="str">
        <f>A819</f>
        <v>제106호표</v>
      </c>
      <c r="M824" s="717"/>
    </row>
    <row r="825" spans="1:13" s="718" customFormat="1" ht="21" customHeight="1">
      <c r="A825" s="724"/>
      <c r="B825" s="725"/>
      <c r="C825" s="726"/>
      <c r="D825" s="726"/>
      <c r="E825" s="724"/>
      <c r="F825" s="727"/>
      <c r="G825" s="728"/>
      <c r="H825" s="728"/>
      <c r="I825" s="728"/>
      <c r="J825" s="728"/>
      <c r="K825" s="728"/>
      <c r="L825" s="724"/>
      <c r="M825" s="717"/>
    </row>
    <row r="826" spans="1:13" s="718" customFormat="1" ht="21" customHeight="1">
      <c r="A826" s="724"/>
      <c r="B826" s="725"/>
      <c r="C826" s="726"/>
      <c r="D826" s="726"/>
      <c r="E826" s="724"/>
      <c r="F826" s="727"/>
      <c r="G826" s="728"/>
      <c r="H826" s="728"/>
      <c r="I826" s="728"/>
      <c r="J826" s="728"/>
      <c r="K826" s="728"/>
      <c r="L826" s="724"/>
      <c r="M826" s="717"/>
    </row>
    <row r="827" spans="1:13" s="718" customFormat="1" ht="21" customHeight="1">
      <c r="A827" s="724" t="str">
        <f>"제"&amp;M827&amp;"호표"</f>
        <v>제107호표</v>
      </c>
      <c r="B827" s="739" t="s">
        <v>6273</v>
      </c>
      <c r="C827" s="794" t="s">
        <v>6274</v>
      </c>
      <c r="D827" s="726"/>
      <c r="E827" s="789" t="s">
        <v>398</v>
      </c>
      <c r="F827" s="727"/>
      <c r="G827" s="728"/>
      <c r="H827" s="728"/>
      <c r="I827" s="728"/>
      <c r="J827" s="728"/>
      <c r="K827" s="728"/>
      <c r="L827" s="724"/>
      <c r="M827" s="729">
        <f>M819+1</f>
        <v>107</v>
      </c>
    </row>
    <row r="828" spans="1:13" s="718" customFormat="1" ht="21" customHeight="1">
      <c r="A828" s="724"/>
      <c r="B828" s="725"/>
      <c r="C828" s="726"/>
      <c r="D828" s="726"/>
      <c r="E828" s="724"/>
      <c r="F828" s="727"/>
      <c r="G828" s="728"/>
      <c r="H828" s="728"/>
      <c r="I828" s="728"/>
      <c r="J828" s="728"/>
      <c r="K828" s="728"/>
      <c r="L828" s="724"/>
      <c r="M828" s="717"/>
    </row>
    <row r="829" spans="1:13" s="718" customFormat="1" ht="21" customHeight="1">
      <c r="A829" s="724"/>
      <c r="B829" s="739" t="s">
        <v>6275</v>
      </c>
      <c r="C829" s="794" t="s">
        <v>6274</v>
      </c>
      <c r="D829" s="726" t="str">
        <f t="shared" ref="D829:D834" si="121">SUBSTITUTE(CONCATENATE(B:B,C:C,E:E)," ","")</f>
        <v>센터베어링및스톱파벽부형ea</v>
      </c>
      <c r="E829" s="789" t="s">
        <v>6198</v>
      </c>
      <c r="F829" s="727">
        <v>1</v>
      </c>
      <c r="G829" s="728">
        <f>IF($E:$E="인",0,VLOOKUP($D:$D,[140]일위목록!$A:$H,6,FALSE))</f>
        <v>80000</v>
      </c>
      <c r="H829" s="728">
        <f t="shared" ref="H829:H834" si="122">TRUNC($F:$F*G:G)</f>
        <v>80000</v>
      </c>
      <c r="I829" s="728">
        <f>IF($E:$E="인",VLOOKUP($B:$B,[140]노임!$B:$H,6,FALSE),VLOOKUP($D:$D,[140]일위목록!$A:$H,7,FALSE))</f>
        <v>0</v>
      </c>
      <c r="J829" s="728">
        <f t="shared" ref="J829:J834" si="123">TRUNC($F:$F*I:I)</f>
        <v>0</v>
      </c>
      <c r="K829" s="728">
        <f t="shared" ref="K829:K834" si="124">H829+J829</f>
        <v>80000</v>
      </c>
      <c r="L829" s="724" t="str">
        <f>IF($E:$E="인",VLOOKUP($B:$B,[140]단가!$B:$E,3,FALSE),VLOOKUP($D:$D,[140]일위목록!$A:$H,2,FALSE))</f>
        <v>단가-99번</v>
      </c>
      <c r="M829" s="717"/>
    </row>
    <row r="830" spans="1:13" s="718" customFormat="1" ht="21" customHeight="1">
      <c r="A830" s="724"/>
      <c r="B830" s="739" t="s">
        <v>6276</v>
      </c>
      <c r="C830" s="794" t="s">
        <v>6277</v>
      </c>
      <c r="D830" s="726" t="str">
        <f t="shared" si="121"/>
        <v>센터베어링가이드T2.3mm가공ea</v>
      </c>
      <c r="E830" s="789" t="s">
        <v>6198</v>
      </c>
      <c r="F830" s="727">
        <v>1</v>
      </c>
      <c r="G830" s="728">
        <f>IF($E:$E="인",0,VLOOKUP($D:$D,[140]일위목록!$A:$H,6,FALSE))</f>
        <v>15000</v>
      </c>
      <c r="H830" s="728">
        <f t="shared" si="122"/>
        <v>15000</v>
      </c>
      <c r="I830" s="728">
        <f>IF($E:$E="인",VLOOKUP($B:$B,[140]노임!$B:$H,6,FALSE),VLOOKUP($D:$D,[140]일위목록!$A:$H,7,FALSE))</f>
        <v>0</v>
      </c>
      <c r="J830" s="728">
        <f t="shared" si="123"/>
        <v>0</v>
      </c>
      <c r="K830" s="728">
        <f t="shared" si="124"/>
        <v>15000</v>
      </c>
      <c r="L830" s="724" t="str">
        <f>IF($E:$E="인",VLOOKUP($B:$B,[140]단가!$B:$E,3,FALSE),VLOOKUP($D:$D,[140]일위목록!$A:$H,2,FALSE))</f>
        <v>단가-102번</v>
      </c>
      <c r="M830" s="717"/>
    </row>
    <row r="831" spans="1:13" s="718" customFormat="1" ht="21" customHeight="1">
      <c r="A831" s="724"/>
      <c r="B831" s="791" t="s">
        <v>6192</v>
      </c>
      <c r="C831" s="726"/>
      <c r="D831" s="726" t="str">
        <f t="shared" si="121"/>
        <v>내선전공인</v>
      </c>
      <c r="E831" s="724" t="s">
        <v>5876</v>
      </c>
      <c r="F831" s="727">
        <v>0.15</v>
      </c>
      <c r="G831" s="728">
        <f>IF($E:$E="인",0,VLOOKUP($D:$D,[140]일위목록!$A:$H,6,FALSE))</f>
        <v>0</v>
      </c>
      <c r="H831" s="728">
        <f t="shared" si="122"/>
        <v>0</v>
      </c>
      <c r="I831" s="728">
        <f>IF($E:$E="인",VLOOKUP($B:$B,[140]노임!$B:$H,6,FALSE),VLOOKUP($D:$D,[140]일위목록!$A:$H,7,FALSE))</f>
        <v>225408</v>
      </c>
      <c r="J831" s="728">
        <f t="shared" si="123"/>
        <v>33811</v>
      </c>
      <c r="K831" s="728">
        <f t="shared" si="124"/>
        <v>33811</v>
      </c>
      <c r="L831" s="724" t="str">
        <f>IF($E:$E="인",VLOOKUP($B:$B,[140]노임!$B:$D,3,FALSE),VLOOKUP($D:$D,[140]일위목록!$A:$H,2,FALSE))</f>
        <v>건설노임-1075</v>
      </c>
      <c r="M831" s="717"/>
    </row>
    <row r="832" spans="1:13" s="718" customFormat="1" ht="21" customHeight="1">
      <c r="A832" s="724"/>
      <c r="B832" s="791" t="s">
        <v>5863</v>
      </c>
      <c r="C832" s="726"/>
      <c r="D832" s="726" t="str">
        <f t="shared" si="121"/>
        <v>용접공인</v>
      </c>
      <c r="E832" s="724" t="s">
        <v>5876</v>
      </c>
      <c r="F832" s="727">
        <v>6.5000000000000002E-2</v>
      </c>
      <c r="G832" s="728">
        <f>IF($E:$E="인",0,VLOOKUP($D:$D,[140]일위목록!$A:$H,6,FALSE))</f>
        <v>0</v>
      </c>
      <c r="H832" s="728">
        <f t="shared" si="122"/>
        <v>0</v>
      </c>
      <c r="I832" s="728">
        <f>IF($E:$E="인",VLOOKUP($B:$B,[140]노임!$B:$H,6,FALSE),VLOOKUP($D:$D,[140]일위목록!$A:$H,7,FALSE))</f>
        <v>198711</v>
      </c>
      <c r="J832" s="728">
        <f t="shared" si="123"/>
        <v>12916</v>
      </c>
      <c r="K832" s="728">
        <f t="shared" si="124"/>
        <v>12916</v>
      </c>
      <c r="L832" s="724" t="str">
        <f>IF($E:$E="인",VLOOKUP($B:$B,[140]노임!$B:$D,3,FALSE),VLOOKUP($D:$D,[140]일위목록!$A:$H,2,FALSE))</f>
        <v>건설노임-1012</v>
      </c>
      <c r="M832" s="717"/>
    </row>
    <row r="833" spans="1:13" s="718" customFormat="1" ht="21" customHeight="1">
      <c r="A833" s="724"/>
      <c r="B833" s="791" t="s">
        <v>5864</v>
      </c>
      <c r="C833" s="726"/>
      <c r="D833" s="726" t="str">
        <f t="shared" si="121"/>
        <v>특별인부인</v>
      </c>
      <c r="E833" s="724" t="s">
        <v>5876</v>
      </c>
      <c r="F833" s="727">
        <v>0.03</v>
      </c>
      <c r="G833" s="728">
        <f>IF($E:$E="인",0,VLOOKUP($D:$D,[140]일위목록!$A:$H,6,FALSE))</f>
        <v>0</v>
      </c>
      <c r="H833" s="728">
        <f t="shared" si="122"/>
        <v>0</v>
      </c>
      <c r="I833" s="728">
        <f>IF($E:$E="인",VLOOKUP($B:$B,[140]노임!$B:$H,6,FALSE),VLOOKUP($D:$D,[140]일위목록!$A:$H,7,FALSE))</f>
        <v>152019</v>
      </c>
      <c r="J833" s="728">
        <f t="shared" si="123"/>
        <v>4560</v>
      </c>
      <c r="K833" s="728">
        <f t="shared" si="124"/>
        <v>4560</v>
      </c>
      <c r="L833" s="724" t="str">
        <f>IF($E:$E="인",VLOOKUP($B:$B,[140]노임!$B:$D,3,FALSE),VLOOKUP($D:$D,[140]일위목록!$A:$H,2,FALSE))</f>
        <v>건설노임-1003</v>
      </c>
      <c r="M833" s="717"/>
    </row>
    <row r="834" spans="1:13" s="718" customFormat="1" ht="21" customHeight="1">
      <c r="A834" s="724"/>
      <c r="B834" s="725" t="s">
        <v>5877</v>
      </c>
      <c r="C834" s="726"/>
      <c r="D834" s="726" t="str">
        <f t="shared" si="121"/>
        <v>보통인부인</v>
      </c>
      <c r="E834" s="724" t="s">
        <v>5862</v>
      </c>
      <c r="F834" s="727">
        <v>0.01</v>
      </c>
      <c r="G834" s="728">
        <f>IF($E:$E="인",0,VLOOKUP($D:$D,[140]일위목록!$A:$H,6,FALSE))</f>
        <v>0</v>
      </c>
      <c r="H834" s="728">
        <f t="shared" si="122"/>
        <v>0</v>
      </c>
      <c r="I834" s="728">
        <f>IF($E:$E="인",VLOOKUP($B:$B,[140]노임!$B:$H,6,FALSE),VLOOKUP($D:$D,[140]일위목록!$A:$H,7,FALSE))</f>
        <v>125427</v>
      </c>
      <c r="J834" s="728">
        <f t="shared" si="123"/>
        <v>1254</v>
      </c>
      <c r="K834" s="728">
        <f t="shared" si="124"/>
        <v>1254</v>
      </c>
      <c r="L834" s="724" t="str">
        <f>IF($E:$E="인",VLOOKUP($B:$B,[140]노임!$B:$D,3,FALSE),VLOOKUP($D:$D,[140]일위목록!$A:$H,2,FALSE))</f>
        <v>건설노임-1002</v>
      </c>
      <c r="M834" s="717"/>
    </row>
    <row r="835" spans="1:13" s="718" customFormat="1" ht="21" customHeight="1">
      <c r="A835" s="724"/>
      <c r="B835" s="725" t="s">
        <v>5901</v>
      </c>
      <c r="C835" s="726"/>
      <c r="D835" s="726" t="str">
        <f>L:L</f>
        <v>제107호표</v>
      </c>
      <c r="E835" s="724"/>
      <c r="F835" s="727"/>
      <c r="G835" s="728"/>
      <c r="H835" s="728">
        <f>SUM(H829:H834)</f>
        <v>95000</v>
      </c>
      <c r="I835" s="728"/>
      <c r="J835" s="728">
        <f>SUM(J829:J834)</f>
        <v>52541</v>
      </c>
      <c r="K835" s="728">
        <f>SUM(K829:K834)</f>
        <v>147541</v>
      </c>
      <c r="L835" s="724" t="str">
        <f>A827</f>
        <v>제107호표</v>
      </c>
      <c r="M835" s="717"/>
    </row>
    <row r="836" spans="1:13" s="718" customFormat="1" ht="21" customHeight="1">
      <c r="A836" s="724"/>
      <c r="B836" s="725"/>
      <c r="C836" s="726"/>
      <c r="D836" s="726"/>
      <c r="E836" s="724"/>
      <c r="F836" s="727"/>
      <c r="G836" s="728"/>
      <c r="H836" s="728"/>
      <c r="I836" s="728"/>
      <c r="J836" s="728"/>
      <c r="K836" s="728"/>
      <c r="L836" s="724"/>
      <c r="M836" s="717"/>
    </row>
    <row r="837" spans="1:13" s="718" customFormat="1" ht="21" customHeight="1">
      <c r="A837" s="724"/>
      <c r="B837" s="725"/>
      <c r="C837" s="726"/>
      <c r="D837" s="726"/>
      <c r="E837" s="724"/>
      <c r="F837" s="727"/>
      <c r="G837" s="728"/>
      <c r="H837" s="728"/>
      <c r="I837" s="728"/>
      <c r="J837" s="728"/>
      <c r="K837" s="728"/>
      <c r="L837" s="724"/>
      <c r="M837" s="717"/>
    </row>
    <row r="838" spans="1:13" s="718" customFormat="1" ht="21" customHeight="1">
      <c r="A838" s="724" t="str">
        <f>"제"&amp;M838&amp;"호표"</f>
        <v>제108호표</v>
      </c>
      <c r="B838" s="739" t="s">
        <v>6273</v>
      </c>
      <c r="C838" s="794" t="s">
        <v>6278</v>
      </c>
      <c r="D838" s="726"/>
      <c r="E838" s="789" t="s">
        <v>398</v>
      </c>
      <c r="F838" s="727"/>
      <c r="G838" s="728"/>
      <c r="H838" s="728"/>
      <c r="I838" s="728"/>
      <c r="J838" s="728"/>
      <c r="K838" s="728"/>
      <c r="L838" s="724"/>
      <c r="M838" s="729">
        <f>M827+1</f>
        <v>108</v>
      </c>
    </row>
    <row r="839" spans="1:13" s="718" customFormat="1" ht="21" customHeight="1">
      <c r="A839" s="724"/>
      <c r="B839" s="725"/>
      <c r="C839" s="726"/>
      <c r="D839" s="726"/>
      <c r="E839" s="724"/>
      <c r="F839" s="727"/>
      <c r="G839" s="728"/>
      <c r="H839" s="728"/>
      <c r="I839" s="728"/>
      <c r="J839" s="728"/>
      <c r="K839" s="728"/>
      <c r="L839" s="724"/>
      <c r="M839" s="717"/>
    </row>
    <row r="840" spans="1:13" s="718" customFormat="1" ht="21" customHeight="1">
      <c r="A840" s="724"/>
      <c r="B840" s="739" t="s">
        <v>6275</v>
      </c>
      <c r="C840" s="794" t="s">
        <v>6278</v>
      </c>
      <c r="D840" s="726" t="str">
        <f t="shared" ref="D840:D845" si="125">SUBSTITUTE(CONCATENATE(B:B,C:C,E:E)," ","")</f>
        <v>센터베어링및스톱파독립형1단ea</v>
      </c>
      <c r="E840" s="789" t="s">
        <v>6198</v>
      </c>
      <c r="F840" s="727">
        <v>1</v>
      </c>
      <c r="G840" s="728">
        <f>IF($E:$E="인",0,VLOOKUP($D:$D,[140]일위목록!$A:$H,6,FALSE))</f>
        <v>70000</v>
      </c>
      <c r="H840" s="728">
        <f t="shared" ref="H840:H845" si="126">TRUNC($F:$F*G:G)</f>
        <v>70000</v>
      </c>
      <c r="I840" s="728">
        <f>IF($E:$E="인",VLOOKUP($B:$B,[140]노임!$B:$H,6,FALSE),VLOOKUP($D:$D,[140]일위목록!$A:$H,7,FALSE))</f>
        <v>0</v>
      </c>
      <c r="J840" s="728">
        <f t="shared" ref="J840:J845" si="127">TRUNC($F:$F*I:I)</f>
        <v>0</v>
      </c>
      <c r="K840" s="728">
        <f t="shared" ref="K840:K845" si="128">H840+J840</f>
        <v>70000</v>
      </c>
      <c r="L840" s="724" t="str">
        <f>IF($E:$E="인",VLOOKUP($B:$B,[140]단가!$B:$E,3,FALSE),VLOOKUP($D:$D,[140]일위목록!$A:$H,2,FALSE))</f>
        <v>단가-100번</v>
      </c>
      <c r="M840" s="717"/>
    </row>
    <row r="841" spans="1:13" s="718" customFormat="1" ht="21" customHeight="1">
      <c r="A841" s="724"/>
      <c r="B841" s="739" t="s">
        <v>6276</v>
      </c>
      <c r="C841" s="794" t="s">
        <v>6277</v>
      </c>
      <c r="D841" s="726" t="str">
        <f t="shared" si="125"/>
        <v>센터베어링가이드T2.3mm가공ea</v>
      </c>
      <c r="E841" s="789" t="s">
        <v>6198</v>
      </c>
      <c r="F841" s="727">
        <v>1</v>
      </c>
      <c r="G841" s="728">
        <f>IF($E:$E="인",0,VLOOKUP($D:$D,[140]일위목록!$A:$H,6,FALSE))</f>
        <v>15000</v>
      </c>
      <c r="H841" s="728">
        <f t="shared" si="126"/>
        <v>15000</v>
      </c>
      <c r="I841" s="728">
        <f>IF($E:$E="인",VLOOKUP($B:$B,[140]노임!$B:$H,6,FALSE),VLOOKUP($D:$D,[140]일위목록!$A:$H,7,FALSE))</f>
        <v>0</v>
      </c>
      <c r="J841" s="728">
        <f t="shared" si="127"/>
        <v>0</v>
      </c>
      <c r="K841" s="728">
        <f t="shared" si="128"/>
        <v>15000</v>
      </c>
      <c r="L841" s="724" t="str">
        <f>IF($E:$E="인",VLOOKUP($B:$B,[140]단가!$B:$E,3,FALSE),VLOOKUP($D:$D,[140]일위목록!$A:$H,2,FALSE))</f>
        <v>단가-102번</v>
      </c>
      <c r="M841" s="717"/>
    </row>
    <row r="842" spans="1:13" s="718" customFormat="1" ht="21" customHeight="1">
      <c r="A842" s="724"/>
      <c r="B842" s="791" t="s">
        <v>6192</v>
      </c>
      <c r="C842" s="726"/>
      <c r="D842" s="726" t="str">
        <f t="shared" si="125"/>
        <v>내선전공인</v>
      </c>
      <c r="E842" s="724" t="s">
        <v>5876</v>
      </c>
      <c r="F842" s="727">
        <v>0.1</v>
      </c>
      <c r="G842" s="728">
        <f>IF($E:$E="인",0,VLOOKUP($D:$D,[140]일위목록!$A:$H,6,FALSE))</f>
        <v>0</v>
      </c>
      <c r="H842" s="728">
        <f t="shared" si="126"/>
        <v>0</v>
      </c>
      <c r="I842" s="728">
        <f>IF($E:$E="인",VLOOKUP($B:$B,[140]노임!$B:$H,6,FALSE),VLOOKUP($D:$D,[140]일위목록!$A:$H,7,FALSE))</f>
        <v>225408</v>
      </c>
      <c r="J842" s="728">
        <f t="shared" si="127"/>
        <v>22540</v>
      </c>
      <c r="K842" s="728">
        <f t="shared" si="128"/>
        <v>22540</v>
      </c>
      <c r="L842" s="724" t="str">
        <f>IF($E:$E="인",VLOOKUP($B:$B,[140]노임!$B:$D,3,FALSE),VLOOKUP($D:$D,[140]일위목록!$A:$H,2,FALSE))</f>
        <v>건설노임-1075</v>
      </c>
      <c r="M842" s="717"/>
    </row>
    <row r="843" spans="1:13" s="718" customFormat="1" ht="21" customHeight="1">
      <c r="A843" s="724"/>
      <c r="B843" s="791" t="s">
        <v>5863</v>
      </c>
      <c r="C843" s="726"/>
      <c r="D843" s="726" t="str">
        <f t="shared" si="125"/>
        <v>용접공인</v>
      </c>
      <c r="E843" s="724" t="s">
        <v>5876</v>
      </c>
      <c r="F843" s="727">
        <v>4.4999999999999998E-2</v>
      </c>
      <c r="G843" s="728">
        <f>IF($E:$E="인",0,VLOOKUP($D:$D,[140]일위목록!$A:$H,6,FALSE))</f>
        <v>0</v>
      </c>
      <c r="H843" s="728">
        <f t="shared" si="126"/>
        <v>0</v>
      </c>
      <c r="I843" s="728">
        <f>IF($E:$E="인",VLOOKUP($B:$B,[140]노임!$B:$H,6,FALSE),VLOOKUP($D:$D,[140]일위목록!$A:$H,7,FALSE))</f>
        <v>198711</v>
      </c>
      <c r="J843" s="728">
        <f t="shared" si="127"/>
        <v>8941</v>
      </c>
      <c r="K843" s="728">
        <f t="shared" si="128"/>
        <v>8941</v>
      </c>
      <c r="L843" s="724" t="str">
        <f>IF($E:$E="인",VLOOKUP($B:$B,[140]노임!$B:$D,3,FALSE),VLOOKUP($D:$D,[140]일위목록!$A:$H,2,FALSE))</f>
        <v>건설노임-1012</v>
      </c>
      <c r="M843" s="717"/>
    </row>
    <row r="844" spans="1:13" s="718" customFormat="1" ht="21" customHeight="1">
      <c r="A844" s="724"/>
      <c r="B844" s="791" t="s">
        <v>5864</v>
      </c>
      <c r="C844" s="726"/>
      <c r="D844" s="726" t="str">
        <f t="shared" si="125"/>
        <v>특별인부인</v>
      </c>
      <c r="E844" s="724" t="s">
        <v>5876</v>
      </c>
      <c r="F844" s="727">
        <v>0.2</v>
      </c>
      <c r="G844" s="728">
        <f>IF($E:$E="인",0,VLOOKUP($D:$D,[140]일위목록!$A:$H,6,FALSE))</f>
        <v>0</v>
      </c>
      <c r="H844" s="728">
        <f t="shared" si="126"/>
        <v>0</v>
      </c>
      <c r="I844" s="728">
        <f>IF($E:$E="인",VLOOKUP($B:$B,[140]노임!$B:$H,6,FALSE),VLOOKUP($D:$D,[140]일위목록!$A:$H,7,FALSE))</f>
        <v>152019</v>
      </c>
      <c r="J844" s="728">
        <f t="shared" si="127"/>
        <v>30403</v>
      </c>
      <c r="K844" s="728">
        <f t="shared" si="128"/>
        <v>30403</v>
      </c>
      <c r="L844" s="724" t="str">
        <f>IF($E:$E="인",VLOOKUP($B:$B,[140]노임!$B:$D,3,FALSE),VLOOKUP($D:$D,[140]일위목록!$A:$H,2,FALSE))</f>
        <v>건설노임-1003</v>
      </c>
      <c r="M844" s="717"/>
    </row>
    <row r="845" spans="1:13" s="718" customFormat="1" ht="21" customHeight="1">
      <c r="A845" s="724"/>
      <c r="B845" s="725" t="s">
        <v>5877</v>
      </c>
      <c r="C845" s="726"/>
      <c r="D845" s="726" t="str">
        <f t="shared" si="125"/>
        <v>보통인부인</v>
      </c>
      <c r="E845" s="724" t="s">
        <v>5862</v>
      </c>
      <c r="F845" s="727">
        <v>8.0000000000000002E-3</v>
      </c>
      <c r="G845" s="728">
        <f>IF($E:$E="인",0,VLOOKUP($D:$D,[140]일위목록!$A:$H,6,FALSE))</f>
        <v>0</v>
      </c>
      <c r="H845" s="728">
        <f t="shared" si="126"/>
        <v>0</v>
      </c>
      <c r="I845" s="728">
        <f>IF($E:$E="인",VLOOKUP($B:$B,[140]노임!$B:$H,6,FALSE),VLOOKUP($D:$D,[140]일위목록!$A:$H,7,FALSE))</f>
        <v>125427</v>
      </c>
      <c r="J845" s="728">
        <f t="shared" si="127"/>
        <v>1003</v>
      </c>
      <c r="K845" s="728">
        <f t="shared" si="128"/>
        <v>1003</v>
      </c>
      <c r="L845" s="724" t="str">
        <f>IF($E:$E="인",VLOOKUP($B:$B,[140]노임!$B:$D,3,FALSE),VLOOKUP($D:$D,[140]일위목록!$A:$H,2,FALSE))</f>
        <v>건설노임-1002</v>
      </c>
      <c r="M845" s="717"/>
    </row>
    <row r="846" spans="1:13" s="718" customFormat="1" ht="21" customHeight="1">
      <c r="A846" s="724"/>
      <c r="B846" s="725" t="s">
        <v>5901</v>
      </c>
      <c r="C846" s="726"/>
      <c r="D846" s="726" t="str">
        <f>L:L</f>
        <v>제108호표</v>
      </c>
      <c r="E846" s="724"/>
      <c r="F846" s="727"/>
      <c r="G846" s="728"/>
      <c r="H846" s="728">
        <f>SUM(H840:H845)</f>
        <v>85000</v>
      </c>
      <c r="I846" s="728"/>
      <c r="J846" s="728">
        <f>SUM(J840:J845)</f>
        <v>62887</v>
      </c>
      <c r="K846" s="728">
        <f>SUM(K840:K845)</f>
        <v>147887</v>
      </c>
      <c r="L846" s="724" t="str">
        <f>A838</f>
        <v>제108호표</v>
      </c>
      <c r="M846" s="717"/>
    </row>
    <row r="847" spans="1:13" s="718" customFormat="1" ht="21" customHeight="1">
      <c r="A847" s="724"/>
      <c r="B847" s="725"/>
      <c r="C847" s="726"/>
      <c r="D847" s="726"/>
      <c r="E847" s="724"/>
      <c r="F847" s="727"/>
      <c r="G847" s="728"/>
      <c r="H847" s="728"/>
      <c r="I847" s="728"/>
      <c r="J847" s="728"/>
      <c r="K847" s="728"/>
      <c r="L847" s="724"/>
      <c r="M847" s="717"/>
    </row>
    <row r="848" spans="1:13" s="718" customFormat="1" ht="21" customHeight="1">
      <c r="A848" s="724"/>
      <c r="B848" s="725"/>
      <c r="C848" s="726"/>
      <c r="D848" s="726"/>
      <c r="E848" s="724"/>
      <c r="F848" s="727"/>
      <c r="G848" s="728"/>
      <c r="H848" s="728"/>
      <c r="I848" s="728"/>
      <c r="J848" s="728"/>
      <c r="K848" s="728"/>
      <c r="L848" s="724"/>
      <c r="M848" s="717"/>
    </row>
    <row r="849" spans="1:13" s="718" customFormat="1" ht="21" customHeight="1">
      <c r="A849" s="724" t="str">
        <f>"제"&amp;M849&amp;"호표"</f>
        <v>제109호표</v>
      </c>
      <c r="B849" s="739" t="s">
        <v>6273</v>
      </c>
      <c r="C849" s="794" t="s">
        <v>6279</v>
      </c>
      <c r="D849" s="726"/>
      <c r="E849" s="789" t="s">
        <v>398</v>
      </c>
      <c r="F849" s="727"/>
      <c r="G849" s="728"/>
      <c r="H849" s="728"/>
      <c r="I849" s="728"/>
      <c r="J849" s="728"/>
      <c r="K849" s="728"/>
      <c r="L849" s="724"/>
      <c r="M849" s="729">
        <f>M838+1</f>
        <v>109</v>
      </c>
    </row>
    <row r="850" spans="1:13" s="718" customFormat="1" ht="21" customHeight="1">
      <c r="A850" s="724"/>
      <c r="B850" s="725"/>
      <c r="C850" s="726"/>
      <c r="D850" s="726"/>
      <c r="E850" s="724"/>
      <c r="F850" s="727"/>
      <c r="G850" s="728"/>
      <c r="H850" s="728"/>
      <c r="I850" s="728"/>
      <c r="J850" s="728"/>
      <c r="K850" s="728"/>
      <c r="L850" s="724"/>
      <c r="M850" s="717"/>
    </row>
    <row r="851" spans="1:13" s="718" customFormat="1" ht="21" customHeight="1">
      <c r="A851" s="724"/>
      <c r="B851" s="739" t="s">
        <v>6275</v>
      </c>
      <c r="C851" s="794" t="s">
        <v>6279</v>
      </c>
      <c r="D851" s="726" t="str">
        <f t="shared" ref="D851:D856" si="129">SUBSTITUTE(CONCATENATE(B:B,C:C,E:E)," ","")</f>
        <v>센터베어링및스톱파독립형2단ea</v>
      </c>
      <c r="E851" s="789" t="s">
        <v>6198</v>
      </c>
      <c r="F851" s="727">
        <v>1</v>
      </c>
      <c r="G851" s="728">
        <f>IF($E:$E="인",0,VLOOKUP($D:$D,[140]일위목록!$A:$H,6,FALSE))</f>
        <v>100000</v>
      </c>
      <c r="H851" s="728">
        <f t="shared" ref="H851:H856" si="130">TRUNC($F:$F*G:G)</f>
        <v>100000</v>
      </c>
      <c r="I851" s="728">
        <f>IF($E:$E="인",VLOOKUP($B:$B,[140]노임!$B:$H,6,FALSE),VLOOKUP($D:$D,[140]일위목록!$A:$H,7,FALSE))</f>
        <v>0</v>
      </c>
      <c r="J851" s="728">
        <f t="shared" ref="J851:J856" si="131">TRUNC($F:$F*I:I)</f>
        <v>0</v>
      </c>
      <c r="K851" s="728">
        <f t="shared" ref="K851:K856" si="132">H851+J851</f>
        <v>100000</v>
      </c>
      <c r="L851" s="724" t="str">
        <f>IF($E:$E="인",VLOOKUP($B:$B,[140]단가!$B:$E,3,FALSE),VLOOKUP($D:$D,[140]일위목록!$A:$H,2,FALSE))</f>
        <v>단가-101번</v>
      </c>
      <c r="M851" s="717"/>
    </row>
    <row r="852" spans="1:13" s="718" customFormat="1" ht="21" customHeight="1">
      <c r="A852" s="724"/>
      <c r="B852" s="739" t="s">
        <v>6276</v>
      </c>
      <c r="C852" s="794" t="s">
        <v>6277</v>
      </c>
      <c r="D852" s="726" t="str">
        <f t="shared" si="129"/>
        <v>센터베어링가이드T2.3mm가공ea</v>
      </c>
      <c r="E852" s="789" t="s">
        <v>6198</v>
      </c>
      <c r="F852" s="727">
        <v>2</v>
      </c>
      <c r="G852" s="728">
        <f>IF($E:$E="인",0,VLOOKUP($D:$D,[140]일위목록!$A:$H,6,FALSE))</f>
        <v>15000</v>
      </c>
      <c r="H852" s="728">
        <f t="shared" si="130"/>
        <v>30000</v>
      </c>
      <c r="I852" s="728">
        <f>IF($E:$E="인",VLOOKUP($B:$B,[140]노임!$B:$H,6,FALSE),VLOOKUP($D:$D,[140]일위목록!$A:$H,7,FALSE))</f>
        <v>0</v>
      </c>
      <c r="J852" s="728">
        <f t="shared" si="131"/>
        <v>0</v>
      </c>
      <c r="K852" s="728">
        <f t="shared" si="132"/>
        <v>30000</v>
      </c>
      <c r="L852" s="724" t="str">
        <f>IF($E:$E="인",VLOOKUP($B:$B,[140]단가!$B:$E,3,FALSE),VLOOKUP($D:$D,[140]일위목록!$A:$H,2,FALSE))</f>
        <v>단가-102번</v>
      </c>
      <c r="M852" s="717"/>
    </row>
    <row r="853" spans="1:13" s="718" customFormat="1" ht="21" customHeight="1">
      <c r="A853" s="724"/>
      <c r="B853" s="791" t="s">
        <v>6192</v>
      </c>
      <c r="C853" s="726"/>
      <c r="D853" s="726" t="str">
        <f t="shared" si="129"/>
        <v>내선전공인</v>
      </c>
      <c r="E853" s="724" t="s">
        <v>5876</v>
      </c>
      <c r="F853" s="727">
        <v>0.2</v>
      </c>
      <c r="G853" s="728">
        <f>IF($E:$E="인",0,VLOOKUP($D:$D,[140]일위목록!$A:$H,6,FALSE))</f>
        <v>0</v>
      </c>
      <c r="H853" s="728">
        <f t="shared" si="130"/>
        <v>0</v>
      </c>
      <c r="I853" s="728">
        <f>IF($E:$E="인",VLOOKUP($B:$B,[140]노임!$B:$H,6,FALSE),VLOOKUP($D:$D,[140]일위목록!$A:$H,7,FALSE))</f>
        <v>225408</v>
      </c>
      <c r="J853" s="728">
        <f t="shared" si="131"/>
        <v>45081</v>
      </c>
      <c r="K853" s="728">
        <f t="shared" si="132"/>
        <v>45081</v>
      </c>
      <c r="L853" s="724" t="str">
        <f>IF($E:$E="인",VLOOKUP($B:$B,[140]노임!$B:$D,3,FALSE),VLOOKUP($D:$D,[140]일위목록!$A:$H,2,FALSE))</f>
        <v>건설노임-1075</v>
      </c>
      <c r="M853" s="717"/>
    </row>
    <row r="854" spans="1:13" s="718" customFormat="1" ht="21" customHeight="1">
      <c r="A854" s="724"/>
      <c r="B854" s="791" t="s">
        <v>5863</v>
      </c>
      <c r="C854" s="726"/>
      <c r="D854" s="726" t="str">
        <f t="shared" si="129"/>
        <v>용접공인</v>
      </c>
      <c r="E854" s="724" t="s">
        <v>5876</v>
      </c>
      <c r="F854" s="727">
        <v>8.5000000000000006E-2</v>
      </c>
      <c r="G854" s="728">
        <f>IF($E:$E="인",0,VLOOKUP($D:$D,[140]일위목록!$A:$H,6,FALSE))</f>
        <v>0</v>
      </c>
      <c r="H854" s="728">
        <f t="shared" si="130"/>
        <v>0</v>
      </c>
      <c r="I854" s="728">
        <f>IF($E:$E="인",VLOOKUP($B:$B,[140]노임!$B:$H,6,FALSE),VLOOKUP($D:$D,[140]일위목록!$A:$H,7,FALSE))</f>
        <v>198711</v>
      </c>
      <c r="J854" s="728">
        <f t="shared" si="131"/>
        <v>16890</v>
      </c>
      <c r="K854" s="728">
        <f t="shared" si="132"/>
        <v>16890</v>
      </c>
      <c r="L854" s="724" t="str">
        <f>IF($E:$E="인",VLOOKUP($B:$B,[140]노임!$B:$D,3,FALSE),VLOOKUP($D:$D,[140]일위목록!$A:$H,2,FALSE))</f>
        <v>건설노임-1012</v>
      </c>
      <c r="M854" s="717"/>
    </row>
    <row r="855" spans="1:13" s="718" customFormat="1" ht="21" customHeight="1">
      <c r="A855" s="724"/>
      <c r="B855" s="791" t="s">
        <v>5864</v>
      </c>
      <c r="C855" s="726"/>
      <c r="D855" s="726" t="str">
        <f t="shared" si="129"/>
        <v>특별인부인</v>
      </c>
      <c r="E855" s="724" t="s">
        <v>5876</v>
      </c>
      <c r="F855" s="727">
        <v>0.04</v>
      </c>
      <c r="G855" s="728">
        <f>IF($E:$E="인",0,VLOOKUP($D:$D,[140]일위목록!$A:$H,6,FALSE))</f>
        <v>0</v>
      </c>
      <c r="H855" s="728">
        <f t="shared" si="130"/>
        <v>0</v>
      </c>
      <c r="I855" s="728">
        <f>IF($E:$E="인",VLOOKUP($B:$B,[140]노임!$B:$H,6,FALSE),VLOOKUP($D:$D,[140]일위목록!$A:$H,7,FALSE))</f>
        <v>152019</v>
      </c>
      <c r="J855" s="728">
        <f t="shared" si="131"/>
        <v>6080</v>
      </c>
      <c r="K855" s="728">
        <f t="shared" si="132"/>
        <v>6080</v>
      </c>
      <c r="L855" s="724" t="str">
        <f>IF($E:$E="인",VLOOKUP($B:$B,[140]노임!$B:$D,3,FALSE),VLOOKUP($D:$D,[140]일위목록!$A:$H,2,FALSE))</f>
        <v>건설노임-1003</v>
      </c>
      <c r="M855" s="717"/>
    </row>
    <row r="856" spans="1:13" s="718" customFormat="1" ht="21" customHeight="1">
      <c r="A856" s="724"/>
      <c r="B856" s="725" t="s">
        <v>5877</v>
      </c>
      <c r="C856" s="726"/>
      <c r="D856" s="726" t="str">
        <f t="shared" si="129"/>
        <v>보통인부인</v>
      </c>
      <c r="E856" s="724" t="s">
        <v>5862</v>
      </c>
      <c r="F856" s="727">
        <v>1.4999999999999999E-2</v>
      </c>
      <c r="G856" s="728">
        <f>IF($E:$E="인",0,VLOOKUP($D:$D,[140]일위목록!$A:$H,6,FALSE))</f>
        <v>0</v>
      </c>
      <c r="H856" s="728">
        <f t="shared" si="130"/>
        <v>0</v>
      </c>
      <c r="I856" s="728">
        <f>IF($E:$E="인",VLOOKUP($B:$B,[140]노임!$B:$H,6,FALSE),VLOOKUP($D:$D,[140]일위목록!$A:$H,7,FALSE))</f>
        <v>125427</v>
      </c>
      <c r="J856" s="728">
        <f t="shared" si="131"/>
        <v>1881</v>
      </c>
      <c r="K856" s="728">
        <f t="shared" si="132"/>
        <v>1881</v>
      </c>
      <c r="L856" s="724" t="str">
        <f>IF($E:$E="인",VLOOKUP($B:$B,[140]노임!$B:$D,3,FALSE),VLOOKUP($D:$D,[140]일위목록!$A:$H,2,FALSE))</f>
        <v>건설노임-1002</v>
      </c>
      <c r="M856" s="717"/>
    </row>
    <row r="857" spans="1:13" s="718" customFormat="1" ht="21" customHeight="1">
      <c r="A857" s="724"/>
      <c r="B857" s="725" t="s">
        <v>5901</v>
      </c>
      <c r="C857" s="726"/>
      <c r="D857" s="726" t="str">
        <f>L:L</f>
        <v>제109호표</v>
      </c>
      <c r="E857" s="724"/>
      <c r="F857" s="727"/>
      <c r="G857" s="728"/>
      <c r="H857" s="728">
        <f>SUM(H851:H856)</f>
        <v>130000</v>
      </c>
      <c r="I857" s="728"/>
      <c r="J857" s="728">
        <f>SUM(J851:J856)</f>
        <v>69932</v>
      </c>
      <c r="K857" s="728">
        <f>SUM(K851:K856)</f>
        <v>199932</v>
      </c>
      <c r="L857" s="724" t="str">
        <f>A849</f>
        <v>제109호표</v>
      </c>
      <c r="M857" s="717"/>
    </row>
    <row r="858" spans="1:13" s="718" customFormat="1" ht="21" customHeight="1">
      <c r="A858" s="724"/>
      <c r="B858" s="725"/>
      <c r="C858" s="726"/>
      <c r="D858" s="726"/>
      <c r="E858" s="724"/>
      <c r="F858" s="727"/>
      <c r="G858" s="728"/>
      <c r="H858" s="728"/>
      <c r="I858" s="728"/>
      <c r="J858" s="728"/>
      <c r="K858" s="728"/>
      <c r="L858" s="724"/>
      <c r="M858" s="717"/>
    </row>
    <row r="859" spans="1:13" s="718" customFormat="1" ht="21" customHeight="1">
      <c r="A859" s="724"/>
      <c r="B859" s="725"/>
      <c r="C859" s="726"/>
      <c r="D859" s="726"/>
      <c r="E859" s="724"/>
      <c r="F859" s="727"/>
      <c r="G859" s="728"/>
      <c r="H859" s="728"/>
      <c r="I859" s="728"/>
      <c r="J859" s="728"/>
      <c r="K859" s="728"/>
      <c r="L859" s="724"/>
      <c r="M859" s="717"/>
    </row>
    <row r="860" spans="1:13" s="718" customFormat="1" ht="21" customHeight="1">
      <c r="A860" s="724" t="str">
        <f>"제"&amp;M860&amp;"호표"</f>
        <v>제110호표</v>
      </c>
      <c r="B860" s="739" t="s">
        <v>6280</v>
      </c>
      <c r="C860" s="794" t="s">
        <v>6274</v>
      </c>
      <c r="D860" s="726"/>
      <c r="E860" s="789" t="s">
        <v>398</v>
      </c>
      <c r="F860" s="727"/>
      <c r="G860" s="728"/>
      <c r="H860" s="728"/>
      <c r="I860" s="728"/>
      <c r="J860" s="728"/>
      <c r="K860" s="728"/>
      <c r="L860" s="724"/>
      <c r="M860" s="729">
        <f>M849+1</f>
        <v>110</v>
      </c>
    </row>
    <row r="861" spans="1:13" s="718" customFormat="1" ht="21" customHeight="1">
      <c r="A861" s="724"/>
      <c r="B861" s="725"/>
      <c r="C861" s="726"/>
      <c r="D861" s="726"/>
      <c r="E861" s="724"/>
      <c r="F861" s="727"/>
      <c r="G861" s="728"/>
      <c r="H861" s="728"/>
      <c r="I861" s="728"/>
      <c r="J861" s="728"/>
      <c r="K861" s="728"/>
      <c r="L861" s="724"/>
      <c r="M861" s="717"/>
    </row>
    <row r="862" spans="1:13" s="718" customFormat="1" ht="21" customHeight="1">
      <c r="A862" s="724"/>
      <c r="B862" s="739" t="s">
        <v>6281</v>
      </c>
      <c r="C862" s="794" t="s">
        <v>6274</v>
      </c>
      <c r="D862" s="726" t="str">
        <f>SUBSTITUTE(CONCATENATE(B:B,C:C,E:E)," ","")</f>
        <v>전후진전동콘트롤라벽부형SET</v>
      </c>
      <c r="E862" s="796" t="s">
        <v>6227</v>
      </c>
      <c r="F862" s="727">
        <v>1</v>
      </c>
      <c r="G862" s="728">
        <f>IF($E:$E="인",0,VLOOKUP($D:$D,[140]일위목록!$A:$H,6,FALSE))</f>
        <v>900000</v>
      </c>
      <c r="H862" s="728">
        <f>TRUNC($F:$F*G:G)</f>
        <v>900000</v>
      </c>
      <c r="I862" s="728">
        <f>IF($E:$E="인",VLOOKUP($B:$B,[140]노임!$B:$H,6,FALSE),VLOOKUP($D:$D,[140]일위목록!$A:$H,7,FALSE))</f>
        <v>0</v>
      </c>
      <c r="J862" s="728">
        <f>TRUNC($F:$F*I:I)</f>
        <v>0</v>
      </c>
      <c r="K862" s="728">
        <f t="shared" ref="K862:K864" si="133">H862+J862</f>
        <v>900000</v>
      </c>
      <c r="L862" s="724" t="str">
        <f>IF($E:$E="인",VLOOKUP($B:$B,[140]단가!$B:$E,3,FALSE),VLOOKUP($D:$D,[140]일위목록!$A:$H,2,FALSE))</f>
        <v>단가-129번</v>
      </c>
      <c r="M862" s="717"/>
    </row>
    <row r="863" spans="1:13" s="718" customFormat="1" ht="21" customHeight="1">
      <c r="A863" s="724"/>
      <c r="B863" s="791" t="s">
        <v>6282</v>
      </c>
      <c r="C863" s="726"/>
      <c r="D863" s="726" t="str">
        <f>SUBSTITUTE(CONCATENATE(B:B,C:C,E:E)," ","")</f>
        <v>통신설비공인</v>
      </c>
      <c r="E863" s="724" t="s">
        <v>5876</v>
      </c>
      <c r="F863" s="727">
        <v>0.2</v>
      </c>
      <c r="G863" s="728">
        <f>IF($E:$E="인",0,VLOOKUP($D:$D,[140]일위목록!$A:$H,6,FALSE))</f>
        <v>0</v>
      </c>
      <c r="H863" s="728">
        <f>TRUNC($F:$F*G:G)</f>
        <v>0</v>
      </c>
      <c r="I863" s="728">
        <f>IF($E:$E="인",VLOOKUP($B:$B,[140]노임!$B:$H,6,FALSE),VLOOKUP($D:$D,[140]일위목록!$A:$H,7,FALSE))</f>
        <v>224927</v>
      </c>
      <c r="J863" s="728">
        <f>TRUNC($F:$F*I:I)</f>
        <v>44985</v>
      </c>
      <c r="K863" s="728">
        <f t="shared" si="133"/>
        <v>44985</v>
      </c>
      <c r="L863" s="724" t="str">
        <f>IF($E:$E="인",VLOOKUP($B:$B,[140]노임!$B:$D,3,FALSE),VLOOKUP($D:$D,[140]일위목록!$A:$H,2,FALSE))</f>
        <v>건설노임-1087</v>
      </c>
      <c r="M863" s="717"/>
    </row>
    <row r="864" spans="1:13" s="718" customFormat="1" ht="21" customHeight="1">
      <c r="A864" s="724"/>
      <c r="B864" s="725" t="s">
        <v>5877</v>
      </c>
      <c r="C864" s="726"/>
      <c r="D864" s="726" t="str">
        <f>SUBSTITUTE(CONCATENATE(B:B,C:C,E:E)," ","")</f>
        <v>보통인부인</v>
      </c>
      <c r="E864" s="724" t="s">
        <v>5862</v>
      </c>
      <c r="F864" s="727">
        <v>0.16</v>
      </c>
      <c r="G864" s="728">
        <f>IF($E:$E="인",0,VLOOKUP($D:$D,[140]일위목록!$A:$H,6,FALSE))</f>
        <v>0</v>
      </c>
      <c r="H864" s="728">
        <f>TRUNC($F:$F*G:G)</f>
        <v>0</v>
      </c>
      <c r="I864" s="728">
        <f>IF($E:$E="인",VLOOKUP($B:$B,[140]노임!$B:$H,6,FALSE),VLOOKUP($D:$D,[140]일위목록!$A:$H,7,FALSE))</f>
        <v>125427</v>
      </c>
      <c r="J864" s="728">
        <f>TRUNC($F:$F*I:I)</f>
        <v>20068</v>
      </c>
      <c r="K864" s="728">
        <f t="shared" si="133"/>
        <v>20068</v>
      </c>
      <c r="L864" s="724" t="str">
        <f>IF($E:$E="인",VLOOKUP($B:$B,[140]노임!$B:$D,3,FALSE),VLOOKUP($D:$D,[140]일위목록!$A:$H,2,FALSE))</f>
        <v>건설노임-1002</v>
      </c>
      <c r="M864" s="717"/>
    </row>
    <row r="865" spans="1:13" s="718" customFormat="1" ht="21" customHeight="1">
      <c r="A865" s="724"/>
      <c r="B865" s="725" t="s">
        <v>5901</v>
      </c>
      <c r="C865" s="726"/>
      <c r="D865" s="726" t="str">
        <f>L:L</f>
        <v>제110호표</v>
      </c>
      <c r="E865" s="724"/>
      <c r="F865" s="727"/>
      <c r="G865" s="728"/>
      <c r="H865" s="728">
        <f>SUM(H862:H864)</f>
        <v>900000</v>
      </c>
      <c r="I865" s="728"/>
      <c r="J865" s="728">
        <f>SUM(J862:J864)</f>
        <v>65053</v>
      </c>
      <c r="K865" s="728">
        <f>SUM(K862:K864)</f>
        <v>965053</v>
      </c>
      <c r="L865" s="724" t="str">
        <f>A860</f>
        <v>제110호표</v>
      </c>
      <c r="M865" s="717"/>
    </row>
    <row r="866" spans="1:13" s="718" customFormat="1" ht="21" customHeight="1">
      <c r="A866" s="724"/>
      <c r="B866" s="725"/>
      <c r="C866" s="726"/>
      <c r="D866" s="726"/>
      <c r="E866" s="724"/>
      <c r="F866" s="727"/>
      <c r="G866" s="728"/>
      <c r="H866" s="728"/>
      <c r="I866" s="728"/>
      <c r="J866" s="728"/>
      <c r="K866" s="728"/>
      <c r="L866" s="724"/>
      <c r="M866" s="717"/>
    </row>
    <row r="867" spans="1:13" s="718" customFormat="1" ht="21" customHeight="1">
      <c r="A867" s="724"/>
      <c r="B867" s="725"/>
      <c r="C867" s="726"/>
      <c r="D867" s="726"/>
      <c r="E867" s="724"/>
      <c r="F867" s="727"/>
      <c r="G867" s="728"/>
      <c r="H867" s="728"/>
      <c r="I867" s="728"/>
      <c r="J867" s="728"/>
      <c r="K867" s="728"/>
      <c r="L867" s="724"/>
      <c r="M867" s="717"/>
    </row>
    <row r="868" spans="1:13" s="718" customFormat="1" ht="21" customHeight="1">
      <c r="A868" s="724" t="str">
        <f>"제"&amp;M868&amp;"호표"</f>
        <v>제111호표</v>
      </c>
      <c r="B868" s="739" t="s">
        <v>6280</v>
      </c>
      <c r="C868" s="794" t="s">
        <v>6283</v>
      </c>
      <c r="D868" s="726"/>
      <c r="E868" s="789" t="s">
        <v>398</v>
      </c>
      <c r="F868" s="727"/>
      <c r="G868" s="728"/>
      <c r="H868" s="728"/>
      <c r="I868" s="728"/>
      <c r="J868" s="728"/>
      <c r="K868" s="728"/>
      <c r="L868" s="724"/>
      <c r="M868" s="729">
        <f>M860+1</f>
        <v>111</v>
      </c>
    </row>
    <row r="869" spans="1:13" s="718" customFormat="1" ht="21" customHeight="1">
      <c r="A869" s="724"/>
      <c r="B869" s="725"/>
      <c r="C869" s="726"/>
      <c r="D869" s="726"/>
      <c r="E869" s="724"/>
      <c r="F869" s="727"/>
      <c r="G869" s="728"/>
      <c r="H869" s="728"/>
      <c r="I869" s="728"/>
      <c r="J869" s="728"/>
      <c r="K869" s="728"/>
      <c r="L869" s="724"/>
      <c r="M869" s="717"/>
    </row>
    <row r="870" spans="1:13" s="718" customFormat="1" ht="21" customHeight="1">
      <c r="A870" s="724"/>
      <c r="B870" s="739" t="s">
        <v>6281</v>
      </c>
      <c r="C870" s="794" t="s">
        <v>6283</v>
      </c>
      <c r="D870" s="726" t="str">
        <f>SUBSTITUTE(CONCATENATE(B:B,C:C,E:E)," ","")</f>
        <v>전후진전동콘트롤라독립형SET</v>
      </c>
      <c r="E870" s="796" t="s">
        <v>6227</v>
      </c>
      <c r="F870" s="727">
        <v>1</v>
      </c>
      <c r="G870" s="728">
        <f>IF($E:$E="인",0,VLOOKUP($D:$D,[140]일위목록!$A:$H,6,FALSE))</f>
        <v>400000</v>
      </c>
      <c r="H870" s="728">
        <f>TRUNC($F:$F*G:G)</f>
        <v>400000</v>
      </c>
      <c r="I870" s="728">
        <f>IF($E:$E="인",VLOOKUP($B:$B,[140]노임!$B:$H,6,FALSE),VLOOKUP($D:$D,[140]일위목록!$A:$H,7,FALSE))</f>
        <v>0</v>
      </c>
      <c r="J870" s="728">
        <f>TRUNC($F:$F*I:I)</f>
        <v>0</v>
      </c>
      <c r="K870" s="728">
        <f t="shared" ref="K870:K872" si="134">H870+J870</f>
        <v>400000</v>
      </c>
      <c r="L870" s="724" t="str">
        <f>IF($E:$E="인",VLOOKUP($B:$B,[140]단가!$B:$E,3,FALSE),VLOOKUP($D:$D,[140]일위목록!$A:$H,2,FALSE))</f>
        <v>단가-130번</v>
      </c>
      <c r="M870" s="717"/>
    </row>
    <row r="871" spans="1:13" s="718" customFormat="1" ht="21" customHeight="1">
      <c r="A871" s="724"/>
      <c r="B871" s="791" t="s">
        <v>6282</v>
      </c>
      <c r="C871" s="726"/>
      <c r="D871" s="726" t="str">
        <f>SUBSTITUTE(CONCATENATE(B:B,C:C,E:E)," ","")</f>
        <v>통신설비공인</v>
      </c>
      <c r="E871" s="724" t="s">
        <v>5876</v>
      </c>
      <c r="F871" s="727">
        <v>0.2</v>
      </c>
      <c r="G871" s="728">
        <f>IF($E:$E="인",0,VLOOKUP($D:$D,[140]일위목록!$A:$H,6,FALSE))</f>
        <v>0</v>
      </c>
      <c r="H871" s="728">
        <f>TRUNC($F:$F*G:G)</f>
        <v>0</v>
      </c>
      <c r="I871" s="728">
        <f>IF($E:$E="인",VLOOKUP($B:$B,[140]노임!$B:$H,6,FALSE),VLOOKUP($D:$D,[140]일위목록!$A:$H,7,FALSE))</f>
        <v>224927</v>
      </c>
      <c r="J871" s="728">
        <f>TRUNC($F:$F*I:I)</f>
        <v>44985</v>
      </c>
      <c r="K871" s="728">
        <f t="shared" si="134"/>
        <v>44985</v>
      </c>
      <c r="L871" s="724" t="str">
        <f>IF($E:$E="인",VLOOKUP($B:$B,[140]노임!$B:$D,3,FALSE),VLOOKUP($D:$D,[140]일위목록!$A:$H,2,FALSE))</f>
        <v>건설노임-1087</v>
      </c>
      <c r="M871" s="717"/>
    </row>
    <row r="872" spans="1:13" s="718" customFormat="1" ht="21" customHeight="1">
      <c r="A872" s="724"/>
      <c r="B872" s="725" t="s">
        <v>5877</v>
      </c>
      <c r="C872" s="726"/>
      <c r="D872" s="726" t="str">
        <f>SUBSTITUTE(CONCATENATE(B:B,C:C,E:E)," ","")</f>
        <v>보통인부인</v>
      </c>
      <c r="E872" s="724" t="s">
        <v>5862</v>
      </c>
      <c r="F872" s="727">
        <v>0.16</v>
      </c>
      <c r="G872" s="728">
        <f>IF($E:$E="인",0,VLOOKUP($D:$D,[140]일위목록!$A:$H,6,FALSE))</f>
        <v>0</v>
      </c>
      <c r="H872" s="728">
        <f>TRUNC($F:$F*G:G)</f>
        <v>0</v>
      </c>
      <c r="I872" s="728">
        <f>IF($E:$E="인",VLOOKUP($B:$B,[140]노임!$B:$H,6,FALSE),VLOOKUP($D:$D,[140]일위목록!$A:$H,7,FALSE))</f>
        <v>125427</v>
      </c>
      <c r="J872" s="728">
        <f>TRUNC($F:$F*I:I)</f>
        <v>20068</v>
      </c>
      <c r="K872" s="728">
        <f t="shared" si="134"/>
        <v>20068</v>
      </c>
      <c r="L872" s="724" t="str">
        <f>IF($E:$E="인",VLOOKUP($B:$B,[140]노임!$B:$D,3,FALSE),VLOOKUP($D:$D,[140]일위목록!$A:$H,2,FALSE))</f>
        <v>건설노임-1002</v>
      </c>
      <c r="M872" s="717"/>
    </row>
    <row r="873" spans="1:13" s="718" customFormat="1" ht="21" customHeight="1">
      <c r="A873" s="724"/>
      <c r="B873" s="725" t="s">
        <v>5901</v>
      </c>
      <c r="C873" s="726"/>
      <c r="D873" s="726" t="str">
        <f>L:L</f>
        <v>제111호표</v>
      </c>
      <c r="E873" s="724"/>
      <c r="F873" s="727"/>
      <c r="G873" s="728"/>
      <c r="H873" s="728">
        <f>SUM(H870:H872)</f>
        <v>400000</v>
      </c>
      <c r="I873" s="728"/>
      <c r="J873" s="728">
        <f>SUM(J870:J872)</f>
        <v>65053</v>
      </c>
      <c r="K873" s="728">
        <f>SUM(K870:K872)</f>
        <v>465053</v>
      </c>
      <c r="L873" s="724" t="str">
        <f>A868</f>
        <v>제111호표</v>
      </c>
      <c r="M873" s="717"/>
    </row>
    <row r="874" spans="1:13" s="718" customFormat="1" ht="21" customHeight="1">
      <c r="A874" s="724"/>
      <c r="B874" s="725"/>
      <c r="C874" s="726"/>
      <c r="D874" s="726"/>
      <c r="E874" s="724"/>
      <c r="F874" s="727"/>
      <c r="G874" s="728"/>
      <c r="H874" s="728"/>
      <c r="I874" s="728"/>
      <c r="J874" s="728"/>
      <c r="K874" s="728"/>
      <c r="L874" s="724"/>
      <c r="M874" s="717"/>
    </row>
    <row r="875" spans="1:13" s="718" customFormat="1" ht="21" customHeight="1">
      <c r="A875" s="724"/>
      <c r="B875" s="725"/>
      <c r="C875" s="726"/>
      <c r="D875" s="726"/>
      <c r="E875" s="724"/>
      <c r="F875" s="727"/>
      <c r="G875" s="728"/>
      <c r="H875" s="728"/>
      <c r="I875" s="728"/>
      <c r="J875" s="728"/>
      <c r="K875" s="728"/>
      <c r="L875" s="724"/>
      <c r="M875" s="717"/>
    </row>
    <row r="876" spans="1:13" s="718" customFormat="1" ht="21" customHeight="1">
      <c r="A876" s="724" t="str">
        <f>"제"&amp;M876&amp;"호표"</f>
        <v>제112호표</v>
      </c>
      <c r="B876" s="739" t="s">
        <v>6284</v>
      </c>
      <c r="C876" s="794" t="s">
        <v>6285</v>
      </c>
      <c r="D876" s="726"/>
      <c r="E876" s="789" t="s">
        <v>5899</v>
      </c>
      <c r="F876" s="727"/>
      <c r="G876" s="728"/>
      <c r="H876" s="728"/>
      <c r="I876" s="728"/>
      <c r="J876" s="728"/>
      <c r="K876" s="728"/>
      <c r="L876" s="724"/>
      <c r="M876" s="729">
        <f>M868+1</f>
        <v>112</v>
      </c>
    </row>
    <row r="877" spans="1:13" s="718" customFormat="1" ht="21" customHeight="1">
      <c r="A877" s="724"/>
      <c r="B877" s="725"/>
      <c r="C877" s="726"/>
      <c r="D877" s="726"/>
      <c r="E877" s="724"/>
      <c r="F877" s="727"/>
      <c r="G877" s="728"/>
      <c r="H877" s="728"/>
      <c r="I877" s="728"/>
      <c r="J877" s="728"/>
      <c r="K877" s="728"/>
      <c r="L877" s="724"/>
      <c r="M877" s="717"/>
    </row>
    <row r="878" spans="1:13" s="718" customFormat="1" ht="21" customHeight="1">
      <c r="A878" s="724"/>
      <c r="B878" s="747" t="s">
        <v>6042</v>
      </c>
      <c r="C878" s="726" t="s">
        <v>6048</v>
      </c>
      <c r="D878" s="726" t="str">
        <f t="shared" ref="D878:D883" si="135">SUBSTITUTE(CONCATENATE(B:B,C:C,E:E)," ","")</f>
        <v>갈바후레임제작설치1.2TM2</v>
      </c>
      <c r="E878" s="744" t="s">
        <v>59</v>
      </c>
      <c r="F878" s="727">
        <v>0.55000000000000004</v>
      </c>
      <c r="G878" s="728">
        <f>IF($E:$E="인",0,VLOOKUP($D:$D,[140]일위목록!$A:$H,6,FALSE))</f>
        <v>11947</v>
      </c>
      <c r="H878" s="728">
        <f t="shared" ref="H878:H883" si="136">TRUNC($F:$F*G:G)</f>
        <v>6570</v>
      </c>
      <c r="I878" s="728">
        <f>IF($E:$E="인",VLOOKUP($B:$B,[140]노임!$B:$H,6,FALSE),VLOOKUP($D:$D,[140]일위목록!$A:$H,7,FALSE))</f>
        <v>42289</v>
      </c>
      <c r="J878" s="728">
        <f t="shared" ref="J878:J883" si="137">TRUNC($F:$F*I:I)</f>
        <v>23258</v>
      </c>
      <c r="K878" s="728">
        <f t="shared" ref="K878:K883" si="138">H878+J878</f>
        <v>29828</v>
      </c>
      <c r="L878" s="724" t="str">
        <f>IF($E:$E="인",VLOOKUP($B:$B,[140]노임!$B:$D,3,FALSE),VLOOKUP($D:$D,[140]일위목록!$A:$H,2,FALSE))</f>
        <v>제52호표</v>
      </c>
      <c r="M878" s="717"/>
    </row>
    <row r="879" spans="1:13" s="718" customFormat="1" ht="21" customHeight="1">
      <c r="A879" s="724"/>
      <c r="B879" s="725" t="s">
        <v>6124</v>
      </c>
      <c r="C879" s="758" t="s">
        <v>6125</v>
      </c>
      <c r="D879" s="726" t="str">
        <f t="shared" si="135"/>
        <v>알루미늄판취부4T*900*1800M2</v>
      </c>
      <c r="E879" s="744" t="s">
        <v>59</v>
      </c>
      <c r="F879" s="727">
        <v>0.16</v>
      </c>
      <c r="G879" s="728">
        <f>IF($E:$E="인",0,VLOOKUP($D:$D,[140]일위목록!$A:$H,6,FALSE))</f>
        <v>130192</v>
      </c>
      <c r="H879" s="728">
        <f t="shared" si="136"/>
        <v>20830</v>
      </c>
      <c r="I879" s="728">
        <f>IF($E:$E="인",VLOOKUP($B:$B,[140]노임!$B:$H,6,FALSE),VLOOKUP($D:$D,[140]일위목록!$A:$H,7,FALSE))</f>
        <v>14745</v>
      </c>
      <c r="J879" s="728">
        <f t="shared" si="137"/>
        <v>2359</v>
      </c>
      <c r="K879" s="728">
        <f t="shared" si="138"/>
        <v>23189</v>
      </c>
      <c r="L879" s="724" t="str">
        <f>IF($E:$E="인",VLOOKUP($B:$B,[140]노임!$B:$D,3,FALSE),VLOOKUP($D:$D,[140]일위목록!$A:$H,2,FALSE))</f>
        <v>제69호표</v>
      </c>
      <c r="M879" s="717"/>
    </row>
    <row r="880" spans="1:13" s="718" customFormat="1" ht="21" customHeight="1">
      <c r="A880" s="724"/>
      <c r="B880" s="725" t="s">
        <v>5978</v>
      </c>
      <c r="C880" s="726" t="s">
        <v>5979</v>
      </c>
      <c r="D880" s="726" t="str">
        <f t="shared" si="135"/>
        <v>우레탄칼라락카도장철재면기준M2</v>
      </c>
      <c r="E880" s="744" t="s">
        <v>59</v>
      </c>
      <c r="F880" s="727">
        <f>F878*2</f>
        <v>1.1000000000000001</v>
      </c>
      <c r="G880" s="728">
        <f>IF($E:$E="인",0,VLOOKUP($D:$D,[140]일위목록!$A:$H,6,FALSE))</f>
        <v>16103</v>
      </c>
      <c r="H880" s="728">
        <f t="shared" si="136"/>
        <v>17713</v>
      </c>
      <c r="I880" s="728">
        <f>IF($E:$E="인",VLOOKUP($B:$B,[140]노임!$B:$H,6,FALSE),VLOOKUP($D:$D,[140]일위목록!$A:$H,7,FALSE))</f>
        <v>22265</v>
      </c>
      <c r="J880" s="728">
        <f t="shared" si="137"/>
        <v>24491</v>
      </c>
      <c r="K880" s="728">
        <f t="shared" si="138"/>
        <v>42204</v>
      </c>
      <c r="L880" s="724" t="str">
        <f>IF($E:$E="인",VLOOKUP($B:$B,[140]노임!$B:$D,3,FALSE),VLOOKUP($D:$D,[140]일위목록!$A:$H,2,FALSE))</f>
        <v>제40호표</v>
      </c>
      <c r="M880" s="717"/>
    </row>
    <row r="881" spans="1:13" s="718" customFormat="1" ht="21" customHeight="1">
      <c r="A881" s="724"/>
      <c r="B881" s="725" t="s">
        <v>6001</v>
      </c>
      <c r="C881" s="726" t="s">
        <v>5979</v>
      </c>
      <c r="D881" s="726" t="str">
        <f t="shared" si="135"/>
        <v>바탕처리철재면기준M2</v>
      </c>
      <c r="E881" s="744" t="s">
        <v>59</v>
      </c>
      <c r="F881" s="727">
        <f>F878*2</f>
        <v>1.1000000000000001</v>
      </c>
      <c r="G881" s="728">
        <f>IF($E:$E="인",0,VLOOKUP($D:$D,[140]일위목록!$A:$H,6,FALSE))</f>
        <v>4891</v>
      </c>
      <c r="H881" s="728">
        <f t="shared" si="136"/>
        <v>5380</v>
      </c>
      <c r="I881" s="728">
        <f>IF($E:$E="인",VLOOKUP($B:$B,[140]노임!$B:$H,6,FALSE),VLOOKUP($D:$D,[140]일위목록!$A:$H,7,FALSE))</f>
        <v>15314</v>
      </c>
      <c r="J881" s="728">
        <f t="shared" si="137"/>
        <v>16845</v>
      </c>
      <c r="K881" s="728">
        <f t="shared" si="138"/>
        <v>22225</v>
      </c>
      <c r="L881" s="724" t="str">
        <f>IF($E:$E="인",VLOOKUP($B:$B,[140]노임!$B:$D,3,FALSE),VLOOKUP($D:$D,[140]일위목록!$A:$H,2,FALSE))</f>
        <v>제41호표</v>
      </c>
      <c r="M881" s="717"/>
    </row>
    <row r="882" spans="1:13" s="718" customFormat="1" ht="21" customHeight="1">
      <c r="A882" s="724"/>
      <c r="B882" s="725" t="s">
        <v>5864</v>
      </c>
      <c r="C882" s="726"/>
      <c r="D882" s="726" t="str">
        <f t="shared" si="135"/>
        <v>특별인부인</v>
      </c>
      <c r="E882" s="724" t="s">
        <v>5862</v>
      </c>
      <c r="F882" s="727">
        <v>0.08</v>
      </c>
      <c r="G882" s="728">
        <f>IF($E:$E="인",0,VLOOKUP($D:$D,[140]일위목록!$A:$H,6,FALSE))</f>
        <v>0</v>
      </c>
      <c r="H882" s="728">
        <f t="shared" si="136"/>
        <v>0</v>
      </c>
      <c r="I882" s="728">
        <f>IF($E:$E="인",VLOOKUP($B:$B,[140]노임!$B:$H,6,FALSE),VLOOKUP($D:$D,[140]일위목록!$A:$H,7,FALSE))</f>
        <v>152019</v>
      </c>
      <c r="J882" s="728">
        <f t="shared" si="137"/>
        <v>12161</v>
      </c>
      <c r="K882" s="728">
        <f t="shared" si="138"/>
        <v>12161</v>
      </c>
      <c r="L882" s="724" t="str">
        <f>IF($E:$E="인",VLOOKUP($B:$B,[140]노임!$B:$D,3,FALSE),VLOOKUP($D:$D,[140]일위목록!$A:$H,2,FALSE))</f>
        <v>건설노임-1003</v>
      </c>
      <c r="M882" s="717"/>
    </row>
    <row r="883" spans="1:13" s="718" customFormat="1" ht="21" customHeight="1">
      <c r="A883" s="724"/>
      <c r="B883" s="725" t="s">
        <v>5877</v>
      </c>
      <c r="C883" s="726"/>
      <c r="D883" s="726" t="str">
        <f t="shared" si="135"/>
        <v>보통인부인</v>
      </c>
      <c r="E883" s="724" t="s">
        <v>5862</v>
      </c>
      <c r="F883" s="727">
        <v>0.04</v>
      </c>
      <c r="G883" s="728">
        <f>IF($E:$E="인",0,VLOOKUP($D:$D,[140]일위목록!$A:$H,6,FALSE))</f>
        <v>0</v>
      </c>
      <c r="H883" s="728">
        <f t="shared" si="136"/>
        <v>0</v>
      </c>
      <c r="I883" s="728">
        <f>IF($E:$E="인",VLOOKUP($B:$B,[140]노임!$B:$H,6,FALSE),VLOOKUP($D:$D,[140]일위목록!$A:$H,7,FALSE))</f>
        <v>125427</v>
      </c>
      <c r="J883" s="728">
        <f t="shared" si="137"/>
        <v>5017</v>
      </c>
      <c r="K883" s="728">
        <f t="shared" si="138"/>
        <v>5017</v>
      </c>
      <c r="L883" s="724" t="str">
        <f>IF($E:$E="인",VLOOKUP($B:$B,[140]노임!$B:$D,3,FALSE),VLOOKUP($D:$D,[140]일위목록!$A:$H,2,FALSE))</f>
        <v>건설노임-1002</v>
      </c>
      <c r="M883" s="717"/>
    </row>
    <row r="884" spans="1:13" s="718" customFormat="1" ht="21" customHeight="1">
      <c r="A884" s="724"/>
      <c r="B884" s="725" t="s">
        <v>5901</v>
      </c>
      <c r="C884" s="726"/>
      <c r="D884" s="726" t="str">
        <f>L:L</f>
        <v>제112호표</v>
      </c>
      <c r="E884" s="724"/>
      <c r="F884" s="727"/>
      <c r="G884" s="728"/>
      <c r="H884" s="728">
        <f>SUM(H878:H883)</f>
        <v>50493</v>
      </c>
      <c r="I884" s="728"/>
      <c r="J884" s="728">
        <f>SUM(J878:J883)</f>
        <v>84131</v>
      </c>
      <c r="K884" s="728">
        <f>SUM(K878:K883)</f>
        <v>134624</v>
      </c>
      <c r="L884" s="724" t="str">
        <f>A876</f>
        <v>제112호표</v>
      </c>
      <c r="M884" s="717"/>
    </row>
    <row r="885" spans="1:13" s="718" customFormat="1" ht="21" customHeight="1">
      <c r="A885" s="724"/>
      <c r="B885" s="725"/>
      <c r="C885" s="726"/>
      <c r="D885" s="726"/>
      <c r="E885" s="724"/>
      <c r="F885" s="727"/>
      <c r="G885" s="728"/>
      <c r="H885" s="728"/>
      <c r="I885" s="728"/>
      <c r="J885" s="728"/>
      <c r="K885" s="728"/>
      <c r="L885" s="724"/>
      <c r="M885" s="717"/>
    </row>
    <row r="886" spans="1:13" s="718" customFormat="1" ht="21" customHeight="1">
      <c r="A886" s="724"/>
      <c r="B886" s="725"/>
      <c r="C886" s="726"/>
      <c r="D886" s="726"/>
      <c r="E886" s="724"/>
      <c r="F886" s="727"/>
      <c r="G886" s="728"/>
      <c r="H886" s="728"/>
      <c r="I886" s="728"/>
      <c r="J886" s="728"/>
      <c r="K886" s="728"/>
      <c r="L886" s="724"/>
      <c r="M886" s="717"/>
    </row>
    <row r="887" spans="1:13" s="718" customFormat="1" ht="21" customHeight="1">
      <c r="A887" s="724" t="str">
        <f>"제"&amp;M887&amp;"호표"</f>
        <v>제113호표</v>
      </c>
      <c r="B887" s="739" t="s">
        <v>6286</v>
      </c>
      <c r="C887" s="726"/>
      <c r="D887" s="726"/>
      <c r="E887" s="790" t="s">
        <v>6198</v>
      </c>
      <c r="F887" s="727"/>
      <c r="G887" s="728"/>
      <c r="H887" s="728"/>
      <c r="I887" s="728"/>
      <c r="J887" s="728"/>
      <c r="K887" s="728"/>
      <c r="L887" s="724"/>
      <c r="M887" s="729">
        <f>M876+1</f>
        <v>113</v>
      </c>
    </row>
    <row r="888" spans="1:13" s="718" customFormat="1" ht="21" customHeight="1">
      <c r="A888" s="724"/>
      <c r="B888" s="725"/>
      <c r="C888" s="726"/>
      <c r="D888" s="726"/>
      <c r="E888" s="724"/>
      <c r="F888" s="727"/>
      <c r="G888" s="728"/>
      <c r="H888" s="728"/>
      <c r="I888" s="728"/>
      <c r="J888" s="728"/>
      <c r="K888" s="728"/>
      <c r="L888" s="724"/>
      <c r="M888" s="717"/>
    </row>
    <row r="889" spans="1:13" s="718" customFormat="1" ht="21" customHeight="1">
      <c r="A889" s="724"/>
      <c r="B889" s="745" t="s">
        <v>6287</v>
      </c>
      <c r="C889" s="745"/>
      <c r="D889" s="726" t="str">
        <f>SUBSTITUTE(CONCATENATE(B:B,C:C,E:E)," ","")</f>
        <v>CASTER&amp;ADJUSTERea</v>
      </c>
      <c r="E889" s="790" t="s">
        <v>6198</v>
      </c>
      <c r="F889" s="727">
        <v>1</v>
      </c>
      <c r="G889" s="728">
        <f>IF($E:$E="인",0,VLOOKUP($D:$D,[140]일위목록!$A:$H,6,FALSE))</f>
        <v>40000</v>
      </c>
      <c r="H889" s="728">
        <f>TRUNC($F:$F*G:G)</f>
        <v>40000</v>
      </c>
      <c r="I889" s="728">
        <f>IF($E:$E="인",VLOOKUP($B:$B,[140]노임!$B:$H,6,FALSE),VLOOKUP($D:$D,[140]일위목록!$A:$H,7,FALSE))</f>
        <v>0</v>
      </c>
      <c r="J889" s="728">
        <f>TRUNC($F:$F*I:I)</f>
        <v>0</v>
      </c>
      <c r="K889" s="728">
        <f t="shared" ref="K889:K892" si="139">H889+J889</f>
        <v>40000</v>
      </c>
      <c r="L889" s="724" t="str">
        <f>IF($E:$E="인",VLOOKUP($B:$B,[140]단가!$B:$E,3,FALSE),VLOOKUP($D:$D,[140]일위목록!$A:$H,2,FALSE))</f>
        <v>단가-103번</v>
      </c>
      <c r="M889" s="717"/>
    </row>
    <row r="890" spans="1:13" s="718" customFormat="1" ht="21" customHeight="1">
      <c r="A890" s="724"/>
      <c r="B890" s="745" t="s">
        <v>6288</v>
      </c>
      <c r="C890" s="745" t="s">
        <v>6229</v>
      </c>
      <c r="D890" s="726" t="str">
        <f>SUBSTITUTE(CONCATENATE(B:B,C:C,E:E)," ","")</f>
        <v>CASTER&amp;ADJUSTER보강T4.5mm레이져가공ea</v>
      </c>
      <c r="E890" s="790" t="s">
        <v>6198</v>
      </c>
      <c r="F890" s="727">
        <v>1</v>
      </c>
      <c r="G890" s="728">
        <f>IF($E:$E="인",0,VLOOKUP($D:$D,[140]일위목록!$A:$H,6,FALSE))</f>
        <v>10000</v>
      </c>
      <c r="H890" s="728">
        <f>TRUNC($F:$F*G:G)</f>
        <v>10000</v>
      </c>
      <c r="I890" s="728">
        <f>IF($E:$E="인",VLOOKUP($B:$B,[140]노임!$B:$H,6,FALSE),VLOOKUP($D:$D,[140]일위목록!$A:$H,7,FALSE))</f>
        <v>0</v>
      </c>
      <c r="J890" s="728">
        <f>TRUNC($F:$F*I:I)</f>
        <v>0</v>
      </c>
      <c r="K890" s="728">
        <f t="shared" si="139"/>
        <v>10000</v>
      </c>
      <c r="L890" s="724" t="str">
        <f>IF($E:$E="인",VLOOKUP($B:$B,[140]단가!$B:$E,3,FALSE),VLOOKUP($D:$D,[140]일위목록!$A:$H,2,FALSE))</f>
        <v>단가-104번</v>
      </c>
      <c r="M890" s="717"/>
    </row>
    <row r="891" spans="1:13" s="718" customFormat="1" ht="21" customHeight="1">
      <c r="A891" s="724"/>
      <c r="B891" s="725" t="s">
        <v>6049</v>
      </c>
      <c r="C891" s="726" t="s">
        <v>5886</v>
      </c>
      <c r="D891" s="726" t="str">
        <f>SUBSTITUTE(CONCATENATE(B:B,C:C,E:E)," ","")</f>
        <v>잡철물설치T1.6GALV.M2</v>
      </c>
      <c r="E891" s="789" t="s">
        <v>5980</v>
      </c>
      <c r="F891" s="727">
        <v>0.03</v>
      </c>
      <c r="G891" s="728">
        <f>IF($E:$E="인",0,VLOOKUP($D:$D,[140]일위목록!$A:$H,6,FALSE))</f>
        <v>39831</v>
      </c>
      <c r="H891" s="728">
        <f>TRUNC($F:$F*G:G)</f>
        <v>1194</v>
      </c>
      <c r="I891" s="728">
        <f>IF($E:$E="인",VLOOKUP($B:$B,[140]노임!$B:$H,6,FALSE),VLOOKUP($D:$D,[140]일위목록!$A:$H,7,FALSE))</f>
        <v>54417</v>
      </c>
      <c r="J891" s="728">
        <f>TRUNC($F:$F*I:I)</f>
        <v>1632</v>
      </c>
      <c r="K891" s="728">
        <f t="shared" si="139"/>
        <v>2826</v>
      </c>
      <c r="L891" s="724" t="str">
        <f>IF($E:$E="인",VLOOKUP($B:$B,[140]노임!$B:$D,3,FALSE),VLOOKUP($D:$D,[140]일위목록!$A:$H,2,FALSE))</f>
        <v>제6호표</v>
      </c>
      <c r="M891" s="717"/>
    </row>
    <row r="892" spans="1:13" s="718" customFormat="1" ht="21" customHeight="1">
      <c r="A892" s="724"/>
      <c r="B892" s="725" t="s">
        <v>6046</v>
      </c>
      <c r="C892" s="726"/>
      <c r="D892" s="726" t="str">
        <f>SUBSTITUTE(CONCATENATE(B:B,C:C,E:E)," ","")</f>
        <v>절단가공,용접제작M</v>
      </c>
      <c r="E892" s="724" t="s">
        <v>5899</v>
      </c>
      <c r="F892" s="727">
        <v>1</v>
      </c>
      <c r="G892" s="728">
        <f>IF($E:$E="인",0,VLOOKUP($D:$D,[140]일위목록!$A:$H,6,FALSE))</f>
        <v>30</v>
      </c>
      <c r="H892" s="728">
        <f>TRUNC($F:$F*G:G)</f>
        <v>30</v>
      </c>
      <c r="I892" s="728">
        <f>IF($E:$E="인",VLOOKUP($B:$B,[140]노임!$B:$H,6,FALSE),VLOOKUP($D:$D,[140]일위목록!$A:$H,7,FALSE))</f>
        <v>2160</v>
      </c>
      <c r="J892" s="728">
        <f>TRUNC($F:$F*I:I)</f>
        <v>2160</v>
      </c>
      <c r="K892" s="728">
        <f t="shared" si="139"/>
        <v>2190</v>
      </c>
      <c r="L892" s="724" t="str">
        <f>IF($E:$E="인",VLOOKUP($B:$B,[140]노임!$B:$D,3,FALSE),VLOOKUP($D:$D,[140]일위목록!$A:$H,2,FALSE))</f>
        <v>제39호표</v>
      </c>
      <c r="M892" s="717"/>
    </row>
    <row r="893" spans="1:13" s="718" customFormat="1" ht="21" customHeight="1">
      <c r="A893" s="724"/>
      <c r="B893" s="725" t="s">
        <v>5901</v>
      </c>
      <c r="C893" s="726"/>
      <c r="D893" s="726" t="str">
        <f>L:L</f>
        <v>제113호표</v>
      </c>
      <c r="E893" s="724"/>
      <c r="F893" s="727"/>
      <c r="G893" s="728"/>
      <c r="H893" s="728">
        <f>SUM(H889:H892)</f>
        <v>51224</v>
      </c>
      <c r="I893" s="728"/>
      <c r="J893" s="728">
        <f>SUM(J889:J892)</f>
        <v>3792</v>
      </c>
      <c r="K893" s="728">
        <f>SUM(K889:K892)</f>
        <v>55016</v>
      </c>
      <c r="L893" s="724" t="str">
        <f>A887</f>
        <v>제113호표</v>
      </c>
      <c r="M893" s="717"/>
    </row>
    <row r="894" spans="1:13" s="718" customFormat="1" ht="21" customHeight="1">
      <c r="A894" s="724"/>
      <c r="B894" s="725"/>
      <c r="C894" s="726"/>
      <c r="D894" s="726"/>
      <c r="E894" s="724"/>
      <c r="F894" s="727"/>
      <c r="G894" s="728"/>
      <c r="H894" s="728"/>
      <c r="I894" s="728"/>
      <c r="J894" s="728"/>
      <c r="K894" s="728"/>
      <c r="L894" s="724"/>
      <c r="M894" s="717"/>
    </row>
    <row r="895" spans="1:13" s="718" customFormat="1" ht="21" customHeight="1">
      <c r="A895" s="724"/>
      <c r="B895" s="746"/>
      <c r="C895" s="746"/>
      <c r="D895" s="726"/>
      <c r="E895" s="746"/>
      <c r="F895" s="741"/>
      <c r="G895" s="728"/>
      <c r="H895" s="728"/>
      <c r="I895" s="728"/>
      <c r="J895" s="728"/>
      <c r="K895" s="728"/>
      <c r="L895" s="724"/>
      <c r="M895" s="717"/>
    </row>
    <row r="896" spans="1:13" s="718" customFormat="1" ht="21" customHeight="1">
      <c r="A896" s="724" t="str">
        <f>"제"&amp;M896&amp;"호표"</f>
        <v>제114호표</v>
      </c>
      <c r="B896" s="739" t="s">
        <v>6289</v>
      </c>
      <c r="C896" s="726" t="s">
        <v>6290</v>
      </c>
      <c r="D896" s="726"/>
      <c r="E896" s="724" t="s">
        <v>5980</v>
      </c>
      <c r="F896" s="727"/>
      <c r="G896" s="728"/>
      <c r="H896" s="728"/>
      <c r="I896" s="728"/>
      <c r="J896" s="728"/>
      <c r="K896" s="728"/>
      <c r="L896" s="724"/>
      <c r="M896" s="729">
        <f>M887+1</f>
        <v>114</v>
      </c>
    </row>
    <row r="897" spans="1:13" s="718" customFormat="1" ht="21" customHeight="1">
      <c r="A897" s="724"/>
      <c r="B897" s="725"/>
      <c r="C897" s="726"/>
      <c r="D897" s="726"/>
      <c r="E897" s="724"/>
      <c r="F897" s="727"/>
      <c r="G897" s="728"/>
      <c r="H897" s="728"/>
      <c r="I897" s="728"/>
      <c r="J897" s="728"/>
      <c r="K897" s="728"/>
      <c r="L897" s="724"/>
      <c r="M897" s="717"/>
    </row>
    <row r="898" spans="1:13" s="718" customFormat="1" ht="21" customHeight="1">
      <c r="A898" s="724"/>
      <c r="B898" s="745" t="s">
        <v>6223</v>
      </c>
      <c r="C898" s="745" t="s">
        <v>6291</v>
      </c>
      <c r="D898" s="726" t="str">
        <f>SUBSTITUTE(CONCATENATE(B:B,C:C,E:E)," ","")</f>
        <v>철판T3.2GALV.M2</v>
      </c>
      <c r="E898" s="724" t="s">
        <v>5980</v>
      </c>
      <c r="F898" s="727">
        <v>1.05</v>
      </c>
      <c r="G898" s="728">
        <f>IF($E:$E="인",0,VLOOKUP($D:$D,[140]일위목록!$A:$H,6,FALSE))</f>
        <v>21030</v>
      </c>
      <c r="H898" s="728">
        <f>TRUNC($F:$F*G:G)</f>
        <v>22081</v>
      </c>
      <c r="I898" s="728">
        <f>IF($E:$E="인",VLOOKUP($B:$B,[140]노임!$B:$H,6,FALSE),VLOOKUP($D:$D,[140]일위목록!$A:$H,7,FALSE))</f>
        <v>0</v>
      </c>
      <c r="J898" s="728">
        <f>TRUNC($F:$F*I:I)</f>
        <v>0</v>
      </c>
      <c r="K898" s="728">
        <f t="shared" ref="K898" si="140">H898+J898</f>
        <v>22081</v>
      </c>
      <c r="L898" s="724" t="str">
        <f>IF($E:$E="인",VLOOKUP($B:$B,[140]단가!$B:$E,3,FALSE),VLOOKUP($D:$D,[140]일위목록!$A:$H,2,FALSE))</f>
        <v>단가-4번</v>
      </c>
      <c r="M898" s="717"/>
    </row>
    <row r="899" spans="1:13" s="718" customFormat="1" ht="21" customHeight="1">
      <c r="A899" s="724"/>
      <c r="B899" s="726" t="s">
        <v>5881</v>
      </c>
      <c r="C899" s="726" t="s">
        <v>5892</v>
      </c>
      <c r="D899" s="726" t="str">
        <f>SUBSTITUTE(CONCATENATE(B:B,C:C,E:E)," ","")</f>
        <v>잡철물설치T3.2ST'LM2</v>
      </c>
      <c r="E899" s="724" t="s">
        <v>5980</v>
      </c>
      <c r="F899" s="727">
        <v>1.05</v>
      </c>
      <c r="G899" s="728">
        <f>IF($E:$E="인",0,VLOOKUP($D:$D,[140]일위목록!$A:$H,6,FALSE))</f>
        <v>67373</v>
      </c>
      <c r="H899" s="728">
        <f>TRUNC($F:$F*G:G)</f>
        <v>70741</v>
      </c>
      <c r="I899" s="728">
        <f>IF($E:$E="인",VLOOKUP($B:$B,[141]노임!$B:$H,6,FALSE),VLOOKUP($D:$D,[141]일위목록!$A:$H,7,FALSE))</f>
        <v>91598</v>
      </c>
      <c r="J899" s="728">
        <f>TRUNC($F:$F*I:I)</f>
        <v>96177</v>
      </c>
      <c r="K899" s="728">
        <f>H899+J899</f>
        <v>166918</v>
      </c>
      <c r="L899" s="724" t="str">
        <f>IF($E:$E="인",VLOOKUP($B:$B,[141]노임!$B:$F,3,FALSE),VLOOKUP($D:$D,[141]일위목록!$A:$H,2,FALSE))</f>
        <v>제9호표</v>
      </c>
      <c r="M899" s="717"/>
    </row>
    <row r="900" spans="1:13" s="718" customFormat="1" ht="21" customHeight="1">
      <c r="A900" s="724"/>
      <c r="B900" s="725" t="s">
        <v>5901</v>
      </c>
      <c r="C900" s="726"/>
      <c r="D900" s="726" t="str">
        <f>L:L</f>
        <v>제114호표</v>
      </c>
      <c r="E900" s="724"/>
      <c r="F900" s="727"/>
      <c r="G900" s="728"/>
      <c r="H900" s="728">
        <f>SUM(H898:H899)</f>
        <v>92822</v>
      </c>
      <c r="I900" s="728"/>
      <c r="J900" s="728">
        <f>SUM(J898:J899)</f>
        <v>96177</v>
      </c>
      <c r="K900" s="728">
        <f>SUM(K898:K899)</f>
        <v>188999</v>
      </c>
      <c r="L900" s="724" t="str">
        <f>A896</f>
        <v>제114호표</v>
      </c>
      <c r="M900" s="717"/>
    </row>
    <row r="901" spans="1:13" s="718" customFormat="1" ht="21" customHeight="1">
      <c r="A901" s="724"/>
      <c r="B901" s="725"/>
      <c r="C901" s="726"/>
      <c r="D901" s="726"/>
      <c r="E901" s="724"/>
      <c r="F901" s="727"/>
      <c r="G901" s="728"/>
      <c r="H901" s="728"/>
      <c r="I901" s="728"/>
      <c r="J901" s="728"/>
      <c r="K901" s="728"/>
      <c r="L901" s="724"/>
      <c r="M901" s="717"/>
    </row>
    <row r="902" spans="1:13" s="718" customFormat="1" ht="21" customHeight="1">
      <c r="A902" s="724"/>
      <c r="B902" s="725"/>
      <c r="C902" s="726"/>
      <c r="D902" s="726"/>
      <c r="E902" s="724"/>
      <c r="F902" s="727"/>
      <c r="G902" s="728"/>
      <c r="H902" s="728"/>
      <c r="I902" s="728"/>
      <c r="J902" s="728"/>
      <c r="K902" s="728"/>
      <c r="L902" s="724"/>
      <c r="M902" s="717"/>
    </row>
    <row r="903" spans="1:13" s="718" customFormat="1" ht="21" customHeight="1">
      <c r="A903" s="724" t="str">
        <f>"제"&amp;M903&amp;"호표"</f>
        <v>제115호표</v>
      </c>
      <c r="B903" s="739" t="s">
        <v>6292</v>
      </c>
      <c r="C903" s="726" t="s">
        <v>6293</v>
      </c>
      <c r="D903" s="726"/>
      <c r="E903" s="724" t="s">
        <v>5980</v>
      </c>
      <c r="F903" s="727"/>
      <c r="G903" s="728"/>
      <c r="H903" s="728"/>
      <c r="I903" s="728"/>
      <c r="J903" s="728"/>
      <c r="K903" s="728"/>
      <c r="L903" s="724"/>
      <c r="M903" s="729">
        <f>M896+1</f>
        <v>115</v>
      </c>
    </row>
    <row r="904" spans="1:13" s="718" customFormat="1" ht="21" customHeight="1">
      <c r="A904" s="724"/>
      <c r="B904" s="725"/>
      <c r="C904" s="726"/>
      <c r="D904" s="726"/>
      <c r="E904" s="724"/>
      <c r="F904" s="727"/>
      <c r="G904" s="728"/>
      <c r="H904" s="728"/>
      <c r="I904" s="728"/>
      <c r="J904" s="728"/>
      <c r="K904" s="728"/>
      <c r="L904" s="724"/>
      <c r="M904" s="717"/>
    </row>
    <row r="905" spans="1:13" s="718" customFormat="1" ht="21" customHeight="1">
      <c r="A905" s="724"/>
      <c r="B905" s="745" t="s">
        <v>6294</v>
      </c>
      <c r="C905" s="745" t="s">
        <v>6295</v>
      </c>
      <c r="D905" s="726" t="str">
        <f>SUBSTITUTE(CONCATENATE(B:B,C:C,E:E)," ","")</f>
        <v>인테리어필름지방염㎡</v>
      </c>
      <c r="E905" s="724" t="s">
        <v>6296</v>
      </c>
      <c r="F905" s="727">
        <v>1.2</v>
      </c>
      <c r="G905" s="728">
        <f>IF($E:$E="인",0,VLOOKUP($D:$D,[140]일위목록!$A:$H,6,FALSE))</f>
        <v>34000</v>
      </c>
      <c r="H905" s="728">
        <f>TRUNC($F:$F*G:G)</f>
        <v>40800</v>
      </c>
      <c r="I905" s="728">
        <f>IF($E:$E="인",VLOOKUP($B:$B,[140]노임!$B:$H,6,FALSE),VLOOKUP($D:$D,[140]일위목록!$A:$H,7,FALSE))</f>
        <v>0</v>
      </c>
      <c r="J905" s="728">
        <f>TRUNC($F:$F*I:I)</f>
        <v>0</v>
      </c>
      <c r="K905" s="728">
        <f t="shared" ref="K905:K908" si="141">H905+J905</f>
        <v>40800</v>
      </c>
      <c r="L905" s="724" t="str">
        <f>IF($E:$E="인",VLOOKUP($B:$B,[140]단가!$B:$E,3,FALSE),VLOOKUP($D:$D,[140]일위목록!$A:$H,2,FALSE))</f>
        <v>단가-67번</v>
      </c>
      <c r="M905" s="717"/>
    </row>
    <row r="906" spans="1:13" s="718" customFormat="1" ht="21" customHeight="1">
      <c r="A906" s="724"/>
      <c r="B906" s="745" t="s">
        <v>6297</v>
      </c>
      <c r="C906" s="745" t="s">
        <v>6298</v>
      </c>
      <c r="D906" s="726" t="str">
        <f>SUBSTITUTE(CONCATENATE(B:B,C:C,E:E)," ","")</f>
        <v>접착제수성프라이머나-2000Kg</v>
      </c>
      <c r="E906" s="724" t="s">
        <v>6018</v>
      </c>
      <c r="F906" s="727">
        <v>3.2099999999999997E-2</v>
      </c>
      <c r="G906" s="728">
        <f>IF($E:$E="인",0,VLOOKUP($D:$D,[140]일위목록!$A:$H,6,FALSE))</f>
        <v>5400</v>
      </c>
      <c r="H906" s="728">
        <f>TRUNC($F:$F*G:G)</f>
        <v>173</v>
      </c>
      <c r="I906" s="728">
        <f>IF($E:$E="인",VLOOKUP($B:$B,[140]노임!$B:$H,6,FALSE),VLOOKUP($D:$D,[140]일위목록!$A:$H,7,FALSE))</f>
        <v>0</v>
      </c>
      <c r="J906" s="728">
        <f>TRUNC($F:$F*I:I)</f>
        <v>0</v>
      </c>
      <c r="K906" s="728">
        <f t="shared" si="141"/>
        <v>173</v>
      </c>
      <c r="L906" s="724" t="str">
        <f>IF($E:$E="인",VLOOKUP($B:$B,[140]단가!$B:$E,3,FALSE),VLOOKUP($D:$D,[140]일위목록!$A:$H,2,FALSE))</f>
        <v>단가-68번</v>
      </c>
      <c r="M906" s="717"/>
    </row>
    <row r="907" spans="1:13" s="718" customFormat="1" ht="21" customHeight="1">
      <c r="A907" s="724"/>
      <c r="B907" s="726" t="s">
        <v>6299</v>
      </c>
      <c r="C907" s="726"/>
      <c r="D907" s="726" t="str">
        <f>SUBSTITUTE(CONCATENATE(B:B,C:C,E:E)," ","")</f>
        <v>내장공인</v>
      </c>
      <c r="E907" s="724" t="s">
        <v>5862</v>
      </c>
      <c r="F907" s="779">
        <v>0.121</v>
      </c>
      <c r="G907" s="728">
        <f>IF($E:$E="인",0,VLOOKUP($D:$D,[140]일위목록!$A:$H,6,FALSE))</f>
        <v>0</v>
      </c>
      <c r="H907" s="728">
        <f t="shared" ref="H907:H908" si="142">TRUNC($F:$F*G:G)</f>
        <v>0</v>
      </c>
      <c r="I907" s="728">
        <f>IF($E:$E="인",VLOOKUP($B:$B,[141]노임!$B:$H,6,FALSE),VLOOKUP($D:$D,[141]일위목록!$A:$H,7,FALSE))</f>
        <v>177322</v>
      </c>
      <c r="J907" s="728">
        <f t="shared" ref="J907:J908" si="143">TRUNC($F:$F*I:I)</f>
        <v>21455</v>
      </c>
      <c r="K907" s="728">
        <f t="shared" si="141"/>
        <v>21455</v>
      </c>
      <c r="L907" s="724" t="str">
        <f>IF($E:$E="인",VLOOKUP($B:$B,[141]노임!$B:$F,3,FALSE),VLOOKUP($D:$D,[141]일위목록!$A:$H,2,FALSE))</f>
        <v>건설노임-1030</v>
      </c>
      <c r="M907" s="717"/>
    </row>
    <row r="908" spans="1:13" s="718" customFormat="1" ht="21" customHeight="1">
      <c r="A908" s="724"/>
      <c r="B908" s="745" t="s">
        <v>5973</v>
      </c>
      <c r="C908" s="745"/>
      <c r="D908" s="726" t="str">
        <f>SUBSTITUTE(CONCATENATE(B:B,C:C,E:E)," ","")</f>
        <v>보통인부인</v>
      </c>
      <c r="E908" s="724" t="s">
        <v>5862</v>
      </c>
      <c r="F908" s="779">
        <v>0.1045</v>
      </c>
      <c r="G908" s="728">
        <f>IF($E:$E="인",0,VLOOKUP($D:$D,[140]일위목록!$A:$H,6,FALSE))</f>
        <v>0</v>
      </c>
      <c r="H908" s="728">
        <f t="shared" si="142"/>
        <v>0</v>
      </c>
      <c r="I908" s="728">
        <f>IF($E:$E="인",VLOOKUP($B:$B,[141]노임!$B:$H,6,FALSE),VLOOKUP($D:$D,[141]일위목록!$A:$H,7,FALSE))</f>
        <v>118130</v>
      </c>
      <c r="J908" s="728">
        <f t="shared" si="143"/>
        <v>12344</v>
      </c>
      <c r="K908" s="728">
        <f t="shared" si="141"/>
        <v>12344</v>
      </c>
      <c r="L908" s="724" t="str">
        <f>IF($E:$E="인",VLOOKUP($B:$B,[141]노임!$B:$F,3,FALSE),VLOOKUP($D:$D,[141]일위목록!$A:$H,2,FALSE))</f>
        <v>건설노임-1002</v>
      </c>
      <c r="M908" s="717"/>
    </row>
    <row r="909" spans="1:13" s="718" customFormat="1" ht="21" customHeight="1">
      <c r="A909" s="724"/>
      <c r="B909" s="725" t="s">
        <v>5901</v>
      </c>
      <c r="C909" s="726"/>
      <c r="D909" s="726" t="str">
        <f>L:L</f>
        <v>제115호표</v>
      </c>
      <c r="E909" s="724"/>
      <c r="F909" s="727"/>
      <c r="G909" s="728"/>
      <c r="H909" s="728">
        <f>SUM(H905:H908)</f>
        <v>40973</v>
      </c>
      <c r="I909" s="728"/>
      <c r="J909" s="728">
        <f>SUM(J905:J908)</f>
        <v>33799</v>
      </c>
      <c r="K909" s="728">
        <f>SUM(K905:K908)</f>
        <v>74772</v>
      </c>
      <c r="L909" s="724" t="str">
        <f>A903</f>
        <v>제115호표</v>
      </c>
      <c r="M909" s="717"/>
    </row>
  </sheetData>
  <sheetProtection selectLockedCells="1"/>
  <mergeCells count="11">
    <mergeCell ref="L3:L4"/>
    <mergeCell ref="A1:L1"/>
    <mergeCell ref="A3:A4"/>
    <mergeCell ref="B3:B4"/>
    <mergeCell ref="C3:C4"/>
    <mergeCell ref="D3:D4"/>
    <mergeCell ref="E3:E4"/>
    <mergeCell ref="F3:F4"/>
    <mergeCell ref="G3:H3"/>
    <mergeCell ref="I3:J3"/>
    <mergeCell ref="K3:K4"/>
  </mergeCells>
  <phoneticPr fontId="1" type="noConversion"/>
  <printOptions horizontalCentered="1"/>
  <pageMargins left="0.59055118110236227" right="0.39370078740157483" top="0.59055118110236227" bottom="0.59055118110236227" header="0.39370078740157483" footer="0.39370078740157483"/>
  <pageSetup paperSize="9" scale="7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O151"/>
  <sheetViews>
    <sheetView view="pageBreakPreview" zoomScale="120" zoomScaleNormal="75" zoomScaleSheetLayoutView="120" workbookViewId="0">
      <pane ySplit="4" topLeftCell="A5" activePane="bottomLeft" state="frozen"/>
      <selection activeCell="B17" sqref="B17"/>
      <selection pane="bottomLeft" activeCell="B1" sqref="B1:M1"/>
    </sheetView>
  </sheetViews>
  <sheetFormatPr defaultColWidth="10" defaultRowHeight="16.5"/>
  <cols>
    <col min="1" max="1" width="47.5" style="799" hidden="1" customWidth="1"/>
    <col min="2" max="2" width="12.5" style="818" customWidth="1"/>
    <col min="3" max="3" width="22.5" style="818" customWidth="1"/>
    <col min="4" max="4" width="32.375" style="818" customWidth="1"/>
    <col min="5" max="5" width="7.75" style="818" customWidth="1"/>
    <col min="6" max="6" width="15.375" style="716" customWidth="1"/>
    <col min="7" max="7" width="14" style="716" customWidth="1"/>
    <col min="8" max="8" width="15.375" style="716" customWidth="1"/>
    <col min="9" max="9" width="14" style="875" customWidth="1"/>
    <col min="10" max="12" width="15.125" style="818" customWidth="1"/>
    <col min="13" max="13" width="9.875" style="818" customWidth="1"/>
    <col min="14" max="14" width="11.375" style="818" customWidth="1"/>
    <col min="15" max="15" width="10" style="819" customWidth="1"/>
    <col min="16" max="16384" width="10" style="716"/>
  </cols>
  <sheetData>
    <row r="1" spans="1:15" s="802" customFormat="1" ht="38.450000000000003" customHeight="1">
      <c r="A1" s="799"/>
      <c r="B1" s="1460" t="s">
        <v>6300</v>
      </c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800"/>
      <c r="O1" s="801"/>
    </row>
    <row r="2" spans="1:15" s="802" customFormat="1" ht="14.25" customHeight="1">
      <c r="A2" s="799"/>
      <c r="B2" s="803"/>
      <c r="C2" s="803"/>
      <c r="D2" s="803"/>
      <c r="E2" s="803"/>
      <c r="F2" s="804"/>
      <c r="G2" s="804"/>
      <c r="H2" s="804"/>
      <c r="I2" s="805"/>
      <c r="J2" s="806"/>
      <c r="K2" s="806"/>
      <c r="L2" s="807" t="s">
        <v>6301</v>
      </c>
      <c r="M2" s="803"/>
      <c r="N2" s="800"/>
      <c r="O2" s="801"/>
    </row>
    <row r="3" spans="1:15" s="808" customFormat="1" ht="24.95" customHeight="1">
      <c r="B3" s="1459" t="s">
        <v>4145</v>
      </c>
      <c r="C3" s="1459" t="s">
        <v>6302</v>
      </c>
      <c r="D3" s="1459" t="s">
        <v>6303</v>
      </c>
      <c r="E3" s="1459" t="s">
        <v>4154</v>
      </c>
      <c r="F3" s="1461" t="s">
        <v>6304</v>
      </c>
      <c r="G3" s="1461"/>
      <c r="H3" s="1461" t="s">
        <v>6305</v>
      </c>
      <c r="I3" s="1461"/>
      <c r="J3" s="1462" t="s">
        <v>6306</v>
      </c>
      <c r="K3" s="1462" t="s">
        <v>6307</v>
      </c>
      <c r="L3" s="1459" t="str">
        <f>"적용단가("&amp;N4*100&amp;"%)"</f>
        <v>적용단가(100%)</v>
      </c>
      <c r="M3" s="1459" t="s">
        <v>4678</v>
      </c>
      <c r="N3" s="809"/>
      <c r="O3" s="810"/>
    </row>
    <row r="4" spans="1:15" s="808" customFormat="1" ht="24.95" customHeight="1">
      <c r="B4" s="1459"/>
      <c r="C4" s="1459"/>
      <c r="D4" s="1459"/>
      <c r="E4" s="1459"/>
      <c r="F4" s="811" t="s">
        <v>6308</v>
      </c>
      <c r="G4" s="811" t="s">
        <v>2562</v>
      </c>
      <c r="H4" s="811" t="s">
        <v>6308</v>
      </c>
      <c r="I4" s="811" t="s">
        <v>2562</v>
      </c>
      <c r="J4" s="1463"/>
      <c r="K4" s="1463"/>
      <c r="L4" s="1459"/>
      <c r="M4" s="1459"/>
      <c r="N4" s="812">
        <v>1</v>
      </c>
      <c r="O4" s="810"/>
    </row>
    <row r="5" spans="1:15" ht="24.6" customHeight="1">
      <c r="A5" s="813" t="str">
        <f t="shared" ref="A5:A43" si="0">SUBSTITUTE(CONCATENATE(C5,D5,E5)," ","")</f>
        <v>L-형강50*50*4TKg</v>
      </c>
      <c r="B5" s="814" t="str">
        <f>"단가-"&amp;N5&amp;"번"</f>
        <v>단가-1번</v>
      </c>
      <c r="C5" s="733" t="s">
        <v>6309</v>
      </c>
      <c r="D5" s="733" t="s">
        <v>6310</v>
      </c>
      <c r="E5" s="814" t="s">
        <v>2353</v>
      </c>
      <c r="F5" s="733">
        <v>2509</v>
      </c>
      <c r="G5" s="815">
        <v>45</v>
      </c>
      <c r="H5" s="733">
        <v>875</v>
      </c>
      <c r="I5" s="815" t="s">
        <v>6311</v>
      </c>
      <c r="J5" s="816"/>
      <c r="K5" s="816"/>
      <c r="L5" s="816">
        <f>IF(M5="",TRUNC(MIN(F5,H5,J5,K5),0),INT(TRUNC(MIN(F5,H5,J5,K5),0)*M5))*$N$4</f>
        <v>875</v>
      </c>
      <c r="M5" s="817"/>
      <c r="N5" s="818">
        <v>1</v>
      </c>
    </row>
    <row r="6" spans="1:15" ht="24.6" customHeight="1">
      <c r="A6" s="813" t="str">
        <f t="shared" si="0"/>
        <v>철판T1.2GALV.M2</v>
      </c>
      <c r="B6" s="814" t="str">
        <f t="shared" ref="B6:B88" si="1">"단가-"&amp;N6&amp;"번"</f>
        <v>단가-2번</v>
      </c>
      <c r="C6" s="733" t="s">
        <v>6044</v>
      </c>
      <c r="D6" s="733" t="s">
        <v>6312</v>
      </c>
      <c r="E6" s="796" t="s">
        <v>59</v>
      </c>
      <c r="F6" s="733">
        <v>9377</v>
      </c>
      <c r="G6" s="815">
        <v>54</v>
      </c>
      <c r="H6" s="733">
        <v>9232</v>
      </c>
      <c r="I6" s="815" t="s">
        <v>6313</v>
      </c>
      <c r="J6" s="816"/>
      <c r="K6" s="816"/>
      <c r="L6" s="816">
        <f t="shared" ref="L6:L69" si="2">IF(M6="",TRUNC(MIN(F6,H6,J6,K6),0),INT(TRUNC(MIN(F6,H6,J6,K6),0)*M6))*$N$4</f>
        <v>9232</v>
      </c>
      <c r="M6" s="820"/>
      <c r="N6" s="818">
        <f>N5+1</f>
        <v>2</v>
      </c>
    </row>
    <row r="7" spans="1:15" ht="24.6" customHeight="1">
      <c r="A7" s="813" t="str">
        <f t="shared" si="0"/>
        <v>철판T1.6GALV.M2</v>
      </c>
      <c r="B7" s="814" t="str">
        <f t="shared" si="1"/>
        <v>단가-3번</v>
      </c>
      <c r="C7" s="733" t="s">
        <v>6314</v>
      </c>
      <c r="D7" s="733" t="s">
        <v>6315</v>
      </c>
      <c r="E7" s="796" t="s">
        <v>5024</v>
      </c>
      <c r="F7" s="733">
        <v>12232</v>
      </c>
      <c r="G7" s="815">
        <v>54</v>
      </c>
      <c r="H7" s="733">
        <v>12299</v>
      </c>
      <c r="I7" s="815" t="s">
        <v>6313</v>
      </c>
      <c r="J7" s="816"/>
      <c r="K7" s="816"/>
      <c r="L7" s="816">
        <f t="shared" si="2"/>
        <v>12232</v>
      </c>
      <c r="M7" s="820"/>
      <c r="N7" s="818">
        <f t="shared" ref="N7:N70" si="3">N6+1</f>
        <v>3</v>
      </c>
    </row>
    <row r="8" spans="1:15" ht="24.6" customHeight="1">
      <c r="A8" s="813" t="str">
        <f t="shared" si="0"/>
        <v>철판T3.2GALV.M2</v>
      </c>
      <c r="B8" s="814" t="str">
        <f>"단가-"&amp;N8&amp;"번"</f>
        <v>단가-4번</v>
      </c>
      <c r="C8" s="733" t="s">
        <v>6223</v>
      </c>
      <c r="D8" s="733" t="s">
        <v>6291</v>
      </c>
      <c r="E8" s="796" t="s">
        <v>5980</v>
      </c>
      <c r="F8" s="733">
        <v>21030</v>
      </c>
      <c r="G8" s="815">
        <v>54</v>
      </c>
      <c r="H8" s="733">
        <v>23095</v>
      </c>
      <c r="I8" s="815" t="s">
        <v>6316</v>
      </c>
      <c r="J8" s="816"/>
      <c r="K8" s="816"/>
      <c r="L8" s="816">
        <f t="shared" si="2"/>
        <v>21030</v>
      </c>
      <c r="M8" s="820"/>
      <c r="N8" s="818">
        <f t="shared" si="3"/>
        <v>4</v>
      </c>
    </row>
    <row r="9" spans="1:15" ht="24.6" customHeight="1">
      <c r="A9" s="813" t="str">
        <f t="shared" si="0"/>
        <v>각파이프30*30*1.4TKg</v>
      </c>
      <c r="B9" s="814" t="str">
        <f t="shared" si="1"/>
        <v>단가-5번</v>
      </c>
      <c r="C9" s="733" t="s">
        <v>6033</v>
      </c>
      <c r="D9" s="733" t="s">
        <v>6317</v>
      </c>
      <c r="E9" s="814" t="s">
        <v>2353</v>
      </c>
      <c r="F9" s="733"/>
      <c r="G9" s="815">
        <v>64</v>
      </c>
      <c r="H9" s="733">
        <v>1018</v>
      </c>
      <c r="I9" s="815" t="s">
        <v>6318</v>
      </c>
      <c r="J9" s="816"/>
      <c r="K9" s="816"/>
      <c r="L9" s="816">
        <f t="shared" si="2"/>
        <v>1018</v>
      </c>
      <c r="M9" s="820"/>
      <c r="N9" s="818">
        <f t="shared" si="3"/>
        <v>5</v>
      </c>
    </row>
    <row r="10" spans="1:15" ht="24.6" customHeight="1">
      <c r="A10" s="813" t="str">
        <f t="shared" si="0"/>
        <v>각파이프40*20*2.3TKg</v>
      </c>
      <c r="B10" s="814" t="str">
        <f t="shared" si="1"/>
        <v>단가-6번</v>
      </c>
      <c r="C10" s="733" t="s">
        <v>6033</v>
      </c>
      <c r="D10" s="733" t="s">
        <v>6319</v>
      </c>
      <c r="E10" s="814" t="s">
        <v>2353</v>
      </c>
      <c r="F10" s="733">
        <v>857</v>
      </c>
      <c r="G10" s="815">
        <v>64</v>
      </c>
      <c r="H10" s="733">
        <v>966</v>
      </c>
      <c r="I10" s="815" t="s">
        <v>6318</v>
      </c>
      <c r="J10" s="816"/>
      <c r="K10" s="816"/>
      <c r="L10" s="816">
        <f t="shared" si="2"/>
        <v>857</v>
      </c>
      <c r="M10" s="820"/>
      <c r="N10" s="818">
        <f t="shared" si="3"/>
        <v>6</v>
      </c>
    </row>
    <row r="11" spans="1:15" ht="24.6" customHeight="1">
      <c r="A11" s="813" t="str">
        <f t="shared" si="0"/>
        <v>각파이프40*40*1.4TKg</v>
      </c>
      <c r="B11" s="814" t="str">
        <f t="shared" si="1"/>
        <v>단가-7번</v>
      </c>
      <c r="C11" s="733" t="s">
        <v>6320</v>
      </c>
      <c r="D11" s="733" t="s">
        <v>6032</v>
      </c>
      <c r="E11" s="814" t="s">
        <v>2353</v>
      </c>
      <c r="F11" s="733"/>
      <c r="G11" s="815">
        <v>64</v>
      </c>
      <c r="H11" s="733">
        <v>1009</v>
      </c>
      <c r="I11" s="815" t="s">
        <v>6318</v>
      </c>
      <c r="J11" s="816"/>
      <c r="K11" s="816"/>
      <c r="L11" s="816">
        <f t="shared" si="2"/>
        <v>1009</v>
      </c>
      <c r="M11" s="820"/>
      <c r="N11" s="818">
        <f t="shared" si="3"/>
        <v>7</v>
      </c>
    </row>
    <row r="12" spans="1:15" ht="24.6" customHeight="1">
      <c r="A12" s="813" t="str">
        <f t="shared" si="0"/>
        <v>각파이프50*50*1.4TKg</v>
      </c>
      <c r="B12" s="814" t="str">
        <f t="shared" si="1"/>
        <v>단가-8번</v>
      </c>
      <c r="C12" s="733" t="s">
        <v>6033</v>
      </c>
      <c r="D12" s="733" t="s">
        <v>6036</v>
      </c>
      <c r="E12" s="814" t="s">
        <v>2353</v>
      </c>
      <c r="F12" s="733"/>
      <c r="G12" s="815">
        <v>64</v>
      </c>
      <c r="H12" s="733">
        <v>1007</v>
      </c>
      <c r="I12" s="815" t="s">
        <v>6318</v>
      </c>
      <c r="J12" s="816"/>
      <c r="K12" s="816"/>
      <c r="L12" s="816">
        <f t="shared" si="2"/>
        <v>1007</v>
      </c>
      <c r="M12" s="820"/>
      <c r="N12" s="818">
        <f t="shared" si="3"/>
        <v>8</v>
      </c>
    </row>
    <row r="13" spans="1:15" s="824" customFormat="1" ht="24" customHeight="1">
      <c r="A13" s="813" t="str">
        <f t="shared" si="0"/>
        <v>각파이프100*50*2.3TKg</v>
      </c>
      <c r="B13" s="814" t="str">
        <f t="shared" si="1"/>
        <v>단가-9번</v>
      </c>
      <c r="C13" s="733" t="s">
        <v>6033</v>
      </c>
      <c r="D13" s="733" t="s">
        <v>6037</v>
      </c>
      <c r="E13" s="814" t="s">
        <v>2353</v>
      </c>
      <c r="F13" s="733">
        <v>871</v>
      </c>
      <c r="G13" s="815">
        <v>64</v>
      </c>
      <c r="H13" s="733">
        <v>956</v>
      </c>
      <c r="I13" s="815" t="s">
        <v>6318</v>
      </c>
      <c r="J13" s="821"/>
      <c r="K13" s="821"/>
      <c r="L13" s="816">
        <f t="shared" si="2"/>
        <v>871</v>
      </c>
      <c r="M13" s="822"/>
      <c r="N13" s="818">
        <f t="shared" si="3"/>
        <v>9</v>
      </c>
      <c r="O13" s="823"/>
    </row>
    <row r="14" spans="1:15" s="824" customFormat="1" ht="24" customHeight="1">
      <c r="A14" s="813" t="str">
        <f t="shared" si="0"/>
        <v>일반용철못N25Kg</v>
      </c>
      <c r="B14" s="814" t="str">
        <f t="shared" si="1"/>
        <v>단가-10번</v>
      </c>
      <c r="C14" s="825" t="s">
        <v>6321</v>
      </c>
      <c r="D14" s="826" t="s">
        <v>6322</v>
      </c>
      <c r="E14" s="814" t="s">
        <v>2353</v>
      </c>
      <c r="F14" s="815">
        <v>1585</v>
      </c>
      <c r="G14" s="815">
        <v>67</v>
      </c>
      <c r="H14" s="815">
        <v>1540</v>
      </c>
      <c r="I14" s="815" t="s">
        <v>6323</v>
      </c>
      <c r="J14" s="821"/>
      <c r="K14" s="821"/>
      <c r="L14" s="816">
        <f t="shared" si="2"/>
        <v>1540</v>
      </c>
      <c r="M14" s="822"/>
      <c r="N14" s="818">
        <f t="shared" si="3"/>
        <v>10</v>
      </c>
      <c r="O14" s="823"/>
    </row>
    <row r="15" spans="1:15" s="824" customFormat="1" ht="24" customHeight="1">
      <c r="A15" s="813" t="str">
        <f t="shared" si="0"/>
        <v>일반용철못N50Kg</v>
      </c>
      <c r="B15" s="814" t="str">
        <f t="shared" si="1"/>
        <v>단가-11번</v>
      </c>
      <c r="C15" s="825" t="s">
        <v>6016</v>
      </c>
      <c r="D15" s="826" t="s">
        <v>6324</v>
      </c>
      <c r="E15" s="814" t="s">
        <v>2353</v>
      </c>
      <c r="F15" s="815">
        <v>1477</v>
      </c>
      <c r="G15" s="815">
        <v>67</v>
      </c>
      <c r="H15" s="815">
        <v>1385</v>
      </c>
      <c r="I15" s="815" t="s">
        <v>6323</v>
      </c>
      <c r="J15" s="821"/>
      <c r="K15" s="821"/>
      <c r="L15" s="816">
        <f t="shared" si="2"/>
        <v>1385</v>
      </c>
      <c r="M15" s="822"/>
      <c r="N15" s="818">
        <f t="shared" si="3"/>
        <v>11</v>
      </c>
      <c r="O15" s="823"/>
    </row>
    <row r="16" spans="1:15" s="827" customFormat="1" ht="24.6" customHeight="1">
      <c r="A16" s="813" t="str">
        <f t="shared" si="0"/>
        <v>일반용철못N75Kg</v>
      </c>
      <c r="B16" s="814" t="str">
        <f t="shared" si="1"/>
        <v>단가-12번</v>
      </c>
      <c r="C16" s="825" t="s">
        <v>6016</v>
      </c>
      <c r="D16" s="826" t="s">
        <v>6325</v>
      </c>
      <c r="E16" s="814" t="s">
        <v>6018</v>
      </c>
      <c r="F16" s="815">
        <v>1437</v>
      </c>
      <c r="G16" s="815">
        <v>67</v>
      </c>
      <c r="H16" s="815">
        <v>1375</v>
      </c>
      <c r="I16" s="815" t="s">
        <v>6323</v>
      </c>
      <c r="J16" s="816"/>
      <c r="K16" s="816"/>
      <c r="L16" s="816">
        <f t="shared" si="2"/>
        <v>1375</v>
      </c>
      <c r="M16" s="820"/>
      <c r="N16" s="818">
        <f t="shared" si="3"/>
        <v>12</v>
      </c>
      <c r="O16" s="819"/>
    </row>
    <row r="17" spans="1:15" s="827" customFormat="1" ht="24.6" customHeight="1">
      <c r="A17" s="813" t="str">
        <f t="shared" si="0"/>
        <v>전산볼트M8M</v>
      </c>
      <c r="B17" s="814" t="str">
        <f t="shared" si="1"/>
        <v>단가-13번</v>
      </c>
      <c r="C17" s="733" t="s">
        <v>6326</v>
      </c>
      <c r="D17" s="733" t="s">
        <v>6327</v>
      </c>
      <c r="E17" s="796" t="s">
        <v>204</v>
      </c>
      <c r="F17" s="733">
        <v>722</v>
      </c>
      <c r="G17" s="815">
        <v>86</v>
      </c>
      <c r="H17" s="733">
        <v>584</v>
      </c>
      <c r="I17" s="815" t="s">
        <v>6328</v>
      </c>
      <c r="J17" s="816"/>
      <c r="K17" s="816"/>
      <c r="L17" s="816">
        <f t="shared" si="2"/>
        <v>584</v>
      </c>
      <c r="M17" s="820"/>
      <c r="N17" s="818">
        <f t="shared" si="3"/>
        <v>13</v>
      </c>
      <c r="O17" s="819"/>
    </row>
    <row r="18" spans="1:15" s="827" customFormat="1" ht="24.6" customHeight="1">
      <c r="A18" s="813" t="str">
        <f t="shared" si="0"/>
        <v>스트롱앙카Ø6mmEA</v>
      </c>
      <c r="B18" s="814" t="str">
        <f t="shared" si="1"/>
        <v>단가-14번</v>
      </c>
      <c r="C18" s="733" t="s">
        <v>6329</v>
      </c>
      <c r="D18" s="733" t="s">
        <v>6330</v>
      </c>
      <c r="E18" s="796" t="s">
        <v>321</v>
      </c>
      <c r="F18" s="733">
        <v>130</v>
      </c>
      <c r="G18" s="815">
        <v>92</v>
      </c>
      <c r="H18" s="733">
        <v>131</v>
      </c>
      <c r="I18" s="815" t="s">
        <v>6331</v>
      </c>
      <c r="J18" s="816"/>
      <c r="K18" s="816"/>
      <c r="L18" s="816">
        <f t="shared" si="2"/>
        <v>130</v>
      </c>
      <c r="M18" s="820"/>
      <c r="N18" s="818">
        <f t="shared" si="3"/>
        <v>14</v>
      </c>
      <c r="O18" s="819"/>
    </row>
    <row r="19" spans="1:15" ht="24.6" customHeight="1">
      <c r="A19" s="813" t="str">
        <f t="shared" si="0"/>
        <v>스테인리스작은나사M3*8mmEA</v>
      </c>
      <c r="B19" s="814" t="str">
        <f t="shared" si="1"/>
        <v>단가-15번</v>
      </c>
      <c r="C19" s="733" t="s">
        <v>6077</v>
      </c>
      <c r="D19" s="733" t="s">
        <v>6332</v>
      </c>
      <c r="E19" s="796" t="s">
        <v>321</v>
      </c>
      <c r="F19" s="815">
        <v>13</v>
      </c>
      <c r="G19" s="815">
        <v>95</v>
      </c>
      <c r="H19" s="815">
        <v>12</v>
      </c>
      <c r="I19" s="815" t="s">
        <v>6333</v>
      </c>
      <c r="J19" s="816"/>
      <c r="K19" s="816"/>
      <c r="L19" s="816">
        <f t="shared" si="2"/>
        <v>12</v>
      </c>
      <c r="M19" s="828"/>
      <c r="N19" s="818">
        <f t="shared" si="3"/>
        <v>15</v>
      </c>
    </row>
    <row r="20" spans="1:15" s="827" customFormat="1" ht="24.6" customHeight="1">
      <c r="A20" s="813" t="str">
        <f t="shared" si="0"/>
        <v>집성스크류#825mmEA</v>
      </c>
      <c r="B20" s="814" t="str">
        <f t="shared" si="1"/>
        <v>단가-16번</v>
      </c>
      <c r="C20" s="733" t="s">
        <v>6136</v>
      </c>
      <c r="D20" s="733" t="s">
        <v>6137</v>
      </c>
      <c r="E20" s="796" t="s">
        <v>6118</v>
      </c>
      <c r="F20" s="815">
        <v>12</v>
      </c>
      <c r="G20" s="815">
        <v>95</v>
      </c>
      <c r="H20" s="815">
        <v>12</v>
      </c>
      <c r="I20" s="829" t="s">
        <v>6333</v>
      </c>
      <c r="J20" s="816"/>
      <c r="K20" s="816"/>
      <c r="L20" s="816">
        <f t="shared" si="2"/>
        <v>12</v>
      </c>
      <c r="M20" s="817"/>
      <c r="N20" s="818">
        <f t="shared" si="3"/>
        <v>16</v>
      </c>
      <c r="O20" s="819"/>
    </row>
    <row r="21" spans="1:15" s="827" customFormat="1" ht="24.6" customHeight="1">
      <c r="A21" s="813" t="str">
        <f t="shared" si="0"/>
        <v>코레실SL907프리미엄L</v>
      </c>
      <c r="B21" s="814" t="str">
        <f t="shared" si="1"/>
        <v>단가-17번</v>
      </c>
      <c r="C21" s="733" t="s">
        <v>6027</v>
      </c>
      <c r="D21" s="733" t="s">
        <v>6028</v>
      </c>
      <c r="E21" s="796" t="s">
        <v>1230</v>
      </c>
      <c r="F21" s="733">
        <v>12666</v>
      </c>
      <c r="G21" s="815">
        <v>526</v>
      </c>
      <c r="H21" s="733">
        <v>10000</v>
      </c>
      <c r="I21" s="815" t="s">
        <v>6334</v>
      </c>
      <c r="J21" s="816"/>
      <c r="K21" s="816"/>
      <c r="L21" s="816">
        <f t="shared" si="2"/>
        <v>10000</v>
      </c>
      <c r="M21" s="817"/>
      <c r="N21" s="818">
        <f t="shared" si="3"/>
        <v>17</v>
      </c>
      <c r="O21" s="819"/>
    </row>
    <row r="22" spans="1:15" s="827" customFormat="1" ht="24.6" customHeight="1">
      <c r="A22" s="813" t="str">
        <f t="shared" si="0"/>
        <v>광명단조합폐인트KSM6030-2L</v>
      </c>
      <c r="B22" s="814" t="str">
        <f t="shared" si="1"/>
        <v>단가-18번</v>
      </c>
      <c r="C22" s="733" t="s">
        <v>6004</v>
      </c>
      <c r="D22" s="733" t="s">
        <v>6005</v>
      </c>
      <c r="E22" s="796" t="s">
        <v>1230</v>
      </c>
      <c r="F22" s="815">
        <v>8983</v>
      </c>
      <c r="G22" s="815">
        <v>631</v>
      </c>
      <c r="H22" s="815">
        <v>11350</v>
      </c>
      <c r="I22" s="829" t="s">
        <v>6335</v>
      </c>
      <c r="J22" s="816"/>
      <c r="K22" s="816"/>
      <c r="L22" s="816">
        <f t="shared" si="2"/>
        <v>8983</v>
      </c>
      <c r="M22" s="817"/>
      <c r="N22" s="818">
        <f t="shared" si="3"/>
        <v>18</v>
      </c>
      <c r="O22" s="819"/>
    </row>
    <row r="23" spans="1:15" s="827" customFormat="1" ht="24.6" customHeight="1">
      <c r="A23" s="813" t="str">
        <f t="shared" si="0"/>
        <v>비닐페인트WB290L</v>
      </c>
      <c r="B23" s="814" t="str">
        <f t="shared" si="1"/>
        <v>단가-19번</v>
      </c>
      <c r="C23" s="733" t="s">
        <v>6336</v>
      </c>
      <c r="D23" s="733" t="s">
        <v>6337</v>
      </c>
      <c r="E23" s="796" t="s">
        <v>1230</v>
      </c>
      <c r="F23" s="830">
        <v>5705</v>
      </c>
      <c r="G23" s="831">
        <v>628</v>
      </c>
      <c r="H23" s="815">
        <v>5725</v>
      </c>
      <c r="I23" s="815" t="s">
        <v>6338</v>
      </c>
      <c r="J23" s="816"/>
      <c r="K23" s="816"/>
      <c r="L23" s="816">
        <f t="shared" si="2"/>
        <v>5705</v>
      </c>
      <c r="M23" s="817"/>
      <c r="N23" s="818">
        <f t="shared" si="3"/>
        <v>19</v>
      </c>
      <c r="O23" s="819"/>
    </row>
    <row r="24" spans="1:15" s="827" customFormat="1" ht="24.6" customHeight="1">
      <c r="A24" s="813" t="str">
        <f t="shared" si="0"/>
        <v>신너KSM-6060,1종L</v>
      </c>
      <c r="B24" s="814" t="str">
        <f t="shared" si="1"/>
        <v>단가-20번</v>
      </c>
      <c r="C24" s="733" t="s">
        <v>6006</v>
      </c>
      <c r="D24" s="733" t="s">
        <v>6339</v>
      </c>
      <c r="E24" s="796" t="s">
        <v>1230</v>
      </c>
      <c r="F24" s="733">
        <v>2711</v>
      </c>
      <c r="G24" s="815">
        <v>632</v>
      </c>
      <c r="H24" s="733">
        <v>3194</v>
      </c>
      <c r="I24" s="815" t="s">
        <v>6340</v>
      </c>
      <c r="J24" s="816"/>
      <c r="K24" s="816"/>
      <c r="L24" s="816">
        <f t="shared" si="2"/>
        <v>2711</v>
      </c>
      <c r="M24" s="817"/>
      <c r="N24" s="818">
        <f t="shared" si="3"/>
        <v>20</v>
      </c>
      <c r="O24" s="819"/>
    </row>
    <row r="25" spans="1:15" s="827" customFormat="1" ht="24.6" customHeight="1">
      <c r="A25" s="813" t="str">
        <f t="shared" si="0"/>
        <v>신너KSM-6060,2종L</v>
      </c>
      <c r="B25" s="814" t="str">
        <f t="shared" si="1"/>
        <v>단가-21번</v>
      </c>
      <c r="C25" s="733" t="s">
        <v>6006</v>
      </c>
      <c r="D25" s="733" t="s">
        <v>6007</v>
      </c>
      <c r="E25" s="796" t="s">
        <v>6167</v>
      </c>
      <c r="F25" s="733">
        <v>2711</v>
      </c>
      <c r="G25" s="815">
        <v>632</v>
      </c>
      <c r="H25" s="733">
        <v>3338</v>
      </c>
      <c r="I25" s="815" t="s">
        <v>6340</v>
      </c>
      <c r="J25" s="816"/>
      <c r="K25" s="816"/>
      <c r="L25" s="816">
        <f t="shared" si="2"/>
        <v>2711</v>
      </c>
      <c r="M25" s="817"/>
      <c r="N25" s="818">
        <f t="shared" si="3"/>
        <v>21</v>
      </c>
      <c r="O25" s="819"/>
    </row>
    <row r="26" spans="1:15" s="827" customFormat="1" ht="24.6" customHeight="1">
      <c r="A26" s="813" t="str">
        <f t="shared" si="0"/>
        <v>신너KSM6060-3L</v>
      </c>
      <c r="B26" s="814" t="str">
        <f t="shared" si="1"/>
        <v>단가-22번</v>
      </c>
      <c r="C26" s="733" t="s">
        <v>6006</v>
      </c>
      <c r="D26" s="733" t="s">
        <v>6341</v>
      </c>
      <c r="E26" s="796" t="s">
        <v>6167</v>
      </c>
      <c r="F26" s="815">
        <v>2577</v>
      </c>
      <c r="G26" s="815">
        <v>632</v>
      </c>
      <c r="H26" s="815">
        <v>3022</v>
      </c>
      <c r="I26" s="829" t="s">
        <v>6340</v>
      </c>
      <c r="J26" s="816"/>
      <c r="K26" s="816"/>
      <c r="L26" s="816">
        <f t="shared" si="2"/>
        <v>2577</v>
      </c>
      <c r="M26" s="817"/>
      <c r="N26" s="818">
        <f t="shared" si="3"/>
        <v>22</v>
      </c>
      <c r="O26" s="819"/>
    </row>
    <row r="27" spans="1:15" s="827" customFormat="1" ht="24.6" customHeight="1">
      <c r="A27" s="813" t="str">
        <f t="shared" si="0"/>
        <v>칼라락카CL440L</v>
      </c>
      <c r="B27" s="814" t="str">
        <f t="shared" si="1"/>
        <v>단가-23번</v>
      </c>
      <c r="C27" s="733" t="s">
        <v>6342</v>
      </c>
      <c r="D27" s="733" t="s">
        <v>6343</v>
      </c>
      <c r="E27" s="796" t="s">
        <v>6167</v>
      </c>
      <c r="F27" s="815">
        <v>6467</v>
      </c>
      <c r="G27" s="815">
        <v>632</v>
      </c>
      <c r="H27" s="815">
        <v>7116</v>
      </c>
      <c r="I27" s="815" t="s">
        <v>6344</v>
      </c>
      <c r="J27" s="816"/>
      <c r="K27" s="816"/>
      <c r="L27" s="816">
        <f t="shared" si="2"/>
        <v>6467</v>
      </c>
      <c r="M27" s="817"/>
      <c r="N27" s="818">
        <f t="shared" si="3"/>
        <v>23</v>
      </c>
      <c r="O27" s="819"/>
    </row>
    <row r="28" spans="1:15" s="827" customFormat="1" ht="24.6" customHeight="1">
      <c r="A28" s="813" t="str">
        <f t="shared" si="0"/>
        <v>우레탄신너037UL</v>
      </c>
      <c r="B28" s="814" t="str">
        <f t="shared" si="1"/>
        <v>단가-24번</v>
      </c>
      <c r="C28" s="733" t="s">
        <v>5988</v>
      </c>
      <c r="D28" s="733" t="s">
        <v>5989</v>
      </c>
      <c r="E28" s="796" t="s">
        <v>1230</v>
      </c>
      <c r="F28" s="733">
        <v>5000</v>
      </c>
      <c r="G28" s="815">
        <v>632</v>
      </c>
      <c r="H28" s="733">
        <v>5000</v>
      </c>
      <c r="I28" s="815" t="s">
        <v>6340</v>
      </c>
      <c r="J28" s="816"/>
      <c r="K28" s="816"/>
      <c r="L28" s="816">
        <f t="shared" si="2"/>
        <v>5000</v>
      </c>
      <c r="M28" s="817"/>
      <c r="N28" s="818">
        <f t="shared" si="3"/>
        <v>24</v>
      </c>
      <c r="O28" s="819"/>
    </row>
    <row r="29" spans="1:15" s="827" customFormat="1" ht="24.6" customHeight="1">
      <c r="A29" s="813" t="str">
        <f t="shared" si="0"/>
        <v>락카사페사(락카)DNL-4150L</v>
      </c>
      <c r="B29" s="814" t="str">
        <f t="shared" si="1"/>
        <v>단가-25번</v>
      </c>
      <c r="C29" s="733" t="s">
        <v>6345</v>
      </c>
      <c r="D29" s="733" t="s">
        <v>6346</v>
      </c>
      <c r="E29" s="796" t="s">
        <v>1230</v>
      </c>
      <c r="F29" s="815">
        <v>5931</v>
      </c>
      <c r="G29" s="815">
        <v>632</v>
      </c>
      <c r="H29" s="815">
        <v>6261</v>
      </c>
      <c r="I29" s="815" t="s">
        <v>6340</v>
      </c>
      <c r="J29" s="816"/>
      <c r="K29" s="816"/>
      <c r="L29" s="816">
        <f t="shared" si="2"/>
        <v>5931</v>
      </c>
      <c r="M29" s="817"/>
      <c r="N29" s="818">
        <f t="shared" si="3"/>
        <v>25</v>
      </c>
      <c r="O29" s="819"/>
    </row>
    <row r="30" spans="1:15" s="827" customFormat="1" ht="24.6" customHeight="1">
      <c r="A30" s="813" t="str">
        <f t="shared" si="0"/>
        <v>포리퍼티YGL017KG</v>
      </c>
      <c r="B30" s="814" t="str">
        <f t="shared" si="1"/>
        <v>단가-26번</v>
      </c>
      <c r="C30" s="733" t="s">
        <v>6347</v>
      </c>
      <c r="D30" s="733" t="s">
        <v>5994</v>
      </c>
      <c r="E30" s="796" t="s">
        <v>6348</v>
      </c>
      <c r="F30" s="815">
        <v>6750</v>
      </c>
      <c r="G30" s="815">
        <v>636</v>
      </c>
      <c r="H30" s="815">
        <v>6750</v>
      </c>
      <c r="I30" s="815" t="s">
        <v>6340</v>
      </c>
      <c r="J30" s="816"/>
      <c r="K30" s="816"/>
      <c r="L30" s="816">
        <f t="shared" si="2"/>
        <v>6750</v>
      </c>
      <c r="M30" s="817"/>
      <c r="N30" s="818">
        <f t="shared" si="3"/>
        <v>26</v>
      </c>
      <c r="O30" s="819"/>
    </row>
    <row r="31" spans="1:15" ht="24.6" customHeight="1">
      <c r="A31" s="813" t="str">
        <f t="shared" si="0"/>
        <v>워시프라이머ZQL011L</v>
      </c>
      <c r="B31" s="814" t="str">
        <f t="shared" si="1"/>
        <v>단가-27번</v>
      </c>
      <c r="C31" s="725" t="s">
        <v>5981</v>
      </c>
      <c r="D31" s="782" t="s">
        <v>6349</v>
      </c>
      <c r="E31" s="796" t="s">
        <v>1230</v>
      </c>
      <c r="F31" s="815">
        <v>6155</v>
      </c>
      <c r="G31" s="815">
        <v>631</v>
      </c>
      <c r="H31" s="815">
        <v>6155</v>
      </c>
      <c r="I31" s="815" t="s">
        <v>6350</v>
      </c>
      <c r="J31" s="832"/>
      <c r="K31" s="832"/>
      <c r="L31" s="816">
        <f t="shared" si="2"/>
        <v>6155</v>
      </c>
      <c r="M31" s="833"/>
      <c r="N31" s="716">
        <f t="shared" si="3"/>
        <v>27</v>
      </c>
      <c r="O31" s="834"/>
    </row>
    <row r="32" spans="1:15" ht="24.6" customHeight="1">
      <c r="A32" s="813" t="str">
        <f t="shared" si="0"/>
        <v>우레탄락카UR3600L</v>
      </c>
      <c r="B32" s="814" t="str">
        <f t="shared" si="1"/>
        <v>단가-28번</v>
      </c>
      <c r="C32" s="733" t="s">
        <v>5986</v>
      </c>
      <c r="D32" s="733" t="s">
        <v>5987</v>
      </c>
      <c r="E32" s="796" t="s">
        <v>1230</v>
      </c>
      <c r="F32" s="733">
        <v>16000</v>
      </c>
      <c r="G32" s="815">
        <v>638</v>
      </c>
      <c r="H32" s="733"/>
      <c r="I32" s="815"/>
      <c r="J32" s="832"/>
      <c r="K32" s="832"/>
      <c r="L32" s="816">
        <f t="shared" si="2"/>
        <v>16000</v>
      </c>
      <c r="M32" s="833"/>
      <c r="N32" s="716">
        <f t="shared" si="3"/>
        <v>28</v>
      </c>
      <c r="O32" s="834"/>
    </row>
    <row r="33" spans="1:15" ht="24.6" customHeight="1">
      <c r="A33" s="813" t="str">
        <f t="shared" si="0"/>
        <v>코아합판T18mm*4'*8'M2</v>
      </c>
      <c r="B33" s="814" t="str">
        <f t="shared" si="1"/>
        <v>단가-29번</v>
      </c>
      <c r="C33" s="733" t="s">
        <v>6075</v>
      </c>
      <c r="D33" s="733" t="s">
        <v>6076</v>
      </c>
      <c r="E33" s="796" t="s">
        <v>59</v>
      </c>
      <c r="F33" s="733">
        <v>10942</v>
      </c>
      <c r="G33" s="815">
        <v>691</v>
      </c>
      <c r="H33" s="733">
        <v>11649</v>
      </c>
      <c r="I33" s="815" t="s">
        <v>6351</v>
      </c>
      <c r="J33" s="832"/>
      <c r="K33" s="832"/>
      <c r="L33" s="816">
        <f t="shared" si="2"/>
        <v>10942</v>
      </c>
      <c r="M33" s="833"/>
      <c r="N33" s="716">
        <f t="shared" si="3"/>
        <v>29</v>
      </c>
      <c r="O33" s="834"/>
    </row>
    <row r="34" spans="1:15" ht="21" customHeight="1">
      <c r="A34" s="813" t="str">
        <f>SUBSTITUTE(CONCATENATE(C34,D34,E34)," ","")</f>
        <v>합판T8.5mm*4'*8'M2</v>
      </c>
      <c r="B34" s="814" t="str">
        <f t="shared" si="1"/>
        <v>단가-30번</v>
      </c>
      <c r="C34" s="733" t="s">
        <v>6014</v>
      </c>
      <c r="D34" s="733" t="s">
        <v>6025</v>
      </c>
      <c r="E34" s="796" t="s">
        <v>59</v>
      </c>
      <c r="F34" s="815">
        <v>6882</v>
      </c>
      <c r="G34" s="815">
        <v>691</v>
      </c>
      <c r="H34" s="815">
        <v>7696</v>
      </c>
      <c r="I34" s="815" t="s">
        <v>6351</v>
      </c>
      <c r="J34" s="835"/>
      <c r="K34" s="836"/>
      <c r="L34" s="816">
        <f t="shared" si="2"/>
        <v>6882</v>
      </c>
      <c r="M34" s="837"/>
      <c r="N34" s="716">
        <f t="shared" si="3"/>
        <v>30</v>
      </c>
      <c r="O34" s="834"/>
    </row>
    <row r="35" spans="1:15" s="827" customFormat="1" ht="24.6" customHeight="1">
      <c r="A35" s="813" t="str">
        <f t="shared" si="0"/>
        <v>합판T11.5mm*4'*8'M2</v>
      </c>
      <c r="B35" s="814" t="str">
        <f t="shared" si="1"/>
        <v>단가-31번</v>
      </c>
      <c r="C35" s="733" t="s">
        <v>6014</v>
      </c>
      <c r="D35" s="733" t="s">
        <v>6015</v>
      </c>
      <c r="E35" s="796" t="s">
        <v>59</v>
      </c>
      <c r="F35" s="815">
        <v>8585</v>
      </c>
      <c r="G35" s="815">
        <v>691</v>
      </c>
      <c r="H35" s="815">
        <v>9606</v>
      </c>
      <c r="I35" s="815" t="s">
        <v>6351</v>
      </c>
      <c r="J35" s="816"/>
      <c r="K35" s="816"/>
      <c r="L35" s="816">
        <f t="shared" si="2"/>
        <v>8585</v>
      </c>
      <c r="M35" s="817"/>
      <c r="N35" s="818">
        <f t="shared" si="3"/>
        <v>31</v>
      </c>
      <c r="O35" s="819"/>
    </row>
    <row r="36" spans="1:15" s="827" customFormat="1" ht="24.6" customHeight="1">
      <c r="A36" s="813" t="str">
        <f t="shared" si="0"/>
        <v>합판T15mm*4'*8'M2</v>
      </c>
      <c r="B36" s="814" t="str">
        <f t="shared" si="1"/>
        <v>단가-32번</v>
      </c>
      <c r="C36" s="733" t="s">
        <v>6352</v>
      </c>
      <c r="D36" s="733" t="s">
        <v>6353</v>
      </c>
      <c r="E36" s="796" t="s">
        <v>6354</v>
      </c>
      <c r="F36" s="815">
        <v>12323</v>
      </c>
      <c r="G36" s="815">
        <v>691</v>
      </c>
      <c r="H36" s="815">
        <v>13488</v>
      </c>
      <c r="I36" s="815" t="s">
        <v>6351</v>
      </c>
      <c r="J36" s="816"/>
      <c r="K36" s="816"/>
      <c r="L36" s="816">
        <f t="shared" si="2"/>
        <v>12323</v>
      </c>
      <c r="M36" s="817"/>
      <c r="N36" s="818">
        <f t="shared" si="3"/>
        <v>32</v>
      </c>
      <c r="O36" s="819"/>
    </row>
    <row r="37" spans="1:15" s="827" customFormat="1" ht="24.6" customHeight="1">
      <c r="A37" s="813" t="str">
        <f t="shared" si="0"/>
        <v>mdfT9mm*4'*8'M2</v>
      </c>
      <c r="B37" s="814" t="str">
        <f t="shared" si="1"/>
        <v>단가-33번</v>
      </c>
      <c r="C37" s="746" t="s">
        <v>6355</v>
      </c>
      <c r="D37" s="838" t="s">
        <v>6356</v>
      </c>
      <c r="E37" s="814" t="s">
        <v>6354</v>
      </c>
      <c r="F37" s="815">
        <v>4612</v>
      </c>
      <c r="G37" s="815">
        <v>690</v>
      </c>
      <c r="H37" s="815">
        <v>4006</v>
      </c>
      <c r="I37" s="815" t="s">
        <v>6357</v>
      </c>
      <c r="J37" s="816"/>
      <c r="K37" s="816"/>
      <c r="L37" s="816">
        <f t="shared" si="2"/>
        <v>4006</v>
      </c>
      <c r="M37" s="817"/>
      <c r="N37" s="818">
        <f t="shared" si="3"/>
        <v>33</v>
      </c>
      <c r="O37" s="819"/>
    </row>
    <row r="38" spans="1:15" s="827" customFormat="1" ht="24.6" customHeight="1">
      <c r="A38" s="813" t="str">
        <f t="shared" si="0"/>
        <v>mdfT12mm*4'*8'M2</v>
      </c>
      <c r="B38" s="814" t="str">
        <f t="shared" si="1"/>
        <v>단가-34번</v>
      </c>
      <c r="C38" s="746" t="s">
        <v>6355</v>
      </c>
      <c r="D38" s="838" t="s">
        <v>6358</v>
      </c>
      <c r="E38" s="814" t="s">
        <v>6354</v>
      </c>
      <c r="F38" s="815">
        <v>6026</v>
      </c>
      <c r="G38" s="815">
        <v>690</v>
      </c>
      <c r="H38" s="815">
        <v>5454</v>
      </c>
      <c r="I38" s="815" t="s">
        <v>6357</v>
      </c>
      <c r="J38" s="816"/>
      <c r="K38" s="816"/>
      <c r="L38" s="816">
        <f t="shared" si="2"/>
        <v>5454</v>
      </c>
      <c r="M38" s="817"/>
      <c r="N38" s="818">
        <f t="shared" si="3"/>
        <v>34</v>
      </c>
      <c r="O38" s="819"/>
    </row>
    <row r="39" spans="1:15" s="827" customFormat="1" ht="24.6" customHeight="1">
      <c r="A39" s="813" t="str">
        <f t="shared" si="0"/>
        <v>mdfT15mm*4'*8'M2</v>
      </c>
      <c r="B39" s="814" t="str">
        <f t="shared" si="1"/>
        <v>단가-35번</v>
      </c>
      <c r="C39" s="746" t="s">
        <v>6355</v>
      </c>
      <c r="D39" s="838" t="s">
        <v>6353</v>
      </c>
      <c r="E39" s="814" t="s">
        <v>6354</v>
      </c>
      <c r="F39" s="815">
        <v>7441</v>
      </c>
      <c r="G39" s="815">
        <v>690</v>
      </c>
      <c r="H39" s="815">
        <v>6632</v>
      </c>
      <c r="I39" s="815" t="s">
        <v>6357</v>
      </c>
      <c r="J39" s="816"/>
      <c r="K39" s="816"/>
      <c r="L39" s="816">
        <f t="shared" si="2"/>
        <v>6632</v>
      </c>
      <c r="M39" s="817"/>
      <c r="N39" s="818">
        <f t="shared" si="3"/>
        <v>35</v>
      </c>
      <c r="O39" s="819"/>
    </row>
    <row r="40" spans="1:15" s="827" customFormat="1" ht="24.6" customHeight="1">
      <c r="A40" s="813" t="str">
        <f t="shared" si="0"/>
        <v>초배지양지A급M2</v>
      </c>
      <c r="B40" s="814" t="str">
        <f t="shared" si="1"/>
        <v>단가-36번</v>
      </c>
      <c r="C40" s="733" t="s">
        <v>6359</v>
      </c>
      <c r="D40" s="733" t="s">
        <v>6065</v>
      </c>
      <c r="E40" s="796" t="s">
        <v>59</v>
      </c>
      <c r="F40" s="815">
        <v>254</v>
      </c>
      <c r="G40" s="815">
        <v>711</v>
      </c>
      <c r="H40" s="733">
        <v>253</v>
      </c>
      <c r="I40" s="815" t="s">
        <v>6360</v>
      </c>
      <c r="J40" s="816"/>
      <c r="K40" s="816"/>
      <c r="L40" s="816">
        <f t="shared" si="2"/>
        <v>253</v>
      </c>
      <c r="M40" s="817"/>
      <c r="N40" s="818">
        <f t="shared" si="3"/>
        <v>36</v>
      </c>
      <c r="O40" s="819"/>
    </row>
    <row r="41" spans="1:15" s="827" customFormat="1" ht="24.6" customHeight="1">
      <c r="A41" s="813" t="str">
        <f t="shared" si="0"/>
        <v>용접봉2.6mm(CR-13)KG</v>
      </c>
      <c r="B41" s="814" t="str">
        <f t="shared" si="1"/>
        <v>단가-37번</v>
      </c>
      <c r="C41" s="733" t="s">
        <v>5852</v>
      </c>
      <c r="D41" s="733" t="s">
        <v>6361</v>
      </c>
      <c r="E41" s="796" t="s">
        <v>2477</v>
      </c>
      <c r="F41" s="815">
        <v>3280</v>
      </c>
      <c r="G41" s="815">
        <v>1395</v>
      </c>
      <c r="H41" s="733">
        <v>3044</v>
      </c>
      <c r="I41" s="815" t="s">
        <v>6362</v>
      </c>
      <c r="J41" s="816"/>
      <c r="K41" s="816"/>
      <c r="L41" s="816">
        <f t="shared" si="2"/>
        <v>3044</v>
      </c>
      <c r="M41" s="817"/>
      <c r="N41" s="818">
        <f t="shared" si="3"/>
        <v>37</v>
      </c>
      <c r="O41" s="819"/>
    </row>
    <row r="42" spans="1:15" ht="24.6" customHeight="1">
      <c r="A42" s="813" t="str">
        <f t="shared" si="0"/>
        <v>연마포#120매</v>
      </c>
      <c r="B42" s="814" t="str">
        <f t="shared" si="1"/>
        <v>단가-38번</v>
      </c>
      <c r="C42" s="733" t="s">
        <v>6363</v>
      </c>
      <c r="D42" s="733" t="s">
        <v>6060</v>
      </c>
      <c r="E42" s="796" t="s">
        <v>5992</v>
      </c>
      <c r="F42" s="733">
        <v>440</v>
      </c>
      <c r="G42" s="815">
        <v>1420</v>
      </c>
      <c r="H42" s="733">
        <v>528</v>
      </c>
      <c r="I42" s="815" t="s">
        <v>6364</v>
      </c>
      <c r="J42" s="816"/>
      <c r="K42" s="816"/>
      <c r="L42" s="816">
        <f t="shared" si="2"/>
        <v>440</v>
      </c>
      <c r="M42" s="817"/>
      <c r="N42" s="818">
        <f t="shared" si="3"/>
        <v>38</v>
      </c>
    </row>
    <row r="43" spans="1:15" ht="24.6" customHeight="1">
      <c r="A43" s="813" t="str">
        <f t="shared" si="0"/>
        <v>휘발유고급휘발유탱크로리L</v>
      </c>
      <c r="B43" s="814" t="str">
        <f t="shared" si="1"/>
        <v>단가-39번</v>
      </c>
      <c r="C43" s="733" t="s">
        <v>6365</v>
      </c>
      <c r="D43" s="733" t="s">
        <v>6366</v>
      </c>
      <c r="E43" s="796" t="s">
        <v>1230</v>
      </c>
      <c r="F43" s="733">
        <v>1785</v>
      </c>
      <c r="G43" s="815" t="s">
        <v>6367</v>
      </c>
      <c r="H43" s="733">
        <v>1595</v>
      </c>
      <c r="I43" s="815" t="s">
        <v>6368</v>
      </c>
      <c r="J43" s="816"/>
      <c r="K43" s="816"/>
      <c r="L43" s="816">
        <f t="shared" si="2"/>
        <v>1595</v>
      </c>
      <c r="M43" s="817"/>
      <c r="N43" s="818">
        <f t="shared" si="3"/>
        <v>39</v>
      </c>
    </row>
    <row r="44" spans="1:15" s="827" customFormat="1" ht="24.6" customHeight="1">
      <c r="A44" s="813" t="str">
        <f>SUBSTITUTE(CONCATENATE(C44,D44,E44)," ","")</f>
        <v>산소99%L</v>
      </c>
      <c r="B44" s="814" t="str">
        <f t="shared" si="1"/>
        <v>단가-40번</v>
      </c>
      <c r="C44" s="839" t="s">
        <v>5854</v>
      </c>
      <c r="D44" s="733" t="s">
        <v>5855</v>
      </c>
      <c r="E44" s="796" t="s">
        <v>1230</v>
      </c>
      <c r="F44" s="815">
        <v>375</v>
      </c>
      <c r="G44" s="815" t="s">
        <v>6369</v>
      </c>
      <c r="H44" s="815">
        <v>325</v>
      </c>
      <c r="I44" s="815" t="s">
        <v>6370</v>
      </c>
      <c r="J44" s="816"/>
      <c r="K44" s="816"/>
      <c r="L44" s="816">
        <f t="shared" si="2"/>
        <v>325</v>
      </c>
      <c r="M44" s="817"/>
      <c r="N44" s="818">
        <f t="shared" si="3"/>
        <v>40</v>
      </c>
      <c r="O44" s="819"/>
    </row>
    <row r="45" spans="1:15" ht="24.6" customHeight="1">
      <c r="A45" s="813" t="str">
        <f>SUBSTITUTE(CONCATENATE(C45,D45,E45)," ","")</f>
        <v>아세틸렌0.9996KG</v>
      </c>
      <c r="B45" s="814" t="str">
        <f t="shared" si="1"/>
        <v>단가-41번</v>
      </c>
      <c r="C45" s="839" t="s">
        <v>5856</v>
      </c>
      <c r="D45" s="840">
        <v>0.99960000000000004</v>
      </c>
      <c r="E45" s="796" t="s">
        <v>2477</v>
      </c>
      <c r="F45" s="815">
        <v>17000</v>
      </c>
      <c r="G45" s="815" t="s">
        <v>6369</v>
      </c>
      <c r="H45" s="733">
        <v>13000</v>
      </c>
      <c r="I45" s="815" t="s">
        <v>6370</v>
      </c>
      <c r="J45" s="832"/>
      <c r="K45" s="832"/>
      <c r="L45" s="816">
        <f t="shared" si="2"/>
        <v>13000</v>
      </c>
      <c r="M45" s="833"/>
      <c r="N45" s="716">
        <f t="shared" si="3"/>
        <v>41</v>
      </c>
      <c r="O45" s="834"/>
    </row>
    <row r="46" spans="1:15" s="845" customFormat="1" ht="21" customHeight="1">
      <c r="A46" s="813" t="str">
        <f>SUBSTITUTE(CONCATENATE(C46,D46,E46)," ","")</f>
        <v>넝마면T/C제품KG</v>
      </c>
      <c r="B46" s="814" t="str">
        <f t="shared" si="1"/>
        <v>단가-42번</v>
      </c>
      <c r="C46" s="839" t="s">
        <v>6082</v>
      </c>
      <c r="D46" s="733" t="s">
        <v>6009</v>
      </c>
      <c r="E46" s="796" t="s">
        <v>5969</v>
      </c>
      <c r="F46" s="733"/>
      <c r="G46" s="815"/>
      <c r="H46" s="733">
        <v>2000</v>
      </c>
      <c r="I46" s="815" t="s">
        <v>6371</v>
      </c>
      <c r="J46" s="841"/>
      <c r="K46" s="842"/>
      <c r="L46" s="816">
        <f t="shared" si="2"/>
        <v>2000</v>
      </c>
      <c r="M46" s="843"/>
      <c r="N46" s="818">
        <f t="shared" si="3"/>
        <v>42</v>
      </c>
      <c r="O46" s="844"/>
    </row>
    <row r="47" spans="1:15" s="827" customFormat="1" ht="24.6" customHeight="1">
      <c r="A47" s="813" t="str">
        <f>SUBSTITUTE(CONCATENATE(C47,D47,E47)," ","")</f>
        <v>세제유리용KG</v>
      </c>
      <c r="B47" s="814" t="str">
        <f t="shared" si="1"/>
        <v>단가-43번</v>
      </c>
      <c r="C47" s="839" t="s">
        <v>6083</v>
      </c>
      <c r="D47" s="733" t="s">
        <v>6107</v>
      </c>
      <c r="E47" s="796" t="s">
        <v>2477</v>
      </c>
      <c r="F47" s="733">
        <f>40000/18.75</f>
        <v>2133.3333333333335</v>
      </c>
      <c r="G47" s="815" t="s">
        <v>6372</v>
      </c>
      <c r="H47" s="733"/>
      <c r="I47" s="815"/>
      <c r="J47" s="816"/>
      <c r="K47" s="816"/>
      <c r="L47" s="816">
        <f t="shared" si="2"/>
        <v>2133</v>
      </c>
      <c r="M47" s="817"/>
      <c r="N47" s="818">
        <f t="shared" si="3"/>
        <v>43</v>
      </c>
      <c r="O47" s="819"/>
    </row>
    <row r="48" spans="1:15" ht="21" customHeight="1">
      <c r="A48" s="813" t="str">
        <f t="shared" ref="A48:A125" si="4">SUBSTITUTE(CONCATENATE(C48,D48,E48)," ","")</f>
        <v>전력소요량KWH</v>
      </c>
      <c r="B48" s="814" t="str">
        <f t="shared" si="1"/>
        <v>단가-44번</v>
      </c>
      <c r="C48" s="839" t="s">
        <v>5857</v>
      </c>
      <c r="D48" s="733"/>
      <c r="E48" s="796" t="s">
        <v>5858</v>
      </c>
      <c r="F48" s="733"/>
      <c r="G48" s="815"/>
      <c r="H48" s="733"/>
      <c r="I48" s="815"/>
      <c r="J48" s="835"/>
      <c r="K48" s="836"/>
      <c r="L48" s="816">
        <f t="shared" si="2"/>
        <v>0</v>
      </c>
      <c r="M48" s="837"/>
      <c r="N48" s="818">
        <f t="shared" si="3"/>
        <v>44</v>
      </c>
      <c r="O48" s="834"/>
    </row>
    <row r="49" spans="1:15" ht="21" customHeight="1">
      <c r="A49" s="813" t="str">
        <f t="shared" si="4"/>
        <v>본드도배용KG</v>
      </c>
      <c r="B49" s="814" t="str">
        <f t="shared" si="1"/>
        <v>단가-45번</v>
      </c>
      <c r="C49" s="839" t="s">
        <v>6373</v>
      </c>
      <c r="D49" s="733" t="s">
        <v>6374</v>
      </c>
      <c r="E49" s="796" t="s">
        <v>2477</v>
      </c>
      <c r="F49" s="733">
        <v>2500</v>
      </c>
      <c r="G49" s="815">
        <v>711</v>
      </c>
      <c r="H49" s="733"/>
      <c r="I49" s="815"/>
      <c r="J49" s="846"/>
      <c r="K49" s="836"/>
      <c r="L49" s="816">
        <f t="shared" si="2"/>
        <v>2500</v>
      </c>
      <c r="M49" s="837"/>
      <c r="N49" s="818">
        <f t="shared" si="3"/>
        <v>45</v>
      </c>
      <c r="O49" s="834"/>
    </row>
    <row r="50" spans="1:15" ht="21" customHeight="1">
      <c r="A50" s="813" t="str">
        <f t="shared" si="4"/>
        <v>석고보드T9.5mm*900*1,800M2</v>
      </c>
      <c r="B50" s="814" t="str">
        <f t="shared" si="1"/>
        <v>단가-46번</v>
      </c>
      <c r="C50" s="839" t="s">
        <v>6375</v>
      </c>
      <c r="D50" s="726" t="s">
        <v>6117</v>
      </c>
      <c r="E50" s="796" t="s">
        <v>59</v>
      </c>
      <c r="F50" s="815">
        <v>2407</v>
      </c>
      <c r="G50" s="815">
        <v>698</v>
      </c>
      <c r="H50" s="815">
        <v>2592</v>
      </c>
      <c r="I50" s="815" t="s">
        <v>6357</v>
      </c>
      <c r="J50" s="846"/>
      <c r="K50" s="836"/>
      <c r="L50" s="816">
        <f t="shared" si="2"/>
        <v>2407</v>
      </c>
      <c r="M50" s="837"/>
      <c r="N50" s="818">
        <f t="shared" si="3"/>
        <v>46</v>
      </c>
      <c r="O50" s="834"/>
    </row>
    <row r="51" spans="1:15" ht="21" customHeight="1">
      <c r="A51" s="813" t="str">
        <f t="shared" si="4"/>
        <v>풀밀가루풀포</v>
      </c>
      <c r="B51" s="814" t="str">
        <f t="shared" si="1"/>
        <v>단가-47번</v>
      </c>
      <c r="C51" s="839" t="s">
        <v>6376</v>
      </c>
      <c r="D51" s="733" t="s">
        <v>6069</v>
      </c>
      <c r="E51" s="796" t="s">
        <v>6070</v>
      </c>
      <c r="F51" s="733">
        <v>4500</v>
      </c>
      <c r="G51" s="733">
        <v>711</v>
      </c>
      <c r="H51" s="733">
        <v>5000</v>
      </c>
      <c r="I51" s="815" t="s">
        <v>6360</v>
      </c>
      <c r="J51" s="846"/>
      <c r="K51" s="836"/>
      <c r="L51" s="816">
        <f t="shared" si="2"/>
        <v>4500</v>
      </c>
      <c r="M51" s="837"/>
      <c r="N51" s="818">
        <f t="shared" si="3"/>
        <v>47</v>
      </c>
      <c r="O51" s="834"/>
    </row>
    <row r="52" spans="1:15" ht="21" customHeight="1">
      <c r="A52" s="813" t="str">
        <f t="shared" si="4"/>
        <v>골판지원단(보양지)2종㎡</v>
      </c>
      <c r="B52" s="814" t="str">
        <f t="shared" si="1"/>
        <v>단가-48번</v>
      </c>
      <c r="C52" s="847" t="s">
        <v>6377</v>
      </c>
      <c r="D52" s="838" t="s">
        <v>6378</v>
      </c>
      <c r="E52" s="814" t="s">
        <v>6296</v>
      </c>
      <c r="F52" s="815">
        <v>1164</v>
      </c>
      <c r="G52" s="815" t="s">
        <v>6379</v>
      </c>
      <c r="H52" s="815">
        <v>890</v>
      </c>
      <c r="I52" s="815" t="s">
        <v>6380</v>
      </c>
      <c r="J52" s="846"/>
      <c r="K52" s="836"/>
      <c r="L52" s="816">
        <f t="shared" si="2"/>
        <v>890</v>
      </c>
      <c r="M52" s="837"/>
      <c r="N52" s="818">
        <f t="shared" si="3"/>
        <v>48</v>
      </c>
      <c r="O52" s="834"/>
    </row>
    <row r="53" spans="1:15" ht="21" customHeight="1">
      <c r="A53" s="813" t="str">
        <f t="shared" si="4"/>
        <v>가새L:1,518-2개조</v>
      </c>
      <c r="B53" s="814" t="str">
        <f t="shared" si="1"/>
        <v>단가-49번</v>
      </c>
      <c r="C53" s="847" t="s">
        <v>6381</v>
      </c>
      <c r="D53" s="838" t="s">
        <v>6382</v>
      </c>
      <c r="E53" s="814" t="s">
        <v>6383</v>
      </c>
      <c r="F53" s="815">
        <v>8000</v>
      </c>
      <c r="G53" s="815">
        <v>146</v>
      </c>
      <c r="H53" s="815">
        <v>9300</v>
      </c>
      <c r="I53" s="815" t="s">
        <v>6384</v>
      </c>
      <c r="J53" s="846"/>
      <c r="K53" s="836"/>
      <c r="L53" s="816">
        <f t="shared" si="2"/>
        <v>8000</v>
      </c>
      <c r="M53" s="837"/>
      <c r="N53" s="818">
        <f t="shared" si="3"/>
        <v>49</v>
      </c>
      <c r="O53" s="834"/>
    </row>
    <row r="54" spans="1:15" ht="21" customHeight="1">
      <c r="A54" s="813" t="str">
        <f t="shared" si="4"/>
        <v>인서트9mm개</v>
      </c>
      <c r="B54" s="814" t="str">
        <f t="shared" si="1"/>
        <v>단가-50번</v>
      </c>
      <c r="C54" s="847" t="s">
        <v>6385</v>
      </c>
      <c r="D54" s="838" t="s">
        <v>6386</v>
      </c>
      <c r="E54" s="814" t="s">
        <v>6387</v>
      </c>
      <c r="F54" s="815">
        <v>180</v>
      </c>
      <c r="G54" s="815">
        <v>543</v>
      </c>
      <c r="H54" s="815">
        <v>180</v>
      </c>
      <c r="I54" s="815" t="s">
        <v>6388</v>
      </c>
      <c r="J54" s="846"/>
      <c r="K54" s="836"/>
      <c r="L54" s="816">
        <f t="shared" si="2"/>
        <v>180</v>
      </c>
      <c r="M54" s="837"/>
      <c r="N54" s="818">
        <f t="shared" si="3"/>
        <v>50</v>
      </c>
      <c r="O54" s="834"/>
    </row>
    <row r="55" spans="1:15" ht="21" customHeight="1">
      <c r="A55" s="813" t="str">
        <f t="shared" si="4"/>
        <v>용접기교류500AMPHR</v>
      </c>
      <c r="B55" s="814" t="str">
        <f t="shared" si="1"/>
        <v>단가-51번</v>
      </c>
      <c r="C55" s="847" t="s">
        <v>6389</v>
      </c>
      <c r="D55" s="838" t="s">
        <v>5873</v>
      </c>
      <c r="E55" s="814" t="s">
        <v>1821</v>
      </c>
      <c r="F55" s="815">
        <v>124</v>
      </c>
      <c r="G55" s="815">
        <v>1394</v>
      </c>
      <c r="H55" s="815"/>
      <c r="I55" s="815"/>
      <c r="J55" s="846"/>
      <c r="K55" s="836"/>
      <c r="L55" s="816">
        <f t="shared" si="2"/>
        <v>124</v>
      </c>
      <c r="M55" s="837"/>
      <c r="N55" s="818">
        <f t="shared" si="3"/>
        <v>51</v>
      </c>
      <c r="O55" s="834"/>
    </row>
    <row r="56" spans="1:15" ht="21" customHeight="1">
      <c r="A56" s="813"/>
      <c r="B56" s="814" t="str">
        <f t="shared" si="1"/>
        <v>단가-52번</v>
      </c>
      <c r="C56" s="847" t="s">
        <v>6390</v>
      </c>
      <c r="D56" s="838" t="s">
        <v>6391</v>
      </c>
      <c r="E56" s="814" t="s">
        <v>6150</v>
      </c>
      <c r="F56" s="815">
        <v>2577</v>
      </c>
      <c r="G56" s="815">
        <v>632</v>
      </c>
      <c r="H56" s="815">
        <v>3022</v>
      </c>
      <c r="I56" s="815" t="s">
        <v>6392</v>
      </c>
      <c r="J56" s="846"/>
      <c r="K56" s="836"/>
      <c r="L56" s="816">
        <f t="shared" si="2"/>
        <v>2577</v>
      </c>
      <c r="M56" s="837"/>
      <c r="N56" s="818">
        <f t="shared" si="3"/>
        <v>52</v>
      </c>
      <c r="O56" s="834"/>
    </row>
    <row r="57" spans="1:15" ht="21" customHeight="1">
      <c r="A57" s="813" t="str">
        <f t="shared" si="4"/>
        <v>바퀴6"EA</v>
      </c>
      <c r="B57" s="814" t="str">
        <f t="shared" si="1"/>
        <v>단가-53번</v>
      </c>
      <c r="C57" s="847" t="s">
        <v>6393</v>
      </c>
      <c r="D57" s="838" t="s">
        <v>6394</v>
      </c>
      <c r="E57" s="814" t="s">
        <v>321</v>
      </c>
      <c r="F57" s="815">
        <v>13600</v>
      </c>
      <c r="G57" s="815">
        <v>1430</v>
      </c>
      <c r="H57" s="815">
        <v>12000</v>
      </c>
      <c r="I57" s="815" t="s">
        <v>6395</v>
      </c>
      <c r="J57" s="846"/>
      <c r="K57" s="836"/>
      <c r="L57" s="816">
        <f t="shared" si="2"/>
        <v>12000</v>
      </c>
      <c r="M57" s="837"/>
      <c r="N57" s="818">
        <f t="shared" si="3"/>
        <v>53</v>
      </c>
      <c r="O57" s="834"/>
    </row>
    <row r="58" spans="1:15" ht="21" customHeight="1">
      <c r="A58" s="813" t="str">
        <f t="shared" si="4"/>
        <v>방수소켓6A250VEA</v>
      </c>
      <c r="B58" s="814" t="str">
        <f t="shared" si="1"/>
        <v>단가-54번</v>
      </c>
      <c r="C58" s="847" t="s">
        <v>6396</v>
      </c>
      <c r="D58" s="838" t="s">
        <v>6397</v>
      </c>
      <c r="E58" s="814" t="s">
        <v>321</v>
      </c>
      <c r="F58" s="815"/>
      <c r="G58" s="815"/>
      <c r="H58" s="815"/>
      <c r="I58" s="815"/>
      <c r="J58" s="846"/>
      <c r="K58" s="836"/>
      <c r="L58" s="816">
        <f t="shared" si="2"/>
        <v>0</v>
      </c>
      <c r="M58" s="837"/>
      <c r="N58" s="818">
        <f t="shared" si="3"/>
        <v>54</v>
      </c>
      <c r="O58" s="834"/>
    </row>
    <row r="59" spans="1:15" ht="21" customHeight="1">
      <c r="A59" s="813" t="str">
        <f t="shared" si="4"/>
        <v>백열전구220V100W등</v>
      </c>
      <c r="B59" s="814" t="str">
        <f t="shared" si="1"/>
        <v>단가-55번</v>
      </c>
      <c r="C59" s="848" t="s">
        <v>6398</v>
      </c>
      <c r="D59" s="826" t="s">
        <v>6399</v>
      </c>
      <c r="E59" s="814" t="s">
        <v>6400</v>
      </c>
      <c r="F59" s="815">
        <v>700</v>
      </c>
      <c r="G59" s="815">
        <v>1217</v>
      </c>
      <c r="H59" s="815"/>
      <c r="I59" s="815"/>
      <c r="J59" s="846"/>
      <c r="K59" s="836"/>
      <c r="L59" s="816">
        <f t="shared" si="2"/>
        <v>700</v>
      </c>
      <c r="M59" s="837"/>
      <c r="N59" s="818">
        <f t="shared" si="3"/>
        <v>55</v>
      </c>
      <c r="O59" s="834"/>
    </row>
    <row r="60" spans="1:15" ht="21" customHeight="1">
      <c r="A60" s="813" t="str">
        <f t="shared" si="4"/>
        <v>목공용접착제205kg</v>
      </c>
      <c r="B60" s="814" t="str">
        <f t="shared" si="1"/>
        <v>단가-56번</v>
      </c>
      <c r="C60" s="847" t="s">
        <v>6401</v>
      </c>
      <c r="D60" s="849">
        <v>205</v>
      </c>
      <c r="E60" s="814" t="s">
        <v>6402</v>
      </c>
      <c r="F60" s="815">
        <v>3529</v>
      </c>
      <c r="G60" s="815">
        <v>711</v>
      </c>
      <c r="H60" s="815">
        <v>4500</v>
      </c>
      <c r="I60" s="815" t="s">
        <v>6403</v>
      </c>
      <c r="J60" s="846"/>
      <c r="K60" s="836"/>
      <c r="L60" s="816">
        <f t="shared" si="2"/>
        <v>3529</v>
      </c>
      <c r="M60" s="837"/>
      <c r="N60" s="818">
        <f t="shared" si="3"/>
        <v>56</v>
      </c>
      <c r="O60" s="834"/>
    </row>
    <row r="61" spans="1:15" ht="21" customHeight="1">
      <c r="A61" s="813" t="str">
        <f t="shared" si="4"/>
        <v>AL몰딩w형1.0*15*15*15*15m</v>
      </c>
      <c r="B61" s="814" t="str">
        <f t="shared" si="1"/>
        <v>단가-57번</v>
      </c>
      <c r="C61" s="847" t="s">
        <v>6404</v>
      </c>
      <c r="D61" s="838" t="s">
        <v>6405</v>
      </c>
      <c r="E61" s="814" t="s">
        <v>1192</v>
      </c>
      <c r="F61" s="815">
        <v>1890</v>
      </c>
      <c r="G61" s="815">
        <v>543</v>
      </c>
      <c r="H61" s="815">
        <v>1890</v>
      </c>
      <c r="I61" s="815" t="s">
        <v>6388</v>
      </c>
      <c r="J61" s="846"/>
      <c r="K61" s="836"/>
      <c r="L61" s="816">
        <f t="shared" si="2"/>
        <v>1890</v>
      </c>
      <c r="M61" s="837"/>
      <c r="N61" s="818">
        <f t="shared" si="3"/>
        <v>57</v>
      </c>
      <c r="O61" s="834"/>
    </row>
    <row r="62" spans="1:15" ht="21" customHeight="1">
      <c r="A62" s="813" t="str">
        <f t="shared" si="4"/>
        <v>전선600VIV2.0mm*3Cm</v>
      </c>
      <c r="B62" s="814" t="str">
        <f t="shared" si="1"/>
        <v>단가-58번</v>
      </c>
      <c r="C62" s="848" t="s">
        <v>6406</v>
      </c>
      <c r="D62" s="782" t="s">
        <v>6407</v>
      </c>
      <c r="E62" s="775" t="s">
        <v>1192</v>
      </c>
      <c r="F62" s="815">
        <v>980</v>
      </c>
      <c r="G62" s="815">
        <v>1085</v>
      </c>
      <c r="H62" s="815"/>
      <c r="I62" s="815"/>
      <c r="J62" s="846"/>
      <c r="K62" s="836"/>
      <c r="L62" s="816">
        <f t="shared" si="2"/>
        <v>980</v>
      </c>
      <c r="M62" s="837"/>
      <c r="N62" s="818">
        <f t="shared" si="3"/>
        <v>58</v>
      </c>
      <c r="O62" s="834"/>
    </row>
    <row r="63" spans="1:15" ht="21" customHeight="1">
      <c r="A63" s="813" t="str">
        <f t="shared" si="4"/>
        <v>접착제석고본드Kg</v>
      </c>
      <c r="B63" s="814" t="str">
        <f t="shared" si="1"/>
        <v>단가-59번</v>
      </c>
      <c r="C63" s="850" t="s">
        <v>6408</v>
      </c>
      <c r="D63" s="826" t="s">
        <v>6409</v>
      </c>
      <c r="E63" s="814" t="s">
        <v>2353</v>
      </c>
      <c r="F63" s="815">
        <v>436</v>
      </c>
      <c r="G63" s="815">
        <v>698</v>
      </c>
      <c r="H63" s="815">
        <v>456</v>
      </c>
      <c r="I63" s="815" t="s">
        <v>6410</v>
      </c>
      <c r="J63" s="846"/>
      <c r="K63" s="836"/>
      <c r="L63" s="816">
        <f t="shared" si="2"/>
        <v>436</v>
      </c>
      <c r="M63" s="837"/>
      <c r="N63" s="818">
        <f t="shared" si="3"/>
        <v>59</v>
      </c>
      <c r="O63" s="834"/>
    </row>
    <row r="64" spans="1:15" ht="21" customHeight="1">
      <c r="A64" s="813" t="str">
        <f t="shared" si="4"/>
        <v>BRACE찬넬0.8T67*40m</v>
      </c>
      <c r="B64" s="814" t="str">
        <f t="shared" si="1"/>
        <v>단가-60번</v>
      </c>
      <c r="C64" s="851" t="s">
        <v>6411</v>
      </c>
      <c r="D64" s="782" t="s">
        <v>6412</v>
      </c>
      <c r="E64" s="775" t="s">
        <v>1192</v>
      </c>
      <c r="F64" s="815">
        <v>2140</v>
      </c>
      <c r="G64" s="815">
        <v>543</v>
      </c>
      <c r="H64" s="815">
        <v>2120</v>
      </c>
      <c r="I64" s="815" t="s">
        <v>6413</v>
      </c>
      <c r="J64" s="846"/>
      <c r="K64" s="836"/>
      <c r="L64" s="816">
        <f t="shared" si="2"/>
        <v>2120</v>
      </c>
      <c r="M64" s="837"/>
      <c r="N64" s="818">
        <f t="shared" si="3"/>
        <v>60</v>
      </c>
      <c r="O64" s="834"/>
    </row>
    <row r="65" spans="1:15" ht="21" customHeight="1">
      <c r="A65" s="813" t="str">
        <f t="shared" si="4"/>
        <v>공포C6,8-11mea</v>
      </c>
      <c r="B65" s="814" t="str">
        <f t="shared" si="1"/>
        <v>단가-61번</v>
      </c>
      <c r="C65" s="851" t="s">
        <v>6414</v>
      </c>
      <c r="D65" s="782" t="s">
        <v>6415</v>
      </c>
      <c r="E65" s="775" t="s">
        <v>6416</v>
      </c>
      <c r="F65" s="815">
        <v>125</v>
      </c>
      <c r="G65" s="815">
        <v>1419</v>
      </c>
      <c r="H65" s="815"/>
      <c r="I65" s="815"/>
      <c r="J65" s="846"/>
      <c r="K65" s="836"/>
      <c r="L65" s="816">
        <f t="shared" si="2"/>
        <v>125</v>
      </c>
      <c r="M65" s="837"/>
      <c r="N65" s="818">
        <f t="shared" si="3"/>
        <v>61</v>
      </c>
      <c r="O65" s="834"/>
    </row>
    <row r="66" spans="1:15" ht="21" customHeight="1">
      <c r="A66" s="813" t="str">
        <f t="shared" si="4"/>
        <v>HILTPINDX-450EA</v>
      </c>
      <c r="B66" s="814" t="str">
        <f t="shared" si="1"/>
        <v>단가-62번</v>
      </c>
      <c r="C66" s="851" t="s">
        <v>6417</v>
      </c>
      <c r="D66" s="782" t="s">
        <v>6418</v>
      </c>
      <c r="E66" s="775" t="s">
        <v>6419</v>
      </c>
      <c r="F66" s="815">
        <v>84</v>
      </c>
      <c r="G66" s="815">
        <v>1416</v>
      </c>
      <c r="H66" s="815"/>
      <c r="I66" s="815"/>
      <c r="J66" s="846"/>
      <c r="K66" s="836"/>
      <c r="L66" s="816">
        <f t="shared" si="2"/>
        <v>84</v>
      </c>
      <c r="M66" s="837"/>
      <c r="N66" s="818">
        <f t="shared" si="3"/>
        <v>62</v>
      </c>
      <c r="O66" s="834"/>
    </row>
    <row r="67" spans="1:15" ht="21" customHeight="1">
      <c r="A67" s="813" t="str">
        <f t="shared" si="4"/>
        <v>친환경수성페인트내부수성도료ℓ</v>
      </c>
      <c r="B67" s="814" t="str">
        <f t="shared" si="1"/>
        <v>단가-63번</v>
      </c>
      <c r="C67" s="851" t="s">
        <v>6420</v>
      </c>
      <c r="D67" s="782" t="s">
        <v>6421</v>
      </c>
      <c r="E67" s="775" t="s">
        <v>6150</v>
      </c>
      <c r="F67" s="830">
        <v>6300</v>
      </c>
      <c r="G67" s="831">
        <v>628</v>
      </c>
      <c r="H67" s="815">
        <v>5705</v>
      </c>
      <c r="I67" s="829" t="s">
        <v>6422</v>
      </c>
      <c r="J67" s="846"/>
      <c r="K67" s="836"/>
      <c r="L67" s="816">
        <f t="shared" si="2"/>
        <v>5705</v>
      </c>
      <c r="M67" s="837"/>
      <c r="N67" s="818">
        <f t="shared" si="3"/>
        <v>63</v>
      </c>
      <c r="O67" s="834"/>
    </row>
    <row r="68" spans="1:15" ht="21" customHeight="1">
      <c r="A68" s="813" t="str">
        <f t="shared" si="4"/>
        <v>퍼티핸디코트Kg</v>
      </c>
      <c r="B68" s="814" t="str">
        <f t="shared" si="1"/>
        <v>단가-64번</v>
      </c>
      <c r="C68" s="851" t="s">
        <v>6423</v>
      </c>
      <c r="D68" s="782" t="s">
        <v>6424</v>
      </c>
      <c r="E68" s="775" t="s">
        <v>2353</v>
      </c>
      <c r="F68" s="815">
        <v>1030</v>
      </c>
      <c r="G68" s="815">
        <v>636</v>
      </c>
      <c r="H68" s="815">
        <v>1127</v>
      </c>
      <c r="I68" s="815" t="s">
        <v>6425</v>
      </c>
      <c r="J68" s="846"/>
      <c r="K68" s="836"/>
      <c r="L68" s="816">
        <f t="shared" si="2"/>
        <v>1030</v>
      </c>
      <c r="M68" s="837"/>
      <c r="N68" s="818">
        <f t="shared" si="3"/>
        <v>64</v>
      </c>
      <c r="O68" s="834"/>
    </row>
    <row r="69" spans="1:15" ht="24.6" customHeight="1">
      <c r="A69" s="813" t="str">
        <f>SUBSTITUTE(CONCATENATE(C69,D69,E69)," ","")</f>
        <v>휠러외부용25kgKg</v>
      </c>
      <c r="B69" s="814" t="str">
        <f t="shared" si="1"/>
        <v>단가-65번</v>
      </c>
      <c r="C69" s="851" t="s">
        <v>6426</v>
      </c>
      <c r="D69" s="782" t="s">
        <v>6427</v>
      </c>
      <c r="E69" s="775" t="s">
        <v>2353</v>
      </c>
      <c r="F69" s="815">
        <v>1650</v>
      </c>
      <c r="G69" s="815">
        <v>636</v>
      </c>
      <c r="H69" s="815"/>
      <c r="I69" s="815"/>
      <c r="J69" s="816"/>
      <c r="K69" s="816"/>
      <c r="L69" s="816">
        <f t="shared" si="2"/>
        <v>1650</v>
      </c>
      <c r="M69" s="817"/>
      <c r="N69" s="818">
        <f t="shared" si="3"/>
        <v>65</v>
      </c>
    </row>
    <row r="70" spans="1:15" ht="24.6" customHeight="1">
      <c r="A70" s="813" t="str">
        <f t="shared" si="4"/>
        <v>연마지#120매</v>
      </c>
      <c r="B70" s="814" t="str">
        <f t="shared" si="1"/>
        <v>단가-66번</v>
      </c>
      <c r="C70" s="847" t="s">
        <v>6428</v>
      </c>
      <c r="D70" s="838" t="s">
        <v>6060</v>
      </c>
      <c r="E70" s="814" t="s">
        <v>5992</v>
      </c>
      <c r="F70" s="815">
        <v>260</v>
      </c>
      <c r="G70" s="815">
        <v>1420</v>
      </c>
      <c r="H70" s="815">
        <v>319</v>
      </c>
      <c r="I70" s="815" t="s">
        <v>6429</v>
      </c>
      <c r="J70" s="816"/>
      <c r="K70" s="816"/>
      <c r="L70" s="816">
        <f t="shared" ref="L70:L133" si="5">IF(M70="",TRUNC(MIN(F70,H70,J70,K70),0),INT(TRUNC(MIN(F70,H70,J70,K70),0)*M70))*$N$4</f>
        <v>260</v>
      </c>
      <c r="M70" s="817"/>
      <c r="N70" s="818">
        <f t="shared" si="3"/>
        <v>66</v>
      </c>
    </row>
    <row r="71" spans="1:15" ht="24.6" customHeight="1">
      <c r="A71" s="813" t="str">
        <f t="shared" si="4"/>
        <v>인테리어필름지방염㎡</v>
      </c>
      <c r="B71" s="814" t="str">
        <f t="shared" si="1"/>
        <v>단가-67번</v>
      </c>
      <c r="C71" s="839" t="s">
        <v>6430</v>
      </c>
      <c r="D71" s="733" t="s">
        <v>6431</v>
      </c>
      <c r="E71" s="796" t="s">
        <v>6432</v>
      </c>
      <c r="F71" s="815">
        <v>34000</v>
      </c>
      <c r="G71" s="815">
        <v>700</v>
      </c>
      <c r="H71" s="815">
        <v>34000</v>
      </c>
      <c r="I71" s="815" t="s">
        <v>6433</v>
      </c>
      <c r="J71" s="816"/>
      <c r="K71" s="816"/>
      <c r="L71" s="816">
        <f t="shared" si="5"/>
        <v>34000</v>
      </c>
      <c r="M71" s="817"/>
      <c r="N71" s="818">
        <f t="shared" ref="N71:N134" si="6">N70+1</f>
        <v>67</v>
      </c>
    </row>
    <row r="72" spans="1:15" ht="24.6" customHeight="1">
      <c r="A72" s="813" t="str">
        <f t="shared" si="4"/>
        <v>접착제수성프라이머나-2000Kg</v>
      </c>
      <c r="B72" s="814" t="str">
        <f t="shared" si="1"/>
        <v>단가-68번</v>
      </c>
      <c r="C72" s="839" t="s">
        <v>6434</v>
      </c>
      <c r="D72" s="733" t="s">
        <v>6435</v>
      </c>
      <c r="E72" s="796" t="s">
        <v>6436</v>
      </c>
      <c r="F72" s="815"/>
      <c r="G72" s="815"/>
      <c r="H72" s="852">
        <v>5400</v>
      </c>
      <c r="I72" s="829" t="s">
        <v>6437</v>
      </c>
      <c r="J72" s="816"/>
      <c r="K72" s="816"/>
      <c r="L72" s="816">
        <f t="shared" si="5"/>
        <v>5400</v>
      </c>
      <c r="M72" s="817"/>
      <c r="N72" s="818">
        <f t="shared" si="6"/>
        <v>68</v>
      </c>
    </row>
    <row r="73" spans="1:15" ht="24.6" customHeight="1">
      <c r="A73" s="813" t="str">
        <f t="shared" si="4"/>
        <v>강화유리T12mmM2</v>
      </c>
      <c r="B73" s="814" t="str">
        <f t="shared" si="1"/>
        <v>단가-69번</v>
      </c>
      <c r="C73" s="839" t="s">
        <v>6438</v>
      </c>
      <c r="D73" s="733" t="s">
        <v>6439</v>
      </c>
      <c r="E73" s="796" t="s">
        <v>6440</v>
      </c>
      <c r="F73" s="733">
        <v>40000</v>
      </c>
      <c r="G73" s="815">
        <v>626</v>
      </c>
      <c r="H73" s="733">
        <v>38000</v>
      </c>
      <c r="I73" s="815" t="s">
        <v>6441</v>
      </c>
      <c r="J73" s="816"/>
      <c r="K73" s="816"/>
      <c r="L73" s="816">
        <f t="shared" si="5"/>
        <v>38000</v>
      </c>
      <c r="M73" s="817"/>
      <c r="N73" s="818">
        <f t="shared" si="6"/>
        <v>69</v>
      </c>
    </row>
    <row r="74" spans="1:15" ht="24.6" customHeight="1">
      <c r="A74" s="813" t="str">
        <f t="shared" si="4"/>
        <v>강화유리T10mmM2</v>
      </c>
      <c r="B74" s="814" t="str">
        <f t="shared" si="1"/>
        <v>단가-70번</v>
      </c>
      <c r="C74" s="839" t="s">
        <v>6438</v>
      </c>
      <c r="D74" s="733" t="s">
        <v>6442</v>
      </c>
      <c r="E74" s="796" t="s">
        <v>6440</v>
      </c>
      <c r="F74" s="733">
        <v>32000</v>
      </c>
      <c r="G74" s="815">
        <v>626</v>
      </c>
      <c r="H74" s="733">
        <v>33400</v>
      </c>
      <c r="I74" s="815" t="s">
        <v>6441</v>
      </c>
      <c r="J74" s="816"/>
      <c r="K74" s="816"/>
      <c r="L74" s="816">
        <f t="shared" si="5"/>
        <v>32000</v>
      </c>
      <c r="M74" s="817"/>
      <c r="N74" s="818">
        <f t="shared" si="6"/>
        <v>70</v>
      </c>
    </row>
    <row r="75" spans="1:15" ht="24.6" customHeight="1">
      <c r="A75" s="813" t="str">
        <f t="shared" si="4"/>
        <v>강화유리T8mmM2</v>
      </c>
      <c r="B75" s="814" t="str">
        <f t="shared" si="1"/>
        <v>단가-71번</v>
      </c>
      <c r="C75" s="839" t="s">
        <v>6438</v>
      </c>
      <c r="D75" s="733" t="s">
        <v>6443</v>
      </c>
      <c r="E75" s="796" t="s">
        <v>6440</v>
      </c>
      <c r="F75" s="733">
        <v>25000</v>
      </c>
      <c r="G75" s="815">
        <v>626</v>
      </c>
      <c r="H75" s="733">
        <v>26300</v>
      </c>
      <c r="I75" s="815" t="s">
        <v>6441</v>
      </c>
      <c r="J75" s="816"/>
      <c r="K75" s="816"/>
      <c r="L75" s="816">
        <f t="shared" si="5"/>
        <v>25000</v>
      </c>
      <c r="M75" s="817"/>
      <c r="N75" s="818">
        <f t="shared" si="6"/>
        <v>71</v>
      </c>
    </row>
    <row r="76" spans="1:15" ht="24.6" customHeight="1">
      <c r="A76" s="813" t="str">
        <f t="shared" si="4"/>
        <v>쉐락니스L</v>
      </c>
      <c r="B76" s="853" t="str">
        <f t="shared" si="1"/>
        <v>단가-72번</v>
      </c>
      <c r="C76" s="854" t="s">
        <v>6444</v>
      </c>
      <c r="D76" s="697"/>
      <c r="E76" s="698" t="s">
        <v>6167</v>
      </c>
      <c r="F76" s="855"/>
      <c r="G76" s="855"/>
      <c r="H76" s="856"/>
      <c r="I76" s="855"/>
      <c r="J76" s="857">
        <v>4850</v>
      </c>
      <c r="K76" s="857">
        <v>5000</v>
      </c>
      <c r="L76" s="832">
        <f t="shared" si="5"/>
        <v>4850</v>
      </c>
      <c r="M76" s="833"/>
      <c r="N76" s="716">
        <f t="shared" si="6"/>
        <v>72</v>
      </c>
      <c r="O76" s="834" t="s">
        <v>6445</v>
      </c>
    </row>
    <row r="77" spans="1:15" ht="24.6" customHeight="1">
      <c r="A77" s="813" t="str">
        <f t="shared" si="4"/>
        <v>화이버테이프m</v>
      </c>
      <c r="B77" s="853" t="str">
        <f t="shared" si="1"/>
        <v>단가-73번</v>
      </c>
      <c r="C77" s="858" t="s">
        <v>6446</v>
      </c>
      <c r="D77" s="859"/>
      <c r="E77" s="860" t="s">
        <v>6121</v>
      </c>
      <c r="F77" s="855"/>
      <c r="G77" s="855"/>
      <c r="H77" s="855"/>
      <c r="I77" s="855"/>
      <c r="J77" s="855">
        <v>60</v>
      </c>
      <c r="K77" s="861">
        <v>65</v>
      </c>
      <c r="L77" s="832">
        <f t="shared" si="5"/>
        <v>60</v>
      </c>
      <c r="M77" s="833"/>
      <c r="N77" s="716">
        <f t="shared" si="6"/>
        <v>73</v>
      </c>
      <c r="O77" s="834" t="s">
        <v>6445</v>
      </c>
    </row>
    <row r="78" spans="1:15" ht="24.6" customHeight="1">
      <c r="A78" s="813" t="str">
        <f t="shared" si="4"/>
        <v>M-BAR50*20*0.8TM</v>
      </c>
      <c r="B78" s="814" t="str">
        <f t="shared" si="1"/>
        <v>단가-74번</v>
      </c>
      <c r="C78" s="839" t="s">
        <v>6119</v>
      </c>
      <c r="D78" s="733" t="s">
        <v>6120</v>
      </c>
      <c r="E78" s="796" t="s">
        <v>5899</v>
      </c>
      <c r="F78" s="733"/>
      <c r="G78" s="815"/>
      <c r="H78" s="733"/>
      <c r="I78" s="815"/>
      <c r="J78" s="733">
        <v>3500</v>
      </c>
      <c r="K78" s="733">
        <v>3800</v>
      </c>
      <c r="L78" s="816">
        <f t="shared" si="5"/>
        <v>3500</v>
      </c>
      <c r="M78" s="817"/>
      <c r="N78" s="818">
        <f>N77+1</f>
        <v>74</v>
      </c>
      <c r="O78" s="819" t="s">
        <v>6447</v>
      </c>
    </row>
    <row r="79" spans="1:15" ht="24.6" customHeight="1">
      <c r="A79" s="813" t="str">
        <f t="shared" si="4"/>
        <v>그림걸이레일M</v>
      </c>
      <c r="B79" s="814" t="str">
        <f t="shared" si="1"/>
        <v>단가-75번</v>
      </c>
      <c r="C79" s="839" t="s">
        <v>6272</v>
      </c>
      <c r="D79" s="733"/>
      <c r="E79" s="796" t="s">
        <v>5899</v>
      </c>
      <c r="F79" s="733"/>
      <c r="G79" s="815"/>
      <c r="H79" s="733"/>
      <c r="I79" s="815"/>
      <c r="J79" s="733">
        <v>6500</v>
      </c>
      <c r="K79" s="733">
        <v>11500</v>
      </c>
      <c r="L79" s="816">
        <f t="shared" si="5"/>
        <v>6500</v>
      </c>
      <c r="M79" s="817"/>
      <c r="N79" s="818">
        <f t="shared" si="6"/>
        <v>75</v>
      </c>
      <c r="O79" s="819" t="s">
        <v>6447</v>
      </c>
    </row>
    <row r="80" spans="1:15" ht="24.6" customHeight="1">
      <c r="A80" s="813" t="str">
        <f t="shared" si="4"/>
        <v>망사테이프M</v>
      </c>
      <c r="B80" s="814" t="str">
        <f t="shared" si="1"/>
        <v>단가-76번</v>
      </c>
      <c r="C80" s="839" t="s">
        <v>6061</v>
      </c>
      <c r="D80" s="733"/>
      <c r="E80" s="796" t="s">
        <v>5899</v>
      </c>
      <c r="F80" s="733"/>
      <c r="G80" s="815"/>
      <c r="H80" s="733"/>
      <c r="I80" s="815"/>
      <c r="J80" s="733">
        <v>320</v>
      </c>
      <c r="K80" s="733">
        <v>350</v>
      </c>
      <c r="L80" s="816">
        <f t="shared" si="5"/>
        <v>320</v>
      </c>
      <c r="M80" s="817"/>
      <c r="N80" s="818">
        <f t="shared" si="6"/>
        <v>76</v>
      </c>
      <c r="O80" s="819" t="s">
        <v>6445</v>
      </c>
    </row>
    <row r="81" spans="1:15" ht="24.6" customHeight="1">
      <c r="A81" s="813" t="str">
        <f t="shared" si="4"/>
        <v>면취M</v>
      </c>
      <c r="B81" s="814" t="str">
        <f t="shared" si="1"/>
        <v>단가-77번</v>
      </c>
      <c r="C81" s="839" t="s">
        <v>6448</v>
      </c>
      <c r="D81" s="733"/>
      <c r="E81" s="796" t="s">
        <v>5899</v>
      </c>
      <c r="F81" s="733"/>
      <c r="G81" s="815"/>
      <c r="H81" s="733"/>
      <c r="I81" s="815"/>
      <c r="J81" s="733">
        <v>11000</v>
      </c>
      <c r="K81" s="733">
        <v>12000</v>
      </c>
      <c r="L81" s="816">
        <f t="shared" si="5"/>
        <v>11000</v>
      </c>
      <c r="M81" s="817"/>
      <c r="N81" s="818">
        <f t="shared" si="6"/>
        <v>77</v>
      </c>
      <c r="O81" s="819" t="s">
        <v>6447</v>
      </c>
    </row>
    <row r="82" spans="1:15" ht="24.6" customHeight="1">
      <c r="A82" s="813" t="str">
        <f t="shared" si="4"/>
        <v>피아노경첩M</v>
      </c>
      <c r="B82" s="814" t="str">
        <f t="shared" si="1"/>
        <v>단가-78번</v>
      </c>
      <c r="C82" s="839" t="s">
        <v>6217</v>
      </c>
      <c r="D82" s="733"/>
      <c r="E82" s="796" t="s">
        <v>5899</v>
      </c>
      <c r="F82" s="733"/>
      <c r="G82" s="815"/>
      <c r="H82" s="733"/>
      <c r="I82" s="815"/>
      <c r="J82" s="733">
        <v>12000</v>
      </c>
      <c r="K82" s="733">
        <v>13000</v>
      </c>
      <c r="L82" s="816">
        <f t="shared" si="5"/>
        <v>12000</v>
      </c>
      <c r="M82" s="817"/>
      <c r="N82" s="818">
        <f t="shared" si="6"/>
        <v>78</v>
      </c>
      <c r="O82" s="819" t="s">
        <v>6447</v>
      </c>
    </row>
    <row r="83" spans="1:15" ht="24.6" customHeight="1">
      <c r="A83" s="813" t="str">
        <f t="shared" si="4"/>
        <v>매입경첩중형set</v>
      </c>
      <c r="B83" s="814" t="str">
        <f t="shared" si="1"/>
        <v>단가-79번</v>
      </c>
      <c r="C83" s="839" t="s">
        <v>6449</v>
      </c>
      <c r="D83" s="733" t="s">
        <v>6450</v>
      </c>
      <c r="E83" s="796" t="s">
        <v>6209</v>
      </c>
      <c r="F83" s="733"/>
      <c r="G83" s="815"/>
      <c r="H83" s="733"/>
      <c r="I83" s="815"/>
      <c r="J83" s="733">
        <v>35000</v>
      </c>
      <c r="K83" s="733">
        <v>42000</v>
      </c>
      <c r="L83" s="816">
        <f t="shared" si="5"/>
        <v>35000</v>
      </c>
      <c r="M83" s="817"/>
      <c r="N83" s="818">
        <f t="shared" si="6"/>
        <v>79</v>
      </c>
      <c r="O83" s="819" t="s">
        <v>6447</v>
      </c>
    </row>
    <row r="84" spans="1:15" ht="24.6" customHeight="1">
      <c r="A84" s="813" t="str">
        <f t="shared" si="4"/>
        <v>AL.패킹바M</v>
      </c>
      <c r="B84" s="814" t="str">
        <f t="shared" si="1"/>
        <v>단가-80번</v>
      </c>
      <c r="C84" s="839" t="s">
        <v>6232</v>
      </c>
      <c r="D84" s="770"/>
      <c r="E84" s="796" t="s">
        <v>5899</v>
      </c>
      <c r="F84" s="733"/>
      <c r="G84" s="815"/>
      <c r="H84" s="733"/>
      <c r="I84" s="815"/>
      <c r="J84" s="733">
        <v>5000</v>
      </c>
      <c r="K84" s="733">
        <v>6500</v>
      </c>
      <c r="L84" s="816">
        <f t="shared" si="5"/>
        <v>5000</v>
      </c>
      <c r="M84" s="817"/>
      <c r="N84" s="818">
        <f t="shared" si="6"/>
        <v>80</v>
      </c>
      <c r="O84" s="819" t="s">
        <v>6447</v>
      </c>
    </row>
    <row r="85" spans="1:15" ht="24.6" customHeight="1">
      <c r="A85" s="813" t="str">
        <f>SUBSTITUTE(CONCATENATE(C85,D85,E85)," ","")</f>
        <v>밀폐패킹소형M</v>
      </c>
      <c r="B85" s="814" t="str">
        <f t="shared" si="1"/>
        <v>단가-81번</v>
      </c>
      <c r="C85" s="862" t="s">
        <v>6451</v>
      </c>
      <c r="D85" s="863" t="s">
        <v>6452</v>
      </c>
      <c r="E85" s="796" t="s">
        <v>5899</v>
      </c>
      <c r="F85" s="733"/>
      <c r="G85" s="815"/>
      <c r="H85" s="733"/>
      <c r="I85" s="815"/>
      <c r="J85" s="864">
        <v>6000</v>
      </c>
      <c r="K85" s="865">
        <v>8000</v>
      </c>
      <c r="L85" s="816">
        <f t="shared" si="5"/>
        <v>6000</v>
      </c>
      <c r="M85" s="817"/>
      <c r="N85" s="818">
        <f t="shared" si="6"/>
        <v>81</v>
      </c>
      <c r="O85" s="819" t="s">
        <v>6447</v>
      </c>
    </row>
    <row r="86" spans="1:15" ht="24.6" customHeight="1">
      <c r="A86" s="813" t="str">
        <f t="shared" si="4"/>
        <v>밀폐패킹대형M</v>
      </c>
      <c r="B86" s="814" t="str">
        <f t="shared" si="1"/>
        <v>단가-82번</v>
      </c>
      <c r="C86" s="862" t="s">
        <v>6451</v>
      </c>
      <c r="D86" s="863" t="s">
        <v>6236</v>
      </c>
      <c r="E86" s="796" t="s">
        <v>5899</v>
      </c>
      <c r="F86" s="733"/>
      <c r="G86" s="815"/>
      <c r="H86" s="733"/>
      <c r="I86" s="815"/>
      <c r="J86" s="864">
        <v>9000</v>
      </c>
      <c r="K86" s="865">
        <v>11000</v>
      </c>
      <c r="L86" s="816">
        <f t="shared" si="5"/>
        <v>9000</v>
      </c>
      <c r="M86" s="817"/>
      <c r="N86" s="818">
        <f t="shared" si="6"/>
        <v>82</v>
      </c>
      <c r="O86" s="819" t="s">
        <v>6447</v>
      </c>
    </row>
    <row r="87" spans="1:15" ht="24.6" customHeight="1">
      <c r="A87" s="813" t="str">
        <f t="shared" si="4"/>
        <v>LOCKSETTWOPINEA</v>
      </c>
      <c r="B87" s="814" t="str">
        <f t="shared" si="1"/>
        <v>단가-83번</v>
      </c>
      <c r="C87" s="839" t="s">
        <v>6220</v>
      </c>
      <c r="D87" s="733" t="s">
        <v>6221</v>
      </c>
      <c r="E87" s="796" t="s">
        <v>321</v>
      </c>
      <c r="F87" s="733"/>
      <c r="G87" s="815"/>
      <c r="H87" s="733"/>
      <c r="I87" s="815"/>
      <c r="J87" s="733">
        <v>30000</v>
      </c>
      <c r="K87" s="733">
        <v>36000</v>
      </c>
      <c r="L87" s="816">
        <f t="shared" si="5"/>
        <v>30000</v>
      </c>
      <c r="M87" s="817"/>
      <c r="N87" s="818">
        <f t="shared" si="6"/>
        <v>83</v>
      </c>
      <c r="O87" s="819" t="s">
        <v>6447</v>
      </c>
    </row>
    <row r="88" spans="1:15" ht="24.6" customHeight="1">
      <c r="A88" s="813" t="str">
        <f>SUBSTITUTE(CONCATENATE(C88,D88,E88)," ","")</f>
        <v>LOCKSET보강EA</v>
      </c>
      <c r="B88" s="814" t="str">
        <f t="shared" si="1"/>
        <v>단가-84번</v>
      </c>
      <c r="C88" s="839" t="s">
        <v>6222</v>
      </c>
      <c r="D88" s="733"/>
      <c r="E88" s="796" t="s">
        <v>321</v>
      </c>
      <c r="F88" s="733"/>
      <c r="G88" s="815"/>
      <c r="H88" s="733"/>
      <c r="I88" s="815"/>
      <c r="J88" s="733">
        <v>15000</v>
      </c>
      <c r="K88" s="733">
        <v>20000</v>
      </c>
      <c r="L88" s="816">
        <f t="shared" si="5"/>
        <v>15000</v>
      </c>
      <c r="M88" s="817"/>
      <c r="N88" s="818">
        <f t="shared" si="6"/>
        <v>84</v>
      </c>
      <c r="O88" s="819" t="s">
        <v>6447</v>
      </c>
    </row>
    <row r="89" spans="1:15" ht="24.6" customHeight="1">
      <c r="A89" s="813" t="str">
        <f t="shared" si="4"/>
        <v>세마직벽지1회특수벽지M2</v>
      </c>
      <c r="B89" s="814" t="str">
        <f t="shared" ref="B89:B140" si="7">"단가-"&amp;N89&amp;"번"</f>
        <v>단가-85번</v>
      </c>
      <c r="C89" s="839" t="s">
        <v>6063</v>
      </c>
      <c r="D89" s="733" t="s">
        <v>6067</v>
      </c>
      <c r="E89" s="796" t="s">
        <v>5980</v>
      </c>
      <c r="F89" s="733"/>
      <c r="G89" s="815"/>
      <c r="H89" s="733"/>
      <c r="I89" s="815"/>
      <c r="J89" s="733">
        <v>38000</v>
      </c>
      <c r="K89" s="733">
        <v>42000</v>
      </c>
      <c r="L89" s="816">
        <f t="shared" si="5"/>
        <v>38000</v>
      </c>
      <c r="M89" s="817"/>
      <c r="N89" s="818">
        <f t="shared" si="6"/>
        <v>85</v>
      </c>
      <c r="O89" s="819" t="s">
        <v>6447</v>
      </c>
    </row>
    <row r="90" spans="1:15" ht="24.6" customHeight="1">
      <c r="A90" s="813" t="str">
        <f>SUBSTITUTE(CONCATENATE(C90,D90,E90)," ","")</f>
        <v>LED전반조명CASEM</v>
      </c>
      <c r="B90" s="814" t="str">
        <f t="shared" si="7"/>
        <v>단가-86번</v>
      </c>
      <c r="C90" s="839" t="s">
        <v>6453</v>
      </c>
      <c r="D90" s="733"/>
      <c r="E90" s="866" t="s">
        <v>5899</v>
      </c>
      <c r="F90" s="733"/>
      <c r="G90" s="815"/>
      <c r="H90" s="733"/>
      <c r="I90" s="815"/>
      <c r="J90" s="733">
        <v>140000</v>
      </c>
      <c r="K90" s="733">
        <v>150000</v>
      </c>
      <c r="L90" s="816">
        <f t="shared" si="5"/>
        <v>140000</v>
      </c>
      <c r="M90" s="817"/>
      <c r="N90" s="818">
        <f t="shared" si="6"/>
        <v>86</v>
      </c>
      <c r="O90" s="819" t="s">
        <v>6447</v>
      </c>
    </row>
    <row r="91" spans="1:15" ht="24.6" customHeight="1">
      <c r="A91" s="813" t="str">
        <f t="shared" si="4"/>
        <v>AL.사출유리후렘성형가공벽부장(상부)205M</v>
      </c>
      <c r="B91" s="814" t="str">
        <f t="shared" si="7"/>
        <v>단가-87번</v>
      </c>
      <c r="C91" s="867" t="s">
        <v>6239</v>
      </c>
      <c r="D91" s="868" t="s">
        <v>6454</v>
      </c>
      <c r="E91" s="866" t="s">
        <v>5899</v>
      </c>
      <c r="F91" s="733"/>
      <c r="G91" s="815"/>
      <c r="H91" s="733"/>
      <c r="I91" s="815"/>
      <c r="J91" s="733">
        <v>200000</v>
      </c>
      <c r="K91" s="733">
        <v>250000</v>
      </c>
      <c r="L91" s="816">
        <f t="shared" si="5"/>
        <v>200000</v>
      </c>
      <c r="M91" s="817"/>
      <c r="N91" s="818">
        <f t="shared" si="6"/>
        <v>87</v>
      </c>
      <c r="O91" s="819" t="s">
        <v>6447</v>
      </c>
    </row>
    <row r="92" spans="1:15" ht="24.6" customHeight="1">
      <c r="A92" s="813" t="str">
        <f t="shared" si="4"/>
        <v>AL.사출유리후렘성형가공벽부장(하부)117M</v>
      </c>
      <c r="B92" s="814" t="str">
        <f t="shared" si="7"/>
        <v>단가-88번</v>
      </c>
      <c r="C92" s="867" t="s">
        <v>6239</v>
      </c>
      <c r="D92" s="868" t="s">
        <v>6455</v>
      </c>
      <c r="E92" s="866" t="s">
        <v>5899</v>
      </c>
      <c r="F92" s="733"/>
      <c r="G92" s="815"/>
      <c r="H92" s="733"/>
      <c r="I92" s="815"/>
      <c r="J92" s="733">
        <v>120000</v>
      </c>
      <c r="K92" s="733">
        <v>150000</v>
      </c>
      <c r="L92" s="816">
        <f t="shared" si="5"/>
        <v>120000</v>
      </c>
      <c r="M92" s="817"/>
      <c r="N92" s="818">
        <f t="shared" si="6"/>
        <v>88</v>
      </c>
      <c r="O92" s="819" t="s">
        <v>6447</v>
      </c>
    </row>
    <row r="93" spans="1:15" ht="24.6" customHeight="1">
      <c r="A93" s="813" t="str">
        <f t="shared" si="4"/>
        <v>AL.사출유리후렘성형가공독립장(상부)150M</v>
      </c>
      <c r="B93" s="814" t="str">
        <f t="shared" si="7"/>
        <v>단가-89번</v>
      </c>
      <c r="C93" s="867" t="s">
        <v>6239</v>
      </c>
      <c r="D93" s="868" t="s">
        <v>6456</v>
      </c>
      <c r="E93" s="866" t="s">
        <v>5899</v>
      </c>
      <c r="F93" s="733"/>
      <c r="G93" s="815"/>
      <c r="H93" s="733"/>
      <c r="I93" s="815"/>
      <c r="J93" s="733">
        <v>150000</v>
      </c>
      <c r="K93" s="733">
        <v>190000</v>
      </c>
      <c r="L93" s="816">
        <f t="shared" si="5"/>
        <v>150000</v>
      </c>
      <c r="M93" s="817"/>
      <c r="N93" s="818">
        <f t="shared" si="6"/>
        <v>89</v>
      </c>
      <c r="O93" s="819" t="s">
        <v>6447</v>
      </c>
    </row>
    <row r="94" spans="1:15" ht="24.6" customHeight="1">
      <c r="A94" s="813" t="str">
        <f t="shared" si="4"/>
        <v>AL.사출유리후렘성형가공독립장(하부)103M</v>
      </c>
      <c r="B94" s="814" t="str">
        <f t="shared" si="7"/>
        <v>단가-90번</v>
      </c>
      <c r="C94" s="867" t="s">
        <v>6239</v>
      </c>
      <c r="D94" s="868" t="s">
        <v>6457</v>
      </c>
      <c r="E94" s="866" t="s">
        <v>5899</v>
      </c>
      <c r="F94" s="733"/>
      <c r="G94" s="815"/>
      <c r="H94" s="733"/>
      <c r="I94" s="815"/>
      <c r="J94" s="733">
        <v>110000</v>
      </c>
      <c r="K94" s="733">
        <v>150000</v>
      </c>
      <c r="L94" s="816">
        <f t="shared" si="5"/>
        <v>110000</v>
      </c>
      <c r="M94" s="817"/>
      <c r="N94" s="818">
        <f t="shared" si="6"/>
        <v>90</v>
      </c>
      <c r="O94" s="819" t="s">
        <v>6447</v>
      </c>
    </row>
    <row r="95" spans="1:15" ht="24.6" customHeight="1">
      <c r="A95" s="813" t="str">
        <f>SUBSTITUTE(CONCATENATE(C95,D95,E95)," ","")</f>
        <v>LM가이드시스템Ø25SET</v>
      </c>
      <c r="B95" s="814" t="str">
        <f t="shared" si="7"/>
        <v>단가-91번</v>
      </c>
      <c r="C95" s="867" t="s">
        <v>6254</v>
      </c>
      <c r="D95" s="868" t="s">
        <v>6253</v>
      </c>
      <c r="E95" s="866" t="s">
        <v>6227</v>
      </c>
      <c r="F95" s="733"/>
      <c r="G95" s="815"/>
      <c r="H95" s="733"/>
      <c r="I95" s="815"/>
      <c r="J95" s="733">
        <v>120000</v>
      </c>
      <c r="K95" s="733">
        <v>150000</v>
      </c>
      <c r="L95" s="816">
        <f t="shared" si="5"/>
        <v>120000</v>
      </c>
      <c r="M95" s="817"/>
      <c r="N95" s="818">
        <f t="shared" si="6"/>
        <v>91</v>
      </c>
      <c r="O95" s="819" t="s">
        <v>6447</v>
      </c>
    </row>
    <row r="96" spans="1:15" ht="24.6" customHeight="1">
      <c r="A96" s="813" t="str">
        <f>SUBSTITUTE(CONCATENATE(C96,D96,E96)," ","")</f>
        <v>LM가이드(조명용)Ø25SET</v>
      </c>
      <c r="B96" s="814" t="str">
        <f t="shared" si="7"/>
        <v>단가-92번</v>
      </c>
      <c r="C96" s="867" t="s">
        <v>6458</v>
      </c>
      <c r="D96" s="868" t="s">
        <v>5071</v>
      </c>
      <c r="E96" s="866" t="s">
        <v>6227</v>
      </c>
      <c r="F96" s="733"/>
      <c r="G96" s="815"/>
      <c r="H96" s="733"/>
      <c r="I96" s="815"/>
      <c r="J96" s="733">
        <v>110000</v>
      </c>
      <c r="K96" s="733">
        <v>140000</v>
      </c>
      <c r="L96" s="816">
        <f t="shared" si="5"/>
        <v>110000</v>
      </c>
      <c r="M96" s="817"/>
      <c r="N96" s="818">
        <f t="shared" si="6"/>
        <v>92</v>
      </c>
      <c r="O96" s="819" t="s">
        <v>6447</v>
      </c>
    </row>
    <row r="97" spans="1:15" ht="24.6" customHeight="1">
      <c r="A97" s="813" t="str">
        <f>SUBSTITUTE(CONCATENATE(C97,D97,E97)," ","")</f>
        <v>LM가이드시스템보강판T10mm레이져가공ea</v>
      </c>
      <c r="B97" s="814" t="str">
        <f t="shared" si="7"/>
        <v>단가-93번</v>
      </c>
      <c r="C97" s="867" t="s">
        <v>6459</v>
      </c>
      <c r="D97" s="868" t="s">
        <v>6256</v>
      </c>
      <c r="E97" s="866" t="s">
        <v>6198</v>
      </c>
      <c r="F97" s="733"/>
      <c r="G97" s="815"/>
      <c r="H97" s="733"/>
      <c r="I97" s="815"/>
      <c r="J97" s="733">
        <v>18000</v>
      </c>
      <c r="K97" s="733">
        <v>19000</v>
      </c>
      <c r="L97" s="816">
        <f t="shared" si="5"/>
        <v>18000</v>
      </c>
      <c r="M97" s="817"/>
      <c r="N97" s="818">
        <f t="shared" si="6"/>
        <v>93</v>
      </c>
      <c r="O97" s="819" t="s">
        <v>6447</v>
      </c>
    </row>
    <row r="98" spans="1:15" ht="24.6" customHeight="1">
      <c r="A98" s="813" t="str">
        <f t="shared" si="4"/>
        <v>모터구동시스템웜기어전동실린더SET</v>
      </c>
      <c r="B98" s="814" t="str">
        <f t="shared" si="7"/>
        <v>단가-94번</v>
      </c>
      <c r="C98" s="867" t="s">
        <v>6259</v>
      </c>
      <c r="D98" s="868" t="s">
        <v>6258</v>
      </c>
      <c r="E98" s="866" t="s">
        <v>6227</v>
      </c>
      <c r="F98" s="733"/>
      <c r="G98" s="815"/>
      <c r="H98" s="733"/>
      <c r="I98" s="815"/>
      <c r="J98" s="733">
        <v>300000</v>
      </c>
      <c r="K98" s="733">
        <v>400000</v>
      </c>
      <c r="L98" s="816">
        <f t="shared" si="5"/>
        <v>300000</v>
      </c>
      <c r="M98" s="817"/>
      <c r="N98" s="818">
        <f t="shared" si="6"/>
        <v>94</v>
      </c>
      <c r="O98" s="819" t="s">
        <v>6447</v>
      </c>
    </row>
    <row r="99" spans="1:15" ht="24.6" customHeight="1">
      <c r="A99" s="813" t="str">
        <f>SUBSTITUTE(CONCATENATE(C99,D99,E99)," ","")</f>
        <v>모터구동시스템보강T10mm레이져가공ea</v>
      </c>
      <c r="B99" s="814" t="str">
        <f t="shared" si="7"/>
        <v>단가-95번</v>
      </c>
      <c r="C99" s="867" t="s">
        <v>6460</v>
      </c>
      <c r="D99" s="868" t="s">
        <v>6256</v>
      </c>
      <c r="E99" s="866" t="s">
        <v>6198</v>
      </c>
      <c r="F99" s="733"/>
      <c r="G99" s="815"/>
      <c r="H99" s="733"/>
      <c r="I99" s="815"/>
      <c r="J99" s="733">
        <v>38000</v>
      </c>
      <c r="K99" s="733">
        <v>39000</v>
      </c>
      <c r="L99" s="816">
        <f t="shared" si="5"/>
        <v>38000</v>
      </c>
      <c r="M99" s="817"/>
      <c r="N99" s="818">
        <f t="shared" si="6"/>
        <v>95</v>
      </c>
      <c r="O99" s="819" t="s">
        <v>6447</v>
      </c>
    </row>
    <row r="100" spans="1:15" ht="24.6" customHeight="1">
      <c r="A100" s="813" t="str">
        <f t="shared" si="4"/>
        <v>베어링레일및가공22*422.3T가공M</v>
      </c>
      <c r="B100" s="814" t="str">
        <f t="shared" si="7"/>
        <v>단가-96번</v>
      </c>
      <c r="C100" s="795" t="s">
        <v>6263</v>
      </c>
      <c r="D100" s="868" t="s">
        <v>6461</v>
      </c>
      <c r="E100" s="866" t="s">
        <v>5899</v>
      </c>
      <c r="F100" s="733"/>
      <c r="G100" s="815"/>
      <c r="H100" s="733"/>
      <c r="I100" s="815"/>
      <c r="J100" s="733">
        <v>130000</v>
      </c>
      <c r="K100" s="733">
        <v>200000</v>
      </c>
      <c r="L100" s="816">
        <f t="shared" si="5"/>
        <v>130000</v>
      </c>
      <c r="M100" s="817"/>
      <c r="N100" s="818">
        <f t="shared" si="6"/>
        <v>96</v>
      </c>
      <c r="O100" s="819" t="s">
        <v>6447</v>
      </c>
    </row>
    <row r="101" spans="1:15" ht="24.6" customHeight="1">
      <c r="A101" s="813" t="str">
        <f t="shared" si="4"/>
        <v>슬라이딩베어링Ø26EA</v>
      </c>
      <c r="B101" s="814" t="str">
        <f t="shared" si="7"/>
        <v>단가-97번</v>
      </c>
      <c r="C101" s="867" t="s">
        <v>6266</v>
      </c>
      <c r="D101" s="868" t="s">
        <v>6267</v>
      </c>
      <c r="E101" s="866" t="s">
        <v>6118</v>
      </c>
      <c r="F101" s="733"/>
      <c r="G101" s="815"/>
      <c r="H101" s="733"/>
      <c r="I101" s="815"/>
      <c r="J101" s="733">
        <v>6500</v>
      </c>
      <c r="K101" s="733">
        <v>7000</v>
      </c>
      <c r="L101" s="816">
        <f t="shared" si="5"/>
        <v>6500</v>
      </c>
      <c r="M101" s="833"/>
      <c r="N101" s="818">
        <f t="shared" si="6"/>
        <v>97</v>
      </c>
      <c r="O101" s="819" t="s">
        <v>6447</v>
      </c>
    </row>
    <row r="102" spans="1:15" ht="24.6" customHeight="1">
      <c r="A102" s="813" t="str">
        <f>SUBSTITUTE(CONCATENATE(C102,D102,E102)," ","")</f>
        <v>베어링붓싱가공#6200EA</v>
      </c>
      <c r="B102" s="814" t="str">
        <f t="shared" si="7"/>
        <v>단가-98번</v>
      </c>
      <c r="C102" s="867" t="s">
        <v>6462</v>
      </c>
      <c r="D102" s="868" t="s">
        <v>5079</v>
      </c>
      <c r="E102" s="866" t="s">
        <v>6118</v>
      </c>
      <c r="F102" s="733"/>
      <c r="G102" s="815"/>
      <c r="H102" s="733"/>
      <c r="I102" s="815"/>
      <c r="J102" s="733">
        <v>6000</v>
      </c>
      <c r="K102" s="733">
        <v>6300</v>
      </c>
      <c r="L102" s="816">
        <f t="shared" si="5"/>
        <v>6000</v>
      </c>
      <c r="M102" s="833"/>
      <c r="N102" s="818">
        <f t="shared" si="6"/>
        <v>98</v>
      </c>
      <c r="O102" s="819" t="s">
        <v>6447</v>
      </c>
    </row>
    <row r="103" spans="1:15" ht="24.6" customHeight="1">
      <c r="A103" s="813" t="str">
        <f t="shared" si="4"/>
        <v>센터베어링및스톱파벽부형ea</v>
      </c>
      <c r="B103" s="814" t="str">
        <f t="shared" si="7"/>
        <v>단가-99번</v>
      </c>
      <c r="C103" s="867" t="s">
        <v>6275</v>
      </c>
      <c r="D103" s="739" t="s">
        <v>6463</v>
      </c>
      <c r="E103" s="796" t="s">
        <v>6198</v>
      </c>
      <c r="F103" s="733"/>
      <c r="G103" s="815"/>
      <c r="H103" s="733"/>
      <c r="I103" s="815"/>
      <c r="J103" s="733">
        <v>80000</v>
      </c>
      <c r="K103" s="733">
        <v>100000</v>
      </c>
      <c r="L103" s="816">
        <f t="shared" si="5"/>
        <v>80000</v>
      </c>
      <c r="M103" s="833"/>
      <c r="N103" s="818">
        <f t="shared" si="6"/>
        <v>99</v>
      </c>
      <c r="O103" s="819" t="s">
        <v>6447</v>
      </c>
    </row>
    <row r="104" spans="1:15" ht="24.6" customHeight="1">
      <c r="A104" s="813" t="str">
        <f t="shared" si="4"/>
        <v>센터베어링및스톱파독립형1단ea</v>
      </c>
      <c r="B104" s="814" t="str">
        <f t="shared" si="7"/>
        <v>단가-100번</v>
      </c>
      <c r="C104" s="867" t="s">
        <v>6275</v>
      </c>
      <c r="D104" s="739" t="s">
        <v>6464</v>
      </c>
      <c r="E104" s="796" t="s">
        <v>6198</v>
      </c>
      <c r="F104" s="733"/>
      <c r="G104" s="815"/>
      <c r="H104" s="733"/>
      <c r="I104" s="815"/>
      <c r="J104" s="733">
        <v>70000</v>
      </c>
      <c r="K104" s="733">
        <v>120000</v>
      </c>
      <c r="L104" s="816">
        <f t="shared" si="5"/>
        <v>70000</v>
      </c>
      <c r="M104" s="833"/>
      <c r="N104" s="818">
        <f t="shared" si="6"/>
        <v>100</v>
      </c>
      <c r="O104" s="819" t="s">
        <v>6447</v>
      </c>
    </row>
    <row r="105" spans="1:15" ht="24.6" customHeight="1">
      <c r="A105" s="813" t="str">
        <f>SUBSTITUTE(CONCATENATE(C105,D105,E105)," ","")</f>
        <v>센터베어링및스톱파독립형2단ea</v>
      </c>
      <c r="B105" s="814" t="str">
        <f t="shared" si="7"/>
        <v>단가-101번</v>
      </c>
      <c r="C105" s="867" t="s">
        <v>6275</v>
      </c>
      <c r="D105" s="739" t="s">
        <v>6465</v>
      </c>
      <c r="E105" s="796" t="s">
        <v>6198</v>
      </c>
      <c r="F105" s="733"/>
      <c r="G105" s="815"/>
      <c r="H105" s="733"/>
      <c r="I105" s="815"/>
      <c r="J105" s="733">
        <v>100000</v>
      </c>
      <c r="K105" s="733">
        <v>150000</v>
      </c>
      <c r="L105" s="816">
        <f t="shared" si="5"/>
        <v>100000</v>
      </c>
      <c r="M105" s="833"/>
      <c r="N105" s="818">
        <f t="shared" si="6"/>
        <v>101</v>
      </c>
      <c r="O105" s="819" t="s">
        <v>6447</v>
      </c>
    </row>
    <row r="106" spans="1:15" ht="24.6" customHeight="1">
      <c r="A106" s="813" t="str">
        <f>SUBSTITUTE(CONCATENATE(C106,D106,E106)," ","")</f>
        <v>센터베어링가이드T2.3mm가공ea</v>
      </c>
      <c r="B106" s="814" t="str">
        <f t="shared" si="7"/>
        <v>단가-102번</v>
      </c>
      <c r="C106" s="867" t="s">
        <v>6276</v>
      </c>
      <c r="D106" s="739" t="s">
        <v>6466</v>
      </c>
      <c r="E106" s="796" t="s">
        <v>6198</v>
      </c>
      <c r="F106" s="733"/>
      <c r="G106" s="815"/>
      <c r="H106" s="733"/>
      <c r="I106" s="815"/>
      <c r="J106" s="733">
        <v>15000</v>
      </c>
      <c r="K106" s="733">
        <v>18000</v>
      </c>
      <c r="L106" s="816">
        <f t="shared" si="5"/>
        <v>15000</v>
      </c>
      <c r="M106" s="833"/>
      <c r="N106" s="818">
        <f t="shared" si="6"/>
        <v>102</v>
      </c>
      <c r="O106" s="819" t="s">
        <v>6447</v>
      </c>
    </row>
    <row r="107" spans="1:15" ht="24.6" customHeight="1">
      <c r="A107" s="813" t="str">
        <f>SUBSTITUTE(CONCATENATE(C107,D107,E107)," ","")</f>
        <v>CASTER&amp;ADJUSTEREA</v>
      </c>
      <c r="B107" s="814" t="str">
        <f t="shared" si="7"/>
        <v>단가-103번</v>
      </c>
      <c r="C107" s="839" t="s">
        <v>6287</v>
      </c>
      <c r="D107" s="733"/>
      <c r="E107" s="796" t="s">
        <v>6118</v>
      </c>
      <c r="F107" s="733"/>
      <c r="G107" s="815"/>
      <c r="H107" s="733"/>
      <c r="I107" s="815"/>
      <c r="J107" s="733">
        <v>40000</v>
      </c>
      <c r="K107" s="733">
        <v>50000</v>
      </c>
      <c r="L107" s="816">
        <f t="shared" si="5"/>
        <v>40000</v>
      </c>
      <c r="M107" s="833"/>
      <c r="N107" s="818">
        <f t="shared" si="6"/>
        <v>103</v>
      </c>
      <c r="O107" s="819" t="s">
        <v>6447</v>
      </c>
    </row>
    <row r="108" spans="1:15" ht="24.6" customHeight="1">
      <c r="A108" s="813" t="str">
        <f t="shared" si="4"/>
        <v>CASTER&amp;ADJUSTER보강T4.5mm레이져가공EA</v>
      </c>
      <c r="B108" s="814" t="str">
        <f t="shared" si="7"/>
        <v>단가-104번</v>
      </c>
      <c r="C108" s="839" t="s">
        <v>6288</v>
      </c>
      <c r="D108" s="733" t="s">
        <v>6229</v>
      </c>
      <c r="E108" s="796" t="s">
        <v>6118</v>
      </c>
      <c r="F108" s="733"/>
      <c r="G108" s="815"/>
      <c r="H108" s="733"/>
      <c r="I108" s="815"/>
      <c r="J108" s="733">
        <v>10000</v>
      </c>
      <c r="K108" s="733">
        <v>15000</v>
      </c>
      <c r="L108" s="816">
        <f t="shared" si="5"/>
        <v>10000</v>
      </c>
      <c r="M108" s="833"/>
      <c r="N108" s="818">
        <f t="shared" si="6"/>
        <v>104</v>
      </c>
      <c r="O108" s="819" t="s">
        <v>6447</v>
      </c>
    </row>
    <row r="109" spans="1:15" ht="24.6" customHeight="1">
      <c r="A109" s="813" t="str">
        <f t="shared" si="4"/>
        <v>유압쇽업쇼바20kgSET</v>
      </c>
      <c r="B109" s="814" t="str">
        <f t="shared" si="7"/>
        <v>단가-105번</v>
      </c>
      <c r="C109" s="869" t="s">
        <v>6226</v>
      </c>
      <c r="D109" s="868" t="s">
        <v>6225</v>
      </c>
      <c r="E109" s="866" t="s">
        <v>6227</v>
      </c>
      <c r="F109" s="733"/>
      <c r="G109" s="815"/>
      <c r="H109" s="733"/>
      <c r="I109" s="815"/>
      <c r="J109" s="733">
        <v>20000</v>
      </c>
      <c r="K109" s="733">
        <v>25000</v>
      </c>
      <c r="L109" s="816">
        <f t="shared" si="5"/>
        <v>20000</v>
      </c>
      <c r="M109" s="833"/>
      <c r="N109" s="818">
        <f t="shared" si="6"/>
        <v>105</v>
      </c>
      <c r="O109" s="819" t="s">
        <v>6447</v>
      </c>
    </row>
    <row r="110" spans="1:15" ht="24.6" customHeight="1">
      <c r="A110" s="813" t="str">
        <f t="shared" si="4"/>
        <v>유압쇽업쇼바40kgSET</v>
      </c>
      <c r="B110" s="814" t="str">
        <f t="shared" si="7"/>
        <v>단가-106번</v>
      </c>
      <c r="C110" s="869" t="s">
        <v>6226</v>
      </c>
      <c r="D110" s="868" t="s">
        <v>6230</v>
      </c>
      <c r="E110" s="866" t="s">
        <v>6227</v>
      </c>
      <c r="F110" s="733"/>
      <c r="G110" s="815"/>
      <c r="H110" s="733"/>
      <c r="I110" s="815"/>
      <c r="J110" s="733">
        <v>30000</v>
      </c>
      <c r="K110" s="733">
        <v>40000</v>
      </c>
      <c r="L110" s="816">
        <f t="shared" si="5"/>
        <v>30000</v>
      </c>
      <c r="M110" s="833"/>
      <c r="N110" s="818">
        <f t="shared" si="6"/>
        <v>106</v>
      </c>
      <c r="O110" s="819" t="s">
        <v>6447</v>
      </c>
    </row>
    <row r="111" spans="1:15" ht="24.6" customHeight="1">
      <c r="A111" s="813" t="str">
        <f t="shared" si="4"/>
        <v>유압쇽업쇼바보강T4.5mm레이져가공ea</v>
      </c>
      <c r="B111" s="814" t="str">
        <f t="shared" si="7"/>
        <v>단가-107번</v>
      </c>
      <c r="C111" s="869" t="s">
        <v>6228</v>
      </c>
      <c r="D111" s="868" t="s">
        <v>6229</v>
      </c>
      <c r="E111" s="866" t="s">
        <v>6198</v>
      </c>
      <c r="F111" s="733"/>
      <c r="G111" s="815"/>
      <c r="H111" s="733"/>
      <c r="I111" s="815"/>
      <c r="J111" s="733">
        <v>9000</v>
      </c>
      <c r="K111" s="733">
        <v>11000</v>
      </c>
      <c r="L111" s="816">
        <f t="shared" si="5"/>
        <v>9000</v>
      </c>
      <c r="M111" s="817"/>
      <c r="N111" s="818">
        <f t="shared" si="6"/>
        <v>107</v>
      </c>
      <c r="O111" s="819" t="s">
        <v>6447</v>
      </c>
    </row>
    <row r="112" spans="1:15" s="827" customFormat="1" ht="24.6" customHeight="1">
      <c r="A112" s="813" t="str">
        <f t="shared" si="4"/>
        <v>이동식배면판(전동식)4800*3400SET</v>
      </c>
      <c r="B112" s="814" t="str">
        <f t="shared" si="7"/>
        <v>단가-108번</v>
      </c>
      <c r="C112" s="869" t="s">
        <v>6467</v>
      </c>
      <c r="D112" s="868" t="s">
        <v>6468</v>
      </c>
      <c r="E112" s="866" t="s">
        <v>6227</v>
      </c>
      <c r="F112" s="733"/>
      <c r="G112" s="815"/>
      <c r="H112" s="733"/>
      <c r="I112" s="815"/>
      <c r="J112" s="733">
        <v>11000000</v>
      </c>
      <c r="K112" s="733">
        <v>12000000</v>
      </c>
      <c r="L112" s="816">
        <f t="shared" si="5"/>
        <v>11000000</v>
      </c>
      <c r="M112" s="817"/>
      <c r="N112" s="818">
        <f t="shared" si="6"/>
        <v>108</v>
      </c>
      <c r="O112" s="819" t="s">
        <v>6447</v>
      </c>
    </row>
    <row r="113" spans="1:15" ht="24.6" customHeight="1">
      <c r="A113" s="813" t="str">
        <f t="shared" si="4"/>
        <v>이동식배면판(전동식)7200*3400SET</v>
      </c>
      <c r="B113" s="814" t="str">
        <f t="shared" si="7"/>
        <v>단가-109번</v>
      </c>
      <c r="C113" s="869" t="s">
        <v>6467</v>
      </c>
      <c r="D113" s="868" t="s">
        <v>6469</v>
      </c>
      <c r="E113" s="866" t="s">
        <v>6227</v>
      </c>
      <c r="F113" s="733"/>
      <c r="G113" s="815"/>
      <c r="H113" s="733"/>
      <c r="I113" s="815"/>
      <c r="J113" s="733">
        <v>15000000</v>
      </c>
      <c r="K113" s="733">
        <v>17000000</v>
      </c>
      <c r="L113" s="816">
        <f t="shared" si="5"/>
        <v>15000000</v>
      </c>
      <c r="M113" s="817"/>
      <c r="N113" s="818">
        <f t="shared" si="6"/>
        <v>109</v>
      </c>
      <c r="O113" s="819" t="s">
        <v>6447</v>
      </c>
    </row>
    <row r="114" spans="1:15" ht="24.6" customHeight="1">
      <c r="A114" s="813" t="str">
        <f t="shared" si="4"/>
        <v>저반사접합유리(투과율99%)T10.76mmM2</v>
      </c>
      <c r="B114" s="853" t="str">
        <f t="shared" si="7"/>
        <v>단가-110번</v>
      </c>
      <c r="C114" s="854" t="s">
        <v>6081</v>
      </c>
      <c r="D114" s="697" t="s">
        <v>6080</v>
      </c>
      <c r="E114" s="698" t="s">
        <v>5980</v>
      </c>
      <c r="F114" s="697"/>
      <c r="G114" s="855"/>
      <c r="H114" s="697"/>
      <c r="I114" s="855"/>
      <c r="J114" s="697">
        <v>1500000</v>
      </c>
      <c r="K114" s="697">
        <v>1550000</v>
      </c>
      <c r="L114" s="832">
        <f t="shared" si="5"/>
        <v>1500000</v>
      </c>
      <c r="M114" s="833"/>
      <c r="N114" s="716">
        <f t="shared" si="6"/>
        <v>110</v>
      </c>
      <c r="O114" s="834" t="s">
        <v>6470</v>
      </c>
    </row>
    <row r="115" spans="1:15" ht="24.6" customHeight="1">
      <c r="A115" s="813" t="str">
        <f t="shared" si="4"/>
        <v>저반사접합유리(투과율98%)T10.76mmM2</v>
      </c>
      <c r="B115" s="853" t="str">
        <f t="shared" si="7"/>
        <v>단가-111번</v>
      </c>
      <c r="C115" s="854" t="s">
        <v>6087</v>
      </c>
      <c r="D115" s="697" t="s">
        <v>6080</v>
      </c>
      <c r="E115" s="698" t="s">
        <v>5980</v>
      </c>
      <c r="F115" s="697"/>
      <c r="G115" s="855"/>
      <c r="H115" s="697"/>
      <c r="I115" s="855"/>
      <c r="J115" s="697">
        <v>1250000</v>
      </c>
      <c r="K115" s="697">
        <v>1300000</v>
      </c>
      <c r="L115" s="832">
        <f t="shared" si="5"/>
        <v>1250000</v>
      </c>
      <c r="M115" s="833"/>
      <c r="N115" s="716">
        <f t="shared" si="6"/>
        <v>111</v>
      </c>
      <c r="O115" s="834" t="s">
        <v>6470</v>
      </c>
    </row>
    <row r="116" spans="1:15" ht="24.6" customHeight="1">
      <c r="A116" s="813" t="str">
        <f t="shared" si="4"/>
        <v>저반사접합유리(투과율96%)T10.76mmM2</v>
      </c>
      <c r="B116" s="853" t="str">
        <f t="shared" si="7"/>
        <v>단가-112번</v>
      </c>
      <c r="C116" s="854" t="s">
        <v>6089</v>
      </c>
      <c r="D116" s="697" t="s">
        <v>6080</v>
      </c>
      <c r="E116" s="698" t="s">
        <v>5980</v>
      </c>
      <c r="F116" s="697"/>
      <c r="G116" s="855"/>
      <c r="H116" s="697"/>
      <c r="I116" s="855"/>
      <c r="J116" s="697">
        <v>980000</v>
      </c>
      <c r="K116" s="697">
        <v>1030000</v>
      </c>
      <c r="L116" s="832">
        <f t="shared" si="5"/>
        <v>980000</v>
      </c>
      <c r="M116" s="833"/>
      <c r="N116" s="716">
        <f t="shared" si="6"/>
        <v>112</v>
      </c>
      <c r="O116" s="834" t="s">
        <v>6470</v>
      </c>
    </row>
    <row r="117" spans="1:15" ht="24.6" customHeight="1">
      <c r="A117" s="813" t="str">
        <f>SUBSTITUTE(CONCATENATE(C117,D117,E117)," ","")</f>
        <v>화이트접합유리T10.76mmM2</v>
      </c>
      <c r="B117" s="853" t="str">
        <f t="shared" si="7"/>
        <v>단가-113번</v>
      </c>
      <c r="C117" s="854" t="s">
        <v>6471</v>
      </c>
      <c r="D117" s="697" t="s">
        <v>6080</v>
      </c>
      <c r="E117" s="698" t="s">
        <v>5980</v>
      </c>
      <c r="F117" s="697"/>
      <c r="G117" s="855"/>
      <c r="H117" s="697"/>
      <c r="I117" s="855"/>
      <c r="J117" s="697">
        <v>210000</v>
      </c>
      <c r="K117" s="697">
        <v>225000</v>
      </c>
      <c r="L117" s="832">
        <f>IF(M117="",TRUNC(MIN(F117,H117,J117,K117),0),INT(TRUNC(MIN(F117,H117,J117,K117),0)*M117))*$N$4-550</f>
        <v>209450</v>
      </c>
      <c r="M117" s="833"/>
      <c r="N117" s="716">
        <f t="shared" si="6"/>
        <v>113</v>
      </c>
      <c r="O117" s="834" t="s">
        <v>6470</v>
      </c>
    </row>
    <row r="118" spans="1:15" ht="24.6" customHeight="1">
      <c r="A118" s="813" t="str">
        <f>SUBSTITUTE(CONCATENATE(C118,D118,E118)," ","")</f>
        <v>화이트접합유리T12.76mm(2,400*3,400기준)M2</v>
      </c>
      <c r="B118" s="853" t="str">
        <f t="shared" si="7"/>
        <v>단가-114번</v>
      </c>
      <c r="C118" s="854" t="s">
        <v>6471</v>
      </c>
      <c r="D118" s="697" t="s">
        <v>6102</v>
      </c>
      <c r="E118" s="698" t="s">
        <v>5980</v>
      </c>
      <c r="F118" s="697"/>
      <c r="G118" s="855"/>
      <c r="H118" s="697"/>
      <c r="I118" s="855"/>
      <c r="J118" s="697">
        <v>215000</v>
      </c>
      <c r="K118" s="697">
        <v>230000</v>
      </c>
      <c r="L118" s="832">
        <f>IF(M118="",TRUNC(MIN(F118,H118,J118,K118),0),INT(TRUNC(MIN(F118,H118,J118,K118),0)*M118))*$N$4-550</f>
        <v>214450</v>
      </c>
      <c r="M118" s="833"/>
      <c r="N118" s="716">
        <f t="shared" si="6"/>
        <v>114</v>
      </c>
      <c r="O118" s="834" t="s">
        <v>6470</v>
      </c>
    </row>
    <row r="119" spans="1:15" ht="24.6" customHeight="1">
      <c r="A119" s="813" t="str">
        <f t="shared" si="4"/>
        <v>투명접합유리T12.76mm(2,400*3,000기준)M2</v>
      </c>
      <c r="B119" s="853" t="str">
        <f t="shared" si="7"/>
        <v>단가-115번</v>
      </c>
      <c r="C119" s="854" t="s">
        <v>6472</v>
      </c>
      <c r="D119" s="697" t="s">
        <v>6098</v>
      </c>
      <c r="E119" s="698" t="s">
        <v>5980</v>
      </c>
      <c r="F119" s="697"/>
      <c r="G119" s="855"/>
      <c r="H119" s="697"/>
      <c r="I119" s="855"/>
      <c r="J119" s="697">
        <v>145000</v>
      </c>
      <c r="K119" s="697">
        <v>143000</v>
      </c>
      <c r="L119" s="832">
        <f t="shared" si="5"/>
        <v>143000</v>
      </c>
      <c r="M119" s="833"/>
      <c r="N119" s="716">
        <f t="shared" si="6"/>
        <v>115</v>
      </c>
      <c r="O119" s="834" t="s">
        <v>6470</v>
      </c>
    </row>
    <row r="120" spans="1:15" ht="24.6" customHeight="1">
      <c r="A120" s="813" t="str">
        <f t="shared" si="4"/>
        <v>투명접합유리T12.76mm(2,400*3,400기준)M2</v>
      </c>
      <c r="B120" s="853" t="str">
        <f t="shared" si="7"/>
        <v>단가-116번</v>
      </c>
      <c r="C120" s="854" t="s">
        <v>6472</v>
      </c>
      <c r="D120" s="697" t="s">
        <v>6102</v>
      </c>
      <c r="E120" s="698" t="s">
        <v>5980</v>
      </c>
      <c r="F120" s="697"/>
      <c r="G120" s="855"/>
      <c r="H120" s="697"/>
      <c r="I120" s="855"/>
      <c r="J120" s="697">
        <v>198000</v>
      </c>
      <c r="K120" s="697">
        <v>199000</v>
      </c>
      <c r="L120" s="832">
        <f t="shared" si="5"/>
        <v>198000</v>
      </c>
      <c r="M120" s="833"/>
      <c r="N120" s="716">
        <f t="shared" si="6"/>
        <v>116</v>
      </c>
      <c r="O120" s="834" t="s">
        <v>6470</v>
      </c>
    </row>
    <row r="121" spans="1:15" ht="24.6" customHeight="1">
      <c r="A121" s="813" t="str">
        <f t="shared" si="4"/>
        <v>투명접합유리T10.76mmM2</v>
      </c>
      <c r="B121" s="853" t="str">
        <f t="shared" si="7"/>
        <v>단가-117번</v>
      </c>
      <c r="C121" s="854" t="s">
        <v>6472</v>
      </c>
      <c r="D121" s="697" t="s">
        <v>6080</v>
      </c>
      <c r="E121" s="698" t="s">
        <v>5980</v>
      </c>
      <c r="F121" s="697"/>
      <c r="G121" s="855"/>
      <c r="H121" s="697"/>
      <c r="I121" s="855"/>
      <c r="J121" s="697">
        <v>135000</v>
      </c>
      <c r="K121" s="697">
        <v>150000</v>
      </c>
      <c r="L121" s="832">
        <f t="shared" si="5"/>
        <v>135000</v>
      </c>
      <c r="M121" s="833"/>
      <c r="N121" s="716">
        <f t="shared" si="6"/>
        <v>117</v>
      </c>
      <c r="O121" s="834" t="s">
        <v>6470</v>
      </c>
    </row>
    <row r="122" spans="1:15" ht="24.6" customHeight="1">
      <c r="A122" s="813" t="str">
        <f t="shared" si="4"/>
        <v>투명접합유리T6.38mmM2</v>
      </c>
      <c r="B122" s="853" t="str">
        <f t="shared" si="7"/>
        <v>단가-118번</v>
      </c>
      <c r="C122" s="854" t="s">
        <v>6472</v>
      </c>
      <c r="D122" s="697" t="s">
        <v>6473</v>
      </c>
      <c r="E122" s="698" t="s">
        <v>5980</v>
      </c>
      <c r="F122" s="697"/>
      <c r="G122" s="855"/>
      <c r="H122" s="697"/>
      <c r="I122" s="855"/>
      <c r="J122" s="697">
        <v>110000</v>
      </c>
      <c r="K122" s="697">
        <v>120000</v>
      </c>
      <c r="L122" s="832">
        <f t="shared" si="5"/>
        <v>110000</v>
      </c>
      <c r="M122" s="833"/>
      <c r="N122" s="716">
        <f t="shared" si="6"/>
        <v>118</v>
      </c>
      <c r="O122" s="834" t="s">
        <v>6470</v>
      </c>
    </row>
    <row r="123" spans="1:15" ht="24.6" customHeight="1">
      <c r="A123" s="813" t="str">
        <f t="shared" si="4"/>
        <v>조명용아크릴T5mmm2</v>
      </c>
      <c r="B123" s="853" t="str">
        <f t="shared" si="7"/>
        <v>단가-119번</v>
      </c>
      <c r="C123" s="854" t="s">
        <v>6474</v>
      </c>
      <c r="D123" s="697" t="s">
        <v>6111</v>
      </c>
      <c r="E123" s="698" t="s">
        <v>6113</v>
      </c>
      <c r="F123" s="697"/>
      <c r="G123" s="697"/>
      <c r="H123" s="697"/>
      <c r="I123" s="855"/>
      <c r="J123" s="697">
        <v>71000</v>
      </c>
      <c r="K123" s="697">
        <v>85000</v>
      </c>
      <c r="L123" s="832">
        <f t="shared" si="5"/>
        <v>71000</v>
      </c>
      <c r="M123" s="833"/>
      <c r="N123" s="716">
        <f t="shared" si="6"/>
        <v>119</v>
      </c>
      <c r="O123" s="834" t="s">
        <v>6470</v>
      </c>
    </row>
    <row r="124" spans="1:15" ht="24.6" customHeight="1">
      <c r="A124" s="813" t="str">
        <f t="shared" si="4"/>
        <v>박물관용led램프트랙형set</v>
      </c>
      <c r="B124" s="853" t="str">
        <f t="shared" si="7"/>
        <v>단가-120번</v>
      </c>
      <c r="C124" s="854" t="s">
        <v>6199</v>
      </c>
      <c r="D124" s="697" t="s">
        <v>6475</v>
      </c>
      <c r="E124" s="698" t="s">
        <v>6209</v>
      </c>
      <c r="F124" s="697"/>
      <c r="G124" s="855"/>
      <c r="H124" s="697"/>
      <c r="I124" s="855"/>
      <c r="J124" s="697">
        <v>480000</v>
      </c>
      <c r="K124" s="697">
        <v>500000</v>
      </c>
      <c r="L124" s="832">
        <f t="shared" si="5"/>
        <v>480000</v>
      </c>
      <c r="M124" s="833"/>
      <c r="N124" s="716">
        <f t="shared" si="6"/>
        <v>120</v>
      </c>
      <c r="O124" s="834" t="s">
        <v>6476</v>
      </c>
    </row>
    <row r="125" spans="1:15" ht="24.6" customHeight="1">
      <c r="A125" s="813" t="str">
        <f t="shared" si="4"/>
        <v>박물관용led램프핀스포트형(벽부형)EA</v>
      </c>
      <c r="B125" s="814" t="str">
        <f t="shared" si="7"/>
        <v>단가-121번</v>
      </c>
      <c r="C125" s="839" t="s">
        <v>6199</v>
      </c>
      <c r="D125" s="726" t="s">
        <v>6200</v>
      </c>
      <c r="E125" s="796" t="s">
        <v>6118</v>
      </c>
      <c r="F125" s="733"/>
      <c r="G125" s="815"/>
      <c r="H125" s="733"/>
      <c r="I125" s="815"/>
      <c r="J125" s="733">
        <v>170000</v>
      </c>
      <c r="K125" s="733">
        <v>200000</v>
      </c>
      <c r="L125" s="816">
        <f t="shared" si="5"/>
        <v>170000</v>
      </c>
      <c r="M125" s="833"/>
      <c r="N125" s="818">
        <f t="shared" si="6"/>
        <v>121</v>
      </c>
      <c r="O125" s="834" t="s">
        <v>6476</v>
      </c>
    </row>
    <row r="126" spans="1:15" ht="24.6" customHeight="1">
      <c r="A126" s="813" t="str">
        <f t="shared" ref="A126:A129" si="8">SUBSTITUTE(CONCATENATE(C126,D126,E126)," ","")</f>
        <v>박물관용led램프핀스포트형(독립장형)EA</v>
      </c>
      <c r="B126" s="814" t="str">
        <f t="shared" si="7"/>
        <v>단가-122번</v>
      </c>
      <c r="C126" s="839" t="s">
        <v>6199</v>
      </c>
      <c r="D126" s="726" t="s">
        <v>6202</v>
      </c>
      <c r="E126" s="796" t="s">
        <v>6118</v>
      </c>
      <c r="F126" s="733"/>
      <c r="G126" s="815"/>
      <c r="H126" s="733"/>
      <c r="I126" s="815"/>
      <c r="J126" s="733">
        <v>110000</v>
      </c>
      <c r="K126" s="733">
        <v>150000</v>
      </c>
      <c r="L126" s="816">
        <f t="shared" si="5"/>
        <v>110000</v>
      </c>
      <c r="M126" s="833"/>
      <c r="N126" s="818">
        <f t="shared" si="6"/>
        <v>122</v>
      </c>
      <c r="O126" s="834" t="s">
        <v>6476</v>
      </c>
    </row>
    <row r="127" spans="1:15" ht="24.6" customHeight="1">
      <c r="A127" s="813" t="str">
        <f>SUBSTITUTE(CONCATENATE(C127,D127,E127)," ","")</f>
        <v>박물관용ledBAR상부천장용M</v>
      </c>
      <c r="B127" s="814" t="str">
        <f t="shared" si="7"/>
        <v>단가-123번</v>
      </c>
      <c r="C127" s="839" t="s">
        <v>6205</v>
      </c>
      <c r="D127" s="870" t="s">
        <v>6206</v>
      </c>
      <c r="E127" s="796" t="s">
        <v>5899</v>
      </c>
      <c r="F127" s="733"/>
      <c r="G127" s="815"/>
      <c r="H127" s="733"/>
      <c r="I127" s="815"/>
      <c r="J127" s="733">
        <v>100000</v>
      </c>
      <c r="K127" s="733">
        <v>135000</v>
      </c>
      <c r="L127" s="816">
        <f t="shared" si="5"/>
        <v>100000</v>
      </c>
      <c r="M127" s="833"/>
      <c r="N127" s="818">
        <f t="shared" si="6"/>
        <v>123</v>
      </c>
      <c r="O127" s="834" t="s">
        <v>6476</v>
      </c>
    </row>
    <row r="128" spans="1:15" s="827" customFormat="1" ht="24.6" customHeight="1">
      <c r="A128" s="813" t="str">
        <f t="shared" si="8"/>
        <v>알루미늄판4T*900*1800M2</v>
      </c>
      <c r="B128" s="814" t="str">
        <f t="shared" si="7"/>
        <v>단가-124번</v>
      </c>
      <c r="C128" s="839" t="s">
        <v>6126</v>
      </c>
      <c r="D128" s="733" t="s">
        <v>6125</v>
      </c>
      <c r="E128" s="796" t="s">
        <v>59</v>
      </c>
      <c r="F128" s="733"/>
      <c r="G128" s="815"/>
      <c r="H128" s="733"/>
      <c r="I128" s="815"/>
      <c r="J128" s="733">
        <v>130000</v>
      </c>
      <c r="K128" s="733">
        <v>150000</v>
      </c>
      <c r="L128" s="816">
        <f t="shared" si="5"/>
        <v>130000</v>
      </c>
      <c r="M128" s="817"/>
      <c r="N128" s="818">
        <f t="shared" si="6"/>
        <v>124</v>
      </c>
      <c r="O128" s="819" t="s">
        <v>6447</v>
      </c>
    </row>
    <row r="129" spans="1:15" s="827" customFormat="1" ht="24.6" customHeight="1">
      <c r="A129" s="813" t="str">
        <f t="shared" si="8"/>
        <v>박물관용led램프컨트롤러(24채널)set</v>
      </c>
      <c r="B129" s="814" t="str">
        <f t="shared" si="7"/>
        <v>단가-125번</v>
      </c>
      <c r="C129" s="839" t="s">
        <v>6199</v>
      </c>
      <c r="D129" s="733" t="s">
        <v>6208</v>
      </c>
      <c r="E129" s="796" t="s">
        <v>6209</v>
      </c>
      <c r="F129" s="733"/>
      <c r="G129" s="815"/>
      <c r="H129" s="733"/>
      <c r="I129" s="815"/>
      <c r="J129" s="733">
        <v>800000</v>
      </c>
      <c r="K129" s="733">
        <v>1000000</v>
      </c>
      <c r="L129" s="816">
        <f t="shared" si="5"/>
        <v>800000</v>
      </c>
      <c r="M129" s="817"/>
      <c r="N129" s="818">
        <f t="shared" si="6"/>
        <v>125</v>
      </c>
      <c r="O129" s="819" t="s">
        <v>6476</v>
      </c>
    </row>
    <row r="130" spans="1:15" ht="24.6" customHeight="1">
      <c r="A130" s="813" t="str">
        <f>SUBSTITUTE(CONCATENATE(C130,D130,E130)," ","")</f>
        <v>박물관용led램프컨트롤러(16채널)set</v>
      </c>
      <c r="B130" s="814" t="str">
        <f t="shared" si="7"/>
        <v>단가-126번</v>
      </c>
      <c r="C130" s="839" t="s">
        <v>6199</v>
      </c>
      <c r="D130" s="733" t="s">
        <v>6210</v>
      </c>
      <c r="E130" s="796" t="s">
        <v>6209</v>
      </c>
      <c r="F130" s="733"/>
      <c r="G130" s="815"/>
      <c r="H130" s="733"/>
      <c r="I130" s="815"/>
      <c r="J130" s="733">
        <v>650000</v>
      </c>
      <c r="K130" s="733">
        <v>850000</v>
      </c>
      <c r="L130" s="816">
        <f t="shared" si="5"/>
        <v>650000</v>
      </c>
      <c r="M130" s="833"/>
      <c r="N130" s="818">
        <f t="shared" si="6"/>
        <v>126</v>
      </c>
      <c r="O130" s="834" t="s">
        <v>6476</v>
      </c>
    </row>
    <row r="131" spans="1:15" ht="24.6" customHeight="1">
      <c r="A131" s="813" t="str">
        <f>SUBSTITUTE(CONCATENATE(C131,D131,E131)," ","")</f>
        <v>박물관용led램프컨트롤러(8채널)set</v>
      </c>
      <c r="B131" s="814" t="str">
        <f t="shared" si="7"/>
        <v>단가-127번</v>
      </c>
      <c r="C131" s="839" t="s">
        <v>6199</v>
      </c>
      <c r="D131" s="733" t="s">
        <v>6211</v>
      </c>
      <c r="E131" s="796" t="s">
        <v>6209</v>
      </c>
      <c r="F131" s="733"/>
      <c r="G131" s="815"/>
      <c r="H131" s="733"/>
      <c r="I131" s="815"/>
      <c r="J131" s="733">
        <v>600000</v>
      </c>
      <c r="K131" s="733">
        <v>700000</v>
      </c>
      <c r="L131" s="816">
        <f t="shared" si="5"/>
        <v>600000</v>
      </c>
      <c r="M131" s="833"/>
      <c r="N131" s="818">
        <f t="shared" si="6"/>
        <v>127</v>
      </c>
      <c r="O131" s="834" t="s">
        <v>6476</v>
      </c>
    </row>
    <row r="132" spans="1:15" ht="21.75" customHeight="1">
      <c r="A132" s="813" t="str">
        <f t="shared" ref="A132:A140" si="9">SUBSTITUTE(CONCATENATE(C132,D132,E132)," ","")</f>
        <v>박물관용ledBAR컨트롤러set</v>
      </c>
      <c r="B132" s="814" t="str">
        <f t="shared" si="7"/>
        <v>단가-128번</v>
      </c>
      <c r="C132" s="839" t="s">
        <v>6205</v>
      </c>
      <c r="D132" s="733" t="s">
        <v>6213</v>
      </c>
      <c r="E132" s="796" t="s">
        <v>6209</v>
      </c>
      <c r="F132" s="733"/>
      <c r="G132" s="815"/>
      <c r="H132" s="733"/>
      <c r="I132" s="815"/>
      <c r="J132" s="733">
        <v>400000</v>
      </c>
      <c r="K132" s="733">
        <v>550000</v>
      </c>
      <c r="L132" s="816">
        <f t="shared" si="5"/>
        <v>400000</v>
      </c>
      <c r="M132" s="833"/>
      <c r="N132" s="818">
        <f t="shared" si="6"/>
        <v>128</v>
      </c>
      <c r="O132" s="834" t="s">
        <v>6476</v>
      </c>
    </row>
    <row r="133" spans="1:15" ht="21.75" customHeight="1">
      <c r="A133" s="813" t="str">
        <f t="shared" si="9"/>
        <v>전후진전동콘트롤라벽부형SET</v>
      </c>
      <c r="B133" s="814" t="str">
        <f t="shared" si="7"/>
        <v>단가-129번</v>
      </c>
      <c r="C133" s="839" t="s">
        <v>6281</v>
      </c>
      <c r="D133" s="753" t="s">
        <v>6463</v>
      </c>
      <c r="E133" s="796" t="s">
        <v>6227</v>
      </c>
      <c r="F133" s="733"/>
      <c r="G133" s="733"/>
      <c r="H133" s="733"/>
      <c r="I133" s="815"/>
      <c r="J133" s="733">
        <v>900000</v>
      </c>
      <c r="K133" s="733">
        <v>1150000</v>
      </c>
      <c r="L133" s="816">
        <f t="shared" si="5"/>
        <v>900000</v>
      </c>
      <c r="M133" s="833"/>
      <c r="N133" s="818">
        <f t="shared" si="6"/>
        <v>129</v>
      </c>
      <c r="O133" s="834" t="s">
        <v>6447</v>
      </c>
    </row>
    <row r="134" spans="1:15" ht="24.6" customHeight="1">
      <c r="A134" s="813" t="str">
        <f t="shared" si="9"/>
        <v>전후진전동콘트롤라독립형SET</v>
      </c>
      <c r="B134" s="814" t="str">
        <f t="shared" si="7"/>
        <v>단가-130번</v>
      </c>
      <c r="C134" s="839" t="s">
        <v>6281</v>
      </c>
      <c r="D134" s="753" t="s">
        <v>6477</v>
      </c>
      <c r="E134" s="796" t="s">
        <v>6227</v>
      </c>
      <c r="F134" s="733"/>
      <c r="G134" s="733"/>
      <c r="H134" s="733"/>
      <c r="I134" s="815"/>
      <c r="J134" s="733">
        <v>400000</v>
      </c>
      <c r="K134" s="733">
        <v>500000</v>
      </c>
      <c r="L134" s="816">
        <f t="shared" ref="L134:L140" si="10">IF(M134="",TRUNC(MIN(F134,H134,J134,K134),0),INT(TRUNC(MIN(F134,H134,J134,K134),0)*M134))*$N$4</f>
        <v>400000</v>
      </c>
      <c r="M134" s="833"/>
      <c r="N134" s="818">
        <f t="shared" si="6"/>
        <v>130</v>
      </c>
      <c r="O134" s="819" t="s">
        <v>6447</v>
      </c>
    </row>
    <row r="135" spans="1:15" ht="24.6" customHeight="1">
      <c r="A135" s="813" t="str">
        <f t="shared" si="9"/>
        <v>LED파워컨트롤러SMPSEA</v>
      </c>
      <c r="B135" s="814" t="str">
        <f t="shared" si="7"/>
        <v>단가-131번</v>
      </c>
      <c r="C135" s="839" t="s">
        <v>6214</v>
      </c>
      <c r="D135" s="733" t="s">
        <v>6215</v>
      </c>
      <c r="E135" s="796" t="s">
        <v>6118</v>
      </c>
      <c r="F135" s="733"/>
      <c r="G135" s="733"/>
      <c r="H135" s="733"/>
      <c r="I135" s="815"/>
      <c r="J135" s="733">
        <v>130000</v>
      </c>
      <c r="K135" s="733">
        <v>160000</v>
      </c>
      <c r="L135" s="816">
        <f t="shared" si="10"/>
        <v>130000</v>
      </c>
      <c r="M135" s="833"/>
      <c r="N135" s="818">
        <f t="shared" ref="N135:N140" si="11">N134+1</f>
        <v>131</v>
      </c>
      <c r="O135" s="819" t="s">
        <v>6447</v>
      </c>
    </row>
    <row r="136" spans="1:15" ht="24.6" customHeight="1">
      <c r="A136" s="813" t="str">
        <f t="shared" si="9"/>
        <v>멀티트랙트랙레일(1회로)M</v>
      </c>
      <c r="B136" s="814" t="str">
        <f t="shared" si="7"/>
        <v>단가-132번</v>
      </c>
      <c r="C136" s="871" t="s">
        <v>6478</v>
      </c>
      <c r="D136" s="863" t="s">
        <v>6479</v>
      </c>
      <c r="E136" s="796" t="s">
        <v>6480</v>
      </c>
      <c r="F136" s="733"/>
      <c r="G136" s="733"/>
      <c r="H136" s="733"/>
      <c r="I136" s="815"/>
      <c r="J136" s="733">
        <v>23800</v>
      </c>
      <c r="K136" s="733">
        <v>32000</v>
      </c>
      <c r="L136" s="816">
        <f t="shared" si="10"/>
        <v>23800</v>
      </c>
      <c r="M136" s="833"/>
      <c r="N136" s="818">
        <f t="shared" si="11"/>
        <v>132</v>
      </c>
      <c r="O136" s="819" t="s">
        <v>6476</v>
      </c>
    </row>
    <row r="137" spans="1:15" ht="24.6" customHeight="1">
      <c r="A137" s="813" t="str">
        <f t="shared" si="9"/>
        <v>멀티트랙연결소켓(1회로)EA</v>
      </c>
      <c r="B137" s="814" t="str">
        <f t="shared" si="7"/>
        <v>단가-133번</v>
      </c>
      <c r="C137" s="871" t="s">
        <v>6478</v>
      </c>
      <c r="D137" s="863" t="s">
        <v>6481</v>
      </c>
      <c r="E137" s="796" t="s">
        <v>6118</v>
      </c>
      <c r="F137" s="733"/>
      <c r="G137" s="733"/>
      <c r="H137" s="733"/>
      <c r="I137" s="815"/>
      <c r="J137" s="733">
        <v>12200</v>
      </c>
      <c r="K137" s="733">
        <v>15000</v>
      </c>
      <c r="L137" s="816">
        <f t="shared" si="10"/>
        <v>12200</v>
      </c>
      <c r="M137" s="833"/>
      <c r="N137" s="818">
        <f t="shared" si="11"/>
        <v>133</v>
      </c>
      <c r="O137" s="819" t="s">
        <v>6476</v>
      </c>
    </row>
    <row r="138" spans="1:15" ht="24.6" customHeight="1">
      <c r="A138" s="813" t="str">
        <f t="shared" si="9"/>
        <v>멀티트랙S/F(1회로)SET</v>
      </c>
      <c r="B138" s="814" t="str">
        <f t="shared" si="7"/>
        <v>단가-134번</v>
      </c>
      <c r="C138" s="871" t="s">
        <v>6478</v>
      </c>
      <c r="D138" s="863" t="s">
        <v>6482</v>
      </c>
      <c r="E138" s="796" t="s">
        <v>6227</v>
      </c>
      <c r="F138" s="733"/>
      <c r="G138" s="733"/>
      <c r="H138" s="733"/>
      <c r="I138" s="815"/>
      <c r="J138" s="733">
        <v>15750</v>
      </c>
      <c r="K138" s="733">
        <v>22000</v>
      </c>
      <c r="L138" s="816">
        <f t="shared" si="10"/>
        <v>15750</v>
      </c>
      <c r="M138" s="833"/>
      <c r="N138" s="818">
        <f t="shared" si="11"/>
        <v>134</v>
      </c>
      <c r="O138" s="819" t="s">
        <v>6476</v>
      </c>
    </row>
    <row r="139" spans="1:15" ht="24.6" customHeight="1">
      <c r="A139" s="813" t="str">
        <f t="shared" si="9"/>
        <v>내부사이드도어SET</v>
      </c>
      <c r="B139" s="814" t="str">
        <f t="shared" si="7"/>
        <v>단가-135번</v>
      </c>
      <c r="C139" s="869" t="s">
        <v>6483</v>
      </c>
      <c r="D139" s="868"/>
      <c r="E139" s="866" t="s">
        <v>6227</v>
      </c>
      <c r="F139" s="733"/>
      <c r="G139" s="815"/>
      <c r="H139" s="733"/>
      <c r="I139" s="815"/>
      <c r="J139" s="733">
        <v>1100000</v>
      </c>
      <c r="K139" s="733">
        <v>1200000</v>
      </c>
      <c r="L139" s="816">
        <f t="shared" si="10"/>
        <v>1100000</v>
      </c>
      <c r="M139" s="833"/>
      <c r="N139" s="818">
        <f t="shared" si="11"/>
        <v>135</v>
      </c>
      <c r="O139" s="819" t="s">
        <v>6447</v>
      </c>
    </row>
    <row r="140" spans="1:15" ht="24.6" customHeight="1">
      <c r="A140" s="813" t="str">
        <f t="shared" si="9"/>
        <v>외부포켓도어SET</v>
      </c>
      <c r="B140" s="814" t="str">
        <f t="shared" si="7"/>
        <v>단가-136번</v>
      </c>
      <c r="C140" s="869" t="s">
        <v>6484</v>
      </c>
      <c r="D140" s="868"/>
      <c r="E140" s="866" t="s">
        <v>6227</v>
      </c>
      <c r="F140" s="733"/>
      <c r="G140" s="815"/>
      <c r="H140" s="733"/>
      <c r="I140" s="815"/>
      <c r="J140" s="733">
        <v>1150000</v>
      </c>
      <c r="K140" s="733">
        <v>1300000</v>
      </c>
      <c r="L140" s="816">
        <f t="shared" si="10"/>
        <v>1150000</v>
      </c>
      <c r="M140" s="833"/>
      <c r="N140" s="818">
        <f t="shared" si="11"/>
        <v>136</v>
      </c>
      <c r="O140" s="819" t="s">
        <v>6447</v>
      </c>
    </row>
    <row r="141" spans="1:15" ht="24.6" customHeight="1">
      <c r="A141" s="813"/>
      <c r="B141" s="814"/>
      <c r="C141" s="872"/>
      <c r="D141" s="868"/>
      <c r="E141" s="796"/>
      <c r="F141" s="733"/>
      <c r="G141" s="815"/>
      <c r="H141" s="733"/>
      <c r="I141" s="815"/>
      <c r="J141" s="733"/>
      <c r="K141" s="733"/>
      <c r="L141" s="816"/>
      <c r="M141" s="833"/>
    </row>
    <row r="142" spans="1:15" ht="24.6" customHeight="1">
      <c r="A142" s="813"/>
      <c r="B142" s="814"/>
      <c r="C142" s="872"/>
      <c r="D142" s="868"/>
      <c r="E142" s="866"/>
      <c r="F142" s="733"/>
      <c r="G142" s="815"/>
      <c r="H142" s="733"/>
      <c r="I142" s="815"/>
      <c r="J142" s="733"/>
      <c r="K142" s="733"/>
      <c r="L142" s="816"/>
      <c r="M142" s="833"/>
    </row>
    <row r="143" spans="1:15" ht="24.6" customHeight="1">
      <c r="A143" s="813"/>
      <c r="B143" s="814"/>
      <c r="C143" s="872"/>
      <c r="D143" s="868"/>
      <c r="E143" s="866"/>
      <c r="F143" s="733"/>
      <c r="G143" s="815"/>
      <c r="H143" s="733"/>
      <c r="I143" s="815"/>
      <c r="J143" s="733"/>
      <c r="K143" s="733"/>
      <c r="L143" s="816"/>
      <c r="M143" s="833"/>
    </row>
    <row r="144" spans="1:15" ht="24.6" customHeight="1">
      <c r="A144" s="813"/>
      <c r="B144" s="814"/>
      <c r="C144" s="872"/>
      <c r="D144" s="868"/>
      <c r="E144" s="866"/>
      <c r="F144" s="733"/>
      <c r="G144" s="815"/>
      <c r="H144" s="733"/>
      <c r="I144" s="815"/>
      <c r="J144" s="733"/>
      <c r="K144" s="733"/>
      <c r="L144" s="816"/>
      <c r="M144" s="833"/>
    </row>
    <row r="145" spans="1:13" ht="24.6" customHeight="1">
      <c r="A145" s="813"/>
      <c r="B145" s="814"/>
      <c r="C145" s="872"/>
      <c r="D145" s="868"/>
      <c r="E145" s="866"/>
      <c r="F145" s="733"/>
      <c r="G145" s="815"/>
      <c r="H145" s="733"/>
      <c r="I145" s="815"/>
      <c r="J145" s="733"/>
      <c r="K145" s="733"/>
      <c r="L145" s="816"/>
      <c r="M145" s="833"/>
    </row>
    <row r="146" spans="1:13" ht="24.6" customHeight="1">
      <c r="A146" s="813"/>
      <c r="B146" s="814"/>
      <c r="C146" s="873"/>
      <c r="D146" s="868"/>
      <c r="E146" s="874"/>
      <c r="F146" s="733"/>
      <c r="G146" s="815"/>
      <c r="H146" s="733"/>
      <c r="I146" s="815"/>
      <c r="J146" s="733"/>
      <c r="K146" s="733"/>
      <c r="L146" s="816"/>
      <c r="M146" s="833"/>
    </row>
    <row r="147" spans="1:13" ht="24.6" customHeight="1"/>
    <row r="148" spans="1:13" ht="24.6" customHeight="1"/>
    <row r="149" spans="1:13" ht="24.6" customHeight="1"/>
    <row r="150" spans="1:13" ht="24.6" customHeight="1"/>
    <row r="151" spans="1:13" ht="24.6" customHeight="1"/>
  </sheetData>
  <mergeCells count="11">
    <mergeCell ref="M3:M4"/>
    <mergeCell ref="B1:M1"/>
    <mergeCell ref="B3:B4"/>
    <mergeCell ref="C3:C4"/>
    <mergeCell ref="D3:D4"/>
    <mergeCell ref="E3:E4"/>
    <mergeCell ref="F3:G3"/>
    <mergeCell ref="H3:I3"/>
    <mergeCell ref="J3:J4"/>
    <mergeCell ref="K3:K4"/>
    <mergeCell ref="L3:L4"/>
  </mergeCells>
  <phoneticPr fontId="1" type="noConversion"/>
  <printOptions horizontalCentered="1"/>
  <pageMargins left="0.59055118110236227" right="0.39370078740157483" top="0.74803149606299213" bottom="0.59055118110236227" header="0.39370078740157483" footer="0.39370078740157483"/>
  <pageSetup paperSize="9" scale="70" fitToHeight="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H1570"/>
  <sheetViews>
    <sheetView view="pageBreakPreview" zoomScale="115" zoomScaleSheetLayoutView="115" workbookViewId="0">
      <pane ySplit="3" topLeftCell="A4" activePane="bottomLeft" state="frozen"/>
      <selection activeCell="E104" sqref="E104"/>
      <selection pane="bottomLeft" activeCell="G11" sqref="G11"/>
    </sheetView>
  </sheetViews>
  <sheetFormatPr defaultColWidth="10" defaultRowHeight="16.5"/>
  <cols>
    <col min="1" max="1" width="13.375" style="884" customWidth="1"/>
    <col min="2" max="2" width="33.5" style="926" customWidth="1"/>
    <col min="3" max="3" width="19.625" style="929" customWidth="1"/>
    <col min="4" max="4" width="14.5" style="884" bestFit="1" customWidth="1"/>
    <col min="5" max="6" width="16.375" style="884" customWidth="1"/>
    <col min="7" max="7" width="16.625" style="884" customWidth="1"/>
    <col min="8" max="8" width="13" style="884" customWidth="1"/>
    <col min="9" max="12" width="10" style="884" customWidth="1"/>
    <col min="13" max="16384" width="10" style="884"/>
  </cols>
  <sheetData>
    <row r="1" spans="1:8" s="877" customFormat="1" ht="26.1" customHeight="1">
      <c r="A1" s="1464" t="s">
        <v>6485</v>
      </c>
      <c r="B1" s="1464"/>
      <c r="C1" s="1464"/>
      <c r="D1" s="876"/>
      <c r="E1" s="876"/>
      <c r="F1" s="876"/>
      <c r="G1" s="876"/>
    </row>
    <row r="2" spans="1:8" s="877" customFormat="1" ht="15" customHeight="1">
      <c r="A2" s="878"/>
      <c r="B2" s="879"/>
      <c r="C2" s="879"/>
      <c r="D2" s="878"/>
      <c r="E2" s="880" t="s">
        <v>6486</v>
      </c>
      <c r="F2" s="880" t="s">
        <v>6487</v>
      </c>
      <c r="G2" s="881"/>
    </row>
    <row r="3" spans="1:8" ht="24" customHeight="1">
      <c r="A3" s="715" t="s">
        <v>6488</v>
      </c>
      <c r="B3" s="715" t="s">
        <v>6489</v>
      </c>
      <c r="C3" s="715" t="s">
        <v>6490</v>
      </c>
      <c r="D3" s="882"/>
      <c r="E3" s="715" t="s">
        <v>6491</v>
      </c>
      <c r="F3" s="883" t="s">
        <v>6492</v>
      </c>
      <c r="G3" s="715" t="s">
        <v>4157</v>
      </c>
      <c r="H3" s="881">
        <f>[140]단가!N4</f>
        <v>1</v>
      </c>
    </row>
    <row r="4" spans="1:8" ht="22.5" customHeight="1">
      <c r="A4" s="715"/>
      <c r="B4" s="715"/>
      <c r="C4" s="715" t="s">
        <v>6493</v>
      </c>
      <c r="D4" s="885"/>
      <c r="E4" s="715" t="s">
        <v>6494</v>
      </c>
      <c r="F4" s="715" t="s">
        <v>6495</v>
      </c>
      <c r="G4" s="886"/>
    </row>
    <row r="5" spans="1:8" ht="21" customHeight="1">
      <c r="A5" s="887">
        <v>12</v>
      </c>
      <c r="B5" s="888" t="s">
        <v>6496</v>
      </c>
      <c r="C5" s="733">
        <v>84511</v>
      </c>
      <c r="D5" s="889" t="s">
        <v>6497</v>
      </c>
      <c r="E5" s="890"/>
      <c r="F5" s="890"/>
      <c r="G5" s="890">
        <f t="shared" ref="G5:G25" si="0">C5*$H$3</f>
        <v>84511</v>
      </c>
      <c r="H5" s="891"/>
    </row>
    <row r="6" spans="1:8" ht="21" customHeight="1">
      <c r="A6" s="887">
        <v>30</v>
      </c>
      <c r="B6" s="892" t="s">
        <v>6498</v>
      </c>
      <c r="C6" s="733">
        <v>77087</v>
      </c>
      <c r="D6" s="893" t="s">
        <v>6499</v>
      </c>
      <c r="E6" s="890"/>
      <c r="F6" s="890"/>
      <c r="G6" s="890">
        <f t="shared" si="0"/>
        <v>77087</v>
      </c>
      <c r="H6" s="891"/>
    </row>
    <row r="7" spans="1:8" ht="21" customHeight="1">
      <c r="A7" s="887">
        <v>32</v>
      </c>
      <c r="B7" s="892" t="s">
        <v>6500</v>
      </c>
      <c r="C7" s="733">
        <v>88131</v>
      </c>
      <c r="D7" s="893" t="s">
        <v>6501</v>
      </c>
      <c r="E7" s="890"/>
      <c r="F7" s="890"/>
      <c r="G7" s="890">
        <f>C7*$H$3</f>
        <v>88131</v>
      </c>
      <c r="H7" s="891"/>
    </row>
    <row r="8" spans="1:8" ht="21" customHeight="1">
      <c r="A8" s="887">
        <v>38</v>
      </c>
      <c r="B8" s="892" t="s">
        <v>6502</v>
      </c>
      <c r="C8" s="733">
        <v>78123</v>
      </c>
      <c r="D8" s="893" t="s">
        <v>6503</v>
      </c>
      <c r="E8" s="890"/>
      <c r="F8" s="890"/>
      <c r="G8" s="890">
        <f t="shared" si="0"/>
        <v>78123</v>
      </c>
      <c r="H8" s="891"/>
    </row>
    <row r="9" spans="1:8" ht="21" customHeight="1">
      <c r="A9" s="887">
        <v>50</v>
      </c>
      <c r="B9" s="892" t="s">
        <v>6504</v>
      </c>
      <c r="C9" s="733">
        <v>88936</v>
      </c>
      <c r="D9" s="893" t="s">
        <v>6505</v>
      </c>
      <c r="E9" s="890"/>
      <c r="F9" s="890"/>
      <c r="G9" s="890">
        <f t="shared" si="0"/>
        <v>88936</v>
      </c>
      <c r="H9" s="891"/>
    </row>
    <row r="10" spans="1:8" ht="21" customHeight="1">
      <c r="A10" s="887">
        <v>52</v>
      </c>
      <c r="B10" s="892" t="s">
        <v>6506</v>
      </c>
      <c r="C10" s="733">
        <v>79069</v>
      </c>
      <c r="D10" s="893" t="s">
        <v>6507</v>
      </c>
      <c r="E10" s="890"/>
      <c r="F10" s="890"/>
      <c r="G10" s="890">
        <f t="shared" si="0"/>
        <v>79069</v>
      </c>
      <c r="H10" s="891"/>
    </row>
    <row r="11" spans="1:8" ht="21" customHeight="1">
      <c r="A11" s="887">
        <v>55</v>
      </c>
      <c r="B11" s="894" t="s">
        <v>6508</v>
      </c>
      <c r="C11" s="733">
        <v>88334</v>
      </c>
      <c r="D11" s="889" t="s">
        <v>6509</v>
      </c>
      <c r="E11" s="890"/>
      <c r="F11" s="890"/>
      <c r="G11" s="890">
        <f t="shared" si="0"/>
        <v>88334</v>
      </c>
      <c r="H11" s="891"/>
    </row>
    <row r="12" spans="1:8" ht="21" customHeight="1">
      <c r="A12" s="887">
        <v>135</v>
      </c>
      <c r="B12" s="892" t="s">
        <v>6510</v>
      </c>
      <c r="C12" s="733">
        <v>72020</v>
      </c>
      <c r="D12" s="893" t="s">
        <v>6511</v>
      </c>
      <c r="E12" s="890"/>
      <c r="F12" s="890"/>
      <c r="G12" s="890">
        <f t="shared" si="0"/>
        <v>72020</v>
      </c>
      <c r="H12" s="891"/>
    </row>
    <row r="13" spans="1:8" ht="21" customHeight="1">
      <c r="A13" s="895">
        <v>136</v>
      </c>
      <c r="B13" s="892" t="s">
        <v>6512</v>
      </c>
      <c r="C13" s="896">
        <v>108234</v>
      </c>
      <c r="D13" s="893" t="s">
        <v>6513</v>
      </c>
      <c r="E13" s="890"/>
      <c r="F13" s="890"/>
      <c r="G13" s="890">
        <f t="shared" si="0"/>
        <v>108234</v>
      </c>
      <c r="H13" s="891"/>
    </row>
    <row r="14" spans="1:8" ht="21" customHeight="1">
      <c r="A14" s="895">
        <v>1002</v>
      </c>
      <c r="B14" s="897" t="s">
        <v>6514</v>
      </c>
      <c r="C14" s="896">
        <v>125427</v>
      </c>
      <c r="D14" s="893" t="s">
        <v>6515</v>
      </c>
      <c r="E14" s="890"/>
      <c r="F14" s="890"/>
      <c r="G14" s="890">
        <f t="shared" si="0"/>
        <v>125427</v>
      </c>
      <c r="H14" s="891"/>
    </row>
    <row r="15" spans="1:8" ht="21" customHeight="1">
      <c r="A15" s="895">
        <v>1003</v>
      </c>
      <c r="B15" s="897" t="s">
        <v>6516</v>
      </c>
      <c r="C15" s="896">
        <v>152019</v>
      </c>
      <c r="D15" s="893" t="s">
        <v>6517</v>
      </c>
      <c r="E15" s="890"/>
      <c r="F15" s="890"/>
      <c r="G15" s="890">
        <f t="shared" si="0"/>
        <v>152019</v>
      </c>
      <c r="H15" s="891"/>
    </row>
    <row r="16" spans="1:8" ht="21" customHeight="1">
      <c r="A16" s="895">
        <v>1006</v>
      </c>
      <c r="B16" s="897" t="s">
        <v>6518</v>
      </c>
      <c r="C16" s="896">
        <v>224359</v>
      </c>
      <c r="D16" s="893" t="s">
        <v>6519</v>
      </c>
      <c r="E16" s="890"/>
      <c r="F16" s="890"/>
      <c r="G16" s="890">
        <f t="shared" si="0"/>
        <v>224359</v>
      </c>
      <c r="H16" s="891"/>
    </row>
    <row r="17" spans="1:8" ht="21" customHeight="1">
      <c r="A17" s="895">
        <v>1009</v>
      </c>
      <c r="B17" s="894" t="s">
        <v>6520</v>
      </c>
      <c r="C17" s="896">
        <v>178249</v>
      </c>
      <c r="D17" s="893" t="s">
        <v>6521</v>
      </c>
      <c r="E17" s="890"/>
      <c r="F17" s="890"/>
      <c r="G17" s="890">
        <f t="shared" si="0"/>
        <v>178249</v>
      </c>
      <c r="H17" s="891"/>
    </row>
    <row r="18" spans="1:8" ht="21" customHeight="1">
      <c r="A18" s="898">
        <v>1012</v>
      </c>
      <c r="B18" s="892" t="s">
        <v>6522</v>
      </c>
      <c r="C18" s="896">
        <v>198711</v>
      </c>
      <c r="D18" s="893" t="s">
        <v>6523</v>
      </c>
      <c r="E18" s="890"/>
      <c r="F18" s="890"/>
      <c r="G18" s="890">
        <f t="shared" si="0"/>
        <v>198711</v>
      </c>
      <c r="H18" s="891"/>
    </row>
    <row r="19" spans="1:8" ht="21" customHeight="1">
      <c r="A19" s="899">
        <v>1023</v>
      </c>
      <c r="B19" s="900" t="s">
        <v>6524</v>
      </c>
      <c r="C19" s="896">
        <v>200925</v>
      </c>
      <c r="D19" s="893" t="s">
        <v>6525</v>
      </c>
      <c r="E19" s="901"/>
      <c r="F19" s="901"/>
      <c r="G19" s="890">
        <f t="shared" si="0"/>
        <v>200925</v>
      </c>
    </row>
    <row r="20" spans="1:8" ht="21" customHeight="1">
      <c r="A20" s="895">
        <v>1025</v>
      </c>
      <c r="B20" s="892" t="s">
        <v>6526</v>
      </c>
      <c r="C20" s="896">
        <v>181240</v>
      </c>
      <c r="D20" s="893" t="s">
        <v>6527</v>
      </c>
      <c r="E20" s="890"/>
      <c r="F20" s="890"/>
      <c r="G20" s="890">
        <f t="shared" si="0"/>
        <v>181240</v>
      </c>
      <c r="H20" s="891"/>
    </row>
    <row r="21" spans="1:8" ht="21" customHeight="1">
      <c r="A21" s="899">
        <v>1029</v>
      </c>
      <c r="B21" s="888" t="s">
        <v>6528</v>
      </c>
      <c r="C21" s="896">
        <v>184508</v>
      </c>
      <c r="D21" s="893" t="s">
        <v>6529</v>
      </c>
      <c r="E21" s="901"/>
      <c r="F21" s="901"/>
      <c r="G21" s="890">
        <f t="shared" si="0"/>
        <v>184508</v>
      </c>
    </row>
    <row r="22" spans="1:8" ht="21" customHeight="1">
      <c r="A22" s="895">
        <v>1030</v>
      </c>
      <c r="B22" s="897" t="s">
        <v>6530</v>
      </c>
      <c r="C22" s="896">
        <v>189600</v>
      </c>
      <c r="D22" s="893" t="s">
        <v>6531</v>
      </c>
      <c r="E22" s="890"/>
      <c r="F22" s="890"/>
      <c r="G22" s="890">
        <f t="shared" si="0"/>
        <v>189600</v>
      </c>
      <c r="H22" s="891"/>
    </row>
    <row r="23" spans="1:8" ht="21" customHeight="1">
      <c r="A23" s="895">
        <v>1031</v>
      </c>
      <c r="B23" s="894" t="s">
        <v>6532</v>
      </c>
      <c r="C23" s="896">
        <v>165558</v>
      </c>
      <c r="D23" s="893" t="s">
        <v>6533</v>
      </c>
      <c r="E23" s="890"/>
      <c r="F23" s="890"/>
      <c r="G23" s="890">
        <f t="shared" si="0"/>
        <v>165558</v>
      </c>
      <c r="H23" s="891"/>
    </row>
    <row r="24" spans="1:8" ht="21" customHeight="1">
      <c r="A24" s="899">
        <v>1075</v>
      </c>
      <c r="B24" s="788" t="s">
        <v>6534</v>
      </c>
      <c r="C24" s="896">
        <v>225408</v>
      </c>
      <c r="D24" s="893" t="s">
        <v>6535</v>
      </c>
      <c r="E24" s="901"/>
      <c r="F24" s="901"/>
      <c r="G24" s="890">
        <f t="shared" si="0"/>
        <v>225408</v>
      </c>
      <c r="H24" s="896"/>
    </row>
    <row r="25" spans="1:8" ht="21" customHeight="1">
      <c r="A25" s="899">
        <v>1087</v>
      </c>
      <c r="B25" s="888" t="s">
        <v>6536</v>
      </c>
      <c r="C25" s="896">
        <v>224927</v>
      </c>
      <c r="D25" s="893" t="s">
        <v>6537</v>
      </c>
      <c r="E25" s="901"/>
      <c r="F25" s="901"/>
      <c r="G25" s="890">
        <f t="shared" si="0"/>
        <v>224927</v>
      </c>
      <c r="H25" s="896"/>
    </row>
    <row r="26" spans="1:8" s="718" customFormat="1" ht="21" customHeight="1">
      <c r="A26" s="814">
        <v>5007</v>
      </c>
      <c r="B26" s="788" t="s">
        <v>6538</v>
      </c>
      <c r="C26" s="902">
        <v>163904</v>
      </c>
      <c r="D26" s="786" t="s">
        <v>6539</v>
      </c>
      <c r="E26" s="814"/>
      <c r="F26" s="796"/>
      <c r="G26" s="796">
        <f>TRUNC(C26*$H$3,0)</f>
        <v>163904</v>
      </c>
      <c r="H26" s="902"/>
    </row>
    <row r="27" spans="1:8" ht="22.5" customHeight="1">
      <c r="A27" s="903" t="s">
        <v>6540</v>
      </c>
      <c r="B27" s="904"/>
      <c r="C27" s="905"/>
      <c r="D27" s="906"/>
      <c r="E27" s="907"/>
      <c r="F27" s="908"/>
      <c r="G27" s="909"/>
      <c r="H27" s="910"/>
    </row>
    <row r="28" spans="1:8" ht="22.5" customHeight="1">
      <c r="A28" s="911" t="s">
        <v>6541</v>
      </c>
      <c r="B28" s="912"/>
      <c r="C28" s="913"/>
      <c r="D28" s="914"/>
      <c r="E28" s="915"/>
      <c r="F28" s="916"/>
      <c r="G28" s="917"/>
      <c r="H28" s="916"/>
    </row>
    <row r="29" spans="1:8" ht="22.5" customHeight="1">
      <c r="A29" s="918" t="s">
        <v>6542</v>
      </c>
      <c r="B29" s="919"/>
      <c r="C29" s="920"/>
      <c r="D29" s="921"/>
      <c r="E29" s="922"/>
      <c r="F29" s="923"/>
      <c r="G29" s="924"/>
      <c r="H29" s="916"/>
    </row>
    <row r="30" spans="1:8">
      <c r="A30" s="925"/>
      <c r="C30" s="927"/>
      <c r="E30" s="928"/>
      <c r="F30" s="928"/>
      <c r="G30" s="928"/>
    </row>
    <row r="31" spans="1:8">
      <c r="A31" s="925"/>
      <c r="C31" s="927"/>
      <c r="E31" s="928"/>
      <c r="F31" s="928"/>
      <c r="G31" s="928"/>
    </row>
    <row r="32" spans="1:8">
      <c r="A32" s="925"/>
      <c r="C32" s="927"/>
      <c r="E32" s="928"/>
      <c r="F32" s="928"/>
      <c r="G32" s="928"/>
    </row>
    <row r="33" spans="1:7">
      <c r="A33" s="925"/>
      <c r="C33" s="927"/>
      <c r="E33" s="928"/>
      <c r="F33" s="928"/>
      <c r="G33" s="928"/>
    </row>
    <row r="34" spans="1:7">
      <c r="A34" s="925"/>
      <c r="C34" s="927"/>
      <c r="E34" s="928"/>
      <c r="F34" s="928"/>
      <c r="G34" s="928"/>
    </row>
    <row r="35" spans="1:7">
      <c r="A35" s="925"/>
      <c r="C35" s="927"/>
      <c r="E35" s="928"/>
      <c r="F35" s="928"/>
      <c r="G35" s="928"/>
    </row>
    <row r="36" spans="1:7">
      <c r="A36" s="925"/>
      <c r="C36" s="927"/>
      <c r="E36" s="928"/>
      <c r="F36" s="928"/>
      <c r="G36" s="928"/>
    </row>
    <row r="37" spans="1:7">
      <c r="A37" s="925"/>
      <c r="C37" s="927"/>
      <c r="E37" s="928"/>
      <c r="F37" s="928"/>
      <c r="G37" s="928"/>
    </row>
    <row r="38" spans="1:7">
      <c r="A38" s="925"/>
      <c r="C38" s="927"/>
      <c r="E38" s="928"/>
      <c r="F38" s="928"/>
      <c r="G38" s="928"/>
    </row>
    <row r="39" spans="1:7">
      <c r="A39" s="925"/>
      <c r="C39" s="927"/>
      <c r="E39" s="928"/>
      <c r="F39" s="928"/>
      <c r="G39" s="928"/>
    </row>
    <row r="40" spans="1:7">
      <c r="A40" s="925"/>
      <c r="C40" s="927"/>
      <c r="E40" s="928"/>
      <c r="F40" s="928"/>
      <c r="G40" s="928"/>
    </row>
    <row r="41" spans="1:7">
      <c r="A41" s="925"/>
      <c r="C41" s="927"/>
      <c r="E41" s="928"/>
      <c r="F41" s="928"/>
      <c r="G41" s="928"/>
    </row>
    <row r="42" spans="1:7">
      <c r="A42" s="925"/>
      <c r="C42" s="927"/>
      <c r="E42" s="928"/>
      <c r="F42" s="928"/>
      <c r="G42" s="928"/>
    </row>
    <row r="43" spans="1:7">
      <c r="A43" s="925"/>
      <c r="C43" s="927"/>
      <c r="E43" s="928"/>
      <c r="F43" s="928"/>
      <c r="G43" s="928"/>
    </row>
    <row r="44" spans="1:7">
      <c r="A44" s="925"/>
      <c r="C44" s="927"/>
      <c r="E44" s="928"/>
      <c r="F44" s="928"/>
      <c r="G44" s="928"/>
    </row>
    <row r="45" spans="1:7">
      <c r="A45" s="925"/>
      <c r="C45" s="927"/>
      <c r="E45" s="928"/>
      <c r="F45" s="928"/>
      <c r="G45" s="928"/>
    </row>
    <row r="46" spans="1:7">
      <c r="A46" s="925"/>
      <c r="C46" s="927"/>
      <c r="E46" s="928"/>
      <c r="F46" s="928"/>
      <c r="G46" s="928"/>
    </row>
    <row r="47" spans="1:7">
      <c r="A47" s="925"/>
      <c r="C47" s="927"/>
      <c r="E47" s="928"/>
      <c r="F47" s="928"/>
      <c r="G47" s="928"/>
    </row>
    <row r="48" spans="1:7">
      <c r="A48" s="925"/>
      <c r="C48" s="927"/>
      <c r="E48" s="928"/>
      <c r="F48" s="928"/>
      <c r="G48" s="928"/>
    </row>
    <row r="49" spans="1:7">
      <c r="A49" s="925"/>
      <c r="C49" s="927"/>
      <c r="E49" s="928"/>
      <c r="F49" s="928"/>
      <c r="G49" s="928"/>
    </row>
    <row r="50" spans="1:7">
      <c r="A50" s="925"/>
      <c r="C50" s="927"/>
      <c r="E50" s="928"/>
      <c r="F50" s="928"/>
      <c r="G50" s="928"/>
    </row>
    <row r="51" spans="1:7">
      <c r="A51" s="925"/>
      <c r="C51" s="927"/>
      <c r="E51" s="928"/>
      <c r="F51" s="928"/>
      <c r="G51" s="928"/>
    </row>
    <row r="52" spans="1:7">
      <c r="A52" s="925"/>
      <c r="C52" s="927"/>
      <c r="E52" s="928"/>
      <c r="F52" s="928"/>
      <c r="G52" s="928"/>
    </row>
    <row r="53" spans="1:7">
      <c r="A53" s="925"/>
      <c r="C53" s="927"/>
      <c r="E53" s="928"/>
      <c r="F53" s="928"/>
      <c r="G53" s="928"/>
    </row>
    <row r="54" spans="1:7">
      <c r="A54" s="925"/>
      <c r="C54" s="927"/>
      <c r="E54" s="928"/>
      <c r="F54" s="928"/>
      <c r="G54" s="928"/>
    </row>
    <row r="55" spans="1:7">
      <c r="A55" s="925"/>
      <c r="C55" s="927"/>
      <c r="E55" s="928"/>
      <c r="F55" s="928"/>
      <c r="G55" s="928"/>
    </row>
    <row r="56" spans="1:7">
      <c r="A56" s="925"/>
      <c r="C56" s="927"/>
      <c r="E56" s="928"/>
      <c r="F56" s="928"/>
      <c r="G56" s="928"/>
    </row>
    <row r="57" spans="1:7">
      <c r="A57" s="925"/>
      <c r="C57" s="927"/>
      <c r="E57" s="928"/>
      <c r="F57" s="928"/>
      <c r="G57" s="928"/>
    </row>
    <row r="58" spans="1:7">
      <c r="A58" s="925"/>
      <c r="C58" s="927"/>
      <c r="E58" s="928"/>
      <c r="F58" s="928"/>
      <c r="G58" s="928"/>
    </row>
    <row r="59" spans="1:7">
      <c r="A59" s="925"/>
      <c r="C59" s="927"/>
      <c r="E59" s="928"/>
      <c r="F59" s="928"/>
      <c r="G59" s="928"/>
    </row>
    <row r="60" spans="1:7">
      <c r="A60" s="925"/>
      <c r="C60" s="927"/>
      <c r="E60" s="928"/>
      <c r="F60" s="928"/>
      <c r="G60" s="928"/>
    </row>
    <row r="61" spans="1:7">
      <c r="A61" s="925"/>
      <c r="C61" s="927"/>
      <c r="E61" s="928"/>
      <c r="F61" s="928"/>
      <c r="G61" s="928"/>
    </row>
    <row r="62" spans="1:7">
      <c r="A62" s="925"/>
      <c r="C62" s="927"/>
      <c r="E62" s="928"/>
      <c r="F62" s="928"/>
      <c r="G62" s="928"/>
    </row>
    <row r="63" spans="1:7">
      <c r="A63" s="925"/>
      <c r="C63" s="927"/>
      <c r="E63" s="928"/>
      <c r="F63" s="928"/>
      <c r="G63" s="928"/>
    </row>
    <row r="64" spans="1:7">
      <c r="A64" s="925"/>
      <c r="C64" s="927"/>
      <c r="E64" s="928"/>
      <c r="F64" s="928"/>
      <c r="G64" s="928"/>
    </row>
    <row r="65" spans="1:7">
      <c r="A65" s="925"/>
      <c r="C65" s="927"/>
      <c r="E65" s="928"/>
      <c r="F65" s="928"/>
      <c r="G65" s="928"/>
    </row>
    <row r="66" spans="1:7">
      <c r="A66" s="925"/>
      <c r="C66" s="927"/>
      <c r="E66" s="928"/>
      <c r="F66" s="928"/>
      <c r="G66" s="928"/>
    </row>
    <row r="67" spans="1:7">
      <c r="A67" s="925"/>
      <c r="C67" s="927"/>
      <c r="E67" s="928"/>
      <c r="F67" s="928"/>
      <c r="G67" s="928"/>
    </row>
    <row r="68" spans="1:7">
      <c r="A68" s="925"/>
      <c r="C68" s="927"/>
      <c r="E68" s="928"/>
      <c r="F68" s="928"/>
      <c r="G68" s="928"/>
    </row>
    <row r="69" spans="1:7">
      <c r="A69" s="925"/>
      <c r="C69" s="927"/>
      <c r="E69" s="928"/>
      <c r="F69" s="928"/>
      <c r="G69" s="928"/>
    </row>
    <row r="70" spans="1:7">
      <c r="A70" s="925"/>
      <c r="C70" s="927"/>
      <c r="E70" s="928"/>
      <c r="F70" s="928"/>
      <c r="G70" s="928"/>
    </row>
    <row r="71" spans="1:7">
      <c r="A71" s="925"/>
      <c r="C71" s="927"/>
      <c r="E71" s="928"/>
      <c r="F71" s="928"/>
      <c r="G71" s="928"/>
    </row>
    <row r="72" spans="1:7">
      <c r="A72" s="925"/>
      <c r="C72" s="927"/>
      <c r="E72" s="928"/>
      <c r="F72" s="928"/>
      <c r="G72" s="928"/>
    </row>
    <row r="73" spans="1:7">
      <c r="A73" s="925"/>
      <c r="C73" s="927"/>
      <c r="E73" s="928"/>
      <c r="F73" s="928"/>
      <c r="G73" s="928"/>
    </row>
    <row r="74" spans="1:7">
      <c r="A74" s="925"/>
      <c r="C74" s="927"/>
      <c r="E74" s="928"/>
      <c r="F74" s="928"/>
      <c r="G74" s="928"/>
    </row>
    <row r="75" spans="1:7">
      <c r="A75" s="925"/>
      <c r="C75" s="927"/>
      <c r="E75" s="928"/>
      <c r="F75" s="928"/>
      <c r="G75" s="928"/>
    </row>
    <row r="76" spans="1:7">
      <c r="A76" s="925"/>
      <c r="C76" s="927"/>
      <c r="E76" s="928"/>
      <c r="F76" s="928"/>
      <c r="G76" s="928"/>
    </row>
    <row r="77" spans="1:7">
      <c r="A77" s="925"/>
      <c r="C77" s="927"/>
      <c r="E77" s="928"/>
      <c r="F77" s="928"/>
      <c r="G77" s="928"/>
    </row>
    <row r="78" spans="1:7">
      <c r="A78" s="925"/>
      <c r="C78" s="927"/>
      <c r="E78" s="928"/>
      <c r="F78" s="928"/>
      <c r="G78" s="928"/>
    </row>
    <row r="79" spans="1:7">
      <c r="A79" s="925"/>
      <c r="C79" s="927"/>
      <c r="E79" s="928"/>
      <c r="F79" s="928"/>
      <c r="G79" s="928"/>
    </row>
    <row r="80" spans="1:7">
      <c r="A80" s="925"/>
      <c r="C80" s="927"/>
      <c r="E80" s="928"/>
      <c r="F80" s="928"/>
      <c r="G80" s="928"/>
    </row>
    <row r="81" spans="1:7">
      <c r="A81" s="925"/>
      <c r="C81" s="927"/>
      <c r="E81" s="928"/>
      <c r="F81" s="928"/>
      <c r="G81" s="928"/>
    </row>
    <row r="82" spans="1:7">
      <c r="A82" s="925"/>
      <c r="C82" s="927"/>
      <c r="E82" s="928"/>
      <c r="F82" s="928"/>
      <c r="G82" s="928"/>
    </row>
    <row r="83" spans="1:7">
      <c r="A83" s="925"/>
      <c r="C83" s="927"/>
      <c r="E83" s="928"/>
      <c r="F83" s="928"/>
      <c r="G83" s="928"/>
    </row>
    <row r="84" spans="1:7">
      <c r="A84" s="925"/>
      <c r="C84" s="927"/>
      <c r="E84" s="928"/>
      <c r="F84" s="928"/>
      <c r="G84" s="928"/>
    </row>
    <row r="85" spans="1:7">
      <c r="A85" s="925"/>
      <c r="C85" s="927"/>
      <c r="E85" s="928"/>
      <c r="F85" s="928"/>
      <c r="G85" s="928"/>
    </row>
    <row r="86" spans="1:7">
      <c r="A86" s="925"/>
      <c r="C86" s="927"/>
      <c r="E86" s="928"/>
      <c r="F86" s="928"/>
      <c r="G86" s="928"/>
    </row>
    <row r="87" spans="1:7">
      <c r="A87" s="925"/>
      <c r="C87" s="927"/>
      <c r="E87" s="928"/>
      <c r="F87" s="928"/>
      <c r="G87" s="928"/>
    </row>
    <row r="88" spans="1:7">
      <c r="A88" s="925"/>
      <c r="C88" s="927"/>
      <c r="E88" s="928"/>
      <c r="F88" s="928"/>
      <c r="G88" s="928"/>
    </row>
    <row r="89" spans="1:7">
      <c r="A89" s="925"/>
      <c r="C89" s="927"/>
      <c r="E89" s="928"/>
      <c r="F89" s="928"/>
      <c r="G89" s="928"/>
    </row>
    <row r="90" spans="1:7">
      <c r="A90" s="925"/>
      <c r="C90" s="927"/>
      <c r="E90" s="928"/>
      <c r="F90" s="928"/>
      <c r="G90" s="928"/>
    </row>
    <row r="91" spans="1:7">
      <c r="A91" s="925"/>
      <c r="C91" s="927"/>
      <c r="E91" s="928"/>
      <c r="F91" s="928"/>
      <c r="G91" s="928"/>
    </row>
    <row r="92" spans="1:7">
      <c r="A92" s="925"/>
      <c r="C92" s="927"/>
      <c r="E92" s="928"/>
      <c r="F92" s="928"/>
      <c r="G92" s="928"/>
    </row>
    <row r="93" spans="1:7">
      <c r="A93" s="925"/>
      <c r="C93" s="927"/>
      <c r="E93" s="928"/>
      <c r="F93" s="928"/>
      <c r="G93" s="928"/>
    </row>
    <row r="94" spans="1:7">
      <c r="A94" s="925"/>
      <c r="C94" s="927"/>
      <c r="E94" s="928"/>
      <c r="F94" s="928"/>
      <c r="G94" s="928"/>
    </row>
    <row r="95" spans="1:7">
      <c r="A95" s="925"/>
      <c r="C95" s="927"/>
      <c r="E95" s="928"/>
      <c r="F95" s="928"/>
      <c r="G95" s="928"/>
    </row>
    <row r="96" spans="1:7">
      <c r="A96" s="925"/>
      <c r="C96" s="927"/>
      <c r="E96" s="928"/>
      <c r="F96" s="928"/>
      <c r="G96" s="928"/>
    </row>
    <row r="97" spans="1:7">
      <c r="A97" s="925"/>
      <c r="C97" s="927"/>
      <c r="E97" s="928"/>
      <c r="F97" s="928"/>
      <c r="G97" s="928"/>
    </row>
    <row r="98" spans="1:7">
      <c r="A98" s="925"/>
      <c r="C98" s="927"/>
      <c r="E98" s="928"/>
      <c r="F98" s="928"/>
      <c r="G98" s="928"/>
    </row>
    <row r="99" spans="1:7">
      <c r="A99" s="925"/>
      <c r="C99" s="927"/>
      <c r="E99" s="928"/>
      <c r="F99" s="928"/>
      <c r="G99" s="928"/>
    </row>
    <row r="100" spans="1:7">
      <c r="A100" s="925"/>
      <c r="C100" s="927"/>
      <c r="E100" s="928"/>
      <c r="F100" s="928"/>
      <c r="G100" s="928"/>
    </row>
    <row r="101" spans="1:7">
      <c r="A101" s="925"/>
      <c r="C101" s="927"/>
      <c r="E101" s="928"/>
      <c r="F101" s="928"/>
      <c r="G101" s="928"/>
    </row>
    <row r="102" spans="1:7">
      <c r="A102" s="925"/>
      <c r="C102" s="927"/>
      <c r="E102" s="928"/>
      <c r="F102" s="928"/>
      <c r="G102" s="928"/>
    </row>
    <row r="103" spans="1:7">
      <c r="A103" s="925"/>
      <c r="C103" s="927"/>
      <c r="E103" s="928"/>
      <c r="F103" s="928"/>
      <c r="G103" s="928"/>
    </row>
    <row r="104" spans="1:7">
      <c r="A104" s="925"/>
      <c r="C104" s="927"/>
      <c r="E104" s="928"/>
      <c r="F104" s="928"/>
      <c r="G104" s="928"/>
    </row>
    <row r="105" spans="1:7">
      <c r="A105" s="925"/>
      <c r="C105" s="927"/>
      <c r="E105" s="928"/>
      <c r="F105" s="928"/>
      <c r="G105" s="928"/>
    </row>
    <row r="106" spans="1:7">
      <c r="A106" s="925"/>
      <c r="C106" s="927"/>
      <c r="E106" s="928"/>
      <c r="F106" s="928"/>
      <c r="G106" s="928"/>
    </row>
    <row r="107" spans="1:7">
      <c r="A107" s="925"/>
      <c r="C107" s="927"/>
      <c r="E107" s="928"/>
      <c r="F107" s="928"/>
      <c r="G107" s="928"/>
    </row>
    <row r="108" spans="1:7">
      <c r="A108" s="925"/>
      <c r="C108" s="927"/>
      <c r="E108" s="928"/>
      <c r="F108" s="928"/>
      <c r="G108" s="928"/>
    </row>
    <row r="109" spans="1:7">
      <c r="A109" s="925"/>
      <c r="C109" s="927"/>
      <c r="E109" s="928"/>
      <c r="F109" s="928"/>
      <c r="G109" s="928"/>
    </row>
    <row r="110" spans="1:7">
      <c r="A110" s="925"/>
      <c r="C110" s="927"/>
      <c r="E110" s="928"/>
      <c r="F110" s="928"/>
      <c r="G110" s="928"/>
    </row>
    <row r="111" spans="1:7">
      <c r="A111" s="925"/>
      <c r="C111" s="927"/>
      <c r="E111" s="928"/>
      <c r="F111" s="928"/>
      <c r="G111" s="928"/>
    </row>
    <row r="112" spans="1:7">
      <c r="A112" s="925"/>
      <c r="C112" s="927"/>
      <c r="E112" s="928"/>
      <c r="F112" s="928"/>
      <c r="G112" s="928"/>
    </row>
    <row r="113" spans="1:7">
      <c r="A113" s="925"/>
      <c r="C113" s="927"/>
      <c r="E113" s="928"/>
      <c r="F113" s="928"/>
      <c r="G113" s="928"/>
    </row>
    <row r="114" spans="1:7">
      <c r="A114" s="925"/>
      <c r="C114" s="927"/>
      <c r="E114" s="928"/>
      <c r="F114" s="928"/>
      <c r="G114" s="928"/>
    </row>
    <row r="115" spans="1:7">
      <c r="A115" s="925"/>
      <c r="C115" s="927"/>
      <c r="E115" s="928"/>
      <c r="F115" s="928"/>
      <c r="G115" s="928"/>
    </row>
    <row r="116" spans="1:7">
      <c r="A116" s="925"/>
      <c r="C116" s="927"/>
      <c r="E116" s="928"/>
      <c r="F116" s="928"/>
      <c r="G116" s="928"/>
    </row>
    <row r="117" spans="1:7">
      <c r="A117" s="925"/>
      <c r="C117" s="927"/>
      <c r="E117" s="928"/>
      <c r="F117" s="928"/>
      <c r="G117" s="928"/>
    </row>
    <row r="118" spans="1:7">
      <c r="A118" s="925"/>
      <c r="C118" s="927"/>
      <c r="E118" s="928"/>
      <c r="F118" s="928"/>
      <c r="G118" s="928"/>
    </row>
    <row r="119" spans="1:7">
      <c r="A119" s="925"/>
      <c r="C119" s="927"/>
      <c r="E119" s="928"/>
      <c r="F119" s="928"/>
      <c r="G119" s="928"/>
    </row>
    <row r="120" spans="1:7">
      <c r="A120" s="925"/>
      <c r="C120" s="927"/>
      <c r="E120" s="928"/>
      <c r="F120" s="928"/>
      <c r="G120" s="928"/>
    </row>
    <row r="121" spans="1:7">
      <c r="A121" s="925"/>
      <c r="C121" s="927"/>
      <c r="E121" s="928"/>
      <c r="F121" s="928"/>
      <c r="G121" s="928"/>
    </row>
    <row r="122" spans="1:7">
      <c r="A122" s="925"/>
      <c r="C122" s="927"/>
      <c r="E122" s="928"/>
      <c r="F122" s="928"/>
      <c r="G122" s="928"/>
    </row>
    <row r="123" spans="1:7">
      <c r="A123" s="925"/>
      <c r="C123" s="927"/>
      <c r="E123" s="928"/>
      <c r="F123" s="928"/>
      <c r="G123" s="928"/>
    </row>
    <row r="124" spans="1:7">
      <c r="A124" s="925"/>
      <c r="C124" s="927"/>
      <c r="E124" s="928"/>
      <c r="F124" s="928"/>
      <c r="G124" s="928"/>
    </row>
    <row r="125" spans="1:7">
      <c r="A125" s="925"/>
      <c r="C125" s="927"/>
      <c r="E125" s="928"/>
      <c r="F125" s="928"/>
      <c r="G125" s="928"/>
    </row>
    <row r="126" spans="1:7">
      <c r="A126" s="925"/>
      <c r="C126" s="927"/>
      <c r="E126" s="928"/>
      <c r="F126" s="928"/>
      <c r="G126" s="928"/>
    </row>
    <row r="127" spans="1:7">
      <c r="A127" s="925"/>
      <c r="C127" s="927"/>
      <c r="E127" s="928"/>
      <c r="F127" s="928"/>
      <c r="G127" s="928"/>
    </row>
    <row r="128" spans="1:7">
      <c r="A128" s="925"/>
      <c r="C128" s="927"/>
      <c r="E128" s="928"/>
      <c r="F128" s="928"/>
      <c r="G128" s="928"/>
    </row>
    <row r="129" spans="1:7">
      <c r="A129" s="925"/>
      <c r="C129" s="927"/>
      <c r="E129" s="928"/>
      <c r="F129" s="928"/>
      <c r="G129" s="928"/>
    </row>
    <row r="130" spans="1:7">
      <c r="A130" s="925"/>
      <c r="C130" s="927"/>
      <c r="E130" s="928"/>
      <c r="F130" s="928"/>
      <c r="G130" s="928"/>
    </row>
    <row r="131" spans="1:7">
      <c r="A131" s="925"/>
      <c r="C131" s="927"/>
      <c r="E131" s="928"/>
      <c r="F131" s="928"/>
      <c r="G131" s="928"/>
    </row>
    <row r="132" spans="1:7">
      <c r="A132" s="925"/>
      <c r="C132" s="927"/>
      <c r="E132" s="928"/>
      <c r="F132" s="928"/>
      <c r="G132" s="928"/>
    </row>
    <row r="133" spans="1:7">
      <c r="A133" s="925"/>
      <c r="C133" s="927"/>
      <c r="E133" s="928"/>
      <c r="F133" s="928"/>
      <c r="G133" s="928"/>
    </row>
    <row r="134" spans="1:7">
      <c r="A134" s="925"/>
      <c r="C134" s="927"/>
      <c r="E134" s="928"/>
      <c r="F134" s="928"/>
      <c r="G134" s="928"/>
    </row>
    <row r="135" spans="1:7">
      <c r="A135" s="925"/>
      <c r="C135" s="927"/>
      <c r="E135" s="928"/>
      <c r="F135" s="928"/>
      <c r="G135" s="928"/>
    </row>
    <row r="136" spans="1:7">
      <c r="A136" s="925"/>
      <c r="C136" s="927"/>
      <c r="E136" s="928"/>
      <c r="F136" s="928"/>
      <c r="G136" s="928"/>
    </row>
    <row r="137" spans="1:7">
      <c r="A137" s="925"/>
      <c r="C137" s="927"/>
      <c r="E137" s="928"/>
      <c r="F137" s="928"/>
      <c r="G137" s="928"/>
    </row>
    <row r="138" spans="1:7">
      <c r="A138" s="925"/>
      <c r="C138" s="927"/>
      <c r="E138" s="928"/>
      <c r="F138" s="928"/>
      <c r="G138" s="928"/>
    </row>
    <row r="139" spans="1:7">
      <c r="A139" s="925"/>
      <c r="C139" s="927"/>
      <c r="E139" s="928"/>
      <c r="F139" s="928"/>
      <c r="G139" s="928"/>
    </row>
    <row r="140" spans="1:7">
      <c r="A140" s="925"/>
      <c r="C140" s="927"/>
      <c r="E140" s="928"/>
      <c r="F140" s="928"/>
      <c r="G140" s="928"/>
    </row>
    <row r="141" spans="1:7">
      <c r="A141" s="925"/>
      <c r="C141" s="927"/>
      <c r="E141" s="928"/>
      <c r="F141" s="928"/>
      <c r="G141" s="928"/>
    </row>
    <row r="142" spans="1:7">
      <c r="A142" s="925"/>
      <c r="C142" s="927"/>
      <c r="E142" s="928"/>
      <c r="F142" s="928"/>
      <c r="G142" s="928"/>
    </row>
    <row r="143" spans="1:7">
      <c r="A143" s="925"/>
      <c r="C143" s="927"/>
      <c r="E143" s="928"/>
      <c r="F143" s="928"/>
      <c r="G143" s="928"/>
    </row>
    <row r="144" spans="1:7">
      <c r="A144" s="925"/>
      <c r="C144" s="927"/>
      <c r="E144" s="928"/>
      <c r="F144" s="928"/>
      <c r="G144" s="928"/>
    </row>
    <row r="145" spans="1:7">
      <c r="A145" s="925"/>
      <c r="C145" s="927"/>
      <c r="E145" s="928"/>
      <c r="F145" s="928"/>
      <c r="G145" s="928"/>
    </row>
    <row r="146" spans="1:7">
      <c r="A146" s="925"/>
      <c r="C146" s="927"/>
      <c r="E146" s="928"/>
      <c r="F146" s="928"/>
      <c r="G146" s="928"/>
    </row>
    <row r="147" spans="1:7">
      <c r="A147" s="925"/>
      <c r="C147" s="927"/>
      <c r="E147" s="928"/>
      <c r="F147" s="928"/>
      <c r="G147" s="928"/>
    </row>
    <row r="148" spans="1:7">
      <c r="A148" s="925"/>
      <c r="C148" s="927"/>
      <c r="E148" s="928"/>
      <c r="F148" s="928"/>
      <c r="G148" s="928"/>
    </row>
    <row r="149" spans="1:7">
      <c r="A149" s="925"/>
      <c r="C149" s="927"/>
      <c r="E149" s="928"/>
      <c r="F149" s="928"/>
      <c r="G149" s="928"/>
    </row>
    <row r="150" spans="1:7">
      <c r="A150" s="925"/>
      <c r="C150" s="927"/>
      <c r="E150" s="928"/>
      <c r="F150" s="928"/>
      <c r="G150" s="928"/>
    </row>
    <row r="151" spans="1:7">
      <c r="A151" s="925"/>
      <c r="C151" s="927"/>
      <c r="E151" s="928"/>
      <c r="F151" s="928"/>
      <c r="G151" s="928"/>
    </row>
    <row r="152" spans="1:7">
      <c r="A152" s="925"/>
      <c r="C152" s="927"/>
      <c r="E152" s="928"/>
      <c r="F152" s="928"/>
      <c r="G152" s="928"/>
    </row>
    <row r="153" spans="1:7">
      <c r="A153" s="925"/>
      <c r="C153" s="927"/>
      <c r="E153" s="928"/>
      <c r="F153" s="928"/>
      <c r="G153" s="928"/>
    </row>
    <row r="154" spans="1:7">
      <c r="A154" s="925"/>
      <c r="C154" s="927"/>
      <c r="E154" s="928"/>
      <c r="F154" s="928"/>
      <c r="G154" s="928"/>
    </row>
    <row r="155" spans="1:7">
      <c r="A155" s="925"/>
      <c r="C155" s="927"/>
      <c r="E155" s="928"/>
      <c r="F155" s="928"/>
      <c r="G155" s="928"/>
    </row>
    <row r="156" spans="1:7">
      <c r="A156" s="925"/>
      <c r="C156" s="927"/>
      <c r="E156" s="928"/>
      <c r="F156" s="928"/>
      <c r="G156" s="928"/>
    </row>
    <row r="157" spans="1:7">
      <c r="A157" s="925"/>
      <c r="C157" s="927"/>
      <c r="E157" s="928"/>
      <c r="F157" s="928"/>
      <c r="G157" s="928"/>
    </row>
    <row r="158" spans="1:7">
      <c r="A158" s="925"/>
      <c r="C158" s="927"/>
      <c r="E158" s="928"/>
      <c r="F158" s="928"/>
      <c r="G158" s="928"/>
    </row>
    <row r="159" spans="1:7">
      <c r="A159" s="925"/>
      <c r="C159" s="927"/>
      <c r="E159" s="928"/>
      <c r="F159" s="928"/>
      <c r="G159" s="928"/>
    </row>
    <row r="160" spans="1:7">
      <c r="A160" s="925"/>
      <c r="C160" s="927"/>
      <c r="E160" s="928"/>
      <c r="F160" s="928"/>
      <c r="G160" s="928"/>
    </row>
    <row r="161" spans="1:7">
      <c r="A161" s="925"/>
      <c r="C161" s="927"/>
      <c r="E161" s="928"/>
      <c r="F161" s="928"/>
      <c r="G161" s="928"/>
    </row>
    <row r="162" spans="1:7">
      <c r="A162" s="925"/>
      <c r="C162" s="927"/>
      <c r="E162" s="928"/>
      <c r="F162" s="928"/>
      <c r="G162" s="928"/>
    </row>
    <row r="163" spans="1:7">
      <c r="A163" s="925"/>
      <c r="C163" s="927"/>
      <c r="E163" s="928"/>
      <c r="F163" s="928"/>
      <c r="G163" s="928"/>
    </row>
    <row r="164" spans="1:7">
      <c r="A164" s="925"/>
      <c r="C164" s="927"/>
      <c r="E164" s="928"/>
      <c r="F164" s="928"/>
      <c r="G164" s="928"/>
    </row>
    <row r="165" spans="1:7">
      <c r="A165" s="925"/>
      <c r="C165" s="927"/>
      <c r="E165" s="928"/>
      <c r="F165" s="928"/>
      <c r="G165" s="928"/>
    </row>
    <row r="166" spans="1:7">
      <c r="A166" s="925"/>
      <c r="C166" s="927"/>
      <c r="E166" s="928"/>
      <c r="F166" s="928"/>
      <c r="G166" s="928"/>
    </row>
    <row r="167" spans="1:7">
      <c r="A167" s="925"/>
      <c r="C167" s="927"/>
      <c r="E167" s="928"/>
      <c r="F167" s="928"/>
      <c r="G167" s="928"/>
    </row>
    <row r="168" spans="1:7">
      <c r="A168" s="925"/>
      <c r="C168" s="927"/>
      <c r="E168" s="928"/>
      <c r="F168" s="928"/>
      <c r="G168" s="928"/>
    </row>
    <row r="169" spans="1:7">
      <c r="A169" s="925"/>
      <c r="C169" s="927"/>
      <c r="E169" s="928"/>
      <c r="F169" s="928"/>
      <c r="G169" s="928"/>
    </row>
    <row r="170" spans="1:7">
      <c r="A170" s="925"/>
      <c r="C170" s="927"/>
      <c r="E170" s="928"/>
      <c r="F170" s="928"/>
      <c r="G170" s="928"/>
    </row>
    <row r="171" spans="1:7">
      <c r="A171" s="925"/>
      <c r="C171" s="927"/>
      <c r="E171" s="928"/>
      <c r="F171" s="928"/>
      <c r="G171" s="928"/>
    </row>
    <row r="172" spans="1:7">
      <c r="A172" s="925"/>
      <c r="C172" s="927"/>
      <c r="E172" s="928"/>
      <c r="F172" s="928"/>
      <c r="G172" s="928"/>
    </row>
    <row r="173" spans="1:7">
      <c r="A173" s="925"/>
      <c r="C173" s="927"/>
      <c r="E173" s="928"/>
      <c r="F173" s="928"/>
      <c r="G173" s="928"/>
    </row>
    <row r="174" spans="1:7">
      <c r="A174" s="925"/>
      <c r="C174" s="927"/>
      <c r="E174" s="928"/>
      <c r="F174" s="928"/>
      <c r="G174" s="928"/>
    </row>
    <row r="175" spans="1:7">
      <c r="A175" s="925"/>
      <c r="C175" s="927"/>
      <c r="E175" s="928"/>
      <c r="F175" s="928"/>
      <c r="G175" s="928"/>
    </row>
    <row r="176" spans="1:7">
      <c r="A176" s="925"/>
      <c r="C176" s="927"/>
      <c r="E176" s="928"/>
      <c r="F176" s="928"/>
      <c r="G176" s="928"/>
    </row>
    <row r="177" spans="1:7">
      <c r="A177" s="925"/>
      <c r="C177" s="927"/>
      <c r="E177" s="928"/>
      <c r="F177" s="928"/>
      <c r="G177" s="928"/>
    </row>
    <row r="178" spans="1:7">
      <c r="A178" s="925"/>
      <c r="C178" s="927"/>
      <c r="E178" s="928"/>
      <c r="F178" s="928"/>
      <c r="G178" s="928"/>
    </row>
    <row r="179" spans="1:7">
      <c r="A179" s="925"/>
      <c r="C179" s="927"/>
      <c r="E179" s="928"/>
      <c r="F179" s="928"/>
      <c r="G179" s="928"/>
    </row>
    <row r="180" spans="1:7">
      <c r="A180" s="925"/>
      <c r="C180" s="927"/>
      <c r="E180" s="928"/>
      <c r="F180" s="928"/>
      <c r="G180" s="928"/>
    </row>
    <row r="181" spans="1:7">
      <c r="A181" s="925"/>
      <c r="C181" s="927"/>
      <c r="E181" s="928"/>
      <c r="F181" s="928"/>
      <c r="G181" s="928"/>
    </row>
    <row r="182" spans="1:7">
      <c r="A182" s="925"/>
      <c r="C182" s="927"/>
      <c r="E182" s="928"/>
      <c r="F182" s="928"/>
      <c r="G182" s="928"/>
    </row>
    <row r="183" spans="1:7">
      <c r="A183" s="925"/>
      <c r="C183" s="927"/>
      <c r="E183" s="928"/>
      <c r="F183" s="928"/>
      <c r="G183" s="928"/>
    </row>
    <row r="184" spans="1:7">
      <c r="A184" s="925"/>
      <c r="C184" s="927"/>
      <c r="E184" s="928"/>
      <c r="F184" s="928"/>
      <c r="G184" s="928"/>
    </row>
    <row r="185" spans="1:7">
      <c r="A185" s="925"/>
      <c r="C185" s="927"/>
      <c r="E185" s="928"/>
      <c r="F185" s="928"/>
      <c r="G185" s="928"/>
    </row>
    <row r="186" spans="1:7">
      <c r="A186" s="925"/>
      <c r="C186" s="927"/>
      <c r="E186" s="928"/>
      <c r="F186" s="928"/>
      <c r="G186" s="928"/>
    </row>
    <row r="187" spans="1:7">
      <c r="A187" s="925"/>
      <c r="C187" s="927"/>
      <c r="E187" s="928"/>
      <c r="F187" s="928"/>
      <c r="G187" s="928"/>
    </row>
    <row r="188" spans="1:7">
      <c r="A188" s="925"/>
      <c r="C188" s="927"/>
      <c r="E188" s="928"/>
      <c r="F188" s="928"/>
      <c r="G188" s="928"/>
    </row>
    <row r="189" spans="1:7">
      <c r="A189" s="925"/>
      <c r="C189" s="927"/>
      <c r="E189" s="928"/>
      <c r="F189" s="928"/>
      <c r="G189" s="928"/>
    </row>
    <row r="190" spans="1:7">
      <c r="A190" s="925"/>
      <c r="C190" s="927"/>
      <c r="E190" s="928"/>
      <c r="F190" s="928"/>
      <c r="G190" s="928"/>
    </row>
    <row r="191" spans="1:7">
      <c r="A191" s="925"/>
      <c r="C191" s="927"/>
      <c r="E191" s="928"/>
      <c r="F191" s="928"/>
      <c r="G191" s="928"/>
    </row>
    <row r="192" spans="1:7">
      <c r="A192" s="925"/>
      <c r="C192" s="927"/>
      <c r="E192" s="928"/>
      <c r="F192" s="928"/>
      <c r="G192" s="928"/>
    </row>
    <row r="193" spans="1:7">
      <c r="A193" s="925"/>
      <c r="C193" s="927"/>
      <c r="E193" s="928"/>
      <c r="F193" s="928"/>
      <c r="G193" s="928"/>
    </row>
    <row r="194" spans="1:7">
      <c r="A194" s="925"/>
      <c r="C194" s="927"/>
      <c r="E194" s="928"/>
      <c r="F194" s="928"/>
      <c r="G194" s="928"/>
    </row>
    <row r="195" spans="1:7">
      <c r="A195" s="925"/>
      <c r="C195" s="927"/>
      <c r="E195" s="928"/>
      <c r="F195" s="928"/>
      <c r="G195" s="928"/>
    </row>
    <row r="196" spans="1:7">
      <c r="A196" s="925"/>
      <c r="C196" s="927"/>
      <c r="E196" s="928"/>
      <c r="F196" s="928"/>
      <c r="G196" s="928"/>
    </row>
    <row r="197" spans="1:7">
      <c r="A197" s="925"/>
      <c r="C197" s="927"/>
      <c r="E197" s="928"/>
      <c r="F197" s="928"/>
      <c r="G197" s="928"/>
    </row>
    <row r="198" spans="1:7">
      <c r="A198" s="925"/>
      <c r="C198" s="927"/>
      <c r="E198" s="928"/>
      <c r="F198" s="928"/>
      <c r="G198" s="928"/>
    </row>
    <row r="199" spans="1:7">
      <c r="A199" s="925"/>
      <c r="C199" s="927"/>
      <c r="E199" s="928"/>
      <c r="F199" s="928"/>
      <c r="G199" s="928"/>
    </row>
    <row r="200" spans="1:7">
      <c r="A200" s="925"/>
      <c r="C200" s="927"/>
      <c r="E200" s="928"/>
      <c r="F200" s="928"/>
      <c r="G200" s="928"/>
    </row>
    <row r="201" spans="1:7">
      <c r="A201" s="925"/>
      <c r="C201" s="927"/>
      <c r="E201" s="928"/>
      <c r="F201" s="928"/>
      <c r="G201" s="928"/>
    </row>
    <row r="202" spans="1:7">
      <c r="A202" s="925"/>
      <c r="C202" s="927"/>
      <c r="E202" s="928"/>
      <c r="F202" s="928"/>
      <c r="G202" s="928"/>
    </row>
    <row r="203" spans="1:7">
      <c r="A203" s="925"/>
      <c r="C203" s="927"/>
      <c r="E203" s="928"/>
      <c r="F203" s="928"/>
      <c r="G203" s="928"/>
    </row>
    <row r="204" spans="1:7">
      <c r="A204" s="925"/>
      <c r="C204" s="927"/>
      <c r="E204" s="928"/>
      <c r="F204" s="928"/>
      <c r="G204" s="928"/>
    </row>
    <row r="205" spans="1:7">
      <c r="A205" s="925"/>
      <c r="C205" s="927"/>
      <c r="E205" s="928"/>
      <c r="F205" s="928"/>
      <c r="G205" s="928"/>
    </row>
    <row r="206" spans="1:7">
      <c r="A206" s="925"/>
      <c r="C206" s="927"/>
      <c r="E206" s="928"/>
      <c r="F206" s="928"/>
      <c r="G206" s="928"/>
    </row>
    <row r="207" spans="1:7">
      <c r="A207" s="925"/>
      <c r="C207" s="927"/>
      <c r="E207" s="928"/>
      <c r="F207" s="928"/>
      <c r="G207" s="928"/>
    </row>
    <row r="208" spans="1:7">
      <c r="A208" s="925"/>
      <c r="C208" s="927"/>
      <c r="E208" s="928"/>
      <c r="F208" s="928"/>
      <c r="G208" s="928"/>
    </row>
    <row r="209" spans="1:7">
      <c r="A209" s="925"/>
      <c r="C209" s="927"/>
      <c r="E209" s="928"/>
      <c r="F209" s="928"/>
      <c r="G209" s="928"/>
    </row>
    <row r="210" spans="1:7">
      <c r="A210" s="925"/>
      <c r="C210" s="927"/>
      <c r="E210" s="928"/>
      <c r="F210" s="928"/>
      <c r="G210" s="928"/>
    </row>
    <row r="211" spans="1:7">
      <c r="A211" s="925"/>
      <c r="C211" s="927"/>
      <c r="E211" s="928"/>
      <c r="F211" s="928"/>
      <c r="G211" s="928"/>
    </row>
    <row r="212" spans="1:7">
      <c r="A212" s="925"/>
      <c r="C212" s="927"/>
      <c r="E212" s="928"/>
      <c r="F212" s="928"/>
      <c r="G212" s="928"/>
    </row>
    <row r="213" spans="1:7">
      <c r="A213" s="925"/>
      <c r="C213" s="927"/>
      <c r="E213" s="928"/>
      <c r="F213" s="928"/>
      <c r="G213" s="928"/>
    </row>
    <row r="214" spans="1:7">
      <c r="A214" s="925"/>
      <c r="C214" s="927"/>
      <c r="E214" s="928"/>
      <c r="F214" s="928"/>
      <c r="G214" s="928"/>
    </row>
    <row r="215" spans="1:7">
      <c r="A215" s="925"/>
      <c r="C215" s="927"/>
      <c r="E215" s="928"/>
      <c r="F215" s="928"/>
      <c r="G215" s="928"/>
    </row>
    <row r="216" spans="1:7">
      <c r="A216" s="925"/>
      <c r="C216" s="927"/>
      <c r="E216" s="928"/>
      <c r="F216" s="928"/>
      <c r="G216" s="928"/>
    </row>
    <row r="217" spans="1:7">
      <c r="A217" s="925"/>
      <c r="C217" s="927"/>
      <c r="E217" s="928"/>
      <c r="F217" s="928"/>
      <c r="G217" s="928"/>
    </row>
    <row r="218" spans="1:7">
      <c r="A218" s="925"/>
      <c r="C218" s="927"/>
      <c r="E218" s="928"/>
      <c r="F218" s="928"/>
      <c r="G218" s="928"/>
    </row>
    <row r="219" spans="1:7">
      <c r="A219" s="925"/>
      <c r="C219" s="927"/>
      <c r="E219" s="928"/>
      <c r="F219" s="928"/>
      <c r="G219" s="928"/>
    </row>
    <row r="220" spans="1:7">
      <c r="A220" s="925"/>
      <c r="C220" s="927"/>
      <c r="E220" s="928"/>
      <c r="F220" s="928"/>
      <c r="G220" s="928"/>
    </row>
    <row r="221" spans="1:7">
      <c r="A221" s="925"/>
      <c r="C221" s="927"/>
      <c r="E221" s="928"/>
      <c r="F221" s="928"/>
      <c r="G221" s="928"/>
    </row>
    <row r="222" spans="1:7">
      <c r="A222" s="925"/>
      <c r="C222" s="927"/>
      <c r="E222" s="928"/>
      <c r="F222" s="928"/>
      <c r="G222" s="928"/>
    </row>
    <row r="223" spans="1:7">
      <c r="A223" s="925"/>
      <c r="C223" s="927"/>
      <c r="E223" s="928"/>
      <c r="F223" s="928"/>
      <c r="G223" s="928"/>
    </row>
    <row r="224" spans="1:7">
      <c r="A224" s="925"/>
      <c r="C224" s="927"/>
      <c r="E224" s="928"/>
      <c r="F224" s="928"/>
      <c r="G224" s="928"/>
    </row>
    <row r="225" spans="1:7">
      <c r="A225" s="925"/>
      <c r="C225" s="927"/>
      <c r="E225" s="928"/>
      <c r="F225" s="928"/>
      <c r="G225" s="928"/>
    </row>
    <row r="226" spans="1:7">
      <c r="A226" s="925"/>
      <c r="C226" s="927"/>
      <c r="E226" s="928"/>
      <c r="F226" s="928"/>
      <c r="G226" s="928"/>
    </row>
    <row r="227" spans="1:7">
      <c r="A227" s="925"/>
      <c r="C227" s="927"/>
      <c r="E227" s="928"/>
      <c r="F227" s="928"/>
      <c r="G227" s="928"/>
    </row>
    <row r="228" spans="1:7">
      <c r="A228" s="925"/>
      <c r="C228" s="927"/>
      <c r="E228" s="928"/>
      <c r="F228" s="928"/>
      <c r="G228" s="928"/>
    </row>
    <row r="229" spans="1:7">
      <c r="A229" s="925"/>
      <c r="C229" s="927"/>
      <c r="E229" s="928"/>
      <c r="F229" s="928"/>
      <c r="G229" s="928"/>
    </row>
    <row r="230" spans="1:7">
      <c r="A230" s="925"/>
      <c r="C230" s="927"/>
      <c r="E230" s="928"/>
      <c r="F230" s="928"/>
      <c r="G230" s="928"/>
    </row>
    <row r="231" spans="1:7">
      <c r="A231" s="925"/>
      <c r="C231" s="927"/>
      <c r="E231" s="928"/>
      <c r="F231" s="928"/>
      <c r="G231" s="928"/>
    </row>
    <row r="232" spans="1:7">
      <c r="A232" s="925"/>
      <c r="C232" s="927"/>
      <c r="E232" s="928"/>
      <c r="F232" s="928"/>
      <c r="G232" s="928"/>
    </row>
    <row r="233" spans="1:7">
      <c r="A233" s="925"/>
      <c r="C233" s="927"/>
      <c r="E233" s="928"/>
      <c r="F233" s="928"/>
      <c r="G233" s="928"/>
    </row>
    <row r="234" spans="1:7">
      <c r="A234" s="925"/>
      <c r="C234" s="927"/>
      <c r="E234" s="928"/>
      <c r="F234" s="928"/>
      <c r="G234" s="928"/>
    </row>
    <row r="235" spans="1:7">
      <c r="A235" s="925"/>
      <c r="C235" s="927"/>
      <c r="E235" s="928"/>
      <c r="F235" s="928"/>
      <c r="G235" s="928"/>
    </row>
    <row r="236" spans="1:7">
      <c r="A236" s="925"/>
      <c r="C236" s="927"/>
      <c r="E236" s="928"/>
      <c r="F236" s="928"/>
      <c r="G236" s="928"/>
    </row>
    <row r="237" spans="1:7">
      <c r="A237" s="925"/>
      <c r="C237" s="927"/>
      <c r="E237" s="928"/>
      <c r="F237" s="928"/>
      <c r="G237" s="928"/>
    </row>
    <row r="238" spans="1:7">
      <c r="A238" s="925"/>
      <c r="C238" s="927"/>
      <c r="E238" s="928"/>
      <c r="F238" s="928"/>
      <c r="G238" s="928"/>
    </row>
    <row r="239" spans="1:7">
      <c r="A239" s="925"/>
      <c r="C239" s="927"/>
      <c r="E239" s="928"/>
      <c r="F239" s="928"/>
      <c r="G239" s="928"/>
    </row>
    <row r="240" spans="1:7">
      <c r="A240" s="925"/>
      <c r="C240" s="927"/>
      <c r="E240" s="928"/>
      <c r="F240" s="928"/>
      <c r="G240" s="928"/>
    </row>
    <row r="241" spans="1:7">
      <c r="A241" s="925"/>
      <c r="C241" s="927"/>
      <c r="E241" s="928"/>
      <c r="F241" s="928"/>
      <c r="G241" s="928"/>
    </row>
    <row r="242" spans="1:7">
      <c r="A242" s="925"/>
      <c r="C242" s="927"/>
      <c r="E242" s="928"/>
      <c r="F242" s="928"/>
      <c r="G242" s="928"/>
    </row>
    <row r="243" spans="1:7">
      <c r="A243" s="925"/>
      <c r="C243" s="927"/>
      <c r="E243" s="928"/>
      <c r="F243" s="928"/>
      <c r="G243" s="928"/>
    </row>
    <row r="244" spans="1:7">
      <c r="A244" s="925"/>
      <c r="C244" s="927"/>
      <c r="E244" s="928"/>
      <c r="F244" s="928"/>
      <c r="G244" s="928"/>
    </row>
    <row r="245" spans="1:7">
      <c r="A245" s="925"/>
      <c r="C245" s="927"/>
      <c r="E245" s="928"/>
      <c r="F245" s="928"/>
      <c r="G245" s="928"/>
    </row>
    <row r="246" spans="1:7">
      <c r="A246" s="925"/>
      <c r="C246" s="927"/>
      <c r="E246" s="928"/>
      <c r="F246" s="928"/>
      <c r="G246" s="928"/>
    </row>
    <row r="247" spans="1:7">
      <c r="A247" s="925"/>
      <c r="C247" s="927"/>
      <c r="E247" s="928"/>
      <c r="F247" s="928"/>
      <c r="G247" s="928"/>
    </row>
    <row r="248" spans="1:7">
      <c r="A248" s="925"/>
      <c r="C248" s="927"/>
      <c r="E248" s="928"/>
      <c r="F248" s="928"/>
      <c r="G248" s="928"/>
    </row>
    <row r="249" spans="1:7">
      <c r="A249" s="925"/>
      <c r="C249" s="927"/>
      <c r="E249" s="928"/>
      <c r="F249" s="928"/>
      <c r="G249" s="928"/>
    </row>
    <row r="250" spans="1:7">
      <c r="A250" s="925"/>
      <c r="C250" s="927"/>
      <c r="E250" s="928"/>
      <c r="F250" s="928"/>
      <c r="G250" s="928"/>
    </row>
    <row r="251" spans="1:7">
      <c r="A251" s="925"/>
      <c r="C251" s="927"/>
      <c r="E251" s="928"/>
      <c r="F251" s="928"/>
      <c r="G251" s="928"/>
    </row>
    <row r="252" spans="1:7">
      <c r="A252" s="925"/>
      <c r="C252" s="927"/>
      <c r="E252" s="928"/>
      <c r="F252" s="928"/>
      <c r="G252" s="928"/>
    </row>
    <row r="253" spans="1:7">
      <c r="A253" s="925"/>
      <c r="C253" s="927"/>
      <c r="E253" s="928"/>
      <c r="F253" s="928"/>
      <c r="G253" s="928"/>
    </row>
    <row r="254" spans="1:7">
      <c r="A254" s="925"/>
      <c r="C254" s="927"/>
      <c r="E254" s="928"/>
      <c r="F254" s="928"/>
      <c r="G254" s="928"/>
    </row>
    <row r="255" spans="1:7">
      <c r="A255" s="925"/>
      <c r="C255" s="927"/>
      <c r="E255" s="928"/>
      <c r="F255" s="928"/>
      <c r="G255" s="928"/>
    </row>
    <row r="256" spans="1:7">
      <c r="A256" s="925"/>
      <c r="C256" s="927"/>
      <c r="E256" s="928"/>
      <c r="F256" s="928"/>
      <c r="G256" s="928"/>
    </row>
    <row r="257" spans="1:7">
      <c r="A257" s="925"/>
      <c r="C257" s="927"/>
      <c r="E257" s="928"/>
      <c r="F257" s="928"/>
      <c r="G257" s="928"/>
    </row>
    <row r="258" spans="1:7">
      <c r="A258" s="925"/>
      <c r="C258" s="927"/>
      <c r="E258" s="928"/>
      <c r="F258" s="928"/>
      <c r="G258" s="928"/>
    </row>
    <row r="259" spans="1:7">
      <c r="A259" s="925"/>
      <c r="C259" s="927"/>
      <c r="E259" s="928"/>
      <c r="F259" s="928"/>
      <c r="G259" s="928"/>
    </row>
    <row r="260" spans="1:7">
      <c r="A260" s="925"/>
      <c r="C260" s="927"/>
      <c r="E260" s="928"/>
      <c r="F260" s="928"/>
      <c r="G260" s="928"/>
    </row>
    <row r="261" spans="1:7">
      <c r="A261" s="925"/>
      <c r="C261" s="927"/>
      <c r="E261" s="928"/>
      <c r="F261" s="928"/>
      <c r="G261" s="928"/>
    </row>
    <row r="262" spans="1:7">
      <c r="A262" s="925"/>
      <c r="C262" s="927"/>
      <c r="E262" s="928"/>
      <c r="F262" s="928"/>
      <c r="G262" s="928"/>
    </row>
    <row r="263" spans="1:7">
      <c r="A263" s="925"/>
      <c r="C263" s="927"/>
      <c r="E263" s="928"/>
      <c r="F263" s="928"/>
      <c r="G263" s="928"/>
    </row>
    <row r="264" spans="1:7">
      <c r="A264" s="925"/>
      <c r="C264" s="927"/>
      <c r="E264" s="928"/>
      <c r="F264" s="928"/>
      <c r="G264" s="928"/>
    </row>
    <row r="265" spans="1:7">
      <c r="A265" s="925"/>
      <c r="C265" s="927"/>
      <c r="E265" s="928"/>
      <c r="F265" s="928"/>
      <c r="G265" s="928"/>
    </row>
    <row r="266" spans="1:7">
      <c r="A266" s="925"/>
      <c r="C266" s="927"/>
      <c r="E266" s="928"/>
      <c r="F266" s="928"/>
      <c r="G266" s="928"/>
    </row>
    <row r="267" spans="1:7">
      <c r="A267" s="925"/>
      <c r="C267" s="927"/>
      <c r="E267" s="928"/>
      <c r="F267" s="928"/>
      <c r="G267" s="928"/>
    </row>
    <row r="268" spans="1:7">
      <c r="A268" s="925"/>
      <c r="C268" s="927"/>
      <c r="E268" s="928"/>
      <c r="F268" s="928"/>
      <c r="G268" s="928"/>
    </row>
    <row r="269" spans="1:7">
      <c r="A269" s="925"/>
      <c r="C269" s="927"/>
      <c r="E269" s="928"/>
      <c r="F269" s="928"/>
      <c r="G269" s="928"/>
    </row>
    <row r="270" spans="1:7">
      <c r="A270" s="925"/>
      <c r="C270" s="927"/>
      <c r="E270" s="928"/>
      <c r="F270" s="928"/>
      <c r="G270" s="928"/>
    </row>
    <row r="271" spans="1:7">
      <c r="A271" s="925"/>
      <c r="C271" s="927"/>
      <c r="E271" s="928"/>
      <c r="F271" s="928"/>
      <c r="G271" s="928"/>
    </row>
    <row r="272" spans="1:7">
      <c r="A272" s="925"/>
      <c r="C272" s="927"/>
      <c r="E272" s="928"/>
      <c r="F272" s="928"/>
      <c r="G272" s="928"/>
    </row>
    <row r="273" spans="1:7">
      <c r="A273" s="925"/>
      <c r="C273" s="927"/>
      <c r="E273" s="928"/>
      <c r="F273" s="928"/>
      <c r="G273" s="928"/>
    </row>
    <row r="274" spans="1:7">
      <c r="A274" s="925"/>
      <c r="C274" s="927"/>
      <c r="E274" s="928"/>
      <c r="F274" s="928"/>
      <c r="G274" s="928"/>
    </row>
    <row r="275" spans="1:7">
      <c r="A275" s="925"/>
      <c r="C275" s="927"/>
      <c r="E275" s="928"/>
      <c r="F275" s="928"/>
      <c r="G275" s="928"/>
    </row>
    <row r="276" spans="1:7">
      <c r="A276" s="925"/>
      <c r="C276" s="927"/>
      <c r="E276" s="928"/>
      <c r="F276" s="928"/>
      <c r="G276" s="928"/>
    </row>
    <row r="277" spans="1:7">
      <c r="A277" s="925"/>
      <c r="C277" s="927"/>
      <c r="E277" s="928"/>
      <c r="F277" s="928"/>
      <c r="G277" s="928"/>
    </row>
    <row r="278" spans="1:7">
      <c r="A278" s="925"/>
      <c r="C278" s="927"/>
      <c r="E278" s="928"/>
      <c r="F278" s="928"/>
      <c r="G278" s="928"/>
    </row>
    <row r="279" spans="1:7">
      <c r="A279" s="925"/>
      <c r="C279" s="927"/>
      <c r="E279" s="928"/>
      <c r="F279" s="928"/>
      <c r="G279" s="928"/>
    </row>
    <row r="280" spans="1:7">
      <c r="A280" s="925"/>
      <c r="C280" s="927"/>
      <c r="E280" s="928"/>
      <c r="F280" s="928"/>
      <c r="G280" s="928"/>
    </row>
    <row r="281" spans="1:7">
      <c r="A281" s="925"/>
      <c r="C281" s="927"/>
      <c r="E281" s="928"/>
      <c r="F281" s="928"/>
      <c r="G281" s="928"/>
    </row>
    <row r="282" spans="1:7">
      <c r="A282" s="925"/>
      <c r="C282" s="927"/>
      <c r="E282" s="928"/>
      <c r="F282" s="928"/>
      <c r="G282" s="928"/>
    </row>
    <row r="283" spans="1:7">
      <c r="A283" s="925"/>
      <c r="C283" s="927"/>
      <c r="E283" s="928"/>
      <c r="F283" s="928"/>
      <c r="G283" s="928"/>
    </row>
    <row r="284" spans="1:7">
      <c r="A284" s="925"/>
      <c r="C284" s="927"/>
      <c r="E284" s="928"/>
      <c r="F284" s="928"/>
      <c r="G284" s="928"/>
    </row>
    <row r="285" spans="1:7">
      <c r="A285" s="925"/>
      <c r="C285" s="927"/>
      <c r="E285" s="928"/>
      <c r="F285" s="928"/>
      <c r="G285" s="928"/>
    </row>
    <row r="286" spans="1:7">
      <c r="A286" s="925"/>
      <c r="C286" s="927"/>
      <c r="E286" s="928"/>
      <c r="F286" s="928"/>
      <c r="G286" s="928"/>
    </row>
    <row r="287" spans="1:7">
      <c r="A287" s="925"/>
      <c r="C287" s="927"/>
      <c r="E287" s="928"/>
      <c r="F287" s="928"/>
      <c r="G287" s="928"/>
    </row>
    <row r="288" spans="1:7">
      <c r="A288" s="925"/>
      <c r="C288" s="927"/>
      <c r="E288" s="928"/>
      <c r="F288" s="928"/>
      <c r="G288" s="928"/>
    </row>
    <row r="289" spans="1:7">
      <c r="A289" s="925"/>
      <c r="C289" s="927"/>
      <c r="E289" s="928"/>
      <c r="F289" s="928"/>
      <c r="G289" s="928"/>
    </row>
    <row r="290" spans="1:7">
      <c r="A290" s="925"/>
      <c r="C290" s="927"/>
      <c r="E290" s="928"/>
      <c r="F290" s="928"/>
      <c r="G290" s="928"/>
    </row>
    <row r="291" spans="1:7">
      <c r="A291" s="925"/>
      <c r="C291" s="927"/>
      <c r="E291" s="928"/>
      <c r="F291" s="928"/>
      <c r="G291" s="928"/>
    </row>
    <row r="292" spans="1:7">
      <c r="A292" s="925"/>
      <c r="C292" s="927"/>
      <c r="E292" s="928"/>
      <c r="F292" s="928"/>
      <c r="G292" s="928"/>
    </row>
    <row r="293" spans="1:7">
      <c r="A293" s="925"/>
      <c r="C293" s="927"/>
      <c r="E293" s="928"/>
      <c r="F293" s="928"/>
      <c r="G293" s="928"/>
    </row>
    <row r="294" spans="1:7">
      <c r="A294" s="925"/>
      <c r="C294" s="927"/>
      <c r="E294" s="928"/>
      <c r="F294" s="928"/>
      <c r="G294" s="928"/>
    </row>
    <row r="295" spans="1:7">
      <c r="A295" s="925"/>
      <c r="C295" s="927"/>
      <c r="E295" s="928"/>
      <c r="F295" s="928"/>
      <c r="G295" s="928"/>
    </row>
    <row r="296" spans="1:7">
      <c r="A296" s="925"/>
      <c r="C296" s="927"/>
      <c r="E296" s="928"/>
      <c r="F296" s="928"/>
      <c r="G296" s="928"/>
    </row>
    <row r="297" spans="1:7">
      <c r="A297" s="925"/>
      <c r="C297" s="927"/>
      <c r="E297" s="928"/>
      <c r="F297" s="928"/>
      <c r="G297" s="928"/>
    </row>
    <row r="298" spans="1:7">
      <c r="A298" s="925"/>
      <c r="C298" s="927"/>
      <c r="E298" s="928"/>
      <c r="F298" s="928"/>
      <c r="G298" s="928"/>
    </row>
    <row r="299" spans="1:7">
      <c r="A299" s="925"/>
      <c r="C299" s="927"/>
      <c r="E299" s="928"/>
      <c r="F299" s="928"/>
      <c r="G299" s="928"/>
    </row>
    <row r="300" spans="1:7">
      <c r="A300" s="925"/>
      <c r="C300" s="927"/>
      <c r="E300" s="928"/>
      <c r="F300" s="928"/>
      <c r="G300" s="928"/>
    </row>
    <row r="301" spans="1:7">
      <c r="A301" s="925"/>
      <c r="C301" s="927"/>
      <c r="E301" s="928"/>
      <c r="F301" s="928"/>
      <c r="G301" s="928"/>
    </row>
    <row r="302" spans="1:7">
      <c r="A302" s="925"/>
      <c r="C302" s="927"/>
      <c r="E302" s="928"/>
      <c r="F302" s="928"/>
      <c r="G302" s="928"/>
    </row>
    <row r="303" spans="1:7">
      <c r="A303" s="925"/>
      <c r="C303" s="927"/>
      <c r="E303" s="928"/>
      <c r="F303" s="928"/>
      <c r="G303" s="928"/>
    </row>
    <row r="304" spans="1:7">
      <c r="A304" s="925"/>
      <c r="C304" s="927"/>
      <c r="E304" s="928"/>
      <c r="F304" s="928"/>
      <c r="G304" s="928"/>
    </row>
    <row r="305" spans="1:7">
      <c r="A305" s="925"/>
      <c r="C305" s="927"/>
      <c r="E305" s="928"/>
      <c r="F305" s="928"/>
      <c r="G305" s="928"/>
    </row>
    <row r="306" spans="1:7">
      <c r="A306" s="925"/>
      <c r="C306" s="927"/>
      <c r="E306" s="928"/>
      <c r="F306" s="928"/>
      <c r="G306" s="928"/>
    </row>
    <row r="307" spans="1:7">
      <c r="A307" s="925"/>
      <c r="C307" s="927"/>
      <c r="E307" s="928"/>
      <c r="F307" s="928"/>
      <c r="G307" s="928"/>
    </row>
    <row r="308" spans="1:7">
      <c r="A308" s="925"/>
      <c r="C308" s="927"/>
      <c r="E308" s="928"/>
      <c r="F308" s="928"/>
      <c r="G308" s="928"/>
    </row>
    <row r="309" spans="1:7">
      <c r="A309" s="925"/>
      <c r="C309" s="927"/>
      <c r="E309" s="928"/>
      <c r="F309" s="928"/>
      <c r="G309" s="928"/>
    </row>
    <row r="310" spans="1:7">
      <c r="A310" s="925"/>
      <c r="C310" s="927"/>
      <c r="E310" s="928"/>
      <c r="F310" s="928"/>
      <c r="G310" s="928"/>
    </row>
    <row r="311" spans="1:7">
      <c r="A311" s="925"/>
      <c r="C311" s="927"/>
      <c r="E311" s="928"/>
      <c r="F311" s="928"/>
      <c r="G311" s="928"/>
    </row>
    <row r="312" spans="1:7">
      <c r="A312" s="925"/>
      <c r="C312" s="927"/>
      <c r="E312" s="928"/>
      <c r="F312" s="928"/>
      <c r="G312" s="928"/>
    </row>
    <row r="313" spans="1:7">
      <c r="A313" s="925"/>
      <c r="C313" s="927"/>
      <c r="E313" s="928"/>
      <c r="F313" s="928"/>
      <c r="G313" s="928"/>
    </row>
    <row r="314" spans="1:7">
      <c r="A314" s="925"/>
      <c r="C314" s="927"/>
      <c r="E314" s="928"/>
      <c r="F314" s="928"/>
      <c r="G314" s="928"/>
    </row>
    <row r="315" spans="1:7">
      <c r="A315" s="925"/>
      <c r="C315" s="927"/>
      <c r="E315" s="928"/>
      <c r="F315" s="928"/>
      <c r="G315" s="928"/>
    </row>
    <row r="316" spans="1:7">
      <c r="A316" s="925"/>
      <c r="C316" s="927"/>
      <c r="E316" s="928"/>
      <c r="F316" s="928"/>
      <c r="G316" s="928"/>
    </row>
    <row r="317" spans="1:7">
      <c r="A317" s="925"/>
      <c r="C317" s="927"/>
      <c r="E317" s="928"/>
      <c r="F317" s="928"/>
      <c r="G317" s="928"/>
    </row>
    <row r="318" spans="1:7">
      <c r="A318" s="925"/>
      <c r="C318" s="927"/>
      <c r="E318" s="928"/>
      <c r="F318" s="928"/>
      <c r="G318" s="928"/>
    </row>
    <row r="319" spans="1:7">
      <c r="A319" s="925"/>
      <c r="C319" s="927"/>
      <c r="E319" s="928"/>
      <c r="F319" s="928"/>
      <c r="G319" s="928"/>
    </row>
    <row r="320" spans="1:7">
      <c r="A320" s="925"/>
      <c r="C320" s="927"/>
      <c r="E320" s="928"/>
      <c r="F320" s="928"/>
      <c r="G320" s="928"/>
    </row>
    <row r="321" spans="1:7">
      <c r="A321" s="925"/>
      <c r="C321" s="927"/>
      <c r="E321" s="928"/>
      <c r="F321" s="928"/>
      <c r="G321" s="928"/>
    </row>
    <row r="322" spans="1:7">
      <c r="A322" s="925"/>
      <c r="C322" s="927"/>
      <c r="E322" s="928"/>
      <c r="F322" s="928"/>
      <c r="G322" s="928"/>
    </row>
    <row r="323" spans="1:7">
      <c r="A323" s="925"/>
      <c r="C323" s="927"/>
      <c r="E323" s="928"/>
      <c r="F323" s="928"/>
      <c r="G323" s="928"/>
    </row>
    <row r="324" spans="1:7">
      <c r="A324" s="925"/>
      <c r="C324" s="927"/>
      <c r="E324" s="928"/>
      <c r="F324" s="928"/>
      <c r="G324" s="928"/>
    </row>
    <row r="325" spans="1:7">
      <c r="A325" s="925"/>
      <c r="C325" s="927"/>
      <c r="E325" s="928"/>
      <c r="F325" s="928"/>
      <c r="G325" s="928"/>
    </row>
    <row r="326" spans="1:7">
      <c r="A326" s="925"/>
      <c r="C326" s="927"/>
      <c r="E326" s="928"/>
      <c r="F326" s="928"/>
      <c r="G326" s="928"/>
    </row>
    <row r="327" spans="1:7">
      <c r="A327" s="925"/>
      <c r="C327" s="927"/>
      <c r="E327" s="928"/>
      <c r="F327" s="928"/>
      <c r="G327" s="928"/>
    </row>
    <row r="328" spans="1:7">
      <c r="A328" s="925"/>
      <c r="C328" s="927"/>
      <c r="E328" s="928"/>
      <c r="F328" s="928"/>
      <c r="G328" s="928"/>
    </row>
    <row r="329" spans="1:7">
      <c r="A329" s="925"/>
      <c r="C329" s="927"/>
      <c r="E329" s="928"/>
      <c r="F329" s="928"/>
      <c r="G329" s="928"/>
    </row>
    <row r="330" spans="1:7">
      <c r="A330" s="925"/>
      <c r="C330" s="927"/>
      <c r="E330" s="928"/>
      <c r="F330" s="928"/>
      <c r="G330" s="928"/>
    </row>
    <row r="331" spans="1:7">
      <c r="A331" s="925"/>
      <c r="C331" s="927"/>
      <c r="E331" s="928"/>
      <c r="F331" s="928"/>
      <c r="G331" s="928"/>
    </row>
    <row r="332" spans="1:7">
      <c r="A332" s="925"/>
      <c r="C332" s="927"/>
      <c r="E332" s="928"/>
      <c r="F332" s="928"/>
      <c r="G332" s="928"/>
    </row>
    <row r="333" spans="1:7">
      <c r="A333" s="925"/>
      <c r="C333" s="927"/>
      <c r="E333" s="928"/>
      <c r="F333" s="928"/>
      <c r="G333" s="928"/>
    </row>
    <row r="334" spans="1:7">
      <c r="A334" s="925"/>
      <c r="C334" s="927"/>
      <c r="E334" s="928"/>
      <c r="F334" s="928"/>
      <c r="G334" s="928"/>
    </row>
    <row r="335" spans="1:7">
      <c r="A335" s="925"/>
      <c r="C335" s="927"/>
      <c r="E335" s="928"/>
      <c r="F335" s="928"/>
      <c r="G335" s="928"/>
    </row>
    <row r="336" spans="1:7">
      <c r="A336" s="925"/>
      <c r="C336" s="927"/>
      <c r="E336" s="928"/>
      <c r="F336" s="928"/>
      <c r="G336" s="928"/>
    </row>
    <row r="337" spans="1:7">
      <c r="A337" s="925"/>
      <c r="C337" s="927"/>
      <c r="E337" s="928"/>
      <c r="F337" s="928"/>
      <c r="G337" s="928"/>
    </row>
    <row r="338" spans="1:7">
      <c r="A338" s="925"/>
      <c r="C338" s="927"/>
      <c r="E338" s="928"/>
      <c r="F338" s="928"/>
      <c r="G338" s="928"/>
    </row>
    <row r="339" spans="1:7">
      <c r="A339" s="925"/>
      <c r="C339" s="927"/>
      <c r="E339" s="928"/>
      <c r="F339" s="928"/>
      <c r="G339" s="928"/>
    </row>
    <row r="340" spans="1:7">
      <c r="A340" s="925"/>
      <c r="C340" s="927"/>
      <c r="E340" s="928"/>
      <c r="F340" s="928"/>
      <c r="G340" s="928"/>
    </row>
    <row r="341" spans="1:7">
      <c r="A341" s="925"/>
      <c r="C341" s="927"/>
      <c r="E341" s="928"/>
      <c r="F341" s="928"/>
      <c r="G341" s="928"/>
    </row>
    <row r="342" spans="1:7">
      <c r="A342" s="925"/>
      <c r="C342" s="927"/>
      <c r="E342" s="928"/>
      <c r="F342" s="928"/>
      <c r="G342" s="928"/>
    </row>
    <row r="343" spans="1:7">
      <c r="A343" s="925"/>
      <c r="C343" s="927"/>
      <c r="E343" s="928"/>
      <c r="F343" s="928"/>
      <c r="G343" s="928"/>
    </row>
    <row r="344" spans="1:7">
      <c r="A344" s="925"/>
      <c r="C344" s="927"/>
      <c r="E344" s="928"/>
      <c r="F344" s="928"/>
      <c r="G344" s="928"/>
    </row>
    <row r="345" spans="1:7">
      <c r="A345" s="925"/>
      <c r="C345" s="927"/>
      <c r="E345" s="928"/>
      <c r="F345" s="928"/>
      <c r="G345" s="928"/>
    </row>
    <row r="346" spans="1:7">
      <c r="A346" s="925"/>
      <c r="C346" s="927"/>
      <c r="E346" s="928"/>
      <c r="F346" s="928"/>
      <c r="G346" s="928"/>
    </row>
    <row r="347" spans="1:7">
      <c r="A347" s="925"/>
      <c r="C347" s="927"/>
      <c r="E347" s="928"/>
      <c r="F347" s="928"/>
      <c r="G347" s="928"/>
    </row>
    <row r="348" spans="1:7">
      <c r="A348" s="925"/>
      <c r="C348" s="927"/>
      <c r="E348" s="928"/>
      <c r="F348" s="928"/>
      <c r="G348" s="928"/>
    </row>
    <row r="349" spans="1:7">
      <c r="A349" s="925"/>
      <c r="C349" s="927"/>
      <c r="E349" s="928"/>
      <c r="F349" s="928"/>
      <c r="G349" s="928"/>
    </row>
    <row r="350" spans="1:7">
      <c r="A350" s="925"/>
      <c r="C350" s="927"/>
      <c r="E350" s="928"/>
      <c r="F350" s="928"/>
      <c r="G350" s="928"/>
    </row>
    <row r="351" spans="1:7">
      <c r="A351" s="925"/>
      <c r="C351" s="927"/>
      <c r="E351" s="928"/>
      <c r="F351" s="928"/>
      <c r="G351" s="928"/>
    </row>
    <row r="352" spans="1:7">
      <c r="A352" s="925"/>
      <c r="C352" s="927"/>
      <c r="E352" s="928"/>
      <c r="F352" s="928"/>
      <c r="G352" s="928"/>
    </row>
    <row r="353" spans="1:7">
      <c r="A353" s="925"/>
      <c r="C353" s="927"/>
      <c r="E353" s="928"/>
      <c r="F353" s="928"/>
      <c r="G353" s="928"/>
    </row>
    <row r="354" spans="1:7">
      <c r="A354" s="925"/>
      <c r="C354" s="927"/>
      <c r="E354" s="928"/>
      <c r="F354" s="928"/>
      <c r="G354" s="928"/>
    </row>
    <row r="355" spans="1:7">
      <c r="A355" s="925"/>
      <c r="C355" s="927"/>
      <c r="E355" s="928"/>
      <c r="F355" s="928"/>
      <c r="G355" s="928"/>
    </row>
    <row r="356" spans="1:7">
      <c r="A356" s="925"/>
      <c r="C356" s="927"/>
      <c r="E356" s="928"/>
      <c r="F356" s="928"/>
      <c r="G356" s="928"/>
    </row>
    <row r="357" spans="1:7">
      <c r="A357" s="925"/>
      <c r="C357" s="927"/>
      <c r="E357" s="928"/>
      <c r="F357" s="928"/>
      <c r="G357" s="928"/>
    </row>
    <row r="358" spans="1:7">
      <c r="A358" s="925"/>
      <c r="C358" s="927"/>
      <c r="E358" s="928"/>
      <c r="F358" s="928"/>
      <c r="G358" s="928"/>
    </row>
    <row r="359" spans="1:7">
      <c r="A359" s="925"/>
      <c r="C359" s="927"/>
      <c r="E359" s="928"/>
      <c r="F359" s="928"/>
      <c r="G359" s="928"/>
    </row>
    <row r="360" spans="1:7">
      <c r="A360" s="925"/>
      <c r="C360" s="927"/>
      <c r="E360" s="928"/>
      <c r="F360" s="928"/>
      <c r="G360" s="928"/>
    </row>
    <row r="361" spans="1:7">
      <c r="A361" s="925"/>
      <c r="C361" s="927"/>
      <c r="E361" s="928"/>
      <c r="F361" s="928"/>
      <c r="G361" s="928"/>
    </row>
    <row r="362" spans="1:7">
      <c r="A362" s="925"/>
      <c r="C362" s="927"/>
      <c r="E362" s="928"/>
      <c r="F362" s="928"/>
      <c r="G362" s="928"/>
    </row>
    <row r="363" spans="1:7">
      <c r="A363" s="925"/>
      <c r="C363" s="927"/>
      <c r="E363" s="928"/>
      <c r="F363" s="928"/>
      <c r="G363" s="928"/>
    </row>
    <row r="364" spans="1:7">
      <c r="A364" s="925"/>
      <c r="C364" s="927"/>
      <c r="E364" s="928"/>
      <c r="F364" s="928"/>
      <c r="G364" s="928"/>
    </row>
    <row r="365" spans="1:7">
      <c r="A365" s="925"/>
      <c r="C365" s="927"/>
      <c r="E365" s="928"/>
      <c r="F365" s="928"/>
      <c r="G365" s="928"/>
    </row>
    <row r="366" spans="1:7">
      <c r="A366" s="925"/>
      <c r="C366" s="927"/>
      <c r="E366" s="928"/>
      <c r="F366" s="928"/>
      <c r="G366" s="928"/>
    </row>
    <row r="367" spans="1:7">
      <c r="A367" s="925"/>
      <c r="C367" s="927"/>
      <c r="E367" s="928"/>
      <c r="F367" s="928"/>
      <c r="G367" s="928"/>
    </row>
    <row r="368" spans="1:7">
      <c r="A368" s="925"/>
      <c r="C368" s="927"/>
      <c r="E368" s="928"/>
      <c r="F368" s="928"/>
      <c r="G368" s="928"/>
    </row>
    <row r="369" spans="1:7">
      <c r="A369" s="925"/>
      <c r="C369" s="927"/>
      <c r="E369" s="928"/>
      <c r="F369" s="928"/>
      <c r="G369" s="928"/>
    </row>
    <row r="370" spans="1:7">
      <c r="A370" s="925"/>
      <c r="C370" s="927"/>
      <c r="E370" s="928"/>
      <c r="F370" s="928"/>
      <c r="G370" s="928"/>
    </row>
    <row r="371" spans="1:7">
      <c r="A371" s="925"/>
      <c r="C371" s="927"/>
      <c r="E371" s="928"/>
      <c r="F371" s="928"/>
      <c r="G371" s="928"/>
    </row>
    <row r="372" spans="1:7">
      <c r="A372" s="925"/>
      <c r="C372" s="927"/>
      <c r="E372" s="928"/>
      <c r="F372" s="928"/>
      <c r="G372" s="928"/>
    </row>
    <row r="373" spans="1:7">
      <c r="A373" s="925"/>
      <c r="C373" s="927"/>
      <c r="E373" s="928"/>
      <c r="F373" s="928"/>
      <c r="G373" s="928"/>
    </row>
    <row r="374" spans="1:7">
      <c r="A374" s="925"/>
      <c r="C374" s="927"/>
      <c r="E374" s="928"/>
      <c r="F374" s="928"/>
      <c r="G374" s="928"/>
    </row>
    <row r="375" spans="1:7">
      <c r="A375" s="925"/>
      <c r="C375" s="927"/>
      <c r="E375" s="928"/>
      <c r="F375" s="928"/>
      <c r="G375" s="928"/>
    </row>
    <row r="376" spans="1:7">
      <c r="A376" s="925"/>
      <c r="C376" s="927"/>
      <c r="E376" s="928"/>
      <c r="F376" s="928"/>
      <c r="G376" s="928"/>
    </row>
    <row r="377" spans="1:7">
      <c r="A377" s="925"/>
      <c r="C377" s="927"/>
      <c r="E377" s="928"/>
      <c r="F377" s="928"/>
      <c r="G377" s="928"/>
    </row>
    <row r="378" spans="1:7">
      <c r="A378" s="925"/>
      <c r="C378" s="927"/>
      <c r="E378" s="928"/>
      <c r="F378" s="928"/>
      <c r="G378" s="928"/>
    </row>
    <row r="379" spans="1:7">
      <c r="A379" s="925"/>
      <c r="C379" s="927"/>
      <c r="E379" s="928"/>
      <c r="F379" s="928"/>
      <c r="G379" s="928"/>
    </row>
    <row r="380" spans="1:7">
      <c r="A380" s="925"/>
      <c r="C380" s="927"/>
      <c r="E380" s="928"/>
      <c r="F380" s="928"/>
      <c r="G380" s="928"/>
    </row>
    <row r="381" spans="1:7">
      <c r="A381" s="925"/>
      <c r="C381" s="927"/>
      <c r="E381" s="928"/>
      <c r="F381" s="928"/>
      <c r="G381" s="928"/>
    </row>
    <row r="382" spans="1:7">
      <c r="A382" s="925"/>
      <c r="C382" s="927"/>
      <c r="E382" s="928"/>
      <c r="F382" s="928"/>
      <c r="G382" s="928"/>
    </row>
    <row r="383" spans="1:7">
      <c r="A383" s="925"/>
      <c r="C383" s="927"/>
      <c r="E383" s="928"/>
      <c r="F383" s="928"/>
      <c r="G383" s="928"/>
    </row>
    <row r="384" spans="1:7">
      <c r="A384" s="925"/>
      <c r="C384" s="927"/>
      <c r="E384" s="928"/>
      <c r="F384" s="928"/>
      <c r="G384" s="928"/>
    </row>
    <row r="385" spans="1:7">
      <c r="A385" s="925"/>
      <c r="C385" s="927"/>
      <c r="E385" s="928"/>
      <c r="F385" s="928"/>
      <c r="G385" s="928"/>
    </row>
    <row r="386" spans="1:7">
      <c r="A386" s="925"/>
      <c r="C386" s="927"/>
      <c r="E386" s="928"/>
      <c r="F386" s="928"/>
      <c r="G386" s="928"/>
    </row>
    <row r="387" spans="1:7">
      <c r="A387" s="925"/>
      <c r="C387" s="927"/>
      <c r="E387" s="928"/>
      <c r="F387" s="928"/>
      <c r="G387" s="928"/>
    </row>
    <row r="388" spans="1:7">
      <c r="A388" s="925"/>
      <c r="C388" s="927"/>
      <c r="E388" s="928"/>
      <c r="F388" s="928"/>
      <c r="G388" s="928"/>
    </row>
    <row r="389" spans="1:7">
      <c r="A389" s="925"/>
      <c r="C389" s="927"/>
      <c r="E389" s="928"/>
      <c r="F389" s="928"/>
      <c r="G389" s="928"/>
    </row>
    <row r="390" spans="1:7">
      <c r="A390" s="925"/>
      <c r="C390" s="927"/>
      <c r="E390" s="928"/>
      <c r="F390" s="928"/>
      <c r="G390" s="928"/>
    </row>
    <row r="391" spans="1:7">
      <c r="A391" s="925"/>
      <c r="C391" s="927"/>
      <c r="E391" s="928"/>
      <c r="F391" s="928"/>
      <c r="G391" s="928"/>
    </row>
    <row r="392" spans="1:7">
      <c r="A392" s="925"/>
      <c r="C392" s="927"/>
      <c r="E392" s="928"/>
      <c r="F392" s="928"/>
      <c r="G392" s="928"/>
    </row>
    <row r="393" spans="1:7">
      <c r="A393" s="925"/>
      <c r="C393" s="927"/>
      <c r="E393" s="928"/>
      <c r="F393" s="928"/>
      <c r="G393" s="928"/>
    </row>
    <row r="394" spans="1:7">
      <c r="A394" s="925"/>
      <c r="C394" s="927"/>
      <c r="E394" s="928"/>
      <c r="F394" s="928"/>
      <c r="G394" s="928"/>
    </row>
    <row r="395" spans="1:7">
      <c r="A395" s="925"/>
      <c r="C395" s="927"/>
      <c r="E395" s="928"/>
      <c r="F395" s="928"/>
      <c r="G395" s="928"/>
    </row>
    <row r="396" spans="1:7">
      <c r="A396" s="925"/>
      <c r="C396" s="927"/>
      <c r="E396" s="928"/>
      <c r="F396" s="928"/>
      <c r="G396" s="928"/>
    </row>
    <row r="397" spans="1:7">
      <c r="A397" s="925"/>
      <c r="C397" s="927"/>
      <c r="E397" s="928"/>
      <c r="F397" s="928"/>
      <c r="G397" s="928"/>
    </row>
    <row r="398" spans="1:7">
      <c r="A398" s="925"/>
      <c r="C398" s="927"/>
      <c r="E398" s="928"/>
      <c r="F398" s="928"/>
      <c r="G398" s="928"/>
    </row>
    <row r="399" spans="1:7">
      <c r="A399" s="925"/>
      <c r="C399" s="927"/>
      <c r="E399" s="928"/>
      <c r="F399" s="928"/>
      <c r="G399" s="928"/>
    </row>
    <row r="400" spans="1:7">
      <c r="A400" s="925"/>
      <c r="C400" s="927"/>
      <c r="E400" s="928"/>
      <c r="F400" s="928"/>
      <c r="G400" s="928"/>
    </row>
    <row r="401" spans="1:7">
      <c r="A401" s="925"/>
      <c r="C401" s="927"/>
      <c r="E401" s="928"/>
      <c r="F401" s="928"/>
      <c r="G401" s="928"/>
    </row>
    <row r="402" spans="1:7">
      <c r="A402" s="925"/>
      <c r="C402" s="927"/>
      <c r="E402" s="928"/>
      <c r="F402" s="928"/>
      <c r="G402" s="928"/>
    </row>
    <row r="403" spans="1:7">
      <c r="A403" s="925"/>
      <c r="C403" s="927"/>
      <c r="E403" s="928"/>
      <c r="F403" s="928"/>
      <c r="G403" s="928"/>
    </row>
    <row r="404" spans="1:7">
      <c r="A404" s="925"/>
      <c r="C404" s="927"/>
      <c r="E404" s="928"/>
      <c r="F404" s="928"/>
      <c r="G404" s="928"/>
    </row>
    <row r="405" spans="1:7">
      <c r="A405" s="925"/>
      <c r="C405" s="927"/>
      <c r="E405" s="928"/>
      <c r="F405" s="928"/>
      <c r="G405" s="928"/>
    </row>
    <row r="406" spans="1:7">
      <c r="A406" s="925"/>
      <c r="C406" s="927"/>
      <c r="E406" s="928"/>
      <c r="F406" s="928"/>
      <c r="G406" s="928"/>
    </row>
    <row r="407" spans="1:7">
      <c r="A407" s="925"/>
      <c r="C407" s="927"/>
      <c r="E407" s="928"/>
      <c r="F407" s="928"/>
      <c r="G407" s="928"/>
    </row>
    <row r="408" spans="1:7">
      <c r="A408" s="925"/>
      <c r="C408" s="927"/>
      <c r="E408" s="928"/>
      <c r="F408" s="928"/>
      <c r="G408" s="928"/>
    </row>
    <row r="409" spans="1:7">
      <c r="A409" s="925"/>
      <c r="C409" s="927"/>
      <c r="E409" s="928"/>
      <c r="F409" s="928"/>
      <c r="G409" s="928"/>
    </row>
    <row r="410" spans="1:7">
      <c r="A410" s="925"/>
      <c r="C410" s="927"/>
      <c r="E410" s="928"/>
      <c r="F410" s="928"/>
      <c r="G410" s="928"/>
    </row>
    <row r="411" spans="1:7">
      <c r="A411" s="925"/>
      <c r="C411" s="927"/>
      <c r="E411" s="928"/>
      <c r="F411" s="928"/>
      <c r="G411" s="928"/>
    </row>
    <row r="412" spans="1:7">
      <c r="A412" s="925"/>
      <c r="C412" s="927"/>
      <c r="E412" s="928"/>
      <c r="F412" s="928"/>
      <c r="G412" s="928"/>
    </row>
    <row r="413" spans="1:7">
      <c r="A413" s="925"/>
      <c r="C413" s="927"/>
      <c r="E413" s="928"/>
      <c r="F413" s="928"/>
      <c r="G413" s="928"/>
    </row>
    <row r="414" spans="1:7">
      <c r="A414" s="925"/>
      <c r="C414" s="927"/>
      <c r="E414" s="928"/>
      <c r="F414" s="928"/>
      <c r="G414" s="928"/>
    </row>
    <row r="415" spans="1:7">
      <c r="A415" s="925"/>
      <c r="C415" s="927"/>
      <c r="E415" s="928"/>
      <c r="F415" s="928"/>
      <c r="G415" s="928"/>
    </row>
    <row r="416" spans="1:7">
      <c r="A416" s="925"/>
      <c r="C416" s="927"/>
      <c r="E416" s="928"/>
      <c r="F416" s="928"/>
      <c r="G416" s="928"/>
    </row>
    <row r="417" spans="1:7">
      <c r="A417" s="925"/>
      <c r="C417" s="927"/>
      <c r="E417" s="928"/>
      <c r="F417" s="928"/>
      <c r="G417" s="928"/>
    </row>
    <row r="418" spans="1:7">
      <c r="A418" s="925"/>
      <c r="C418" s="927"/>
      <c r="E418" s="928"/>
      <c r="F418" s="928"/>
      <c r="G418" s="928"/>
    </row>
    <row r="419" spans="1:7">
      <c r="A419" s="925"/>
      <c r="C419" s="927"/>
      <c r="E419" s="928"/>
      <c r="F419" s="928"/>
      <c r="G419" s="928"/>
    </row>
    <row r="420" spans="1:7">
      <c r="A420" s="925"/>
      <c r="C420" s="927"/>
      <c r="E420" s="928"/>
      <c r="F420" s="928"/>
      <c r="G420" s="928"/>
    </row>
    <row r="421" spans="1:7">
      <c r="A421" s="925"/>
      <c r="C421" s="927"/>
      <c r="E421" s="928"/>
      <c r="F421" s="928"/>
      <c r="G421" s="928"/>
    </row>
    <row r="422" spans="1:7">
      <c r="A422" s="925"/>
      <c r="C422" s="927"/>
      <c r="E422" s="928"/>
      <c r="F422" s="928"/>
      <c r="G422" s="928"/>
    </row>
    <row r="423" spans="1:7">
      <c r="A423" s="925"/>
      <c r="C423" s="927"/>
      <c r="E423" s="928"/>
      <c r="F423" s="928"/>
      <c r="G423" s="928"/>
    </row>
    <row r="424" spans="1:7">
      <c r="A424" s="925"/>
      <c r="C424" s="927"/>
      <c r="E424" s="928"/>
      <c r="F424" s="928"/>
      <c r="G424" s="928"/>
    </row>
    <row r="425" spans="1:7">
      <c r="A425" s="925"/>
      <c r="C425" s="927"/>
      <c r="E425" s="928"/>
      <c r="F425" s="928"/>
      <c r="G425" s="928"/>
    </row>
    <row r="426" spans="1:7">
      <c r="A426" s="925"/>
      <c r="C426" s="927"/>
      <c r="E426" s="928"/>
      <c r="F426" s="928"/>
      <c r="G426" s="928"/>
    </row>
    <row r="427" spans="1:7">
      <c r="A427" s="925"/>
      <c r="C427" s="927"/>
      <c r="E427" s="928"/>
      <c r="F427" s="928"/>
      <c r="G427" s="928"/>
    </row>
    <row r="428" spans="1:7">
      <c r="A428" s="925"/>
      <c r="C428" s="927"/>
      <c r="E428" s="928"/>
      <c r="F428" s="928"/>
      <c r="G428" s="928"/>
    </row>
    <row r="429" spans="1:7">
      <c r="A429" s="925"/>
      <c r="C429" s="927"/>
      <c r="E429" s="928"/>
      <c r="F429" s="928"/>
      <c r="G429" s="928"/>
    </row>
    <row r="430" spans="1:7">
      <c r="A430" s="925"/>
      <c r="C430" s="927"/>
      <c r="E430" s="928"/>
      <c r="F430" s="928"/>
      <c r="G430" s="928"/>
    </row>
    <row r="431" spans="1:7">
      <c r="A431" s="925"/>
      <c r="C431" s="927"/>
      <c r="E431" s="928"/>
      <c r="F431" s="928"/>
      <c r="G431" s="928"/>
    </row>
    <row r="432" spans="1:7">
      <c r="A432" s="925"/>
      <c r="C432" s="927"/>
      <c r="E432" s="928"/>
      <c r="F432" s="928"/>
      <c r="G432" s="928"/>
    </row>
    <row r="433" spans="1:7">
      <c r="A433" s="925"/>
      <c r="C433" s="927"/>
      <c r="E433" s="928"/>
      <c r="F433" s="928"/>
      <c r="G433" s="928"/>
    </row>
    <row r="434" spans="1:7">
      <c r="A434" s="925"/>
      <c r="C434" s="927"/>
      <c r="E434" s="928"/>
      <c r="F434" s="928"/>
      <c r="G434" s="928"/>
    </row>
    <row r="435" spans="1:7">
      <c r="A435" s="925"/>
      <c r="C435" s="927"/>
      <c r="E435" s="928"/>
      <c r="F435" s="928"/>
      <c r="G435" s="928"/>
    </row>
    <row r="436" spans="1:7">
      <c r="A436" s="925"/>
      <c r="C436" s="927"/>
      <c r="E436" s="928"/>
      <c r="F436" s="928"/>
      <c r="G436" s="928"/>
    </row>
    <row r="437" spans="1:7">
      <c r="A437" s="925"/>
      <c r="C437" s="927"/>
      <c r="E437" s="928"/>
      <c r="F437" s="928"/>
      <c r="G437" s="928"/>
    </row>
    <row r="438" spans="1:7">
      <c r="A438" s="925"/>
      <c r="C438" s="927"/>
      <c r="E438" s="928"/>
      <c r="F438" s="928"/>
      <c r="G438" s="928"/>
    </row>
    <row r="439" spans="1:7">
      <c r="A439" s="925"/>
      <c r="C439" s="927"/>
      <c r="E439" s="928"/>
      <c r="F439" s="928"/>
      <c r="G439" s="928"/>
    </row>
    <row r="440" spans="1:7">
      <c r="A440" s="925"/>
      <c r="C440" s="927"/>
      <c r="E440" s="928"/>
      <c r="F440" s="928"/>
      <c r="G440" s="928"/>
    </row>
    <row r="441" spans="1:7">
      <c r="A441" s="925"/>
      <c r="C441" s="927"/>
      <c r="E441" s="928"/>
      <c r="F441" s="928"/>
      <c r="G441" s="928"/>
    </row>
    <row r="442" spans="1:7">
      <c r="A442" s="925"/>
      <c r="C442" s="927"/>
      <c r="E442" s="928"/>
      <c r="F442" s="928"/>
      <c r="G442" s="928"/>
    </row>
    <row r="443" spans="1:7">
      <c r="A443" s="925"/>
      <c r="C443" s="927"/>
      <c r="E443" s="928"/>
      <c r="F443" s="928"/>
      <c r="G443" s="928"/>
    </row>
    <row r="444" spans="1:7">
      <c r="A444" s="925"/>
      <c r="C444" s="927"/>
      <c r="E444" s="928"/>
      <c r="F444" s="928"/>
      <c r="G444" s="928"/>
    </row>
    <row r="445" spans="1:7">
      <c r="A445" s="925"/>
      <c r="C445" s="927"/>
      <c r="E445" s="928"/>
      <c r="F445" s="928"/>
      <c r="G445" s="928"/>
    </row>
    <row r="446" spans="1:7">
      <c r="A446" s="925"/>
      <c r="C446" s="927"/>
      <c r="E446" s="928"/>
      <c r="F446" s="928"/>
      <c r="G446" s="928"/>
    </row>
    <row r="447" spans="1:7">
      <c r="A447" s="925"/>
      <c r="C447" s="927"/>
      <c r="E447" s="928"/>
      <c r="F447" s="928"/>
      <c r="G447" s="928"/>
    </row>
    <row r="448" spans="1:7">
      <c r="A448" s="925"/>
      <c r="C448" s="927"/>
      <c r="E448" s="928"/>
      <c r="F448" s="928"/>
      <c r="G448" s="928"/>
    </row>
    <row r="449" spans="1:7">
      <c r="A449" s="925"/>
      <c r="C449" s="927"/>
      <c r="E449" s="928"/>
      <c r="F449" s="928"/>
      <c r="G449" s="928"/>
    </row>
    <row r="450" spans="1:7">
      <c r="A450" s="925"/>
      <c r="C450" s="927"/>
      <c r="E450" s="928"/>
      <c r="F450" s="928"/>
      <c r="G450" s="928"/>
    </row>
    <row r="451" spans="1:7">
      <c r="A451" s="925"/>
      <c r="C451" s="927"/>
      <c r="E451" s="928"/>
      <c r="F451" s="928"/>
      <c r="G451" s="928"/>
    </row>
    <row r="452" spans="1:7">
      <c r="A452" s="925"/>
      <c r="C452" s="927"/>
      <c r="E452" s="928"/>
      <c r="F452" s="928"/>
      <c r="G452" s="928"/>
    </row>
    <row r="453" spans="1:7">
      <c r="A453" s="925"/>
      <c r="C453" s="927"/>
      <c r="E453" s="928"/>
      <c r="F453" s="928"/>
      <c r="G453" s="928"/>
    </row>
    <row r="454" spans="1:7">
      <c r="A454" s="925"/>
      <c r="C454" s="927"/>
      <c r="E454" s="928"/>
      <c r="F454" s="928"/>
      <c r="G454" s="928"/>
    </row>
    <row r="455" spans="1:7">
      <c r="A455" s="925"/>
      <c r="C455" s="927"/>
      <c r="E455" s="928"/>
      <c r="F455" s="928"/>
      <c r="G455" s="928"/>
    </row>
    <row r="456" spans="1:7">
      <c r="A456" s="925"/>
      <c r="C456" s="927"/>
      <c r="E456" s="928"/>
      <c r="F456" s="928"/>
      <c r="G456" s="928"/>
    </row>
    <row r="457" spans="1:7">
      <c r="A457" s="925"/>
      <c r="C457" s="927"/>
      <c r="E457" s="928"/>
      <c r="F457" s="928"/>
      <c r="G457" s="928"/>
    </row>
    <row r="458" spans="1:7">
      <c r="A458" s="925"/>
      <c r="C458" s="927"/>
      <c r="E458" s="928"/>
      <c r="F458" s="928"/>
      <c r="G458" s="928"/>
    </row>
    <row r="459" spans="1:7">
      <c r="A459" s="925"/>
      <c r="C459" s="927"/>
      <c r="E459" s="928"/>
      <c r="F459" s="928"/>
      <c r="G459" s="928"/>
    </row>
    <row r="460" spans="1:7">
      <c r="A460" s="925"/>
      <c r="C460" s="927"/>
      <c r="E460" s="928"/>
      <c r="F460" s="928"/>
      <c r="G460" s="928"/>
    </row>
    <row r="461" spans="1:7">
      <c r="A461" s="925"/>
      <c r="C461" s="927"/>
      <c r="E461" s="928"/>
      <c r="F461" s="928"/>
      <c r="G461" s="928"/>
    </row>
    <row r="462" spans="1:7">
      <c r="A462" s="925"/>
      <c r="C462" s="927"/>
      <c r="E462" s="928"/>
      <c r="F462" s="928"/>
      <c r="G462" s="928"/>
    </row>
    <row r="463" spans="1:7">
      <c r="A463" s="925"/>
      <c r="C463" s="927"/>
      <c r="E463" s="928"/>
      <c r="F463" s="928"/>
      <c r="G463" s="928"/>
    </row>
    <row r="464" spans="1:7">
      <c r="A464" s="925"/>
      <c r="C464" s="927"/>
      <c r="E464" s="928"/>
      <c r="F464" s="928"/>
      <c r="G464" s="928"/>
    </row>
    <row r="465" spans="1:7">
      <c r="A465" s="925"/>
      <c r="C465" s="927"/>
      <c r="E465" s="928"/>
      <c r="F465" s="928"/>
      <c r="G465" s="928"/>
    </row>
    <row r="466" spans="1:7">
      <c r="A466" s="925"/>
      <c r="C466" s="927"/>
      <c r="E466" s="928"/>
      <c r="F466" s="928"/>
      <c r="G466" s="928"/>
    </row>
    <row r="467" spans="1:7">
      <c r="A467" s="925"/>
      <c r="C467" s="927"/>
      <c r="E467" s="928"/>
      <c r="F467" s="928"/>
      <c r="G467" s="928"/>
    </row>
    <row r="468" spans="1:7">
      <c r="A468" s="925"/>
      <c r="C468" s="927"/>
      <c r="E468" s="928"/>
      <c r="F468" s="928"/>
      <c r="G468" s="928"/>
    </row>
    <row r="469" spans="1:7">
      <c r="A469" s="925"/>
      <c r="C469" s="927"/>
      <c r="E469" s="928"/>
      <c r="F469" s="928"/>
      <c r="G469" s="928"/>
    </row>
    <row r="470" spans="1:7">
      <c r="A470" s="925"/>
      <c r="C470" s="927"/>
      <c r="E470" s="928"/>
      <c r="F470" s="928"/>
      <c r="G470" s="928"/>
    </row>
    <row r="471" spans="1:7">
      <c r="A471" s="925"/>
      <c r="C471" s="927"/>
      <c r="E471" s="928"/>
      <c r="F471" s="928"/>
      <c r="G471" s="928"/>
    </row>
    <row r="472" spans="1:7">
      <c r="A472" s="925"/>
      <c r="C472" s="927"/>
      <c r="E472" s="928"/>
      <c r="F472" s="928"/>
      <c r="G472" s="928"/>
    </row>
    <row r="473" spans="1:7">
      <c r="A473" s="925"/>
      <c r="C473" s="927"/>
      <c r="E473" s="928"/>
      <c r="F473" s="928"/>
      <c r="G473" s="928"/>
    </row>
    <row r="474" spans="1:7">
      <c r="A474" s="925"/>
      <c r="C474" s="927"/>
      <c r="E474" s="928"/>
      <c r="F474" s="928"/>
      <c r="G474" s="928"/>
    </row>
    <row r="475" spans="1:7">
      <c r="A475" s="925"/>
      <c r="C475" s="927"/>
      <c r="E475" s="928"/>
      <c r="F475" s="928"/>
      <c r="G475" s="928"/>
    </row>
    <row r="476" spans="1:7">
      <c r="A476" s="925"/>
      <c r="C476" s="927"/>
      <c r="E476" s="928"/>
      <c r="F476" s="928"/>
      <c r="G476" s="928"/>
    </row>
    <row r="477" spans="1:7">
      <c r="A477" s="925"/>
      <c r="C477" s="927"/>
      <c r="E477" s="928"/>
      <c r="F477" s="928"/>
      <c r="G477" s="928"/>
    </row>
    <row r="478" spans="1:7">
      <c r="A478" s="925"/>
      <c r="C478" s="927"/>
      <c r="E478" s="928"/>
      <c r="F478" s="928"/>
      <c r="G478" s="928"/>
    </row>
    <row r="479" spans="1:7">
      <c r="A479" s="925"/>
      <c r="C479" s="927"/>
      <c r="E479" s="928"/>
      <c r="F479" s="928"/>
      <c r="G479" s="928"/>
    </row>
    <row r="480" spans="1:7">
      <c r="A480" s="925"/>
      <c r="C480" s="927"/>
      <c r="E480" s="928"/>
      <c r="F480" s="928"/>
      <c r="G480" s="928"/>
    </row>
    <row r="481" spans="1:7">
      <c r="A481" s="925"/>
      <c r="C481" s="927"/>
      <c r="E481" s="928"/>
      <c r="F481" s="928"/>
      <c r="G481" s="928"/>
    </row>
    <row r="482" spans="1:7">
      <c r="A482" s="925"/>
      <c r="C482" s="927"/>
      <c r="E482" s="928"/>
      <c r="F482" s="928"/>
      <c r="G482" s="928"/>
    </row>
    <row r="483" spans="1:7">
      <c r="A483" s="925"/>
      <c r="C483" s="927"/>
      <c r="E483" s="928"/>
      <c r="F483" s="928"/>
      <c r="G483" s="928"/>
    </row>
    <row r="484" spans="1:7">
      <c r="A484" s="925"/>
      <c r="C484" s="927"/>
      <c r="E484" s="928"/>
      <c r="F484" s="928"/>
      <c r="G484" s="928"/>
    </row>
    <row r="485" spans="1:7">
      <c r="A485" s="925"/>
      <c r="C485" s="927"/>
      <c r="E485" s="928"/>
      <c r="F485" s="928"/>
      <c r="G485" s="928"/>
    </row>
    <row r="486" spans="1:7">
      <c r="A486" s="925"/>
      <c r="C486" s="927"/>
      <c r="E486" s="928"/>
      <c r="F486" s="928"/>
      <c r="G486" s="928"/>
    </row>
    <row r="487" spans="1:7">
      <c r="A487" s="925"/>
      <c r="C487" s="927"/>
      <c r="E487" s="928"/>
      <c r="F487" s="928"/>
      <c r="G487" s="928"/>
    </row>
    <row r="488" spans="1:7">
      <c r="A488" s="925"/>
      <c r="C488" s="927"/>
      <c r="E488" s="928"/>
      <c r="F488" s="928"/>
      <c r="G488" s="928"/>
    </row>
    <row r="489" spans="1:7">
      <c r="A489" s="925"/>
      <c r="C489" s="927"/>
      <c r="E489" s="928"/>
      <c r="F489" s="928"/>
      <c r="G489" s="928"/>
    </row>
    <row r="490" spans="1:7">
      <c r="A490" s="925"/>
      <c r="C490" s="927"/>
      <c r="E490" s="928"/>
      <c r="F490" s="928"/>
      <c r="G490" s="928"/>
    </row>
    <row r="491" spans="1:7">
      <c r="A491" s="925"/>
      <c r="C491" s="927"/>
      <c r="E491" s="928"/>
      <c r="F491" s="928"/>
      <c r="G491" s="928"/>
    </row>
    <row r="492" spans="1:7">
      <c r="A492" s="925"/>
      <c r="C492" s="927"/>
      <c r="E492" s="928"/>
      <c r="F492" s="928"/>
      <c r="G492" s="928"/>
    </row>
    <row r="493" spans="1:7">
      <c r="A493" s="925"/>
      <c r="C493" s="927"/>
      <c r="E493" s="928"/>
      <c r="F493" s="928"/>
      <c r="G493" s="928"/>
    </row>
    <row r="494" spans="1:7">
      <c r="A494" s="925"/>
      <c r="C494" s="927"/>
      <c r="E494" s="928"/>
      <c r="F494" s="928"/>
      <c r="G494" s="928"/>
    </row>
    <row r="495" spans="1:7">
      <c r="A495" s="925"/>
      <c r="C495" s="927"/>
      <c r="E495" s="928"/>
      <c r="F495" s="928"/>
      <c r="G495" s="928"/>
    </row>
    <row r="496" spans="1:7">
      <c r="A496" s="925"/>
      <c r="C496" s="927"/>
      <c r="E496" s="928"/>
      <c r="F496" s="928"/>
      <c r="G496" s="928"/>
    </row>
    <row r="497" spans="1:7">
      <c r="A497" s="925"/>
      <c r="C497" s="927"/>
      <c r="E497" s="928"/>
      <c r="F497" s="928"/>
      <c r="G497" s="928"/>
    </row>
    <row r="498" spans="1:7">
      <c r="A498" s="925"/>
      <c r="C498" s="927"/>
      <c r="E498" s="928"/>
      <c r="F498" s="928"/>
      <c r="G498" s="928"/>
    </row>
    <row r="499" spans="1:7">
      <c r="A499" s="925"/>
      <c r="C499" s="927"/>
      <c r="E499" s="928"/>
      <c r="F499" s="928"/>
      <c r="G499" s="928"/>
    </row>
    <row r="500" spans="1:7">
      <c r="A500" s="925"/>
      <c r="C500" s="927"/>
      <c r="E500" s="928"/>
      <c r="F500" s="928"/>
      <c r="G500" s="928"/>
    </row>
    <row r="501" spans="1:7">
      <c r="A501" s="925"/>
      <c r="C501" s="927"/>
      <c r="E501" s="928"/>
      <c r="F501" s="928"/>
      <c r="G501" s="928"/>
    </row>
    <row r="502" spans="1:7">
      <c r="A502" s="925"/>
      <c r="C502" s="927"/>
      <c r="E502" s="928"/>
      <c r="F502" s="928"/>
      <c r="G502" s="928"/>
    </row>
    <row r="503" spans="1:7">
      <c r="A503" s="925"/>
      <c r="C503" s="927"/>
      <c r="E503" s="928"/>
      <c r="F503" s="928"/>
      <c r="G503" s="928"/>
    </row>
    <row r="504" spans="1:7">
      <c r="A504" s="925"/>
      <c r="C504" s="927"/>
      <c r="E504" s="928"/>
      <c r="F504" s="928"/>
      <c r="G504" s="928"/>
    </row>
    <row r="505" spans="1:7">
      <c r="A505" s="925"/>
      <c r="C505" s="927"/>
      <c r="E505" s="928"/>
      <c r="F505" s="928"/>
      <c r="G505" s="928"/>
    </row>
    <row r="506" spans="1:7">
      <c r="A506" s="925"/>
      <c r="C506" s="927"/>
      <c r="E506" s="928"/>
      <c r="F506" s="928"/>
      <c r="G506" s="928"/>
    </row>
    <row r="507" spans="1:7">
      <c r="A507" s="925"/>
      <c r="C507" s="927"/>
      <c r="E507" s="928"/>
      <c r="F507" s="928"/>
      <c r="G507" s="928"/>
    </row>
    <row r="508" spans="1:7">
      <c r="A508" s="925"/>
      <c r="C508" s="927"/>
      <c r="E508" s="928"/>
      <c r="F508" s="928"/>
      <c r="G508" s="928"/>
    </row>
    <row r="509" spans="1:7">
      <c r="A509" s="925"/>
      <c r="C509" s="927"/>
      <c r="E509" s="928"/>
      <c r="F509" s="928"/>
      <c r="G509" s="928"/>
    </row>
    <row r="510" spans="1:7">
      <c r="A510" s="925"/>
      <c r="C510" s="927"/>
      <c r="E510" s="928"/>
      <c r="F510" s="928"/>
      <c r="G510" s="928"/>
    </row>
    <row r="511" spans="1:7">
      <c r="A511" s="925"/>
      <c r="C511" s="927"/>
      <c r="E511" s="928"/>
      <c r="F511" s="928"/>
      <c r="G511" s="928"/>
    </row>
    <row r="512" spans="1:7">
      <c r="A512" s="925"/>
      <c r="C512" s="927"/>
      <c r="E512" s="928"/>
      <c r="F512" s="928"/>
      <c r="G512" s="928"/>
    </row>
    <row r="513" spans="1:7">
      <c r="A513" s="925"/>
      <c r="C513" s="927"/>
      <c r="E513" s="928"/>
      <c r="F513" s="928"/>
      <c r="G513" s="928"/>
    </row>
    <row r="514" spans="1:7">
      <c r="A514" s="925"/>
      <c r="C514" s="927"/>
      <c r="E514" s="928"/>
      <c r="F514" s="928"/>
      <c r="G514" s="928"/>
    </row>
    <row r="515" spans="1:7">
      <c r="A515" s="925"/>
      <c r="C515" s="927"/>
      <c r="E515" s="928"/>
      <c r="F515" s="928"/>
      <c r="G515" s="928"/>
    </row>
    <row r="516" spans="1:7">
      <c r="A516" s="925"/>
      <c r="C516" s="927"/>
      <c r="E516" s="928"/>
      <c r="F516" s="928"/>
      <c r="G516" s="928"/>
    </row>
    <row r="517" spans="1:7">
      <c r="A517" s="925"/>
      <c r="C517" s="927"/>
      <c r="E517" s="928"/>
      <c r="F517" s="928"/>
      <c r="G517" s="928"/>
    </row>
    <row r="518" spans="1:7">
      <c r="A518" s="925"/>
      <c r="C518" s="927"/>
      <c r="E518" s="928"/>
      <c r="F518" s="928"/>
      <c r="G518" s="928"/>
    </row>
    <row r="519" spans="1:7">
      <c r="A519" s="925"/>
      <c r="C519" s="927"/>
      <c r="E519" s="928"/>
      <c r="F519" s="928"/>
      <c r="G519" s="928"/>
    </row>
    <row r="520" spans="1:7">
      <c r="A520" s="925"/>
      <c r="C520" s="927"/>
      <c r="E520" s="928"/>
      <c r="F520" s="928"/>
      <c r="G520" s="928"/>
    </row>
    <row r="521" spans="1:7">
      <c r="A521" s="925"/>
      <c r="C521" s="927"/>
      <c r="E521" s="928"/>
      <c r="F521" s="928"/>
      <c r="G521" s="928"/>
    </row>
    <row r="522" spans="1:7">
      <c r="A522" s="925"/>
      <c r="C522" s="927"/>
      <c r="E522" s="928"/>
      <c r="F522" s="928"/>
      <c r="G522" s="928"/>
    </row>
    <row r="523" spans="1:7">
      <c r="A523" s="925"/>
      <c r="C523" s="927"/>
      <c r="E523" s="928"/>
      <c r="F523" s="928"/>
      <c r="G523" s="928"/>
    </row>
    <row r="524" spans="1:7">
      <c r="A524" s="925"/>
      <c r="C524" s="927"/>
      <c r="E524" s="928"/>
      <c r="F524" s="928"/>
      <c r="G524" s="928"/>
    </row>
    <row r="525" spans="1:7">
      <c r="A525" s="925"/>
      <c r="C525" s="927"/>
      <c r="E525" s="928"/>
      <c r="F525" s="928"/>
      <c r="G525" s="928"/>
    </row>
    <row r="526" spans="1:7">
      <c r="A526" s="925"/>
      <c r="C526" s="927"/>
      <c r="E526" s="928"/>
      <c r="F526" s="928"/>
      <c r="G526" s="928"/>
    </row>
    <row r="527" spans="1:7">
      <c r="A527" s="925"/>
      <c r="C527" s="927"/>
      <c r="E527" s="928"/>
      <c r="F527" s="928"/>
      <c r="G527" s="928"/>
    </row>
    <row r="528" spans="1:7">
      <c r="A528" s="925"/>
      <c r="C528" s="927"/>
      <c r="E528" s="928"/>
      <c r="F528" s="928"/>
      <c r="G528" s="928"/>
    </row>
    <row r="529" spans="1:7">
      <c r="A529" s="925"/>
      <c r="C529" s="927"/>
      <c r="E529" s="928"/>
      <c r="F529" s="928"/>
      <c r="G529" s="928"/>
    </row>
    <row r="530" spans="1:7">
      <c r="A530" s="925"/>
      <c r="C530" s="927"/>
      <c r="E530" s="928"/>
      <c r="F530" s="928"/>
      <c r="G530" s="928"/>
    </row>
    <row r="531" spans="1:7">
      <c r="A531" s="925"/>
      <c r="C531" s="927"/>
      <c r="E531" s="928"/>
      <c r="F531" s="928"/>
      <c r="G531" s="928"/>
    </row>
    <row r="532" spans="1:7">
      <c r="A532" s="925"/>
      <c r="C532" s="927"/>
      <c r="E532" s="928"/>
      <c r="F532" s="928"/>
      <c r="G532" s="928"/>
    </row>
    <row r="533" spans="1:7">
      <c r="A533" s="925"/>
      <c r="C533" s="927"/>
      <c r="E533" s="928"/>
      <c r="F533" s="928"/>
      <c r="G533" s="928"/>
    </row>
    <row r="534" spans="1:7">
      <c r="A534" s="925"/>
      <c r="C534" s="927"/>
      <c r="E534" s="928"/>
      <c r="F534" s="928"/>
      <c r="G534" s="928"/>
    </row>
    <row r="535" spans="1:7">
      <c r="A535" s="925"/>
      <c r="C535" s="927"/>
      <c r="E535" s="928"/>
      <c r="F535" s="928"/>
      <c r="G535" s="928"/>
    </row>
    <row r="536" spans="1:7">
      <c r="A536" s="925"/>
      <c r="C536" s="927"/>
      <c r="E536" s="928"/>
      <c r="F536" s="928"/>
      <c r="G536" s="928"/>
    </row>
    <row r="537" spans="1:7">
      <c r="A537" s="925"/>
      <c r="C537" s="927"/>
      <c r="E537" s="928"/>
      <c r="F537" s="928"/>
      <c r="G537" s="928"/>
    </row>
    <row r="538" spans="1:7">
      <c r="A538" s="925"/>
      <c r="C538" s="927"/>
      <c r="E538" s="928"/>
      <c r="F538" s="928"/>
      <c r="G538" s="928"/>
    </row>
    <row r="539" spans="1:7">
      <c r="A539" s="925"/>
      <c r="C539" s="927"/>
      <c r="E539" s="928"/>
      <c r="F539" s="928"/>
      <c r="G539" s="928"/>
    </row>
    <row r="540" spans="1:7">
      <c r="A540" s="925"/>
      <c r="C540" s="927"/>
      <c r="E540" s="928"/>
      <c r="F540" s="928"/>
      <c r="G540" s="928"/>
    </row>
    <row r="541" spans="1:7">
      <c r="A541" s="925"/>
      <c r="C541" s="927"/>
      <c r="E541" s="928"/>
      <c r="F541" s="928"/>
      <c r="G541" s="928"/>
    </row>
    <row r="542" spans="1:7">
      <c r="A542" s="925"/>
      <c r="C542" s="927"/>
      <c r="E542" s="928"/>
      <c r="F542" s="928"/>
      <c r="G542" s="928"/>
    </row>
    <row r="543" spans="1:7">
      <c r="A543" s="925"/>
      <c r="C543" s="927"/>
      <c r="E543" s="928"/>
      <c r="F543" s="928"/>
      <c r="G543" s="928"/>
    </row>
    <row r="544" spans="1:7">
      <c r="A544" s="925"/>
      <c r="C544" s="927"/>
      <c r="E544" s="928"/>
      <c r="F544" s="928"/>
      <c r="G544" s="928"/>
    </row>
    <row r="545" spans="1:7">
      <c r="A545" s="925"/>
      <c r="C545" s="927"/>
      <c r="E545" s="928"/>
      <c r="F545" s="928"/>
      <c r="G545" s="928"/>
    </row>
    <row r="546" spans="1:7">
      <c r="A546" s="925"/>
      <c r="C546" s="927"/>
      <c r="E546" s="928"/>
      <c r="F546" s="928"/>
      <c r="G546" s="928"/>
    </row>
    <row r="547" spans="1:7">
      <c r="A547" s="925"/>
      <c r="C547" s="927"/>
      <c r="E547" s="928"/>
      <c r="F547" s="928"/>
      <c r="G547" s="928"/>
    </row>
    <row r="548" spans="1:7">
      <c r="A548" s="925"/>
      <c r="C548" s="927"/>
      <c r="E548" s="928"/>
      <c r="F548" s="928"/>
      <c r="G548" s="928"/>
    </row>
    <row r="549" spans="1:7">
      <c r="A549" s="925"/>
      <c r="C549" s="927"/>
      <c r="E549" s="928"/>
      <c r="F549" s="928"/>
      <c r="G549" s="928"/>
    </row>
    <row r="550" spans="1:7">
      <c r="A550" s="925"/>
      <c r="C550" s="927"/>
      <c r="E550" s="928"/>
      <c r="F550" s="928"/>
      <c r="G550" s="928"/>
    </row>
    <row r="551" spans="1:7">
      <c r="A551" s="925"/>
      <c r="C551" s="927"/>
      <c r="E551" s="928"/>
      <c r="F551" s="928"/>
      <c r="G551" s="928"/>
    </row>
    <row r="552" spans="1:7">
      <c r="A552" s="925"/>
      <c r="C552" s="927"/>
      <c r="E552" s="928"/>
      <c r="F552" s="928"/>
      <c r="G552" s="928"/>
    </row>
    <row r="553" spans="1:7">
      <c r="A553" s="925"/>
      <c r="C553" s="927"/>
      <c r="E553" s="928"/>
      <c r="F553" s="928"/>
      <c r="G553" s="928"/>
    </row>
    <row r="554" spans="1:7">
      <c r="A554" s="925"/>
      <c r="C554" s="927"/>
      <c r="E554" s="928"/>
      <c r="F554" s="928"/>
      <c r="G554" s="928"/>
    </row>
    <row r="555" spans="1:7">
      <c r="A555" s="925"/>
      <c r="C555" s="927"/>
      <c r="E555" s="928"/>
      <c r="F555" s="928"/>
      <c r="G555" s="928"/>
    </row>
    <row r="556" spans="1:7">
      <c r="A556" s="925"/>
      <c r="C556" s="927"/>
      <c r="E556" s="928"/>
      <c r="F556" s="928"/>
      <c r="G556" s="928"/>
    </row>
    <row r="557" spans="1:7">
      <c r="A557" s="925"/>
      <c r="C557" s="927"/>
      <c r="E557" s="928"/>
      <c r="F557" s="928"/>
      <c r="G557" s="928"/>
    </row>
    <row r="558" spans="1:7">
      <c r="A558" s="925"/>
      <c r="C558" s="927"/>
      <c r="E558" s="928"/>
      <c r="F558" s="928"/>
      <c r="G558" s="928"/>
    </row>
    <row r="559" spans="1:7">
      <c r="A559" s="925"/>
      <c r="C559" s="927"/>
      <c r="E559" s="928"/>
      <c r="F559" s="928"/>
      <c r="G559" s="928"/>
    </row>
    <row r="560" spans="1:7">
      <c r="A560" s="925"/>
      <c r="C560" s="927"/>
      <c r="E560" s="928"/>
      <c r="F560" s="928"/>
      <c r="G560" s="928"/>
    </row>
    <row r="561" spans="1:7">
      <c r="A561" s="925"/>
      <c r="C561" s="927"/>
      <c r="E561" s="928"/>
      <c r="F561" s="928"/>
      <c r="G561" s="928"/>
    </row>
    <row r="562" spans="1:7">
      <c r="A562" s="925"/>
      <c r="C562" s="927"/>
      <c r="E562" s="928"/>
      <c r="F562" s="928"/>
      <c r="G562" s="928"/>
    </row>
    <row r="563" spans="1:7">
      <c r="A563" s="925"/>
      <c r="C563" s="927"/>
      <c r="E563" s="928"/>
      <c r="F563" s="928"/>
      <c r="G563" s="928"/>
    </row>
    <row r="564" spans="1:7">
      <c r="A564" s="925"/>
      <c r="C564" s="927"/>
      <c r="E564" s="928"/>
      <c r="F564" s="928"/>
      <c r="G564" s="928"/>
    </row>
    <row r="565" spans="1:7">
      <c r="A565" s="925"/>
      <c r="C565" s="927"/>
      <c r="E565" s="928"/>
      <c r="F565" s="928"/>
      <c r="G565" s="928"/>
    </row>
    <row r="566" spans="1:7">
      <c r="A566" s="925"/>
      <c r="C566" s="927"/>
      <c r="E566" s="928"/>
      <c r="F566" s="928"/>
      <c r="G566" s="928"/>
    </row>
    <row r="567" spans="1:7">
      <c r="A567" s="925"/>
      <c r="C567" s="927"/>
      <c r="E567" s="928"/>
      <c r="F567" s="928"/>
      <c r="G567" s="928"/>
    </row>
    <row r="568" spans="1:7">
      <c r="A568" s="925"/>
      <c r="C568" s="927"/>
      <c r="E568" s="928"/>
      <c r="F568" s="928"/>
      <c r="G568" s="928"/>
    </row>
    <row r="569" spans="1:7">
      <c r="A569" s="925"/>
      <c r="C569" s="927"/>
      <c r="E569" s="928"/>
      <c r="F569" s="928"/>
      <c r="G569" s="928"/>
    </row>
    <row r="570" spans="1:7">
      <c r="A570" s="925"/>
      <c r="C570" s="927"/>
      <c r="E570" s="928"/>
      <c r="F570" s="928"/>
      <c r="G570" s="928"/>
    </row>
    <row r="571" spans="1:7">
      <c r="A571" s="925"/>
      <c r="C571" s="927"/>
      <c r="E571" s="928"/>
      <c r="F571" s="928"/>
      <c r="G571" s="928"/>
    </row>
    <row r="572" spans="1:7">
      <c r="A572" s="925"/>
      <c r="C572" s="927"/>
      <c r="E572" s="928"/>
      <c r="F572" s="928"/>
      <c r="G572" s="928"/>
    </row>
    <row r="573" spans="1:7">
      <c r="A573" s="925"/>
      <c r="C573" s="927"/>
      <c r="E573" s="928"/>
      <c r="F573" s="928"/>
      <c r="G573" s="928"/>
    </row>
    <row r="574" spans="1:7">
      <c r="A574" s="925"/>
      <c r="C574" s="927"/>
      <c r="E574" s="928"/>
      <c r="F574" s="928"/>
      <c r="G574" s="928"/>
    </row>
    <row r="575" spans="1:7">
      <c r="A575" s="925"/>
      <c r="C575" s="927"/>
      <c r="E575" s="928"/>
      <c r="F575" s="928"/>
      <c r="G575" s="928"/>
    </row>
    <row r="576" spans="1:7">
      <c r="A576" s="925"/>
      <c r="C576" s="927"/>
      <c r="E576" s="928"/>
      <c r="F576" s="928"/>
      <c r="G576" s="928"/>
    </row>
    <row r="577" spans="1:7">
      <c r="A577" s="925"/>
      <c r="C577" s="927"/>
      <c r="E577" s="928"/>
      <c r="F577" s="928"/>
      <c r="G577" s="928"/>
    </row>
    <row r="578" spans="1:7">
      <c r="A578" s="925"/>
      <c r="C578" s="927"/>
      <c r="E578" s="928"/>
      <c r="F578" s="928"/>
      <c r="G578" s="928"/>
    </row>
    <row r="579" spans="1:7">
      <c r="A579" s="925"/>
      <c r="C579" s="927"/>
      <c r="E579" s="928"/>
      <c r="F579" s="928"/>
      <c r="G579" s="928"/>
    </row>
    <row r="580" spans="1:7">
      <c r="A580" s="925"/>
      <c r="C580" s="927"/>
      <c r="E580" s="928"/>
      <c r="F580" s="928"/>
      <c r="G580" s="928"/>
    </row>
    <row r="581" spans="1:7">
      <c r="A581" s="925"/>
      <c r="C581" s="927"/>
      <c r="E581" s="928"/>
      <c r="F581" s="928"/>
      <c r="G581" s="928"/>
    </row>
    <row r="582" spans="1:7">
      <c r="A582" s="925"/>
      <c r="C582" s="927"/>
      <c r="E582" s="928"/>
      <c r="F582" s="928"/>
      <c r="G582" s="928"/>
    </row>
    <row r="583" spans="1:7">
      <c r="A583" s="925"/>
      <c r="C583" s="927"/>
      <c r="E583" s="928"/>
      <c r="F583" s="928"/>
      <c r="G583" s="928"/>
    </row>
    <row r="584" spans="1:7">
      <c r="A584" s="925"/>
      <c r="C584" s="927"/>
      <c r="E584" s="928"/>
      <c r="F584" s="928"/>
      <c r="G584" s="928"/>
    </row>
    <row r="585" spans="1:7">
      <c r="A585" s="925"/>
      <c r="C585" s="927"/>
      <c r="E585" s="928"/>
      <c r="F585" s="928"/>
      <c r="G585" s="928"/>
    </row>
    <row r="586" spans="1:7">
      <c r="A586" s="925"/>
      <c r="C586" s="927"/>
      <c r="E586" s="928"/>
      <c r="F586" s="928"/>
      <c r="G586" s="928"/>
    </row>
    <row r="587" spans="1:7">
      <c r="A587" s="925"/>
      <c r="C587" s="927"/>
      <c r="E587" s="928"/>
      <c r="F587" s="928"/>
      <c r="G587" s="928"/>
    </row>
    <row r="588" spans="1:7">
      <c r="A588" s="925"/>
      <c r="C588" s="927"/>
      <c r="E588" s="928"/>
      <c r="F588" s="928"/>
      <c r="G588" s="928"/>
    </row>
    <row r="589" spans="1:7">
      <c r="A589" s="925"/>
      <c r="C589" s="927"/>
      <c r="E589" s="928"/>
      <c r="F589" s="928"/>
      <c r="G589" s="928"/>
    </row>
    <row r="590" spans="1:7">
      <c r="A590" s="925"/>
      <c r="C590" s="927"/>
      <c r="E590" s="928"/>
      <c r="F590" s="928"/>
      <c r="G590" s="928"/>
    </row>
    <row r="591" spans="1:7">
      <c r="A591" s="925"/>
      <c r="C591" s="927"/>
      <c r="E591" s="928"/>
      <c r="F591" s="928"/>
      <c r="G591" s="928"/>
    </row>
    <row r="592" spans="1:7">
      <c r="A592" s="925"/>
      <c r="C592" s="927"/>
      <c r="E592" s="928"/>
      <c r="F592" s="928"/>
      <c r="G592" s="928"/>
    </row>
    <row r="593" spans="1:7">
      <c r="A593" s="925"/>
      <c r="C593" s="927"/>
      <c r="E593" s="928"/>
      <c r="F593" s="928"/>
      <c r="G593" s="928"/>
    </row>
    <row r="594" spans="1:7">
      <c r="A594" s="925"/>
      <c r="C594" s="927"/>
      <c r="E594" s="928"/>
      <c r="F594" s="928"/>
      <c r="G594" s="928"/>
    </row>
    <row r="595" spans="1:7">
      <c r="A595" s="925"/>
      <c r="C595" s="927"/>
      <c r="E595" s="928"/>
      <c r="F595" s="928"/>
      <c r="G595" s="928"/>
    </row>
    <row r="596" spans="1:7">
      <c r="A596" s="925"/>
      <c r="C596" s="927"/>
      <c r="E596" s="928"/>
      <c r="F596" s="928"/>
      <c r="G596" s="928"/>
    </row>
    <row r="597" spans="1:7">
      <c r="A597" s="925"/>
      <c r="C597" s="927"/>
      <c r="E597" s="928"/>
      <c r="F597" s="928"/>
      <c r="G597" s="928"/>
    </row>
    <row r="598" spans="1:7">
      <c r="A598" s="925"/>
      <c r="C598" s="927"/>
      <c r="E598" s="928"/>
      <c r="F598" s="928"/>
      <c r="G598" s="928"/>
    </row>
    <row r="599" spans="1:7">
      <c r="A599" s="925"/>
      <c r="C599" s="927"/>
      <c r="E599" s="928"/>
      <c r="F599" s="928"/>
      <c r="G599" s="928"/>
    </row>
    <row r="600" spans="1:7">
      <c r="A600" s="925"/>
      <c r="C600" s="927"/>
      <c r="E600" s="928"/>
      <c r="F600" s="928"/>
      <c r="G600" s="928"/>
    </row>
    <row r="601" spans="1:7">
      <c r="A601" s="925"/>
      <c r="C601" s="927"/>
      <c r="E601" s="928"/>
      <c r="F601" s="928"/>
      <c r="G601" s="928"/>
    </row>
    <row r="602" spans="1:7">
      <c r="A602" s="925"/>
      <c r="C602" s="927"/>
      <c r="E602" s="928"/>
      <c r="F602" s="928"/>
      <c r="G602" s="928"/>
    </row>
    <row r="603" spans="1:7">
      <c r="A603" s="925"/>
      <c r="C603" s="927"/>
      <c r="E603" s="928"/>
      <c r="F603" s="928"/>
      <c r="G603" s="928"/>
    </row>
    <row r="604" spans="1:7">
      <c r="A604" s="925"/>
      <c r="C604" s="927"/>
      <c r="E604" s="928"/>
      <c r="F604" s="928"/>
      <c r="G604" s="928"/>
    </row>
    <row r="605" spans="1:7">
      <c r="A605" s="925"/>
      <c r="C605" s="927"/>
      <c r="E605" s="928"/>
      <c r="F605" s="928"/>
      <c r="G605" s="928"/>
    </row>
    <row r="606" spans="1:7">
      <c r="A606" s="925"/>
      <c r="C606" s="927"/>
      <c r="E606" s="928"/>
      <c r="F606" s="928"/>
      <c r="G606" s="928"/>
    </row>
    <row r="607" spans="1:7">
      <c r="A607" s="925"/>
      <c r="C607" s="927"/>
      <c r="E607" s="928"/>
      <c r="F607" s="928"/>
      <c r="G607" s="928"/>
    </row>
    <row r="608" spans="1:7">
      <c r="A608" s="925"/>
      <c r="C608" s="927"/>
      <c r="E608" s="928"/>
      <c r="F608" s="928"/>
      <c r="G608" s="928"/>
    </row>
    <row r="609" spans="1:7">
      <c r="A609" s="925"/>
      <c r="C609" s="927"/>
      <c r="E609" s="928"/>
      <c r="F609" s="928"/>
      <c r="G609" s="928"/>
    </row>
    <row r="610" spans="1:7">
      <c r="A610" s="925"/>
      <c r="C610" s="927"/>
      <c r="E610" s="928"/>
      <c r="F610" s="928"/>
      <c r="G610" s="928"/>
    </row>
    <row r="611" spans="1:7">
      <c r="A611" s="925"/>
      <c r="C611" s="927"/>
      <c r="E611" s="928"/>
      <c r="F611" s="928"/>
      <c r="G611" s="928"/>
    </row>
    <row r="612" spans="1:7">
      <c r="A612" s="925"/>
      <c r="C612" s="927"/>
      <c r="E612" s="928"/>
      <c r="F612" s="928"/>
      <c r="G612" s="928"/>
    </row>
    <row r="613" spans="1:7">
      <c r="A613" s="925"/>
      <c r="C613" s="927"/>
      <c r="E613" s="928"/>
      <c r="F613" s="928"/>
      <c r="G613" s="928"/>
    </row>
    <row r="614" spans="1:7">
      <c r="A614" s="925"/>
      <c r="C614" s="927"/>
      <c r="E614" s="928"/>
      <c r="F614" s="928"/>
      <c r="G614" s="928"/>
    </row>
    <row r="615" spans="1:7">
      <c r="A615" s="925"/>
      <c r="C615" s="927"/>
      <c r="E615" s="928"/>
      <c r="F615" s="928"/>
      <c r="G615" s="928"/>
    </row>
    <row r="616" spans="1:7">
      <c r="A616" s="925"/>
      <c r="C616" s="927"/>
      <c r="E616" s="928"/>
      <c r="F616" s="928"/>
      <c r="G616" s="928"/>
    </row>
    <row r="617" spans="1:7">
      <c r="A617" s="925"/>
      <c r="C617" s="927"/>
      <c r="E617" s="928"/>
      <c r="F617" s="928"/>
      <c r="G617" s="928"/>
    </row>
    <row r="618" spans="1:7">
      <c r="A618" s="925"/>
      <c r="C618" s="927"/>
      <c r="E618" s="928"/>
      <c r="F618" s="928"/>
      <c r="G618" s="928"/>
    </row>
    <row r="619" spans="1:7">
      <c r="A619" s="925"/>
      <c r="C619" s="927"/>
      <c r="E619" s="928"/>
      <c r="F619" s="928"/>
      <c r="G619" s="928"/>
    </row>
    <row r="620" spans="1:7">
      <c r="A620" s="925"/>
      <c r="C620" s="927"/>
      <c r="E620" s="928"/>
      <c r="F620" s="928"/>
      <c r="G620" s="928"/>
    </row>
    <row r="621" spans="1:7">
      <c r="A621" s="925"/>
      <c r="C621" s="927"/>
      <c r="E621" s="928"/>
      <c r="F621" s="928"/>
      <c r="G621" s="928"/>
    </row>
    <row r="622" spans="1:7">
      <c r="A622" s="925"/>
      <c r="C622" s="927"/>
      <c r="E622" s="928"/>
      <c r="F622" s="928"/>
      <c r="G622" s="928"/>
    </row>
    <row r="623" spans="1:7">
      <c r="A623" s="925"/>
      <c r="C623" s="927"/>
      <c r="E623" s="928"/>
      <c r="F623" s="928"/>
      <c r="G623" s="928"/>
    </row>
    <row r="624" spans="1:7">
      <c r="A624" s="925"/>
      <c r="C624" s="927"/>
      <c r="E624" s="928"/>
      <c r="F624" s="928"/>
      <c r="G624" s="928"/>
    </row>
    <row r="625" spans="1:7">
      <c r="A625" s="925"/>
      <c r="C625" s="927"/>
      <c r="E625" s="928"/>
      <c r="F625" s="928"/>
      <c r="G625" s="928"/>
    </row>
    <row r="626" spans="1:7">
      <c r="A626" s="925"/>
      <c r="C626" s="927"/>
      <c r="E626" s="928"/>
      <c r="F626" s="928"/>
      <c r="G626" s="928"/>
    </row>
    <row r="627" spans="1:7">
      <c r="A627" s="925"/>
      <c r="C627" s="927"/>
      <c r="E627" s="928"/>
      <c r="F627" s="928"/>
      <c r="G627" s="928"/>
    </row>
    <row r="628" spans="1:7">
      <c r="A628" s="925"/>
      <c r="C628" s="927"/>
      <c r="E628" s="928"/>
      <c r="F628" s="928"/>
      <c r="G628" s="928"/>
    </row>
    <row r="629" spans="1:7">
      <c r="A629" s="925"/>
      <c r="C629" s="927"/>
      <c r="E629" s="928"/>
      <c r="F629" s="928"/>
      <c r="G629" s="928"/>
    </row>
    <row r="630" spans="1:7">
      <c r="A630" s="925"/>
      <c r="C630" s="927"/>
      <c r="E630" s="928"/>
      <c r="F630" s="928"/>
      <c r="G630" s="928"/>
    </row>
    <row r="631" spans="1:7">
      <c r="A631" s="925"/>
      <c r="C631" s="927"/>
      <c r="E631" s="928"/>
      <c r="F631" s="928"/>
      <c r="G631" s="928"/>
    </row>
    <row r="632" spans="1:7">
      <c r="A632" s="925"/>
      <c r="C632" s="927"/>
      <c r="E632" s="928"/>
      <c r="F632" s="928"/>
      <c r="G632" s="928"/>
    </row>
    <row r="633" spans="1:7">
      <c r="A633" s="925"/>
      <c r="C633" s="927"/>
      <c r="E633" s="928"/>
      <c r="F633" s="928"/>
      <c r="G633" s="928"/>
    </row>
    <row r="634" spans="1:7">
      <c r="A634" s="925"/>
      <c r="C634" s="927"/>
      <c r="E634" s="928"/>
      <c r="F634" s="928"/>
      <c r="G634" s="928"/>
    </row>
    <row r="635" spans="1:7">
      <c r="A635" s="925"/>
      <c r="C635" s="927"/>
      <c r="E635" s="928"/>
      <c r="F635" s="928"/>
      <c r="G635" s="928"/>
    </row>
    <row r="636" spans="1:7">
      <c r="A636" s="925"/>
      <c r="C636" s="927"/>
      <c r="E636" s="928"/>
      <c r="F636" s="928"/>
      <c r="G636" s="928"/>
    </row>
    <row r="637" spans="1:7">
      <c r="A637" s="925"/>
      <c r="C637" s="927"/>
      <c r="E637" s="928"/>
      <c r="F637" s="928"/>
      <c r="G637" s="928"/>
    </row>
    <row r="638" spans="1:7">
      <c r="A638" s="925"/>
      <c r="C638" s="927"/>
      <c r="E638" s="928"/>
      <c r="F638" s="928"/>
      <c r="G638" s="928"/>
    </row>
    <row r="639" spans="1:7">
      <c r="A639" s="925"/>
      <c r="C639" s="927"/>
      <c r="E639" s="928"/>
      <c r="F639" s="928"/>
      <c r="G639" s="928"/>
    </row>
    <row r="640" spans="1:7">
      <c r="A640" s="925"/>
      <c r="C640" s="927"/>
      <c r="E640" s="928"/>
      <c r="F640" s="928"/>
      <c r="G640" s="928"/>
    </row>
    <row r="641" spans="1:7">
      <c r="A641" s="925"/>
      <c r="C641" s="927"/>
      <c r="E641" s="928"/>
      <c r="F641" s="928"/>
      <c r="G641" s="928"/>
    </row>
    <row r="642" spans="1:7">
      <c r="A642" s="925"/>
      <c r="C642" s="927"/>
      <c r="E642" s="928"/>
      <c r="F642" s="928"/>
      <c r="G642" s="928"/>
    </row>
    <row r="643" spans="1:7">
      <c r="A643" s="925"/>
      <c r="C643" s="927"/>
      <c r="E643" s="928"/>
      <c r="F643" s="928"/>
      <c r="G643" s="928"/>
    </row>
    <row r="644" spans="1:7">
      <c r="A644" s="925"/>
      <c r="C644" s="927"/>
      <c r="E644" s="928"/>
      <c r="F644" s="928"/>
      <c r="G644" s="928"/>
    </row>
    <row r="645" spans="1:7">
      <c r="A645" s="925"/>
      <c r="C645" s="927"/>
      <c r="E645" s="928"/>
      <c r="F645" s="928"/>
      <c r="G645" s="928"/>
    </row>
    <row r="646" spans="1:7">
      <c r="A646" s="925"/>
      <c r="C646" s="927"/>
      <c r="E646" s="928"/>
      <c r="F646" s="928"/>
      <c r="G646" s="928"/>
    </row>
    <row r="647" spans="1:7">
      <c r="A647" s="925"/>
      <c r="C647" s="927"/>
      <c r="E647" s="928"/>
      <c r="F647" s="928"/>
      <c r="G647" s="928"/>
    </row>
    <row r="648" spans="1:7">
      <c r="A648" s="925"/>
      <c r="C648" s="927"/>
      <c r="E648" s="928"/>
      <c r="F648" s="928"/>
      <c r="G648" s="928"/>
    </row>
    <row r="649" spans="1:7">
      <c r="A649" s="925"/>
      <c r="C649" s="927"/>
      <c r="E649" s="928"/>
      <c r="F649" s="928"/>
      <c r="G649" s="928"/>
    </row>
    <row r="650" spans="1:7">
      <c r="A650" s="925"/>
      <c r="C650" s="927"/>
      <c r="E650" s="928"/>
      <c r="F650" s="928"/>
      <c r="G650" s="928"/>
    </row>
    <row r="651" spans="1:7">
      <c r="A651" s="925"/>
      <c r="C651" s="927"/>
      <c r="E651" s="928"/>
      <c r="F651" s="928"/>
      <c r="G651" s="928"/>
    </row>
    <row r="652" spans="1:7">
      <c r="A652" s="925"/>
      <c r="C652" s="927"/>
      <c r="E652" s="928"/>
      <c r="F652" s="928"/>
      <c r="G652" s="928"/>
    </row>
    <row r="653" spans="1:7">
      <c r="A653" s="925"/>
      <c r="C653" s="927"/>
      <c r="E653" s="928"/>
      <c r="F653" s="928"/>
      <c r="G653" s="928"/>
    </row>
    <row r="654" spans="1:7">
      <c r="A654" s="925"/>
      <c r="C654" s="927"/>
      <c r="E654" s="928"/>
      <c r="F654" s="928"/>
      <c r="G654" s="928"/>
    </row>
    <row r="655" spans="1:7">
      <c r="A655" s="925"/>
      <c r="C655" s="927"/>
      <c r="E655" s="928"/>
      <c r="F655" s="928"/>
      <c r="G655" s="928"/>
    </row>
    <row r="656" spans="1:7">
      <c r="A656" s="925"/>
      <c r="C656" s="927"/>
      <c r="E656" s="928"/>
      <c r="F656" s="928"/>
      <c r="G656" s="928"/>
    </row>
    <row r="657" spans="1:7">
      <c r="A657" s="925"/>
      <c r="C657" s="927"/>
      <c r="E657" s="928"/>
      <c r="F657" s="928"/>
      <c r="G657" s="928"/>
    </row>
    <row r="658" spans="1:7">
      <c r="A658" s="925"/>
      <c r="C658" s="927"/>
      <c r="E658" s="928"/>
      <c r="F658" s="928"/>
      <c r="G658" s="928"/>
    </row>
    <row r="659" spans="1:7">
      <c r="A659" s="925"/>
      <c r="C659" s="927"/>
      <c r="E659" s="928"/>
      <c r="F659" s="928"/>
      <c r="G659" s="928"/>
    </row>
    <row r="660" spans="1:7">
      <c r="A660" s="925"/>
      <c r="C660" s="927"/>
      <c r="E660" s="928"/>
      <c r="F660" s="928"/>
      <c r="G660" s="928"/>
    </row>
    <row r="661" spans="1:7">
      <c r="A661" s="925"/>
      <c r="C661" s="927"/>
      <c r="E661" s="928"/>
      <c r="F661" s="928"/>
      <c r="G661" s="928"/>
    </row>
    <row r="662" spans="1:7">
      <c r="A662" s="925"/>
      <c r="C662" s="927"/>
      <c r="E662" s="928"/>
      <c r="F662" s="928"/>
      <c r="G662" s="928"/>
    </row>
    <row r="663" spans="1:7">
      <c r="A663" s="925"/>
      <c r="C663" s="927"/>
      <c r="E663" s="928"/>
      <c r="F663" s="928"/>
      <c r="G663" s="928"/>
    </row>
    <row r="664" spans="1:7">
      <c r="A664" s="925"/>
      <c r="C664" s="927"/>
      <c r="E664" s="928"/>
      <c r="F664" s="928"/>
      <c r="G664" s="928"/>
    </row>
    <row r="665" spans="1:7">
      <c r="A665" s="925"/>
      <c r="C665" s="927"/>
      <c r="E665" s="928"/>
      <c r="F665" s="928"/>
      <c r="G665" s="928"/>
    </row>
    <row r="666" spans="1:7">
      <c r="A666" s="925"/>
      <c r="C666" s="927"/>
      <c r="E666" s="928"/>
      <c r="F666" s="928"/>
      <c r="G666" s="928"/>
    </row>
    <row r="667" spans="1:7">
      <c r="A667" s="925"/>
      <c r="C667" s="927"/>
      <c r="E667" s="928"/>
      <c r="F667" s="928"/>
      <c r="G667" s="928"/>
    </row>
    <row r="668" spans="1:7">
      <c r="A668" s="925"/>
      <c r="C668" s="927"/>
      <c r="E668" s="928"/>
      <c r="F668" s="928"/>
      <c r="G668" s="928"/>
    </row>
    <row r="669" spans="1:7">
      <c r="A669" s="925"/>
      <c r="C669" s="927"/>
      <c r="E669" s="928"/>
      <c r="F669" s="928"/>
      <c r="G669" s="928"/>
    </row>
    <row r="670" spans="1:7">
      <c r="A670" s="925"/>
      <c r="C670" s="927"/>
      <c r="E670" s="928"/>
      <c r="F670" s="928"/>
      <c r="G670" s="928"/>
    </row>
    <row r="671" spans="1:7">
      <c r="A671" s="925"/>
      <c r="C671" s="927"/>
      <c r="E671" s="928"/>
      <c r="F671" s="928"/>
      <c r="G671" s="928"/>
    </row>
    <row r="672" spans="1:7">
      <c r="A672" s="925"/>
      <c r="C672" s="927"/>
      <c r="E672" s="928"/>
      <c r="F672" s="928"/>
      <c r="G672" s="928"/>
    </row>
    <row r="673" spans="1:7">
      <c r="A673" s="925"/>
      <c r="C673" s="927"/>
      <c r="E673" s="928"/>
      <c r="F673" s="928"/>
      <c r="G673" s="928"/>
    </row>
    <row r="674" spans="1:7">
      <c r="A674" s="925"/>
      <c r="C674" s="927"/>
      <c r="E674" s="928"/>
      <c r="F674" s="928"/>
      <c r="G674" s="928"/>
    </row>
    <row r="675" spans="1:7">
      <c r="A675" s="925"/>
      <c r="C675" s="927"/>
      <c r="E675" s="928"/>
      <c r="F675" s="928"/>
      <c r="G675" s="928"/>
    </row>
    <row r="676" spans="1:7">
      <c r="A676" s="925"/>
      <c r="C676" s="927"/>
      <c r="E676" s="928"/>
      <c r="F676" s="928"/>
      <c r="G676" s="928"/>
    </row>
    <row r="677" spans="1:7">
      <c r="A677" s="925"/>
      <c r="C677" s="927"/>
      <c r="E677" s="928"/>
      <c r="F677" s="928"/>
      <c r="G677" s="928"/>
    </row>
    <row r="678" spans="1:7">
      <c r="A678" s="925"/>
      <c r="C678" s="927"/>
      <c r="E678" s="928"/>
      <c r="F678" s="928"/>
      <c r="G678" s="928"/>
    </row>
    <row r="679" spans="1:7">
      <c r="A679" s="925"/>
      <c r="C679" s="927"/>
      <c r="E679" s="928"/>
      <c r="F679" s="928"/>
      <c r="G679" s="928"/>
    </row>
    <row r="680" spans="1:7">
      <c r="A680" s="925"/>
      <c r="C680" s="927"/>
      <c r="E680" s="928"/>
      <c r="F680" s="928"/>
      <c r="G680" s="928"/>
    </row>
    <row r="681" spans="1:7">
      <c r="A681" s="925"/>
      <c r="C681" s="927"/>
      <c r="E681" s="928"/>
      <c r="F681" s="928"/>
      <c r="G681" s="928"/>
    </row>
    <row r="682" spans="1:7">
      <c r="A682" s="925"/>
      <c r="C682" s="927"/>
      <c r="E682" s="928"/>
      <c r="F682" s="928"/>
      <c r="G682" s="928"/>
    </row>
    <row r="683" spans="1:7">
      <c r="A683" s="925"/>
      <c r="C683" s="927"/>
      <c r="E683" s="928"/>
      <c r="F683" s="928"/>
      <c r="G683" s="928"/>
    </row>
    <row r="684" spans="1:7">
      <c r="A684" s="925"/>
      <c r="C684" s="927"/>
      <c r="E684" s="928"/>
      <c r="F684" s="928"/>
      <c r="G684" s="928"/>
    </row>
    <row r="685" spans="1:7">
      <c r="A685" s="925"/>
      <c r="C685" s="927"/>
      <c r="E685" s="928"/>
      <c r="F685" s="928"/>
      <c r="G685" s="928"/>
    </row>
    <row r="686" spans="1:7">
      <c r="A686" s="925"/>
      <c r="C686" s="927"/>
      <c r="E686" s="928"/>
      <c r="F686" s="928"/>
      <c r="G686" s="928"/>
    </row>
    <row r="687" spans="1:7">
      <c r="A687" s="925"/>
      <c r="C687" s="927"/>
      <c r="E687" s="928"/>
      <c r="F687" s="928"/>
      <c r="G687" s="928"/>
    </row>
    <row r="688" spans="1:7">
      <c r="A688" s="925"/>
      <c r="C688" s="927"/>
      <c r="E688" s="928"/>
      <c r="F688" s="928"/>
      <c r="G688" s="928"/>
    </row>
    <row r="689" spans="1:7">
      <c r="A689" s="925"/>
      <c r="C689" s="927"/>
      <c r="E689" s="928"/>
      <c r="F689" s="928"/>
      <c r="G689" s="928"/>
    </row>
    <row r="690" spans="1:7">
      <c r="A690" s="925"/>
      <c r="C690" s="927"/>
      <c r="E690" s="928"/>
      <c r="F690" s="928"/>
      <c r="G690" s="928"/>
    </row>
    <row r="691" spans="1:7">
      <c r="A691" s="925"/>
      <c r="C691" s="927"/>
      <c r="E691" s="928"/>
      <c r="F691" s="928"/>
      <c r="G691" s="928"/>
    </row>
    <row r="692" spans="1:7">
      <c r="A692" s="925"/>
      <c r="C692" s="927"/>
      <c r="E692" s="928"/>
      <c r="F692" s="928"/>
      <c r="G692" s="928"/>
    </row>
    <row r="693" spans="1:7">
      <c r="A693" s="925"/>
      <c r="C693" s="927"/>
      <c r="E693" s="928"/>
      <c r="F693" s="928"/>
      <c r="G693" s="928"/>
    </row>
    <row r="694" spans="1:7">
      <c r="A694" s="925"/>
      <c r="C694" s="927"/>
      <c r="E694" s="928"/>
      <c r="F694" s="928"/>
      <c r="G694" s="928"/>
    </row>
    <row r="695" spans="1:7">
      <c r="A695" s="925"/>
      <c r="C695" s="927"/>
      <c r="E695" s="928"/>
      <c r="F695" s="928"/>
      <c r="G695" s="928"/>
    </row>
    <row r="696" spans="1:7">
      <c r="A696" s="925"/>
      <c r="C696" s="927"/>
      <c r="E696" s="928"/>
      <c r="F696" s="928"/>
      <c r="G696" s="928"/>
    </row>
    <row r="697" spans="1:7">
      <c r="A697" s="925"/>
      <c r="C697" s="927"/>
      <c r="E697" s="928"/>
      <c r="F697" s="928"/>
      <c r="G697" s="928"/>
    </row>
    <row r="698" spans="1:7">
      <c r="A698" s="925"/>
      <c r="C698" s="927"/>
      <c r="E698" s="928"/>
      <c r="F698" s="928"/>
      <c r="G698" s="928"/>
    </row>
    <row r="699" spans="1:7">
      <c r="A699" s="925"/>
      <c r="C699" s="927"/>
      <c r="E699" s="928"/>
      <c r="F699" s="928"/>
      <c r="G699" s="928"/>
    </row>
    <row r="700" spans="1:7">
      <c r="A700" s="925"/>
      <c r="C700" s="927"/>
      <c r="E700" s="928"/>
      <c r="F700" s="928"/>
      <c r="G700" s="928"/>
    </row>
    <row r="701" spans="1:7">
      <c r="A701" s="925"/>
      <c r="C701" s="927"/>
      <c r="E701" s="928"/>
      <c r="F701" s="928"/>
      <c r="G701" s="928"/>
    </row>
    <row r="702" spans="1:7">
      <c r="A702" s="925"/>
      <c r="C702" s="927"/>
      <c r="E702" s="928"/>
      <c r="F702" s="928"/>
      <c r="G702" s="928"/>
    </row>
    <row r="703" spans="1:7">
      <c r="A703" s="925"/>
      <c r="C703" s="927"/>
      <c r="E703" s="928"/>
      <c r="F703" s="928"/>
      <c r="G703" s="928"/>
    </row>
    <row r="704" spans="1:7">
      <c r="A704" s="925"/>
      <c r="C704" s="927"/>
      <c r="E704" s="928"/>
      <c r="F704" s="928"/>
      <c r="G704" s="928"/>
    </row>
    <row r="705" spans="1:7">
      <c r="A705" s="925"/>
      <c r="C705" s="927"/>
      <c r="E705" s="928"/>
      <c r="F705" s="928"/>
      <c r="G705" s="928"/>
    </row>
    <row r="706" spans="1:7">
      <c r="A706" s="925"/>
      <c r="C706" s="927"/>
      <c r="E706" s="928"/>
      <c r="F706" s="928"/>
      <c r="G706" s="928"/>
    </row>
    <row r="707" spans="1:7">
      <c r="A707" s="925"/>
      <c r="C707" s="927"/>
      <c r="E707" s="928"/>
      <c r="F707" s="928"/>
      <c r="G707" s="928"/>
    </row>
    <row r="708" spans="1:7">
      <c r="A708" s="925"/>
      <c r="C708" s="927"/>
      <c r="E708" s="928"/>
      <c r="F708" s="928"/>
      <c r="G708" s="928"/>
    </row>
    <row r="709" spans="1:7">
      <c r="A709" s="925"/>
      <c r="C709" s="927"/>
      <c r="E709" s="928"/>
      <c r="F709" s="928"/>
      <c r="G709" s="928"/>
    </row>
    <row r="710" spans="1:7">
      <c r="A710" s="925"/>
      <c r="C710" s="927"/>
      <c r="E710" s="928"/>
      <c r="F710" s="928"/>
      <c r="G710" s="928"/>
    </row>
    <row r="711" spans="1:7">
      <c r="A711" s="925"/>
      <c r="C711" s="927"/>
      <c r="E711" s="928"/>
      <c r="F711" s="928"/>
      <c r="G711" s="928"/>
    </row>
    <row r="712" spans="1:7">
      <c r="A712" s="925"/>
      <c r="C712" s="927"/>
      <c r="E712" s="928"/>
      <c r="F712" s="928"/>
      <c r="G712" s="928"/>
    </row>
    <row r="713" spans="1:7">
      <c r="A713" s="925"/>
      <c r="C713" s="927"/>
      <c r="E713" s="928"/>
      <c r="F713" s="928"/>
      <c r="G713" s="928"/>
    </row>
    <row r="714" spans="1:7">
      <c r="A714" s="925"/>
      <c r="C714" s="927"/>
      <c r="E714" s="928"/>
      <c r="F714" s="928"/>
      <c r="G714" s="928"/>
    </row>
    <row r="715" spans="1:7">
      <c r="A715" s="925"/>
      <c r="C715" s="927"/>
      <c r="E715" s="928"/>
      <c r="F715" s="928"/>
      <c r="G715" s="928"/>
    </row>
    <row r="716" spans="1:7">
      <c r="A716" s="925"/>
      <c r="C716" s="927"/>
      <c r="E716" s="928"/>
      <c r="F716" s="928"/>
      <c r="G716" s="928"/>
    </row>
    <row r="717" spans="1:7">
      <c r="A717" s="925"/>
      <c r="C717" s="927"/>
      <c r="E717" s="928"/>
      <c r="F717" s="928"/>
      <c r="G717" s="928"/>
    </row>
    <row r="718" spans="1:7">
      <c r="A718" s="925"/>
      <c r="C718" s="927"/>
      <c r="E718" s="928"/>
      <c r="F718" s="928"/>
      <c r="G718" s="928"/>
    </row>
    <row r="719" spans="1:7">
      <c r="A719" s="925"/>
      <c r="C719" s="927"/>
      <c r="E719" s="928"/>
      <c r="F719" s="928"/>
      <c r="G719" s="928"/>
    </row>
    <row r="720" spans="1:7">
      <c r="A720" s="925"/>
      <c r="C720" s="927"/>
      <c r="E720" s="928"/>
      <c r="F720" s="928"/>
      <c r="G720" s="928"/>
    </row>
    <row r="721" spans="1:7">
      <c r="A721" s="925"/>
      <c r="C721" s="927"/>
      <c r="E721" s="928"/>
      <c r="F721" s="928"/>
      <c r="G721" s="928"/>
    </row>
    <row r="722" spans="1:7">
      <c r="A722" s="925"/>
      <c r="C722" s="927"/>
      <c r="E722" s="928"/>
      <c r="F722" s="928"/>
      <c r="G722" s="928"/>
    </row>
    <row r="723" spans="1:7">
      <c r="A723" s="925"/>
      <c r="C723" s="927"/>
      <c r="E723" s="928"/>
      <c r="F723" s="928"/>
      <c r="G723" s="928"/>
    </row>
    <row r="724" spans="1:7">
      <c r="A724" s="925"/>
      <c r="C724" s="927"/>
      <c r="E724" s="928"/>
      <c r="F724" s="928"/>
      <c r="G724" s="928"/>
    </row>
    <row r="725" spans="1:7">
      <c r="A725" s="925"/>
      <c r="C725" s="927"/>
      <c r="E725" s="928"/>
      <c r="F725" s="928"/>
      <c r="G725" s="928"/>
    </row>
    <row r="726" spans="1:7">
      <c r="A726" s="925"/>
      <c r="C726" s="927"/>
      <c r="E726" s="928"/>
      <c r="F726" s="928"/>
      <c r="G726" s="928"/>
    </row>
    <row r="727" spans="1:7">
      <c r="A727" s="925"/>
      <c r="C727" s="927"/>
      <c r="E727" s="928"/>
      <c r="F727" s="928"/>
      <c r="G727" s="928"/>
    </row>
    <row r="728" spans="1:7">
      <c r="A728" s="925"/>
      <c r="C728" s="927"/>
      <c r="E728" s="928"/>
      <c r="F728" s="928"/>
      <c r="G728" s="928"/>
    </row>
    <row r="729" spans="1:7">
      <c r="A729" s="925"/>
      <c r="C729" s="927"/>
      <c r="E729" s="928"/>
      <c r="F729" s="928"/>
      <c r="G729" s="928"/>
    </row>
    <row r="730" spans="1:7">
      <c r="A730" s="925"/>
      <c r="C730" s="927"/>
      <c r="E730" s="928"/>
      <c r="F730" s="928"/>
      <c r="G730" s="928"/>
    </row>
    <row r="731" spans="1:7">
      <c r="A731" s="925"/>
      <c r="C731" s="927"/>
      <c r="E731" s="928"/>
      <c r="F731" s="928"/>
      <c r="G731" s="928"/>
    </row>
    <row r="732" spans="1:7">
      <c r="A732" s="925"/>
      <c r="C732" s="927"/>
      <c r="E732" s="928"/>
      <c r="F732" s="928"/>
      <c r="G732" s="928"/>
    </row>
    <row r="733" spans="1:7">
      <c r="A733" s="925"/>
      <c r="C733" s="927"/>
      <c r="E733" s="928"/>
      <c r="F733" s="928"/>
      <c r="G733" s="928"/>
    </row>
    <row r="734" spans="1:7">
      <c r="A734" s="925"/>
      <c r="C734" s="927"/>
      <c r="E734" s="928"/>
      <c r="F734" s="928"/>
      <c r="G734" s="928"/>
    </row>
    <row r="735" spans="1:7">
      <c r="A735" s="925"/>
      <c r="C735" s="927"/>
      <c r="E735" s="928"/>
      <c r="F735" s="928"/>
      <c r="G735" s="928"/>
    </row>
    <row r="736" spans="1:7">
      <c r="A736" s="925"/>
      <c r="C736" s="927"/>
      <c r="E736" s="928"/>
      <c r="F736" s="928"/>
      <c r="G736" s="928"/>
    </row>
    <row r="737" spans="1:7">
      <c r="A737" s="925"/>
      <c r="C737" s="927"/>
      <c r="E737" s="928"/>
      <c r="F737" s="928"/>
      <c r="G737" s="928"/>
    </row>
    <row r="738" spans="1:7">
      <c r="A738" s="925"/>
      <c r="C738" s="927"/>
      <c r="E738" s="928"/>
      <c r="F738" s="928"/>
      <c r="G738" s="928"/>
    </row>
    <row r="739" spans="1:7">
      <c r="A739" s="925"/>
      <c r="C739" s="927"/>
      <c r="E739" s="928"/>
      <c r="F739" s="928"/>
      <c r="G739" s="928"/>
    </row>
    <row r="740" spans="1:7">
      <c r="A740" s="925"/>
      <c r="C740" s="927"/>
      <c r="E740" s="928"/>
      <c r="F740" s="928"/>
      <c r="G740" s="928"/>
    </row>
    <row r="741" spans="1:7">
      <c r="A741" s="925"/>
      <c r="C741" s="927"/>
      <c r="E741" s="928"/>
      <c r="F741" s="928"/>
      <c r="G741" s="928"/>
    </row>
    <row r="742" spans="1:7">
      <c r="A742" s="925"/>
      <c r="C742" s="927"/>
      <c r="E742" s="928"/>
      <c r="F742" s="928"/>
      <c r="G742" s="928"/>
    </row>
    <row r="743" spans="1:7">
      <c r="A743" s="925"/>
      <c r="C743" s="927"/>
      <c r="E743" s="928"/>
      <c r="F743" s="928"/>
      <c r="G743" s="928"/>
    </row>
    <row r="744" spans="1:7">
      <c r="A744" s="925"/>
      <c r="C744" s="927"/>
      <c r="E744" s="928"/>
      <c r="F744" s="928"/>
      <c r="G744" s="928"/>
    </row>
    <row r="745" spans="1:7">
      <c r="A745" s="925"/>
      <c r="C745" s="927"/>
      <c r="E745" s="928"/>
      <c r="F745" s="928"/>
      <c r="G745" s="928"/>
    </row>
    <row r="746" spans="1:7">
      <c r="A746" s="925"/>
      <c r="C746" s="927"/>
      <c r="E746" s="928"/>
      <c r="F746" s="928"/>
      <c r="G746" s="928"/>
    </row>
    <row r="747" spans="1:7">
      <c r="A747" s="925"/>
      <c r="C747" s="927"/>
      <c r="E747" s="928"/>
      <c r="F747" s="928"/>
      <c r="G747" s="928"/>
    </row>
    <row r="748" spans="1:7">
      <c r="A748" s="925"/>
      <c r="C748" s="927"/>
      <c r="E748" s="928"/>
      <c r="F748" s="928"/>
      <c r="G748" s="928"/>
    </row>
    <row r="749" spans="1:7">
      <c r="A749" s="925"/>
      <c r="C749" s="927"/>
      <c r="E749" s="928"/>
      <c r="F749" s="928"/>
      <c r="G749" s="928"/>
    </row>
    <row r="750" spans="1:7">
      <c r="A750" s="925"/>
      <c r="C750" s="927"/>
      <c r="E750" s="928"/>
      <c r="F750" s="928"/>
      <c r="G750" s="928"/>
    </row>
    <row r="751" spans="1:7">
      <c r="A751" s="925"/>
      <c r="C751" s="927"/>
      <c r="E751" s="928"/>
      <c r="F751" s="928"/>
      <c r="G751" s="928"/>
    </row>
    <row r="752" spans="1:7">
      <c r="A752" s="925"/>
      <c r="C752" s="927"/>
      <c r="E752" s="928"/>
      <c r="F752" s="928"/>
      <c r="G752" s="928"/>
    </row>
    <row r="753" spans="1:7">
      <c r="A753" s="925"/>
      <c r="C753" s="927"/>
      <c r="E753" s="928"/>
      <c r="F753" s="928"/>
      <c r="G753" s="928"/>
    </row>
    <row r="754" spans="1:7">
      <c r="A754" s="925"/>
      <c r="C754" s="927"/>
      <c r="E754" s="928"/>
      <c r="F754" s="928"/>
      <c r="G754" s="928"/>
    </row>
    <row r="755" spans="1:7">
      <c r="A755" s="925"/>
      <c r="C755" s="927"/>
      <c r="E755" s="928"/>
      <c r="F755" s="928"/>
      <c r="G755" s="928"/>
    </row>
    <row r="756" spans="1:7">
      <c r="A756" s="925"/>
      <c r="C756" s="927"/>
      <c r="E756" s="928"/>
      <c r="F756" s="928"/>
      <c r="G756" s="928"/>
    </row>
    <row r="757" spans="1:7">
      <c r="A757" s="925"/>
      <c r="C757" s="927"/>
      <c r="E757" s="928"/>
      <c r="F757" s="928"/>
      <c r="G757" s="928"/>
    </row>
    <row r="758" spans="1:7">
      <c r="A758" s="925"/>
      <c r="C758" s="927"/>
      <c r="E758" s="928"/>
      <c r="F758" s="928"/>
      <c r="G758" s="928"/>
    </row>
    <row r="759" spans="1:7">
      <c r="A759" s="925"/>
      <c r="C759" s="927"/>
      <c r="E759" s="928"/>
      <c r="F759" s="928"/>
      <c r="G759" s="928"/>
    </row>
    <row r="760" spans="1:7">
      <c r="A760" s="925"/>
      <c r="C760" s="927"/>
      <c r="E760" s="928"/>
      <c r="F760" s="928"/>
      <c r="G760" s="928"/>
    </row>
    <row r="761" spans="1:7">
      <c r="A761" s="925"/>
      <c r="C761" s="927"/>
      <c r="E761" s="928"/>
      <c r="F761" s="928"/>
      <c r="G761" s="928"/>
    </row>
    <row r="762" spans="1:7">
      <c r="A762" s="925"/>
      <c r="C762" s="927"/>
      <c r="E762" s="928"/>
      <c r="F762" s="928"/>
      <c r="G762" s="928"/>
    </row>
    <row r="763" spans="1:7">
      <c r="A763" s="925"/>
      <c r="C763" s="927"/>
      <c r="E763" s="928"/>
      <c r="F763" s="928"/>
      <c r="G763" s="928"/>
    </row>
    <row r="764" spans="1:7">
      <c r="A764" s="925"/>
      <c r="C764" s="927"/>
      <c r="E764" s="928"/>
      <c r="F764" s="928"/>
      <c r="G764" s="928"/>
    </row>
    <row r="765" spans="1:7">
      <c r="A765" s="925"/>
      <c r="C765" s="927"/>
      <c r="E765" s="928"/>
      <c r="F765" s="928"/>
      <c r="G765" s="928"/>
    </row>
    <row r="766" spans="1:7">
      <c r="A766" s="925"/>
      <c r="C766" s="927"/>
      <c r="E766" s="928"/>
      <c r="F766" s="928"/>
      <c r="G766" s="928"/>
    </row>
    <row r="767" spans="1:7">
      <c r="A767" s="925"/>
      <c r="C767" s="927"/>
      <c r="E767" s="928"/>
      <c r="F767" s="928"/>
      <c r="G767" s="928"/>
    </row>
    <row r="768" spans="1:7">
      <c r="A768" s="925"/>
      <c r="C768" s="927"/>
      <c r="E768" s="928"/>
      <c r="F768" s="928"/>
      <c r="G768" s="928"/>
    </row>
    <row r="769" spans="1:7">
      <c r="A769" s="925"/>
      <c r="C769" s="927"/>
      <c r="E769" s="928"/>
      <c r="F769" s="928"/>
      <c r="G769" s="928"/>
    </row>
    <row r="770" spans="1:7">
      <c r="A770" s="925"/>
      <c r="C770" s="927"/>
      <c r="E770" s="928"/>
      <c r="F770" s="928"/>
      <c r="G770" s="928"/>
    </row>
    <row r="771" spans="1:7">
      <c r="A771" s="925"/>
      <c r="C771" s="927"/>
      <c r="E771" s="928"/>
      <c r="F771" s="928"/>
      <c r="G771" s="928"/>
    </row>
    <row r="772" spans="1:7">
      <c r="A772" s="925"/>
      <c r="C772" s="927"/>
      <c r="E772" s="928"/>
      <c r="F772" s="928"/>
      <c r="G772" s="928"/>
    </row>
    <row r="773" spans="1:7">
      <c r="A773" s="925"/>
      <c r="C773" s="927"/>
      <c r="E773" s="928"/>
      <c r="F773" s="928"/>
      <c r="G773" s="928"/>
    </row>
    <row r="774" spans="1:7">
      <c r="A774" s="925"/>
      <c r="C774" s="927"/>
      <c r="E774" s="928"/>
      <c r="F774" s="928"/>
      <c r="G774" s="928"/>
    </row>
    <row r="775" spans="1:7">
      <c r="A775" s="925"/>
      <c r="C775" s="927"/>
      <c r="E775" s="928"/>
      <c r="F775" s="928"/>
      <c r="G775" s="928"/>
    </row>
    <row r="776" spans="1:7">
      <c r="A776" s="925"/>
      <c r="C776" s="927"/>
      <c r="E776" s="928"/>
      <c r="F776" s="928"/>
      <c r="G776" s="928"/>
    </row>
    <row r="777" spans="1:7">
      <c r="A777" s="925"/>
      <c r="C777" s="927"/>
      <c r="E777" s="928"/>
      <c r="F777" s="928"/>
      <c r="G777" s="928"/>
    </row>
    <row r="778" spans="1:7">
      <c r="A778" s="925"/>
      <c r="C778" s="927"/>
      <c r="E778" s="928"/>
      <c r="F778" s="928"/>
      <c r="G778" s="928"/>
    </row>
    <row r="779" spans="1:7">
      <c r="A779" s="925"/>
      <c r="C779" s="927"/>
      <c r="E779" s="928"/>
      <c r="F779" s="928"/>
      <c r="G779" s="928"/>
    </row>
    <row r="780" spans="1:7">
      <c r="A780" s="925"/>
      <c r="C780" s="927"/>
      <c r="E780" s="928"/>
      <c r="F780" s="928"/>
      <c r="G780" s="928"/>
    </row>
    <row r="781" spans="1:7">
      <c r="A781" s="925"/>
      <c r="C781" s="927"/>
      <c r="E781" s="928"/>
      <c r="F781" s="928"/>
      <c r="G781" s="928"/>
    </row>
    <row r="782" spans="1:7">
      <c r="A782" s="925"/>
      <c r="C782" s="927"/>
      <c r="E782" s="928"/>
      <c r="F782" s="928"/>
      <c r="G782" s="928"/>
    </row>
    <row r="783" spans="1:7">
      <c r="A783" s="925"/>
      <c r="C783" s="927"/>
      <c r="E783" s="928"/>
      <c r="F783" s="928"/>
      <c r="G783" s="928"/>
    </row>
    <row r="784" spans="1:7">
      <c r="A784" s="925"/>
      <c r="C784" s="927"/>
      <c r="E784" s="928"/>
      <c r="F784" s="928"/>
      <c r="G784" s="928"/>
    </row>
    <row r="785" spans="1:7">
      <c r="A785" s="925"/>
      <c r="C785" s="927"/>
      <c r="E785" s="928"/>
      <c r="F785" s="928"/>
      <c r="G785" s="928"/>
    </row>
    <row r="786" spans="1:7">
      <c r="A786" s="925"/>
      <c r="C786" s="927"/>
      <c r="E786" s="928"/>
      <c r="F786" s="928"/>
      <c r="G786" s="928"/>
    </row>
    <row r="787" spans="1:7">
      <c r="A787" s="925"/>
      <c r="C787" s="927"/>
      <c r="E787" s="928"/>
      <c r="F787" s="928"/>
      <c r="G787" s="928"/>
    </row>
    <row r="788" spans="1:7">
      <c r="A788" s="925"/>
      <c r="C788" s="927"/>
      <c r="E788" s="928"/>
      <c r="F788" s="928"/>
      <c r="G788" s="928"/>
    </row>
    <row r="789" spans="1:7">
      <c r="A789" s="925"/>
      <c r="C789" s="927"/>
      <c r="E789" s="928"/>
      <c r="F789" s="928"/>
      <c r="G789" s="928"/>
    </row>
    <row r="790" spans="1:7">
      <c r="A790" s="925"/>
      <c r="C790" s="927"/>
      <c r="E790" s="928"/>
      <c r="F790" s="928"/>
      <c r="G790" s="928"/>
    </row>
    <row r="791" spans="1:7">
      <c r="A791" s="925"/>
      <c r="C791" s="927"/>
      <c r="E791" s="928"/>
      <c r="F791" s="928"/>
      <c r="G791" s="928"/>
    </row>
    <row r="792" spans="1:7">
      <c r="A792" s="925"/>
      <c r="C792" s="927"/>
      <c r="E792" s="928"/>
      <c r="F792" s="928"/>
      <c r="G792" s="928"/>
    </row>
    <row r="793" spans="1:7">
      <c r="A793" s="925"/>
      <c r="C793" s="927"/>
      <c r="E793" s="928"/>
      <c r="F793" s="928"/>
      <c r="G793" s="928"/>
    </row>
    <row r="794" spans="1:7">
      <c r="A794" s="925"/>
      <c r="C794" s="927"/>
      <c r="E794" s="928"/>
      <c r="F794" s="928"/>
      <c r="G794" s="928"/>
    </row>
    <row r="795" spans="1:7">
      <c r="A795" s="925"/>
      <c r="C795" s="927"/>
      <c r="E795" s="928"/>
      <c r="F795" s="928"/>
      <c r="G795" s="928"/>
    </row>
    <row r="796" spans="1:7">
      <c r="A796" s="925"/>
      <c r="C796" s="927"/>
      <c r="E796" s="928"/>
      <c r="F796" s="928"/>
      <c r="G796" s="928"/>
    </row>
    <row r="797" spans="1:7">
      <c r="A797" s="925"/>
      <c r="C797" s="927"/>
      <c r="E797" s="928"/>
      <c r="F797" s="928"/>
      <c r="G797" s="928"/>
    </row>
    <row r="798" spans="1:7">
      <c r="A798" s="925"/>
      <c r="C798" s="927"/>
      <c r="E798" s="928"/>
      <c r="F798" s="928"/>
      <c r="G798" s="928"/>
    </row>
    <row r="799" spans="1:7">
      <c r="A799" s="925"/>
      <c r="C799" s="927"/>
      <c r="E799" s="928"/>
      <c r="F799" s="928"/>
      <c r="G799" s="928"/>
    </row>
    <row r="800" spans="1:7">
      <c r="A800" s="925"/>
      <c r="C800" s="927"/>
      <c r="E800" s="928"/>
      <c r="F800" s="928"/>
      <c r="G800" s="928"/>
    </row>
    <row r="801" spans="1:7">
      <c r="A801" s="925"/>
      <c r="C801" s="927"/>
      <c r="E801" s="928"/>
      <c r="F801" s="928"/>
      <c r="G801" s="928"/>
    </row>
    <row r="802" spans="1:7">
      <c r="A802" s="925"/>
      <c r="C802" s="927"/>
      <c r="E802" s="928"/>
      <c r="F802" s="928"/>
      <c r="G802" s="928"/>
    </row>
    <row r="803" spans="1:7">
      <c r="A803" s="925"/>
      <c r="C803" s="927"/>
      <c r="E803" s="928"/>
      <c r="F803" s="928"/>
      <c r="G803" s="928"/>
    </row>
    <row r="804" spans="1:7">
      <c r="A804" s="925"/>
      <c r="C804" s="927"/>
      <c r="E804" s="928"/>
      <c r="F804" s="928"/>
      <c r="G804" s="928"/>
    </row>
    <row r="805" spans="1:7">
      <c r="A805" s="925"/>
      <c r="C805" s="927"/>
      <c r="E805" s="928"/>
      <c r="F805" s="928"/>
      <c r="G805" s="928"/>
    </row>
    <row r="806" spans="1:7">
      <c r="A806" s="925"/>
      <c r="C806" s="927"/>
      <c r="E806" s="928"/>
      <c r="F806" s="928"/>
      <c r="G806" s="928"/>
    </row>
    <row r="807" spans="1:7">
      <c r="A807" s="925"/>
      <c r="C807" s="927"/>
      <c r="E807" s="928"/>
      <c r="F807" s="928"/>
      <c r="G807" s="928"/>
    </row>
    <row r="808" spans="1:7">
      <c r="A808" s="925"/>
      <c r="C808" s="927"/>
      <c r="E808" s="928"/>
      <c r="F808" s="928"/>
      <c r="G808" s="928"/>
    </row>
    <row r="809" spans="1:7">
      <c r="A809" s="925"/>
      <c r="C809" s="927"/>
      <c r="E809" s="928"/>
      <c r="F809" s="928"/>
      <c r="G809" s="928"/>
    </row>
    <row r="810" spans="1:7">
      <c r="A810" s="925"/>
      <c r="C810" s="927"/>
      <c r="E810" s="928"/>
      <c r="F810" s="928"/>
      <c r="G810" s="928"/>
    </row>
    <row r="811" spans="1:7">
      <c r="A811" s="925"/>
      <c r="C811" s="927"/>
      <c r="E811" s="928"/>
      <c r="F811" s="928"/>
      <c r="G811" s="928"/>
    </row>
    <row r="812" spans="1:7">
      <c r="A812" s="925"/>
      <c r="C812" s="927"/>
      <c r="E812" s="928"/>
      <c r="F812" s="928"/>
      <c r="G812" s="928"/>
    </row>
    <row r="813" spans="1:7">
      <c r="A813" s="925"/>
      <c r="C813" s="927"/>
      <c r="E813" s="928"/>
      <c r="F813" s="928"/>
      <c r="G813" s="928"/>
    </row>
    <row r="814" spans="1:7">
      <c r="A814" s="925"/>
      <c r="C814" s="927"/>
      <c r="E814" s="928"/>
      <c r="F814" s="928"/>
      <c r="G814" s="928"/>
    </row>
    <row r="815" spans="1:7">
      <c r="A815" s="925"/>
      <c r="C815" s="927"/>
      <c r="E815" s="928"/>
      <c r="F815" s="928"/>
      <c r="G815" s="928"/>
    </row>
    <row r="816" spans="1:7">
      <c r="A816" s="925"/>
      <c r="C816" s="927"/>
      <c r="E816" s="928"/>
      <c r="F816" s="928"/>
      <c r="G816" s="928"/>
    </row>
    <row r="817" spans="1:7">
      <c r="A817" s="925"/>
      <c r="C817" s="927"/>
      <c r="E817" s="928"/>
      <c r="F817" s="928"/>
      <c r="G817" s="928"/>
    </row>
    <row r="818" spans="1:7">
      <c r="A818" s="925"/>
      <c r="C818" s="927"/>
      <c r="E818" s="928"/>
      <c r="F818" s="928"/>
      <c r="G818" s="928"/>
    </row>
    <row r="819" spans="1:7">
      <c r="A819" s="925"/>
      <c r="C819" s="927"/>
      <c r="E819" s="928"/>
      <c r="F819" s="928"/>
      <c r="G819" s="928"/>
    </row>
    <row r="820" spans="1:7">
      <c r="A820" s="925"/>
      <c r="C820" s="927"/>
      <c r="E820" s="928"/>
      <c r="F820" s="928"/>
      <c r="G820" s="928"/>
    </row>
    <row r="821" spans="1:7">
      <c r="A821" s="925"/>
      <c r="C821" s="927"/>
      <c r="E821" s="928"/>
      <c r="F821" s="928"/>
      <c r="G821" s="928"/>
    </row>
    <row r="822" spans="1:7">
      <c r="A822" s="925"/>
      <c r="C822" s="927"/>
      <c r="E822" s="928"/>
      <c r="F822" s="928"/>
      <c r="G822" s="928"/>
    </row>
    <row r="823" spans="1:7">
      <c r="A823" s="925"/>
      <c r="C823" s="927"/>
      <c r="E823" s="928"/>
      <c r="F823" s="928"/>
      <c r="G823" s="928"/>
    </row>
    <row r="824" spans="1:7">
      <c r="A824" s="925"/>
      <c r="C824" s="927"/>
      <c r="E824" s="928"/>
      <c r="F824" s="928"/>
      <c r="G824" s="928"/>
    </row>
    <row r="825" spans="1:7">
      <c r="A825" s="925"/>
      <c r="C825" s="927"/>
      <c r="E825" s="928"/>
      <c r="F825" s="928"/>
      <c r="G825" s="928"/>
    </row>
    <row r="826" spans="1:7">
      <c r="A826" s="925"/>
      <c r="C826" s="927"/>
      <c r="E826" s="928"/>
      <c r="F826" s="928"/>
      <c r="G826" s="928"/>
    </row>
    <row r="827" spans="1:7">
      <c r="A827" s="925"/>
      <c r="C827" s="927"/>
      <c r="E827" s="928"/>
      <c r="F827" s="928"/>
      <c r="G827" s="928"/>
    </row>
    <row r="828" spans="1:7">
      <c r="A828" s="925"/>
      <c r="C828" s="927"/>
      <c r="E828" s="928"/>
      <c r="F828" s="928"/>
      <c r="G828" s="928"/>
    </row>
    <row r="829" spans="1:7">
      <c r="A829" s="925"/>
      <c r="C829" s="927"/>
      <c r="E829" s="928"/>
      <c r="F829" s="928"/>
      <c r="G829" s="928"/>
    </row>
    <row r="830" spans="1:7">
      <c r="A830" s="925"/>
      <c r="C830" s="927"/>
      <c r="E830" s="928"/>
      <c r="F830" s="928"/>
      <c r="G830" s="928"/>
    </row>
    <row r="831" spans="1:7">
      <c r="A831" s="925"/>
      <c r="C831" s="927"/>
      <c r="E831" s="928"/>
      <c r="F831" s="928"/>
      <c r="G831" s="928"/>
    </row>
    <row r="832" spans="1:7">
      <c r="A832" s="925"/>
      <c r="C832" s="927"/>
      <c r="E832" s="928"/>
      <c r="F832" s="928"/>
      <c r="G832" s="928"/>
    </row>
    <row r="833" spans="1:7">
      <c r="A833" s="925"/>
      <c r="C833" s="927"/>
      <c r="E833" s="928"/>
      <c r="F833" s="928"/>
      <c r="G833" s="928"/>
    </row>
    <row r="834" spans="1:7">
      <c r="A834" s="925"/>
      <c r="C834" s="927"/>
      <c r="E834" s="928"/>
      <c r="F834" s="928"/>
      <c r="G834" s="928"/>
    </row>
    <row r="835" spans="1:7">
      <c r="A835" s="925"/>
      <c r="C835" s="927"/>
      <c r="E835" s="928"/>
      <c r="F835" s="928"/>
      <c r="G835" s="928"/>
    </row>
    <row r="836" spans="1:7">
      <c r="A836" s="925"/>
      <c r="C836" s="927"/>
      <c r="E836" s="928"/>
      <c r="F836" s="928"/>
      <c r="G836" s="928"/>
    </row>
    <row r="837" spans="1:7">
      <c r="A837" s="925"/>
      <c r="C837" s="927"/>
      <c r="E837" s="928"/>
      <c r="F837" s="928"/>
      <c r="G837" s="928"/>
    </row>
    <row r="838" spans="1:7">
      <c r="A838" s="925"/>
      <c r="C838" s="927"/>
      <c r="E838" s="928"/>
      <c r="F838" s="928"/>
      <c r="G838" s="928"/>
    </row>
    <row r="839" spans="1:7">
      <c r="A839" s="925"/>
      <c r="C839" s="927"/>
      <c r="E839" s="928"/>
      <c r="F839" s="928"/>
      <c r="G839" s="928"/>
    </row>
    <row r="840" spans="1:7">
      <c r="A840" s="925"/>
      <c r="C840" s="927"/>
      <c r="E840" s="928"/>
      <c r="F840" s="928"/>
      <c r="G840" s="928"/>
    </row>
    <row r="841" spans="1:7">
      <c r="A841" s="925"/>
      <c r="C841" s="927"/>
      <c r="E841" s="928"/>
      <c r="F841" s="928"/>
      <c r="G841" s="928"/>
    </row>
    <row r="842" spans="1:7">
      <c r="A842" s="925"/>
      <c r="C842" s="927"/>
      <c r="E842" s="928"/>
      <c r="F842" s="928"/>
      <c r="G842" s="928"/>
    </row>
    <row r="843" spans="1:7">
      <c r="A843" s="925"/>
      <c r="C843" s="927"/>
      <c r="E843" s="928"/>
      <c r="F843" s="928"/>
      <c r="G843" s="928"/>
    </row>
    <row r="844" spans="1:7">
      <c r="A844" s="925"/>
      <c r="C844" s="927"/>
      <c r="E844" s="928"/>
      <c r="F844" s="928"/>
      <c r="G844" s="928"/>
    </row>
    <row r="845" spans="1:7">
      <c r="A845" s="925"/>
      <c r="C845" s="927"/>
      <c r="E845" s="928"/>
      <c r="F845" s="928"/>
      <c r="G845" s="928"/>
    </row>
    <row r="846" spans="1:7">
      <c r="A846" s="925"/>
      <c r="C846" s="927"/>
      <c r="E846" s="928"/>
      <c r="F846" s="928"/>
      <c r="G846" s="928"/>
    </row>
    <row r="847" spans="1:7">
      <c r="A847" s="925"/>
      <c r="C847" s="927"/>
      <c r="E847" s="928"/>
      <c r="F847" s="928"/>
      <c r="G847" s="928"/>
    </row>
    <row r="848" spans="1:7">
      <c r="A848" s="925"/>
      <c r="C848" s="927"/>
      <c r="E848" s="928"/>
      <c r="F848" s="928"/>
      <c r="G848" s="928"/>
    </row>
    <row r="849" spans="1:7">
      <c r="A849" s="925"/>
      <c r="C849" s="927"/>
      <c r="E849" s="928"/>
      <c r="F849" s="928"/>
      <c r="G849" s="928"/>
    </row>
    <row r="850" spans="1:7">
      <c r="A850" s="925"/>
      <c r="C850" s="927"/>
      <c r="E850" s="928"/>
      <c r="F850" s="928"/>
      <c r="G850" s="928"/>
    </row>
    <row r="851" spans="1:7">
      <c r="A851" s="925"/>
      <c r="C851" s="927"/>
      <c r="E851" s="928"/>
      <c r="F851" s="928"/>
      <c r="G851" s="928"/>
    </row>
    <row r="852" spans="1:7">
      <c r="A852" s="925"/>
      <c r="C852" s="927"/>
      <c r="E852" s="928"/>
      <c r="F852" s="928"/>
      <c r="G852" s="928"/>
    </row>
    <row r="853" spans="1:7">
      <c r="A853" s="925"/>
      <c r="C853" s="927"/>
      <c r="E853" s="928"/>
      <c r="F853" s="928"/>
      <c r="G853" s="928"/>
    </row>
    <row r="854" spans="1:7">
      <c r="A854" s="925"/>
      <c r="C854" s="927"/>
      <c r="E854" s="928"/>
      <c r="F854" s="928"/>
      <c r="G854" s="928"/>
    </row>
    <row r="855" spans="1:7">
      <c r="A855" s="925"/>
      <c r="C855" s="927"/>
      <c r="E855" s="928"/>
      <c r="F855" s="928"/>
      <c r="G855" s="928"/>
    </row>
    <row r="856" spans="1:7">
      <c r="A856" s="925"/>
      <c r="C856" s="927"/>
      <c r="E856" s="928"/>
      <c r="F856" s="928"/>
      <c r="G856" s="928"/>
    </row>
    <row r="857" spans="1:7">
      <c r="A857" s="925"/>
      <c r="C857" s="927"/>
      <c r="E857" s="928"/>
      <c r="F857" s="928"/>
      <c r="G857" s="928"/>
    </row>
    <row r="858" spans="1:7">
      <c r="A858" s="925"/>
      <c r="C858" s="927"/>
      <c r="E858" s="928"/>
      <c r="F858" s="928"/>
      <c r="G858" s="928"/>
    </row>
    <row r="859" spans="1:7">
      <c r="A859" s="925"/>
      <c r="C859" s="927"/>
      <c r="E859" s="928"/>
      <c r="F859" s="928"/>
      <c r="G859" s="928"/>
    </row>
    <row r="860" spans="1:7">
      <c r="A860" s="925"/>
      <c r="C860" s="927"/>
      <c r="E860" s="928"/>
      <c r="F860" s="928"/>
      <c r="G860" s="928"/>
    </row>
    <row r="861" spans="1:7">
      <c r="A861" s="925"/>
      <c r="C861" s="927"/>
      <c r="E861" s="928"/>
      <c r="F861" s="928"/>
      <c r="G861" s="928"/>
    </row>
    <row r="862" spans="1:7">
      <c r="A862" s="925"/>
      <c r="C862" s="927"/>
      <c r="E862" s="928"/>
      <c r="F862" s="928"/>
      <c r="G862" s="928"/>
    </row>
    <row r="863" spans="1:7">
      <c r="A863" s="925"/>
      <c r="C863" s="927"/>
      <c r="E863" s="928"/>
      <c r="F863" s="928"/>
      <c r="G863" s="928"/>
    </row>
    <row r="864" spans="1:7">
      <c r="A864" s="925"/>
      <c r="C864" s="927"/>
      <c r="E864" s="928"/>
      <c r="F864" s="928"/>
      <c r="G864" s="928"/>
    </row>
    <row r="865" spans="1:7">
      <c r="A865" s="925"/>
      <c r="C865" s="927"/>
      <c r="E865" s="928"/>
      <c r="F865" s="928"/>
      <c r="G865" s="928"/>
    </row>
    <row r="866" spans="1:7">
      <c r="A866" s="925"/>
      <c r="C866" s="927"/>
      <c r="E866" s="928"/>
      <c r="F866" s="928"/>
      <c r="G866" s="928"/>
    </row>
    <row r="867" spans="1:7">
      <c r="A867" s="925"/>
      <c r="C867" s="927"/>
      <c r="E867" s="928"/>
      <c r="F867" s="928"/>
      <c r="G867" s="928"/>
    </row>
    <row r="868" spans="1:7">
      <c r="A868" s="925"/>
      <c r="C868" s="927"/>
      <c r="E868" s="928"/>
      <c r="F868" s="928"/>
      <c r="G868" s="928"/>
    </row>
    <row r="869" spans="1:7">
      <c r="A869" s="925"/>
      <c r="C869" s="927"/>
      <c r="E869" s="928"/>
      <c r="F869" s="928"/>
      <c r="G869" s="928"/>
    </row>
    <row r="870" spans="1:7">
      <c r="A870" s="925"/>
      <c r="C870" s="927"/>
      <c r="E870" s="928"/>
      <c r="F870" s="928"/>
      <c r="G870" s="928"/>
    </row>
    <row r="871" spans="1:7">
      <c r="A871" s="925"/>
      <c r="C871" s="927"/>
      <c r="E871" s="928"/>
      <c r="F871" s="928"/>
      <c r="G871" s="928"/>
    </row>
    <row r="872" spans="1:7">
      <c r="A872" s="925"/>
      <c r="C872" s="927"/>
      <c r="E872" s="928"/>
      <c r="F872" s="928"/>
      <c r="G872" s="928"/>
    </row>
    <row r="873" spans="1:7">
      <c r="A873" s="925"/>
      <c r="C873" s="927"/>
      <c r="E873" s="928"/>
      <c r="F873" s="928"/>
      <c r="G873" s="928"/>
    </row>
    <row r="874" spans="1:7">
      <c r="A874" s="925"/>
      <c r="C874" s="927"/>
      <c r="E874" s="928"/>
      <c r="F874" s="928"/>
      <c r="G874" s="928"/>
    </row>
    <row r="875" spans="1:7">
      <c r="A875" s="925"/>
      <c r="C875" s="927"/>
      <c r="E875" s="928"/>
      <c r="F875" s="928"/>
      <c r="G875" s="928"/>
    </row>
    <row r="876" spans="1:7">
      <c r="A876" s="925"/>
      <c r="C876" s="927"/>
      <c r="E876" s="928"/>
      <c r="F876" s="928"/>
      <c r="G876" s="928"/>
    </row>
    <row r="877" spans="1:7">
      <c r="A877" s="925"/>
      <c r="C877" s="927"/>
      <c r="E877" s="928"/>
      <c r="F877" s="928"/>
      <c r="G877" s="928"/>
    </row>
    <row r="878" spans="1:7">
      <c r="A878" s="925"/>
      <c r="C878" s="927"/>
      <c r="E878" s="928"/>
      <c r="F878" s="928"/>
      <c r="G878" s="928"/>
    </row>
    <row r="879" spans="1:7">
      <c r="A879" s="925"/>
      <c r="C879" s="927"/>
      <c r="E879" s="928"/>
      <c r="F879" s="928"/>
      <c r="G879" s="928"/>
    </row>
    <row r="880" spans="1:7">
      <c r="A880" s="925"/>
      <c r="C880" s="927"/>
      <c r="E880" s="928"/>
      <c r="F880" s="928"/>
      <c r="G880" s="928"/>
    </row>
    <row r="881" spans="1:7">
      <c r="A881" s="925"/>
      <c r="C881" s="927"/>
      <c r="E881" s="928"/>
      <c r="F881" s="928"/>
      <c r="G881" s="928"/>
    </row>
    <row r="882" spans="1:7">
      <c r="A882" s="925"/>
      <c r="C882" s="927"/>
      <c r="E882" s="928"/>
      <c r="F882" s="928"/>
      <c r="G882" s="928"/>
    </row>
    <row r="883" spans="1:7">
      <c r="A883" s="925"/>
      <c r="C883" s="927"/>
      <c r="E883" s="928"/>
      <c r="F883" s="928"/>
      <c r="G883" s="928"/>
    </row>
    <row r="884" spans="1:7">
      <c r="A884" s="925"/>
      <c r="C884" s="927"/>
      <c r="E884" s="928"/>
      <c r="F884" s="928"/>
      <c r="G884" s="928"/>
    </row>
    <row r="885" spans="1:7">
      <c r="A885" s="925"/>
      <c r="C885" s="927"/>
      <c r="E885" s="928"/>
      <c r="F885" s="928"/>
      <c r="G885" s="928"/>
    </row>
    <row r="886" spans="1:7">
      <c r="A886" s="925"/>
      <c r="C886" s="927"/>
      <c r="E886" s="928"/>
      <c r="F886" s="928"/>
      <c r="G886" s="928"/>
    </row>
    <row r="887" spans="1:7">
      <c r="A887" s="925"/>
      <c r="C887" s="927"/>
      <c r="E887" s="928"/>
      <c r="F887" s="928"/>
      <c r="G887" s="928"/>
    </row>
    <row r="888" spans="1:7">
      <c r="A888" s="925"/>
      <c r="C888" s="927"/>
      <c r="E888" s="928"/>
      <c r="F888" s="928"/>
      <c r="G888" s="928"/>
    </row>
    <row r="889" spans="1:7">
      <c r="A889" s="925"/>
      <c r="C889" s="927"/>
      <c r="E889" s="928"/>
      <c r="F889" s="928"/>
      <c r="G889" s="928"/>
    </row>
    <row r="890" spans="1:7">
      <c r="A890" s="925"/>
      <c r="C890" s="927"/>
      <c r="E890" s="928"/>
      <c r="F890" s="928"/>
      <c r="G890" s="928"/>
    </row>
    <row r="891" spans="1:7">
      <c r="A891" s="925"/>
      <c r="C891" s="927"/>
      <c r="E891" s="928"/>
      <c r="F891" s="928"/>
      <c r="G891" s="928"/>
    </row>
    <row r="892" spans="1:7">
      <c r="A892" s="925"/>
      <c r="C892" s="927"/>
      <c r="E892" s="928"/>
      <c r="F892" s="928"/>
      <c r="G892" s="928"/>
    </row>
    <row r="893" spans="1:7">
      <c r="A893" s="925"/>
      <c r="C893" s="927"/>
      <c r="E893" s="928"/>
      <c r="F893" s="928"/>
      <c r="G893" s="928"/>
    </row>
    <row r="894" spans="1:7">
      <c r="A894" s="925"/>
      <c r="C894" s="927"/>
      <c r="E894" s="928"/>
      <c r="F894" s="928"/>
      <c r="G894" s="928"/>
    </row>
    <row r="895" spans="1:7">
      <c r="A895" s="925"/>
      <c r="C895" s="927"/>
      <c r="E895" s="928"/>
      <c r="F895" s="928"/>
      <c r="G895" s="928"/>
    </row>
    <row r="896" spans="1:7">
      <c r="A896" s="925"/>
      <c r="C896" s="927"/>
      <c r="E896" s="928"/>
      <c r="F896" s="928"/>
      <c r="G896" s="928"/>
    </row>
    <row r="897" spans="1:7">
      <c r="A897" s="925"/>
      <c r="C897" s="927"/>
      <c r="E897" s="928"/>
      <c r="F897" s="928"/>
      <c r="G897" s="928"/>
    </row>
    <row r="898" spans="1:7">
      <c r="A898" s="925"/>
      <c r="C898" s="927"/>
      <c r="E898" s="928"/>
      <c r="F898" s="928"/>
      <c r="G898" s="928"/>
    </row>
    <row r="899" spans="1:7">
      <c r="A899" s="925"/>
      <c r="C899" s="927"/>
      <c r="E899" s="928"/>
      <c r="F899" s="928"/>
      <c r="G899" s="928"/>
    </row>
    <row r="900" spans="1:7">
      <c r="A900" s="925"/>
      <c r="C900" s="927"/>
      <c r="E900" s="928"/>
      <c r="F900" s="928"/>
      <c r="G900" s="928"/>
    </row>
    <row r="901" spans="1:7">
      <c r="A901" s="925"/>
      <c r="C901" s="927"/>
      <c r="E901" s="928"/>
      <c r="F901" s="928"/>
      <c r="G901" s="928"/>
    </row>
    <row r="902" spans="1:7">
      <c r="A902" s="925"/>
      <c r="C902" s="927"/>
      <c r="E902" s="928"/>
      <c r="F902" s="928"/>
      <c r="G902" s="928"/>
    </row>
    <row r="903" spans="1:7">
      <c r="A903" s="925"/>
      <c r="C903" s="927"/>
      <c r="E903" s="928"/>
      <c r="F903" s="928"/>
      <c r="G903" s="928"/>
    </row>
    <row r="904" spans="1:7">
      <c r="A904" s="925"/>
      <c r="C904" s="927"/>
      <c r="E904" s="928"/>
      <c r="F904" s="928"/>
      <c r="G904" s="928"/>
    </row>
    <row r="905" spans="1:7">
      <c r="A905" s="925"/>
      <c r="C905" s="927"/>
      <c r="E905" s="928"/>
      <c r="F905" s="928"/>
      <c r="G905" s="928"/>
    </row>
    <row r="906" spans="1:7">
      <c r="A906" s="925"/>
      <c r="C906" s="927"/>
      <c r="E906" s="928"/>
      <c r="F906" s="928"/>
      <c r="G906" s="928"/>
    </row>
    <row r="907" spans="1:7">
      <c r="A907" s="925"/>
      <c r="C907" s="927"/>
      <c r="E907" s="928"/>
      <c r="F907" s="928"/>
      <c r="G907" s="928"/>
    </row>
    <row r="908" spans="1:7">
      <c r="A908" s="925"/>
      <c r="C908" s="927"/>
      <c r="E908" s="928"/>
      <c r="F908" s="928"/>
      <c r="G908" s="928"/>
    </row>
    <row r="909" spans="1:7">
      <c r="A909" s="925"/>
      <c r="C909" s="927"/>
      <c r="E909" s="928"/>
      <c r="F909" s="928"/>
      <c r="G909" s="928"/>
    </row>
    <row r="910" spans="1:7">
      <c r="A910" s="925"/>
      <c r="C910" s="927"/>
      <c r="E910" s="928"/>
      <c r="F910" s="928"/>
      <c r="G910" s="928"/>
    </row>
    <row r="911" spans="1:7">
      <c r="A911" s="925"/>
      <c r="C911" s="927"/>
      <c r="E911" s="928"/>
      <c r="F911" s="928"/>
      <c r="G911" s="928"/>
    </row>
    <row r="912" spans="1:7">
      <c r="A912" s="925"/>
      <c r="C912" s="927"/>
      <c r="E912" s="928"/>
      <c r="F912" s="928"/>
      <c r="G912" s="928"/>
    </row>
    <row r="913" spans="1:7">
      <c r="A913" s="925"/>
      <c r="C913" s="927"/>
      <c r="E913" s="928"/>
      <c r="F913" s="928"/>
      <c r="G913" s="928"/>
    </row>
    <row r="914" spans="1:7">
      <c r="A914" s="925"/>
      <c r="C914" s="927"/>
      <c r="E914" s="928"/>
      <c r="F914" s="928"/>
      <c r="G914" s="928"/>
    </row>
    <row r="915" spans="1:7">
      <c r="A915" s="925"/>
      <c r="C915" s="927"/>
      <c r="E915" s="928"/>
      <c r="F915" s="928"/>
      <c r="G915" s="928"/>
    </row>
    <row r="916" spans="1:7">
      <c r="A916" s="925"/>
      <c r="C916" s="927"/>
      <c r="E916" s="928"/>
      <c r="F916" s="928"/>
      <c r="G916" s="928"/>
    </row>
    <row r="917" spans="1:7">
      <c r="A917" s="925"/>
      <c r="C917" s="927"/>
      <c r="E917" s="928"/>
      <c r="F917" s="928"/>
      <c r="G917" s="928"/>
    </row>
    <row r="918" spans="1:7">
      <c r="A918" s="925"/>
      <c r="C918" s="927"/>
      <c r="E918" s="928"/>
      <c r="F918" s="928"/>
      <c r="G918" s="928"/>
    </row>
    <row r="919" spans="1:7">
      <c r="A919" s="925"/>
      <c r="C919" s="927"/>
      <c r="E919" s="928"/>
      <c r="F919" s="928"/>
      <c r="G919" s="928"/>
    </row>
    <row r="920" spans="1:7">
      <c r="A920" s="925"/>
      <c r="C920" s="927"/>
      <c r="E920" s="928"/>
      <c r="F920" s="928"/>
      <c r="G920" s="928"/>
    </row>
    <row r="921" spans="1:7">
      <c r="A921" s="925"/>
      <c r="C921" s="927"/>
      <c r="E921" s="928"/>
      <c r="F921" s="928"/>
      <c r="G921" s="928"/>
    </row>
    <row r="922" spans="1:7">
      <c r="A922" s="925"/>
      <c r="C922" s="927"/>
      <c r="E922" s="928"/>
      <c r="F922" s="928"/>
      <c r="G922" s="928"/>
    </row>
    <row r="923" spans="1:7">
      <c r="A923" s="925"/>
      <c r="C923" s="927"/>
      <c r="E923" s="928"/>
      <c r="F923" s="928"/>
      <c r="G923" s="928"/>
    </row>
    <row r="924" spans="1:7">
      <c r="A924" s="925"/>
      <c r="C924" s="927"/>
      <c r="E924" s="928"/>
      <c r="F924" s="928"/>
      <c r="G924" s="928"/>
    </row>
    <row r="925" spans="1:7">
      <c r="A925" s="925"/>
      <c r="C925" s="927"/>
      <c r="E925" s="928"/>
      <c r="F925" s="928"/>
      <c r="G925" s="928"/>
    </row>
    <row r="926" spans="1:7">
      <c r="A926" s="925"/>
      <c r="C926" s="927"/>
      <c r="E926" s="928"/>
      <c r="F926" s="928"/>
      <c r="G926" s="928"/>
    </row>
    <row r="927" spans="1:7">
      <c r="A927" s="925"/>
      <c r="C927" s="927"/>
      <c r="E927" s="928"/>
      <c r="F927" s="928"/>
      <c r="G927" s="928"/>
    </row>
    <row r="928" spans="1:7">
      <c r="A928" s="925"/>
      <c r="C928" s="927"/>
      <c r="E928" s="928"/>
      <c r="F928" s="928"/>
      <c r="G928" s="928"/>
    </row>
    <row r="929" spans="1:7">
      <c r="A929" s="925"/>
      <c r="C929" s="927"/>
      <c r="E929" s="928"/>
      <c r="F929" s="928"/>
      <c r="G929" s="928"/>
    </row>
    <row r="930" spans="1:7">
      <c r="A930" s="925"/>
      <c r="C930" s="927"/>
      <c r="E930" s="928"/>
      <c r="F930" s="928"/>
      <c r="G930" s="928"/>
    </row>
    <row r="931" spans="1:7">
      <c r="A931" s="925"/>
      <c r="C931" s="927"/>
      <c r="E931" s="928"/>
      <c r="F931" s="928"/>
      <c r="G931" s="928"/>
    </row>
    <row r="932" spans="1:7">
      <c r="A932" s="925"/>
      <c r="C932" s="927"/>
      <c r="E932" s="928"/>
      <c r="F932" s="928"/>
      <c r="G932" s="928"/>
    </row>
    <row r="933" spans="1:7">
      <c r="A933" s="925"/>
      <c r="C933" s="927"/>
      <c r="E933" s="928"/>
      <c r="F933" s="928"/>
      <c r="G933" s="928"/>
    </row>
    <row r="934" spans="1:7">
      <c r="A934" s="925"/>
      <c r="C934" s="927"/>
      <c r="E934" s="928"/>
      <c r="F934" s="928"/>
      <c r="G934" s="928"/>
    </row>
    <row r="935" spans="1:7">
      <c r="A935" s="925"/>
      <c r="C935" s="927"/>
      <c r="E935" s="928"/>
      <c r="F935" s="928"/>
      <c r="G935" s="928"/>
    </row>
    <row r="936" spans="1:7">
      <c r="A936" s="925"/>
      <c r="C936" s="927"/>
      <c r="E936" s="928"/>
      <c r="F936" s="928"/>
      <c r="G936" s="928"/>
    </row>
    <row r="937" spans="1:7">
      <c r="A937" s="925"/>
      <c r="C937" s="927"/>
      <c r="E937" s="928"/>
      <c r="F937" s="928"/>
      <c r="G937" s="928"/>
    </row>
    <row r="938" spans="1:7">
      <c r="A938" s="925"/>
      <c r="C938" s="927"/>
      <c r="E938" s="928"/>
      <c r="F938" s="928"/>
      <c r="G938" s="928"/>
    </row>
    <row r="939" spans="1:7">
      <c r="A939" s="925"/>
      <c r="C939" s="927"/>
      <c r="E939" s="928"/>
      <c r="F939" s="928"/>
      <c r="G939" s="928"/>
    </row>
    <row r="940" spans="1:7">
      <c r="A940" s="925"/>
      <c r="C940" s="927"/>
      <c r="E940" s="928"/>
      <c r="F940" s="928"/>
      <c r="G940" s="928"/>
    </row>
    <row r="941" spans="1:7">
      <c r="A941" s="925"/>
      <c r="C941" s="927"/>
      <c r="E941" s="928"/>
      <c r="F941" s="928"/>
      <c r="G941" s="928"/>
    </row>
    <row r="942" spans="1:7">
      <c r="A942" s="925"/>
      <c r="C942" s="927"/>
      <c r="E942" s="928"/>
      <c r="F942" s="928"/>
      <c r="G942" s="928"/>
    </row>
    <row r="943" spans="1:7">
      <c r="A943" s="925"/>
      <c r="C943" s="927"/>
      <c r="E943" s="928"/>
      <c r="F943" s="928"/>
      <c r="G943" s="928"/>
    </row>
    <row r="944" spans="1:7">
      <c r="A944" s="925"/>
      <c r="C944" s="927"/>
      <c r="E944" s="928"/>
      <c r="F944" s="928"/>
      <c r="G944" s="928"/>
    </row>
    <row r="945" spans="1:7">
      <c r="A945" s="925"/>
      <c r="C945" s="927"/>
      <c r="E945" s="928"/>
      <c r="F945" s="928"/>
      <c r="G945" s="928"/>
    </row>
    <row r="946" spans="1:7">
      <c r="A946" s="925"/>
      <c r="C946" s="927"/>
      <c r="E946" s="928"/>
      <c r="F946" s="928"/>
      <c r="G946" s="928"/>
    </row>
    <row r="947" spans="1:7">
      <c r="A947" s="925"/>
      <c r="C947" s="927"/>
      <c r="E947" s="928"/>
      <c r="F947" s="928"/>
      <c r="G947" s="928"/>
    </row>
    <row r="948" spans="1:7">
      <c r="A948" s="925"/>
      <c r="C948" s="927"/>
      <c r="E948" s="928"/>
      <c r="F948" s="928"/>
      <c r="G948" s="928"/>
    </row>
    <row r="949" spans="1:7">
      <c r="A949" s="925"/>
      <c r="C949" s="927"/>
      <c r="E949" s="928"/>
      <c r="F949" s="928"/>
      <c r="G949" s="928"/>
    </row>
    <row r="950" spans="1:7">
      <c r="A950" s="925"/>
      <c r="C950" s="927"/>
      <c r="E950" s="928"/>
      <c r="F950" s="928"/>
      <c r="G950" s="928"/>
    </row>
    <row r="951" spans="1:7">
      <c r="A951" s="925"/>
      <c r="C951" s="927"/>
      <c r="E951" s="928"/>
      <c r="F951" s="928"/>
      <c r="G951" s="928"/>
    </row>
    <row r="952" spans="1:7">
      <c r="A952" s="925"/>
      <c r="C952" s="927"/>
      <c r="E952" s="928"/>
      <c r="F952" s="928"/>
      <c r="G952" s="928"/>
    </row>
    <row r="953" spans="1:7">
      <c r="A953" s="925"/>
      <c r="C953" s="927"/>
      <c r="E953" s="928"/>
      <c r="F953" s="928"/>
      <c r="G953" s="928"/>
    </row>
    <row r="954" spans="1:7">
      <c r="A954" s="925"/>
      <c r="C954" s="927"/>
      <c r="E954" s="928"/>
      <c r="F954" s="928"/>
      <c r="G954" s="928"/>
    </row>
    <row r="955" spans="1:7">
      <c r="A955" s="925"/>
      <c r="C955" s="927"/>
      <c r="E955" s="928"/>
      <c r="F955" s="928"/>
      <c r="G955" s="928"/>
    </row>
    <row r="956" spans="1:7">
      <c r="A956" s="925"/>
      <c r="C956" s="927"/>
      <c r="E956" s="928"/>
      <c r="F956" s="928"/>
      <c r="G956" s="928"/>
    </row>
    <row r="957" spans="1:7">
      <c r="A957" s="925"/>
      <c r="C957" s="927"/>
      <c r="E957" s="928"/>
      <c r="F957" s="928"/>
      <c r="G957" s="928"/>
    </row>
    <row r="958" spans="1:7">
      <c r="A958" s="925"/>
      <c r="C958" s="927"/>
      <c r="E958" s="928"/>
      <c r="F958" s="928"/>
      <c r="G958" s="928"/>
    </row>
    <row r="959" spans="1:7">
      <c r="A959" s="925"/>
      <c r="C959" s="927"/>
      <c r="E959" s="928"/>
      <c r="F959" s="928"/>
      <c r="G959" s="928"/>
    </row>
    <row r="960" spans="1:7">
      <c r="A960" s="925"/>
      <c r="C960" s="927"/>
      <c r="E960" s="928"/>
      <c r="F960" s="928"/>
      <c r="G960" s="928"/>
    </row>
    <row r="961" spans="1:7">
      <c r="A961" s="925"/>
      <c r="C961" s="927"/>
      <c r="E961" s="928"/>
      <c r="F961" s="928"/>
      <c r="G961" s="928"/>
    </row>
    <row r="962" spans="1:7">
      <c r="A962" s="925"/>
      <c r="C962" s="927"/>
      <c r="E962" s="928"/>
      <c r="F962" s="928"/>
      <c r="G962" s="928"/>
    </row>
    <row r="963" spans="1:7">
      <c r="A963" s="925"/>
      <c r="C963" s="927"/>
      <c r="E963" s="928"/>
      <c r="F963" s="928"/>
      <c r="G963" s="928"/>
    </row>
    <row r="964" spans="1:7">
      <c r="A964" s="925"/>
      <c r="C964" s="927"/>
      <c r="E964" s="928"/>
      <c r="F964" s="928"/>
      <c r="G964" s="928"/>
    </row>
    <row r="965" spans="1:7">
      <c r="A965" s="925"/>
      <c r="C965" s="927"/>
      <c r="E965" s="928"/>
      <c r="F965" s="928"/>
      <c r="G965" s="928"/>
    </row>
    <row r="966" spans="1:7">
      <c r="A966" s="925"/>
      <c r="C966" s="927"/>
      <c r="E966" s="928"/>
      <c r="F966" s="928"/>
      <c r="G966" s="928"/>
    </row>
    <row r="967" spans="1:7">
      <c r="A967" s="925"/>
      <c r="C967" s="927"/>
      <c r="E967" s="928"/>
      <c r="F967" s="928"/>
      <c r="G967" s="928"/>
    </row>
    <row r="968" spans="1:7">
      <c r="A968" s="925"/>
      <c r="C968" s="927"/>
      <c r="E968" s="928"/>
      <c r="F968" s="928"/>
      <c r="G968" s="928"/>
    </row>
    <row r="969" spans="1:7">
      <c r="A969" s="925"/>
      <c r="C969" s="927"/>
      <c r="E969" s="928"/>
      <c r="F969" s="928"/>
      <c r="G969" s="928"/>
    </row>
    <row r="970" spans="1:7">
      <c r="A970" s="925"/>
      <c r="C970" s="927"/>
      <c r="E970" s="928"/>
      <c r="F970" s="928"/>
      <c r="G970" s="928"/>
    </row>
    <row r="971" spans="1:7">
      <c r="A971" s="925"/>
      <c r="C971" s="927"/>
      <c r="E971" s="928"/>
      <c r="F971" s="928"/>
      <c r="G971" s="928"/>
    </row>
    <row r="972" spans="1:7">
      <c r="A972" s="925"/>
      <c r="C972" s="927"/>
      <c r="E972" s="928"/>
      <c r="F972" s="928"/>
      <c r="G972" s="928"/>
    </row>
    <row r="973" spans="1:7">
      <c r="A973" s="925"/>
      <c r="C973" s="927"/>
      <c r="E973" s="928"/>
      <c r="F973" s="928"/>
      <c r="G973" s="928"/>
    </row>
    <row r="974" spans="1:7">
      <c r="A974" s="925"/>
      <c r="C974" s="927"/>
      <c r="E974" s="928"/>
      <c r="F974" s="928"/>
      <c r="G974" s="928"/>
    </row>
    <row r="975" spans="1:7">
      <c r="A975" s="925"/>
      <c r="C975" s="927"/>
      <c r="E975" s="928"/>
      <c r="F975" s="928"/>
      <c r="G975" s="928"/>
    </row>
    <row r="976" spans="1:7">
      <c r="A976" s="925"/>
      <c r="C976" s="927"/>
      <c r="E976" s="928"/>
      <c r="F976" s="928"/>
      <c r="G976" s="928"/>
    </row>
    <row r="977" spans="1:7">
      <c r="A977" s="925"/>
      <c r="C977" s="927"/>
      <c r="E977" s="928"/>
      <c r="F977" s="928"/>
      <c r="G977" s="928"/>
    </row>
    <row r="978" spans="1:7">
      <c r="A978" s="925"/>
      <c r="C978" s="927"/>
      <c r="E978" s="928"/>
      <c r="F978" s="928"/>
      <c r="G978" s="928"/>
    </row>
    <row r="979" spans="1:7">
      <c r="A979" s="925"/>
      <c r="C979" s="927"/>
      <c r="E979" s="928"/>
      <c r="F979" s="928"/>
      <c r="G979" s="928"/>
    </row>
    <row r="980" spans="1:7">
      <c r="A980" s="925"/>
      <c r="C980" s="927"/>
      <c r="E980" s="928"/>
      <c r="F980" s="928"/>
      <c r="G980" s="928"/>
    </row>
    <row r="981" spans="1:7">
      <c r="A981" s="925"/>
      <c r="C981" s="927"/>
      <c r="E981" s="928"/>
      <c r="F981" s="928"/>
      <c r="G981" s="928"/>
    </row>
    <row r="982" spans="1:7">
      <c r="A982" s="925"/>
      <c r="C982" s="927"/>
      <c r="E982" s="928"/>
      <c r="F982" s="928"/>
      <c r="G982" s="928"/>
    </row>
    <row r="983" spans="1:7">
      <c r="A983" s="925"/>
      <c r="C983" s="927"/>
      <c r="E983" s="928"/>
      <c r="F983" s="928"/>
      <c r="G983" s="928"/>
    </row>
    <row r="984" spans="1:7">
      <c r="A984" s="925"/>
      <c r="C984" s="927"/>
      <c r="E984" s="928"/>
      <c r="F984" s="928"/>
      <c r="G984" s="928"/>
    </row>
    <row r="985" spans="1:7">
      <c r="A985" s="925"/>
      <c r="C985" s="927"/>
      <c r="E985" s="928"/>
      <c r="F985" s="928"/>
      <c r="G985" s="928"/>
    </row>
    <row r="986" spans="1:7">
      <c r="A986" s="925"/>
      <c r="C986" s="927"/>
      <c r="E986" s="928"/>
      <c r="F986" s="928"/>
      <c r="G986" s="928"/>
    </row>
    <row r="987" spans="1:7">
      <c r="A987" s="925"/>
      <c r="C987" s="927"/>
      <c r="E987" s="928"/>
      <c r="F987" s="928"/>
      <c r="G987" s="928"/>
    </row>
    <row r="988" spans="1:7">
      <c r="A988" s="925"/>
      <c r="C988" s="927"/>
      <c r="E988" s="928"/>
      <c r="F988" s="928"/>
      <c r="G988" s="928"/>
    </row>
    <row r="989" spans="1:7">
      <c r="A989" s="925"/>
      <c r="C989" s="927"/>
      <c r="E989" s="928"/>
      <c r="F989" s="928"/>
      <c r="G989" s="928"/>
    </row>
    <row r="990" spans="1:7">
      <c r="A990" s="925"/>
      <c r="C990" s="927"/>
      <c r="E990" s="928"/>
      <c r="F990" s="928"/>
      <c r="G990" s="928"/>
    </row>
    <row r="991" spans="1:7">
      <c r="A991" s="925"/>
      <c r="C991" s="927"/>
      <c r="E991" s="928"/>
      <c r="F991" s="928"/>
      <c r="G991" s="928"/>
    </row>
    <row r="992" spans="1:7">
      <c r="A992" s="925"/>
      <c r="C992" s="927"/>
      <c r="E992" s="928"/>
      <c r="F992" s="928"/>
      <c r="G992" s="928"/>
    </row>
    <row r="993" spans="1:7">
      <c r="A993" s="925"/>
      <c r="C993" s="927"/>
      <c r="E993" s="928"/>
      <c r="F993" s="928"/>
      <c r="G993" s="928"/>
    </row>
    <row r="994" spans="1:7">
      <c r="A994" s="925"/>
      <c r="C994" s="927"/>
      <c r="E994" s="928"/>
      <c r="F994" s="928"/>
      <c r="G994" s="928"/>
    </row>
    <row r="995" spans="1:7">
      <c r="A995" s="925"/>
      <c r="C995" s="927"/>
      <c r="E995" s="928"/>
      <c r="F995" s="928"/>
      <c r="G995" s="928"/>
    </row>
    <row r="996" spans="1:7">
      <c r="A996" s="925"/>
      <c r="C996" s="927"/>
      <c r="E996" s="928"/>
      <c r="F996" s="928"/>
      <c r="G996" s="928"/>
    </row>
    <row r="997" spans="1:7">
      <c r="A997" s="925"/>
      <c r="C997" s="927"/>
      <c r="E997" s="928"/>
      <c r="F997" s="928"/>
      <c r="G997" s="928"/>
    </row>
    <row r="998" spans="1:7">
      <c r="A998" s="925"/>
      <c r="C998" s="927"/>
      <c r="E998" s="928"/>
      <c r="F998" s="928"/>
      <c r="G998" s="928"/>
    </row>
    <row r="999" spans="1:7">
      <c r="A999" s="925"/>
      <c r="C999" s="927"/>
      <c r="E999" s="928"/>
      <c r="F999" s="928"/>
      <c r="G999" s="928"/>
    </row>
    <row r="1000" spans="1:7">
      <c r="A1000" s="925"/>
      <c r="C1000" s="927"/>
      <c r="E1000" s="928"/>
      <c r="F1000" s="928"/>
      <c r="G1000" s="928"/>
    </row>
    <row r="1001" spans="1:7">
      <c r="A1001" s="925"/>
      <c r="C1001" s="927"/>
      <c r="E1001" s="928"/>
      <c r="F1001" s="928"/>
      <c r="G1001" s="928"/>
    </row>
    <row r="1002" spans="1:7">
      <c r="A1002" s="925"/>
      <c r="C1002" s="927"/>
      <c r="E1002" s="928"/>
      <c r="F1002" s="928"/>
      <c r="G1002" s="928"/>
    </row>
    <row r="1003" spans="1:7">
      <c r="A1003" s="925"/>
      <c r="C1003" s="927"/>
      <c r="E1003" s="928"/>
      <c r="F1003" s="928"/>
      <c r="G1003" s="928"/>
    </row>
    <row r="1004" spans="1:7">
      <c r="A1004" s="925"/>
      <c r="C1004" s="927"/>
      <c r="E1004" s="928"/>
      <c r="F1004" s="928"/>
      <c r="G1004" s="928"/>
    </row>
    <row r="1005" spans="1:7">
      <c r="A1005" s="925"/>
      <c r="C1005" s="927"/>
      <c r="E1005" s="928"/>
      <c r="F1005" s="928"/>
      <c r="G1005" s="928"/>
    </row>
    <row r="1006" spans="1:7">
      <c r="A1006" s="925"/>
      <c r="C1006" s="927"/>
      <c r="E1006" s="928"/>
      <c r="F1006" s="928"/>
      <c r="G1006" s="928"/>
    </row>
    <row r="1007" spans="1:7">
      <c r="A1007" s="925"/>
      <c r="C1007" s="927"/>
      <c r="E1007" s="928"/>
      <c r="F1007" s="928"/>
      <c r="G1007" s="928"/>
    </row>
    <row r="1008" spans="1:7">
      <c r="A1008" s="925"/>
      <c r="C1008" s="927"/>
      <c r="E1008" s="928"/>
      <c r="F1008" s="928"/>
      <c r="G1008" s="928"/>
    </row>
    <row r="1009" spans="1:7">
      <c r="A1009" s="925"/>
      <c r="C1009" s="927"/>
      <c r="E1009" s="928"/>
      <c r="F1009" s="928"/>
      <c r="G1009" s="928"/>
    </row>
    <row r="1010" spans="1:7">
      <c r="A1010" s="925"/>
      <c r="C1010" s="927"/>
      <c r="E1010" s="928"/>
      <c r="F1010" s="928"/>
      <c r="G1010" s="928"/>
    </row>
    <row r="1011" spans="1:7">
      <c r="A1011" s="925"/>
      <c r="C1011" s="927"/>
      <c r="E1011" s="928"/>
      <c r="F1011" s="928"/>
      <c r="G1011" s="928"/>
    </row>
    <row r="1012" spans="1:7">
      <c r="A1012" s="925"/>
      <c r="C1012" s="927"/>
      <c r="E1012" s="928"/>
      <c r="F1012" s="928"/>
      <c r="G1012" s="928"/>
    </row>
    <row r="1013" spans="1:7">
      <c r="A1013" s="925"/>
      <c r="C1013" s="927"/>
      <c r="E1013" s="928"/>
      <c r="F1013" s="928"/>
      <c r="G1013" s="928"/>
    </row>
    <row r="1014" spans="1:7">
      <c r="A1014" s="925"/>
      <c r="C1014" s="927"/>
      <c r="E1014" s="928"/>
      <c r="F1014" s="928"/>
      <c r="G1014" s="928"/>
    </row>
    <row r="1015" spans="1:7">
      <c r="A1015" s="925"/>
      <c r="C1015" s="927"/>
      <c r="E1015" s="928"/>
      <c r="F1015" s="928"/>
      <c r="G1015" s="928"/>
    </row>
    <row r="1016" spans="1:7">
      <c r="A1016" s="925"/>
      <c r="C1016" s="927"/>
      <c r="E1016" s="928"/>
      <c r="F1016" s="928"/>
      <c r="G1016" s="928"/>
    </row>
    <row r="1017" spans="1:7">
      <c r="A1017" s="925"/>
      <c r="C1017" s="927"/>
      <c r="E1017" s="928"/>
      <c r="F1017" s="928"/>
      <c r="G1017" s="928"/>
    </row>
    <row r="1018" spans="1:7">
      <c r="A1018" s="925"/>
      <c r="C1018" s="927"/>
      <c r="E1018" s="928"/>
      <c r="F1018" s="928"/>
      <c r="G1018" s="928"/>
    </row>
    <row r="1019" spans="1:7">
      <c r="A1019" s="925"/>
      <c r="C1019" s="927"/>
      <c r="E1019" s="928"/>
      <c r="F1019" s="928"/>
      <c r="G1019" s="928"/>
    </row>
    <row r="1020" spans="1:7">
      <c r="A1020" s="925"/>
      <c r="C1020" s="927"/>
      <c r="E1020" s="928"/>
      <c r="F1020" s="928"/>
      <c r="G1020" s="928"/>
    </row>
    <row r="1021" spans="1:7">
      <c r="A1021" s="925"/>
      <c r="C1021" s="927"/>
      <c r="E1021" s="928"/>
      <c r="F1021" s="928"/>
      <c r="G1021" s="928"/>
    </row>
    <row r="1022" spans="1:7">
      <c r="A1022" s="925"/>
      <c r="C1022" s="927"/>
      <c r="E1022" s="928"/>
      <c r="F1022" s="928"/>
      <c r="G1022" s="928"/>
    </row>
    <row r="1023" spans="1:7">
      <c r="A1023" s="925"/>
      <c r="C1023" s="927"/>
      <c r="E1023" s="928"/>
      <c r="F1023" s="928"/>
      <c r="G1023" s="928"/>
    </row>
    <row r="1024" spans="1:7">
      <c r="A1024" s="925"/>
      <c r="C1024" s="927"/>
      <c r="E1024" s="928"/>
      <c r="F1024" s="928"/>
      <c r="G1024" s="928"/>
    </row>
    <row r="1025" spans="1:7">
      <c r="A1025" s="925"/>
      <c r="C1025" s="927"/>
      <c r="E1025" s="928"/>
      <c r="F1025" s="928"/>
      <c r="G1025" s="928"/>
    </row>
    <row r="1026" spans="1:7">
      <c r="A1026" s="925"/>
      <c r="C1026" s="927"/>
      <c r="E1026" s="928"/>
      <c r="F1026" s="928"/>
      <c r="G1026" s="928"/>
    </row>
    <row r="1027" spans="1:7">
      <c r="A1027" s="925"/>
      <c r="C1027" s="927"/>
      <c r="E1027" s="928"/>
      <c r="F1027" s="928"/>
      <c r="G1027" s="928"/>
    </row>
    <row r="1028" spans="1:7">
      <c r="A1028" s="925"/>
      <c r="C1028" s="927"/>
      <c r="E1028" s="928"/>
      <c r="F1028" s="928"/>
      <c r="G1028" s="928"/>
    </row>
    <row r="1029" spans="1:7">
      <c r="A1029" s="925"/>
      <c r="C1029" s="927"/>
      <c r="E1029" s="928"/>
      <c r="F1029" s="928"/>
      <c r="G1029" s="928"/>
    </row>
    <row r="1030" spans="1:7">
      <c r="A1030" s="925"/>
      <c r="C1030" s="927"/>
      <c r="E1030" s="928"/>
      <c r="F1030" s="928"/>
      <c r="G1030" s="928"/>
    </row>
    <row r="1031" spans="1:7">
      <c r="A1031" s="925"/>
      <c r="C1031" s="927"/>
      <c r="E1031" s="928"/>
      <c r="F1031" s="928"/>
      <c r="G1031" s="928"/>
    </row>
    <row r="1032" spans="1:7">
      <c r="A1032" s="925"/>
      <c r="C1032" s="927"/>
      <c r="E1032" s="928"/>
      <c r="F1032" s="928"/>
      <c r="G1032" s="928"/>
    </row>
    <row r="1033" spans="1:7">
      <c r="A1033" s="925"/>
      <c r="C1033" s="927"/>
      <c r="E1033" s="928"/>
      <c r="F1033" s="928"/>
      <c r="G1033" s="928"/>
    </row>
    <row r="1034" spans="1:7">
      <c r="A1034" s="925"/>
      <c r="C1034" s="927"/>
      <c r="E1034" s="928"/>
      <c r="F1034" s="928"/>
      <c r="G1034" s="928"/>
    </row>
    <row r="1035" spans="1:7">
      <c r="A1035" s="925"/>
      <c r="C1035" s="927"/>
      <c r="E1035" s="928"/>
      <c r="F1035" s="928"/>
      <c r="G1035" s="928"/>
    </row>
    <row r="1036" spans="1:7">
      <c r="A1036" s="925"/>
      <c r="C1036" s="927"/>
      <c r="E1036" s="928"/>
      <c r="F1036" s="928"/>
      <c r="G1036" s="928"/>
    </row>
    <row r="1037" spans="1:7">
      <c r="A1037" s="925"/>
      <c r="C1037" s="927"/>
      <c r="E1037" s="928"/>
      <c r="F1037" s="928"/>
      <c r="G1037" s="928"/>
    </row>
    <row r="1038" spans="1:7">
      <c r="A1038" s="925"/>
      <c r="C1038" s="927"/>
      <c r="E1038" s="928"/>
      <c r="F1038" s="928"/>
      <c r="G1038" s="928"/>
    </row>
    <row r="1039" spans="1:7">
      <c r="A1039" s="925"/>
      <c r="C1039" s="927"/>
      <c r="E1039" s="928"/>
      <c r="F1039" s="928"/>
      <c r="G1039" s="928"/>
    </row>
    <row r="1040" spans="1:7">
      <c r="A1040" s="925"/>
      <c r="C1040" s="927"/>
      <c r="E1040" s="928"/>
      <c r="F1040" s="928"/>
      <c r="G1040" s="928"/>
    </row>
    <row r="1041" spans="1:7">
      <c r="A1041" s="925"/>
      <c r="C1041" s="927"/>
      <c r="E1041" s="928"/>
      <c r="F1041" s="928"/>
      <c r="G1041" s="928"/>
    </row>
    <row r="1042" spans="1:7">
      <c r="A1042" s="925"/>
      <c r="C1042" s="927"/>
      <c r="E1042" s="928"/>
      <c r="F1042" s="928"/>
      <c r="G1042" s="928"/>
    </row>
    <row r="1043" spans="1:7">
      <c r="A1043" s="925"/>
      <c r="C1043" s="927"/>
      <c r="E1043" s="928"/>
      <c r="F1043" s="928"/>
      <c r="G1043" s="928"/>
    </row>
    <row r="1044" spans="1:7">
      <c r="A1044" s="925"/>
      <c r="C1044" s="927"/>
      <c r="E1044" s="928"/>
      <c r="F1044" s="928"/>
      <c r="G1044" s="928"/>
    </row>
    <row r="1045" spans="1:7">
      <c r="A1045" s="925"/>
      <c r="C1045" s="927"/>
      <c r="E1045" s="928"/>
      <c r="F1045" s="928"/>
      <c r="G1045" s="928"/>
    </row>
    <row r="1046" spans="1:7">
      <c r="A1046" s="925"/>
      <c r="C1046" s="927"/>
      <c r="E1046" s="928"/>
      <c r="F1046" s="928"/>
      <c r="G1046" s="928"/>
    </row>
    <row r="1047" spans="1:7">
      <c r="A1047" s="925"/>
      <c r="C1047" s="927"/>
      <c r="E1047" s="928"/>
      <c r="F1047" s="928"/>
      <c r="G1047" s="928"/>
    </row>
    <row r="1048" spans="1:7">
      <c r="A1048" s="925"/>
      <c r="C1048" s="927"/>
      <c r="E1048" s="928"/>
      <c r="F1048" s="928"/>
      <c r="G1048" s="928"/>
    </row>
    <row r="1049" spans="1:7">
      <c r="A1049" s="925"/>
      <c r="C1049" s="927"/>
      <c r="E1049" s="928"/>
      <c r="F1049" s="928"/>
      <c r="G1049" s="928"/>
    </row>
    <row r="1050" spans="1:7">
      <c r="A1050" s="925"/>
      <c r="C1050" s="927"/>
      <c r="E1050" s="928"/>
      <c r="F1050" s="928"/>
      <c r="G1050" s="928"/>
    </row>
    <row r="1051" spans="1:7">
      <c r="A1051" s="925"/>
      <c r="C1051" s="927"/>
      <c r="E1051" s="928"/>
      <c r="F1051" s="928"/>
      <c r="G1051" s="928"/>
    </row>
    <row r="1052" spans="1:7">
      <c r="A1052" s="925"/>
      <c r="C1052" s="927"/>
      <c r="E1052" s="928"/>
      <c r="F1052" s="928"/>
      <c r="G1052" s="928"/>
    </row>
    <row r="1053" spans="1:7">
      <c r="A1053" s="925"/>
      <c r="C1053" s="927"/>
      <c r="E1053" s="928"/>
      <c r="F1053" s="928"/>
      <c r="G1053" s="928"/>
    </row>
    <row r="1054" spans="1:7">
      <c r="A1054" s="925"/>
      <c r="C1054" s="927"/>
      <c r="E1054" s="928"/>
      <c r="F1054" s="928"/>
      <c r="G1054" s="928"/>
    </row>
    <row r="1055" spans="1:7">
      <c r="A1055" s="925"/>
      <c r="C1055" s="927"/>
      <c r="E1055" s="928"/>
      <c r="F1055" s="928"/>
      <c r="G1055" s="928"/>
    </row>
    <row r="1056" spans="1:7">
      <c r="A1056" s="925"/>
      <c r="C1056" s="927"/>
      <c r="E1056" s="928"/>
      <c r="F1056" s="928"/>
      <c r="G1056" s="928"/>
    </row>
    <row r="1057" spans="1:7">
      <c r="A1057" s="925"/>
      <c r="C1057" s="927"/>
      <c r="E1057" s="928"/>
      <c r="F1057" s="928"/>
      <c r="G1057" s="928"/>
    </row>
    <row r="1058" spans="1:7">
      <c r="A1058" s="925"/>
      <c r="C1058" s="927"/>
      <c r="E1058" s="928"/>
      <c r="F1058" s="928"/>
      <c r="G1058" s="928"/>
    </row>
    <row r="1059" spans="1:7">
      <c r="A1059" s="925"/>
      <c r="C1059" s="927"/>
      <c r="E1059" s="928"/>
      <c r="F1059" s="928"/>
      <c r="G1059" s="928"/>
    </row>
    <row r="1060" spans="1:7">
      <c r="A1060" s="925"/>
      <c r="C1060" s="927"/>
      <c r="E1060" s="928"/>
      <c r="F1060" s="928"/>
      <c r="G1060" s="928"/>
    </row>
    <row r="1061" spans="1:7">
      <c r="A1061" s="925"/>
      <c r="C1061" s="927"/>
      <c r="E1061" s="928"/>
      <c r="F1061" s="928"/>
      <c r="G1061" s="928"/>
    </row>
    <row r="1062" spans="1:7">
      <c r="A1062" s="925"/>
      <c r="C1062" s="927"/>
      <c r="E1062" s="928"/>
      <c r="F1062" s="928"/>
      <c r="G1062" s="928"/>
    </row>
    <row r="1063" spans="1:7">
      <c r="A1063" s="925"/>
      <c r="C1063" s="927"/>
      <c r="E1063" s="928"/>
      <c r="F1063" s="928"/>
      <c r="G1063" s="928"/>
    </row>
    <row r="1064" spans="1:7">
      <c r="A1064" s="925"/>
      <c r="C1064" s="927"/>
      <c r="E1064" s="928"/>
      <c r="F1064" s="928"/>
      <c r="G1064" s="928"/>
    </row>
    <row r="1065" spans="1:7">
      <c r="A1065" s="925"/>
      <c r="C1065" s="927"/>
      <c r="E1065" s="928"/>
      <c r="F1065" s="928"/>
      <c r="G1065" s="928"/>
    </row>
    <row r="1066" spans="1:7">
      <c r="A1066" s="925"/>
      <c r="C1066" s="927"/>
      <c r="E1066" s="928"/>
      <c r="F1066" s="928"/>
      <c r="G1066" s="928"/>
    </row>
    <row r="1067" spans="1:7">
      <c r="A1067" s="925"/>
      <c r="C1067" s="927"/>
      <c r="E1067" s="928"/>
      <c r="F1067" s="928"/>
      <c r="G1067" s="928"/>
    </row>
    <row r="1068" spans="1:7">
      <c r="A1068" s="925"/>
      <c r="C1068" s="927"/>
      <c r="E1068" s="928"/>
      <c r="F1068" s="928"/>
      <c r="G1068" s="928"/>
    </row>
    <row r="1069" spans="1:7">
      <c r="A1069" s="925"/>
      <c r="C1069" s="927"/>
      <c r="E1069" s="928"/>
      <c r="F1069" s="928"/>
      <c r="G1069" s="928"/>
    </row>
    <row r="1070" spans="1:7">
      <c r="A1070" s="925"/>
      <c r="C1070" s="927"/>
      <c r="E1070" s="928"/>
      <c r="F1070" s="928"/>
      <c r="G1070" s="928"/>
    </row>
    <row r="1071" spans="1:7">
      <c r="A1071" s="925"/>
      <c r="C1071" s="927"/>
      <c r="E1071" s="928"/>
      <c r="F1071" s="928"/>
      <c r="G1071" s="928"/>
    </row>
    <row r="1072" spans="1:7">
      <c r="A1072" s="925"/>
      <c r="C1072" s="927"/>
      <c r="E1072" s="928"/>
      <c r="F1072" s="928"/>
      <c r="G1072" s="928"/>
    </row>
    <row r="1073" spans="1:7">
      <c r="A1073" s="925"/>
      <c r="C1073" s="927"/>
      <c r="E1073" s="928"/>
      <c r="F1073" s="928"/>
      <c r="G1073" s="928"/>
    </row>
    <row r="1074" spans="1:7">
      <c r="A1074" s="925"/>
      <c r="C1074" s="927"/>
      <c r="E1074" s="928"/>
      <c r="F1074" s="928"/>
      <c r="G1074" s="928"/>
    </row>
    <row r="1075" spans="1:7">
      <c r="A1075" s="925"/>
      <c r="C1075" s="927"/>
      <c r="E1075" s="928"/>
      <c r="F1075" s="928"/>
      <c r="G1075" s="928"/>
    </row>
    <row r="1076" spans="1:7">
      <c r="A1076" s="925"/>
      <c r="C1076" s="927"/>
      <c r="E1076" s="928"/>
      <c r="F1076" s="928"/>
      <c r="G1076" s="928"/>
    </row>
    <row r="1077" spans="1:7">
      <c r="A1077" s="925"/>
      <c r="C1077" s="927"/>
      <c r="E1077" s="928"/>
      <c r="F1077" s="928"/>
      <c r="G1077" s="928"/>
    </row>
    <row r="1078" spans="1:7">
      <c r="A1078" s="925"/>
      <c r="C1078" s="927"/>
      <c r="E1078" s="928"/>
      <c r="F1078" s="928"/>
      <c r="G1078" s="928"/>
    </row>
    <row r="1079" spans="1:7">
      <c r="A1079" s="925"/>
      <c r="C1079" s="927"/>
      <c r="E1079" s="928"/>
      <c r="F1079" s="928"/>
      <c r="G1079" s="928"/>
    </row>
    <row r="1080" spans="1:7">
      <c r="A1080" s="925"/>
      <c r="C1080" s="927"/>
      <c r="E1080" s="928"/>
      <c r="F1080" s="928"/>
      <c r="G1080" s="928"/>
    </row>
    <row r="1081" spans="1:7">
      <c r="A1081" s="925"/>
      <c r="C1081" s="927"/>
      <c r="E1081" s="928"/>
      <c r="F1081" s="928"/>
      <c r="G1081" s="928"/>
    </row>
    <row r="1082" spans="1:7">
      <c r="A1082" s="925"/>
      <c r="C1082" s="927"/>
      <c r="E1082" s="928"/>
      <c r="F1082" s="928"/>
      <c r="G1082" s="928"/>
    </row>
    <row r="1083" spans="1:7">
      <c r="A1083" s="925"/>
      <c r="C1083" s="927"/>
      <c r="E1083" s="928"/>
      <c r="F1083" s="928"/>
      <c r="G1083" s="928"/>
    </row>
    <row r="1084" spans="1:7">
      <c r="A1084" s="925"/>
      <c r="C1084" s="927"/>
      <c r="E1084" s="928"/>
      <c r="F1084" s="928"/>
      <c r="G1084" s="928"/>
    </row>
    <row r="1085" spans="1:7">
      <c r="A1085" s="925"/>
      <c r="C1085" s="927"/>
      <c r="E1085" s="928"/>
      <c r="F1085" s="928"/>
      <c r="G1085" s="928"/>
    </row>
    <row r="1086" spans="1:7">
      <c r="A1086" s="925"/>
      <c r="C1086" s="927"/>
      <c r="E1086" s="928"/>
      <c r="F1086" s="928"/>
      <c r="G1086" s="928"/>
    </row>
    <row r="1087" spans="1:7">
      <c r="A1087" s="925"/>
      <c r="C1087" s="927"/>
      <c r="E1087" s="928"/>
      <c r="F1087" s="928"/>
      <c r="G1087" s="928"/>
    </row>
    <row r="1088" spans="1:7">
      <c r="A1088" s="925"/>
      <c r="C1088" s="927"/>
      <c r="E1088" s="928"/>
      <c r="F1088" s="928"/>
      <c r="G1088" s="928"/>
    </row>
    <row r="1089" spans="1:7">
      <c r="A1089" s="925"/>
      <c r="C1089" s="927"/>
      <c r="E1089" s="928"/>
      <c r="F1089" s="928"/>
      <c r="G1089" s="928"/>
    </row>
    <row r="1090" spans="1:7">
      <c r="A1090" s="925"/>
      <c r="C1090" s="927"/>
      <c r="E1090" s="928"/>
      <c r="F1090" s="928"/>
      <c r="G1090" s="928"/>
    </row>
    <row r="1091" spans="1:7">
      <c r="A1091" s="925"/>
      <c r="C1091" s="927"/>
      <c r="E1091" s="928"/>
      <c r="F1091" s="928"/>
      <c r="G1091" s="928"/>
    </row>
    <row r="1092" spans="1:7">
      <c r="A1092" s="925"/>
      <c r="C1092" s="927"/>
      <c r="E1092" s="928"/>
      <c r="F1092" s="928"/>
      <c r="G1092" s="928"/>
    </row>
    <row r="1093" spans="1:7">
      <c r="A1093" s="925"/>
      <c r="C1093" s="927"/>
      <c r="E1093" s="928"/>
      <c r="F1093" s="928"/>
      <c r="G1093" s="928"/>
    </row>
    <row r="1094" spans="1:7">
      <c r="A1094" s="925"/>
      <c r="C1094" s="927"/>
      <c r="E1094" s="928"/>
      <c r="F1094" s="928"/>
      <c r="G1094" s="928"/>
    </row>
    <row r="1095" spans="1:7">
      <c r="A1095" s="925"/>
      <c r="C1095" s="927"/>
      <c r="E1095" s="928"/>
      <c r="F1095" s="928"/>
      <c r="G1095" s="928"/>
    </row>
    <row r="1096" spans="1:7">
      <c r="A1096" s="925"/>
      <c r="C1096" s="927"/>
      <c r="E1096" s="928"/>
      <c r="F1096" s="928"/>
      <c r="G1096" s="928"/>
    </row>
    <row r="1097" spans="1:7">
      <c r="A1097" s="925"/>
      <c r="C1097" s="927"/>
      <c r="E1097" s="928"/>
      <c r="F1097" s="928"/>
      <c r="G1097" s="928"/>
    </row>
    <row r="1098" spans="1:7">
      <c r="A1098" s="925"/>
      <c r="C1098" s="927"/>
      <c r="E1098" s="928"/>
      <c r="F1098" s="928"/>
      <c r="G1098" s="928"/>
    </row>
    <row r="1099" spans="1:7">
      <c r="A1099" s="925"/>
      <c r="C1099" s="927"/>
      <c r="E1099" s="928"/>
      <c r="F1099" s="928"/>
      <c r="G1099" s="928"/>
    </row>
    <row r="1100" spans="1:7">
      <c r="A1100" s="925"/>
      <c r="C1100" s="927"/>
      <c r="E1100" s="928"/>
      <c r="F1100" s="928"/>
      <c r="G1100" s="928"/>
    </row>
    <row r="1101" spans="1:7">
      <c r="A1101" s="925"/>
      <c r="C1101" s="927"/>
      <c r="E1101" s="928"/>
      <c r="F1101" s="928"/>
      <c r="G1101" s="928"/>
    </row>
    <row r="1102" spans="1:7">
      <c r="A1102" s="925"/>
      <c r="C1102" s="927"/>
      <c r="E1102" s="928"/>
      <c r="F1102" s="928"/>
      <c r="G1102" s="928"/>
    </row>
    <row r="1103" spans="1:7">
      <c r="A1103" s="925"/>
      <c r="C1103" s="927"/>
      <c r="E1103" s="928"/>
      <c r="F1103" s="928"/>
      <c r="G1103" s="928"/>
    </row>
    <row r="1104" spans="1:7">
      <c r="A1104" s="925"/>
      <c r="C1104" s="927"/>
      <c r="E1104" s="928"/>
      <c r="F1104" s="928"/>
      <c r="G1104" s="928"/>
    </row>
    <row r="1105" spans="1:7">
      <c r="A1105" s="925"/>
      <c r="C1105" s="927"/>
      <c r="E1105" s="928"/>
      <c r="F1105" s="928"/>
      <c r="G1105" s="928"/>
    </row>
    <row r="1106" spans="1:7">
      <c r="A1106" s="925"/>
      <c r="C1106" s="927"/>
      <c r="E1106" s="928"/>
      <c r="F1106" s="928"/>
      <c r="G1106" s="928"/>
    </row>
    <row r="1107" spans="1:7">
      <c r="A1107" s="925"/>
      <c r="C1107" s="927"/>
      <c r="E1107" s="928"/>
      <c r="F1107" s="928"/>
      <c r="G1107" s="928"/>
    </row>
    <row r="1108" spans="1:7">
      <c r="A1108" s="925"/>
      <c r="C1108" s="927"/>
      <c r="E1108" s="928"/>
      <c r="F1108" s="928"/>
      <c r="G1108" s="928"/>
    </row>
    <row r="1109" spans="1:7">
      <c r="A1109" s="925"/>
      <c r="C1109" s="927"/>
      <c r="E1109" s="928"/>
      <c r="F1109" s="928"/>
      <c r="G1109" s="928"/>
    </row>
    <row r="1110" spans="1:7">
      <c r="A1110" s="925"/>
      <c r="C1110" s="927"/>
      <c r="E1110" s="928"/>
      <c r="F1110" s="928"/>
      <c r="G1110" s="928"/>
    </row>
    <row r="1111" spans="1:7">
      <c r="A1111" s="925"/>
      <c r="C1111" s="927"/>
      <c r="E1111" s="928"/>
      <c r="F1111" s="928"/>
      <c r="G1111" s="928"/>
    </row>
    <row r="1112" spans="1:7">
      <c r="A1112" s="925"/>
      <c r="C1112" s="927"/>
      <c r="E1112" s="928"/>
      <c r="F1112" s="928"/>
      <c r="G1112" s="928"/>
    </row>
    <row r="1113" spans="1:7">
      <c r="A1113" s="925"/>
      <c r="C1113" s="927"/>
      <c r="E1113" s="928"/>
      <c r="F1113" s="928"/>
      <c r="G1113" s="928"/>
    </row>
    <row r="1114" spans="1:7">
      <c r="A1114" s="925"/>
      <c r="C1114" s="927"/>
      <c r="E1114" s="928"/>
      <c r="F1114" s="928"/>
      <c r="G1114" s="928"/>
    </row>
    <row r="1115" spans="1:7">
      <c r="A1115" s="925"/>
      <c r="C1115" s="927"/>
      <c r="E1115" s="928"/>
      <c r="F1115" s="928"/>
      <c r="G1115" s="928"/>
    </row>
    <row r="1116" spans="1:7">
      <c r="A1116" s="925"/>
      <c r="C1116" s="927"/>
      <c r="E1116" s="928"/>
      <c r="F1116" s="928"/>
      <c r="G1116" s="928"/>
    </row>
    <row r="1117" spans="1:7">
      <c r="A1117" s="925"/>
      <c r="C1117" s="927"/>
      <c r="E1117" s="928"/>
      <c r="F1117" s="928"/>
      <c r="G1117" s="928"/>
    </row>
    <row r="1118" spans="1:7">
      <c r="A1118" s="925"/>
      <c r="C1118" s="927"/>
      <c r="E1118" s="928"/>
      <c r="F1118" s="928"/>
      <c r="G1118" s="928"/>
    </row>
    <row r="1119" spans="1:7">
      <c r="A1119" s="925"/>
      <c r="C1119" s="927"/>
      <c r="E1119" s="928"/>
      <c r="F1119" s="928"/>
      <c r="G1119" s="928"/>
    </row>
    <row r="1120" spans="1:7">
      <c r="A1120" s="925"/>
      <c r="C1120" s="927"/>
      <c r="E1120" s="928"/>
      <c r="F1120" s="928"/>
      <c r="G1120" s="928"/>
    </row>
    <row r="1121" spans="1:7">
      <c r="A1121" s="925"/>
      <c r="C1121" s="927"/>
      <c r="E1121" s="928"/>
      <c r="F1121" s="928"/>
      <c r="G1121" s="928"/>
    </row>
    <row r="1122" spans="1:7">
      <c r="A1122" s="925"/>
      <c r="C1122" s="927"/>
      <c r="E1122" s="928"/>
      <c r="F1122" s="928"/>
      <c r="G1122" s="928"/>
    </row>
    <row r="1123" spans="1:7">
      <c r="A1123" s="925"/>
      <c r="C1123" s="927"/>
      <c r="E1123" s="928"/>
      <c r="F1123" s="928"/>
      <c r="G1123" s="928"/>
    </row>
    <row r="1124" spans="1:7">
      <c r="A1124" s="925"/>
      <c r="C1124" s="927"/>
      <c r="E1124" s="928"/>
      <c r="F1124" s="928"/>
      <c r="G1124" s="928"/>
    </row>
    <row r="1125" spans="1:7">
      <c r="A1125" s="925"/>
      <c r="C1125" s="927"/>
      <c r="E1125" s="928"/>
      <c r="F1125" s="928"/>
      <c r="G1125" s="928"/>
    </row>
    <row r="1126" spans="1:7">
      <c r="A1126" s="925"/>
      <c r="C1126" s="927"/>
      <c r="E1126" s="928"/>
      <c r="F1126" s="928"/>
      <c r="G1126" s="928"/>
    </row>
    <row r="1127" spans="1:7">
      <c r="A1127" s="925"/>
      <c r="C1127" s="927"/>
      <c r="E1127" s="928"/>
      <c r="F1127" s="928"/>
      <c r="G1127" s="928"/>
    </row>
    <row r="1128" spans="1:7">
      <c r="A1128" s="925"/>
      <c r="C1128" s="927"/>
      <c r="E1128" s="928"/>
      <c r="F1128" s="928"/>
      <c r="G1128" s="928"/>
    </row>
    <row r="1129" spans="1:7">
      <c r="A1129" s="925"/>
      <c r="C1129" s="927"/>
      <c r="E1129" s="928"/>
      <c r="F1129" s="928"/>
      <c r="G1129" s="928"/>
    </row>
    <row r="1130" spans="1:7">
      <c r="A1130" s="925"/>
      <c r="C1130" s="927"/>
      <c r="E1130" s="928"/>
      <c r="F1130" s="928"/>
      <c r="G1130" s="928"/>
    </row>
    <row r="1131" spans="1:7">
      <c r="A1131" s="925"/>
      <c r="C1131" s="927"/>
      <c r="E1131" s="928"/>
      <c r="F1131" s="928"/>
      <c r="G1131" s="928"/>
    </row>
    <row r="1132" spans="1:7">
      <c r="A1132" s="925"/>
      <c r="C1132" s="927"/>
      <c r="E1132" s="928"/>
      <c r="F1132" s="928"/>
      <c r="G1132" s="928"/>
    </row>
    <row r="1133" spans="1:7">
      <c r="A1133" s="925"/>
      <c r="C1133" s="927"/>
      <c r="E1133" s="928"/>
      <c r="F1133" s="928"/>
      <c r="G1133" s="928"/>
    </row>
    <row r="1134" spans="1:7">
      <c r="A1134" s="925"/>
      <c r="C1134" s="927"/>
      <c r="E1134" s="928"/>
      <c r="F1134" s="928"/>
      <c r="G1134" s="928"/>
    </row>
    <row r="1135" spans="1:7">
      <c r="A1135" s="925"/>
      <c r="C1135" s="927"/>
      <c r="E1135" s="928"/>
      <c r="F1135" s="928"/>
      <c r="G1135" s="928"/>
    </row>
    <row r="1136" spans="1:7">
      <c r="A1136" s="925"/>
      <c r="C1136" s="927"/>
      <c r="E1136" s="928"/>
      <c r="F1136" s="928"/>
      <c r="G1136" s="928"/>
    </row>
    <row r="1137" spans="1:7">
      <c r="A1137" s="925"/>
      <c r="C1137" s="927"/>
      <c r="E1137" s="928"/>
      <c r="F1137" s="928"/>
      <c r="G1137" s="928"/>
    </row>
    <row r="1138" spans="1:7">
      <c r="A1138" s="925"/>
      <c r="C1138" s="927"/>
      <c r="E1138" s="928"/>
      <c r="F1138" s="928"/>
      <c r="G1138" s="928"/>
    </row>
    <row r="1139" spans="1:7">
      <c r="A1139" s="925"/>
      <c r="C1139" s="927"/>
      <c r="E1139" s="928"/>
      <c r="F1139" s="928"/>
      <c r="G1139" s="928"/>
    </row>
    <row r="1140" spans="1:7">
      <c r="A1140" s="925"/>
      <c r="C1140" s="927"/>
      <c r="E1140" s="928"/>
      <c r="F1140" s="928"/>
      <c r="G1140" s="928"/>
    </row>
    <row r="1141" spans="1:7">
      <c r="A1141" s="925"/>
      <c r="C1141" s="927"/>
      <c r="E1141" s="928"/>
      <c r="F1141" s="928"/>
      <c r="G1141" s="928"/>
    </row>
    <row r="1142" spans="1:7">
      <c r="A1142" s="925"/>
      <c r="C1142" s="927"/>
      <c r="E1142" s="928"/>
      <c r="F1142" s="928"/>
      <c r="G1142" s="928"/>
    </row>
    <row r="1143" spans="1:7">
      <c r="A1143" s="925"/>
      <c r="C1143" s="927"/>
      <c r="E1143" s="928"/>
      <c r="F1143" s="928"/>
      <c r="G1143" s="928"/>
    </row>
    <row r="1144" spans="1:7">
      <c r="A1144" s="925"/>
      <c r="C1144" s="927"/>
      <c r="E1144" s="928"/>
      <c r="F1144" s="928"/>
      <c r="G1144" s="928"/>
    </row>
    <row r="1145" spans="1:7">
      <c r="A1145" s="925"/>
      <c r="C1145" s="927"/>
      <c r="E1145" s="928"/>
      <c r="F1145" s="928"/>
      <c r="G1145" s="928"/>
    </row>
    <row r="1146" spans="1:7">
      <c r="A1146" s="925"/>
      <c r="C1146" s="927"/>
      <c r="E1146" s="928"/>
      <c r="F1146" s="928"/>
      <c r="G1146" s="928"/>
    </row>
    <row r="1147" spans="1:7">
      <c r="A1147" s="925"/>
      <c r="C1147" s="927"/>
      <c r="E1147" s="928"/>
      <c r="F1147" s="928"/>
      <c r="G1147" s="928"/>
    </row>
    <row r="1148" spans="1:7">
      <c r="A1148" s="925"/>
      <c r="C1148" s="927"/>
      <c r="E1148" s="928"/>
      <c r="F1148" s="928"/>
      <c r="G1148" s="928"/>
    </row>
    <row r="1149" spans="1:7">
      <c r="A1149" s="925"/>
      <c r="C1149" s="927"/>
      <c r="E1149" s="928"/>
      <c r="F1149" s="928"/>
      <c r="G1149" s="928"/>
    </row>
    <row r="1150" spans="1:7">
      <c r="A1150" s="925"/>
      <c r="C1150" s="927"/>
      <c r="E1150" s="928"/>
      <c r="F1150" s="928"/>
      <c r="G1150" s="928"/>
    </row>
    <row r="1151" spans="1:7">
      <c r="A1151" s="925"/>
      <c r="C1151" s="927"/>
      <c r="E1151" s="928"/>
      <c r="F1151" s="928"/>
      <c r="G1151" s="928"/>
    </row>
    <row r="1152" spans="1:7">
      <c r="A1152" s="925"/>
      <c r="C1152" s="927"/>
      <c r="E1152" s="928"/>
      <c r="F1152" s="928"/>
      <c r="G1152" s="928"/>
    </row>
    <row r="1153" spans="1:7">
      <c r="A1153" s="925"/>
      <c r="C1153" s="927"/>
      <c r="E1153" s="928"/>
      <c r="F1153" s="928"/>
      <c r="G1153" s="928"/>
    </row>
    <row r="1154" spans="1:7">
      <c r="A1154" s="925"/>
      <c r="C1154" s="927"/>
      <c r="E1154" s="928"/>
      <c r="F1154" s="928"/>
      <c r="G1154" s="928"/>
    </row>
    <row r="1155" spans="1:7">
      <c r="A1155" s="925"/>
      <c r="C1155" s="927"/>
      <c r="E1155" s="928"/>
      <c r="F1155" s="928"/>
      <c r="G1155" s="928"/>
    </row>
    <row r="1156" spans="1:7">
      <c r="A1156" s="925"/>
      <c r="C1156" s="927"/>
      <c r="E1156" s="928"/>
      <c r="F1156" s="928"/>
      <c r="G1156" s="928"/>
    </row>
    <row r="1157" spans="1:7">
      <c r="A1157" s="925"/>
      <c r="C1157" s="927"/>
      <c r="E1157" s="928"/>
      <c r="F1157" s="928"/>
      <c r="G1157" s="928"/>
    </row>
    <row r="1158" spans="1:7">
      <c r="A1158" s="925"/>
      <c r="C1158" s="927"/>
      <c r="E1158" s="928"/>
      <c r="F1158" s="928"/>
      <c r="G1158" s="928"/>
    </row>
    <row r="1159" spans="1:7">
      <c r="A1159" s="925"/>
      <c r="C1159" s="927"/>
      <c r="E1159" s="928"/>
      <c r="F1159" s="928"/>
      <c r="G1159" s="928"/>
    </row>
    <row r="1160" spans="1:7">
      <c r="A1160" s="925"/>
      <c r="C1160" s="927"/>
      <c r="E1160" s="928"/>
      <c r="F1160" s="928"/>
      <c r="G1160" s="928"/>
    </row>
    <row r="1161" spans="1:7">
      <c r="A1161" s="925"/>
      <c r="C1161" s="927"/>
      <c r="E1161" s="928"/>
      <c r="F1161" s="928"/>
      <c r="G1161" s="928"/>
    </row>
    <row r="1162" spans="1:7">
      <c r="A1162" s="925"/>
      <c r="C1162" s="927"/>
      <c r="E1162" s="928"/>
      <c r="F1162" s="928"/>
      <c r="G1162" s="928"/>
    </row>
    <row r="1163" spans="1:7">
      <c r="A1163" s="925"/>
      <c r="C1163" s="927"/>
      <c r="E1163" s="928"/>
      <c r="F1163" s="928"/>
      <c r="G1163" s="928"/>
    </row>
    <row r="1164" spans="1:7">
      <c r="A1164" s="925"/>
      <c r="C1164" s="927"/>
      <c r="E1164" s="928"/>
      <c r="F1164" s="928"/>
      <c r="G1164" s="928"/>
    </row>
    <row r="1165" spans="1:7">
      <c r="A1165" s="925"/>
      <c r="C1165" s="927"/>
      <c r="E1165" s="928"/>
      <c r="F1165" s="928"/>
      <c r="G1165" s="928"/>
    </row>
    <row r="1166" spans="1:7">
      <c r="A1166" s="925"/>
      <c r="C1166" s="927"/>
      <c r="E1166" s="928"/>
      <c r="F1166" s="928"/>
      <c r="G1166" s="928"/>
    </row>
    <row r="1167" spans="1:7">
      <c r="A1167" s="925"/>
      <c r="C1167" s="927"/>
      <c r="E1167" s="928"/>
      <c r="F1167" s="928"/>
      <c r="G1167" s="928"/>
    </row>
    <row r="1168" spans="1:7">
      <c r="A1168" s="925"/>
      <c r="C1168" s="927"/>
      <c r="E1168" s="928"/>
      <c r="F1168" s="928"/>
      <c r="G1168" s="928"/>
    </row>
    <row r="1169" spans="1:7">
      <c r="A1169" s="925"/>
      <c r="C1169" s="927"/>
      <c r="E1169" s="928"/>
      <c r="F1169" s="928"/>
      <c r="G1169" s="928"/>
    </row>
    <row r="1170" spans="1:7">
      <c r="A1170" s="925"/>
      <c r="C1170" s="927"/>
      <c r="E1170" s="928"/>
      <c r="F1170" s="928"/>
      <c r="G1170" s="928"/>
    </row>
    <row r="1171" spans="1:7">
      <c r="A1171" s="925"/>
      <c r="C1171" s="927"/>
      <c r="E1171" s="928"/>
      <c r="F1171" s="928"/>
      <c r="G1171" s="928"/>
    </row>
    <row r="1172" spans="1:7">
      <c r="A1172" s="925"/>
      <c r="C1172" s="927"/>
      <c r="E1172" s="928"/>
      <c r="F1172" s="928"/>
      <c r="G1172" s="928"/>
    </row>
    <row r="1173" spans="1:7">
      <c r="A1173" s="925"/>
      <c r="C1173" s="927"/>
      <c r="E1173" s="928"/>
      <c r="F1173" s="928"/>
      <c r="G1173" s="928"/>
    </row>
    <row r="1174" spans="1:7">
      <c r="A1174" s="925"/>
      <c r="C1174" s="927"/>
      <c r="E1174" s="928"/>
      <c r="F1174" s="928"/>
      <c r="G1174" s="928"/>
    </row>
    <row r="1175" spans="1:7">
      <c r="A1175" s="925"/>
      <c r="C1175" s="927"/>
      <c r="E1175" s="928"/>
      <c r="F1175" s="928"/>
      <c r="G1175" s="928"/>
    </row>
    <row r="1176" spans="1:7">
      <c r="A1176" s="925"/>
      <c r="C1176" s="927"/>
      <c r="E1176" s="928"/>
      <c r="F1176" s="928"/>
      <c r="G1176" s="928"/>
    </row>
    <row r="1177" spans="1:7">
      <c r="A1177" s="925"/>
      <c r="C1177" s="927"/>
      <c r="E1177" s="928"/>
      <c r="F1177" s="928"/>
      <c r="G1177" s="928"/>
    </row>
    <row r="1178" spans="1:7">
      <c r="A1178" s="925"/>
      <c r="C1178" s="927"/>
      <c r="E1178" s="928"/>
      <c r="F1178" s="928"/>
      <c r="G1178" s="928"/>
    </row>
    <row r="1179" spans="1:7">
      <c r="A1179" s="925"/>
      <c r="C1179" s="927"/>
      <c r="E1179" s="928"/>
      <c r="F1179" s="928"/>
      <c r="G1179" s="928"/>
    </row>
    <row r="1180" spans="1:7">
      <c r="A1180" s="925"/>
      <c r="C1180" s="927"/>
      <c r="E1180" s="928"/>
      <c r="F1180" s="928"/>
      <c r="G1180" s="928"/>
    </row>
    <row r="1181" spans="1:7">
      <c r="A1181" s="925"/>
      <c r="C1181" s="927"/>
      <c r="E1181" s="928"/>
      <c r="F1181" s="928"/>
      <c r="G1181" s="928"/>
    </row>
    <row r="1182" spans="1:7">
      <c r="A1182" s="925"/>
      <c r="C1182" s="927"/>
      <c r="E1182" s="928"/>
      <c r="F1182" s="928"/>
      <c r="G1182" s="928"/>
    </row>
    <row r="1183" spans="1:7">
      <c r="A1183" s="925"/>
      <c r="C1183" s="927"/>
      <c r="E1183" s="928"/>
      <c r="F1183" s="928"/>
      <c r="G1183" s="928"/>
    </row>
    <row r="1184" spans="1:7">
      <c r="A1184" s="925"/>
      <c r="C1184" s="927"/>
      <c r="E1184" s="928"/>
      <c r="F1184" s="928"/>
      <c r="G1184" s="928"/>
    </row>
    <row r="1185" spans="1:7">
      <c r="A1185" s="925"/>
      <c r="C1185" s="927"/>
      <c r="E1185" s="928"/>
      <c r="F1185" s="928"/>
      <c r="G1185" s="928"/>
    </row>
    <row r="1186" spans="1:7">
      <c r="A1186" s="925"/>
      <c r="C1186" s="927"/>
      <c r="E1186" s="928"/>
      <c r="F1186" s="928"/>
      <c r="G1186" s="928"/>
    </row>
    <row r="1187" spans="1:7">
      <c r="A1187" s="925"/>
      <c r="C1187" s="927"/>
      <c r="E1187" s="928"/>
      <c r="F1187" s="928"/>
      <c r="G1187" s="928"/>
    </row>
    <row r="1188" spans="1:7">
      <c r="A1188" s="925"/>
      <c r="C1188" s="927"/>
      <c r="E1188" s="928"/>
      <c r="F1188" s="928"/>
      <c r="G1188" s="928"/>
    </row>
    <row r="1189" spans="1:7">
      <c r="A1189" s="925"/>
      <c r="C1189" s="927"/>
      <c r="E1189" s="928"/>
      <c r="F1189" s="928"/>
      <c r="G1189" s="928"/>
    </row>
    <row r="1190" spans="1:7">
      <c r="A1190" s="925"/>
      <c r="C1190" s="927"/>
      <c r="E1190" s="928"/>
      <c r="F1190" s="928"/>
      <c r="G1190" s="928"/>
    </row>
    <row r="1191" spans="1:7">
      <c r="A1191" s="925"/>
      <c r="C1191" s="927"/>
      <c r="E1191" s="928"/>
      <c r="F1191" s="928"/>
      <c r="G1191" s="928"/>
    </row>
    <row r="1192" spans="1:7">
      <c r="A1192" s="925"/>
      <c r="C1192" s="927"/>
      <c r="E1192" s="928"/>
      <c r="F1192" s="928"/>
      <c r="G1192" s="928"/>
    </row>
    <row r="1193" spans="1:7">
      <c r="A1193" s="925"/>
      <c r="C1193" s="927"/>
      <c r="E1193" s="928"/>
      <c r="F1193" s="928"/>
      <c r="G1193" s="928"/>
    </row>
    <row r="1194" spans="1:7">
      <c r="A1194" s="925"/>
      <c r="C1194" s="927"/>
      <c r="E1194" s="928"/>
      <c r="F1194" s="928"/>
      <c r="G1194" s="928"/>
    </row>
    <row r="1195" spans="1:7">
      <c r="A1195" s="925"/>
      <c r="C1195" s="927"/>
      <c r="E1195" s="928"/>
      <c r="F1195" s="928"/>
      <c r="G1195" s="928"/>
    </row>
    <row r="1196" spans="1:7">
      <c r="A1196" s="925"/>
      <c r="C1196" s="927"/>
      <c r="E1196" s="928"/>
      <c r="F1196" s="928"/>
      <c r="G1196" s="928"/>
    </row>
    <row r="1197" spans="1:7">
      <c r="A1197" s="925"/>
      <c r="C1197" s="927"/>
      <c r="E1197" s="928"/>
      <c r="F1197" s="928"/>
      <c r="G1197" s="928"/>
    </row>
    <row r="1198" spans="1:7">
      <c r="A1198" s="925"/>
      <c r="C1198" s="927"/>
      <c r="E1198" s="928"/>
      <c r="F1198" s="928"/>
      <c r="G1198" s="928"/>
    </row>
    <row r="1199" spans="1:7">
      <c r="A1199" s="925"/>
      <c r="C1199" s="927"/>
      <c r="E1199" s="928"/>
      <c r="F1199" s="928"/>
      <c r="G1199" s="928"/>
    </row>
    <row r="1200" spans="1:7">
      <c r="A1200" s="925"/>
      <c r="C1200" s="927"/>
      <c r="E1200" s="928"/>
      <c r="F1200" s="928"/>
      <c r="G1200" s="928"/>
    </row>
    <row r="1201" spans="1:7">
      <c r="A1201" s="925"/>
      <c r="C1201" s="927"/>
      <c r="E1201" s="928"/>
      <c r="F1201" s="928"/>
      <c r="G1201" s="928"/>
    </row>
    <row r="1202" spans="1:7">
      <c r="A1202" s="925"/>
      <c r="C1202" s="927"/>
      <c r="E1202" s="928"/>
      <c r="F1202" s="928"/>
      <c r="G1202" s="928"/>
    </row>
    <row r="1203" spans="1:7">
      <c r="A1203" s="925"/>
      <c r="C1203" s="927"/>
      <c r="E1203" s="928"/>
      <c r="F1203" s="928"/>
      <c r="G1203" s="928"/>
    </row>
    <row r="1204" spans="1:7">
      <c r="A1204" s="925"/>
      <c r="C1204" s="927"/>
      <c r="E1204" s="928"/>
      <c r="F1204" s="928"/>
      <c r="G1204" s="928"/>
    </row>
    <row r="1205" spans="1:7">
      <c r="A1205" s="925"/>
      <c r="C1205" s="927"/>
      <c r="E1205" s="928"/>
      <c r="F1205" s="928"/>
      <c r="G1205" s="928"/>
    </row>
    <row r="1206" spans="1:7">
      <c r="A1206" s="925"/>
      <c r="C1206" s="927"/>
      <c r="E1206" s="928"/>
      <c r="F1206" s="928"/>
      <c r="G1206" s="928"/>
    </row>
    <row r="1207" spans="1:7">
      <c r="A1207" s="925"/>
      <c r="C1207" s="927"/>
      <c r="E1207" s="928"/>
      <c r="F1207" s="928"/>
      <c r="G1207" s="928"/>
    </row>
    <row r="1208" spans="1:7">
      <c r="A1208" s="925"/>
      <c r="C1208" s="927"/>
      <c r="E1208" s="928"/>
      <c r="F1208" s="928"/>
      <c r="G1208" s="928"/>
    </row>
    <row r="1209" spans="1:7">
      <c r="A1209" s="925"/>
      <c r="C1209" s="927"/>
      <c r="E1209" s="928"/>
      <c r="F1209" s="928"/>
      <c r="G1209" s="928"/>
    </row>
    <row r="1210" spans="1:7">
      <c r="A1210" s="925"/>
      <c r="C1210" s="927"/>
      <c r="E1210" s="928"/>
      <c r="F1210" s="928"/>
      <c r="G1210" s="928"/>
    </row>
    <row r="1211" spans="1:7">
      <c r="A1211" s="925"/>
      <c r="C1211" s="927"/>
      <c r="E1211" s="928"/>
      <c r="F1211" s="928"/>
      <c r="G1211" s="928"/>
    </row>
    <row r="1212" spans="1:7">
      <c r="A1212" s="925"/>
      <c r="C1212" s="927"/>
      <c r="E1212" s="928"/>
      <c r="F1212" s="928"/>
      <c r="G1212" s="928"/>
    </row>
    <row r="1213" spans="1:7">
      <c r="A1213" s="925"/>
      <c r="C1213" s="927"/>
      <c r="E1213" s="928"/>
      <c r="F1213" s="928"/>
      <c r="G1213" s="928"/>
    </row>
    <row r="1214" spans="1:7">
      <c r="A1214" s="925"/>
      <c r="C1214" s="927"/>
      <c r="E1214" s="928"/>
      <c r="F1214" s="928"/>
      <c r="G1214" s="928"/>
    </row>
    <row r="1215" spans="1:7">
      <c r="A1215" s="925"/>
      <c r="C1215" s="927"/>
      <c r="E1215" s="928"/>
      <c r="F1215" s="928"/>
      <c r="G1215" s="928"/>
    </row>
    <row r="1216" spans="1:7">
      <c r="A1216" s="925"/>
      <c r="C1216" s="927"/>
      <c r="E1216" s="928"/>
      <c r="F1216" s="928"/>
      <c r="G1216" s="928"/>
    </row>
    <row r="1217" spans="1:7">
      <c r="A1217" s="925"/>
      <c r="C1217" s="927"/>
      <c r="E1217" s="928"/>
      <c r="F1217" s="928"/>
      <c r="G1217" s="928"/>
    </row>
    <row r="1218" spans="1:7">
      <c r="A1218" s="925"/>
      <c r="C1218" s="927"/>
      <c r="E1218" s="928"/>
      <c r="F1218" s="928"/>
      <c r="G1218" s="928"/>
    </row>
    <row r="1219" spans="1:7">
      <c r="A1219" s="925"/>
      <c r="C1219" s="927"/>
      <c r="E1219" s="928"/>
      <c r="F1219" s="928"/>
      <c r="G1219" s="928"/>
    </row>
    <row r="1220" spans="1:7">
      <c r="A1220" s="925"/>
      <c r="C1220" s="927"/>
      <c r="E1220" s="928"/>
      <c r="F1220" s="928"/>
      <c r="G1220" s="928"/>
    </row>
    <row r="1221" spans="1:7">
      <c r="A1221" s="925"/>
      <c r="C1221" s="927"/>
      <c r="E1221" s="928"/>
      <c r="F1221" s="928"/>
      <c r="G1221" s="928"/>
    </row>
    <row r="1222" spans="1:7">
      <c r="A1222" s="925"/>
      <c r="C1222" s="927"/>
      <c r="E1222" s="928"/>
      <c r="F1222" s="928"/>
      <c r="G1222" s="928"/>
    </row>
    <row r="1223" spans="1:7">
      <c r="A1223" s="925"/>
      <c r="C1223" s="927"/>
      <c r="E1223" s="928"/>
      <c r="F1223" s="928"/>
      <c r="G1223" s="928"/>
    </row>
    <row r="1224" spans="1:7">
      <c r="A1224" s="925"/>
      <c r="C1224" s="927"/>
      <c r="E1224" s="928"/>
      <c r="F1224" s="928"/>
      <c r="G1224" s="928"/>
    </row>
    <row r="1225" spans="1:7">
      <c r="A1225" s="925"/>
      <c r="C1225" s="927"/>
      <c r="E1225" s="928"/>
      <c r="F1225" s="928"/>
      <c r="G1225" s="928"/>
    </row>
    <row r="1226" spans="1:7">
      <c r="A1226" s="925"/>
      <c r="C1226" s="927"/>
      <c r="E1226" s="928"/>
      <c r="F1226" s="928"/>
      <c r="G1226" s="928"/>
    </row>
    <row r="1227" spans="1:7">
      <c r="A1227" s="925"/>
      <c r="C1227" s="927"/>
      <c r="E1227" s="928"/>
      <c r="F1227" s="928"/>
      <c r="G1227" s="928"/>
    </row>
    <row r="1228" spans="1:7">
      <c r="A1228" s="925"/>
      <c r="C1228" s="927"/>
      <c r="E1228" s="928"/>
      <c r="F1228" s="928"/>
      <c r="G1228" s="928"/>
    </row>
    <row r="1229" spans="1:7">
      <c r="A1229" s="925"/>
      <c r="C1229" s="927"/>
      <c r="E1229" s="928"/>
      <c r="F1229" s="928"/>
      <c r="G1229" s="928"/>
    </row>
    <row r="1230" spans="1:7">
      <c r="A1230" s="925"/>
      <c r="C1230" s="927"/>
      <c r="E1230" s="928"/>
      <c r="F1230" s="928"/>
      <c r="G1230" s="928"/>
    </row>
    <row r="1231" spans="1:7">
      <c r="A1231" s="925"/>
      <c r="C1231" s="927"/>
      <c r="E1231" s="928"/>
      <c r="F1231" s="928"/>
      <c r="G1231" s="928"/>
    </row>
    <row r="1232" spans="1:7">
      <c r="A1232" s="925"/>
      <c r="C1232" s="927"/>
      <c r="E1232" s="928"/>
      <c r="F1232" s="928"/>
      <c r="G1232" s="928"/>
    </row>
    <row r="1233" spans="1:7">
      <c r="A1233" s="925"/>
      <c r="C1233" s="927"/>
      <c r="E1233" s="928"/>
      <c r="F1233" s="928"/>
      <c r="G1233" s="928"/>
    </row>
    <row r="1234" spans="1:7">
      <c r="A1234" s="925"/>
      <c r="C1234" s="927"/>
      <c r="E1234" s="928"/>
      <c r="F1234" s="928"/>
      <c r="G1234" s="928"/>
    </row>
    <row r="1235" spans="1:7">
      <c r="A1235" s="925"/>
      <c r="C1235" s="927"/>
      <c r="E1235" s="928"/>
      <c r="F1235" s="928"/>
      <c r="G1235" s="928"/>
    </row>
    <row r="1236" spans="1:7">
      <c r="A1236" s="925"/>
      <c r="C1236" s="927"/>
      <c r="E1236" s="928"/>
      <c r="F1236" s="928"/>
      <c r="G1236" s="928"/>
    </row>
    <row r="1237" spans="1:7">
      <c r="A1237" s="925"/>
      <c r="C1237" s="927"/>
      <c r="E1237" s="928"/>
      <c r="F1237" s="928"/>
      <c r="G1237" s="928"/>
    </row>
    <row r="1238" spans="1:7">
      <c r="A1238" s="925"/>
      <c r="C1238" s="927"/>
      <c r="E1238" s="928"/>
      <c r="F1238" s="928"/>
      <c r="G1238" s="928"/>
    </row>
    <row r="1239" spans="1:7">
      <c r="A1239" s="925"/>
      <c r="C1239" s="927"/>
      <c r="E1239" s="928"/>
      <c r="F1239" s="928"/>
      <c r="G1239" s="928"/>
    </row>
    <row r="1240" spans="1:7">
      <c r="A1240" s="925"/>
      <c r="C1240" s="927"/>
      <c r="E1240" s="928"/>
      <c r="F1240" s="928"/>
      <c r="G1240" s="928"/>
    </row>
    <row r="1241" spans="1:7">
      <c r="A1241" s="925"/>
      <c r="C1241" s="927"/>
      <c r="E1241" s="928"/>
      <c r="F1241" s="928"/>
      <c r="G1241" s="928"/>
    </row>
    <row r="1242" spans="1:7">
      <c r="A1242" s="925"/>
      <c r="C1242" s="927"/>
      <c r="E1242" s="928"/>
      <c r="F1242" s="928"/>
      <c r="G1242" s="928"/>
    </row>
    <row r="1243" spans="1:7">
      <c r="A1243" s="925"/>
      <c r="C1243" s="927"/>
      <c r="E1243" s="928"/>
      <c r="F1243" s="928"/>
      <c r="G1243" s="928"/>
    </row>
    <row r="1244" spans="1:7">
      <c r="A1244" s="925"/>
      <c r="C1244" s="927"/>
      <c r="E1244" s="928"/>
      <c r="F1244" s="928"/>
      <c r="G1244" s="928"/>
    </row>
    <row r="1245" spans="1:7">
      <c r="A1245" s="925"/>
      <c r="C1245" s="927"/>
      <c r="E1245" s="928"/>
      <c r="F1245" s="928"/>
      <c r="G1245" s="928"/>
    </row>
    <row r="1246" spans="1:7">
      <c r="A1246" s="925"/>
      <c r="C1246" s="927"/>
      <c r="E1246" s="928"/>
      <c r="F1246" s="928"/>
      <c r="G1246" s="928"/>
    </row>
    <row r="1247" spans="1:7">
      <c r="A1247" s="925"/>
      <c r="C1247" s="927"/>
      <c r="E1247" s="928"/>
      <c r="F1247" s="928"/>
      <c r="G1247" s="928"/>
    </row>
    <row r="1248" spans="1:7">
      <c r="A1248" s="925"/>
      <c r="C1248" s="927"/>
      <c r="E1248" s="928"/>
      <c r="F1248" s="928"/>
      <c r="G1248" s="928"/>
    </row>
    <row r="1249" spans="1:7">
      <c r="A1249" s="925"/>
      <c r="C1249" s="927"/>
      <c r="E1249" s="928"/>
      <c r="F1249" s="928"/>
      <c r="G1249" s="928"/>
    </row>
    <row r="1250" spans="1:7">
      <c r="A1250" s="925"/>
      <c r="C1250" s="927"/>
      <c r="E1250" s="928"/>
      <c r="F1250" s="928"/>
      <c r="G1250" s="928"/>
    </row>
    <row r="1251" spans="1:7">
      <c r="A1251" s="925"/>
      <c r="C1251" s="927"/>
      <c r="E1251" s="928"/>
      <c r="F1251" s="928"/>
      <c r="G1251" s="928"/>
    </row>
    <row r="1252" spans="1:7">
      <c r="A1252" s="925"/>
      <c r="C1252" s="927"/>
      <c r="E1252" s="928"/>
      <c r="F1252" s="928"/>
      <c r="G1252" s="928"/>
    </row>
    <row r="1253" spans="1:7">
      <c r="A1253" s="925"/>
      <c r="C1253" s="927"/>
      <c r="E1253" s="928"/>
      <c r="F1253" s="928"/>
      <c r="G1253" s="928"/>
    </row>
    <row r="1254" spans="1:7">
      <c r="A1254" s="925"/>
      <c r="C1254" s="927"/>
      <c r="E1254" s="928"/>
      <c r="F1254" s="928"/>
      <c r="G1254" s="928"/>
    </row>
    <row r="1255" spans="1:7">
      <c r="A1255" s="925"/>
      <c r="C1255" s="927"/>
      <c r="E1255" s="928"/>
      <c r="F1255" s="928"/>
      <c r="G1255" s="928"/>
    </row>
    <row r="1256" spans="1:7">
      <c r="A1256" s="925"/>
      <c r="C1256" s="927"/>
      <c r="E1256" s="928"/>
      <c r="F1256" s="928"/>
      <c r="G1256" s="928"/>
    </row>
    <row r="1257" spans="1:7">
      <c r="A1257" s="925"/>
      <c r="C1257" s="927"/>
      <c r="E1257" s="928"/>
      <c r="F1257" s="928"/>
      <c r="G1257" s="928"/>
    </row>
    <row r="1258" spans="1:7">
      <c r="A1258" s="925"/>
      <c r="C1258" s="927"/>
      <c r="E1258" s="928"/>
      <c r="F1258" s="928"/>
      <c r="G1258" s="928"/>
    </row>
    <row r="1259" spans="1:7">
      <c r="A1259" s="925"/>
      <c r="C1259" s="927"/>
      <c r="E1259" s="928"/>
      <c r="F1259" s="928"/>
      <c r="G1259" s="928"/>
    </row>
    <row r="1260" spans="1:7">
      <c r="A1260" s="925"/>
      <c r="C1260" s="927"/>
      <c r="E1260" s="928"/>
      <c r="F1260" s="928"/>
      <c r="G1260" s="928"/>
    </row>
    <row r="1261" spans="1:7">
      <c r="A1261" s="925"/>
      <c r="C1261" s="927"/>
      <c r="E1261" s="928"/>
      <c r="F1261" s="928"/>
      <c r="G1261" s="928"/>
    </row>
    <row r="1262" spans="1:7">
      <c r="A1262" s="925"/>
      <c r="C1262" s="927"/>
      <c r="E1262" s="928"/>
      <c r="F1262" s="928"/>
      <c r="G1262" s="928"/>
    </row>
    <row r="1263" spans="1:7">
      <c r="A1263" s="925"/>
      <c r="C1263" s="927"/>
      <c r="E1263" s="928"/>
      <c r="F1263" s="928"/>
      <c r="G1263" s="928"/>
    </row>
    <row r="1264" spans="1:7">
      <c r="A1264" s="925"/>
      <c r="C1264" s="927"/>
      <c r="E1264" s="928"/>
      <c r="F1264" s="928"/>
      <c r="G1264" s="928"/>
    </row>
    <row r="1265" spans="1:7">
      <c r="A1265" s="925"/>
      <c r="C1265" s="927"/>
      <c r="E1265" s="928"/>
      <c r="F1265" s="928"/>
      <c r="G1265" s="928"/>
    </row>
    <row r="1266" spans="1:7">
      <c r="A1266" s="925"/>
      <c r="C1266" s="927"/>
      <c r="E1266" s="928"/>
      <c r="F1266" s="928"/>
      <c r="G1266" s="928"/>
    </row>
    <row r="1267" spans="1:7">
      <c r="A1267" s="925"/>
      <c r="C1267" s="927"/>
      <c r="E1267" s="928"/>
      <c r="F1267" s="928"/>
      <c r="G1267" s="928"/>
    </row>
    <row r="1268" spans="1:7">
      <c r="A1268" s="925"/>
      <c r="C1268" s="927"/>
      <c r="E1268" s="928"/>
      <c r="F1268" s="928"/>
      <c r="G1268" s="928"/>
    </row>
    <row r="1269" spans="1:7">
      <c r="A1269" s="925"/>
      <c r="C1269" s="927"/>
      <c r="E1269" s="928"/>
      <c r="F1269" s="928"/>
      <c r="G1269" s="928"/>
    </row>
    <row r="1270" spans="1:7">
      <c r="A1270" s="925"/>
      <c r="C1270" s="927"/>
      <c r="E1270" s="928"/>
      <c r="F1270" s="928"/>
      <c r="G1270" s="928"/>
    </row>
    <row r="1271" spans="1:7">
      <c r="A1271" s="925"/>
      <c r="C1271" s="927"/>
      <c r="E1271" s="928"/>
      <c r="F1271" s="928"/>
      <c r="G1271" s="928"/>
    </row>
    <row r="1272" spans="1:7">
      <c r="A1272" s="925"/>
      <c r="C1272" s="927"/>
      <c r="E1272" s="928"/>
      <c r="F1272" s="928"/>
      <c r="G1272" s="928"/>
    </row>
    <row r="1273" spans="1:7">
      <c r="A1273" s="925"/>
      <c r="C1273" s="927"/>
      <c r="E1273" s="928"/>
      <c r="F1273" s="928"/>
      <c r="G1273" s="928"/>
    </row>
    <row r="1274" spans="1:7">
      <c r="A1274" s="925"/>
      <c r="C1274" s="927"/>
      <c r="E1274" s="928"/>
      <c r="F1274" s="928"/>
      <c r="G1274" s="928"/>
    </row>
    <row r="1275" spans="1:7">
      <c r="A1275" s="925"/>
      <c r="C1275" s="927"/>
      <c r="E1275" s="928"/>
      <c r="F1275" s="928"/>
      <c r="G1275" s="928"/>
    </row>
    <row r="1276" spans="1:7">
      <c r="A1276" s="925"/>
      <c r="C1276" s="927"/>
      <c r="E1276" s="928"/>
      <c r="F1276" s="928"/>
      <c r="G1276" s="928"/>
    </row>
    <row r="1277" spans="1:7">
      <c r="A1277" s="925"/>
      <c r="C1277" s="927"/>
      <c r="E1277" s="928"/>
      <c r="F1277" s="928"/>
      <c r="G1277" s="928"/>
    </row>
    <row r="1278" spans="1:7">
      <c r="A1278" s="925"/>
      <c r="C1278" s="927"/>
      <c r="E1278" s="928"/>
      <c r="F1278" s="928"/>
      <c r="G1278" s="928"/>
    </row>
    <row r="1279" spans="1:7">
      <c r="A1279" s="925"/>
      <c r="C1279" s="927"/>
      <c r="E1279" s="928"/>
      <c r="F1279" s="928"/>
      <c r="G1279" s="928"/>
    </row>
    <row r="1280" spans="1:7">
      <c r="A1280" s="925"/>
      <c r="C1280" s="927"/>
      <c r="E1280" s="928"/>
      <c r="F1280" s="928"/>
      <c r="G1280" s="928"/>
    </row>
    <row r="1281" spans="1:7">
      <c r="A1281" s="925"/>
      <c r="C1281" s="927"/>
      <c r="E1281" s="928"/>
      <c r="F1281" s="928"/>
      <c r="G1281" s="928"/>
    </row>
    <row r="1282" spans="1:7">
      <c r="A1282" s="925"/>
      <c r="C1282" s="927"/>
      <c r="E1282" s="928"/>
      <c r="F1282" s="928"/>
      <c r="G1282" s="928"/>
    </row>
    <row r="1283" spans="1:7">
      <c r="A1283" s="925"/>
      <c r="C1283" s="927"/>
      <c r="E1283" s="928"/>
      <c r="F1283" s="928"/>
      <c r="G1283" s="928"/>
    </row>
    <row r="1284" spans="1:7">
      <c r="A1284" s="925"/>
      <c r="C1284" s="927"/>
      <c r="E1284" s="928"/>
      <c r="F1284" s="928"/>
      <c r="G1284" s="928"/>
    </row>
    <row r="1285" spans="1:7">
      <c r="A1285" s="925"/>
      <c r="C1285" s="927"/>
      <c r="E1285" s="928"/>
      <c r="F1285" s="928"/>
      <c r="G1285" s="928"/>
    </row>
    <row r="1286" spans="1:7">
      <c r="A1286" s="925"/>
      <c r="C1286" s="927"/>
      <c r="E1286" s="928"/>
      <c r="F1286" s="928"/>
      <c r="G1286" s="928"/>
    </row>
    <row r="1287" spans="1:7">
      <c r="A1287" s="925"/>
      <c r="C1287" s="927"/>
      <c r="E1287" s="928"/>
      <c r="F1287" s="928"/>
      <c r="G1287" s="928"/>
    </row>
    <row r="1288" spans="1:7">
      <c r="A1288" s="925"/>
      <c r="C1288" s="927"/>
      <c r="E1288" s="928"/>
      <c r="F1288" s="928"/>
      <c r="G1288" s="928"/>
    </row>
    <row r="1289" spans="1:7">
      <c r="A1289" s="925"/>
      <c r="C1289" s="927"/>
      <c r="E1289" s="928"/>
      <c r="F1289" s="928"/>
      <c r="G1289" s="928"/>
    </row>
    <row r="1290" spans="1:7">
      <c r="A1290" s="925"/>
      <c r="C1290" s="927"/>
      <c r="E1290" s="928"/>
      <c r="F1290" s="928"/>
      <c r="G1290" s="928"/>
    </row>
    <row r="1291" spans="1:7">
      <c r="A1291" s="925"/>
      <c r="C1291" s="927"/>
      <c r="E1291" s="928"/>
      <c r="F1291" s="928"/>
      <c r="G1291" s="928"/>
    </row>
    <row r="1292" spans="1:7">
      <c r="A1292" s="925"/>
      <c r="C1292" s="927"/>
      <c r="E1292" s="928"/>
      <c r="F1292" s="928"/>
      <c r="G1292" s="928"/>
    </row>
    <row r="1293" spans="1:7">
      <c r="A1293" s="925"/>
      <c r="C1293" s="927"/>
      <c r="E1293" s="928"/>
      <c r="F1293" s="928"/>
      <c r="G1293" s="928"/>
    </row>
    <row r="1294" spans="1:7">
      <c r="A1294" s="925"/>
      <c r="C1294" s="927"/>
      <c r="E1294" s="928"/>
      <c r="F1294" s="928"/>
      <c r="G1294" s="928"/>
    </row>
    <row r="1295" spans="1:7">
      <c r="A1295" s="925"/>
      <c r="C1295" s="927"/>
      <c r="E1295" s="928"/>
      <c r="F1295" s="928"/>
      <c r="G1295" s="928"/>
    </row>
    <row r="1296" spans="1:7">
      <c r="A1296" s="925"/>
      <c r="C1296" s="927"/>
      <c r="E1296" s="928"/>
      <c r="F1296" s="928"/>
      <c r="G1296" s="928"/>
    </row>
    <row r="1297" spans="1:7">
      <c r="A1297" s="925"/>
      <c r="C1297" s="927"/>
      <c r="E1297" s="928"/>
      <c r="F1297" s="928"/>
      <c r="G1297" s="928"/>
    </row>
    <row r="1298" spans="1:7">
      <c r="A1298" s="925"/>
      <c r="C1298" s="927"/>
      <c r="E1298" s="928"/>
      <c r="F1298" s="928"/>
      <c r="G1298" s="928"/>
    </row>
    <row r="1299" spans="1:7">
      <c r="A1299" s="925"/>
      <c r="C1299" s="927"/>
      <c r="E1299" s="928"/>
      <c r="F1299" s="928"/>
      <c r="G1299" s="928"/>
    </row>
    <row r="1300" spans="1:7">
      <c r="A1300" s="925"/>
      <c r="C1300" s="927"/>
      <c r="E1300" s="928"/>
      <c r="F1300" s="928"/>
      <c r="G1300" s="928"/>
    </row>
    <row r="1301" spans="1:7">
      <c r="A1301" s="925"/>
      <c r="C1301" s="927"/>
      <c r="E1301" s="928"/>
      <c r="F1301" s="928"/>
      <c r="G1301" s="928"/>
    </row>
    <row r="1302" spans="1:7">
      <c r="A1302" s="925"/>
      <c r="C1302" s="927"/>
      <c r="E1302" s="928"/>
      <c r="F1302" s="928"/>
      <c r="G1302" s="928"/>
    </row>
    <row r="1303" spans="1:7">
      <c r="A1303" s="925"/>
      <c r="C1303" s="927"/>
      <c r="E1303" s="928"/>
      <c r="F1303" s="928"/>
      <c r="G1303" s="928"/>
    </row>
    <row r="1304" spans="1:7">
      <c r="A1304" s="925"/>
      <c r="C1304" s="927"/>
      <c r="E1304" s="928"/>
      <c r="F1304" s="928"/>
      <c r="G1304" s="928"/>
    </row>
    <row r="1305" spans="1:7">
      <c r="A1305" s="925"/>
      <c r="C1305" s="927"/>
      <c r="E1305" s="928"/>
      <c r="F1305" s="928"/>
      <c r="G1305" s="928"/>
    </row>
    <row r="1306" spans="1:7">
      <c r="A1306" s="925"/>
      <c r="C1306" s="927"/>
      <c r="E1306" s="928"/>
      <c r="F1306" s="928"/>
      <c r="G1306" s="928"/>
    </row>
    <row r="1307" spans="1:7">
      <c r="A1307" s="925"/>
      <c r="C1307" s="927"/>
      <c r="E1307" s="928"/>
      <c r="F1307" s="928"/>
      <c r="G1307" s="928"/>
    </row>
    <row r="1308" spans="1:7">
      <c r="A1308" s="925"/>
      <c r="C1308" s="927"/>
      <c r="E1308" s="928"/>
      <c r="F1308" s="928"/>
      <c r="G1308" s="928"/>
    </row>
    <row r="1309" spans="1:7">
      <c r="A1309" s="925"/>
      <c r="C1309" s="927"/>
      <c r="E1309" s="928"/>
      <c r="F1309" s="928"/>
      <c r="G1309" s="928"/>
    </row>
    <row r="1310" spans="1:7">
      <c r="A1310" s="925"/>
      <c r="C1310" s="927"/>
      <c r="E1310" s="928"/>
      <c r="F1310" s="928"/>
      <c r="G1310" s="928"/>
    </row>
    <row r="1311" spans="1:7">
      <c r="A1311" s="925"/>
      <c r="C1311" s="927"/>
      <c r="E1311" s="928"/>
      <c r="F1311" s="928"/>
      <c r="G1311" s="928"/>
    </row>
    <row r="1312" spans="1:7">
      <c r="A1312" s="925"/>
      <c r="C1312" s="927"/>
      <c r="E1312" s="928"/>
      <c r="F1312" s="928"/>
      <c r="G1312" s="928"/>
    </row>
    <row r="1313" spans="1:7">
      <c r="A1313" s="925"/>
      <c r="C1313" s="927"/>
      <c r="E1313" s="928"/>
      <c r="F1313" s="928"/>
      <c r="G1313" s="928"/>
    </row>
    <row r="1314" spans="1:7">
      <c r="A1314" s="925"/>
      <c r="C1314" s="927"/>
      <c r="E1314" s="928"/>
      <c r="F1314" s="928"/>
      <c r="G1314" s="928"/>
    </row>
    <row r="1315" spans="1:7">
      <c r="A1315" s="925"/>
      <c r="C1315" s="927"/>
      <c r="E1315" s="928"/>
      <c r="F1315" s="928"/>
      <c r="G1315" s="928"/>
    </row>
    <row r="1316" spans="1:7">
      <c r="A1316" s="925"/>
      <c r="C1316" s="927"/>
      <c r="E1316" s="928"/>
      <c r="F1316" s="928"/>
      <c r="G1316" s="928"/>
    </row>
    <row r="1317" spans="1:7">
      <c r="A1317" s="925"/>
      <c r="C1317" s="927"/>
      <c r="E1317" s="928"/>
      <c r="F1317" s="928"/>
      <c r="G1317" s="928"/>
    </row>
    <row r="1318" spans="1:7">
      <c r="A1318" s="925"/>
      <c r="C1318" s="927"/>
      <c r="E1318" s="928"/>
      <c r="F1318" s="928"/>
      <c r="G1318" s="928"/>
    </row>
    <row r="1319" spans="1:7">
      <c r="A1319" s="925"/>
      <c r="C1319" s="927"/>
      <c r="E1319" s="928"/>
      <c r="F1319" s="928"/>
      <c r="G1319" s="928"/>
    </row>
    <row r="1320" spans="1:7">
      <c r="A1320" s="925"/>
      <c r="C1320" s="927"/>
      <c r="E1320" s="928"/>
      <c r="F1320" s="928"/>
      <c r="G1320" s="928"/>
    </row>
    <row r="1321" spans="1:7">
      <c r="A1321" s="925"/>
      <c r="C1321" s="927"/>
      <c r="E1321" s="928"/>
      <c r="F1321" s="928"/>
      <c r="G1321" s="928"/>
    </row>
    <row r="1322" spans="1:7">
      <c r="A1322" s="925"/>
      <c r="C1322" s="927"/>
      <c r="E1322" s="928"/>
      <c r="F1322" s="928"/>
      <c r="G1322" s="928"/>
    </row>
    <row r="1323" spans="1:7">
      <c r="A1323" s="925"/>
      <c r="C1323" s="927"/>
      <c r="E1323" s="928"/>
      <c r="F1323" s="928"/>
      <c r="G1323" s="928"/>
    </row>
    <row r="1324" spans="1:7">
      <c r="A1324" s="925"/>
      <c r="C1324" s="927"/>
      <c r="E1324" s="928"/>
      <c r="F1324" s="928"/>
      <c r="G1324" s="928"/>
    </row>
    <row r="1325" spans="1:7">
      <c r="A1325" s="925"/>
      <c r="C1325" s="927"/>
      <c r="E1325" s="928"/>
      <c r="F1325" s="928"/>
      <c r="G1325" s="928"/>
    </row>
    <row r="1326" spans="1:7">
      <c r="A1326" s="925"/>
      <c r="C1326" s="927"/>
      <c r="E1326" s="928"/>
      <c r="F1326" s="928"/>
      <c r="G1326" s="928"/>
    </row>
    <row r="1327" spans="1:7">
      <c r="A1327" s="925"/>
      <c r="C1327" s="927"/>
      <c r="E1327" s="928"/>
      <c r="F1327" s="928"/>
      <c r="G1327" s="928"/>
    </row>
    <row r="1328" spans="1:7">
      <c r="A1328" s="925"/>
      <c r="C1328" s="927"/>
      <c r="E1328" s="928"/>
      <c r="F1328" s="928"/>
      <c r="G1328" s="928"/>
    </row>
    <row r="1329" spans="1:7">
      <c r="A1329" s="925"/>
      <c r="C1329" s="927"/>
      <c r="E1329" s="928"/>
      <c r="F1329" s="928"/>
      <c r="G1329" s="928"/>
    </row>
    <row r="1330" spans="1:7">
      <c r="A1330" s="925"/>
      <c r="C1330" s="927"/>
      <c r="E1330" s="928"/>
      <c r="F1330" s="928"/>
      <c r="G1330" s="928"/>
    </row>
    <row r="1331" spans="1:7">
      <c r="A1331" s="925"/>
      <c r="C1331" s="927"/>
      <c r="E1331" s="928"/>
      <c r="F1331" s="928"/>
      <c r="G1331" s="928"/>
    </row>
    <row r="1332" spans="1:7">
      <c r="A1332" s="925"/>
      <c r="C1332" s="927"/>
      <c r="E1332" s="928"/>
      <c r="F1332" s="928"/>
      <c r="G1332" s="928"/>
    </row>
    <row r="1333" spans="1:7">
      <c r="A1333" s="925"/>
      <c r="C1333" s="927"/>
      <c r="E1333" s="928"/>
      <c r="F1333" s="928"/>
      <c r="G1333" s="928"/>
    </row>
    <row r="1334" spans="1:7">
      <c r="A1334" s="925"/>
      <c r="C1334" s="927"/>
      <c r="E1334" s="928"/>
      <c r="F1334" s="928"/>
      <c r="G1334" s="928"/>
    </row>
    <row r="1335" spans="1:7">
      <c r="A1335" s="925"/>
      <c r="C1335" s="927"/>
      <c r="E1335" s="928"/>
      <c r="F1335" s="928"/>
      <c r="G1335" s="928"/>
    </row>
    <row r="1336" spans="1:7">
      <c r="A1336" s="925"/>
      <c r="C1336" s="927"/>
      <c r="E1336" s="928"/>
      <c r="F1336" s="928"/>
      <c r="G1336" s="928"/>
    </row>
    <row r="1337" spans="1:7">
      <c r="A1337" s="925"/>
      <c r="C1337" s="927"/>
      <c r="E1337" s="928"/>
      <c r="F1337" s="928"/>
      <c r="G1337" s="928"/>
    </row>
    <row r="1338" spans="1:7">
      <c r="A1338" s="925"/>
      <c r="C1338" s="927"/>
      <c r="E1338" s="928"/>
      <c r="F1338" s="928"/>
      <c r="G1338" s="928"/>
    </row>
    <row r="1339" spans="1:7">
      <c r="A1339" s="925"/>
      <c r="C1339" s="927"/>
      <c r="E1339" s="928"/>
      <c r="F1339" s="928"/>
      <c r="G1339" s="928"/>
    </row>
    <row r="1340" spans="1:7">
      <c r="A1340" s="925"/>
      <c r="C1340" s="927"/>
      <c r="E1340" s="928"/>
      <c r="F1340" s="928"/>
      <c r="G1340" s="928"/>
    </row>
    <row r="1341" spans="1:7">
      <c r="A1341" s="925"/>
      <c r="C1341" s="927"/>
      <c r="E1341" s="928"/>
      <c r="F1341" s="928"/>
      <c r="G1341" s="928"/>
    </row>
    <row r="1342" spans="1:7">
      <c r="A1342" s="925"/>
      <c r="C1342" s="927"/>
      <c r="E1342" s="928"/>
      <c r="F1342" s="928"/>
      <c r="G1342" s="928"/>
    </row>
    <row r="1343" spans="1:7">
      <c r="C1343" s="927"/>
      <c r="E1343" s="928"/>
      <c r="F1343" s="928"/>
      <c r="G1343" s="928"/>
    </row>
    <row r="1344" spans="1:7">
      <c r="C1344" s="927"/>
      <c r="E1344" s="928"/>
      <c r="F1344" s="928"/>
      <c r="G1344" s="928"/>
    </row>
    <row r="1345" spans="3:7">
      <c r="C1345" s="927"/>
      <c r="E1345" s="928"/>
      <c r="F1345" s="928"/>
      <c r="G1345" s="928"/>
    </row>
    <row r="1346" spans="3:7">
      <c r="C1346" s="927"/>
      <c r="E1346" s="928"/>
      <c r="F1346" s="928"/>
      <c r="G1346" s="928"/>
    </row>
    <row r="1347" spans="3:7">
      <c r="C1347" s="927"/>
      <c r="E1347" s="928"/>
      <c r="F1347" s="928"/>
      <c r="G1347" s="928"/>
    </row>
    <row r="1348" spans="3:7">
      <c r="C1348" s="927"/>
      <c r="E1348" s="928"/>
      <c r="F1348" s="928"/>
      <c r="G1348" s="928"/>
    </row>
    <row r="1349" spans="3:7">
      <c r="C1349" s="927"/>
      <c r="E1349" s="928"/>
      <c r="F1349" s="928"/>
      <c r="G1349" s="928"/>
    </row>
    <row r="1350" spans="3:7">
      <c r="C1350" s="927"/>
      <c r="E1350" s="928"/>
      <c r="F1350" s="928"/>
      <c r="G1350" s="928"/>
    </row>
    <row r="1351" spans="3:7">
      <c r="C1351" s="927"/>
      <c r="E1351" s="928"/>
      <c r="F1351" s="928"/>
      <c r="G1351" s="928"/>
    </row>
    <row r="1352" spans="3:7">
      <c r="C1352" s="927"/>
      <c r="E1352" s="928"/>
      <c r="F1352" s="928"/>
      <c r="G1352" s="928"/>
    </row>
    <row r="1353" spans="3:7">
      <c r="C1353" s="927"/>
      <c r="E1353" s="928"/>
      <c r="F1353" s="928"/>
      <c r="G1353" s="928"/>
    </row>
    <row r="1354" spans="3:7">
      <c r="C1354" s="927"/>
      <c r="E1354" s="928"/>
      <c r="F1354" s="928"/>
      <c r="G1354" s="928"/>
    </row>
    <row r="1355" spans="3:7">
      <c r="C1355" s="927"/>
      <c r="E1355" s="928"/>
      <c r="F1355" s="928"/>
      <c r="G1355" s="928"/>
    </row>
    <row r="1356" spans="3:7">
      <c r="C1356" s="927"/>
      <c r="E1356" s="928"/>
      <c r="F1356" s="928"/>
      <c r="G1356" s="928"/>
    </row>
    <row r="1357" spans="3:7">
      <c r="C1357" s="927"/>
      <c r="E1357" s="928"/>
      <c r="F1357" s="928"/>
      <c r="G1357" s="928"/>
    </row>
    <row r="1358" spans="3:7">
      <c r="C1358" s="927"/>
      <c r="E1358" s="928"/>
      <c r="F1358" s="928"/>
      <c r="G1358" s="928"/>
    </row>
    <row r="1359" spans="3:7">
      <c r="C1359" s="927"/>
      <c r="E1359" s="928"/>
      <c r="F1359" s="928"/>
      <c r="G1359" s="928"/>
    </row>
    <row r="1360" spans="3:7">
      <c r="C1360" s="927"/>
      <c r="E1360" s="928"/>
      <c r="F1360" s="928"/>
      <c r="G1360" s="928"/>
    </row>
    <row r="1361" spans="3:7">
      <c r="C1361" s="927"/>
      <c r="E1361" s="928"/>
      <c r="F1361" s="928"/>
      <c r="G1361" s="928"/>
    </row>
    <row r="1362" spans="3:7">
      <c r="C1362" s="927"/>
      <c r="E1362" s="928"/>
      <c r="F1362" s="928"/>
      <c r="G1362" s="928"/>
    </row>
    <row r="1363" spans="3:7">
      <c r="C1363" s="927"/>
      <c r="E1363" s="928"/>
      <c r="F1363" s="928"/>
      <c r="G1363" s="928"/>
    </row>
    <row r="1364" spans="3:7">
      <c r="C1364" s="927"/>
      <c r="E1364" s="928"/>
      <c r="F1364" s="928"/>
      <c r="G1364" s="928"/>
    </row>
    <row r="1365" spans="3:7">
      <c r="C1365" s="927"/>
      <c r="E1365" s="928"/>
      <c r="F1365" s="928"/>
      <c r="G1365" s="928"/>
    </row>
    <row r="1366" spans="3:7">
      <c r="C1366" s="927"/>
      <c r="E1366" s="928"/>
      <c r="F1366" s="928"/>
      <c r="G1366" s="928"/>
    </row>
    <row r="1367" spans="3:7">
      <c r="C1367" s="927"/>
      <c r="E1367" s="928"/>
      <c r="F1367" s="928"/>
      <c r="G1367" s="928"/>
    </row>
    <row r="1368" spans="3:7">
      <c r="C1368" s="927"/>
      <c r="E1368" s="928"/>
      <c r="F1368" s="928"/>
      <c r="G1368" s="928"/>
    </row>
    <row r="1369" spans="3:7">
      <c r="C1369" s="927"/>
      <c r="E1369" s="928"/>
      <c r="F1369" s="928"/>
      <c r="G1369" s="928"/>
    </row>
    <row r="1370" spans="3:7">
      <c r="C1370" s="927"/>
      <c r="E1370" s="928"/>
      <c r="F1370" s="928"/>
      <c r="G1370" s="928"/>
    </row>
    <row r="1371" spans="3:7">
      <c r="C1371" s="927"/>
      <c r="E1371" s="928"/>
      <c r="F1371" s="928"/>
      <c r="G1371" s="928"/>
    </row>
    <row r="1372" spans="3:7">
      <c r="C1372" s="927"/>
      <c r="E1372" s="928"/>
      <c r="F1372" s="928"/>
      <c r="G1372" s="928"/>
    </row>
    <row r="1373" spans="3:7">
      <c r="C1373" s="927"/>
      <c r="E1373" s="928"/>
      <c r="F1373" s="928"/>
      <c r="G1373" s="928"/>
    </row>
    <row r="1374" spans="3:7">
      <c r="C1374" s="927"/>
      <c r="E1374" s="928"/>
      <c r="F1374" s="928"/>
      <c r="G1374" s="928"/>
    </row>
    <row r="1375" spans="3:7">
      <c r="C1375" s="927"/>
      <c r="E1375" s="928"/>
      <c r="F1375" s="928"/>
      <c r="G1375" s="928"/>
    </row>
    <row r="1376" spans="3:7">
      <c r="C1376" s="927"/>
      <c r="E1376" s="928"/>
      <c r="F1376" s="928"/>
      <c r="G1376" s="928"/>
    </row>
    <row r="1377" spans="3:7">
      <c r="C1377" s="927"/>
      <c r="E1377" s="928"/>
      <c r="F1377" s="928"/>
      <c r="G1377" s="928"/>
    </row>
    <row r="1378" spans="3:7">
      <c r="C1378" s="927"/>
      <c r="E1378" s="928"/>
      <c r="F1378" s="928"/>
      <c r="G1378" s="928"/>
    </row>
    <row r="1379" spans="3:7">
      <c r="C1379" s="927"/>
      <c r="E1379" s="928"/>
      <c r="F1379" s="928"/>
      <c r="G1379" s="928"/>
    </row>
    <row r="1380" spans="3:7">
      <c r="C1380" s="927"/>
      <c r="E1380" s="928"/>
      <c r="F1380" s="928"/>
      <c r="G1380" s="928"/>
    </row>
    <row r="1381" spans="3:7">
      <c r="C1381" s="927"/>
      <c r="E1381" s="928"/>
      <c r="F1381" s="928"/>
      <c r="G1381" s="928"/>
    </row>
    <row r="1382" spans="3:7">
      <c r="C1382" s="927"/>
      <c r="E1382" s="928"/>
      <c r="F1382" s="928"/>
      <c r="G1382" s="928"/>
    </row>
    <row r="1383" spans="3:7">
      <c r="C1383" s="927"/>
      <c r="E1383" s="928"/>
      <c r="F1383" s="928"/>
      <c r="G1383" s="928"/>
    </row>
    <row r="1384" spans="3:7">
      <c r="C1384" s="927"/>
      <c r="E1384" s="928"/>
      <c r="F1384" s="928"/>
      <c r="G1384" s="928"/>
    </row>
    <row r="1385" spans="3:7">
      <c r="C1385" s="927"/>
      <c r="E1385" s="928"/>
      <c r="F1385" s="928"/>
      <c r="G1385" s="928"/>
    </row>
    <row r="1386" spans="3:7">
      <c r="C1386" s="927"/>
      <c r="E1386" s="928"/>
      <c r="F1386" s="928"/>
      <c r="G1386" s="928"/>
    </row>
    <row r="1387" spans="3:7">
      <c r="C1387" s="927"/>
      <c r="E1387" s="928"/>
      <c r="F1387" s="928"/>
      <c r="G1387" s="928"/>
    </row>
    <row r="1388" spans="3:7">
      <c r="C1388" s="927"/>
      <c r="E1388" s="928"/>
      <c r="F1388" s="928"/>
      <c r="G1388" s="928"/>
    </row>
    <row r="1389" spans="3:7">
      <c r="C1389" s="927"/>
      <c r="E1389" s="928"/>
      <c r="F1389" s="928"/>
      <c r="G1389" s="928"/>
    </row>
    <row r="1390" spans="3:7">
      <c r="C1390" s="927"/>
      <c r="E1390" s="928"/>
      <c r="F1390" s="928"/>
      <c r="G1390" s="928"/>
    </row>
    <row r="1391" spans="3:7">
      <c r="C1391" s="927"/>
      <c r="E1391" s="928"/>
      <c r="F1391" s="928"/>
      <c r="G1391" s="928"/>
    </row>
    <row r="1392" spans="3:7">
      <c r="C1392" s="927"/>
      <c r="E1392" s="928"/>
      <c r="F1392" s="928"/>
      <c r="G1392" s="928"/>
    </row>
    <row r="1393" spans="3:7">
      <c r="C1393" s="927"/>
      <c r="E1393" s="928"/>
      <c r="F1393" s="928"/>
      <c r="G1393" s="928"/>
    </row>
    <row r="1394" spans="3:7">
      <c r="C1394" s="927"/>
      <c r="E1394" s="928"/>
      <c r="F1394" s="928"/>
      <c r="G1394" s="928"/>
    </row>
    <row r="1395" spans="3:7">
      <c r="C1395" s="927"/>
      <c r="E1395" s="928"/>
      <c r="F1395" s="928"/>
      <c r="G1395" s="928"/>
    </row>
    <row r="1396" spans="3:7">
      <c r="C1396" s="927"/>
      <c r="E1396" s="928"/>
      <c r="F1396" s="928"/>
      <c r="G1396" s="928"/>
    </row>
    <row r="1397" spans="3:7">
      <c r="C1397" s="927"/>
      <c r="E1397" s="928"/>
      <c r="F1397" s="928"/>
      <c r="G1397" s="928"/>
    </row>
    <row r="1398" spans="3:7">
      <c r="C1398" s="927"/>
      <c r="E1398" s="928"/>
      <c r="F1398" s="928"/>
      <c r="G1398" s="928"/>
    </row>
    <row r="1399" spans="3:7">
      <c r="C1399" s="927"/>
      <c r="E1399" s="928"/>
      <c r="F1399" s="928"/>
      <c r="G1399" s="928"/>
    </row>
    <row r="1400" spans="3:7">
      <c r="C1400" s="927"/>
      <c r="E1400" s="928"/>
      <c r="F1400" s="928"/>
      <c r="G1400" s="928"/>
    </row>
    <row r="1401" spans="3:7">
      <c r="C1401" s="927"/>
      <c r="E1401" s="928"/>
      <c r="F1401" s="928"/>
      <c r="G1401" s="928"/>
    </row>
    <row r="1402" spans="3:7">
      <c r="C1402" s="927"/>
      <c r="E1402" s="928"/>
      <c r="F1402" s="928"/>
      <c r="G1402" s="928"/>
    </row>
    <row r="1403" spans="3:7">
      <c r="C1403" s="927"/>
      <c r="E1403" s="928"/>
      <c r="F1403" s="928"/>
      <c r="G1403" s="928"/>
    </row>
    <row r="1404" spans="3:7">
      <c r="C1404" s="927"/>
      <c r="E1404" s="928"/>
      <c r="F1404" s="928"/>
      <c r="G1404" s="928"/>
    </row>
    <row r="1405" spans="3:7">
      <c r="C1405" s="927"/>
      <c r="E1405" s="928"/>
      <c r="F1405" s="928"/>
      <c r="G1405" s="928"/>
    </row>
    <row r="1406" spans="3:7">
      <c r="C1406" s="927"/>
      <c r="E1406" s="928"/>
      <c r="F1406" s="928"/>
      <c r="G1406" s="928"/>
    </row>
    <row r="1407" spans="3:7">
      <c r="C1407" s="927"/>
      <c r="E1407" s="928"/>
      <c r="F1407" s="928"/>
      <c r="G1407" s="928"/>
    </row>
    <row r="1408" spans="3:7">
      <c r="C1408" s="927"/>
      <c r="E1408" s="928"/>
      <c r="F1408" s="928"/>
      <c r="G1408" s="928"/>
    </row>
    <row r="1409" spans="3:7">
      <c r="C1409" s="927"/>
      <c r="E1409" s="928"/>
      <c r="F1409" s="928"/>
      <c r="G1409" s="928"/>
    </row>
    <row r="1410" spans="3:7">
      <c r="C1410" s="927"/>
      <c r="E1410" s="928"/>
      <c r="F1410" s="928"/>
      <c r="G1410" s="928"/>
    </row>
    <row r="1411" spans="3:7">
      <c r="C1411" s="927"/>
      <c r="E1411" s="928"/>
      <c r="F1411" s="928"/>
      <c r="G1411" s="928"/>
    </row>
    <row r="1412" spans="3:7">
      <c r="C1412" s="927"/>
      <c r="E1412" s="928"/>
      <c r="F1412" s="928"/>
      <c r="G1412" s="928"/>
    </row>
    <row r="1413" spans="3:7">
      <c r="C1413" s="927"/>
      <c r="E1413" s="928"/>
      <c r="F1413" s="928"/>
      <c r="G1413" s="928"/>
    </row>
    <row r="1414" spans="3:7">
      <c r="C1414" s="927"/>
      <c r="E1414" s="928"/>
      <c r="F1414" s="928"/>
      <c r="G1414" s="928"/>
    </row>
    <row r="1415" spans="3:7">
      <c r="C1415" s="927"/>
      <c r="E1415" s="928"/>
      <c r="F1415" s="928"/>
      <c r="G1415" s="928"/>
    </row>
    <row r="1416" spans="3:7">
      <c r="C1416" s="927"/>
      <c r="E1416" s="928"/>
      <c r="F1416" s="928"/>
      <c r="G1416" s="928"/>
    </row>
    <row r="1417" spans="3:7">
      <c r="C1417" s="927"/>
      <c r="E1417" s="928"/>
      <c r="F1417" s="928"/>
      <c r="G1417" s="928"/>
    </row>
    <row r="1418" spans="3:7">
      <c r="C1418" s="927"/>
      <c r="E1418" s="928"/>
      <c r="F1418" s="928"/>
      <c r="G1418" s="928"/>
    </row>
    <row r="1419" spans="3:7">
      <c r="C1419" s="927"/>
      <c r="E1419" s="928"/>
      <c r="F1419" s="928"/>
      <c r="G1419" s="928"/>
    </row>
    <row r="1420" spans="3:7">
      <c r="C1420" s="927"/>
      <c r="E1420" s="928"/>
      <c r="F1420" s="928"/>
      <c r="G1420" s="928"/>
    </row>
    <row r="1421" spans="3:7">
      <c r="C1421" s="927"/>
      <c r="E1421" s="928"/>
      <c r="F1421" s="928"/>
      <c r="G1421" s="928"/>
    </row>
    <row r="1422" spans="3:7">
      <c r="C1422" s="927"/>
      <c r="E1422" s="928"/>
      <c r="F1422" s="928"/>
      <c r="G1422" s="928"/>
    </row>
    <row r="1423" spans="3:7">
      <c r="C1423" s="927"/>
      <c r="E1423" s="928"/>
      <c r="F1423" s="928"/>
      <c r="G1423" s="928"/>
    </row>
    <row r="1424" spans="3:7">
      <c r="C1424" s="927"/>
      <c r="E1424" s="928"/>
      <c r="F1424" s="928"/>
      <c r="G1424" s="928"/>
    </row>
    <row r="1425" spans="3:7">
      <c r="C1425" s="927"/>
      <c r="E1425" s="928"/>
      <c r="F1425" s="928"/>
      <c r="G1425" s="928"/>
    </row>
    <row r="1426" spans="3:7">
      <c r="C1426" s="927"/>
      <c r="E1426" s="928"/>
      <c r="F1426" s="928"/>
      <c r="G1426" s="928"/>
    </row>
    <row r="1427" spans="3:7">
      <c r="C1427" s="927"/>
      <c r="E1427" s="928"/>
      <c r="F1427" s="928"/>
      <c r="G1427" s="928"/>
    </row>
    <row r="1428" spans="3:7">
      <c r="C1428" s="927"/>
      <c r="E1428" s="928"/>
      <c r="F1428" s="928"/>
      <c r="G1428" s="928"/>
    </row>
    <row r="1429" spans="3:7">
      <c r="C1429" s="927"/>
      <c r="E1429" s="928"/>
      <c r="F1429" s="928"/>
      <c r="G1429" s="928"/>
    </row>
    <row r="1430" spans="3:7">
      <c r="C1430" s="927"/>
      <c r="E1430" s="928"/>
      <c r="F1430" s="928"/>
      <c r="G1430" s="928"/>
    </row>
    <row r="1431" spans="3:7">
      <c r="C1431" s="927"/>
      <c r="E1431" s="928"/>
      <c r="F1431" s="928"/>
      <c r="G1431" s="928"/>
    </row>
    <row r="1432" spans="3:7">
      <c r="C1432" s="927"/>
      <c r="E1432" s="928"/>
      <c r="F1432" s="928"/>
      <c r="G1432" s="928"/>
    </row>
    <row r="1433" spans="3:7">
      <c r="C1433" s="927"/>
      <c r="E1433" s="928"/>
      <c r="F1433" s="928"/>
      <c r="G1433" s="928"/>
    </row>
    <row r="1434" spans="3:7">
      <c r="C1434" s="927"/>
      <c r="E1434" s="928"/>
      <c r="F1434" s="928"/>
      <c r="G1434" s="928"/>
    </row>
    <row r="1435" spans="3:7">
      <c r="C1435" s="927"/>
      <c r="E1435" s="928"/>
      <c r="F1435" s="928"/>
      <c r="G1435" s="928"/>
    </row>
    <row r="1436" spans="3:7">
      <c r="C1436" s="927"/>
      <c r="E1436" s="928"/>
      <c r="F1436" s="928"/>
      <c r="G1436" s="928"/>
    </row>
    <row r="1437" spans="3:7">
      <c r="C1437" s="927"/>
      <c r="E1437" s="928"/>
      <c r="F1437" s="928"/>
      <c r="G1437" s="928"/>
    </row>
    <row r="1438" spans="3:7">
      <c r="C1438" s="927"/>
      <c r="E1438" s="928"/>
      <c r="F1438" s="928"/>
      <c r="G1438" s="928"/>
    </row>
    <row r="1439" spans="3:7">
      <c r="C1439" s="927"/>
      <c r="E1439" s="928"/>
      <c r="F1439" s="928"/>
      <c r="G1439" s="928"/>
    </row>
    <row r="1440" spans="3:7">
      <c r="C1440" s="927"/>
      <c r="E1440" s="928"/>
      <c r="F1440" s="928"/>
      <c r="G1440" s="928"/>
    </row>
    <row r="1441" spans="3:7">
      <c r="C1441" s="927"/>
      <c r="E1441" s="928"/>
      <c r="F1441" s="928"/>
      <c r="G1441" s="928"/>
    </row>
    <row r="1442" spans="3:7">
      <c r="C1442" s="927"/>
      <c r="E1442" s="928"/>
      <c r="F1442" s="928"/>
      <c r="G1442" s="928"/>
    </row>
    <row r="1443" spans="3:7">
      <c r="C1443" s="927"/>
      <c r="E1443" s="928"/>
      <c r="F1443" s="928"/>
      <c r="G1443" s="928"/>
    </row>
    <row r="1444" spans="3:7">
      <c r="C1444" s="927"/>
      <c r="E1444" s="928"/>
      <c r="F1444" s="928"/>
      <c r="G1444" s="928"/>
    </row>
    <row r="1445" spans="3:7">
      <c r="C1445" s="927"/>
      <c r="E1445" s="928"/>
      <c r="F1445" s="928"/>
      <c r="G1445" s="928"/>
    </row>
    <row r="1446" spans="3:7">
      <c r="C1446" s="927"/>
      <c r="E1446" s="928"/>
      <c r="F1446" s="928"/>
      <c r="G1446" s="928"/>
    </row>
    <row r="1447" spans="3:7">
      <c r="C1447" s="927"/>
      <c r="E1447" s="928"/>
      <c r="F1447" s="928"/>
      <c r="G1447" s="928"/>
    </row>
    <row r="1448" spans="3:7">
      <c r="C1448" s="927"/>
      <c r="E1448" s="928"/>
      <c r="F1448" s="928"/>
      <c r="G1448" s="928"/>
    </row>
    <row r="1449" spans="3:7">
      <c r="C1449" s="927"/>
      <c r="E1449" s="928"/>
      <c r="F1449" s="928"/>
      <c r="G1449" s="928"/>
    </row>
    <row r="1450" spans="3:7">
      <c r="C1450" s="927"/>
      <c r="E1450" s="928"/>
      <c r="F1450" s="928"/>
      <c r="G1450" s="928"/>
    </row>
    <row r="1451" spans="3:7">
      <c r="C1451" s="927"/>
      <c r="E1451" s="928"/>
      <c r="F1451" s="928"/>
      <c r="G1451" s="928"/>
    </row>
    <row r="1452" spans="3:7">
      <c r="C1452" s="927"/>
      <c r="E1452" s="928"/>
      <c r="F1452" s="928"/>
      <c r="G1452" s="928"/>
    </row>
    <row r="1453" spans="3:7">
      <c r="C1453" s="927"/>
      <c r="E1453" s="928"/>
      <c r="F1453" s="928"/>
      <c r="G1453" s="928"/>
    </row>
    <row r="1454" spans="3:7">
      <c r="C1454" s="927"/>
      <c r="E1454" s="928"/>
      <c r="F1454" s="928"/>
      <c r="G1454" s="928"/>
    </row>
    <row r="1455" spans="3:7">
      <c r="C1455" s="927"/>
      <c r="E1455" s="928"/>
      <c r="F1455" s="928"/>
      <c r="G1455" s="928"/>
    </row>
    <row r="1456" spans="3:7">
      <c r="C1456" s="927"/>
      <c r="E1456" s="928"/>
      <c r="F1456" s="928"/>
      <c r="G1456" s="928"/>
    </row>
    <row r="1457" spans="3:7">
      <c r="C1457" s="927"/>
      <c r="E1457" s="928"/>
      <c r="F1457" s="928"/>
      <c r="G1457" s="928"/>
    </row>
    <row r="1458" spans="3:7">
      <c r="C1458" s="927"/>
      <c r="E1458" s="928"/>
      <c r="F1458" s="928"/>
      <c r="G1458" s="928"/>
    </row>
    <row r="1459" spans="3:7">
      <c r="C1459" s="927"/>
      <c r="E1459" s="928"/>
      <c r="F1459" s="928"/>
      <c r="G1459" s="928"/>
    </row>
    <row r="1460" spans="3:7">
      <c r="C1460" s="927"/>
      <c r="E1460" s="928"/>
      <c r="F1460" s="928"/>
      <c r="G1460" s="928"/>
    </row>
    <row r="1461" spans="3:7">
      <c r="C1461" s="927"/>
      <c r="E1461" s="928"/>
      <c r="F1461" s="928"/>
      <c r="G1461" s="928"/>
    </row>
    <row r="1462" spans="3:7">
      <c r="C1462" s="927"/>
      <c r="E1462" s="928"/>
      <c r="F1462" s="928"/>
      <c r="G1462" s="928"/>
    </row>
    <row r="1463" spans="3:7">
      <c r="C1463" s="927"/>
      <c r="E1463" s="928"/>
      <c r="F1463" s="928"/>
      <c r="G1463" s="928"/>
    </row>
    <row r="1464" spans="3:7">
      <c r="C1464" s="927"/>
      <c r="E1464" s="928"/>
      <c r="F1464" s="928"/>
      <c r="G1464" s="928"/>
    </row>
    <row r="1465" spans="3:7">
      <c r="C1465" s="927"/>
      <c r="E1465" s="928"/>
      <c r="F1465" s="928"/>
      <c r="G1465" s="928"/>
    </row>
    <row r="1466" spans="3:7">
      <c r="C1466" s="927"/>
      <c r="E1466" s="928"/>
      <c r="F1466" s="928"/>
      <c r="G1466" s="928"/>
    </row>
    <row r="1467" spans="3:7">
      <c r="C1467" s="927"/>
      <c r="E1467" s="928"/>
      <c r="F1467" s="928"/>
      <c r="G1467" s="928"/>
    </row>
    <row r="1468" spans="3:7">
      <c r="C1468" s="927"/>
      <c r="E1468" s="928"/>
      <c r="F1468" s="928"/>
      <c r="G1468" s="928"/>
    </row>
    <row r="1469" spans="3:7">
      <c r="C1469" s="927"/>
      <c r="E1469" s="928"/>
      <c r="F1469" s="928"/>
      <c r="G1469" s="928"/>
    </row>
    <row r="1470" spans="3:7">
      <c r="C1470" s="927"/>
      <c r="E1470" s="928"/>
      <c r="F1470" s="928"/>
      <c r="G1470" s="928"/>
    </row>
    <row r="1471" spans="3:7">
      <c r="C1471" s="927"/>
      <c r="E1471" s="928"/>
      <c r="F1471" s="928"/>
      <c r="G1471" s="928"/>
    </row>
    <row r="1472" spans="3:7">
      <c r="C1472" s="927"/>
      <c r="E1472" s="928"/>
      <c r="F1472" s="928"/>
      <c r="G1472" s="928"/>
    </row>
    <row r="1473" spans="3:7">
      <c r="C1473" s="927"/>
      <c r="E1473" s="928"/>
      <c r="F1473" s="928"/>
      <c r="G1473" s="928"/>
    </row>
    <row r="1474" spans="3:7">
      <c r="C1474" s="927"/>
      <c r="E1474" s="928"/>
      <c r="F1474" s="928"/>
      <c r="G1474" s="928"/>
    </row>
    <row r="1475" spans="3:7">
      <c r="C1475" s="927"/>
      <c r="E1475" s="928"/>
      <c r="F1475" s="928"/>
      <c r="G1475" s="928"/>
    </row>
    <row r="1476" spans="3:7">
      <c r="C1476" s="927"/>
      <c r="E1476" s="928"/>
      <c r="F1476" s="928"/>
      <c r="G1476" s="928"/>
    </row>
    <row r="1477" spans="3:7">
      <c r="C1477" s="927"/>
      <c r="E1477" s="928"/>
      <c r="F1477" s="928"/>
      <c r="G1477" s="928"/>
    </row>
    <row r="1478" spans="3:7">
      <c r="C1478" s="927"/>
      <c r="E1478" s="928"/>
      <c r="F1478" s="928"/>
      <c r="G1478" s="928"/>
    </row>
    <row r="1479" spans="3:7">
      <c r="C1479" s="927"/>
      <c r="E1479" s="928"/>
      <c r="F1479" s="928"/>
      <c r="G1479" s="928"/>
    </row>
    <row r="1480" spans="3:7">
      <c r="C1480" s="927"/>
      <c r="E1480" s="928"/>
      <c r="F1480" s="928"/>
      <c r="G1480" s="928"/>
    </row>
    <row r="1481" spans="3:7">
      <c r="C1481" s="927"/>
      <c r="E1481" s="928"/>
      <c r="F1481" s="928"/>
      <c r="G1481" s="928"/>
    </row>
    <row r="1482" spans="3:7">
      <c r="C1482" s="927"/>
      <c r="E1482" s="928"/>
      <c r="F1482" s="928"/>
      <c r="G1482" s="928"/>
    </row>
    <row r="1483" spans="3:7">
      <c r="C1483" s="927"/>
      <c r="E1483" s="928"/>
      <c r="F1483" s="928"/>
      <c r="G1483" s="928"/>
    </row>
    <row r="1484" spans="3:7">
      <c r="C1484" s="927"/>
      <c r="E1484" s="928"/>
      <c r="F1484" s="928"/>
      <c r="G1484" s="928"/>
    </row>
    <row r="1485" spans="3:7">
      <c r="C1485" s="927"/>
      <c r="E1485" s="928"/>
      <c r="F1485" s="928"/>
      <c r="G1485" s="928"/>
    </row>
    <row r="1486" spans="3:7">
      <c r="C1486" s="927"/>
      <c r="E1486" s="928"/>
      <c r="F1486" s="928"/>
      <c r="G1486" s="928"/>
    </row>
    <row r="1487" spans="3:7">
      <c r="C1487" s="927"/>
      <c r="E1487" s="928"/>
      <c r="F1487" s="928"/>
      <c r="G1487" s="928"/>
    </row>
    <row r="1488" spans="3:7">
      <c r="C1488" s="927"/>
      <c r="E1488" s="928"/>
      <c r="F1488" s="928"/>
      <c r="G1488" s="928"/>
    </row>
    <row r="1489" spans="3:7">
      <c r="C1489" s="927"/>
      <c r="E1489" s="928"/>
      <c r="F1489" s="928"/>
      <c r="G1489" s="928"/>
    </row>
    <row r="1490" spans="3:7">
      <c r="C1490" s="927"/>
      <c r="E1490" s="928"/>
      <c r="F1490" s="928"/>
      <c r="G1490" s="928"/>
    </row>
    <row r="1491" spans="3:7">
      <c r="C1491" s="927"/>
      <c r="E1491" s="928"/>
      <c r="F1491" s="928"/>
      <c r="G1491" s="928"/>
    </row>
    <row r="1492" spans="3:7">
      <c r="C1492" s="927"/>
      <c r="E1492" s="928"/>
      <c r="F1492" s="928"/>
      <c r="G1492" s="928"/>
    </row>
    <row r="1493" spans="3:7">
      <c r="C1493" s="927"/>
      <c r="E1493" s="928"/>
      <c r="F1493" s="928"/>
      <c r="G1493" s="928"/>
    </row>
    <row r="1494" spans="3:7">
      <c r="C1494" s="927"/>
      <c r="E1494" s="928"/>
      <c r="F1494" s="928"/>
      <c r="G1494" s="928"/>
    </row>
    <row r="1495" spans="3:7">
      <c r="C1495" s="927"/>
      <c r="E1495" s="928"/>
      <c r="F1495" s="928"/>
      <c r="G1495" s="928"/>
    </row>
    <row r="1496" spans="3:7">
      <c r="C1496" s="927"/>
      <c r="E1496" s="928"/>
      <c r="F1496" s="928"/>
      <c r="G1496" s="928"/>
    </row>
    <row r="1497" spans="3:7">
      <c r="C1497" s="927"/>
      <c r="E1497" s="928"/>
      <c r="F1497" s="928"/>
      <c r="G1497" s="928"/>
    </row>
    <row r="1498" spans="3:7">
      <c r="C1498" s="927"/>
      <c r="E1498" s="928"/>
      <c r="F1498" s="928"/>
      <c r="G1498" s="928"/>
    </row>
    <row r="1499" spans="3:7">
      <c r="C1499" s="927"/>
      <c r="E1499" s="928"/>
      <c r="F1499" s="928"/>
      <c r="G1499" s="928"/>
    </row>
    <row r="1500" spans="3:7">
      <c r="C1500" s="927"/>
      <c r="E1500" s="928"/>
      <c r="F1500" s="928"/>
      <c r="G1500" s="928"/>
    </row>
    <row r="1501" spans="3:7">
      <c r="C1501" s="927"/>
      <c r="E1501" s="928"/>
      <c r="F1501" s="928"/>
      <c r="G1501" s="928"/>
    </row>
    <row r="1502" spans="3:7">
      <c r="C1502" s="927"/>
      <c r="E1502" s="928"/>
      <c r="F1502" s="928"/>
      <c r="G1502" s="928"/>
    </row>
    <row r="1503" spans="3:7">
      <c r="C1503" s="927"/>
      <c r="E1503" s="928"/>
      <c r="F1503" s="928"/>
      <c r="G1503" s="928"/>
    </row>
    <row r="1504" spans="3:7">
      <c r="C1504" s="927"/>
      <c r="E1504" s="928"/>
      <c r="F1504" s="928"/>
      <c r="G1504" s="928"/>
    </row>
    <row r="1505" spans="3:7">
      <c r="C1505" s="927"/>
      <c r="E1505" s="928"/>
      <c r="F1505" s="928"/>
      <c r="G1505" s="928"/>
    </row>
    <row r="1506" spans="3:7">
      <c r="C1506" s="927"/>
      <c r="E1506" s="928"/>
      <c r="F1506" s="928"/>
      <c r="G1506" s="928"/>
    </row>
    <row r="1507" spans="3:7">
      <c r="C1507" s="927"/>
      <c r="E1507" s="928"/>
      <c r="F1507" s="928"/>
      <c r="G1507" s="928"/>
    </row>
    <row r="1508" spans="3:7">
      <c r="C1508" s="927"/>
      <c r="E1508" s="928"/>
      <c r="F1508" s="928"/>
      <c r="G1508" s="928"/>
    </row>
    <row r="1509" spans="3:7">
      <c r="C1509" s="927"/>
      <c r="E1509" s="928"/>
      <c r="F1509" s="928"/>
      <c r="G1509" s="928"/>
    </row>
    <row r="1510" spans="3:7">
      <c r="C1510" s="927"/>
      <c r="E1510" s="928"/>
      <c r="F1510" s="928"/>
      <c r="G1510" s="928"/>
    </row>
    <row r="1511" spans="3:7">
      <c r="C1511" s="927"/>
      <c r="E1511" s="928"/>
      <c r="F1511" s="928"/>
      <c r="G1511" s="928"/>
    </row>
    <row r="1512" spans="3:7">
      <c r="C1512" s="927"/>
      <c r="E1512" s="928"/>
      <c r="F1512" s="928"/>
      <c r="G1512" s="928"/>
    </row>
    <row r="1513" spans="3:7">
      <c r="C1513" s="927"/>
      <c r="E1513" s="928"/>
      <c r="F1513" s="928"/>
      <c r="G1513" s="928"/>
    </row>
    <row r="1514" spans="3:7">
      <c r="C1514" s="927"/>
      <c r="E1514" s="928"/>
      <c r="F1514" s="928"/>
      <c r="G1514" s="928"/>
    </row>
    <row r="1515" spans="3:7">
      <c r="C1515" s="927"/>
      <c r="E1515" s="928"/>
      <c r="F1515" s="928"/>
      <c r="G1515" s="928"/>
    </row>
    <row r="1516" spans="3:7">
      <c r="C1516" s="927"/>
      <c r="E1516" s="928"/>
      <c r="F1516" s="928"/>
      <c r="G1516" s="928"/>
    </row>
    <row r="1517" spans="3:7">
      <c r="C1517" s="927"/>
      <c r="E1517" s="928"/>
      <c r="F1517" s="928"/>
      <c r="G1517" s="928"/>
    </row>
    <row r="1518" spans="3:7">
      <c r="C1518" s="927"/>
      <c r="E1518" s="928"/>
      <c r="F1518" s="928"/>
      <c r="G1518" s="928"/>
    </row>
    <row r="1519" spans="3:7">
      <c r="C1519" s="927"/>
      <c r="E1519" s="928"/>
      <c r="F1519" s="928"/>
      <c r="G1519" s="928"/>
    </row>
    <row r="1520" spans="3:7">
      <c r="C1520" s="927"/>
      <c r="E1520" s="928"/>
      <c r="F1520" s="928"/>
      <c r="G1520" s="928"/>
    </row>
    <row r="1521" spans="3:7">
      <c r="C1521" s="927"/>
      <c r="E1521" s="928"/>
      <c r="F1521" s="928"/>
      <c r="G1521" s="928"/>
    </row>
    <row r="1522" spans="3:7">
      <c r="C1522" s="927"/>
      <c r="E1522" s="928"/>
      <c r="F1522" s="928"/>
      <c r="G1522" s="928"/>
    </row>
    <row r="1523" spans="3:7">
      <c r="C1523" s="927"/>
      <c r="E1523" s="928"/>
      <c r="F1523" s="928"/>
      <c r="G1523" s="928"/>
    </row>
    <row r="1524" spans="3:7">
      <c r="C1524" s="927"/>
      <c r="E1524" s="928"/>
      <c r="F1524" s="928"/>
      <c r="G1524" s="928"/>
    </row>
    <row r="1525" spans="3:7">
      <c r="C1525" s="927"/>
      <c r="E1525" s="928"/>
      <c r="F1525" s="928"/>
      <c r="G1525" s="928"/>
    </row>
    <row r="1526" spans="3:7">
      <c r="C1526" s="927"/>
      <c r="E1526" s="928"/>
      <c r="F1526" s="928"/>
      <c r="G1526" s="928"/>
    </row>
    <row r="1527" spans="3:7">
      <c r="C1527" s="927"/>
      <c r="E1527" s="928"/>
      <c r="F1527" s="928"/>
      <c r="G1527" s="928"/>
    </row>
    <row r="1528" spans="3:7">
      <c r="C1528" s="927"/>
      <c r="E1528" s="928"/>
      <c r="F1528" s="928"/>
      <c r="G1528" s="928"/>
    </row>
    <row r="1529" spans="3:7">
      <c r="C1529" s="927"/>
      <c r="E1529" s="928"/>
      <c r="F1529" s="928"/>
      <c r="G1529" s="928"/>
    </row>
    <row r="1530" spans="3:7">
      <c r="C1530" s="927"/>
      <c r="E1530" s="928"/>
      <c r="F1530" s="928"/>
      <c r="G1530" s="928"/>
    </row>
    <row r="1531" spans="3:7">
      <c r="C1531" s="927"/>
      <c r="E1531" s="928"/>
      <c r="F1531" s="928"/>
      <c r="G1531" s="928"/>
    </row>
    <row r="1532" spans="3:7">
      <c r="C1532" s="927"/>
      <c r="E1532" s="928"/>
      <c r="F1532" s="928"/>
      <c r="G1532" s="928"/>
    </row>
    <row r="1533" spans="3:7">
      <c r="C1533" s="927"/>
      <c r="E1533" s="928"/>
      <c r="F1533" s="928"/>
      <c r="G1533" s="928"/>
    </row>
    <row r="1534" spans="3:7">
      <c r="C1534" s="927"/>
      <c r="E1534" s="928"/>
      <c r="F1534" s="928"/>
      <c r="G1534" s="928"/>
    </row>
    <row r="1535" spans="3:7">
      <c r="C1535" s="927"/>
      <c r="E1535" s="928"/>
      <c r="F1535" s="928"/>
      <c r="G1535" s="928"/>
    </row>
    <row r="1536" spans="3:7">
      <c r="C1536" s="927"/>
      <c r="E1536" s="928"/>
      <c r="F1536" s="928"/>
      <c r="G1536" s="928"/>
    </row>
    <row r="1537" spans="3:7">
      <c r="C1537" s="927"/>
      <c r="E1537" s="928"/>
      <c r="F1537" s="928"/>
      <c r="G1537" s="928"/>
    </row>
    <row r="1538" spans="3:7">
      <c r="C1538" s="927"/>
      <c r="E1538" s="928"/>
      <c r="F1538" s="928"/>
      <c r="G1538" s="928"/>
    </row>
    <row r="1539" spans="3:7">
      <c r="C1539" s="927"/>
      <c r="E1539" s="928"/>
      <c r="F1539" s="928"/>
      <c r="G1539" s="928"/>
    </row>
    <row r="1540" spans="3:7">
      <c r="C1540" s="927"/>
      <c r="E1540" s="928"/>
      <c r="F1540" s="928"/>
      <c r="G1540" s="928"/>
    </row>
    <row r="1541" spans="3:7">
      <c r="C1541" s="927"/>
      <c r="E1541" s="928"/>
      <c r="F1541" s="928"/>
      <c r="G1541" s="928"/>
    </row>
    <row r="1542" spans="3:7">
      <c r="C1542" s="927"/>
      <c r="E1542" s="928"/>
      <c r="F1542" s="928"/>
      <c r="G1542" s="928"/>
    </row>
    <row r="1543" spans="3:7">
      <c r="C1543" s="927"/>
      <c r="E1543" s="928"/>
      <c r="F1543" s="928"/>
      <c r="G1543" s="928"/>
    </row>
    <row r="1544" spans="3:7">
      <c r="C1544" s="927"/>
      <c r="E1544" s="928"/>
      <c r="F1544" s="928"/>
      <c r="G1544" s="928"/>
    </row>
    <row r="1545" spans="3:7">
      <c r="C1545" s="927"/>
      <c r="E1545" s="928"/>
      <c r="F1545" s="928"/>
      <c r="G1545" s="928"/>
    </row>
    <row r="1546" spans="3:7">
      <c r="C1546" s="927"/>
      <c r="E1546" s="928"/>
      <c r="F1546" s="928"/>
      <c r="G1546" s="928"/>
    </row>
    <row r="1547" spans="3:7">
      <c r="C1547" s="927"/>
      <c r="E1547" s="928"/>
      <c r="F1547" s="928"/>
      <c r="G1547" s="928"/>
    </row>
    <row r="1548" spans="3:7">
      <c r="C1548" s="927"/>
      <c r="E1548" s="928"/>
      <c r="F1548" s="928"/>
      <c r="G1548" s="928"/>
    </row>
    <row r="1549" spans="3:7">
      <c r="C1549" s="927"/>
      <c r="E1549" s="928"/>
      <c r="F1549" s="928"/>
      <c r="G1549" s="928"/>
    </row>
    <row r="1550" spans="3:7">
      <c r="C1550" s="927"/>
      <c r="E1550" s="928"/>
      <c r="F1550" s="928"/>
      <c r="G1550" s="928"/>
    </row>
    <row r="1551" spans="3:7">
      <c r="C1551" s="927"/>
      <c r="E1551" s="928"/>
      <c r="F1551" s="928"/>
      <c r="G1551" s="928"/>
    </row>
    <row r="1552" spans="3:7">
      <c r="C1552" s="927"/>
      <c r="E1552" s="928"/>
      <c r="F1552" s="928"/>
      <c r="G1552" s="928"/>
    </row>
    <row r="1553" spans="3:7">
      <c r="C1553" s="927"/>
      <c r="E1553" s="928"/>
      <c r="F1553" s="928"/>
      <c r="G1553" s="928"/>
    </row>
    <row r="1554" spans="3:7">
      <c r="C1554" s="927"/>
      <c r="E1554" s="928"/>
      <c r="F1554" s="928"/>
      <c r="G1554" s="928"/>
    </row>
    <row r="1555" spans="3:7">
      <c r="C1555" s="927"/>
      <c r="E1555" s="928"/>
      <c r="F1555" s="928"/>
      <c r="G1555" s="928"/>
    </row>
    <row r="1556" spans="3:7">
      <c r="C1556" s="927"/>
      <c r="E1556" s="928"/>
      <c r="F1556" s="928"/>
      <c r="G1556" s="928"/>
    </row>
    <row r="1557" spans="3:7">
      <c r="C1557" s="927"/>
      <c r="E1557" s="928"/>
      <c r="F1557" s="928"/>
      <c r="G1557" s="928"/>
    </row>
    <row r="1558" spans="3:7">
      <c r="C1558" s="927"/>
      <c r="E1558" s="928"/>
      <c r="F1558" s="928"/>
      <c r="G1558" s="928"/>
    </row>
    <row r="1559" spans="3:7">
      <c r="C1559" s="927"/>
      <c r="E1559" s="928"/>
      <c r="F1559" s="928"/>
      <c r="G1559" s="928"/>
    </row>
    <row r="1560" spans="3:7">
      <c r="C1560" s="927"/>
      <c r="E1560" s="928"/>
      <c r="F1560" s="928"/>
      <c r="G1560" s="928"/>
    </row>
    <row r="1561" spans="3:7">
      <c r="C1561" s="927"/>
      <c r="E1561" s="928"/>
      <c r="F1561" s="928"/>
      <c r="G1561" s="928"/>
    </row>
    <row r="1562" spans="3:7">
      <c r="C1562" s="927"/>
      <c r="E1562" s="928"/>
      <c r="F1562" s="928"/>
      <c r="G1562" s="928"/>
    </row>
    <row r="1563" spans="3:7">
      <c r="C1563" s="927"/>
      <c r="E1563" s="928"/>
      <c r="F1563" s="928"/>
      <c r="G1563" s="928"/>
    </row>
    <row r="1564" spans="3:7">
      <c r="C1564" s="927"/>
      <c r="E1564" s="928"/>
      <c r="F1564" s="928"/>
      <c r="G1564" s="928"/>
    </row>
    <row r="1565" spans="3:7">
      <c r="C1565" s="927"/>
      <c r="E1565" s="928"/>
      <c r="F1565" s="928"/>
      <c r="G1565" s="928"/>
    </row>
    <row r="1566" spans="3:7">
      <c r="C1566" s="927"/>
      <c r="E1566" s="928"/>
      <c r="F1566" s="928"/>
      <c r="G1566" s="928"/>
    </row>
    <row r="1567" spans="3:7">
      <c r="C1567" s="927"/>
      <c r="E1567" s="928"/>
      <c r="F1567" s="928"/>
      <c r="G1567" s="928"/>
    </row>
    <row r="1568" spans="3:7">
      <c r="C1568" s="927"/>
      <c r="E1568" s="928"/>
      <c r="F1568" s="928"/>
      <c r="G1568" s="928"/>
    </row>
    <row r="1569" spans="3:7">
      <c r="C1569" s="927"/>
      <c r="E1569" s="928"/>
      <c r="F1569" s="928"/>
      <c r="G1569" s="928"/>
    </row>
    <row r="1570" spans="3:7">
      <c r="C1570" s="927"/>
      <c r="E1570" s="928"/>
      <c r="F1570" s="928"/>
      <c r="G1570" s="928"/>
    </row>
  </sheetData>
  <mergeCells count="1">
    <mergeCell ref="A1:C1"/>
  </mergeCells>
  <phoneticPr fontId="1" type="noConversion"/>
  <printOptions horizontalCentered="1"/>
  <pageMargins left="0.59055118110236227" right="0.59055118110236227" top="0.98425196850393704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H36"/>
  <sheetViews>
    <sheetView view="pageBreakPreview" zoomScale="60" zoomScaleNormal="50" workbookViewId="0">
      <selection activeCell="C2" sqref="C2:H2"/>
    </sheetView>
  </sheetViews>
  <sheetFormatPr defaultRowHeight="16.5"/>
  <cols>
    <col min="1" max="1" width="1.125" customWidth="1"/>
    <col min="2" max="2" width="3.125" customWidth="1"/>
    <col min="3" max="3" width="45.625" customWidth="1"/>
    <col min="4" max="6" width="15.625" customWidth="1"/>
    <col min="7" max="8" width="18.625" customWidth="1"/>
  </cols>
  <sheetData>
    <row r="1" spans="2:8" ht="6.75" customHeight="1">
      <c r="C1" s="1235"/>
      <c r="D1" s="1235"/>
      <c r="E1" s="1235"/>
      <c r="F1" s="1235"/>
      <c r="G1" s="1235"/>
      <c r="H1" s="1235"/>
    </row>
    <row r="2" spans="2:8" ht="47.25" customHeight="1">
      <c r="C2" s="1326" t="s">
        <v>6780</v>
      </c>
      <c r="D2" s="1326"/>
      <c r="E2" s="1326"/>
      <c r="F2" s="1326"/>
      <c r="G2" s="1326"/>
      <c r="H2" s="1326"/>
    </row>
    <row r="3" spans="2:8" ht="10.5" customHeight="1">
      <c r="C3" s="1236"/>
      <c r="D3" s="1236"/>
      <c r="E3" s="1236"/>
      <c r="F3" s="1236"/>
      <c r="G3" s="1236"/>
      <c r="H3" s="1236"/>
    </row>
    <row r="4" spans="2:8" ht="33.75" customHeight="1">
      <c r="B4" s="1327" t="s">
        <v>6815</v>
      </c>
      <c r="C4" s="1327"/>
      <c r="D4" s="1327"/>
      <c r="E4" s="1327"/>
      <c r="F4" s="1327"/>
      <c r="G4" s="1327"/>
      <c r="H4" s="1327"/>
    </row>
    <row r="5" spans="2:8" ht="27" customHeight="1" thickBot="1">
      <c r="B5" s="1237"/>
      <c r="C5" s="1238"/>
      <c r="D5" s="1237"/>
      <c r="E5" s="1237"/>
      <c r="F5" s="1237"/>
      <c r="G5" s="1237"/>
      <c r="H5" s="1239" t="s">
        <v>6781</v>
      </c>
    </row>
    <row r="6" spans="2:8" ht="30" customHeight="1">
      <c r="B6" s="1328" t="s">
        <v>6782</v>
      </c>
      <c r="C6" s="1329"/>
      <c r="D6" s="1332" t="s">
        <v>6783</v>
      </c>
      <c r="E6" s="1332" t="s">
        <v>6784</v>
      </c>
      <c r="F6" s="1332" t="s">
        <v>6785</v>
      </c>
      <c r="G6" s="1334" t="s">
        <v>6786</v>
      </c>
      <c r="H6" s="1335"/>
    </row>
    <row r="7" spans="2:8" ht="30" customHeight="1">
      <c r="B7" s="1330"/>
      <c r="C7" s="1331"/>
      <c r="D7" s="1333"/>
      <c r="E7" s="1333"/>
      <c r="F7" s="1333"/>
      <c r="G7" s="1240" t="s">
        <v>6787</v>
      </c>
      <c r="H7" s="1241" t="s">
        <v>6788</v>
      </c>
    </row>
    <row r="8" spans="2:8" ht="37.5" customHeight="1">
      <c r="B8" s="1316" t="s">
        <v>6789</v>
      </c>
      <c r="C8" s="1317"/>
      <c r="D8" s="1242">
        <f>SUM('원가계산(계약심사)'!M7,'원가계산(계약심사)'!M8,'원가계산(계약심사)'!M11)</f>
        <v>1886052726.39856</v>
      </c>
      <c r="E8" s="1242">
        <f>SUM('원가계산(계약심사)'!N7,'원가계산(계약심사)'!N8,'원가계산(계약심사)'!N11)</f>
        <v>1603891328.2386</v>
      </c>
      <c r="F8" s="1243">
        <f>E8-D8</f>
        <v>-282161398.15996003</v>
      </c>
      <c r="G8" s="1244"/>
      <c r="H8" s="1245"/>
    </row>
    <row r="9" spans="2:8" ht="37.5" customHeight="1">
      <c r="B9" s="1316" t="s">
        <v>6790</v>
      </c>
      <c r="C9" s="1317"/>
      <c r="D9" s="1246">
        <f xml:space="preserve"> SUM(D10:D24)</f>
        <v>861452251</v>
      </c>
      <c r="E9" s="1246">
        <f xml:space="preserve"> SUM(E10:E24)</f>
        <v>711164398.63636363</v>
      </c>
      <c r="F9" s="1246">
        <f xml:space="preserve"> SUM(F10:F24)</f>
        <v>-150287852.36363637</v>
      </c>
      <c r="G9" s="1247"/>
      <c r="H9" s="1248"/>
    </row>
    <row r="10" spans="2:8" ht="37.5" customHeight="1">
      <c r="B10" s="1249"/>
      <c r="C10" s="1250" t="s">
        <v>6791</v>
      </c>
      <c r="D10" s="1251">
        <f>'원가계산(계약심사)'!M9</f>
        <v>95059624</v>
      </c>
      <c r="E10" s="1251">
        <f>'원가계산(계약심사)'!N9</f>
        <v>75164154</v>
      </c>
      <c r="F10" s="1251">
        <f t="shared" ref="F10:F26" si="0">E10-D10</f>
        <v>-19895470</v>
      </c>
      <c r="G10" s="1252">
        <v>7.9</v>
      </c>
      <c r="H10" s="1253">
        <f>G10</f>
        <v>7.9</v>
      </c>
    </row>
    <row r="11" spans="2:8" ht="37.5" customHeight="1">
      <c r="B11" s="1249"/>
      <c r="C11" s="1254" t="s">
        <v>6792</v>
      </c>
      <c r="D11" s="1255">
        <f>'원가계산(계약심사)'!M12</f>
        <v>48687974</v>
      </c>
      <c r="E11" s="1255">
        <f>'원가계산(계약심사)'!N12</f>
        <v>38497842</v>
      </c>
      <c r="F11" s="1255">
        <f t="shared" si="0"/>
        <v>-10190132</v>
      </c>
      <c r="G11" s="1256">
        <v>3.75</v>
      </c>
      <c r="H11" s="1257">
        <f t="shared" ref="H11:H26" si="1">G11</f>
        <v>3.75</v>
      </c>
    </row>
    <row r="12" spans="2:8" ht="37.5" customHeight="1">
      <c r="B12" s="1249"/>
      <c r="C12" s="1254" t="s">
        <v>6793</v>
      </c>
      <c r="D12" s="1255">
        <f>'원가계산(계약심사)'!M13</f>
        <v>11295609</v>
      </c>
      <c r="E12" s="1255">
        <f>'원가계산(계약심사)'!N13</f>
        <v>8931499</v>
      </c>
      <c r="F12" s="1255">
        <f t="shared" si="0"/>
        <v>-2364110</v>
      </c>
      <c r="G12" s="1256">
        <v>0.87</v>
      </c>
      <c r="H12" s="1257">
        <f t="shared" si="1"/>
        <v>0.87</v>
      </c>
    </row>
    <row r="13" spans="2:8" ht="37.5" customHeight="1">
      <c r="B13" s="1249"/>
      <c r="C13" s="1254" t="s">
        <v>6794</v>
      </c>
      <c r="D13" s="1255">
        <f>'원가계산(계약심사)'!M14</f>
        <v>38866149</v>
      </c>
      <c r="E13" s="1255">
        <f>'원가계산(계약심사)'!N14</f>
        <v>30731672</v>
      </c>
      <c r="F13" s="1255">
        <f t="shared" si="0"/>
        <v>-8134477</v>
      </c>
      <c r="G13" s="1256">
        <v>3.23</v>
      </c>
      <c r="H13" s="1257">
        <f t="shared" si="1"/>
        <v>3.23</v>
      </c>
    </row>
    <row r="14" spans="2:8" ht="37.5" customHeight="1">
      <c r="B14" s="1249"/>
      <c r="C14" s="1254" t="s">
        <v>6795</v>
      </c>
      <c r="D14" s="1255">
        <f>'원가계산(계약심사)'!M15</f>
        <v>54147887</v>
      </c>
      <c r="E14" s="1255">
        <f>'원가계산(계약심사)'!N15</f>
        <v>42815023</v>
      </c>
      <c r="F14" s="1255">
        <f t="shared" si="0"/>
        <v>-11332864</v>
      </c>
      <c r="G14" s="1256">
        <v>4.5</v>
      </c>
      <c r="H14" s="1257">
        <f t="shared" si="1"/>
        <v>4.5</v>
      </c>
    </row>
    <row r="15" spans="2:8" ht="37.5" customHeight="1">
      <c r="B15" s="1249"/>
      <c r="C15" s="1254" t="s">
        <v>6796</v>
      </c>
      <c r="D15" s="1255">
        <f>'원가계산(계약심사)'!M16</f>
        <v>3307507</v>
      </c>
      <c r="E15" s="1255">
        <f>'원가계산(계약심사)'!N16</f>
        <v>2615264</v>
      </c>
      <c r="F15" s="1255">
        <f t="shared" si="0"/>
        <v>-692243</v>
      </c>
      <c r="G15" s="1256">
        <v>8.51</v>
      </c>
      <c r="H15" s="1257">
        <f t="shared" si="1"/>
        <v>8.51</v>
      </c>
    </row>
    <row r="16" spans="2:8" ht="37.5" customHeight="1">
      <c r="B16" s="1249"/>
      <c r="C16" s="1254" t="s">
        <v>6797</v>
      </c>
      <c r="D16" s="1255">
        <f>'원가계산(계약심사)'!M17</f>
        <v>27675585</v>
      </c>
      <c r="E16" s="1255">
        <f>'원가계산(계약심사)'!N17</f>
        <v>21883234</v>
      </c>
      <c r="F16" s="1255">
        <f t="shared" si="0"/>
        <v>-5792351</v>
      </c>
      <c r="G16" s="1256">
        <v>2.2999999999999998</v>
      </c>
      <c r="H16" s="1257">
        <f t="shared" si="1"/>
        <v>2.2999999999999998</v>
      </c>
    </row>
    <row r="17" spans="2:8" ht="37.5" customHeight="1">
      <c r="B17" s="1249"/>
      <c r="C17" s="1254" t="s">
        <v>6798</v>
      </c>
      <c r="D17" s="1255">
        <f>'원가계산(계약심사)'!M18</f>
        <v>51104763</v>
      </c>
      <c r="E17" s="1255">
        <f>'원가계산(계약심사)'!N18</f>
        <v>45844443</v>
      </c>
      <c r="F17" s="1255">
        <f>E17-D17</f>
        <v>-5260320</v>
      </c>
      <c r="G17" s="1258" t="s">
        <v>6799</v>
      </c>
      <c r="H17" s="1259" t="str">
        <f>G17</f>
        <v>1.86%+5,349천원</v>
      </c>
    </row>
    <row r="18" spans="2:8" ht="37.5" customHeight="1">
      <c r="B18" s="1249"/>
      <c r="C18" s="1254" t="s">
        <v>6800</v>
      </c>
      <c r="D18" s="1255">
        <f>'원가계산(계약심사)'!M19</f>
        <v>114833367</v>
      </c>
      <c r="E18" s="1255">
        <f>'원가계산(계약심사)'!N19</f>
        <v>97276280</v>
      </c>
      <c r="F18" s="1255">
        <f>E18-D18</f>
        <v>-17557087</v>
      </c>
      <c r="G18" s="1260">
        <v>5.8</v>
      </c>
      <c r="H18" s="1261">
        <f>G18</f>
        <v>5.8</v>
      </c>
    </row>
    <row r="19" spans="2:8" ht="37.5" customHeight="1">
      <c r="B19" s="1249"/>
      <c r="C19" s="1254" t="s">
        <v>6801</v>
      </c>
      <c r="D19" s="1255">
        <f>'원가계산(계약심사)'!M21</f>
        <v>0</v>
      </c>
      <c r="E19" s="1255">
        <f>'원가계산(계약심사)'!N21</f>
        <v>4811672</v>
      </c>
      <c r="F19" s="1255">
        <f>E19-D19</f>
        <v>4811672</v>
      </c>
      <c r="G19" s="1258"/>
      <c r="H19" s="1257">
        <v>0.3</v>
      </c>
    </row>
    <row r="20" spans="2:8" ht="37.5" customHeight="1">
      <c r="B20" s="1249"/>
      <c r="C20" s="1254" t="s">
        <v>6818</v>
      </c>
      <c r="D20" s="1255">
        <f>'원가계산(계약심사)'!M20</f>
        <v>6734130</v>
      </c>
      <c r="E20" s="1255">
        <f>'원가계산(계약심사)'!N20</f>
        <v>6734130</v>
      </c>
      <c r="F20" s="1255"/>
      <c r="G20" s="1258" t="s">
        <v>6819</v>
      </c>
      <c r="H20" s="1257" t="str">
        <f>G20</f>
        <v>내역산출</v>
      </c>
    </row>
    <row r="21" spans="2:8" ht="37.5" hidden="1" customHeight="1">
      <c r="B21" s="1249"/>
      <c r="C21" s="1254" t="s">
        <v>6802</v>
      </c>
      <c r="D21" s="1255"/>
      <c r="E21" s="1255"/>
      <c r="F21" s="1255">
        <f>E21-D21</f>
        <v>0</v>
      </c>
      <c r="G21" s="1256">
        <v>8.1000000000000003E-2</v>
      </c>
      <c r="H21" s="1257">
        <f>G21</f>
        <v>8.1000000000000003E-2</v>
      </c>
    </row>
    <row r="22" spans="2:8" ht="37.5" hidden="1" customHeight="1">
      <c r="B22" s="1249"/>
      <c r="C22" s="1254" t="s">
        <v>6803</v>
      </c>
      <c r="D22" s="1255"/>
      <c r="E22" s="1255"/>
      <c r="F22" s="1255">
        <f t="shared" si="0"/>
        <v>0</v>
      </c>
      <c r="G22" s="1256">
        <v>7.0000000000000007E-2</v>
      </c>
      <c r="H22" s="1257">
        <f t="shared" si="1"/>
        <v>7.0000000000000007E-2</v>
      </c>
    </row>
    <row r="23" spans="2:8" ht="37.5" customHeight="1">
      <c r="B23" s="1249"/>
      <c r="C23" s="1262" t="s">
        <v>6804</v>
      </c>
      <c r="D23" s="1255">
        <f>'원가계산(계약심사)'!M25</f>
        <v>140265918</v>
      </c>
      <c r="E23" s="1255">
        <f>'원가계산(계약심사)'!N25</f>
        <v>118751791</v>
      </c>
      <c r="F23" s="1255">
        <f t="shared" si="0"/>
        <v>-21514127</v>
      </c>
      <c r="G23" s="1260">
        <v>6</v>
      </c>
      <c r="H23" s="1261">
        <f t="shared" si="1"/>
        <v>6</v>
      </c>
    </row>
    <row r="24" spans="2:8" ht="37.5" customHeight="1">
      <c r="B24" s="1249"/>
      <c r="C24" s="1262" t="s">
        <v>6805</v>
      </c>
      <c r="D24" s="1255">
        <f>'원가계산(계약심사)'!M26</f>
        <v>269473738</v>
      </c>
      <c r="E24" s="1255">
        <f>'원가계산(계약심사)'!N26</f>
        <v>217107394.63636363</v>
      </c>
      <c r="F24" s="1255">
        <f t="shared" si="0"/>
        <v>-52366343.363636374</v>
      </c>
      <c r="G24" s="1260">
        <v>15</v>
      </c>
      <c r="H24" s="1261">
        <f t="shared" si="1"/>
        <v>15</v>
      </c>
    </row>
    <row r="25" spans="2:8" ht="37.5" customHeight="1">
      <c r="B25" s="1318" t="s">
        <v>6806</v>
      </c>
      <c r="C25" s="1319"/>
      <c r="D25" s="1263">
        <f>SUM(D8,D9)</f>
        <v>2747504977.39856</v>
      </c>
      <c r="E25" s="1263">
        <f>SUM(E8,E9)</f>
        <v>2315055726.8749638</v>
      </c>
      <c r="F25" s="1263">
        <f>SUM(F8,F9)</f>
        <v>-432449250.52359641</v>
      </c>
      <c r="G25" s="1264"/>
      <c r="H25" s="1265"/>
    </row>
    <row r="26" spans="2:8" ht="37.5" customHeight="1">
      <c r="B26" s="1320" t="s">
        <v>6807</v>
      </c>
      <c r="C26" s="1321"/>
      <c r="D26" s="1266">
        <f>'원가계산(계약심사)'!M28</f>
        <v>274750496</v>
      </c>
      <c r="E26" s="1266">
        <f>'원가계산(계약심사)'!N28</f>
        <v>231505571</v>
      </c>
      <c r="F26" s="1266">
        <f t="shared" si="0"/>
        <v>-43244925</v>
      </c>
      <c r="G26" s="1267">
        <v>10</v>
      </c>
      <c r="H26" s="1268">
        <f t="shared" si="1"/>
        <v>10</v>
      </c>
    </row>
    <row r="27" spans="2:8" ht="37.5" customHeight="1">
      <c r="B27" s="1322" t="s">
        <v>6808</v>
      </c>
      <c r="C27" s="1323"/>
      <c r="D27" s="1269">
        <f>SUM(D25,D26)</f>
        <v>3022255473.39856</v>
      </c>
      <c r="E27" s="1269">
        <f>SUM(E25,E26)</f>
        <v>2546561297.8749638</v>
      </c>
      <c r="F27" s="1269">
        <f>SUM(F25,F26)</f>
        <v>-475694175.52359641</v>
      </c>
      <c r="G27" s="1270" t="s">
        <v>6809</v>
      </c>
      <c r="H27" s="1271">
        <f>F27/D27</f>
        <v>-0.1573970763592242</v>
      </c>
    </row>
    <row r="28" spans="2:8" ht="37.5" customHeight="1">
      <c r="B28" s="1324" t="s">
        <v>6810</v>
      </c>
      <c r="C28" s="1325"/>
      <c r="D28" s="1266">
        <f>SUM('원가계산(계약심사)'!M30:M31)</f>
        <v>1761635640</v>
      </c>
      <c r="E28" s="1266"/>
      <c r="F28" s="1266"/>
      <c r="G28" s="1272"/>
      <c r="H28" s="1273"/>
    </row>
    <row r="29" spans="2:8" ht="37.5" customHeight="1" thickBot="1">
      <c r="B29" s="1309" t="s">
        <v>6811</v>
      </c>
      <c r="C29" s="1310"/>
      <c r="D29" s="1274">
        <f>SUM(D27,D28)</f>
        <v>4783891113.3985596</v>
      </c>
      <c r="E29" s="1274"/>
      <c r="F29" s="1274"/>
      <c r="G29" s="1275"/>
      <c r="H29" s="1276"/>
    </row>
    <row r="30" spans="2:8" ht="17.25" customHeight="1" thickBot="1">
      <c r="B30" s="1237"/>
      <c r="C30" s="1277"/>
      <c r="D30" s="1278"/>
      <c r="E30" s="1278"/>
      <c r="F30" s="1279"/>
      <c r="G30" s="1279"/>
      <c r="H30" s="1279"/>
    </row>
    <row r="31" spans="2:8" ht="37.5" customHeight="1">
      <c r="B31" s="1311" t="s">
        <v>6812</v>
      </c>
      <c r="C31" s="1312"/>
      <c r="D31" s="1312"/>
      <c r="E31" s="1312"/>
      <c r="F31" s="1312"/>
      <c r="G31" s="1312"/>
      <c r="H31" s="1313"/>
    </row>
    <row r="32" spans="2:8" ht="37.5" customHeight="1">
      <c r="B32" s="1280" t="s">
        <v>6813</v>
      </c>
      <c r="C32" s="1281"/>
      <c r="D32" s="1281"/>
      <c r="E32" s="1281"/>
      <c r="F32" s="1281"/>
      <c r="G32" s="1304"/>
      <c r="H32" s="1282"/>
    </row>
    <row r="33" spans="2:8" ht="37.5" customHeight="1">
      <c r="B33" s="1280" t="s">
        <v>6814</v>
      </c>
      <c r="C33" s="1281"/>
      <c r="D33" s="1281"/>
      <c r="E33" s="1283"/>
      <c r="F33" s="1283"/>
      <c r="G33" s="1283"/>
      <c r="H33" s="1284"/>
    </row>
    <row r="34" spans="2:8" ht="8.25" customHeight="1" thickBot="1">
      <c r="B34" s="1314"/>
      <c r="C34" s="1315"/>
      <c r="D34" s="1285"/>
      <c r="E34" s="1286"/>
      <c r="F34" s="1286"/>
      <c r="G34" s="1286"/>
      <c r="H34" s="1287"/>
    </row>
    <row r="35" spans="2:8" ht="37.5" customHeight="1"/>
    <row r="36" spans="2:8" ht="37.5" customHeight="1"/>
  </sheetData>
  <mergeCells count="16">
    <mergeCell ref="C2:H2"/>
    <mergeCell ref="B4:H4"/>
    <mergeCell ref="B6:C7"/>
    <mergeCell ref="D6:D7"/>
    <mergeCell ref="E6:E7"/>
    <mergeCell ref="F6:F7"/>
    <mergeCell ref="G6:H6"/>
    <mergeCell ref="B29:C29"/>
    <mergeCell ref="B31:H31"/>
    <mergeCell ref="B34:C34"/>
    <mergeCell ref="B8:C8"/>
    <mergeCell ref="B9:C9"/>
    <mergeCell ref="B25:C25"/>
    <mergeCell ref="B26:C26"/>
    <mergeCell ref="B27:C27"/>
    <mergeCell ref="B28:C28"/>
  </mergeCells>
  <phoneticPr fontId="1" type="noConversion"/>
  <pageMargins left="0.7" right="0.7" top="0.75" bottom="0.75" header="0.3" footer="0.3"/>
  <pageSetup paperSize="9" scale="6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27"/>
  <sheetViews>
    <sheetView view="pageBreakPreview" zoomScale="98" zoomScaleSheetLayoutView="98" workbookViewId="0">
      <selection activeCell="F18" sqref="F18"/>
    </sheetView>
  </sheetViews>
  <sheetFormatPr defaultRowHeight="16.5"/>
  <cols>
    <col min="1" max="1" width="11.625" style="18" customWidth="1"/>
    <col min="2" max="2" width="34.625" style="18" customWidth="1"/>
    <col min="3" max="3" width="28.625" style="18" customWidth="1"/>
    <col min="4" max="4" width="8.625" style="18" customWidth="1"/>
    <col min="5" max="8" width="18.625" style="18" customWidth="1"/>
    <col min="9" max="9" width="16.625" style="18" customWidth="1"/>
    <col min="10" max="16384" width="9" style="18"/>
  </cols>
  <sheetData>
    <row r="1" spans="1:9" ht="30" customHeight="1">
      <c r="A1" s="1465" t="s">
        <v>926</v>
      </c>
      <c r="B1" s="1465"/>
      <c r="C1" s="1465"/>
      <c r="D1" s="1465"/>
      <c r="E1" s="1465"/>
      <c r="F1" s="1465"/>
      <c r="G1" s="1465"/>
      <c r="H1" s="1465"/>
      <c r="I1" s="1465"/>
    </row>
    <row r="2" spans="1:9" ht="30" customHeight="1">
      <c r="A2" s="1466" t="s">
        <v>2450</v>
      </c>
      <c r="B2" s="1466"/>
      <c r="C2" s="1466"/>
      <c r="D2" s="1466"/>
      <c r="E2" s="1466"/>
      <c r="F2" s="1466"/>
      <c r="G2" s="1466"/>
      <c r="H2" s="1466"/>
      <c r="I2" s="1466"/>
    </row>
    <row r="3" spans="1:9" ht="30" customHeight="1">
      <c r="A3" s="23" t="s">
        <v>2449</v>
      </c>
      <c r="B3" s="23" t="s">
        <v>2448</v>
      </c>
      <c r="C3" s="23" t="s">
        <v>2447</v>
      </c>
      <c r="D3" s="23" t="s">
        <v>3</v>
      </c>
      <c r="E3" s="23" t="s">
        <v>5</v>
      </c>
      <c r="F3" s="23" t="s">
        <v>8</v>
      </c>
      <c r="G3" s="23" t="s">
        <v>929</v>
      </c>
      <c r="H3" s="23" t="s">
        <v>930</v>
      </c>
      <c r="I3" s="23" t="s">
        <v>2446</v>
      </c>
    </row>
    <row r="4" spans="1:9" ht="30" customHeight="1">
      <c r="A4" s="21" t="s">
        <v>2445</v>
      </c>
      <c r="B4" s="21" t="s">
        <v>2444</v>
      </c>
      <c r="C4" s="21" t="s">
        <v>2366</v>
      </c>
      <c r="D4" s="21" t="s">
        <v>59</v>
      </c>
      <c r="E4" s="22">
        <f>'일위대가(기계)'!H12</f>
        <v>19372</v>
      </c>
      <c r="F4" s="22">
        <f>'일위대가(기계)'!J12</f>
        <v>50800</v>
      </c>
      <c r="G4" s="22">
        <f>'일위대가(기계)'!L12</f>
        <v>0</v>
      </c>
      <c r="H4" s="22">
        <f t="shared" ref="H4:H9" si="0">E4+F4+G4</f>
        <v>70172</v>
      </c>
      <c r="I4" s="21" t="s">
        <v>51</v>
      </c>
    </row>
    <row r="5" spans="1:9" ht="30" customHeight="1">
      <c r="A5" s="21" t="s">
        <v>2434</v>
      </c>
      <c r="B5" s="21" t="s">
        <v>2431</v>
      </c>
      <c r="C5" s="21" t="s">
        <v>2435</v>
      </c>
      <c r="D5" s="21" t="s">
        <v>59</v>
      </c>
      <c r="E5" s="22">
        <f>'일위대가(기계)'!H30</f>
        <v>14694</v>
      </c>
      <c r="F5" s="22">
        <f>'일위대가(기계)'!J30</f>
        <v>63734</v>
      </c>
      <c r="G5" s="22">
        <f>'일위대가(기계)'!L30</f>
        <v>0</v>
      </c>
      <c r="H5" s="22">
        <f t="shared" si="0"/>
        <v>78428</v>
      </c>
      <c r="I5" s="21" t="s">
        <v>51</v>
      </c>
    </row>
    <row r="6" spans="1:9" ht="30" customHeight="1">
      <c r="A6" s="21" t="s">
        <v>2432</v>
      </c>
      <c r="B6" s="21" t="s">
        <v>2431</v>
      </c>
      <c r="C6" s="21" t="s">
        <v>2433</v>
      </c>
      <c r="D6" s="21" t="s">
        <v>59</v>
      </c>
      <c r="E6" s="22">
        <f>'일위대가(기계)'!H48</f>
        <v>13760</v>
      </c>
      <c r="F6" s="22">
        <f>'일위대가(기계)'!J48</f>
        <v>63309</v>
      </c>
      <c r="G6" s="22">
        <f>'일위대가(기계)'!L48</f>
        <v>0</v>
      </c>
      <c r="H6" s="22">
        <f t="shared" si="0"/>
        <v>77069</v>
      </c>
      <c r="I6" s="21" t="s">
        <v>51</v>
      </c>
    </row>
    <row r="7" spans="1:9" ht="30" customHeight="1">
      <c r="A7" s="21" t="s">
        <v>2429</v>
      </c>
      <c r="B7" s="21" t="s">
        <v>2431</v>
      </c>
      <c r="C7" s="21" t="s">
        <v>2430</v>
      </c>
      <c r="D7" s="21" t="s">
        <v>59</v>
      </c>
      <c r="E7" s="22">
        <f>'일위대가(기계)'!H68</f>
        <v>15342</v>
      </c>
      <c r="F7" s="22">
        <f>'일위대가(기계)'!J68</f>
        <v>68056</v>
      </c>
      <c r="G7" s="22">
        <f>'일위대가(기계)'!L68</f>
        <v>0</v>
      </c>
      <c r="H7" s="22">
        <f t="shared" si="0"/>
        <v>83398</v>
      </c>
      <c r="I7" s="21" t="s">
        <v>51</v>
      </c>
    </row>
    <row r="8" spans="1:9" ht="30" customHeight="1">
      <c r="A8" s="21" t="s">
        <v>2443</v>
      </c>
      <c r="B8" s="21" t="s">
        <v>2442</v>
      </c>
      <c r="C8" s="21" t="s">
        <v>2441</v>
      </c>
      <c r="D8" s="21" t="s">
        <v>59</v>
      </c>
      <c r="E8" s="22">
        <f>'일위대가(기계)'!H77</f>
        <v>1546</v>
      </c>
      <c r="F8" s="22">
        <f>'일위대가(기계)'!J77</f>
        <v>19486</v>
      </c>
      <c r="G8" s="22">
        <f>'일위대가(기계)'!L77</f>
        <v>0</v>
      </c>
      <c r="H8" s="22">
        <f t="shared" si="0"/>
        <v>21032</v>
      </c>
      <c r="I8" s="21" t="s">
        <v>51</v>
      </c>
    </row>
    <row r="9" spans="1:9" ht="30" customHeight="1">
      <c r="A9" s="21" t="s">
        <v>2440</v>
      </c>
      <c r="B9" s="21" t="s">
        <v>2439</v>
      </c>
      <c r="C9" s="21" t="s">
        <v>2438</v>
      </c>
      <c r="D9" s="21" t="s">
        <v>59</v>
      </c>
      <c r="E9" s="22">
        <f>'일위대가(기계)'!H107</f>
        <v>442</v>
      </c>
      <c r="F9" s="22">
        <f>'일위대가(기계)'!J107</f>
        <v>3223</v>
      </c>
      <c r="G9" s="22">
        <f>'일위대가(기계)'!L107</f>
        <v>0</v>
      </c>
      <c r="H9" s="22">
        <f t="shared" si="0"/>
        <v>3665</v>
      </c>
      <c r="I9" s="21" t="s">
        <v>51</v>
      </c>
    </row>
    <row r="10" spans="1:9" ht="30" customHeight="1">
      <c r="A10" s="20"/>
      <c r="B10" s="20"/>
      <c r="C10" s="20"/>
      <c r="D10" s="20"/>
      <c r="E10" s="20"/>
      <c r="F10" s="20"/>
      <c r="G10" s="20"/>
      <c r="H10" s="20"/>
      <c r="I10" s="20"/>
    </row>
    <row r="11" spans="1:9" ht="30" customHeight="1">
      <c r="A11" s="20"/>
      <c r="B11" s="20"/>
      <c r="C11" s="20"/>
      <c r="D11" s="20"/>
      <c r="E11" s="20"/>
      <c r="F11" s="20"/>
      <c r="G11" s="20"/>
      <c r="H11" s="20"/>
      <c r="I11" s="20"/>
    </row>
    <row r="12" spans="1:9" ht="30" customHeight="1">
      <c r="A12" s="20"/>
      <c r="B12" s="20"/>
      <c r="C12" s="20"/>
      <c r="D12" s="20"/>
      <c r="E12" s="20"/>
      <c r="F12" s="20"/>
      <c r="G12" s="20"/>
      <c r="H12" s="20"/>
      <c r="I12" s="20"/>
    </row>
    <row r="13" spans="1:9" ht="30" customHeight="1">
      <c r="A13" s="20"/>
      <c r="B13" s="20"/>
      <c r="C13" s="20"/>
      <c r="D13" s="20"/>
      <c r="E13" s="20"/>
      <c r="F13" s="20"/>
      <c r="G13" s="20"/>
      <c r="H13" s="20"/>
      <c r="I13" s="20"/>
    </row>
    <row r="14" spans="1:9" ht="30" customHeight="1">
      <c r="A14" s="20"/>
      <c r="B14" s="20"/>
      <c r="C14" s="20"/>
      <c r="D14" s="20"/>
      <c r="E14" s="20"/>
      <c r="F14" s="20"/>
      <c r="G14" s="20"/>
      <c r="H14" s="20"/>
      <c r="I14" s="20"/>
    </row>
    <row r="15" spans="1:9" ht="30" customHeight="1">
      <c r="A15" s="20"/>
      <c r="B15" s="20"/>
      <c r="C15" s="20"/>
      <c r="D15" s="20"/>
      <c r="E15" s="20"/>
      <c r="F15" s="20"/>
      <c r="G15" s="20"/>
      <c r="H15" s="20"/>
      <c r="I15" s="20"/>
    </row>
    <row r="16" spans="1:9" ht="30" customHeight="1">
      <c r="A16" s="20"/>
      <c r="B16" s="20"/>
      <c r="C16" s="20"/>
      <c r="D16" s="20"/>
      <c r="E16" s="20"/>
      <c r="F16" s="20"/>
      <c r="G16" s="20"/>
      <c r="H16" s="20"/>
      <c r="I16" s="20"/>
    </row>
    <row r="17" spans="1:9" ht="30" customHeight="1">
      <c r="A17" s="20"/>
      <c r="B17" s="20"/>
      <c r="C17" s="20"/>
      <c r="D17" s="20"/>
      <c r="E17" s="20"/>
      <c r="F17" s="20"/>
      <c r="G17" s="20"/>
      <c r="H17" s="20"/>
      <c r="I17" s="20"/>
    </row>
    <row r="18" spans="1:9" ht="30" customHeight="1">
      <c r="A18" s="20"/>
      <c r="B18" s="20"/>
      <c r="C18" s="20"/>
      <c r="D18" s="20"/>
      <c r="E18" s="20"/>
      <c r="F18" s="20"/>
      <c r="G18" s="20"/>
      <c r="H18" s="20"/>
      <c r="I18" s="20"/>
    </row>
    <row r="19" spans="1:9" ht="30" customHeight="1">
      <c r="A19" s="20"/>
      <c r="B19" s="20"/>
      <c r="C19" s="20"/>
      <c r="D19" s="20"/>
      <c r="E19" s="20"/>
      <c r="F19" s="20"/>
      <c r="G19" s="20"/>
      <c r="H19" s="20"/>
      <c r="I19" s="20"/>
    </row>
    <row r="20" spans="1:9" ht="30" customHeight="1">
      <c r="A20" s="20"/>
      <c r="B20" s="20"/>
      <c r="C20" s="20"/>
      <c r="D20" s="20"/>
      <c r="E20" s="20"/>
      <c r="F20" s="20"/>
      <c r="G20" s="20"/>
      <c r="H20" s="20"/>
      <c r="I20" s="20"/>
    </row>
    <row r="21" spans="1:9" ht="30" customHeight="1">
      <c r="A21" s="20"/>
      <c r="B21" s="20"/>
      <c r="C21" s="20"/>
      <c r="D21" s="20"/>
      <c r="E21" s="20"/>
      <c r="F21" s="20"/>
      <c r="G21" s="20"/>
      <c r="H21" s="20"/>
      <c r="I21" s="20"/>
    </row>
    <row r="22" spans="1:9" ht="30" customHeight="1">
      <c r="A22" s="20"/>
      <c r="B22" s="20"/>
      <c r="C22" s="20"/>
      <c r="D22" s="20"/>
      <c r="E22" s="20"/>
      <c r="F22" s="20"/>
      <c r="G22" s="20"/>
      <c r="H22" s="20"/>
      <c r="I22" s="20"/>
    </row>
    <row r="23" spans="1:9" ht="30" customHeight="1">
      <c r="A23" s="20"/>
      <c r="B23" s="20"/>
      <c r="C23" s="20"/>
      <c r="D23" s="20"/>
      <c r="E23" s="20"/>
      <c r="F23" s="20"/>
      <c r="G23" s="20"/>
      <c r="H23" s="20"/>
      <c r="I23" s="20"/>
    </row>
    <row r="24" spans="1:9" ht="30" customHeight="1">
      <c r="A24" s="20"/>
      <c r="B24" s="20"/>
      <c r="C24" s="20"/>
      <c r="D24" s="20"/>
      <c r="E24" s="20"/>
      <c r="F24" s="20"/>
      <c r="G24" s="20"/>
      <c r="H24" s="20"/>
      <c r="I24" s="20"/>
    </row>
    <row r="25" spans="1:9" ht="30" customHeight="1">
      <c r="A25" s="20"/>
      <c r="B25" s="20"/>
      <c r="C25" s="20"/>
      <c r="D25" s="20"/>
      <c r="E25" s="20"/>
      <c r="F25" s="20"/>
      <c r="G25" s="20"/>
      <c r="H25" s="20"/>
      <c r="I25" s="20"/>
    </row>
    <row r="26" spans="1:9" hidden="1">
      <c r="A26" s="18" t="s">
        <v>2437</v>
      </c>
    </row>
    <row r="27" spans="1:9" ht="17.25">
      <c r="A27" s="19" t="s">
        <v>2436</v>
      </c>
      <c r="B27" s="19"/>
      <c r="C27" s="19"/>
      <c r="D27" s="19"/>
      <c r="E27" s="19"/>
      <c r="F27" s="19"/>
      <c r="G27" s="19"/>
      <c r="H27" s="19"/>
      <c r="I27" s="19"/>
    </row>
  </sheetData>
  <mergeCells count="2">
    <mergeCell ref="A1:I1"/>
    <mergeCell ref="A2:I2"/>
  </mergeCells>
  <phoneticPr fontId="1" type="noConversion"/>
  <printOptions verticalCentered="1"/>
  <pageMargins left="0.39370078740157483" right="0" top="0.39370078740157483" bottom="0.39370078740157483" header="0.31496062992125984" footer="0.31496062992125984"/>
  <pageSetup paperSize="9" scale="70" orientation="landscape" r:id="rId1"/>
  <headerFooter>
    <oddFooter>&amp;C&amp;P&amp;R기계설비 일위대가목록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AC130"/>
  <sheetViews>
    <sheetView view="pageBreakPreview" topLeftCell="C1" zoomScale="84" zoomScaleSheetLayoutView="84" workbookViewId="0">
      <selection activeCell="C92" sqref="A92:XFD92"/>
    </sheetView>
  </sheetViews>
  <sheetFormatPr defaultRowHeight="16.5"/>
  <cols>
    <col min="1" max="2" width="11.625" style="18" hidden="1" customWidth="1"/>
    <col min="3" max="3" width="28.625" style="18" customWidth="1"/>
    <col min="4" max="4" width="20.625" style="18" customWidth="1"/>
    <col min="5" max="5" width="4.625" style="18" customWidth="1"/>
    <col min="6" max="6" width="10.625" style="18" customWidth="1"/>
    <col min="7" max="7" width="13.625" style="18" customWidth="1"/>
    <col min="8" max="8" width="16.625" style="18" customWidth="1"/>
    <col min="9" max="9" width="13.625" style="18" customWidth="1"/>
    <col min="10" max="10" width="16.625" style="18" customWidth="1"/>
    <col min="11" max="11" width="13.625" style="18" customWidth="1"/>
    <col min="12" max="12" width="16.625" style="18" customWidth="1"/>
    <col min="13" max="13" width="13.625" style="18" customWidth="1"/>
    <col min="14" max="14" width="16.625" style="18" customWidth="1"/>
    <col min="15" max="15" width="12.625" style="18" customWidth="1"/>
    <col min="16" max="17" width="9" style="18"/>
    <col min="18" max="19" width="1.625" style="18" customWidth="1"/>
    <col min="20" max="20" width="5.625" style="18" customWidth="1"/>
    <col min="21" max="29" width="1.625" style="18" customWidth="1"/>
    <col min="30" max="16384" width="9" style="18"/>
  </cols>
  <sheetData>
    <row r="1" spans="1:29" ht="30" customHeight="1">
      <c r="A1" s="1466" t="s">
        <v>2450</v>
      </c>
      <c r="B1" s="1466"/>
      <c r="C1" s="1466"/>
      <c r="D1" s="1466"/>
      <c r="E1" s="1466"/>
      <c r="F1" s="1466"/>
      <c r="G1" s="1466"/>
      <c r="H1" s="1466"/>
      <c r="I1" s="1466"/>
      <c r="J1" s="1468"/>
      <c r="K1" s="1468"/>
      <c r="L1" s="1468"/>
      <c r="M1" s="1468"/>
      <c r="N1" s="1468"/>
      <c r="O1" s="1468"/>
    </row>
    <row r="2" spans="1:29" ht="30" customHeight="1">
      <c r="A2" s="1467" t="s">
        <v>937</v>
      </c>
      <c r="B2" s="1467" t="s">
        <v>2535</v>
      </c>
      <c r="C2" s="1467" t="s">
        <v>2448</v>
      </c>
      <c r="D2" s="1467" t="s">
        <v>2447</v>
      </c>
      <c r="E2" s="1467" t="s">
        <v>3</v>
      </c>
      <c r="F2" s="1467" t="s">
        <v>4</v>
      </c>
      <c r="G2" s="1469" t="s">
        <v>5</v>
      </c>
      <c r="H2" s="1467"/>
      <c r="I2" s="1467" t="s">
        <v>8</v>
      </c>
      <c r="J2" s="1467"/>
      <c r="K2" s="1467" t="s">
        <v>929</v>
      </c>
      <c r="L2" s="1467"/>
      <c r="M2" s="1467" t="s">
        <v>930</v>
      </c>
      <c r="N2" s="1467"/>
      <c r="O2" s="1467" t="s">
        <v>2446</v>
      </c>
    </row>
    <row r="3" spans="1:29" ht="30" customHeight="1">
      <c r="A3" s="1467"/>
      <c r="B3" s="1467"/>
      <c r="C3" s="1467"/>
      <c r="D3" s="1467"/>
      <c r="E3" s="1467"/>
      <c r="F3" s="1467"/>
      <c r="G3" s="27" t="s">
        <v>2534</v>
      </c>
      <c r="H3" s="23" t="s">
        <v>2533</v>
      </c>
      <c r="I3" s="23" t="s">
        <v>2534</v>
      </c>
      <c r="J3" s="23" t="s">
        <v>2533</v>
      </c>
      <c r="K3" s="23" t="s">
        <v>2534</v>
      </c>
      <c r="L3" s="23" t="s">
        <v>2533</v>
      </c>
      <c r="M3" s="23" t="s">
        <v>2534</v>
      </c>
      <c r="N3" s="23" t="s">
        <v>2533</v>
      </c>
      <c r="O3" s="1467"/>
    </row>
    <row r="4" spans="1:29" ht="30" customHeight="1">
      <c r="A4" s="20"/>
      <c r="B4" s="20"/>
      <c r="C4" s="21" t="s">
        <v>2532</v>
      </c>
      <c r="D4" s="20"/>
      <c r="E4" s="20"/>
      <c r="F4" s="20"/>
      <c r="G4" s="24"/>
      <c r="H4" s="20"/>
      <c r="I4" s="20"/>
      <c r="J4" s="20"/>
      <c r="K4" s="20"/>
      <c r="L4" s="20"/>
      <c r="M4" s="20"/>
      <c r="N4" s="20"/>
      <c r="O4" s="20"/>
    </row>
    <row r="5" spans="1:29" ht="30" customHeight="1">
      <c r="A5" s="21" t="s">
        <v>2445</v>
      </c>
      <c r="B5" s="21" t="s">
        <v>2531</v>
      </c>
      <c r="C5" s="21" t="s">
        <v>2530</v>
      </c>
      <c r="D5" s="21" t="s">
        <v>2529</v>
      </c>
      <c r="E5" s="21" t="s">
        <v>59</v>
      </c>
      <c r="F5" s="20">
        <v>1.1000000000000001</v>
      </c>
      <c r="G5" s="24">
        <f>'단가대비표(기계'!O21</f>
        <v>11400</v>
      </c>
      <c r="H5" s="25">
        <f t="shared" ref="H5:H11" si="0">TRUNC(F5*G5,1)</f>
        <v>12540</v>
      </c>
      <c r="I5" s="26">
        <v>0</v>
      </c>
      <c r="J5" s="25">
        <f t="shared" ref="J5:J11" si="1">TRUNC(F5*I5,1)</f>
        <v>0</v>
      </c>
      <c r="K5" s="26">
        <v>0</v>
      </c>
      <c r="L5" s="25">
        <f t="shared" ref="L5:L11" si="2">TRUNC(F5*K5,1)</f>
        <v>0</v>
      </c>
      <c r="M5" s="26">
        <f t="shared" ref="M5:N11" si="3">TRUNC(G5+I5+K5,1)</f>
        <v>11400</v>
      </c>
      <c r="N5" s="25">
        <f t="shared" si="3"/>
        <v>12540</v>
      </c>
      <c r="O5" s="21" t="s">
        <v>51</v>
      </c>
      <c r="R5" s="18">
        <v>0</v>
      </c>
      <c r="S5" s="18">
        <v>0</v>
      </c>
      <c r="T5" s="18">
        <v>0</v>
      </c>
      <c r="AC5" s="18">
        <v>1</v>
      </c>
    </row>
    <row r="6" spans="1:29" ht="30" customHeight="1">
      <c r="A6" s="21" t="s">
        <v>2445</v>
      </c>
      <c r="B6" s="21" t="s">
        <v>2528</v>
      </c>
      <c r="C6" s="21" t="s">
        <v>2527</v>
      </c>
      <c r="D6" s="21" t="s">
        <v>51</v>
      </c>
      <c r="E6" s="21" t="s">
        <v>59</v>
      </c>
      <c r="F6" s="20">
        <v>1.1000000000000001</v>
      </c>
      <c r="G6" s="24">
        <f>'단가대비표(기계'!O33</f>
        <v>2600</v>
      </c>
      <c r="H6" s="25">
        <f t="shared" si="0"/>
        <v>2860</v>
      </c>
      <c r="I6" s="26">
        <v>0</v>
      </c>
      <c r="J6" s="25">
        <f t="shared" si="1"/>
        <v>0</v>
      </c>
      <c r="K6" s="26">
        <v>0</v>
      </c>
      <c r="L6" s="25">
        <f t="shared" si="2"/>
        <v>0</v>
      </c>
      <c r="M6" s="26">
        <f t="shared" si="3"/>
        <v>2600</v>
      </c>
      <c r="N6" s="25">
        <f t="shared" si="3"/>
        <v>2860</v>
      </c>
      <c r="O6" s="21" t="s">
        <v>51</v>
      </c>
      <c r="R6" s="18">
        <v>0</v>
      </c>
      <c r="S6" s="18">
        <v>0</v>
      </c>
      <c r="T6" s="18">
        <v>0</v>
      </c>
      <c r="AC6" s="18">
        <v>1</v>
      </c>
    </row>
    <row r="7" spans="1:29" ht="30" customHeight="1">
      <c r="A7" s="21" t="s">
        <v>2445</v>
      </c>
      <c r="B7" s="21" t="s">
        <v>2526</v>
      </c>
      <c r="C7" s="21" t="s">
        <v>2525</v>
      </c>
      <c r="D7" s="21" t="s">
        <v>2524</v>
      </c>
      <c r="E7" s="21" t="s">
        <v>204</v>
      </c>
      <c r="F7" s="20">
        <v>1.1000000000000001</v>
      </c>
      <c r="G7" s="24">
        <f>'단가대비표(기계'!O34</f>
        <v>2000</v>
      </c>
      <c r="H7" s="25">
        <f t="shared" si="0"/>
        <v>2200</v>
      </c>
      <c r="I7" s="26">
        <v>0</v>
      </c>
      <c r="J7" s="25">
        <f t="shared" si="1"/>
        <v>0</v>
      </c>
      <c r="K7" s="26">
        <v>0</v>
      </c>
      <c r="L7" s="25">
        <f t="shared" si="2"/>
        <v>0</v>
      </c>
      <c r="M7" s="26">
        <f t="shared" si="3"/>
        <v>2000</v>
      </c>
      <c r="N7" s="25">
        <f t="shared" si="3"/>
        <v>2200</v>
      </c>
      <c r="O7" s="21" t="s">
        <v>51</v>
      </c>
      <c r="R7" s="18">
        <v>0</v>
      </c>
      <c r="S7" s="18">
        <v>0</v>
      </c>
      <c r="T7" s="18">
        <v>0</v>
      </c>
      <c r="AC7" s="18">
        <v>1</v>
      </c>
    </row>
    <row r="8" spans="1:29" ht="30" customHeight="1">
      <c r="A8" s="21" t="s">
        <v>2445</v>
      </c>
      <c r="B8" s="21" t="s">
        <v>2523</v>
      </c>
      <c r="C8" s="21" t="s">
        <v>2522</v>
      </c>
      <c r="D8" s="21" t="s">
        <v>51</v>
      </c>
      <c r="E8" s="21" t="s">
        <v>2477</v>
      </c>
      <c r="F8" s="20">
        <v>0.1</v>
      </c>
      <c r="G8" s="24">
        <f>'단가대비표(기계'!O35</f>
        <v>7560</v>
      </c>
      <c r="H8" s="25">
        <f t="shared" si="0"/>
        <v>756</v>
      </c>
      <c r="I8" s="26">
        <v>0</v>
      </c>
      <c r="J8" s="25">
        <f t="shared" si="1"/>
        <v>0</v>
      </c>
      <c r="K8" s="26">
        <v>0</v>
      </c>
      <c r="L8" s="25">
        <f t="shared" si="2"/>
        <v>0</v>
      </c>
      <c r="M8" s="26">
        <f t="shared" si="3"/>
        <v>7560</v>
      </c>
      <c r="N8" s="25">
        <f t="shared" si="3"/>
        <v>756</v>
      </c>
      <c r="O8" s="21" t="s">
        <v>51</v>
      </c>
      <c r="R8" s="18">
        <v>0</v>
      </c>
      <c r="S8" s="18">
        <v>0</v>
      </c>
      <c r="T8" s="18">
        <v>0</v>
      </c>
      <c r="AC8" s="18">
        <v>1</v>
      </c>
    </row>
    <row r="9" spans="1:29" ht="30" customHeight="1">
      <c r="A9" s="21" t="s">
        <v>2445</v>
      </c>
      <c r="B9" s="21" t="s">
        <v>2521</v>
      </c>
      <c r="C9" s="21" t="s">
        <v>2358</v>
      </c>
      <c r="D9" s="21" t="s">
        <v>2357</v>
      </c>
      <c r="E9" s="21" t="s">
        <v>419</v>
      </c>
      <c r="F9" s="20">
        <v>0.25700000000000001</v>
      </c>
      <c r="G9" s="24">
        <v>0</v>
      </c>
      <c r="H9" s="25">
        <f t="shared" si="0"/>
        <v>0</v>
      </c>
      <c r="I9" s="26">
        <f>'단가대비표(기계'!O39</f>
        <v>174352</v>
      </c>
      <c r="J9" s="25">
        <f t="shared" si="1"/>
        <v>44808.4</v>
      </c>
      <c r="K9" s="26">
        <v>0</v>
      </c>
      <c r="L9" s="25">
        <f t="shared" si="2"/>
        <v>0</v>
      </c>
      <c r="M9" s="26">
        <f t="shared" si="3"/>
        <v>174352</v>
      </c>
      <c r="N9" s="25">
        <f t="shared" si="3"/>
        <v>44808.4</v>
      </c>
      <c r="O9" s="21" t="s">
        <v>51</v>
      </c>
      <c r="R9" s="18">
        <v>0</v>
      </c>
      <c r="S9" s="18">
        <v>0</v>
      </c>
      <c r="T9" s="18">
        <v>0</v>
      </c>
      <c r="W9" s="18">
        <v>3</v>
      </c>
      <c r="AC9" s="18">
        <v>1</v>
      </c>
    </row>
    <row r="10" spans="1:29" ht="30" customHeight="1">
      <c r="A10" s="21" t="s">
        <v>2445</v>
      </c>
      <c r="B10" s="21" t="s">
        <v>2370</v>
      </c>
      <c r="C10" s="21" t="s">
        <v>2358</v>
      </c>
      <c r="D10" s="21" t="s">
        <v>996</v>
      </c>
      <c r="E10" s="21" t="s">
        <v>419</v>
      </c>
      <c r="F10" s="20">
        <v>4.5999999999999999E-2</v>
      </c>
      <c r="G10" s="24">
        <v>0</v>
      </c>
      <c r="H10" s="25">
        <f t="shared" si="0"/>
        <v>0</v>
      </c>
      <c r="I10" s="26">
        <f>'단가대비표(기계'!O40</f>
        <v>130264</v>
      </c>
      <c r="J10" s="25">
        <f t="shared" si="1"/>
        <v>5992.1</v>
      </c>
      <c r="K10" s="26">
        <v>0</v>
      </c>
      <c r="L10" s="25">
        <f t="shared" si="2"/>
        <v>0</v>
      </c>
      <c r="M10" s="26">
        <f t="shared" si="3"/>
        <v>130264</v>
      </c>
      <c r="N10" s="25">
        <f t="shared" si="3"/>
        <v>5992.1</v>
      </c>
      <c r="O10" s="21" t="s">
        <v>51</v>
      </c>
      <c r="R10" s="18">
        <v>0</v>
      </c>
      <c r="S10" s="18">
        <v>0</v>
      </c>
      <c r="T10" s="18">
        <v>0</v>
      </c>
      <c r="W10" s="18">
        <v>3</v>
      </c>
      <c r="AC10" s="18">
        <v>1</v>
      </c>
    </row>
    <row r="11" spans="1:29" ht="30" customHeight="1">
      <c r="A11" s="21" t="s">
        <v>2445</v>
      </c>
      <c r="B11" s="21" t="s">
        <v>2368</v>
      </c>
      <c r="C11" s="21" t="s">
        <v>1134</v>
      </c>
      <c r="D11" s="21" t="s">
        <v>2452</v>
      </c>
      <c r="E11" s="21" t="s">
        <v>82</v>
      </c>
      <c r="F11" s="20">
        <v>1</v>
      </c>
      <c r="G11" s="24">
        <f>ROUNDDOWN(SUMIF(W5:W11, RIGHTB(B11, 1), J5:J11)*T11, 2)</f>
        <v>1016.01</v>
      </c>
      <c r="H11" s="25">
        <f t="shared" si="0"/>
        <v>1016</v>
      </c>
      <c r="I11" s="26">
        <v>0</v>
      </c>
      <c r="J11" s="25">
        <f t="shared" si="1"/>
        <v>0</v>
      </c>
      <c r="K11" s="26">
        <v>0</v>
      </c>
      <c r="L11" s="25">
        <f t="shared" si="2"/>
        <v>0</v>
      </c>
      <c r="M11" s="26">
        <f t="shared" si="3"/>
        <v>1016</v>
      </c>
      <c r="N11" s="25">
        <f t="shared" si="3"/>
        <v>1016</v>
      </c>
      <c r="O11" s="21" t="s">
        <v>51</v>
      </c>
      <c r="P11" s="18">
        <v>11</v>
      </c>
      <c r="R11" s="18">
        <v>1</v>
      </c>
      <c r="S11" s="18">
        <v>0</v>
      </c>
      <c r="T11" s="18">
        <v>0.02</v>
      </c>
      <c r="AC11" s="18">
        <v>1</v>
      </c>
    </row>
    <row r="12" spans="1:29" ht="30" customHeight="1">
      <c r="A12" s="20"/>
      <c r="B12" s="20"/>
      <c r="C12" s="20" t="s">
        <v>85</v>
      </c>
      <c r="D12" s="20"/>
      <c r="E12" s="20"/>
      <c r="F12" s="20"/>
      <c r="G12" s="24"/>
      <c r="H12" s="22">
        <f>ROUNDDOWN(SUMIF(AC5:AC11, 1, H5:H11), 0)</f>
        <v>19372</v>
      </c>
      <c r="I12" s="20"/>
      <c r="J12" s="22">
        <f>ROUNDDOWN(SUMIF(AC5:AC11, 1, J5:J11), 0)</f>
        <v>50800</v>
      </c>
      <c r="K12" s="20"/>
      <c r="L12" s="22">
        <f>ROUNDDOWN(SUMIF(AC5:AC11, 1, L5:L11), 0)</f>
        <v>0</v>
      </c>
      <c r="M12" s="20"/>
      <c r="N12" s="22">
        <f>H12+J12+L12</f>
        <v>70172</v>
      </c>
      <c r="O12" s="20"/>
    </row>
    <row r="13" spans="1:29" ht="30" customHeight="1">
      <c r="A13" s="20"/>
      <c r="B13" s="20"/>
      <c r="C13" s="20"/>
      <c r="D13" s="20"/>
      <c r="E13" s="20"/>
      <c r="F13" s="20"/>
      <c r="G13" s="24"/>
      <c r="H13" s="20"/>
      <c r="I13" s="20"/>
      <c r="J13" s="20"/>
      <c r="K13" s="20"/>
      <c r="L13" s="20"/>
      <c r="M13" s="20"/>
      <c r="N13" s="20"/>
      <c r="O13" s="20"/>
    </row>
    <row r="14" spans="1:29" ht="30" customHeight="1">
      <c r="A14" s="20"/>
      <c r="B14" s="20"/>
      <c r="C14" s="21" t="s">
        <v>2520</v>
      </c>
      <c r="D14" s="20"/>
      <c r="E14" s="20"/>
      <c r="F14" s="20"/>
      <c r="G14" s="24"/>
      <c r="H14" s="20"/>
      <c r="I14" s="20"/>
      <c r="J14" s="20"/>
      <c r="K14" s="20"/>
      <c r="L14" s="20"/>
      <c r="M14" s="20"/>
      <c r="N14" s="20"/>
      <c r="O14" s="20"/>
    </row>
    <row r="15" spans="1:29" ht="30" customHeight="1">
      <c r="A15" s="21" t="s">
        <v>2434</v>
      </c>
      <c r="B15" s="21" t="s">
        <v>2519</v>
      </c>
      <c r="C15" s="21" t="s">
        <v>2508</v>
      </c>
      <c r="D15" s="21" t="s">
        <v>2518</v>
      </c>
      <c r="E15" s="21" t="s">
        <v>59</v>
      </c>
      <c r="F15" s="20">
        <v>1.28</v>
      </c>
      <c r="G15" s="24">
        <f>'단가대비표(기계'!O41</f>
        <v>3850</v>
      </c>
      <c r="H15" s="25">
        <f t="shared" ref="H15:H29" si="4">TRUNC(F15*G15,1)</f>
        <v>4928</v>
      </c>
      <c r="I15" s="26">
        <v>0</v>
      </c>
      <c r="J15" s="25">
        <f t="shared" ref="J15:J29" si="5">TRUNC(F15*I15,1)</f>
        <v>0</v>
      </c>
      <c r="K15" s="26">
        <v>0</v>
      </c>
      <c r="L15" s="25">
        <f t="shared" ref="L15:L29" si="6">TRUNC(F15*K15,1)</f>
        <v>0</v>
      </c>
      <c r="M15" s="26">
        <f t="shared" ref="M15:M29" si="7">TRUNC(G15+I15+K15,1)</f>
        <v>3850</v>
      </c>
      <c r="N15" s="25">
        <f t="shared" ref="N15:N29" si="8">TRUNC(H15+J15+L15,1)</f>
        <v>4928</v>
      </c>
      <c r="O15" s="21" t="s">
        <v>51</v>
      </c>
      <c r="R15" s="18">
        <v>0</v>
      </c>
      <c r="S15" s="18">
        <v>0</v>
      </c>
      <c r="T15" s="18">
        <v>0</v>
      </c>
      <c r="U15" s="18">
        <v>1</v>
      </c>
      <c r="AC15" s="18">
        <v>1</v>
      </c>
    </row>
    <row r="16" spans="1:29" ht="30" customHeight="1">
      <c r="A16" s="21" t="s">
        <v>2434</v>
      </c>
      <c r="B16" s="21" t="s">
        <v>2517</v>
      </c>
      <c r="C16" s="21" t="s">
        <v>2505</v>
      </c>
      <c r="D16" s="21" t="s">
        <v>2516</v>
      </c>
      <c r="E16" s="21" t="s">
        <v>59</v>
      </c>
      <c r="F16" s="20">
        <v>0.11</v>
      </c>
      <c r="G16" s="24">
        <f>'단가대비표(기계'!O26</f>
        <v>4032</v>
      </c>
      <c r="H16" s="25">
        <f t="shared" si="4"/>
        <v>443.5</v>
      </c>
      <c r="I16" s="26">
        <v>0</v>
      </c>
      <c r="J16" s="25">
        <f t="shared" si="5"/>
        <v>0</v>
      </c>
      <c r="K16" s="26">
        <v>0</v>
      </c>
      <c r="L16" s="25">
        <f t="shared" si="6"/>
        <v>0</v>
      </c>
      <c r="M16" s="26">
        <f t="shared" si="7"/>
        <v>4032</v>
      </c>
      <c r="N16" s="25">
        <f t="shared" si="8"/>
        <v>443.5</v>
      </c>
      <c r="O16" s="21" t="s">
        <v>51</v>
      </c>
      <c r="R16" s="18">
        <v>0</v>
      </c>
      <c r="S16" s="18">
        <v>0</v>
      </c>
      <c r="T16" s="18">
        <v>0</v>
      </c>
      <c r="U16" s="18">
        <v>1</v>
      </c>
      <c r="AC16" s="18">
        <v>1</v>
      </c>
    </row>
    <row r="17" spans="1:29" ht="30" customHeight="1">
      <c r="A17" s="21" t="s">
        <v>2434</v>
      </c>
      <c r="B17" s="21" t="s">
        <v>2503</v>
      </c>
      <c r="C17" s="21" t="s">
        <v>2502</v>
      </c>
      <c r="D17" s="21" t="s">
        <v>2501</v>
      </c>
      <c r="E17" s="21" t="s">
        <v>321</v>
      </c>
      <c r="F17" s="20">
        <v>5.9</v>
      </c>
      <c r="G17" s="24">
        <f>'단가대비표(기계'!O29</f>
        <v>600</v>
      </c>
      <c r="H17" s="25">
        <f t="shared" si="4"/>
        <v>3540</v>
      </c>
      <c r="I17" s="26">
        <v>0</v>
      </c>
      <c r="J17" s="25">
        <f t="shared" si="5"/>
        <v>0</v>
      </c>
      <c r="K17" s="26">
        <v>0</v>
      </c>
      <c r="L17" s="25">
        <f t="shared" si="6"/>
        <v>0</v>
      </c>
      <c r="M17" s="26">
        <f t="shared" si="7"/>
        <v>600</v>
      </c>
      <c r="N17" s="25">
        <f t="shared" si="8"/>
        <v>3540</v>
      </c>
      <c r="O17" s="21" t="s">
        <v>51</v>
      </c>
      <c r="R17" s="18">
        <v>0</v>
      </c>
      <c r="S17" s="18">
        <v>0</v>
      </c>
      <c r="T17" s="18">
        <v>0</v>
      </c>
      <c r="U17" s="18">
        <v>1</v>
      </c>
      <c r="AC17" s="18">
        <v>1</v>
      </c>
    </row>
    <row r="18" spans="1:29" ht="30" customHeight="1">
      <c r="A18" s="21" t="s">
        <v>2434</v>
      </c>
      <c r="B18" s="21" t="s">
        <v>2500</v>
      </c>
      <c r="C18" s="21" t="s">
        <v>2499</v>
      </c>
      <c r="D18" s="21" t="s">
        <v>2498</v>
      </c>
      <c r="E18" s="21" t="s">
        <v>321</v>
      </c>
      <c r="F18" s="20">
        <v>5.9</v>
      </c>
      <c r="G18" s="24">
        <f>'단가대비표(기계'!O30</f>
        <v>42</v>
      </c>
      <c r="H18" s="25">
        <f t="shared" si="4"/>
        <v>247.8</v>
      </c>
      <c r="I18" s="26">
        <v>0</v>
      </c>
      <c r="J18" s="25">
        <f t="shared" si="5"/>
        <v>0</v>
      </c>
      <c r="K18" s="26">
        <v>0</v>
      </c>
      <c r="L18" s="25">
        <f t="shared" si="6"/>
        <v>0</v>
      </c>
      <c r="M18" s="26">
        <f t="shared" si="7"/>
        <v>42</v>
      </c>
      <c r="N18" s="25">
        <f t="shared" si="8"/>
        <v>247.8</v>
      </c>
      <c r="O18" s="21" t="s">
        <v>51</v>
      </c>
      <c r="R18" s="18">
        <v>0</v>
      </c>
      <c r="S18" s="18">
        <v>0</v>
      </c>
      <c r="T18" s="18">
        <v>0</v>
      </c>
      <c r="U18" s="18">
        <v>1</v>
      </c>
      <c r="AC18" s="18">
        <v>1</v>
      </c>
    </row>
    <row r="19" spans="1:29" ht="30" customHeight="1">
      <c r="A19" s="21" t="s">
        <v>2434</v>
      </c>
      <c r="B19" s="21" t="s">
        <v>2497</v>
      </c>
      <c r="C19" s="21" t="s">
        <v>2496</v>
      </c>
      <c r="D19" s="21" t="s">
        <v>2495</v>
      </c>
      <c r="E19" s="21" t="s">
        <v>204</v>
      </c>
      <c r="F19" s="20">
        <v>0.7</v>
      </c>
      <c r="G19" s="24">
        <f>'단가대비표(기계'!O16</f>
        <v>1100</v>
      </c>
      <c r="H19" s="25">
        <f t="shared" si="4"/>
        <v>770</v>
      </c>
      <c r="I19" s="26">
        <v>0</v>
      </c>
      <c r="J19" s="25">
        <f t="shared" si="5"/>
        <v>0</v>
      </c>
      <c r="K19" s="26">
        <v>0</v>
      </c>
      <c r="L19" s="25">
        <f t="shared" si="6"/>
        <v>0</v>
      </c>
      <c r="M19" s="26">
        <f t="shared" si="7"/>
        <v>1100</v>
      </c>
      <c r="N19" s="25">
        <f t="shared" si="8"/>
        <v>770</v>
      </c>
      <c r="O19" s="21" t="s">
        <v>51</v>
      </c>
      <c r="R19" s="18">
        <v>0</v>
      </c>
      <c r="S19" s="18">
        <v>0</v>
      </c>
      <c r="T19" s="18">
        <v>0</v>
      </c>
      <c r="U19" s="18">
        <v>1</v>
      </c>
      <c r="AC19" s="18">
        <v>1</v>
      </c>
    </row>
    <row r="20" spans="1:29" ht="30" customHeight="1">
      <c r="A20" s="21" t="s">
        <v>2434</v>
      </c>
      <c r="B20" s="21" t="s">
        <v>2494</v>
      </c>
      <c r="C20" s="21" t="s">
        <v>2493</v>
      </c>
      <c r="D20" s="21" t="s">
        <v>2492</v>
      </c>
      <c r="E20" s="21" t="s">
        <v>204</v>
      </c>
      <c r="F20" s="20">
        <v>0.3</v>
      </c>
      <c r="G20" s="24">
        <f>'단가대비표(기계'!O17</f>
        <v>1265</v>
      </c>
      <c r="H20" s="25">
        <f t="shared" si="4"/>
        <v>379.5</v>
      </c>
      <c r="I20" s="26">
        <v>0</v>
      </c>
      <c r="J20" s="25">
        <f t="shared" si="5"/>
        <v>0</v>
      </c>
      <c r="K20" s="26">
        <v>0</v>
      </c>
      <c r="L20" s="25">
        <f t="shared" si="6"/>
        <v>0</v>
      </c>
      <c r="M20" s="26">
        <f t="shared" si="7"/>
        <v>1265</v>
      </c>
      <c r="N20" s="25">
        <f t="shared" si="8"/>
        <v>379.5</v>
      </c>
      <c r="O20" s="21" t="s">
        <v>51</v>
      </c>
      <c r="R20" s="18">
        <v>0</v>
      </c>
      <c r="S20" s="18">
        <v>0</v>
      </c>
      <c r="T20" s="18">
        <v>0</v>
      </c>
      <c r="U20" s="18">
        <v>1</v>
      </c>
      <c r="AC20" s="18">
        <v>1</v>
      </c>
    </row>
    <row r="21" spans="1:29" ht="30" customHeight="1">
      <c r="A21" s="21" t="s">
        <v>2434</v>
      </c>
      <c r="B21" s="21" t="s">
        <v>2491</v>
      </c>
      <c r="C21" s="21" t="s">
        <v>2490</v>
      </c>
      <c r="D21" s="21" t="s">
        <v>2304</v>
      </c>
      <c r="E21" s="21" t="s">
        <v>204</v>
      </c>
      <c r="F21" s="20">
        <v>1.1000000000000001</v>
      </c>
      <c r="G21" s="24">
        <f>'단가대비표(기계'!O18</f>
        <v>870</v>
      </c>
      <c r="H21" s="25">
        <f t="shared" si="4"/>
        <v>957</v>
      </c>
      <c r="I21" s="26">
        <v>0</v>
      </c>
      <c r="J21" s="25">
        <f t="shared" si="5"/>
        <v>0</v>
      </c>
      <c r="K21" s="26">
        <v>0</v>
      </c>
      <c r="L21" s="25">
        <f t="shared" si="6"/>
        <v>0</v>
      </c>
      <c r="M21" s="26">
        <f t="shared" si="7"/>
        <v>870</v>
      </c>
      <c r="N21" s="25">
        <f t="shared" si="8"/>
        <v>957</v>
      </c>
      <c r="O21" s="21" t="s">
        <v>51</v>
      </c>
      <c r="R21" s="18">
        <v>0</v>
      </c>
      <c r="S21" s="18">
        <v>0</v>
      </c>
      <c r="T21" s="18">
        <v>0</v>
      </c>
      <c r="U21" s="18">
        <v>1</v>
      </c>
      <c r="AC21" s="18">
        <v>1</v>
      </c>
    </row>
    <row r="22" spans="1:29" ht="30" customHeight="1">
      <c r="A22" s="21" t="s">
        <v>2434</v>
      </c>
      <c r="B22" s="21" t="s">
        <v>2489</v>
      </c>
      <c r="C22" s="21" t="s">
        <v>2488</v>
      </c>
      <c r="D22" s="21" t="s">
        <v>2487</v>
      </c>
      <c r="E22" s="21" t="s">
        <v>321</v>
      </c>
      <c r="F22" s="20">
        <v>0.8</v>
      </c>
      <c r="G22" s="24">
        <f>'단가대비표(기계'!O32</f>
        <v>21</v>
      </c>
      <c r="H22" s="25">
        <f t="shared" si="4"/>
        <v>16.8</v>
      </c>
      <c r="I22" s="26">
        <v>0</v>
      </c>
      <c r="J22" s="25">
        <f t="shared" si="5"/>
        <v>0</v>
      </c>
      <c r="K22" s="26">
        <v>0</v>
      </c>
      <c r="L22" s="25">
        <f t="shared" si="6"/>
        <v>0</v>
      </c>
      <c r="M22" s="26">
        <f t="shared" si="7"/>
        <v>21</v>
      </c>
      <c r="N22" s="25">
        <f t="shared" si="8"/>
        <v>16.8</v>
      </c>
      <c r="O22" s="21" t="s">
        <v>51</v>
      </c>
      <c r="R22" s="18">
        <v>0</v>
      </c>
      <c r="S22" s="18">
        <v>0</v>
      </c>
      <c r="T22" s="18">
        <v>0</v>
      </c>
      <c r="U22" s="18">
        <v>1</v>
      </c>
      <c r="AC22" s="18">
        <v>1</v>
      </c>
    </row>
    <row r="23" spans="1:29" ht="30" customHeight="1">
      <c r="A23" s="21" t="s">
        <v>2434</v>
      </c>
      <c r="B23" s="21" t="s">
        <v>2486</v>
      </c>
      <c r="C23" s="21" t="s">
        <v>2485</v>
      </c>
      <c r="D23" s="21" t="s">
        <v>2484</v>
      </c>
      <c r="E23" s="21" t="s">
        <v>204</v>
      </c>
      <c r="F23" s="20">
        <v>1.1000000000000001</v>
      </c>
      <c r="G23" s="24">
        <f>'단가대비표(기계'!O36</f>
        <v>440</v>
      </c>
      <c r="H23" s="25">
        <f t="shared" si="4"/>
        <v>484</v>
      </c>
      <c r="I23" s="26">
        <v>0</v>
      </c>
      <c r="J23" s="25">
        <f t="shared" si="5"/>
        <v>0</v>
      </c>
      <c r="K23" s="26">
        <v>0</v>
      </c>
      <c r="L23" s="25">
        <f t="shared" si="6"/>
        <v>0</v>
      </c>
      <c r="M23" s="26">
        <f t="shared" si="7"/>
        <v>440</v>
      </c>
      <c r="N23" s="25">
        <f t="shared" si="8"/>
        <v>484</v>
      </c>
      <c r="O23" s="21" t="s">
        <v>51</v>
      </c>
      <c r="R23" s="18">
        <v>0</v>
      </c>
      <c r="S23" s="18">
        <v>0</v>
      </c>
      <c r="T23" s="18">
        <v>0</v>
      </c>
      <c r="U23" s="18">
        <v>1</v>
      </c>
      <c r="AC23" s="18">
        <v>1</v>
      </c>
    </row>
    <row r="24" spans="1:29" ht="30" customHeight="1">
      <c r="A24" s="21" t="s">
        <v>2434</v>
      </c>
      <c r="B24" s="21" t="s">
        <v>2483</v>
      </c>
      <c r="C24" s="21" t="s">
        <v>2482</v>
      </c>
      <c r="D24" s="21" t="s">
        <v>2481</v>
      </c>
      <c r="E24" s="21" t="s">
        <v>321</v>
      </c>
      <c r="F24" s="20">
        <v>0.7</v>
      </c>
      <c r="G24" s="24">
        <f>'단가대비표(기계'!O31</f>
        <v>100</v>
      </c>
      <c r="H24" s="25">
        <f t="shared" si="4"/>
        <v>70</v>
      </c>
      <c r="I24" s="26">
        <v>0</v>
      </c>
      <c r="J24" s="25">
        <f t="shared" si="5"/>
        <v>0</v>
      </c>
      <c r="K24" s="26">
        <v>0</v>
      </c>
      <c r="L24" s="25">
        <f t="shared" si="6"/>
        <v>0</v>
      </c>
      <c r="M24" s="26">
        <f t="shared" si="7"/>
        <v>100</v>
      </c>
      <c r="N24" s="25">
        <f t="shared" si="8"/>
        <v>70</v>
      </c>
      <c r="O24" s="21" t="s">
        <v>51</v>
      </c>
      <c r="R24" s="18">
        <v>0</v>
      </c>
      <c r="S24" s="18">
        <v>0</v>
      </c>
      <c r="T24" s="18">
        <v>0</v>
      </c>
      <c r="U24" s="18">
        <v>1</v>
      </c>
      <c r="AC24" s="18">
        <v>1</v>
      </c>
    </row>
    <row r="25" spans="1:29" ht="30" customHeight="1">
      <c r="A25" s="21" t="s">
        <v>2434</v>
      </c>
      <c r="B25" s="21" t="s">
        <v>2480</v>
      </c>
      <c r="C25" s="21" t="s">
        <v>2479</v>
      </c>
      <c r="D25" s="21" t="s">
        <v>2478</v>
      </c>
      <c r="E25" s="21" t="s">
        <v>2477</v>
      </c>
      <c r="F25" s="20">
        <v>0.06</v>
      </c>
      <c r="G25" s="24">
        <f>'단가대비표(기계'!O22</f>
        <v>22000</v>
      </c>
      <c r="H25" s="25">
        <f t="shared" si="4"/>
        <v>1320</v>
      </c>
      <c r="I25" s="26">
        <v>0</v>
      </c>
      <c r="J25" s="25">
        <f t="shared" si="5"/>
        <v>0</v>
      </c>
      <c r="K25" s="26">
        <v>0</v>
      </c>
      <c r="L25" s="25">
        <f t="shared" si="6"/>
        <v>0</v>
      </c>
      <c r="M25" s="26">
        <f t="shared" si="7"/>
        <v>22000</v>
      </c>
      <c r="N25" s="25">
        <f t="shared" si="8"/>
        <v>1320</v>
      </c>
      <c r="O25" s="21" t="s">
        <v>51</v>
      </c>
      <c r="R25" s="18">
        <v>0</v>
      </c>
      <c r="S25" s="18">
        <v>0</v>
      </c>
      <c r="T25" s="18">
        <v>0</v>
      </c>
      <c r="U25" s="18">
        <v>1</v>
      </c>
      <c r="AC25" s="18">
        <v>1</v>
      </c>
    </row>
    <row r="26" spans="1:29" ht="30" customHeight="1">
      <c r="A26" s="21" t="s">
        <v>2434</v>
      </c>
      <c r="B26" s="21" t="s">
        <v>2455</v>
      </c>
      <c r="C26" s="21" t="s">
        <v>2470</v>
      </c>
      <c r="D26" s="21" t="s">
        <v>2469</v>
      </c>
      <c r="E26" s="21" t="s">
        <v>82</v>
      </c>
      <c r="F26" s="20">
        <v>1</v>
      </c>
      <c r="G26" s="24">
        <f>ROUNDDOWN(SUMIF(U15:U29, RIGHTB(B26, 1), H15:H29)*T26, 2)</f>
        <v>263.13</v>
      </c>
      <c r="H26" s="25">
        <f t="shared" si="4"/>
        <v>263.10000000000002</v>
      </c>
      <c r="I26" s="26">
        <v>0</v>
      </c>
      <c r="J26" s="25">
        <f t="shared" si="5"/>
        <v>0</v>
      </c>
      <c r="K26" s="26">
        <v>0</v>
      </c>
      <c r="L26" s="25">
        <f t="shared" si="6"/>
        <v>0</v>
      </c>
      <c r="M26" s="26">
        <f t="shared" si="7"/>
        <v>263.10000000000002</v>
      </c>
      <c r="N26" s="25">
        <f t="shared" si="8"/>
        <v>263.10000000000002</v>
      </c>
      <c r="O26" s="21" t="s">
        <v>51</v>
      </c>
      <c r="P26" s="18">
        <v>26</v>
      </c>
      <c r="R26" s="18">
        <v>0</v>
      </c>
      <c r="S26" s="18">
        <v>0</v>
      </c>
      <c r="T26" s="18">
        <v>0.02</v>
      </c>
      <c r="AC26" s="18">
        <v>1</v>
      </c>
    </row>
    <row r="27" spans="1:29" ht="30" customHeight="1">
      <c r="A27" s="21" t="s">
        <v>2434</v>
      </c>
      <c r="B27" s="21" t="s">
        <v>2369</v>
      </c>
      <c r="C27" s="21" t="s">
        <v>2358</v>
      </c>
      <c r="D27" s="21" t="s">
        <v>2359</v>
      </c>
      <c r="E27" s="21" t="s">
        <v>419</v>
      </c>
      <c r="F27" s="20">
        <v>0.36199999999999999</v>
      </c>
      <c r="G27" s="24">
        <v>0</v>
      </c>
      <c r="H27" s="25">
        <f t="shared" si="4"/>
        <v>0</v>
      </c>
      <c r="I27" s="26">
        <f>'단가대비표(기계'!O37</f>
        <v>164907</v>
      </c>
      <c r="J27" s="25">
        <f t="shared" si="5"/>
        <v>59696.3</v>
      </c>
      <c r="K27" s="26">
        <v>0</v>
      </c>
      <c r="L27" s="25">
        <f t="shared" si="6"/>
        <v>0</v>
      </c>
      <c r="M27" s="26">
        <f t="shared" si="7"/>
        <v>164907</v>
      </c>
      <c r="N27" s="25">
        <f t="shared" si="8"/>
        <v>59696.3</v>
      </c>
      <c r="O27" s="21" t="s">
        <v>51</v>
      </c>
      <c r="R27" s="18">
        <v>0</v>
      </c>
      <c r="S27" s="18">
        <v>0</v>
      </c>
      <c r="T27" s="18">
        <v>0</v>
      </c>
      <c r="W27" s="18">
        <v>3</v>
      </c>
      <c r="AC27" s="18">
        <v>1</v>
      </c>
    </row>
    <row r="28" spans="1:29" ht="30" customHeight="1">
      <c r="A28" s="21" t="s">
        <v>2434</v>
      </c>
      <c r="B28" s="21" t="s">
        <v>2370</v>
      </c>
      <c r="C28" s="21" t="s">
        <v>2358</v>
      </c>
      <c r="D28" s="21" t="s">
        <v>996</v>
      </c>
      <c r="E28" s="21" t="s">
        <v>419</v>
      </c>
      <c r="F28" s="20">
        <v>3.1E-2</v>
      </c>
      <c r="G28" s="24">
        <v>0</v>
      </c>
      <c r="H28" s="25">
        <f t="shared" si="4"/>
        <v>0</v>
      </c>
      <c r="I28" s="26">
        <f>'단가대비표(기계'!O40</f>
        <v>130264</v>
      </c>
      <c r="J28" s="25">
        <f t="shared" si="5"/>
        <v>4038.1</v>
      </c>
      <c r="K28" s="26">
        <v>0</v>
      </c>
      <c r="L28" s="25">
        <f t="shared" si="6"/>
        <v>0</v>
      </c>
      <c r="M28" s="26">
        <f t="shared" si="7"/>
        <v>130264</v>
      </c>
      <c r="N28" s="25">
        <f t="shared" si="8"/>
        <v>4038.1</v>
      </c>
      <c r="O28" s="21" t="s">
        <v>51</v>
      </c>
      <c r="R28" s="18">
        <v>0</v>
      </c>
      <c r="S28" s="18">
        <v>0</v>
      </c>
      <c r="T28" s="18">
        <v>0</v>
      </c>
      <c r="W28" s="18">
        <v>3</v>
      </c>
      <c r="AC28" s="18">
        <v>1</v>
      </c>
    </row>
    <row r="29" spans="1:29" ht="30" customHeight="1">
      <c r="A29" s="21" t="s">
        <v>2434</v>
      </c>
      <c r="B29" s="21" t="s">
        <v>2368</v>
      </c>
      <c r="C29" s="21" t="s">
        <v>1134</v>
      </c>
      <c r="D29" s="21" t="s">
        <v>2452</v>
      </c>
      <c r="E29" s="21" t="s">
        <v>82</v>
      </c>
      <c r="F29" s="20">
        <v>1</v>
      </c>
      <c r="G29" s="24">
        <f>ROUNDDOWN(SUMIF(W15:W29, RIGHTB(B29, 1), J15:J29)*T29, 2)</f>
        <v>1274.68</v>
      </c>
      <c r="H29" s="25">
        <f t="shared" si="4"/>
        <v>1274.5999999999999</v>
      </c>
      <c r="I29" s="26">
        <v>0</v>
      </c>
      <c r="J29" s="25">
        <f t="shared" si="5"/>
        <v>0</v>
      </c>
      <c r="K29" s="26">
        <v>0</v>
      </c>
      <c r="L29" s="25">
        <f t="shared" si="6"/>
        <v>0</v>
      </c>
      <c r="M29" s="26">
        <f t="shared" si="7"/>
        <v>1274.5999999999999</v>
      </c>
      <c r="N29" s="25">
        <f t="shared" si="8"/>
        <v>1274.5999999999999</v>
      </c>
      <c r="O29" s="21" t="s">
        <v>51</v>
      </c>
      <c r="P29" s="18">
        <v>29</v>
      </c>
      <c r="R29" s="18">
        <v>1</v>
      </c>
      <c r="S29" s="18">
        <v>0</v>
      </c>
      <c r="T29" s="18">
        <v>0.02</v>
      </c>
      <c r="AC29" s="18">
        <v>1</v>
      </c>
    </row>
    <row r="30" spans="1:29" ht="30" customHeight="1">
      <c r="A30" s="20"/>
      <c r="B30" s="20"/>
      <c r="C30" s="20" t="s">
        <v>85</v>
      </c>
      <c r="D30" s="20"/>
      <c r="E30" s="20"/>
      <c r="F30" s="20"/>
      <c r="G30" s="24"/>
      <c r="H30" s="22">
        <f>ROUNDDOWN(SUMIF(AC15:AC29, 1, H15:H29), 0)</f>
        <v>14694</v>
      </c>
      <c r="I30" s="20"/>
      <c r="J30" s="22">
        <f>ROUNDDOWN(SUMIF(AC15:AC29, 1, J15:J29), 0)</f>
        <v>63734</v>
      </c>
      <c r="K30" s="20"/>
      <c r="L30" s="22">
        <f>ROUNDDOWN(SUMIF(AC15:AC29, 1, L15:L29), 0)</f>
        <v>0</v>
      </c>
      <c r="M30" s="20"/>
      <c r="N30" s="22">
        <f>H30+J30+L30</f>
        <v>78428</v>
      </c>
      <c r="O30" s="20"/>
    </row>
    <row r="31" spans="1:29" ht="30" customHeight="1">
      <c r="A31" s="20"/>
      <c r="B31" s="20"/>
      <c r="C31" s="20"/>
      <c r="D31" s="20"/>
      <c r="E31" s="20"/>
      <c r="F31" s="20"/>
      <c r="G31" s="24"/>
      <c r="H31" s="20"/>
      <c r="I31" s="20"/>
      <c r="J31" s="20"/>
      <c r="K31" s="20"/>
      <c r="L31" s="20"/>
      <c r="M31" s="20"/>
      <c r="N31" s="20"/>
      <c r="O31" s="20"/>
    </row>
    <row r="32" spans="1:29" ht="30" customHeight="1">
      <c r="A32" s="20"/>
      <c r="B32" s="20"/>
      <c r="C32" s="21" t="s">
        <v>2515</v>
      </c>
      <c r="D32" s="20"/>
      <c r="E32" s="20"/>
      <c r="F32" s="20"/>
      <c r="G32" s="24"/>
      <c r="H32" s="20"/>
      <c r="I32" s="20"/>
      <c r="J32" s="20"/>
      <c r="K32" s="20"/>
      <c r="L32" s="20"/>
      <c r="M32" s="20"/>
      <c r="N32" s="20"/>
      <c r="O32" s="20"/>
    </row>
    <row r="33" spans="1:29" ht="30" customHeight="1">
      <c r="A33" s="21" t="s">
        <v>2432</v>
      </c>
      <c r="B33" s="21" t="s">
        <v>2514</v>
      </c>
      <c r="C33" s="21" t="s">
        <v>2508</v>
      </c>
      <c r="D33" s="21" t="s">
        <v>2513</v>
      </c>
      <c r="E33" s="21" t="s">
        <v>59</v>
      </c>
      <c r="F33" s="20">
        <v>1.28</v>
      </c>
      <c r="G33" s="24">
        <f>'단가대비표(기계'!O42</f>
        <v>4530</v>
      </c>
      <c r="H33" s="25">
        <f t="shared" ref="H33:H47" si="9">TRUNC(F33*G33,1)</f>
        <v>5798.4</v>
      </c>
      <c r="I33" s="26">
        <v>0</v>
      </c>
      <c r="J33" s="25">
        <f t="shared" ref="J33:J47" si="10">TRUNC(F33*I33,1)</f>
        <v>0</v>
      </c>
      <c r="K33" s="26">
        <v>0</v>
      </c>
      <c r="L33" s="25">
        <f t="shared" ref="L33:L47" si="11">TRUNC(F33*K33,1)</f>
        <v>0</v>
      </c>
      <c r="M33" s="26">
        <f t="shared" ref="M33:M47" si="12">TRUNC(G33+I33+K33,1)</f>
        <v>4530</v>
      </c>
      <c r="N33" s="25">
        <f t="shared" ref="N33:N47" si="13">TRUNC(H33+J33+L33,1)</f>
        <v>5798.4</v>
      </c>
      <c r="O33" s="21" t="s">
        <v>51</v>
      </c>
      <c r="R33" s="18">
        <v>0</v>
      </c>
      <c r="S33" s="18">
        <v>0</v>
      </c>
      <c r="T33" s="18">
        <v>0</v>
      </c>
      <c r="U33" s="18">
        <v>1</v>
      </c>
      <c r="AC33" s="18">
        <v>1</v>
      </c>
    </row>
    <row r="34" spans="1:29" ht="30" customHeight="1">
      <c r="A34" s="21" t="s">
        <v>2432</v>
      </c>
      <c r="B34" s="21" t="s">
        <v>2512</v>
      </c>
      <c r="C34" s="21" t="s">
        <v>2505</v>
      </c>
      <c r="D34" s="21" t="s">
        <v>2511</v>
      </c>
      <c r="E34" s="21" t="s">
        <v>59</v>
      </c>
      <c r="F34" s="20">
        <v>0.11</v>
      </c>
      <c r="G34" s="24">
        <f>'단가대비표(기계'!O27</f>
        <v>4696</v>
      </c>
      <c r="H34" s="25">
        <f t="shared" si="9"/>
        <v>516.5</v>
      </c>
      <c r="I34" s="26">
        <v>0</v>
      </c>
      <c r="J34" s="25">
        <f t="shared" si="10"/>
        <v>0</v>
      </c>
      <c r="K34" s="26">
        <v>0</v>
      </c>
      <c r="L34" s="25">
        <f t="shared" si="11"/>
        <v>0</v>
      </c>
      <c r="M34" s="26">
        <f t="shared" si="12"/>
        <v>4696</v>
      </c>
      <c r="N34" s="25">
        <f t="shared" si="13"/>
        <v>516.5</v>
      </c>
      <c r="O34" s="21" t="s">
        <v>51</v>
      </c>
      <c r="R34" s="18">
        <v>0</v>
      </c>
      <c r="S34" s="18">
        <v>0</v>
      </c>
      <c r="T34" s="18">
        <v>0</v>
      </c>
      <c r="U34" s="18">
        <v>1</v>
      </c>
      <c r="AC34" s="18">
        <v>1</v>
      </c>
    </row>
    <row r="35" spans="1:29" ht="30" customHeight="1">
      <c r="A35" s="21" t="s">
        <v>2432</v>
      </c>
      <c r="B35" s="21" t="s">
        <v>2503</v>
      </c>
      <c r="C35" s="21" t="s">
        <v>2502</v>
      </c>
      <c r="D35" s="21" t="s">
        <v>2501</v>
      </c>
      <c r="E35" s="21" t="s">
        <v>321</v>
      </c>
      <c r="F35" s="20">
        <v>3.6</v>
      </c>
      <c r="G35" s="24">
        <f>'단가대비표(기계'!O29</f>
        <v>600</v>
      </c>
      <c r="H35" s="25">
        <f t="shared" si="9"/>
        <v>2160</v>
      </c>
      <c r="I35" s="26">
        <v>0</v>
      </c>
      <c r="J35" s="25">
        <f t="shared" si="10"/>
        <v>0</v>
      </c>
      <c r="K35" s="26">
        <v>0</v>
      </c>
      <c r="L35" s="25">
        <f t="shared" si="11"/>
        <v>0</v>
      </c>
      <c r="M35" s="26">
        <f t="shared" si="12"/>
        <v>600</v>
      </c>
      <c r="N35" s="25">
        <f t="shared" si="13"/>
        <v>2160</v>
      </c>
      <c r="O35" s="21" t="s">
        <v>51</v>
      </c>
      <c r="R35" s="18">
        <v>0</v>
      </c>
      <c r="S35" s="18">
        <v>0</v>
      </c>
      <c r="T35" s="18">
        <v>0</v>
      </c>
      <c r="U35" s="18">
        <v>1</v>
      </c>
      <c r="AC35" s="18">
        <v>1</v>
      </c>
    </row>
    <row r="36" spans="1:29" ht="30" customHeight="1">
      <c r="A36" s="21" t="s">
        <v>2432</v>
      </c>
      <c r="B36" s="21" t="s">
        <v>2500</v>
      </c>
      <c r="C36" s="21" t="s">
        <v>2499</v>
      </c>
      <c r="D36" s="21" t="s">
        <v>2498</v>
      </c>
      <c r="E36" s="21" t="s">
        <v>321</v>
      </c>
      <c r="F36" s="20">
        <v>3.6</v>
      </c>
      <c r="G36" s="24">
        <f>'단가대비표(기계'!O30</f>
        <v>42</v>
      </c>
      <c r="H36" s="25">
        <f t="shared" si="9"/>
        <v>151.19999999999999</v>
      </c>
      <c r="I36" s="26">
        <v>0</v>
      </c>
      <c r="J36" s="25">
        <f t="shared" si="10"/>
        <v>0</v>
      </c>
      <c r="K36" s="26">
        <v>0</v>
      </c>
      <c r="L36" s="25">
        <f t="shared" si="11"/>
        <v>0</v>
      </c>
      <c r="M36" s="26">
        <f t="shared" si="12"/>
        <v>42</v>
      </c>
      <c r="N36" s="25">
        <f t="shared" si="13"/>
        <v>151.19999999999999</v>
      </c>
      <c r="O36" s="21" t="s">
        <v>51</v>
      </c>
      <c r="R36" s="18">
        <v>0</v>
      </c>
      <c r="S36" s="18">
        <v>0</v>
      </c>
      <c r="T36" s="18">
        <v>0</v>
      </c>
      <c r="U36" s="18">
        <v>1</v>
      </c>
      <c r="AC36" s="18">
        <v>1</v>
      </c>
    </row>
    <row r="37" spans="1:29" ht="30" customHeight="1">
      <c r="A37" s="21" t="s">
        <v>2432</v>
      </c>
      <c r="B37" s="21" t="s">
        <v>2497</v>
      </c>
      <c r="C37" s="21" t="s">
        <v>2496</v>
      </c>
      <c r="D37" s="21" t="s">
        <v>2495</v>
      </c>
      <c r="E37" s="21" t="s">
        <v>204</v>
      </c>
      <c r="F37" s="20">
        <v>0.7</v>
      </c>
      <c r="G37" s="24">
        <f>'단가대비표(기계'!O16</f>
        <v>1100</v>
      </c>
      <c r="H37" s="25">
        <f t="shared" si="9"/>
        <v>770</v>
      </c>
      <c r="I37" s="26">
        <v>0</v>
      </c>
      <c r="J37" s="25">
        <f t="shared" si="10"/>
        <v>0</v>
      </c>
      <c r="K37" s="26">
        <v>0</v>
      </c>
      <c r="L37" s="25">
        <f t="shared" si="11"/>
        <v>0</v>
      </c>
      <c r="M37" s="26">
        <f t="shared" si="12"/>
        <v>1100</v>
      </c>
      <c r="N37" s="25">
        <f t="shared" si="13"/>
        <v>770</v>
      </c>
      <c r="O37" s="21" t="s">
        <v>51</v>
      </c>
      <c r="R37" s="18">
        <v>0</v>
      </c>
      <c r="S37" s="18">
        <v>0</v>
      </c>
      <c r="T37" s="18">
        <v>0</v>
      </c>
      <c r="U37" s="18">
        <v>1</v>
      </c>
      <c r="AC37" s="18">
        <v>1</v>
      </c>
    </row>
    <row r="38" spans="1:29" ht="30" customHeight="1">
      <c r="A38" s="21" t="s">
        <v>2432</v>
      </c>
      <c r="B38" s="21" t="s">
        <v>2494</v>
      </c>
      <c r="C38" s="21" t="s">
        <v>2493</v>
      </c>
      <c r="D38" s="21" t="s">
        <v>2492</v>
      </c>
      <c r="E38" s="21" t="s">
        <v>204</v>
      </c>
      <c r="F38" s="20">
        <v>0.3</v>
      </c>
      <c r="G38" s="24">
        <f>'단가대비표(기계'!O17</f>
        <v>1265</v>
      </c>
      <c r="H38" s="25">
        <f t="shared" si="9"/>
        <v>379.5</v>
      </c>
      <c r="I38" s="26">
        <v>0</v>
      </c>
      <c r="J38" s="25">
        <f t="shared" si="10"/>
        <v>0</v>
      </c>
      <c r="K38" s="26">
        <v>0</v>
      </c>
      <c r="L38" s="25">
        <f t="shared" si="11"/>
        <v>0</v>
      </c>
      <c r="M38" s="26">
        <f t="shared" si="12"/>
        <v>1265</v>
      </c>
      <c r="N38" s="25">
        <f t="shared" si="13"/>
        <v>379.5</v>
      </c>
      <c r="O38" s="21" t="s">
        <v>51</v>
      </c>
      <c r="R38" s="18">
        <v>0</v>
      </c>
      <c r="S38" s="18">
        <v>0</v>
      </c>
      <c r="T38" s="18">
        <v>0</v>
      </c>
      <c r="U38" s="18">
        <v>1</v>
      </c>
      <c r="AC38" s="18">
        <v>1</v>
      </c>
    </row>
    <row r="39" spans="1:29" ht="30" customHeight="1">
      <c r="A39" s="21" t="s">
        <v>2432</v>
      </c>
      <c r="B39" s="21" t="s">
        <v>2491</v>
      </c>
      <c r="C39" s="21" t="s">
        <v>2490</v>
      </c>
      <c r="D39" s="21" t="s">
        <v>2304</v>
      </c>
      <c r="E39" s="21" t="s">
        <v>204</v>
      </c>
      <c r="F39" s="20">
        <v>0.7</v>
      </c>
      <c r="G39" s="24">
        <f>'단가대비표(기계'!O18</f>
        <v>870</v>
      </c>
      <c r="H39" s="25">
        <f t="shared" si="9"/>
        <v>609</v>
      </c>
      <c r="I39" s="26">
        <v>0</v>
      </c>
      <c r="J39" s="25">
        <f t="shared" si="10"/>
        <v>0</v>
      </c>
      <c r="K39" s="26">
        <v>0</v>
      </c>
      <c r="L39" s="25">
        <f t="shared" si="11"/>
        <v>0</v>
      </c>
      <c r="M39" s="26">
        <f t="shared" si="12"/>
        <v>870</v>
      </c>
      <c r="N39" s="25">
        <f t="shared" si="13"/>
        <v>609</v>
      </c>
      <c r="O39" s="21" t="s">
        <v>51</v>
      </c>
      <c r="R39" s="18">
        <v>0</v>
      </c>
      <c r="S39" s="18">
        <v>0</v>
      </c>
      <c r="T39" s="18">
        <v>0</v>
      </c>
      <c r="U39" s="18">
        <v>1</v>
      </c>
      <c r="AC39" s="18">
        <v>1</v>
      </c>
    </row>
    <row r="40" spans="1:29" ht="30" customHeight="1">
      <c r="A40" s="21" t="s">
        <v>2432</v>
      </c>
      <c r="B40" s="21" t="s">
        <v>2489</v>
      </c>
      <c r="C40" s="21" t="s">
        <v>2488</v>
      </c>
      <c r="D40" s="21" t="s">
        <v>2487</v>
      </c>
      <c r="E40" s="21" t="s">
        <v>321</v>
      </c>
      <c r="F40" s="20">
        <v>0.5</v>
      </c>
      <c r="G40" s="24">
        <f>'단가대비표(기계'!O32</f>
        <v>21</v>
      </c>
      <c r="H40" s="25">
        <f t="shared" si="9"/>
        <v>10.5</v>
      </c>
      <c r="I40" s="26">
        <v>0</v>
      </c>
      <c r="J40" s="25">
        <f t="shared" si="10"/>
        <v>0</v>
      </c>
      <c r="K40" s="26">
        <v>0</v>
      </c>
      <c r="L40" s="25">
        <f t="shared" si="11"/>
        <v>0</v>
      </c>
      <c r="M40" s="26">
        <f t="shared" si="12"/>
        <v>21</v>
      </c>
      <c r="N40" s="25">
        <f t="shared" si="13"/>
        <v>10.5</v>
      </c>
      <c r="O40" s="21" t="s">
        <v>51</v>
      </c>
      <c r="R40" s="18">
        <v>0</v>
      </c>
      <c r="S40" s="18">
        <v>0</v>
      </c>
      <c r="T40" s="18">
        <v>0</v>
      </c>
      <c r="U40" s="18">
        <v>1</v>
      </c>
      <c r="AC40" s="18">
        <v>1</v>
      </c>
    </row>
    <row r="41" spans="1:29" ht="30" customHeight="1">
      <c r="A41" s="21" t="s">
        <v>2432</v>
      </c>
      <c r="B41" s="21" t="s">
        <v>2486</v>
      </c>
      <c r="C41" s="21" t="s">
        <v>2485</v>
      </c>
      <c r="D41" s="21" t="s">
        <v>2484</v>
      </c>
      <c r="E41" s="21" t="s">
        <v>204</v>
      </c>
      <c r="F41" s="20">
        <v>1.1000000000000001</v>
      </c>
      <c r="G41" s="24">
        <f>'단가대비표(기계'!O36</f>
        <v>440</v>
      </c>
      <c r="H41" s="25">
        <f t="shared" si="9"/>
        <v>484</v>
      </c>
      <c r="I41" s="26">
        <v>0</v>
      </c>
      <c r="J41" s="25">
        <f t="shared" si="10"/>
        <v>0</v>
      </c>
      <c r="K41" s="26">
        <v>0</v>
      </c>
      <c r="L41" s="25">
        <f t="shared" si="11"/>
        <v>0</v>
      </c>
      <c r="M41" s="26">
        <f t="shared" si="12"/>
        <v>440</v>
      </c>
      <c r="N41" s="25">
        <f t="shared" si="13"/>
        <v>484</v>
      </c>
      <c r="O41" s="21" t="s">
        <v>51</v>
      </c>
      <c r="R41" s="18">
        <v>0</v>
      </c>
      <c r="S41" s="18">
        <v>0</v>
      </c>
      <c r="T41" s="18">
        <v>0</v>
      </c>
      <c r="U41" s="18">
        <v>1</v>
      </c>
      <c r="AC41" s="18">
        <v>1</v>
      </c>
    </row>
    <row r="42" spans="1:29" ht="30" customHeight="1">
      <c r="A42" s="21" t="s">
        <v>2432</v>
      </c>
      <c r="B42" s="21" t="s">
        <v>2483</v>
      </c>
      <c r="C42" s="21" t="s">
        <v>2482</v>
      </c>
      <c r="D42" s="21" t="s">
        <v>2481</v>
      </c>
      <c r="E42" s="21" t="s">
        <v>321</v>
      </c>
      <c r="F42" s="20">
        <v>0.5</v>
      </c>
      <c r="G42" s="24">
        <f>'단가대비표(기계'!O31</f>
        <v>100</v>
      </c>
      <c r="H42" s="25">
        <f t="shared" si="9"/>
        <v>50</v>
      </c>
      <c r="I42" s="26">
        <v>0</v>
      </c>
      <c r="J42" s="25">
        <f t="shared" si="10"/>
        <v>0</v>
      </c>
      <c r="K42" s="26">
        <v>0</v>
      </c>
      <c r="L42" s="25">
        <f t="shared" si="11"/>
        <v>0</v>
      </c>
      <c r="M42" s="26">
        <f t="shared" si="12"/>
        <v>100</v>
      </c>
      <c r="N42" s="25">
        <f t="shared" si="13"/>
        <v>50</v>
      </c>
      <c r="O42" s="21" t="s">
        <v>51</v>
      </c>
      <c r="R42" s="18">
        <v>0</v>
      </c>
      <c r="S42" s="18">
        <v>0</v>
      </c>
      <c r="T42" s="18">
        <v>0</v>
      </c>
      <c r="U42" s="18">
        <v>1</v>
      </c>
      <c r="AC42" s="18">
        <v>1</v>
      </c>
    </row>
    <row r="43" spans="1:29" ht="30" customHeight="1">
      <c r="A43" s="21" t="s">
        <v>2432</v>
      </c>
      <c r="B43" s="21" t="s">
        <v>2480</v>
      </c>
      <c r="C43" s="21" t="s">
        <v>2479</v>
      </c>
      <c r="D43" s="21" t="s">
        <v>2478</v>
      </c>
      <c r="E43" s="21" t="s">
        <v>2477</v>
      </c>
      <c r="F43" s="20">
        <v>0.06</v>
      </c>
      <c r="G43" s="24">
        <f>'단가대비표(기계'!O22</f>
        <v>22000</v>
      </c>
      <c r="H43" s="25">
        <f t="shared" si="9"/>
        <v>1320</v>
      </c>
      <c r="I43" s="26">
        <v>0</v>
      </c>
      <c r="J43" s="25">
        <f t="shared" si="10"/>
        <v>0</v>
      </c>
      <c r="K43" s="26">
        <v>0</v>
      </c>
      <c r="L43" s="25">
        <f t="shared" si="11"/>
        <v>0</v>
      </c>
      <c r="M43" s="26">
        <f t="shared" si="12"/>
        <v>22000</v>
      </c>
      <c r="N43" s="25">
        <f t="shared" si="13"/>
        <v>1320</v>
      </c>
      <c r="O43" s="21" t="s">
        <v>51</v>
      </c>
      <c r="R43" s="18">
        <v>0</v>
      </c>
      <c r="S43" s="18">
        <v>0</v>
      </c>
      <c r="T43" s="18">
        <v>0</v>
      </c>
      <c r="U43" s="18">
        <v>1</v>
      </c>
      <c r="AC43" s="18">
        <v>1</v>
      </c>
    </row>
    <row r="44" spans="1:29" ht="30" customHeight="1">
      <c r="A44" s="21" t="s">
        <v>2432</v>
      </c>
      <c r="B44" s="21" t="s">
        <v>2455</v>
      </c>
      <c r="C44" s="21" t="s">
        <v>2470</v>
      </c>
      <c r="D44" s="21" t="s">
        <v>2469</v>
      </c>
      <c r="E44" s="21" t="s">
        <v>82</v>
      </c>
      <c r="F44" s="20">
        <v>1</v>
      </c>
      <c r="G44" s="24">
        <f>ROUNDDOWN(SUMIF(U33:U47, RIGHTB(B44, 1), H33:H47)*T44, 2)</f>
        <v>244.98</v>
      </c>
      <c r="H44" s="25">
        <f t="shared" si="9"/>
        <v>244.9</v>
      </c>
      <c r="I44" s="26">
        <v>0</v>
      </c>
      <c r="J44" s="25">
        <f t="shared" si="10"/>
        <v>0</v>
      </c>
      <c r="K44" s="26">
        <v>0</v>
      </c>
      <c r="L44" s="25">
        <f t="shared" si="11"/>
        <v>0</v>
      </c>
      <c r="M44" s="26">
        <f t="shared" si="12"/>
        <v>244.9</v>
      </c>
      <c r="N44" s="25">
        <f t="shared" si="13"/>
        <v>244.9</v>
      </c>
      <c r="O44" s="21" t="s">
        <v>51</v>
      </c>
      <c r="P44" s="18">
        <v>44</v>
      </c>
      <c r="R44" s="18">
        <v>0</v>
      </c>
      <c r="S44" s="18">
        <v>0</v>
      </c>
      <c r="T44" s="18">
        <v>0.02</v>
      </c>
      <c r="AC44" s="18">
        <v>1</v>
      </c>
    </row>
    <row r="45" spans="1:29" ht="30" customHeight="1">
      <c r="A45" s="21" t="s">
        <v>2432</v>
      </c>
      <c r="B45" s="21" t="s">
        <v>2369</v>
      </c>
      <c r="C45" s="21" t="s">
        <v>2358</v>
      </c>
      <c r="D45" s="21" t="s">
        <v>2359</v>
      </c>
      <c r="E45" s="21" t="s">
        <v>419</v>
      </c>
      <c r="F45" s="20">
        <v>0.36099999999999999</v>
      </c>
      <c r="G45" s="24">
        <v>0</v>
      </c>
      <c r="H45" s="25">
        <f t="shared" si="9"/>
        <v>0</v>
      </c>
      <c r="I45" s="26">
        <f>'단가대비표(기계'!O37</f>
        <v>164907</v>
      </c>
      <c r="J45" s="25">
        <f t="shared" si="10"/>
        <v>59531.4</v>
      </c>
      <c r="K45" s="26">
        <v>0</v>
      </c>
      <c r="L45" s="25">
        <f t="shared" si="11"/>
        <v>0</v>
      </c>
      <c r="M45" s="26">
        <f t="shared" si="12"/>
        <v>164907</v>
      </c>
      <c r="N45" s="25">
        <f t="shared" si="13"/>
        <v>59531.4</v>
      </c>
      <c r="O45" s="21" t="s">
        <v>51</v>
      </c>
      <c r="R45" s="18">
        <v>0</v>
      </c>
      <c r="S45" s="18">
        <v>0</v>
      </c>
      <c r="T45" s="18">
        <v>0</v>
      </c>
      <c r="W45" s="18">
        <v>3</v>
      </c>
      <c r="AC45" s="18">
        <v>1</v>
      </c>
    </row>
    <row r="46" spans="1:29" ht="30" customHeight="1">
      <c r="A46" s="21" t="s">
        <v>2432</v>
      </c>
      <c r="B46" s="21" t="s">
        <v>2370</v>
      </c>
      <c r="C46" s="21" t="s">
        <v>2358</v>
      </c>
      <c r="D46" s="21" t="s">
        <v>996</v>
      </c>
      <c r="E46" s="21" t="s">
        <v>419</v>
      </c>
      <c r="F46" s="20">
        <v>2.9000000000000001E-2</v>
      </c>
      <c r="G46" s="24">
        <v>0</v>
      </c>
      <c r="H46" s="25">
        <f t="shared" si="9"/>
        <v>0</v>
      </c>
      <c r="I46" s="26">
        <f>'단가대비표(기계'!O40</f>
        <v>130264</v>
      </c>
      <c r="J46" s="25">
        <f t="shared" si="10"/>
        <v>3777.6</v>
      </c>
      <c r="K46" s="26">
        <v>0</v>
      </c>
      <c r="L46" s="25">
        <f t="shared" si="11"/>
        <v>0</v>
      </c>
      <c r="M46" s="26">
        <f t="shared" si="12"/>
        <v>130264</v>
      </c>
      <c r="N46" s="25">
        <f t="shared" si="13"/>
        <v>3777.6</v>
      </c>
      <c r="O46" s="21" t="s">
        <v>51</v>
      </c>
      <c r="R46" s="18">
        <v>0</v>
      </c>
      <c r="S46" s="18">
        <v>0</v>
      </c>
      <c r="T46" s="18">
        <v>0</v>
      </c>
      <c r="W46" s="18">
        <v>3</v>
      </c>
      <c r="AC46" s="18">
        <v>1</v>
      </c>
    </row>
    <row r="47" spans="1:29" ht="30" customHeight="1">
      <c r="A47" s="21" t="s">
        <v>2432</v>
      </c>
      <c r="B47" s="21" t="s">
        <v>2368</v>
      </c>
      <c r="C47" s="21" t="s">
        <v>1134</v>
      </c>
      <c r="D47" s="21" t="s">
        <v>2452</v>
      </c>
      <c r="E47" s="21" t="s">
        <v>82</v>
      </c>
      <c r="F47" s="20">
        <v>1</v>
      </c>
      <c r="G47" s="24">
        <f>ROUNDDOWN(SUMIF(W33:W47, RIGHTB(B47, 1), J33:J47)*T47, 2)</f>
        <v>1266.18</v>
      </c>
      <c r="H47" s="25">
        <f t="shared" si="9"/>
        <v>1266.0999999999999</v>
      </c>
      <c r="I47" s="26">
        <v>0</v>
      </c>
      <c r="J47" s="25">
        <f t="shared" si="10"/>
        <v>0</v>
      </c>
      <c r="K47" s="26">
        <v>0</v>
      </c>
      <c r="L47" s="25">
        <f t="shared" si="11"/>
        <v>0</v>
      </c>
      <c r="M47" s="26">
        <f t="shared" si="12"/>
        <v>1266.0999999999999</v>
      </c>
      <c r="N47" s="25">
        <f t="shared" si="13"/>
        <v>1266.0999999999999</v>
      </c>
      <c r="O47" s="21" t="s">
        <v>51</v>
      </c>
      <c r="P47" s="18">
        <v>47</v>
      </c>
      <c r="R47" s="18">
        <v>1</v>
      </c>
      <c r="S47" s="18">
        <v>0</v>
      </c>
      <c r="T47" s="18">
        <v>0.02</v>
      </c>
      <c r="AC47" s="18">
        <v>1</v>
      </c>
    </row>
    <row r="48" spans="1:29" ht="30" customHeight="1">
      <c r="A48" s="20"/>
      <c r="B48" s="20"/>
      <c r="C48" s="20" t="s">
        <v>85</v>
      </c>
      <c r="D48" s="20"/>
      <c r="E48" s="20"/>
      <c r="F48" s="20"/>
      <c r="G48" s="24"/>
      <c r="H48" s="22">
        <f>ROUNDDOWN(SUMIF(AC33:AC47, 1, H33:H47), 0)</f>
        <v>13760</v>
      </c>
      <c r="I48" s="20"/>
      <c r="J48" s="22">
        <f>ROUNDDOWN(SUMIF(AC33:AC47, 1, J33:J47), 0)</f>
        <v>63309</v>
      </c>
      <c r="K48" s="20"/>
      <c r="L48" s="22">
        <f>ROUNDDOWN(SUMIF(AC33:AC47, 1, L33:L47), 0)</f>
        <v>0</v>
      </c>
      <c r="M48" s="20"/>
      <c r="N48" s="22">
        <f>H48+J48+L48</f>
        <v>77069</v>
      </c>
      <c r="O48" s="20"/>
    </row>
    <row r="49" spans="1:29" ht="30" customHeight="1">
      <c r="A49" s="20"/>
      <c r="B49" s="20"/>
      <c r="C49" s="20"/>
      <c r="D49" s="20"/>
      <c r="E49" s="20"/>
      <c r="F49" s="20"/>
      <c r="G49" s="24"/>
      <c r="H49" s="20"/>
      <c r="I49" s="20"/>
      <c r="J49" s="20"/>
      <c r="K49" s="20"/>
      <c r="L49" s="20"/>
      <c r="M49" s="20"/>
      <c r="N49" s="20"/>
      <c r="O49" s="20"/>
    </row>
    <row r="50" spans="1:29" ht="30" customHeight="1">
      <c r="A50" s="20"/>
      <c r="B50" s="20"/>
      <c r="C50" s="21" t="s">
        <v>2510</v>
      </c>
      <c r="D50" s="20"/>
      <c r="E50" s="20"/>
      <c r="F50" s="20"/>
      <c r="G50" s="24"/>
      <c r="H50" s="20"/>
      <c r="I50" s="20"/>
      <c r="J50" s="20"/>
      <c r="K50" s="20"/>
      <c r="L50" s="20"/>
      <c r="M50" s="20"/>
      <c r="N50" s="20"/>
      <c r="O50" s="20"/>
    </row>
    <row r="51" spans="1:29" ht="30" customHeight="1">
      <c r="A51" s="21" t="s">
        <v>2429</v>
      </c>
      <c r="B51" s="21" t="s">
        <v>2509</v>
      </c>
      <c r="C51" s="21" t="s">
        <v>2508</v>
      </c>
      <c r="D51" s="21" t="s">
        <v>2507</v>
      </c>
      <c r="E51" s="21" t="s">
        <v>59</v>
      </c>
      <c r="F51" s="20">
        <v>1.28</v>
      </c>
      <c r="G51" s="24">
        <f>'단가대비표(기계'!O43</f>
        <v>5900</v>
      </c>
      <c r="H51" s="25">
        <f t="shared" ref="H51:H67" si="14">TRUNC(F51*G51,1)</f>
        <v>7552</v>
      </c>
      <c r="I51" s="26">
        <v>0</v>
      </c>
      <c r="J51" s="25">
        <f t="shared" ref="J51:J67" si="15">TRUNC(F51*I51,1)</f>
        <v>0</v>
      </c>
      <c r="K51" s="26">
        <v>0</v>
      </c>
      <c r="L51" s="25">
        <f t="shared" ref="L51:L67" si="16">TRUNC(F51*K51,1)</f>
        <v>0</v>
      </c>
      <c r="M51" s="26">
        <f t="shared" ref="M51:M67" si="17">TRUNC(G51+I51+K51,1)</f>
        <v>5900</v>
      </c>
      <c r="N51" s="25">
        <f t="shared" ref="N51:N67" si="18">TRUNC(H51+J51+L51,1)</f>
        <v>7552</v>
      </c>
      <c r="O51" s="21" t="s">
        <v>51</v>
      </c>
      <c r="R51" s="18">
        <v>0</v>
      </c>
      <c r="S51" s="18">
        <v>0</v>
      </c>
      <c r="T51" s="18">
        <v>0</v>
      </c>
      <c r="U51" s="18">
        <v>1</v>
      </c>
      <c r="AC51" s="18">
        <v>1</v>
      </c>
    </row>
    <row r="52" spans="1:29" ht="30" customHeight="1">
      <c r="A52" s="21" t="s">
        <v>2429</v>
      </c>
      <c r="B52" s="21" t="s">
        <v>2506</v>
      </c>
      <c r="C52" s="21" t="s">
        <v>2505</v>
      </c>
      <c r="D52" s="21" t="s">
        <v>2504</v>
      </c>
      <c r="E52" s="21" t="s">
        <v>59</v>
      </c>
      <c r="F52" s="20">
        <v>0.11</v>
      </c>
      <c r="G52" s="24">
        <f>'단가대비표(기계'!O28</f>
        <v>6066</v>
      </c>
      <c r="H52" s="25">
        <f t="shared" si="14"/>
        <v>667.2</v>
      </c>
      <c r="I52" s="26">
        <v>0</v>
      </c>
      <c r="J52" s="25">
        <f t="shared" si="15"/>
        <v>0</v>
      </c>
      <c r="K52" s="26">
        <v>0</v>
      </c>
      <c r="L52" s="25">
        <f t="shared" si="16"/>
        <v>0</v>
      </c>
      <c r="M52" s="26">
        <f t="shared" si="17"/>
        <v>6066</v>
      </c>
      <c r="N52" s="25">
        <f t="shared" si="18"/>
        <v>667.2</v>
      </c>
      <c r="O52" s="21" t="s">
        <v>51</v>
      </c>
      <c r="R52" s="18">
        <v>0</v>
      </c>
      <c r="S52" s="18">
        <v>0</v>
      </c>
      <c r="T52" s="18">
        <v>0</v>
      </c>
      <c r="U52" s="18">
        <v>1</v>
      </c>
      <c r="AC52" s="18">
        <v>1</v>
      </c>
    </row>
    <row r="53" spans="1:29" ht="30" customHeight="1">
      <c r="A53" s="21" t="s">
        <v>2429</v>
      </c>
      <c r="B53" s="21" t="s">
        <v>2503</v>
      </c>
      <c r="C53" s="21" t="s">
        <v>2502</v>
      </c>
      <c r="D53" s="21" t="s">
        <v>2501</v>
      </c>
      <c r="E53" s="21" t="s">
        <v>321</v>
      </c>
      <c r="F53" s="20">
        <v>2</v>
      </c>
      <c r="G53" s="24">
        <f>'단가대비표(기계'!O29</f>
        <v>600</v>
      </c>
      <c r="H53" s="25">
        <f t="shared" si="14"/>
        <v>1200</v>
      </c>
      <c r="I53" s="26">
        <v>0</v>
      </c>
      <c r="J53" s="25">
        <f t="shared" si="15"/>
        <v>0</v>
      </c>
      <c r="K53" s="26">
        <v>0</v>
      </c>
      <c r="L53" s="25">
        <f t="shared" si="16"/>
        <v>0</v>
      </c>
      <c r="M53" s="26">
        <f t="shared" si="17"/>
        <v>600</v>
      </c>
      <c r="N53" s="25">
        <f t="shared" si="18"/>
        <v>1200</v>
      </c>
      <c r="O53" s="21" t="s">
        <v>51</v>
      </c>
      <c r="R53" s="18">
        <v>0</v>
      </c>
      <c r="S53" s="18">
        <v>0</v>
      </c>
      <c r="T53" s="18">
        <v>0</v>
      </c>
      <c r="U53" s="18">
        <v>1</v>
      </c>
      <c r="AC53" s="18">
        <v>1</v>
      </c>
    </row>
    <row r="54" spans="1:29" ht="30" customHeight="1">
      <c r="A54" s="21" t="s">
        <v>2429</v>
      </c>
      <c r="B54" s="21" t="s">
        <v>2500</v>
      </c>
      <c r="C54" s="21" t="s">
        <v>2499</v>
      </c>
      <c r="D54" s="21" t="s">
        <v>2498</v>
      </c>
      <c r="E54" s="21" t="s">
        <v>321</v>
      </c>
      <c r="F54" s="20">
        <v>2</v>
      </c>
      <c r="G54" s="24">
        <f>'단가대비표(기계'!O30</f>
        <v>42</v>
      </c>
      <c r="H54" s="25">
        <f t="shared" si="14"/>
        <v>84</v>
      </c>
      <c r="I54" s="26">
        <v>0</v>
      </c>
      <c r="J54" s="25">
        <f t="shared" si="15"/>
        <v>0</v>
      </c>
      <c r="K54" s="26">
        <v>0</v>
      </c>
      <c r="L54" s="25">
        <f t="shared" si="16"/>
        <v>0</v>
      </c>
      <c r="M54" s="26">
        <f t="shared" si="17"/>
        <v>42</v>
      </c>
      <c r="N54" s="25">
        <f t="shared" si="18"/>
        <v>84</v>
      </c>
      <c r="O54" s="21" t="s">
        <v>51</v>
      </c>
      <c r="R54" s="18">
        <v>0</v>
      </c>
      <c r="S54" s="18">
        <v>0</v>
      </c>
      <c r="T54" s="18">
        <v>0</v>
      </c>
      <c r="U54" s="18">
        <v>1</v>
      </c>
      <c r="AC54" s="18">
        <v>1</v>
      </c>
    </row>
    <row r="55" spans="1:29" ht="30" customHeight="1">
      <c r="A55" s="21" t="s">
        <v>2429</v>
      </c>
      <c r="B55" s="21" t="s">
        <v>2497</v>
      </c>
      <c r="C55" s="21" t="s">
        <v>2496</v>
      </c>
      <c r="D55" s="21" t="s">
        <v>2495</v>
      </c>
      <c r="E55" s="21" t="s">
        <v>204</v>
      </c>
      <c r="F55" s="20">
        <v>0.7</v>
      </c>
      <c r="G55" s="24">
        <f>'단가대비표(기계'!O16</f>
        <v>1100</v>
      </c>
      <c r="H55" s="25">
        <f t="shared" si="14"/>
        <v>770</v>
      </c>
      <c r="I55" s="26">
        <v>0</v>
      </c>
      <c r="J55" s="25">
        <f t="shared" si="15"/>
        <v>0</v>
      </c>
      <c r="K55" s="26">
        <v>0</v>
      </c>
      <c r="L55" s="25">
        <f t="shared" si="16"/>
        <v>0</v>
      </c>
      <c r="M55" s="26">
        <f t="shared" si="17"/>
        <v>1100</v>
      </c>
      <c r="N55" s="25">
        <f t="shared" si="18"/>
        <v>770</v>
      </c>
      <c r="O55" s="21" t="s">
        <v>51</v>
      </c>
      <c r="R55" s="18">
        <v>0</v>
      </c>
      <c r="S55" s="18">
        <v>0</v>
      </c>
      <c r="T55" s="18">
        <v>0</v>
      </c>
      <c r="U55" s="18">
        <v>1</v>
      </c>
      <c r="AC55" s="18">
        <v>1</v>
      </c>
    </row>
    <row r="56" spans="1:29" ht="30" customHeight="1">
      <c r="A56" s="21" t="s">
        <v>2429</v>
      </c>
      <c r="B56" s="21" t="s">
        <v>2494</v>
      </c>
      <c r="C56" s="21" t="s">
        <v>2493</v>
      </c>
      <c r="D56" s="21" t="s">
        <v>2492</v>
      </c>
      <c r="E56" s="21" t="s">
        <v>204</v>
      </c>
      <c r="F56" s="20">
        <v>0.3</v>
      </c>
      <c r="G56" s="24">
        <f>'단가대비표(기계'!O17</f>
        <v>1265</v>
      </c>
      <c r="H56" s="25">
        <f t="shared" si="14"/>
        <v>379.5</v>
      </c>
      <c r="I56" s="26">
        <v>0</v>
      </c>
      <c r="J56" s="25">
        <f t="shared" si="15"/>
        <v>0</v>
      </c>
      <c r="K56" s="26">
        <v>0</v>
      </c>
      <c r="L56" s="25">
        <f t="shared" si="16"/>
        <v>0</v>
      </c>
      <c r="M56" s="26">
        <f t="shared" si="17"/>
        <v>1265</v>
      </c>
      <c r="N56" s="25">
        <f t="shared" si="18"/>
        <v>379.5</v>
      </c>
      <c r="O56" s="21" t="s">
        <v>51</v>
      </c>
      <c r="R56" s="18">
        <v>0</v>
      </c>
      <c r="S56" s="18">
        <v>0</v>
      </c>
      <c r="T56" s="18">
        <v>0</v>
      </c>
      <c r="U56" s="18">
        <v>1</v>
      </c>
      <c r="AC56" s="18">
        <v>1</v>
      </c>
    </row>
    <row r="57" spans="1:29" ht="30" customHeight="1">
      <c r="A57" s="21" t="s">
        <v>2429</v>
      </c>
      <c r="B57" s="21" t="s">
        <v>2491</v>
      </c>
      <c r="C57" s="21" t="s">
        <v>2490</v>
      </c>
      <c r="D57" s="21" t="s">
        <v>2304</v>
      </c>
      <c r="E57" s="21" t="s">
        <v>204</v>
      </c>
      <c r="F57" s="20">
        <v>0.4</v>
      </c>
      <c r="G57" s="24">
        <f>'단가대비표(기계'!O18</f>
        <v>870</v>
      </c>
      <c r="H57" s="25">
        <f t="shared" si="14"/>
        <v>348</v>
      </c>
      <c r="I57" s="26">
        <v>0</v>
      </c>
      <c r="J57" s="25">
        <f t="shared" si="15"/>
        <v>0</v>
      </c>
      <c r="K57" s="26">
        <v>0</v>
      </c>
      <c r="L57" s="25">
        <f t="shared" si="16"/>
        <v>0</v>
      </c>
      <c r="M57" s="26">
        <f t="shared" si="17"/>
        <v>870</v>
      </c>
      <c r="N57" s="25">
        <f t="shared" si="18"/>
        <v>348</v>
      </c>
      <c r="O57" s="21" t="s">
        <v>51</v>
      </c>
      <c r="R57" s="18">
        <v>0</v>
      </c>
      <c r="S57" s="18">
        <v>0</v>
      </c>
      <c r="T57" s="18">
        <v>0</v>
      </c>
      <c r="U57" s="18">
        <v>1</v>
      </c>
      <c r="AC57" s="18">
        <v>1</v>
      </c>
    </row>
    <row r="58" spans="1:29" ht="30" customHeight="1">
      <c r="A58" s="21" t="s">
        <v>2429</v>
      </c>
      <c r="B58" s="21" t="s">
        <v>2489</v>
      </c>
      <c r="C58" s="21" t="s">
        <v>2488</v>
      </c>
      <c r="D58" s="21" t="s">
        <v>2487</v>
      </c>
      <c r="E58" s="21" t="s">
        <v>321</v>
      </c>
      <c r="F58" s="20">
        <v>0.3</v>
      </c>
      <c r="G58" s="24">
        <f>'단가대비표(기계'!O32</f>
        <v>21</v>
      </c>
      <c r="H58" s="25">
        <f t="shared" si="14"/>
        <v>6.3</v>
      </c>
      <c r="I58" s="26">
        <v>0</v>
      </c>
      <c r="J58" s="25">
        <f t="shared" si="15"/>
        <v>0</v>
      </c>
      <c r="K58" s="26">
        <v>0</v>
      </c>
      <c r="L58" s="25">
        <f t="shared" si="16"/>
        <v>0</v>
      </c>
      <c r="M58" s="26">
        <f t="shared" si="17"/>
        <v>21</v>
      </c>
      <c r="N58" s="25">
        <f t="shared" si="18"/>
        <v>6.3</v>
      </c>
      <c r="O58" s="21" t="s">
        <v>51</v>
      </c>
      <c r="R58" s="18">
        <v>0</v>
      </c>
      <c r="S58" s="18">
        <v>0</v>
      </c>
      <c r="T58" s="18">
        <v>0</v>
      </c>
      <c r="U58" s="18">
        <v>1</v>
      </c>
      <c r="AC58" s="18">
        <v>1</v>
      </c>
    </row>
    <row r="59" spans="1:29" ht="30" customHeight="1">
      <c r="A59" s="21" t="s">
        <v>2429</v>
      </c>
      <c r="B59" s="21" t="s">
        <v>2486</v>
      </c>
      <c r="C59" s="21" t="s">
        <v>2485</v>
      </c>
      <c r="D59" s="21" t="s">
        <v>2484</v>
      </c>
      <c r="E59" s="21" t="s">
        <v>204</v>
      </c>
      <c r="F59" s="20">
        <v>1.1000000000000001</v>
      </c>
      <c r="G59" s="24">
        <f>'단가대비표(기계'!O36</f>
        <v>440</v>
      </c>
      <c r="H59" s="25">
        <f t="shared" si="14"/>
        <v>484</v>
      </c>
      <c r="I59" s="26">
        <v>0</v>
      </c>
      <c r="J59" s="25">
        <f t="shared" si="15"/>
        <v>0</v>
      </c>
      <c r="K59" s="26">
        <v>0</v>
      </c>
      <c r="L59" s="25">
        <f t="shared" si="16"/>
        <v>0</v>
      </c>
      <c r="M59" s="26">
        <f t="shared" si="17"/>
        <v>440</v>
      </c>
      <c r="N59" s="25">
        <f t="shared" si="18"/>
        <v>484</v>
      </c>
      <c r="O59" s="21" t="s">
        <v>51</v>
      </c>
      <c r="R59" s="18">
        <v>0</v>
      </c>
      <c r="S59" s="18">
        <v>0</v>
      </c>
      <c r="T59" s="18">
        <v>0</v>
      </c>
      <c r="U59" s="18">
        <v>1</v>
      </c>
      <c r="AC59" s="18">
        <v>1</v>
      </c>
    </row>
    <row r="60" spans="1:29" ht="30" customHeight="1">
      <c r="A60" s="21" t="s">
        <v>2429</v>
      </c>
      <c r="B60" s="21" t="s">
        <v>2483</v>
      </c>
      <c r="C60" s="21" t="s">
        <v>2482</v>
      </c>
      <c r="D60" s="21" t="s">
        <v>2481</v>
      </c>
      <c r="E60" s="21" t="s">
        <v>321</v>
      </c>
      <c r="F60" s="20">
        <v>0.3</v>
      </c>
      <c r="G60" s="24">
        <f>'단가대비표(기계'!O31</f>
        <v>100</v>
      </c>
      <c r="H60" s="25">
        <f t="shared" si="14"/>
        <v>30</v>
      </c>
      <c r="I60" s="26">
        <v>0</v>
      </c>
      <c r="J60" s="25">
        <f t="shared" si="15"/>
        <v>0</v>
      </c>
      <c r="K60" s="26">
        <v>0</v>
      </c>
      <c r="L60" s="25">
        <f t="shared" si="16"/>
        <v>0</v>
      </c>
      <c r="M60" s="26">
        <f t="shared" si="17"/>
        <v>100</v>
      </c>
      <c r="N60" s="25">
        <f t="shared" si="18"/>
        <v>30</v>
      </c>
      <c r="O60" s="21" t="s">
        <v>51</v>
      </c>
      <c r="R60" s="18">
        <v>0</v>
      </c>
      <c r="S60" s="18">
        <v>0</v>
      </c>
      <c r="T60" s="18">
        <v>0</v>
      </c>
      <c r="U60" s="18">
        <v>1</v>
      </c>
      <c r="AC60" s="18">
        <v>1</v>
      </c>
    </row>
    <row r="61" spans="1:29" ht="30" customHeight="1">
      <c r="A61" s="21" t="s">
        <v>2429</v>
      </c>
      <c r="B61" s="21" t="s">
        <v>2480</v>
      </c>
      <c r="C61" s="21" t="s">
        <v>2479</v>
      </c>
      <c r="D61" s="21" t="s">
        <v>2478</v>
      </c>
      <c r="E61" s="21" t="s">
        <v>2477</v>
      </c>
      <c r="F61" s="20">
        <v>0.06</v>
      </c>
      <c r="G61" s="24">
        <f>'단가대비표(기계'!O22</f>
        <v>22000</v>
      </c>
      <c r="H61" s="25">
        <f t="shared" si="14"/>
        <v>1320</v>
      </c>
      <c r="I61" s="26">
        <v>0</v>
      </c>
      <c r="J61" s="25">
        <f t="shared" si="15"/>
        <v>0</v>
      </c>
      <c r="K61" s="26">
        <v>0</v>
      </c>
      <c r="L61" s="25">
        <f t="shared" si="16"/>
        <v>0</v>
      </c>
      <c r="M61" s="26">
        <f t="shared" si="17"/>
        <v>22000</v>
      </c>
      <c r="N61" s="25">
        <f t="shared" si="18"/>
        <v>1320</v>
      </c>
      <c r="O61" s="21" t="s">
        <v>51</v>
      </c>
      <c r="R61" s="18">
        <v>0</v>
      </c>
      <c r="S61" s="18">
        <v>0</v>
      </c>
      <c r="T61" s="18">
        <v>0</v>
      </c>
      <c r="U61" s="18">
        <v>1</v>
      </c>
      <c r="AC61" s="18">
        <v>1</v>
      </c>
    </row>
    <row r="62" spans="1:29" ht="30" customHeight="1">
      <c r="A62" s="21" t="s">
        <v>2429</v>
      </c>
      <c r="B62" s="21" t="s">
        <v>2476</v>
      </c>
      <c r="C62" s="21" t="s">
        <v>2475</v>
      </c>
      <c r="D62" s="21" t="s">
        <v>2474</v>
      </c>
      <c r="E62" s="21" t="s">
        <v>204</v>
      </c>
      <c r="F62" s="20">
        <v>0.6</v>
      </c>
      <c r="G62" s="24">
        <f>'단가대비표(기계'!O19</f>
        <v>1378</v>
      </c>
      <c r="H62" s="25">
        <f t="shared" si="14"/>
        <v>826.8</v>
      </c>
      <c r="I62" s="26">
        <v>0</v>
      </c>
      <c r="J62" s="25">
        <f t="shared" si="15"/>
        <v>0</v>
      </c>
      <c r="K62" s="26">
        <v>0</v>
      </c>
      <c r="L62" s="25">
        <f t="shared" si="16"/>
        <v>0</v>
      </c>
      <c r="M62" s="26">
        <f t="shared" si="17"/>
        <v>1378</v>
      </c>
      <c r="N62" s="25">
        <f t="shared" si="18"/>
        <v>826.8</v>
      </c>
      <c r="O62" s="21" t="s">
        <v>51</v>
      </c>
      <c r="R62" s="18">
        <v>0</v>
      </c>
      <c r="S62" s="18">
        <v>0</v>
      </c>
      <c r="T62" s="18">
        <v>0</v>
      </c>
      <c r="U62" s="18">
        <v>1</v>
      </c>
      <c r="AC62" s="18">
        <v>1</v>
      </c>
    </row>
    <row r="63" spans="1:29" ht="30" customHeight="1">
      <c r="A63" s="21" t="s">
        <v>2429</v>
      </c>
      <c r="B63" s="21" t="s">
        <v>2473</v>
      </c>
      <c r="C63" s="21" t="s">
        <v>2472</v>
      </c>
      <c r="D63" s="21" t="s">
        <v>2471</v>
      </c>
      <c r="E63" s="21" t="s">
        <v>321</v>
      </c>
      <c r="F63" s="20">
        <v>5.6</v>
      </c>
      <c r="G63" s="24">
        <f>'단가대비표(기계'!O20</f>
        <v>7</v>
      </c>
      <c r="H63" s="25">
        <f t="shared" si="14"/>
        <v>39.200000000000003</v>
      </c>
      <c r="I63" s="26">
        <v>0</v>
      </c>
      <c r="J63" s="25">
        <f t="shared" si="15"/>
        <v>0</v>
      </c>
      <c r="K63" s="26">
        <v>0</v>
      </c>
      <c r="L63" s="25">
        <f t="shared" si="16"/>
        <v>0</v>
      </c>
      <c r="M63" s="26">
        <f t="shared" si="17"/>
        <v>7</v>
      </c>
      <c r="N63" s="25">
        <f t="shared" si="18"/>
        <v>39.200000000000003</v>
      </c>
      <c r="O63" s="21" t="s">
        <v>51</v>
      </c>
      <c r="R63" s="18">
        <v>0</v>
      </c>
      <c r="S63" s="18">
        <v>0</v>
      </c>
      <c r="T63" s="18">
        <v>0</v>
      </c>
      <c r="U63" s="18">
        <v>1</v>
      </c>
      <c r="AC63" s="18">
        <v>1</v>
      </c>
    </row>
    <row r="64" spans="1:29" ht="30" customHeight="1">
      <c r="A64" s="21" t="s">
        <v>2429</v>
      </c>
      <c r="B64" s="21" t="s">
        <v>2455</v>
      </c>
      <c r="C64" s="21" t="s">
        <v>2470</v>
      </c>
      <c r="D64" s="21" t="s">
        <v>2469</v>
      </c>
      <c r="E64" s="21" t="s">
        <v>82</v>
      </c>
      <c r="F64" s="20">
        <v>1</v>
      </c>
      <c r="G64" s="24">
        <f>ROUNDDOWN(SUMIF(U51:U67, RIGHTB(B64, 1), H51:H67)*T64, 2)</f>
        <v>274.14</v>
      </c>
      <c r="H64" s="25">
        <f t="shared" si="14"/>
        <v>274.10000000000002</v>
      </c>
      <c r="I64" s="26">
        <v>0</v>
      </c>
      <c r="J64" s="25">
        <f t="shared" si="15"/>
        <v>0</v>
      </c>
      <c r="K64" s="26">
        <v>0</v>
      </c>
      <c r="L64" s="25">
        <f t="shared" si="16"/>
        <v>0</v>
      </c>
      <c r="M64" s="26">
        <f t="shared" si="17"/>
        <v>274.10000000000002</v>
      </c>
      <c r="N64" s="25">
        <f t="shared" si="18"/>
        <v>274.10000000000002</v>
      </c>
      <c r="O64" s="21" t="s">
        <v>51</v>
      </c>
      <c r="P64" s="18">
        <v>64</v>
      </c>
      <c r="R64" s="18">
        <v>0</v>
      </c>
      <c r="S64" s="18">
        <v>0</v>
      </c>
      <c r="T64" s="18">
        <v>0.02</v>
      </c>
      <c r="AC64" s="18">
        <v>1</v>
      </c>
    </row>
    <row r="65" spans="1:29" ht="30" customHeight="1">
      <c r="A65" s="21" t="s">
        <v>2429</v>
      </c>
      <c r="B65" s="21" t="s">
        <v>2369</v>
      </c>
      <c r="C65" s="21" t="s">
        <v>2358</v>
      </c>
      <c r="D65" s="21" t="s">
        <v>2359</v>
      </c>
      <c r="E65" s="21" t="s">
        <v>419</v>
      </c>
      <c r="F65" s="20">
        <v>0.38900000000000001</v>
      </c>
      <c r="G65" s="24">
        <v>0</v>
      </c>
      <c r="H65" s="25">
        <f t="shared" si="14"/>
        <v>0</v>
      </c>
      <c r="I65" s="26">
        <f>'단가대비표(기계'!O37</f>
        <v>164907</v>
      </c>
      <c r="J65" s="25">
        <f t="shared" si="15"/>
        <v>64148.800000000003</v>
      </c>
      <c r="K65" s="26">
        <v>0</v>
      </c>
      <c r="L65" s="25">
        <f t="shared" si="16"/>
        <v>0</v>
      </c>
      <c r="M65" s="26">
        <f t="shared" si="17"/>
        <v>164907</v>
      </c>
      <c r="N65" s="25">
        <f t="shared" si="18"/>
        <v>64148.800000000003</v>
      </c>
      <c r="O65" s="21" t="s">
        <v>51</v>
      </c>
      <c r="R65" s="18">
        <v>0</v>
      </c>
      <c r="S65" s="18">
        <v>0</v>
      </c>
      <c r="T65" s="18">
        <v>0</v>
      </c>
      <c r="W65" s="18">
        <v>3</v>
      </c>
      <c r="AC65" s="18">
        <v>1</v>
      </c>
    </row>
    <row r="66" spans="1:29" ht="30" customHeight="1">
      <c r="A66" s="21" t="s">
        <v>2429</v>
      </c>
      <c r="B66" s="21" t="s">
        <v>2370</v>
      </c>
      <c r="C66" s="21" t="s">
        <v>2358</v>
      </c>
      <c r="D66" s="21" t="s">
        <v>996</v>
      </c>
      <c r="E66" s="21" t="s">
        <v>419</v>
      </c>
      <c r="F66" s="20">
        <v>0.03</v>
      </c>
      <c r="G66" s="24">
        <v>0</v>
      </c>
      <c r="H66" s="25">
        <f t="shared" si="14"/>
        <v>0</v>
      </c>
      <c r="I66" s="26">
        <f>'단가대비표(기계'!O40</f>
        <v>130264</v>
      </c>
      <c r="J66" s="25">
        <f t="shared" si="15"/>
        <v>3907.9</v>
      </c>
      <c r="K66" s="26">
        <v>0</v>
      </c>
      <c r="L66" s="25">
        <f t="shared" si="16"/>
        <v>0</v>
      </c>
      <c r="M66" s="26">
        <f t="shared" si="17"/>
        <v>130264</v>
      </c>
      <c r="N66" s="25">
        <f t="shared" si="18"/>
        <v>3907.9</v>
      </c>
      <c r="O66" s="21" t="s">
        <v>51</v>
      </c>
      <c r="R66" s="18">
        <v>0</v>
      </c>
      <c r="S66" s="18">
        <v>0</v>
      </c>
      <c r="T66" s="18">
        <v>0</v>
      </c>
      <c r="W66" s="18">
        <v>3</v>
      </c>
      <c r="AC66" s="18">
        <v>1</v>
      </c>
    </row>
    <row r="67" spans="1:29" ht="30" customHeight="1">
      <c r="A67" s="21" t="s">
        <v>2429</v>
      </c>
      <c r="B67" s="21" t="s">
        <v>2368</v>
      </c>
      <c r="C67" s="21" t="s">
        <v>1134</v>
      </c>
      <c r="D67" s="21" t="s">
        <v>2452</v>
      </c>
      <c r="E67" s="21" t="s">
        <v>82</v>
      </c>
      <c r="F67" s="20">
        <v>1</v>
      </c>
      <c r="G67" s="24">
        <f>ROUNDDOWN(SUMIF(W51:W67, RIGHTB(B67, 1), J51:J67)*T67, 2)</f>
        <v>1361.13</v>
      </c>
      <c r="H67" s="25">
        <f t="shared" si="14"/>
        <v>1361.1</v>
      </c>
      <c r="I67" s="26">
        <v>0</v>
      </c>
      <c r="J67" s="25">
        <f t="shared" si="15"/>
        <v>0</v>
      </c>
      <c r="K67" s="26">
        <v>0</v>
      </c>
      <c r="L67" s="25">
        <f t="shared" si="16"/>
        <v>0</v>
      </c>
      <c r="M67" s="26">
        <f t="shared" si="17"/>
        <v>1361.1</v>
      </c>
      <c r="N67" s="25">
        <f t="shared" si="18"/>
        <v>1361.1</v>
      </c>
      <c r="O67" s="21" t="s">
        <v>51</v>
      </c>
      <c r="P67" s="18">
        <v>67</v>
      </c>
      <c r="R67" s="18">
        <v>1</v>
      </c>
      <c r="S67" s="18">
        <v>0</v>
      </c>
      <c r="T67" s="18">
        <v>0.02</v>
      </c>
      <c r="AC67" s="18">
        <v>1</v>
      </c>
    </row>
    <row r="68" spans="1:29" ht="30" customHeight="1">
      <c r="A68" s="20"/>
      <c r="B68" s="20"/>
      <c r="C68" s="20" t="s">
        <v>85</v>
      </c>
      <c r="D68" s="20"/>
      <c r="E68" s="20"/>
      <c r="F68" s="20"/>
      <c r="G68" s="24"/>
      <c r="H68" s="22">
        <f>ROUNDDOWN(SUMIF(AC51:AC67, 1, H51:H67), 0)</f>
        <v>15342</v>
      </c>
      <c r="I68" s="20"/>
      <c r="J68" s="22">
        <f>ROUNDDOWN(SUMIF(AC51:AC67, 1, J51:J67), 0)</f>
        <v>68056</v>
      </c>
      <c r="K68" s="20"/>
      <c r="L68" s="22">
        <f>ROUNDDOWN(SUMIF(AC51:AC67, 1, L51:L67), 0)</f>
        <v>0</v>
      </c>
      <c r="M68" s="20"/>
      <c r="N68" s="22">
        <f>H68+J68+L68</f>
        <v>83398</v>
      </c>
      <c r="O68" s="20"/>
    </row>
    <row r="69" spans="1:29" ht="30" customHeight="1">
      <c r="A69" s="20"/>
      <c r="B69" s="20"/>
      <c r="C69" s="20"/>
      <c r="D69" s="20"/>
      <c r="E69" s="20"/>
      <c r="F69" s="20"/>
      <c r="G69" s="24"/>
      <c r="H69" s="20"/>
      <c r="I69" s="20"/>
      <c r="J69" s="20"/>
      <c r="K69" s="20"/>
      <c r="L69" s="20"/>
      <c r="M69" s="20"/>
      <c r="N69" s="20"/>
      <c r="O69" s="20"/>
    </row>
    <row r="70" spans="1:29" ht="30" customHeight="1">
      <c r="A70" s="20"/>
      <c r="B70" s="20"/>
      <c r="C70" s="21" t="s">
        <v>2468</v>
      </c>
      <c r="D70" s="20"/>
      <c r="E70" s="20"/>
      <c r="F70" s="20"/>
      <c r="G70" s="24"/>
      <c r="H70" s="20"/>
      <c r="I70" s="20"/>
      <c r="J70" s="20"/>
      <c r="K70" s="20"/>
      <c r="L70" s="20"/>
      <c r="M70" s="20"/>
      <c r="N70" s="20"/>
      <c r="O70" s="20"/>
    </row>
    <row r="71" spans="1:29" ht="30" customHeight="1">
      <c r="A71" s="21" t="s">
        <v>2443</v>
      </c>
      <c r="B71" s="21" t="s">
        <v>2467</v>
      </c>
      <c r="C71" s="21" t="s">
        <v>2466</v>
      </c>
      <c r="D71" s="21" t="s">
        <v>2465</v>
      </c>
      <c r="E71" s="21" t="s">
        <v>1230</v>
      </c>
      <c r="F71" s="20">
        <v>0.20100000000000001</v>
      </c>
      <c r="G71" s="24">
        <f>'단가대비표(기계'!O24</f>
        <v>5330</v>
      </c>
      <c r="H71" s="25">
        <f t="shared" ref="H71:H76" si="19">TRUNC(F71*G71,1)</f>
        <v>1071.3</v>
      </c>
      <c r="I71" s="26">
        <v>0</v>
      </c>
      <c r="J71" s="25">
        <f t="shared" ref="J71:J76" si="20">TRUNC(F71*I71,1)</f>
        <v>0</v>
      </c>
      <c r="K71" s="26">
        <v>0</v>
      </c>
      <c r="L71" s="25">
        <f t="shared" ref="L71:L76" si="21">TRUNC(F71*K71,1)</f>
        <v>0</v>
      </c>
      <c r="M71" s="26">
        <f t="shared" ref="M71:N76" si="22">TRUNC(G71+I71+K71,1)</f>
        <v>5330</v>
      </c>
      <c r="N71" s="25">
        <f t="shared" si="22"/>
        <v>1071.3</v>
      </c>
      <c r="O71" s="21" t="s">
        <v>51</v>
      </c>
      <c r="R71" s="18">
        <v>0</v>
      </c>
      <c r="S71" s="18">
        <v>0</v>
      </c>
      <c r="T71" s="18">
        <v>0</v>
      </c>
      <c r="U71" s="18">
        <v>1</v>
      </c>
      <c r="AC71" s="18">
        <v>1</v>
      </c>
    </row>
    <row r="72" spans="1:29" ht="30" customHeight="1">
      <c r="A72" s="21" t="s">
        <v>2443</v>
      </c>
      <c r="B72" s="21" t="s">
        <v>2458</v>
      </c>
      <c r="C72" s="21" t="s">
        <v>2457</v>
      </c>
      <c r="D72" s="21" t="s">
        <v>2456</v>
      </c>
      <c r="E72" s="21" t="s">
        <v>1230</v>
      </c>
      <c r="F72" s="20">
        <v>2.3E-2</v>
      </c>
      <c r="G72" s="24">
        <f>'단가대비표(기계'!O25</f>
        <v>1780</v>
      </c>
      <c r="H72" s="25">
        <f t="shared" si="19"/>
        <v>40.9</v>
      </c>
      <c r="I72" s="26">
        <v>0</v>
      </c>
      <c r="J72" s="25">
        <f t="shared" si="20"/>
        <v>0</v>
      </c>
      <c r="K72" s="26">
        <v>0</v>
      </c>
      <c r="L72" s="25">
        <f t="shared" si="21"/>
        <v>0</v>
      </c>
      <c r="M72" s="26">
        <f t="shared" si="22"/>
        <v>1780</v>
      </c>
      <c r="N72" s="25">
        <f t="shared" si="22"/>
        <v>40.9</v>
      </c>
      <c r="O72" s="21" t="s">
        <v>51</v>
      </c>
      <c r="R72" s="18">
        <v>0</v>
      </c>
      <c r="S72" s="18">
        <v>0</v>
      </c>
      <c r="T72" s="18">
        <v>0</v>
      </c>
      <c r="U72" s="18">
        <v>1</v>
      </c>
      <c r="AC72" s="18">
        <v>1</v>
      </c>
    </row>
    <row r="73" spans="1:29" ht="30" customHeight="1">
      <c r="A73" s="21" t="s">
        <v>2443</v>
      </c>
      <c r="B73" s="21" t="s">
        <v>2455</v>
      </c>
      <c r="C73" s="21" t="s">
        <v>2464</v>
      </c>
      <c r="D73" s="21" t="s">
        <v>2463</v>
      </c>
      <c r="E73" s="21" t="s">
        <v>82</v>
      </c>
      <c r="F73" s="20">
        <v>1</v>
      </c>
      <c r="G73" s="24">
        <f>ROUNDDOWN(SUMIF(U71:U76, RIGHTB(B73, 1), H71:H76)*T73, 2)</f>
        <v>44.48</v>
      </c>
      <c r="H73" s="25">
        <f t="shared" si="19"/>
        <v>44.4</v>
      </c>
      <c r="I73" s="26">
        <v>0</v>
      </c>
      <c r="J73" s="25">
        <f t="shared" si="20"/>
        <v>0</v>
      </c>
      <c r="K73" s="26">
        <v>0</v>
      </c>
      <c r="L73" s="25">
        <f t="shared" si="21"/>
        <v>0</v>
      </c>
      <c r="M73" s="26">
        <f t="shared" si="22"/>
        <v>44.4</v>
      </c>
      <c r="N73" s="25">
        <f t="shared" si="22"/>
        <v>44.4</v>
      </c>
      <c r="O73" s="21" t="s">
        <v>51</v>
      </c>
      <c r="P73" s="18">
        <v>73</v>
      </c>
      <c r="R73" s="18">
        <v>0</v>
      </c>
      <c r="S73" s="18">
        <v>0</v>
      </c>
      <c r="T73" s="18">
        <v>0.04</v>
      </c>
      <c r="AC73" s="18">
        <v>1</v>
      </c>
    </row>
    <row r="74" spans="1:29" ht="30" customHeight="1">
      <c r="A74" s="21" t="s">
        <v>2443</v>
      </c>
      <c r="B74" s="21" t="s">
        <v>2453</v>
      </c>
      <c r="C74" s="21" t="s">
        <v>2358</v>
      </c>
      <c r="D74" s="21" t="s">
        <v>1107</v>
      </c>
      <c r="E74" s="21" t="s">
        <v>419</v>
      </c>
      <c r="F74" s="20">
        <v>4.8000000000000001E-2</v>
      </c>
      <c r="G74" s="24">
        <v>0</v>
      </c>
      <c r="H74" s="25">
        <f t="shared" si="19"/>
        <v>0</v>
      </c>
      <c r="I74" s="26">
        <f>'단가대비표(기계'!O38</f>
        <v>188854</v>
      </c>
      <c r="J74" s="25">
        <f t="shared" si="20"/>
        <v>9064.9</v>
      </c>
      <c r="K74" s="26">
        <v>0</v>
      </c>
      <c r="L74" s="25">
        <f t="shared" si="21"/>
        <v>0</v>
      </c>
      <c r="M74" s="26">
        <f t="shared" si="22"/>
        <v>188854</v>
      </c>
      <c r="N74" s="25">
        <f t="shared" si="22"/>
        <v>9064.9</v>
      </c>
      <c r="O74" s="21" t="s">
        <v>51</v>
      </c>
      <c r="R74" s="18">
        <v>0</v>
      </c>
      <c r="S74" s="18">
        <v>0</v>
      </c>
      <c r="T74" s="18">
        <v>0</v>
      </c>
      <c r="W74" s="18">
        <v>3</v>
      </c>
      <c r="AC74" s="18">
        <v>1</v>
      </c>
    </row>
    <row r="75" spans="1:29" ht="30" customHeight="1">
      <c r="A75" s="21" t="s">
        <v>2443</v>
      </c>
      <c r="B75" s="21" t="s">
        <v>2370</v>
      </c>
      <c r="C75" s="21" t="s">
        <v>2358</v>
      </c>
      <c r="D75" s="21" t="s">
        <v>996</v>
      </c>
      <c r="E75" s="21" t="s">
        <v>419</v>
      </c>
      <c r="F75" s="20">
        <v>0.08</v>
      </c>
      <c r="G75" s="24">
        <v>0</v>
      </c>
      <c r="H75" s="25">
        <f t="shared" si="19"/>
        <v>0</v>
      </c>
      <c r="I75" s="26">
        <f>'단가대비표(기계'!O40</f>
        <v>130264</v>
      </c>
      <c r="J75" s="25">
        <f t="shared" si="20"/>
        <v>10421.1</v>
      </c>
      <c r="K75" s="26">
        <v>0</v>
      </c>
      <c r="L75" s="25">
        <f t="shared" si="21"/>
        <v>0</v>
      </c>
      <c r="M75" s="26">
        <f t="shared" si="22"/>
        <v>130264</v>
      </c>
      <c r="N75" s="25">
        <f t="shared" si="22"/>
        <v>10421.1</v>
      </c>
      <c r="O75" s="21" t="s">
        <v>51</v>
      </c>
      <c r="T75" s="18">
        <v>0</v>
      </c>
      <c r="W75" s="18">
        <v>3</v>
      </c>
      <c r="AC75" s="18">
        <v>1</v>
      </c>
    </row>
    <row r="76" spans="1:29" ht="30" customHeight="1">
      <c r="A76" s="21" t="s">
        <v>2443</v>
      </c>
      <c r="B76" s="21" t="s">
        <v>2368</v>
      </c>
      <c r="C76" s="21" t="s">
        <v>1134</v>
      </c>
      <c r="D76" s="21" t="s">
        <v>2452</v>
      </c>
      <c r="E76" s="21" t="s">
        <v>82</v>
      </c>
      <c r="F76" s="20">
        <v>1</v>
      </c>
      <c r="G76" s="24">
        <f>ROUNDDOWN(SUMIF(W71:W76, RIGHTB(B76, 1), J71:J76)*T76, 2)</f>
        <v>389.72</v>
      </c>
      <c r="H76" s="25">
        <f t="shared" si="19"/>
        <v>389.7</v>
      </c>
      <c r="I76" s="26">
        <v>0</v>
      </c>
      <c r="J76" s="25">
        <f t="shared" si="20"/>
        <v>0</v>
      </c>
      <c r="K76" s="26">
        <v>0</v>
      </c>
      <c r="L76" s="25">
        <f t="shared" si="21"/>
        <v>0</v>
      </c>
      <c r="M76" s="26">
        <f t="shared" si="22"/>
        <v>389.7</v>
      </c>
      <c r="N76" s="25">
        <f t="shared" si="22"/>
        <v>389.7</v>
      </c>
      <c r="O76" s="21" t="s">
        <v>51</v>
      </c>
      <c r="P76" s="18">
        <v>76</v>
      </c>
      <c r="R76" s="18">
        <v>1</v>
      </c>
      <c r="S76" s="18">
        <v>0</v>
      </c>
      <c r="T76" s="18">
        <v>0.02</v>
      </c>
      <c r="AC76" s="18">
        <v>1</v>
      </c>
    </row>
    <row r="77" spans="1:29" ht="30" customHeight="1">
      <c r="A77" s="20"/>
      <c r="B77" s="20"/>
      <c r="C77" s="20" t="s">
        <v>85</v>
      </c>
      <c r="D77" s="20"/>
      <c r="E77" s="20"/>
      <c r="F77" s="20"/>
      <c r="G77" s="24"/>
      <c r="H77" s="22">
        <f>ROUNDDOWN(SUMIF(AC71:AC76, 1, H71:H76), 0)</f>
        <v>1546</v>
      </c>
      <c r="I77" s="20"/>
      <c r="J77" s="22">
        <f>ROUNDDOWN(SUMIF(AC71:AC76, 1, J71:J76), 0)</f>
        <v>19486</v>
      </c>
      <c r="K77" s="20"/>
      <c r="L77" s="22">
        <f>ROUNDDOWN(SUMIF(AC71:AC76, 1, L71:L76), 0)</f>
        <v>0</v>
      </c>
      <c r="M77" s="20"/>
      <c r="N77" s="22">
        <f>H77+J77+L77</f>
        <v>21032</v>
      </c>
      <c r="O77" s="20"/>
    </row>
    <row r="78" spans="1:29" ht="30" customHeight="1">
      <c r="A78" s="20"/>
      <c r="B78" s="20"/>
      <c r="C78" s="20"/>
      <c r="D78" s="20"/>
      <c r="E78" s="20"/>
      <c r="F78" s="20"/>
      <c r="G78" s="24"/>
      <c r="H78" s="20"/>
      <c r="I78" s="20"/>
      <c r="J78" s="20"/>
      <c r="K78" s="20"/>
      <c r="L78" s="20"/>
      <c r="M78" s="20"/>
      <c r="N78" s="20"/>
      <c r="O78" s="20"/>
    </row>
    <row r="79" spans="1:29" ht="30" customHeight="1">
      <c r="A79" s="20"/>
      <c r="B79" s="20"/>
      <c r="C79" s="21" t="s">
        <v>2462</v>
      </c>
      <c r="D79" s="20"/>
      <c r="E79" s="20"/>
      <c r="F79" s="20"/>
      <c r="G79" s="24"/>
      <c r="H79" s="20"/>
      <c r="I79" s="20"/>
      <c r="J79" s="20"/>
      <c r="K79" s="20"/>
      <c r="L79" s="20"/>
      <c r="M79" s="20"/>
      <c r="N79" s="20"/>
      <c r="O79" s="20"/>
    </row>
    <row r="80" spans="1:29" ht="30" customHeight="1">
      <c r="A80" s="21" t="s">
        <v>2440</v>
      </c>
      <c r="B80" s="21" t="s">
        <v>2461</v>
      </c>
      <c r="C80" s="21" t="s">
        <v>2460</v>
      </c>
      <c r="D80" s="21" t="s">
        <v>2459</v>
      </c>
      <c r="E80" s="21" t="s">
        <v>1230</v>
      </c>
      <c r="F80" s="20">
        <v>0.08</v>
      </c>
      <c r="G80" s="24">
        <f>'단가대비표(기계'!O23</f>
        <v>4500</v>
      </c>
      <c r="H80" s="25">
        <f t="shared" ref="H80:H85" si="23">TRUNC(F80*G80,1)</f>
        <v>360</v>
      </c>
      <c r="I80" s="26">
        <v>0</v>
      </c>
      <c r="J80" s="25">
        <f t="shared" ref="J80:J85" si="24">TRUNC(F80*I80,1)</f>
        <v>0</v>
      </c>
      <c r="K80" s="26">
        <v>0</v>
      </c>
      <c r="L80" s="25">
        <f t="shared" ref="L80:L85" si="25">TRUNC(F80*K80,1)</f>
        <v>0</v>
      </c>
      <c r="M80" s="26">
        <f t="shared" ref="M80:N85" si="26">TRUNC(G80+I80+K80,1)</f>
        <v>4500</v>
      </c>
      <c r="N80" s="25">
        <f t="shared" si="26"/>
        <v>360</v>
      </c>
      <c r="O80" s="21" t="s">
        <v>51</v>
      </c>
      <c r="R80" s="18">
        <v>0</v>
      </c>
      <c r="S80" s="18">
        <v>0</v>
      </c>
      <c r="T80" s="18">
        <v>0</v>
      </c>
      <c r="U80" s="18">
        <v>1</v>
      </c>
      <c r="AC80" s="18">
        <v>1</v>
      </c>
    </row>
    <row r="81" spans="1:29" ht="30" customHeight="1">
      <c r="A81" s="21" t="s">
        <v>2440</v>
      </c>
      <c r="B81" s="21" t="s">
        <v>2458</v>
      </c>
      <c r="C81" s="21" t="s">
        <v>2457</v>
      </c>
      <c r="D81" s="21" t="s">
        <v>2456</v>
      </c>
      <c r="E81" s="21" t="s">
        <v>1230</v>
      </c>
      <c r="F81" s="20">
        <v>4.0000000000000001E-3</v>
      </c>
      <c r="G81" s="24">
        <f>'단가대비표(기계'!O25</f>
        <v>1780</v>
      </c>
      <c r="H81" s="25">
        <f t="shared" si="23"/>
        <v>7.1</v>
      </c>
      <c r="I81" s="26">
        <v>0</v>
      </c>
      <c r="J81" s="25">
        <f t="shared" si="24"/>
        <v>0</v>
      </c>
      <c r="K81" s="26">
        <v>0</v>
      </c>
      <c r="L81" s="25">
        <f t="shared" si="25"/>
        <v>0</v>
      </c>
      <c r="M81" s="26">
        <f t="shared" si="26"/>
        <v>1780</v>
      </c>
      <c r="N81" s="25">
        <f t="shared" si="26"/>
        <v>7.1</v>
      </c>
      <c r="O81" s="21" t="s">
        <v>51</v>
      </c>
      <c r="R81" s="18">
        <v>0</v>
      </c>
      <c r="S81" s="18">
        <v>0</v>
      </c>
      <c r="T81" s="18">
        <v>0</v>
      </c>
      <c r="U81" s="18">
        <v>1</v>
      </c>
      <c r="AC81" s="18">
        <v>1</v>
      </c>
    </row>
    <row r="82" spans="1:29" ht="30" customHeight="1">
      <c r="A82" s="21" t="s">
        <v>2440</v>
      </c>
      <c r="B82" s="21" t="s">
        <v>2455</v>
      </c>
      <c r="C82" s="21" t="s">
        <v>1034</v>
      </c>
      <c r="D82" s="21" t="s">
        <v>2454</v>
      </c>
      <c r="E82" s="21" t="s">
        <v>82</v>
      </c>
      <c r="F82" s="20">
        <v>1</v>
      </c>
      <c r="G82" s="24">
        <f>ROUNDDOWN(SUMIF(U80:U85, RIGHTB(B82, 1), H80:H85)*T82, 2)</f>
        <v>11.01</v>
      </c>
      <c r="H82" s="25">
        <f t="shared" si="23"/>
        <v>11</v>
      </c>
      <c r="I82" s="26">
        <v>0</v>
      </c>
      <c r="J82" s="25">
        <f t="shared" si="24"/>
        <v>0</v>
      </c>
      <c r="K82" s="26">
        <v>0</v>
      </c>
      <c r="L82" s="25">
        <f t="shared" si="25"/>
        <v>0</v>
      </c>
      <c r="M82" s="26">
        <f t="shared" si="26"/>
        <v>11</v>
      </c>
      <c r="N82" s="25">
        <f t="shared" si="26"/>
        <v>11</v>
      </c>
      <c r="O82" s="21" t="s">
        <v>51</v>
      </c>
      <c r="P82" s="18">
        <v>82</v>
      </c>
      <c r="R82" s="18">
        <v>0</v>
      </c>
      <c r="S82" s="18">
        <v>0</v>
      </c>
      <c r="T82" s="18">
        <v>0.03</v>
      </c>
      <c r="AC82" s="18">
        <v>1</v>
      </c>
    </row>
    <row r="83" spans="1:29" ht="30" customHeight="1">
      <c r="A83" s="21" t="s">
        <v>2440</v>
      </c>
      <c r="B83" s="21" t="s">
        <v>2453</v>
      </c>
      <c r="C83" s="21" t="s">
        <v>2358</v>
      </c>
      <c r="D83" s="21" t="s">
        <v>1107</v>
      </c>
      <c r="E83" s="21" t="s">
        <v>419</v>
      </c>
      <c r="F83" s="20">
        <v>1.4999999999999999E-2</v>
      </c>
      <c r="G83" s="24">
        <v>0</v>
      </c>
      <c r="H83" s="25">
        <f t="shared" si="23"/>
        <v>0</v>
      </c>
      <c r="I83" s="26">
        <f>'단가대비표(기계'!O38</f>
        <v>188854</v>
      </c>
      <c r="J83" s="25">
        <f t="shared" si="24"/>
        <v>2832.8</v>
      </c>
      <c r="K83" s="26">
        <v>0</v>
      </c>
      <c r="L83" s="25">
        <f t="shared" si="25"/>
        <v>0</v>
      </c>
      <c r="M83" s="26">
        <f t="shared" si="26"/>
        <v>188854</v>
      </c>
      <c r="N83" s="25">
        <f t="shared" si="26"/>
        <v>2832.8</v>
      </c>
      <c r="O83" s="21" t="s">
        <v>51</v>
      </c>
      <c r="R83" s="18">
        <v>0</v>
      </c>
      <c r="S83" s="18">
        <v>0</v>
      </c>
      <c r="T83" s="18">
        <v>0</v>
      </c>
      <c r="W83" s="18">
        <v>3</v>
      </c>
      <c r="AC83" s="18">
        <v>1</v>
      </c>
    </row>
    <row r="84" spans="1:29" ht="30" customHeight="1">
      <c r="A84" s="21" t="s">
        <v>2440</v>
      </c>
      <c r="B84" s="21" t="s">
        <v>2370</v>
      </c>
      <c r="C84" s="21" t="s">
        <v>2358</v>
      </c>
      <c r="D84" s="21" t="s">
        <v>996</v>
      </c>
      <c r="E84" s="21" t="s">
        <v>419</v>
      </c>
      <c r="F84" s="20">
        <v>3.0000000000000001E-3</v>
      </c>
      <c r="G84" s="24">
        <v>0</v>
      </c>
      <c r="H84" s="25">
        <f t="shared" si="23"/>
        <v>0</v>
      </c>
      <c r="I84" s="26">
        <f>'단가대비표(기계'!O40</f>
        <v>130264</v>
      </c>
      <c r="J84" s="25">
        <f t="shared" si="24"/>
        <v>390.7</v>
      </c>
      <c r="K84" s="26">
        <v>0</v>
      </c>
      <c r="L84" s="25">
        <f t="shared" si="25"/>
        <v>0</v>
      </c>
      <c r="M84" s="26">
        <f t="shared" si="26"/>
        <v>130264</v>
      </c>
      <c r="N84" s="25">
        <f t="shared" si="26"/>
        <v>390.7</v>
      </c>
      <c r="O84" s="21" t="s">
        <v>51</v>
      </c>
      <c r="T84" s="18">
        <v>0</v>
      </c>
      <c r="W84" s="18">
        <v>3</v>
      </c>
      <c r="AC84" s="18">
        <v>1</v>
      </c>
    </row>
    <row r="85" spans="1:29" ht="30" customHeight="1">
      <c r="A85" s="21" t="s">
        <v>2440</v>
      </c>
      <c r="B85" s="21" t="s">
        <v>2368</v>
      </c>
      <c r="C85" s="21" t="s">
        <v>1134</v>
      </c>
      <c r="D85" s="21" t="s">
        <v>2452</v>
      </c>
      <c r="E85" s="21" t="s">
        <v>82</v>
      </c>
      <c r="F85" s="20">
        <v>1</v>
      </c>
      <c r="G85" s="24">
        <f>ROUNDDOWN(SUMIF(W80:W85, RIGHTB(B85, 1), J80:J85)*T85, 2)</f>
        <v>64.47</v>
      </c>
      <c r="H85" s="25">
        <f t="shared" si="23"/>
        <v>64.400000000000006</v>
      </c>
      <c r="I85" s="26">
        <v>0</v>
      </c>
      <c r="J85" s="25">
        <f t="shared" si="24"/>
        <v>0</v>
      </c>
      <c r="K85" s="26">
        <v>0</v>
      </c>
      <c r="L85" s="25">
        <f t="shared" si="25"/>
        <v>0</v>
      </c>
      <c r="M85" s="26">
        <f t="shared" si="26"/>
        <v>64.400000000000006</v>
      </c>
      <c r="N85" s="25">
        <f t="shared" si="26"/>
        <v>64.400000000000006</v>
      </c>
      <c r="O85" s="21" t="s">
        <v>51</v>
      </c>
      <c r="P85" s="18">
        <v>85</v>
      </c>
      <c r="R85" s="18">
        <v>1</v>
      </c>
      <c r="S85" s="18">
        <v>0</v>
      </c>
      <c r="T85" s="18">
        <v>0.02</v>
      </c>
      <c r="AC85" s="18">
        <v>1</v>
      </c>
    </row>
    <row r="86" spans="1:29" ht="30" customHeight="1">
      <c r="A86" s="21"/>
      <c r="B86" s="21"/>
      <c r="C86" s="21"/>
      <c r="D86" s="21"/>
      <c r="E86" s="21"/>
      <c r="F86" s="20"/>
      <c r="G86" s="24"/>
      <c r="H86" s="25"/>
      <c r="I86" s="26"/>
      <c r="J86" s="25"/>
      <c r="K86" s="26"/>
      <c r="L86" s="25"/>
      <c r="M86" s="26"/>
      <c r="N86" s="25"/>
      <c r="O86" s="21"/>
    </row>
    <row r="87" spans="1:29" ht="30" customHeight="1">
      <c r="A87" s="21"/>
      <c r="B87" s="21"/>
      <c r="C87" s="21"/>
      <c r="D87" s="21"/>
      <c r="E87" s="21"/>
      <c r="F87" s="20"/>
      <c r="G87" s="24"/>
      <c r="H87" s="25"/>
      <c r="I87" s="26"/>
      <c r="J87" s="25"/>
      <c r="K87" s="26"/>
      <c r="L87" s="25"/>
      <c r="M87" s="26"/>
      <c r="N87" s="25"/>
      <c r="O87" s="21"/>
    </row>
    <row r="88" spans="1:29" ht="30" customHeight="1">
      <c r="A88" s="21"/>
      <c r="B88" s="21"/>
      <c r="C88" s="21"/>
      <c r="D88" s="21"/>
      <c r="E88" s="21"/>
      <c r="F88" s="20"/>
      <c r="G88" s="24"/>
      <c r="H88" s="25"/>
      <c r="I88" s="26"/>
      <c r="J88" s="25"/>
      <c r="K88" s="26"/>
      <c r="L88" s="25"/>
      <c r="M88" s="26"/>
      <c r="N88" s="25"/>
      <c r="O88" s="21"/>
    </row>
    <row r="89" spans="1:29" ht="30" customHeight="1">
      <c r="A89" s="21"/>
      <c r="B89" s="21"/>
      <c r="C89" s="21"/>
      <c r="D89" s="21"/>
      <c r="E89" s="21"/>
      <c r="F89" s="20"/>
      <c r="G89" s="24"/>
      <c r="H89" s="25"/>
      <c r="I89" s="26"/>
      <c r="J89" s="25"/>
      <c r="K89" s="26"/>
      <c r="L89" s="25"/>
      <c r="M89" s="26"/>
      <c r="N89" s="25"/>
      <c r="O89" s="21"/>
    </row>
    <row r="90" spans="1:29" ht="30" customHeight="1">
      <c r="A90" s="21"/>
      <c r="B90" s="21"/>
      <c r="C90" s="21"/>
      <c r="D90" s="21"/>
      <c r="E90" s="21"/>
      <c r="F90" s="20"/>
      <c r="G90" s="24"/>
      <c r="H90" s="25"/>
      <c r="I90" s="26"/>
      <c r="J90" s="25"/>
      <c r="K90" s="26"/>
      <c r="L90" s="25"/>
      <c r="M90" s="26"/>
      <c r="N90" s="25"/>
      <c r="O90" s="21"/>
    </row>
    <row r="91" spans="1:29" ht="30" customHeight="1">
      <c r="A91" s="21"/>
      <c r="B91" s="21"/>
      <c r="C91" s="21"/>
      <c r="D91" s="21"/>
      <c r="E91" s="21"/>
      <c r="F91" s="20"/>
      <c r="G91" s="24"/>
      <c r="H91" s="25"/>
      <c r="I91" s="26"/>
      <c r="J91" s="25"/>
      <c r="K91" s="26"/>
      <c r="L91" s="25"/>
      <c r="M91" s="26"/>
      <c r="N91" s="25"/>
      <c r="O91" s="21"/>
    </row>
    <row r="92" spans="1:29" ht="30" customHeight="1">
      <c r="A92" s="21"/>
      <c r="B92" s="21"/>
      <c r="C92" s="21"/>
      <c r="D92" s="21"/>
      <c r="E92" s="21"/>
      <c r="F92" s="20"/>
      <c r="G92" s="24"/>
      <c r="H92" s="25"/>
      <c r="I92" s="26"/>
      <c r="J92" s="25"/>
      <c r="K92" s="26"/>
      <c r="L92" s="25"/>
      <c r="M92" s="26"/>
      <c r="N92" s="25"/>
      <c r="O92" s="21"/>
    </row>
    <row r="93" spans="1:29" ht="30" customHeight="1">
      <c r="A93" s="21"/>
      <c r="B93" s="21"/>
      <c r="C93" s="21"/>
      <c r="D93" s="21"/>
      <c r="E93" s="21"/>
      <c r="F93" s="20"/>
      <c r="G93" s="24"/>
      <c r="H93" s="25"/>
      <c r="I93" s="26"/>
      <c r="J93" s="25"/>
      <c r="K93" s="26"/>
      <c r="L93" s="25"/>
      <c r="M93" s="26"/>
      <c r="N93" s="25"/>
      <c r="O93" s="21"/>
    </row>
    <row r="94" spans="1:29" ht="30" customHeight="1">
      <c r="A94" s="21"/>
      <c r="B94" s="21"/>
      <c r="C94" s="21"/>
      <c r="D94" s="21"/>
      <c r="E94" s="21"/>
      <c r="F94" s="20"/>
      <c r="G94" s="24"/>
      <c r="H94" s="25"/>
      <c r="I94" s="26"/>
      <c r="J94" s="25"/>
      <c r="K94" s="26"/>
      <c r="L94" s="25"/>
      <c r="M94" s="26"/>
      <c r="N94" s="25"/>
      <c r="O94" s="21"/>
    </row>
    <row r="95" spans="1:29" ht="30" customHeight="1">
      <c r="A95" s="21"/>
      <c r="B95" s="21"/>
      <c r="C95" s="21"/>
      <c r="D95" s="21"/>
      <c r="E95" s="21"/>
      <c r="F95" s="20"/>
      <c r="G95" s="24"/>
      <c r="H95" s="25"/>
      <c r="I95" s="26"/>
      <c r="J95" s="25"/>
      <c r="K95" s="26"/>
      <c r="L95" s="25"/>
      <c r="M95" s="26"/>
      <c r="N95" s="25"/>
      <c r="O95" s="21"/>
    </row>
    <row r="96" spans="1:29" ht="30" customHeight="1">
      <c r="A96" s="21"/>
      <c r="B96" s="21"/>
      <c r="C96" s="21"/>
      <c r="D96" s="21"/>
      <c r="E96" s="21"/>
      <c r="F96" s="20"/>
      <c r="G96" s="24"/>
      <c r="H96" s="25"/>
      <c r="I96" s="26"/>
      <c r="J96" s="25"/>
      <c r="K96" s="26"/>
      <c r="L96" s="25"/>
      <c r="M96" s="26"/>
      <c r="N96" s="25"/>
      <c r="O96" s="21"/>
    </row>
    <row r="97" spans="1:15" ht="30" customHeight="1">
      <c r="A97" s="21"/>
      <c r="B97" s="21"/>
      <c r="C97" s="21"/>
      <c r="D97" s="21"/>
      <c r="E97" s="21"/>
      <c r="F97" s="20"/>
      <c r="G97" s="24"/>
      <c r="H97" s="25"/>
      <c r="I97" s="26"/>
      <c r="J97" s="25"/>
      <c r="K97" s="26"/>
      <c r="L97" s="25"/>
      <c r="M97" s="26"/>
      <c r="N97" s="25"/>
      <c r="O97" s="21"/>
    </row>
    <row r="98" spans="1:15" ht="30" customHeight="1">
      <c r="A98" s="21"/>
      <c r="B98" s="21"/>
      <c r="C98" s="21"/>
      <c r="D98" s="21"/>
      <c r="E98" s="21"/>
      <c r="F98" s="20"/>
      <c r="G98" s="24"/>
      <c r="H98" s="25"/>
      <c r="I98" s="26"/>
      <c r="J98" s="25"/>
      <c r="K98" s="26"/>
      <c r="L98" s="25"/>
      <c r="M98" s="26"/>
      <c r="N98" s="25"/>
      <c r="O98" s="21"/>
    </row>
    <row r="99" spans="1:15" ht="30" customHeight="1">
      <c r="A99" s="21"/>
      <c r="B99" s="21"/>
      <c r="C99" s="21"/>
      <c r="D99" s="21"/>
      <c r="E99" s="21"/>
      <c r="F99" s="20"/>
      <c r="G99" s="24"/>
      <c r="H99" s="25"/>
      <c r="I99" s="26"/>
      <c r="J99" s="25"/>
      <c r="K99" s="26"/>
      <c r="L99" s="25"/>
      <c r="M99" s="26"/>
      <c r="N99" s="25"/>
      <c r="O99" s="21"/>
    </row>
    <row r="100" spans="1:15" ht="30" customHeight="1">
      <c r="A100" s="21"/>
      <c r="B100" s="21"/>
      <c r="C100" s="21"/>
      <c r="D100" s="21"/>
      <c r="E100" s="21"/>
      <c r="F100" s="20"/>
      <c r="G100" s="24"/>
      <c r="H100" s="25"/>
      <c r="I100" s="26"/>
      <c r="J100" s="25"/>
      <c r="K100" s="26"/>
      <c r="L100" s="25"/>
      <c r="M100" s="26"/>
      <c r="N100" s="25"/>
      <c r="O100" s="21"/>
    </row>
    <row r="101" spans="1:15" ht="30" customHeight="1">
      <c r="A101" s="21"/>
      <c r="B101" s="21"/>
      <c r="C101" s="21"/>
      <c r="D101" s="21"/>
      <c r="E101" s="21"/>
      <c r="F101" s="20"/>
      <c r="G101" s="24"/>
      <c r="H101" s="25"/>
      <c r="I101" s="26"/>
      <c r="J101" s="25"/>
      <c r="K101" s="26"/>
      <c r="L101" s="25"/>
      <c r="M101" s="26"/>
      <c r="N101" s="25"/>
      <c r="O101" s="21"/>
    </row>
    <row r="102" spans="1:15" ht="30" customHeight="1">
      <c r="A102" s="21"/>
      <c r="B102" s="21"/>
      <c r="C102" s="21"/>
      <c r="D102" s="21"/>
      <c r="E102" s="21"/>
      <c r="F102" s="20"/>
      <c r="G102" s="24"/>
      <c r="H102" s="25"/>
      <c r="I102" s="26"/>
      <c r="J102" s="25"/>
      <c r="K102" s="26"/>
      <c r="L102" s="25"/>
      <c r="M102" s="26"/>
      <c r="N102" s="25"/>
      <c r="O102" s="21"/>
    </row>
    <row r="103" spans="1:15" ht="30" customHeight="1">
      <c r="A103" s="21"/>
      <c r="B103" s="21"/>
      <c r="C103" s="21"/>
      <c r="D103" s="21"/>
      <c r="E103" s="21"/>
      <c r="F103" s="20"/>
      <c r="G103" s="24"/>
      <c r="H103" s="25"/>
      <c r="I103" s="26"/>
      <c r="J103" s="25"/>
      <c r="K103" s="26"/>
      <c r="L103" s="25"/>
      <c r="M103" s="26"/>
      <c r="N103" s="25"/>
      <c r="O103" s="21"/>
    </row>
    <row r="104" spans="1:15" ht="30" customHeight="1">
      <c r="A104" s="21"/>
      <c r="B104" s="21"/>
      <c r="C104" s="21"/>
      <c r="D104" s="21"/>
      <c r="E104" s="21"/>
      <c r="F104" s="20"/>
      <c r="G104" s="24"/>
      <c r="H104" s="25"/>
      <c r="I104" s="26"/>
      <c r="J104" s="25"/>
      <c r="K104" s="26"/>
      <c r="L104" s="25"/>
      <c r="M104" s="26"/>
      <c r="N104" s="25"/>
      <c r="O104" s="21"/>
    </row>
    <row r="105" spans="1:15" ht="30" customHeight="1">
      <c r="A105" s="21"/>
      <c r="B105" s="21"/>
      <c r="C105" s="21"/>
      <c r="D105" s="21"/>
      <c r="E105" s="21"/>
      <c r="F105" s="20"/>
      <c r="G105" s="24"/>
      <c r="H105" s="25"/>
      <c r="I105" s="26"/>
      <c r="J105" s="25"/>
      <c r="K105" s="26"/>
      <c r="L105" s="25"/>
      <c r="M105" s="26"/>
      <c r="N105" s="25"/>
      <c r="O105" s="21"/>
    </row>
    <row r="106" spans="1:15" ht="30" customHeight="1">
      <c r="A106" s="21"/>
      <c r="B106" s="21"/>
      <c r="C106" s="21"/>
      <c r="D106" s="21"/>
      <c r="E106" s="21"/>
      <c r="F106" s="20"/>
      <c r="G106" s="24"/>
      <c r="H106" s="25"/>
      <c r="I106" s="26"/>
      <c r="J106" s="25"/>
      <c r="K106" s="26"/>
      <c r="L106" s="25"/>
      <c r="M106" s="26"/>
      <c r="N106" s="25"/>
      <c r="O106" s="21"/>
    </row>
    <row r="107" spans="1:15" ht="30" customHeight="1">
      <c r="A107" s="20"/>
      <c r="B107" s="20"/>
      <c r="C107" s="20" t="s">
        <v>85</v>
      </c>
      <c r="D107" s="20"/>
      <c r="E107" s="20"/>
      <c r="F107" s="20"/>
      <c r="G107" s="24"/>
      <c r="H107" s="22">
        <f>ROUNDDOWN(SUMIF(AC80:AC85, 1, H80:H85), 0)</f>
        <v>442</v>
      </c>
      <c r="I107" s="20"/>
      <c r="J107" s="22">
        <f>ROUNDDOWN(SUMIF(AC80:AC85, 1, J80:J85), 0)</f>
        <v>3223</v>
      </c>
      <c r="K107" s="20"/>
      <c r="L107" s="22">
        <f>ROUNDDOWN(SUMIF(AC80:AC85, 1, L80:L85), 0)</f>
        <v>0</v>
      </c>
      <c r="M107" s="20"/>
      <c r="N107" s="22">
        <f>H107+J107+L107</f>
        <v>3665</v>
      </c>
      <c r="O107" s="20"/>
    </row>
    <row r="108" spans="1:15" ht="30" customHeight="1">
      <c r="A108" s="20"/>
      <c r="B108" s="20"/>
      <c r="C108" s="20"/>
      <c r="D108" s="20"/>
      <c r="E108" s="20"/>
      <c r="F108" s="20"/>
      <c r="G108" s="24"/>
      <c r="H108" s="20"/>
      <c r="I108" s="20"/>
      <c r="J108" s="20"/>
      <c r="K108" s="20"/>
      <c r="L108" s="20"/>
      <c r="M108" s="20"/>
      <c r="N108" s="20"/>
      <c r="O108" s="20"/>
    </row>
    <row r="109" spans="1:15" ht="30" customHeight="1">
      <c r="A109" s="20"/>
      <c r="B109" s="20"/>
      <c r="C109" s="20"/>
      <c r="D109" s="20"/>
      <c r="E109" s="20"/>
      <c r="F109" s="20"/>
      <c r="G109" s="24"/>
      <c r="H109" s="20"/>
      <c r="I109" s="20"/>
      <c r="J109" s="20"/>
      <c r="K109" s="20"/>
      <c r="L109" s="20"/>
      <c r="M109" s="20"/>
      <c r="N109" s="20"/>
      <c r="O109" s="20"/>
    </row>
    <row r="110" spans="1:15" ht="30" customHeight="1">
      <c r="A110" s="20"/>
      <c r="B110" s="20"/>
      <c r="C110" s="20"/>
      <c r="D110" s="20"/>
      <c r="E110" s="20"/>
      <c r="F110" s="20"/>
      <c r="G110" s="24"/>
      <c r="H110" s="20"/>
      <c r="I110" s="20"/>
      <c r="J110" s="20"/>
      <c r="K110" s="20"/>
      <c r="L110" s="20"/>
      <c r="M110" s="20"/>
      <c r="N110" s="20"/>
      <c r="O110" s="20"/>
    </row>
    <row r="111" spans="1:15" ht="30" customHeight="1">
      <c r="A111" s="20"/>
      <c r="B111" s="20"/>
      <c r="C111" s="20"/>
      <c r="D111" s="20"/>
      <c r="E111" s="20"/>
      <c r="F111" s="20"/>
      <c r="G111" s="24"/>
      <c r="H111" s="20"/>
      <c r="I111" s="20"/>
      <c r="J111" s="20"/>
      <c r="K111" s="20"/>
      <c r="L111" s="20"/>
      <c r="M111" s="20"/>
      <c r="N111" s="20"/>
      <c r="O111" s="20"/>
    </row>
    <row r="112" spans="1:15" ht="30" customHeight="1">
      <c r="A112" s="20"/>
      <c r="B112" s="20"/>
      <c r="C112" s="20"/>
      <c r="D112" s="20"/>
      <c r="E112" s="20"/>
      <c r="F112" s="20"/>
      <c r="G112" s="24"/>
      <c r="H112" s="20"/>
      <c r="I112" s="20"/>
      <c r="J112" s="20"/>
      <c r="K112" s="20"/>
      <c r="L112" s="20"/>
      <c r="M112" s="20"/>
      <c r="N112" s="20"/>
      <c r="O112" s="20"/>
    </row>
    <row r="113" spans="1:15" ht="30" customHeight="1">
      <c r="A113" s="20"/>
      <c r="B113" s="20"/>
      <c r="C113" s="20"/>
      <c r="D113" s="20"/>
      <c r="E113" s="20"/>
      <c r="F113" s="20"/>
      <c r="G113" s="24"/>
      <c r="H113" s="20"/>
      <c r="I113" s="20"/>
      <c r="J113" s="20"/>
      <c r="K113" s="20"/>
      <c r="L113" s="20"/>
      <c r="M113" s="20"/>
      <c r="N113" s="20"/>
      <c r="O113" s="20"/>
    </row>
    <row r="114" spans="1:15" ht="30" customHeight="1">
      <c r="A114" s="20"/>
      <c r="B114" s="20"/>
      <c r="C114" s="20"/>
      <c r="D114" s="20"/>
      <c r="E114" s="20"/>
      <c r="F114" s="20"/>
      <c r="G114" s="24"/>
      <c r="H114" s="20"/>
      <c r="I114" s="20"/>
      <c r="J114" s="20"/>
      <c r="K114" s="20"/>
      <c r="L114" s="20"/>
      <c r="M114" s="20"/>
      <c r="N114" s="20"/>
      <c r="O114" s="20"/>
    </row>
    <row r="115" spans="1:15" ht="30" customHeight="1">
      <c r="A115" s="20"/>
      <c r="B115" s="20"/>
      <c r="C115" s="20"/>
      <c r="D115" s="20"/>
      <c r="E115" s="20"/>
      <c r="F115" s="20"/>
      <c r="G115" s="24"/>
      <c r="H115" s="20"/>
      <c r="I115" s="20"/>
      <c r="J115" s="20"/>
      <c r="K115" s="20"/>
      <c r="L115" s="20"/>
      <c r="M115" s="20"/>
      <c r="N115" s="20"/>
      <c r="O115" s="20"/>
    </row>
    <row r="116" spans="1:15" ht="30" customHeight="1">
      <c r="A116" s="20"/>
      <c r="B116" s="20"/>
      <c r="C116" s="20"/>
      <c r="D116" s="20"/>
      <c r="E116" s="20"/>
      <c r="F116" s="20"/>
      <c r="G116" s="24"/>
      <c r="H116" s="20"/>
      <c r="I116" s="20"/>
      <c r="J116" s="20"/>
      <c r="K116" s="20"/>
      <c r="L116" s="20"/>
      <c r="M116" s="20"/>
      <c r="N116" s="20"/>
      <c r="O116" s="20"/>
    </row>
    <row r="117" spans="1:15" ht="30" customHeight="1">
      <c r="A117" s="20"/>
      <c r="B117" s="20"/>
      <c r="C117" s="20"/>
      <c r="D117" s="20"/>
      <c r="E117" s="20"/>
      <c r="F117" s="20"/>
      <c r="G117" s="24"/>
      <c r="H117" s="20"/>
      <c r="I117" s="20"/>
      <c r="J117" s="20"/>
      <c r="K117" s="20"/>
      <c r="L117" s="20"/>
      <c r="M117" s="20"/>
      <c r="N117" s="20"/>
      <c r="O117" s="20"/>
    </row>
    <row r="118" spans="1:15" ht="30" customHeight="1">
      <c r="A118" s="20"/>
      <c r="B118" s="20"/>
      <c r="C118" s="20"/>
      <c r="D118" s="20"/>
      <c r="E118" s="20"/>
      <c r="F118" s="20"/>
      <c r="G118" s="24"/>
      <c r="H118" s="20"/>
      <c r="I118" s="20"/>
      <c r="J118" s="20"/>
      <c r="K118" s="20"/>
      <c r="L118" s="20"/>
      <c r="M118" s="20"/>
      <c r="N118" s="20"/>
      <c r="O118" s="20"/>
    </row>
    <row r="119" spans="1:15" ht="30" customHeight="1">
      <c r="A119" s="20"/>
      <c r="B119" s="20"/>
      <c r="C119" s="20"/>
      <c r="D119" s="20"/>
      <c r="E119" s="20"/>
      <c r="F119" s="20"/>
      <c r="G119" s="24"/>
      <c r="H119" s="20"/>
      <c r="I119" s="20"/>
      <c r="J119" s="20"/>
      <c r="K119" s="20"/>
      <c r="L119" s="20"/>
      <c r="M119" s="20"/>
      <c r="N119" s="20"/>
      <c r="O119" s="20"/>
    </row>
    <row r="120" spans="1:15" ht="30" customHeight="1">
      <c r="A120" s="20"/>
      <c r="B120" s="20"/>
      <c r="C120" s="20"/>
      <c r="D120" s="20"/>
      <c r="E120" s="20"/>
      <c r="F120" s="20"/>
      <c r="G120" s="24"/>
      <c r="H120" s="20"/>
      <c r="I120" s="20"/>
      <c r="J120" s="20"/>
      <c r="K120" s="20"/>
      <c r="L120" s="20"/>
      <c r="M120" s="20"/>
      <c r="N120" s="20"/>
      <c r="O120" s="20"/>
    </row>
    <row r="121" spans="1:15" ht="30" customHeight="1">
      <c r="A121" s="20"/>
      <c r="B121" s="20"/>
      <c r="C121" s="20"/>
      <c r="D121" s="20"/>
      <c r="E121" s="20"/>
      <c r="F121" s="20"/>
      <c r="G121" s="24"/>
      <c r="H121" s="20"/>
      <c r="I121" s="20"/>
      <c r="J121" s="20"/>
      <c r="K121" s="20"/>
      <c r="L121" s="20"/>
      <c r="M121" s="20"/>
      <c r="N121" s="20"/>
      <c r="O121" s="20"/>
    </row>
    <row r="122" spans="1:15" ht="30" customHeight="1">
      <c r="A122" s="20"/>
      <c r="B122" s="20"/>
      <c r="C122" s="20"/>
      <c r="D122" s="20"/>
      <c r="E122" s="20"/>
      <c r="F122" s="20"/>
      <c r="G122" s="24"/>
      <c r="H122" s="20"/>
      <c r="I122" s="20"/>
      <c r="J122" s="20"/>
      <c r="K122" s="20"/>
      <c r="L122" s="20"/>
      <c r="M122" s="20"/>
      <c r="N122" s="20"/>
      <c r="O122" s="20"/>
    </row>
    <row r="123" spans="1:15" ht="30" customHeight="1">
      <c r="A123" s="20"/>
      <c r="B123" s="20"/>
      <c r="C123" s="20"/>
      <c r="D123" s="20"/>
      <c r="E123" s="20"/>
      <c r="F123" s="20"/>
      <c r="G123" s="24"/>
      <c r="H123" s="20"/>
      <c r="I123" s="20"/>
      <c r="J123" s="20"/>
      <c r="K123" s="20"/>
      <c r="L123" s="20"/>
      <c r="M123" s="20"/>
      <c r="N123" s="20"/>
      <c r="O123" s="20"/>
    </row>
    <row r="124" spans="1:15" ht="30" customHeight="1">
      <c r="A124" s="20"/>
      <c r="B124" s="20"/>
      <c r="C124" s="20"/>
      <c r="D124" s="20"/>
      <c r="E124" s="20"/>
      <c r="F124" s="20"/>
      <c r="G124" s="24"/>
      <c r="H124" s="20"/>
      <c r="I124" s="20"/>
      <c r="J124" s="20"/>
      <c r="K124" s="20"/>
      <c r="L124" s="20"/>
      <c r="M124" s="20"/>
      <c r="N124" s="20"/>
      <c r="O124" s="20"/>
    </row>
    <row r="125" spans="1:15" ht="30" customHeight="1">
      <c r="A125" s="20"/>
      <c r="B125" s="20"/>
      <c r="C125" s="20"/>
      <c r="D125" s="20"/>
      <c r="E125" s="20"/>
      <c r="F125" s="20"/>
      <c r="G125" s="24"/>
      <c r="H125" s="20"/>
      <c r="I125" s="20"/>
      <c r="J125" s="20"/>
      <c r="K125" s="20"/>
      <c r="L125" s="20"/>
      <c r="M125" s="20"/>
      <c r="N125" s="20"/>
      <c r="O125" s="20"/>
    </row>
    <row r="126" spans="1:15" ht="30" customHeight="1">
      <c r="A126" s="20"/>
      <c r="B126" s="20"/>
      <c r="C126" s="20"/>
      <c r="D126" s="20"/>
      <c r="E126" s="20"/>
      <c r="F126" s="20"/>
      <c r="G126" s="24"/>
      <c r="H126" s="20"/>
      <c r="I126" s="20"/>
      <c r="J126" s="20"/>
      <c r="K126" s="20"/>
      <c r="L126" s="20"/>
      <c r="M126" s="20"/>
      <c r="N126" s="20"/>
      <c r="O126" s="20"/>
    </row>
    <row r="127" spans="1:15" ht="30" customHeight="1">
      <c r="A127" s="20"/>
      <c r="B127" s="20"/>
      <c r="C127" s="20"/>
      <c r="D127" s="20"/>
      <c r="E127" s="20"/>
      <c r="F127" s="20"/>
      <c r="G127" s="24"/>
      <c r="H127" s="20"/>
      <c r="I127" s="20"/>
      <c r="J127" s="20"/>
      <c r="K127" s="20"/>
      <c r="L127" s="20"/>
      <c r="M127" s="20"/>
      <c r="N127" s="20"/>
      <c r="O127" s="20"/>
    </row>
    <row r="128" spans="1:15" ht="30" customHeight="1">
      <c r="A128" s="20"/>
      <c r="B128" s="20"/>
      <c r="C128" s="20"/>
      <c r="D128" s="20"/>
      <c r="E128" s="20"/>
      <c r="F128" s="20"/>
      <c r="G128" s="24"/>
      <c r="H128" s="20"/>
      <c r="I128" s="20"/>
      <c r="J128" s="20"/>
      <c r="K128" s="20"/>
      <c r="L128" s="20"/>
      <c r="M128" s="20"/>
      <c r="N128" s="20"/>
      <c r="O128" s="20"/>
    </row>
    <row r="129" spans="1:15" hidden="1">
      <c r="A129" s="18" t="s">
        <v>2437</v>
      </c>
    </row>
    <row r="130" spans="1:15" ht="17.25">
      <c r="A130" s="19"/>
      <c r="B130" s="19"/>
      <c r="C130" s="19" t="s">
        <v>2451</v>
      </c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</sheetData>
  <mergeCells count="12">
    <mergeCell ref="I2:J2"/>
    <mergeCell ref="K2:L2"/>
    <mergeCell ref="M2:N2"/>
    <mergeCell ref="O2:O3"/>
    <mergeCell ref="A1:O1"/>
    <mergeCell ref="A2:A3"/>
    <mergeCell ref="B2:B3"/>
    <mergeCell ref="C2:C3"/>
    <mergeCell ref="D2:D3"/>
    <mergeCell ref="E2:E3"/>
    <mergeCell ref="F2:F3"/>
    <mergeCell ref="G2:H2"/>
  </mergeCells>
  <phoneticPr fontId="1" type="noConversion"/>
  <printOptions verticalCentered="1"/>
  <pageMargins left="0.78740157480314965" right="0" top="0.39370078740157483" bottom="0.39370078740157483" header="0.31496062992125984" footer="0.31496062992125984"/>
  <pageSetup paperSize="9" scale="59" orientation="landscape" r:id="rId1"/>
  <headerFooter>
    <oddFooter>&amp;C&amp;P&amp;R기계설비 일위대가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R81"/>
  <sheetViews>
    <sheetView view="pageBreakPreview" zoomScale="118" zoomScaleSheetLayoutView="118" workbookViewId="0">
      <pane xSplit="4" ySplit="4" topLeftCell="E47" activePane="bottomRight" state="frozen"/>
      <selection pane="topRight" activeCell="E1" sqref="E1"/>
      <selection pane="bottomLeft" activeCell="A5" sqref="A5"/>
      <selection pane="bottomRight" activeCell="K61" sqref="K61"/>
    </sheetView>
  </sheetViews>
  <sheetFormatPr defaultRowHeight="16.5"/>
  <cols>
    <col min="1" max="1" width="12.625" style="18" customWidth="1"/>
    <col min="2" max="2" width="28.625" style="18" customWidth="1"/>
    <col min="3" max="3" width="20.625" style="18" customWidth="1"/>
    <col min="4" max="4" width="6.625" style="18" customWidth="1"/>
    <col min="5" max="5" width="14.625" style="18" customWidth="1"/>
    <col min="6" max="6" width="4.625" style="18" customWidth="1"/>
    <col min="7" max="7" width="14.625" style="18" customWidth="1"/>
    <col min="8" max="8" width="4.625" style="18" customWidth="1"/>
    <col min="9" max="9" width="14.625" style="18" customWidth="1"/>
    <col min="10" max="10" width="4.625" style="18" customWidth="1"/>
    <col min="11" max="11" width="14.625" style="18" customWidth="1"/>
    <col min="12" max="12" width="4.625" style="18" customWidth="1"/>
    <col min="13" max="13" width="14.625" style="18" customWidth="1"/>
    <col min="14" max="14" width="4.625" style="18" customWidth="1"/>
    <col min="15" max="15" width="14.625" style="18" customWidth="1"/>
    <col min="16" max="16" width="12.625" style="18" customWidth="1"/>
    <col min="17" max="17" width="9" style="18"/>
    <col min="18" max="18" width="1.625" style="18" customWidth="1"/>
    <col min="19" max="16384" width="9" style="18"/>
  </cols>
  <sheetData>
    <row r="1" spans="1:18" ht="30" customHeight="1">
      <c r="A1" s="1465" t="s">
        <v>1907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  <c r="O1" s="1465"/>
      <c r="P1" s="1465"/>
    </row>
    <row r="2" spans="1:18" ht="30" customHeight="1">
      <c r="A2" s="1466" t="s">
        <v>2450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</row>
    <row r="3" spans="1:18" ht="30" customHeight="1">
      <c r="A3" s="1470" t="s">
        <v>2449</v>
      </c>
      <c r="B3" s="1470" t="s">
        <v>2448</v>
      </c>
      <c r="C3" s="1470" t="s">
        <v>2447</v>
      </c>
      <c r="D3" s="1470" t="s">
        <v>3</v>
      </c>
      <c r="E3" s="1470" t="s">
        <v>2567</v>
      </c>
      <c r="F3" s="1470"/>
      <c r="G3" s="1470" t="s">
        <v>2566</v>
      </c>
      <c r="H3" s="1470"/>
      <c r="I3" s="1470" t="s">
        <v>2565</v>
      </c>
      <c r="J3" s="1470"/>
      <c r="K3" s="1470" t="s">
        <v>1911</v>
      </c>
      <c r="L3" s="1470"/>
      <c r="M3" s="1470" t="s">
        <v>2564</v>
      </c>
      <c r="N3" s="1470"/>
      <c r="O3" s="1470" t="s">
        <v>2563</v>
      </c>
      <c r="P3" s="1470" t="s">
        <v>2446</v>
      </c>
    </row>
    <row r="4" spans="1:18" ht="30" customHeight="1">
      <c r="A4" s="1470"/>
      <c r="B4" s="1470"/>
      <c r="C4" s="1470"/>
      <c r="D4" s="1470"/>
      <c r="E4" s="30" t="s">
        <v>2534</v>
      </c>
      <c r="F4" s="30" t="s">
        <v>2562</v>
      </c>
      <c r="G4" s="30" t="s">
        <v>2534</v>
      </c>
      <c r="H4" s="30" t="s">
        <v>2562</v>
      </c>
      <c r="I4" s="30" t="s">
        <v>2534</v>
      </c>
      <c r="J4" s="30" t="s">
        <v>2562</v>
      </c>
      <c r="K4" s="30" t="s">
        <v>2534</v>
      </c>
      <c r="L4" s="30" t="s">
        <v>2562</v>
      </c>
      <c r="M4" s="30" t="s">
        <v>2534</v>
      </c>
      <c r="N4" s="30" t="s">
        <v>2562</v>
      </c>
      <c r="O4" s="1470"/>
      <c r="P4" s="1470"/>
    </row>
    <row r="5" spans="1:18" ht="30" customHeight="1">
      <c r="A5" s="29" t="s">
        <v>2408</v>
      </c>
      <c r="B5" s="29" t="s">
        <v>2407</v>
      </c>
      <c r="C5" s="29" t="s">
        <v>2409</v>
      </c>
      <c r="D5" s="29" t="s">
        <v>321</v>
      </c>
      <c r="E5" s="28">
        <v>6000</v>
      </c>
      <c r="F5" s="28"/>
      <c r="G5" s="28">
        <v>15000</v>
      </c>
      <c r="H5" s="29" t="s">
        <v>2560</v>
      </c>
      <c r="I5" s="28">
        <v>15000</v>
      </c>
      <c r="J5" s="29" t="s">
        <v>2561</v>
      </c>
      <c r="K5" s="28"/>
      <c r="L5" s="28"/>
      <c r="M5" s="28"/>
      <c r="N5" s="28"/>
      <c r="O5" s="28">
        <v>6000</v>
      </c>
      <c r="P5" s="28"/>
      <c r="R5" s="18">
        <v>1</v>
      </c>
    </row>
    <row r="6" spans="1:18" ht="30" customHeight="1">
      <c r="A6" s="29" t="s">
        <v>2405</v>
      </c>
      <c r="B6" s="29" t="s">
        <v>2407</v>
      </c>
      <c r="C6" s="29" t="s">
        <v>2406</v>
      </c>
      <c r="D6" s="29" t="s">
        <v>321</v>
      </c>
      <c r="E6" s="28">
        <v>9000</v>
      </c>
      <c r="F6" s="28"/>
      <c r="G6" s="28">
        <v>15000</v>
      </c>
      <c r="H6" s="29" t="s">
        <v>2560</v>
      </c>
      <c r="I6" s="28">
        <v>15000</v>
      </c>
      <c r="J6" s="29" t="s">
        <v>2561</v>
      </c>
      <c r="K6" s="28"/>
      <c r="L6" s="28"/>
      <c r="M6" s="28"/>
      <c r="N6" s="28"/>
      <c r="O6" s="28">
        <v>9000</v>
      </c>
      <c r="P6" s="28"/>
      <c r="R6" s="18">
        <v>1</v>
      </c>
    </row>
    <row r="7" spans="1:18" ht="30" customHeight="1">
      <c r="A7" s="29" t="s">
        <v>2403</v>
      </c>
      <c r="B7" s="29" t="s">
        <v>2404</v>
      </c>
      <c r="C7" s="29" t="s">
        <v>51</v>
      </c>
      <c r="D7" s="29" t="s">
        <v>321</v>
      </c>
      <c r="E7" s="28">
        <v>900</v>
      </c>
      <c r="F7" s="28"/>
      <c r="G7" s="28"/>
      <c r="H7" s="28"/>
      <c r="I7" s="28">
        <v>1000</v>
      </c>
      <c r="J7" s="29" t="s">
        <v>2544</v>
      </c>
      <c r="K7" s="28"/>
      <c r="L7" s="28"/>
      <c r="M7" s="28"/>
      <c r="N7" s="28"/>
      <c r="O7" s="28">
        <v>900</v>
      </c>
      <c r="P7" s="28"/>
      <c r="R7" s="18">
        <v>1</v>
      </c>
    </row>
    <row r="8" spans="1:18" ht="30" customHeight="1">
      <c r="A8" s="29" t="s">
        <v>2413</v>
      </c>
      <c r="B8" s="29" t="s">
        <v>2412</v>
      </c>
      <c r="C8" s="29" t="s">
        <v>2414</v>
      </c>
      <c r="D8" s="29" t="s">
        <v>321</v>
      </c>
      <c r="E8" s="28">
        <v>21250</v>
      </c>
      <c r="F8" s="28"/>
      <c r="G8" s="28">
        <v>25000</v>
      </c>
      <c r="H8" s="29" t="s">
        <v>2560</v>
      </c>
      <c r="I8" s="28">
        <v>28000</v>
      </c>
      <c r="J8" s="29" t="s">
        <v>2544</v>
      </c>
      <c r="K8" s="28"/>
      <c r="L8" s="28"/>
      <c r="M8" s="28"/>
      <c r="N8" s="28"/>
      <c r="O8" s="28">
        <v>21250</v>
      </c>
      <c r="P8" s="28"/>
      <c r="R8" s="18">
        <v>1</v>
      </c>
    </row>
    <row r="9" spans="1:18" ht="30" customHeight="1">
      <c r="A9" s="29" t="s">
        <v>2410</v>
      </c>
      <c r="B9" s="29" t="s">
        <v>2412</v>
      </c>
      <c r="C9" s="29" t="s">
        <v>2411</v>
      </c>
      <c r="D9" s="29" t="s">
        <v>321</v>
      </c>
      <c r="E9" s="28">
        <v>27750</v>
      </c>
      <c r="F9" s="28"/>
      <c r="G9" s="28">
        <v>37000</v>
      </c>
      <c r="H9" s="29" t="s">
        <v>2560</v>
      </c>
      <c r="I9" s="28">
        <v>40000</v>
      </c>
      <c r="J9" s="29" t="s">
        <v>2544</v>
      </c>
      <c r="K9" s="28"/>
      <c r="L9" s="28"/>
      <c r="M9" s="28"/>
      <c r="N9" s="28"/>
      <c r="O9" s="28">
        <v>27750</v>
      </c>
      <c r="P9" s="28"/>
      <c r="R9" s="18">
        <v>1</v>
      </c>
    </row>
    <row r="10" spans="1:18" ht="30" customHeight="1">
      <c r="A10" s="29" t="s">
        <v>2427</v>
      </c>
      <c r="B10" s="29" t="s">
        <v>2426</v>
      </c>
      <c r="C10" s="29" t="s">
        <v>2428</v>
      </c>
      <c r="D10" s="29" t="s">
        <v>204</v>
      </c>
      <c r="E10" s="28"/>
      <c r="F10" s="28"/>
      <c r="G10" s="28">
        <v>6300</v>
      </c>
      <c r="H10" s="29" t="s">
        <v>2558</v>
      </c>
      <c r="I10" s="28">
        <v>6300</v>
      </c>
      <c r="J10" s="29" t="s">
        <v>2559</v>
      </c>
      <c r="K10" s="28"/>
      <c r="L10" s="28"/>
      <c r="M10" s="28"/>
      <c r="N10" s="28"/>
      <c r="O10" s="28">
        <v>6300</v>
      </c>
      <c r="P10" s="28"/>
      <c r="R10" s="18">
        <v>1</v>
      </c>
    </row>
    <row r="11" spans="1:18" ht="30" customHeight="1">
      <c r="A11" s="29" t="s">
        <v>2424</v>
      </c>
      <c r="B11" s="29" t="s">
        <v>2426</v>
      </c>
      <c r="C11" s="29" t="s">
        <v>2425</v>
      </c>
      <c r="D11" s="29" t="s">
        <v>204</v>
      </c>
      <c r="E11" s="28"/>
      <c r="F11" s="28"/>
      <c r="G11" s="28">
        <v>7900</v>
      </c>
      <c r="H11" s="29" t="s">
        <v>2558</v>
      </c>
      <c r="I11" s="28">
        <v>7900</v>
      </c>
      <c r="J11" s="29" t="s">
        <v>2559</v>
      </c>
      <c r="K11" s="28"/>
      <c r="L11" s="28"/>
      <c r="M11" s="28"/>
      <c r="N11" s="28"/>
      <c r="O11" s="28">
        <v>7900</v>
      </c>
      <c r="P11" s="28"/>
      <c r="R11" s="18">
        <v>1</v>
      </c>
    </row>
    <row r="12" spans="1:18" ht="30" customHeight="1">
      <c r="A12" s="29" t="s">
        <v>2422</v>
      </c>
      <c r="B12" s="29" t="s">
        <v>2417</v>
      </c>
      <c r="C12" s="29" t="s">
        <v>2423</v>
      </c>
      <c r="D12" s="29" t="s">
        <v>321</v>
      </c>
      <c r="E12" s="28"/>
      <c r="F12" s="28"/>
      <c r="G12" s="28">
        <v>8900</v>
      </c>
      <c r="H12" s="29" t="s">
        <v>2558</v>
      </c>
      <c r="I12" s="28">
        <v>8900</v>
      </c>
      <c r="J12" s="29" t="s">
        <v>2557</v>
      </c>
      <c r="K12" s="28"/>
      <c r="L12" s="28"/>
      <c r="M12" s="28"/>
      <c r="N12" s="28"/>
      <c r="O12" s="28">
        <v>8900</v>
      </c>
      <c r="P12" s="28"/>
      <c r="R12" s="18">
        <v>1</v>
      </c>
    </row>
    <row r="13" spans="1:18" ht="30" customHeight="1">
      <c r="A13" s="29" t="s">
        <v>2420</v>
      </c>
      <c r="B13" s="29" t="s">
        <v>2417</v>
      </c>
      <c r="C13" s="29" t="s">
        <v>2421</v>
      </c>
      <c r="D13" s="29" t="s">
        <v>321</v>
      </c>
      <c r="E13" s="28"/>
      <c r="F13" s="28"/>
      <c r="G13" s="28">
        <v>11000</v>
      </c>
      <c r="H13" s="29" t="s">
        <v>2558</v>
      </c>
      <c r="I13" s="28">
        <v>11000</v>
      </c>
      <c r="J13" s="29" t="s">
        <v>2557</v>
      </c>
      <c r="K13" s="28"/>
      <c r="L13" s="28"/>
      <c r="M13" s="28"/>
      <c r="N13" s="28"/>
      <c r="O13" s="28">
        <v>11000</v>
      </c>
      <c r="P13" s="28"/>
      <c r="R13" s="18">
        <v>1</v>
      </c>
    </row>
    <row r="14" spans="1:18" ht="30" customHeight="1">
      <c r="A14" s="29" t="s">
        <v>2418</v>
      </c>
      <c r="B14" s="29" t="s">
        <v>2417</v>
      </c>
      <c r="C14" s="29" t="s">
        <v>2419</v>
      </c>
      <c r="D14" s="29" t="s">
        <v>321</v>
      </c>
      <c r="E14" s="28"/>
      <c r="F14" s="28"/>
      <c r="G14" s="28"/>
      <c r="H14" s="28"/>
      <c r="I14" s="28">
        <v>2200</v>
      </c>
      <c r="J14" s="29" t="s">
        <v>2556</v>
      </c>
      <c r="K14" s="28"/>
      <c r="L14" s="28"/>
      <c r="M14" s="28"/>
      <c r="N14" s="28"/>
      <c r="O14" s="28">
        <v>2200</v>
      </c>
      <c r="P14" s="28"/>
      <c r="R14" s="18">
        <v>1</v>
      </c>
    </row>
    <row r="15" spans="1:18" ht="30" customHeight="1">
      <c r="A15" s="29" t="s">
        <v>2415</v>
      </c>
      <c r="B15" s="29" t="s">
        <v>2417</v>
      </c>
      <c r="C15" s="29" t="s">
        <v>2416</v>
      </c>
      <c r="D15" s="29" t="s">
        <v>321</v>
      </c>
      <c r="E15" s="28"/>
      <c r="F15" s="28"/>
      <c r="G15" s="28"/>
      <c r="H15" s="28"/>
      <c r="I15" s="28">
        <v>2800</v>
      </c>
      <c r="J15" s="29" t="s">
        <v>2556</v>
      </c>
      <c r="K15" s="28"/>
      <c r="L15" s="28"/>
      <c r="M15" s="28"/>
      <c r="N15" s="28"/>
      <c r="O15" s="28">
        <v>2800</v>
      </c>
      <c r="P15" s="28"/>
      <c r="R15" s="18">
        <v>1</v>
      </c>
    </row>
    <row r="16" spans="1:18" ht="30" customHeight="1">
      <c r="A16" s="29" t="s">
        <v>2497</v>
      </c>
      <c r="B16" s="29" t="s">
        <v>2496</v>
      </c>
      <c r="C16" s="29" t="s">
        <v>2495</v>
      </c>
      <c r="D16" s="29" t="s">
        <v>204</v>
      </c>
      <c r="E16" s="28"/>
      <c r="F16" s="28"/>
      <c r="G16" s="28"/>
      <c r="H16" s="28"/>
      <c r="I16" s="28"/>
      <c r="J16" s="28"/>
      <c r="K16" s="28"/>
      <c r="L16" s="28"/>
      <c r="M16" s="28">
        <v>1100</v>
      </c>
      <c r="N16" s="28"/>
      <c r="O16" s="28">
        <v>1100</v>
      </c>
      <c r="P16" s="28"/>
      <c r="R16" s="18">
        <v>1</v>
      </c>
    </row>
    <row r="17" spans="1:18" ht="30" customHeight="1">
      <c r="A17" s="29" t="s">
        <v>2494</v>
      </c>
      <c r="B17" s="29" t="s">
        <v>2493</v>
      </c>
      <c r="C17" s="29" t="s">
        <v>2492</v>
      </c>
      <c r="D17" s="29" t="s">
        <v>204</v>
      </c>
      <c r="E17" s="28"/>
      <c r="F17" s="28"/>
      <c r="G17" s="28">
        <v>1265</v>
      </c>
      <c r="H17" s="29" t="s">
        <v>2555</v>
      </c>
      <c r="I17" s="28"/>
      <c r="J17" s="28"/>
      <c r="K17" s="28"/>
      <c r="L17" s="28"/>
      <c r="M17" s="28"/>
      <c r="N17" s="28"/>
      <c r="O17" s="28">
        <v>1265</v>
      </c>
      <c r="P17" s="28"/>
      <c r="R17" s="18">
        <v>1</v>
      </c>
    </row>
    <row r="18" spans="1:18" ht="30" customHeight="1">
      <c r="A18" s="29" t="s">
        <v>2491</v>
      </c>
      <c r="B18" s="29" t="s">
        <v>2490</v>
      </c>
      <c r="C18" s="29" t="s">
        <v>2304</v>
      </c>
      <c r="D18" s="29" t="s">
        <v>204</v>
      </c>
      <c r="E18" s="28"/>
      <c r="F18" s="28"/>
      <c r="G18" s="28">
        <v>870</v>
      </c>
      <c r="H18" s="29" t="s">
        <v>2555</v>
      </c>
      <c r="I18" s="28"/>
      <c r="J18" s="28"/>
      <c r="K18" s="28"/>
      <c r="L18" s="28"/>
      <c r="M18" s="28"/>
      <c r="N18" s="28"/>
      <c r="O18" s="28">
        <v>870</v>
      </c>
      <c r="P18" s="28"/>
      <c r="R18" s="18">
        <v>1</v>
      </c>
    </row>
    <row r="19" spans="1:18" ht="30" customHeight="1">
      <c r="A19" s="29" t="s">
        <v>2476</v>
      </c>
      <c r="B19" s="29" t="s">
        <v>2475</v>
      </c>
      <c r="C19" s="29" t="s">
        <v>2474</v>
      </c>
      <c r="D19" s="29" t="s">
        <v>204</v>
      </c>
      <c r="E19" s="28"/>
      <c r="F19" s="28"/>
      <c r="G19" s="28">
        <v>1378</v>
      </c>
      <c r="H19" s="29" t="s">
        <v>2554</v>
      </c>
      <c r="I19" s="28"/>
      <c r="J19" s="28"/>
      <c r="K19" s="28"/>
      <c r="L19" s="28"/>
      <c r="M19" s="28"/>
      <c r="N19" s="28"/>
      <c r="O19" s="28">
        <v>1378</v>
      </c>
      <c r="P19" s="28"/>
      <c r="R19" s="18">
        <v>1</v>
      </c>
    </row>
    <row r="20" spans="1:18" ht="30" customHeight="1">
      <c r="A20" s="29" t="s">
        <v>2473</v>
      </c>
      <c r="B20" s="29" t="s">
        <v>2472</v>
      </c>
      <c r="C20" s="29" t="s">
        <v>2471</v>
      </c>
      <c r="D20" s="29" t="s">
        <v>321</v>
      </c>
      <c r="E20" s="28"/>
      <c r="F20" s="28"/>
      <c r="G20" s="28">
        <v>7</v>
      </c>
      <c r="H20" s="29" t="s">
        <v>2541</v>
      </c>
      <c r="I20" s="28">
        <v>7</v>
      </c>
      <c r="J20" s="29" t="s">
        <v>2553</v>
      </c>
      <c r="K20" s="28"/>
      <c r="L20" s="28"/>
      <c r="M20" s="28"/>
      <c r="N20" s="28"/>
      <c r="O20" s="28">
        <v>7</v>
      </c>
      <c r="P20" s="28"/>
      <c r="R20" s="18">
        <v>1</v>
      </c>
    </row>
    <row r="21" spans="1:18" ht="30" customHeight="1">
      <c r="A21" s="29" t="s">
        <v>2531</v>
      </c>
      <c r="B21" s="29" t="s">
        <v>2530</v>
      </c>
      <c r="C21" s="29" t="s">
        <v>2529</v>
      </c>
      <c r="D21" s="29" t="s">
        <v>59</v>
      </c>
      <c r="E21" s="28"/>
      <c r="F21" s="28"/>
      <c r="G21" s="28">
        <v>11400</v>
      </c>
      <c r="H21" s="29" t="s">
        <v>2552</v>
      </c>
      <c r="I21" s="28">
        <v>11500</v>
      </c>
      <c r="J21" s="29" t="s">
        <v>2551</v>
      </c>
      <c r="K21" s="28"/>
      <c r="L21" s="28"/>
      <c r="M21" s="28"/>
      <c r="N21" s="28"/>
      <c r="O21" s="28">
        <v>11400</v>
      </c>
      <c r="P21" s="28"/>
      <c r="R21" s="18">
        <v>1</v>
      </c>
    </row>
    <row r="22" spans="1:18" ht="30" customHeight="1">
      <c r="A22" s="29" t="s">
        <v>2480</v>
      </c>
      <c r="B22" s="29" t="s">
        <v>2479</v>
      </c>
      <c r="C22" s="29" t="s">
        <v>2478</v>
      </c>
      <c r="D22" s="29" t="s">
        <v>2477</v>
      </c>
      <c r="E22" s="28"/>
      <c r="F22" s="28"/>
      <c r="G22" s="28">
        <v>22000</v>
      </c>
      <c r="H22" s="29" t="s">
        <v>2550</v>
      </c>
      <c r="I22" s="28"/>
      <c r="J22" s="28"/>
      <c r="K22" s="28"/>
      <c r="L22" s="28"/>
      <c r="M22" s="28"/>
      <c r="N22" s="28"/>
      <c r="O22" s="28">
        <v>22000</v>
      </c>
      <c r="P22" s="28"/>
      <c r="R22" s="18">
        <v>1</v>
      </c>
    </row>
    <row r="23" spans="1:18" ht="30" customHeight="1">
      <c r="A23" s="29" t="s">
        <v>2461</v>
      </c>
      <c r="B23" s="29" t="s">
        <v>2460</v>
      </c>
      <c r="C23" s="29" t="s">
        <v>2459</v>
      </c>
      <c r="D23" s="29" t="s">
        <v>1230</v>
      </c>
      <c r="E23" s="28">
        <v>6010</v>
      </c>
      <c r="F23" s="28"/>
      <c r="G23" s="28">
        <v>4500</v>
      </c>
      <c r="H23" s="29" t="s">
        <v>2549</v>
      </c>
      <c r="I23" s="28">
        <v>8767</v>
      </c>
      <c r="J23" s="29" t="s">
        <v>2546</v>
      </c>
      <c r="K23" s="28"/>
      <c r="L23" s="28"/>
      <c r="M23" s="28"/>
      <c r="N23" s="28"/>
      <c r="O23" s="28">
        <v>4500</v>
      </c>
      <c r="P23" s="28"/>
      <c r="R23" s="18">
        <v>1</v>
      </c>
    </row>
    <row r="24" spans="1:18" ht="30" customHeight="1">
      <c r="A24" s="29" t="s">
        <v>2467</v>
      </c>
      <c r="B24" s="29" t="s">
        <v>2466</v>
      </c>
      <c r="C24" s="29" t="s">
        <v>2465</v>
      </c>
      <c r="D24" s="29" t="s">
        <v>1230</v>
      </c>
      <c r="E24" s="28">
        <v>5330</v>
      </c>
      <c r="F24" s="28"/>
      <c r="G24" s="28">
        <v>8190</v>
      </c>
      <c r="H24" s="29" t="s">
        <v>2548</v>
      </c>
      <c r="I24" s="28">
        <v>5797</v>
      </c>
      <c r="J24" s="29" t="s">
        <v>2546</v>
      </c>
      <c r="K24" s="28"/>
      <c r="L24" s="28"/>
      <c r="M24" s="28"/>
      <c r="N24" s="28"/>
      <c r="O24" s="28">
        <v>5330</v>
      </c>
      <c r="P24" s="28"/>
      <c r="R24" s="18">
        <v>1</v>
      </c>
    </row>
    <row r="25" spans="1:18" ht="30" customHeight="1">
      <c r="A25" s="29" t="s">
        <v>2458</v>
      </c>
      <c r="B25" s="29" t="s">
        <v>2457</v>
      </c>
      <c r="C25" s="29" t="s">
        <v>2456</v>
      </c>
      <c r="D25" s="29" t="s">
        <v>1230</v>
      </c>
      <c r="E25" s="28">
        <v>1780</v>
      </c>
      <c r="F25" s="28"/>
      <c r="G25" s="28">
        <v>3875</v>
      </c>
      <c r="H25" s="29" t="s">
        <v>2547</v>
      </c>
      <c r="I25" s="28">
        <v>3583</v>
      </c>
      <c r="J25" s="29" t="s">
        <v>2546</v>
      </c>
      <c r="K25" s="28"/>
      <c r="L25" s="28"/>
      <c r="M25" s="28"/>
      <c r="N25" s="28"/>
      <c r="O25" s="28">
        <v>1780</v>
      </c>
      <c r="P25" s="28"/>
      <c r="R25" s="18">
        <v>1</v>
      </c>
    </row>
    <row r="26" spans="1:18" ht="30" customHeight="1">
      <c r="A26" s="29" t="s">
        <v>2517</v>
      </c>
      <c r="B26" s="29" t="s">
        <v>2505</v>
      </c>
      <c r="C26" s="29" t="s">
        <v>2516</v>
      </c>
      <c r="D26" s="29" t="s">
        <v>59</v>
      </c>
      <c r="E26" s="28">
        <v>4050</v>
      </c>
      <c r="F26" s="28"/>
      <c r="G26" s="28">
        <v>4032</v>
      </c>
      <c r="H26" s="29" t="s">
        <v>2191</v>
      </c>
      <c r="I26" s="28">
        <v>4770</v>
      </c>
      <c r="J26" s="29" t="s">
        <v>2545</v>
      </c>
      <c r="K26" s="28"/>
      <c r="L26" s="28"/>
      <c r="M26" s="28"/>
      <c r="N26" s="28"/>
      <c r="O26" s="28">
        <v>4032</v>
      </c>
      <c r="P26" s="28"/>
      <c r="R26" s="18">
        <v>1</v>
      </c>
    </row>
    <row r="27" spans="1:18" ht="30" customHeight="1">
      <c r="A27" s="29" t="s">
        <v>2512</v>
      </c>
      <c r="B27" s="29" t="s">
        <v>2505</v>
      </c>
      <c r="C27" s="29" t="s">
        <v>2511</v>
      </c>
      <c r="D27" s="29" t="s">
        <v>59</v>
      </c>
      <c r="E27" s="28">
        <v>4770</v>
      </c>
      <c r="F27" s="28"/>
      <c r="G27" s="28">
        <v>4696</v>
      </c>
      <c r="H27" s="29" t="s">
        <v>2191</v>
      </c>
      <c r="I27" s="28">
        <v>5722</v>
      </c>
      <c r="J27" s="29" t="s">
        <v>2545</v>
      </c>
      <c r="K27" s="28"/>
      <c r="L27" s="28"/>
      <c r="M27" s="28"/>
      <c r="N27" s="28"/>
      <c r="O27" s="28">
        <v>4696</v>
      </c>
      <c r="P27" s="28"/>
      <c r="R27" s="18">
        <v>1</v>
      </c>
    </row>
    <row r="28" spans="1:18" ht="30" customHeight="1">
      <c r="A28" s="29" t="s">
        <v>2506</v>
      </c>
      <c r="B28" s="29" t="s">
        <v>2505</v>
      </c>
      <c r="C28" s="29" t="s">
        <v>2504</v>
      </c>
      <c r="D28" s="29" t="s">
        <v>59</v>
      </c>
      <c r="E28" s="28">
        <v>6210</v>
      </c>
      <c r="F28" s="28"/>
      <c r="G28" s="28">
        <v>6066</v>
      </c>
      <c r="H28" s="29" t="s">
        <v>2191</v>
      </c>
      <c r="I28" s="28">
        <v>7367</v>
      </c>
      <c r="J28" s="29" t="s">
        <v>2545</v>
      </c>
      <c r="K28" s="28"/>
      <c r="L28" s="28"/>
      <c r="M28" s="28"/>
      <c r="N28" s="28"/>
      <c r="O28" s="28">
        <v>6066</v>
      </c>
      <c r="P28" s="28"/>
      <c r="R28" s="18">
        <v>1</v>
      </c>
    </row>
    <row r="29" spans="1:18" ht="30" customHeight="1">
      <c r="A29" s="29" t="s">
        <v>2503</v>
      </c>
      <c r="B29" s="29" t="s">
        <v>2502</v>
      </c>
      <c r="C29" s="29" t="s">
        <v>2501</v>
      </c>
      <c r="D29" s="29" t="s">
        <v>321</v>
      </c>
      <c r="E29" s="28"/>
      <c r="F29" s="28"/>
      <c r="G29" s="28"/>
      <c r="H29" s="28"/>
      <c r="I29" s="28">
        <v>600</v>
      </c>
      <c r="J29" s="29" t="s">
        <v>2544</v>
      </c>
      <c r="K29" s="28"/>
      <c r="L29" s="28"/>
      <c r="M29" s="28"/>
      <c r="N29" s="28"/>
      <c r="O29" s="28">
        <v>600</v>
      </c>
      <c r="P29" s="28"/>
      <c r="R29" s="18">
        <v>1</v>
      </c>
    </row>
    <row r="30" spans="1:18" ht="30" customHeight="1">
      <c r="A30" s="29" t="s">
        <v>2500</v>
      </c>
      <c r="B30" s="29" t="s">
        <v>2499</v>
      </c>
      <c r="C30" s="29" t="s">
        <v>2498</v>
      </c>
      <c r="D30" s="29" t="s">
        <v>321</v>
      </c>
      <c r="E30" s="28"/>
      <c r="F30" s="28"/>
      <c r="G30" s="28">
        <v>44</v>
      </c>
      <c r="H30" s="29" t="s">
        <v>2543</v>
      </c>
      <c r="I30" s="28">
        <v>42</v>
      </c>
      <c r="J30" s="29" t="s">
        <v>2540</v>
      </c>
      <c r="K30" s="28"/>
      <c r="L30" s="28"/>
      <c r="M30" s="28"/>
      <c r="N30" s="28"/>
      <c r="O30" s="28">
        <v>42</v>
      </c>
      <c r="P30" s="28"/>
      <c r="R30" s="18">
        <v>1</v>
      </c>
    </row>
    <row r="31" spans="1:18" ht="30" customHeight="1">
      <c r="A31" s="29" t="s">
        <v>2483</v>
      </c>
      <c r="B31" s="29" t="s">
        <v>2482</v>
      </c>
      <c r="C31" s="29" t="s">
        <v>2481</v>
      </c>
      <c r="D31" s="29" t="s">
        <v>321</v>
      </c>
      <c r="E31" s="28"/>
      <c r="F31" s="28"/>
      <c r="G31" s="28">
        <v>100</v>
      </c>
      <c r="H31" s="29" t="s">
        <v>2542</v>
      </c>
      <c r="I31" s="28"/>
      <c r="J31" s="28"/>
      <c r="K31" s="28"/>
      <c r="L31" s="28"/>
      <c r="M31" s="28"/>
      <c r="N31" s="28"/>
      <c r="O31" s="28">
        <v>100</v>
      </c>
      <c r="P31" s="28"/>
      <c r="R31" s="18">
        <v>1</v>
      </c>
    </row>
    <row r="32" spans="1:18" ht="30" customHeight="1">
      <c r="A32" s="29" t="s">
        <v>2489</v>
      </c>
      <c r="B32" s="29" t="s">
        <v>2488</v>
      </c>
      <c r="C32" s="29" t="s">
        <v>2487</v>
      </c>
      <c r="D32" s="29" t="s">
        <v>321</v>
      </c>
      <c r="E32" s="28"/>
      <c r="F32" s="28"/>
      <c r="G32" s="28">
        <v>25</v>
      </c>
      <c r="H32" s="29" t="s">
        <v>2541</v>
      </c>
      <c r="I32" s="28">
        <v>21</v>
      </c>
      <c r="J32" s="29" t="s">
        <v>2540</v>
      </c>
      <c r="K32" s="28"/>
      <c r="L32" s="28"/>
      <c r="M32" s="28"/>
      <c r="N32" s="28"/>
      <c r="O32" s="28">
        <v>21</v>
      </c>
      <c r="P32" s="28"/>
      <c r="R32" s="18">
        <v>1</v>
      </c>
    </row>
    <row r="33" spans="1:18" ht="30" customHeight="1">
      <c r="A33" s="29" t="s">
        <v>2528</v>
      </c>
      <c r="B33" s="29" t="s">
        <v>2527</v>
      </c>
      <c r="C33" s="29" t="s">
        <v>51</v>
      </c>
      <c r="D33" s="29" t="s">
        <v>59</v>
      </c>
      <c r="E33" s="28"/>
      <c r="F33" s="28"/>
      <c r="G33" s="28"/>
      <c r="H33" s="28"/>
      <c r="I33" s="28">
        <v>2600</v>
      </c>
      <c r="J33" s="29" t="s">
        <v>2538</v>
      </c>
      <c r="K33" s="28"/>
      <c r="L33" s="28"/>
      <c r="M33" s="28"/>
      <c r="N33" s="28"/>
      <c r="O33" s="28">
        <v>2600</v>
      </c>
      <c r="P33" s="28"/>
      <c r="R33" s="18">
        <v>1</v>
      </c>
    </row>
    <row r="34" spans="1:18" ht="30" customHeight="1">
      <c r="A34" s="29" t="s">
        <v>2526</v>
      </c>
      <c r="B34" s="29" t="s">
        <v>2525</v>
      </c>
      <c r="C34" s="29" t="s">
        <v>2524</v>
      </c>
      <c r="D34" s="29" t="s">
        <v>204</v>
      </c>
      <c r="E34" s="28"/>
      <c r="F34" s="28"/>
      <c r="G34" s="28"/>
      <c r="H34" s="28"/>
      <c r="I34" s="28">
        <v>2000</v>
      </c>
      <c r="J34" s="29" t="s">
        <v>2538</v>
      </c>
      <c r="K34" s="28"/>
      <c r="L34" s="28"/>
      <c r="M34" s="28"/>
      <c r="N34" s="28"/>
      <c r="O34" s="28">
        <v>2000</v>
      </c>
      <c r="P34" s="28"/>
      <c r="R34" s="18">
        <v>1</v>
      </c>
    </row>
    <row r="35" spans="1:18" ht="30" customHeight="1">
      <c r="A35" s="29" t="s">
        <v>2523</v>
      </c>
      <c r="B35" s="29" t="s">
        <v>2522</v>
      </c>
      <c r="C35" s="29" t="s">
        <v>51</v>
      </c>
      <c r="D35" s="29" t="s">
        <v>2477</v>
      </c>
      <c r="E35" s="28">
        <v>7560</v>
      </c>
      <c r="F35" s="28"/>
      <c r="G35" s="28">
        <v>10000</v>
      </c>
      <c r="H35" s="29" t="s">
        <v>2539</v>
      </c>
      <c r="I35" s="28">
        <v>12000</v>
      </c>
      <c r="J35" s="29" t="s">
        <v>2538</v>
      </c>
      <c r="K35" s="28"/>
      <c r="L35" s="28"/>
      <c r="M35" s="28"/>
      <c r="N35" s="28"/>
      <c r="O35" s="28">
        <v>7560</v>
      </c>
      <c r="P35" s="28"/>
      <c r="R35" s="18">
        <v>1</v>
      </c>
    </row>
    <row r="36" spans="1:18" ht="30" customHeight="1">
      <c r="A36" s="29" t="s">
        <v>2486</v>
      </c>
      <c r="B36" s="29" t="s">
        <v>2485</v>
      </c>
      <c r="C36" s="29" t="s">
        <v>2484</v>
      </c>
      <c r="D36" s="29" t="s">
        <v>204</v>
      </c>
      <c r="E36" s="28"/>
      <c r="F36" s="28"/>
      <c r="G36" s="28"/>
      <c r="H36" s="28"/>
      <c r="I36" s="28">
        <v>440</v>
      </c>
      <c r="J36" s="29" t="s">
        <v>2537</v>
      </c>
      <c r="K36" s="28"/>
      <c r="L36" s="28"/>
      <c r="M36" s="28"/>
      <c r="N36" s="28"/>
      <c r="O36" s="28">
        <v>440</v>
      </c>
      <c r="P36" s="28"/>
      <c r="R36" s="18">
        <v>1</v>
      </c>
    </row>
    <row r="37" spans="1:18" ht="30" customHeight="1">
      <c r="A37" s="29" t="s">
        <v>2369</v>
      </c>
      <c r="B37" s="29" t="s">
        <v>2358</v>
      </c>
      <c r="C37" s="29" t="s">
        <v>2359</v>
      </c>
      <c r="D37" s="29" t="s">
        <v>419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>
        <v>164907</v>
      </c>
      <c r="P37" s="28"/>
      <c r="R37" s="18">
        <v>2</v>
      </c>
    </row>
    <row r="38" spans="1:18" ht="30" customHeight="1">
      <c r="A38" s="29" t="s">
        <v>2453</v>
      </c>
      <c r="B38" s="29" t="s">
        <v>2358</v>
      </c>
      <c r="C38" s="29" t="s">
        <v>1107</v>
      </c>
      <c r="D38" s="29" t="s">
        <v>419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164">
        <v>188854</v>
      </c>
      <c r="P38" s="28"/>
      <c r="R38" s="18">
        <v>2</v>
      </c>
    </row>
    <row r="39" spans="1:18" ht="30" customHeight="1">
      <c r="A39" s="29" t="s">
        <v>2521</v>
      </c>
      <c r="B39" s="29" t="s">
        <v>2358</v>
      </c>
      <c r="C39" s="29" t="s">
        <v>2357</v>
      </c>
      <c r="D39" s="29" t="s">
        <v>419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2">
        <v>174352</v>
      </c>
      <c r="P39" s="28"/>
      <c r="R39" s="18">
        <v>2</v>
      </c>
    </row>
    <row r="40" spans="1:18" ht="30" customHeight="1">
      <c r="A40" s="29" t="s">
        <v>2370</v>
      </c>
      <c r="B40" s="29" t="s">
        <v>2358</v>
      </c>
      <c r="C40" s="29" t="s">
        <v>996</v>
      </c>
      <c r="D40" s="29" t="s">
        <v>419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164">
        <v>130264</v>
      </c>
      <c r="P40" s="28"/>
      <c r="R40" s="18">
        <v>2</v>
      </c>
    </row>
    <row r="41" spans="1:18" ht="30" customHeight="1">
      <c r="A41" s="29" t="s">
        <v>2519</v>
      </c>
      <c r="B41" s="29" t="s">
        <v>2508</v>
      </c>
      <c r="C41" s="29" t="s">
        <v>2518</v>
      </c>
      <c r="D41" s="29" t="s">
        <v>59</v>
      </c>
      <c r="E41" s="28">
        <v>3850</v>
      </c>
      <c r="F41" s="28"/>
      <c r="G41" s="28">
        <v>4032</v>
      </c>
      <c r="H41" s="29" t="s">
        <v>2191</v>
      </c>
      <c r="I41" s="28">
        <v>4770</v>
      </c>
      <c r="J41" s="29" t="s">
        <v>2536</v>
      </c>
      <c r="K41" s="28"/>
      <c r="L41" s="28"/>
      <c r="M41" s="28"/>
      <c r="N41" s="28"/>
      <c r="O41" s="28">
        <v>3850</v>
      </c>
      <c r="P41" s="28"/>
      <c r="R41" s="18">
        <v>1</v>
      </c>
    </row>
    <row r="42" spans="1:18" ht="30" customHeight="1">
      <c r="A42" s="29" t="s">
        <v>2514</v>
      </c>
      <c r="B42" s="29" t="s">
        <v>2508</v>
      </c>
      <c r="C42" s="29" t="s">
        <v>2513</v>
      </c>
      <c r="D42" s="29" t="s">
        <v>59</v>
      </c>
      <c r="E42" s="28">
        <v>4530</v>
      </c>
      <c r="F42" s="28"/>
      <c r="G42" s="28">
        <v>4696</v>
      </c>
      <c r="H42" s="29" t="s">
        <v>2191</v>
      </c>
      <c r="I42" s="28">
        <v>5722</v>
      </c>
      <c r="J42" s="29" t="s">
        <v>2536</v>
      </c>
      <c r="K42" s="28"/>
      <c r="L42" s="28"/>
      <c r="M42" s="28"/>
      <c r="N42" s="28"/>
      <c r="O42" s="28">
        <v>4530</v>
      </c>
      <c r="P42" s="28"/>
      <c r="R42" s="18">
        <v>1</v>
      </c>
    </row>
    <row r="43" spans="1:18" ht="30" customHeight="1">
      <c r="A43" s="29" t="s">
        <v>2509</v>
      </c>
      <c r="B43" s="29" t="s">
        <v>2508</v>
      </c>
      <c r="C43" s="29" t="s">
        <v>2507</v>
      </c>
      <c r="D43" s="29" t="s">
        <v>59</v>
      </c>
      <c r="E43" s="28">
        <v>5900</v>
      </c>
      <c r="F43" s="28"/>
      <c r="G43" s="28">
        <v>6066</v>
      </c>
      <c r="H43" s="29" t="s">
        <v>2191</v>
      </c>
      <c r="I43" s="28">
        <v>7367</v>
      </c>
      <c r="J43" s="29" t="s">
        <v>2536</v>
      </c>
      <c r="K43" s="28"/>
      <c r="L43" s="28"/>
      <c r="M43" s="28"/>
      <c r="N43" s="28"/>
      <c r="O43" s="28">
        <v>5900</v>
      </c>
      <c r="P43" s="28"/>
      <c r="R43" s="18">
        <v>1</v>
      </c>
    </row>
    <row r="44" spans="1:18" ht="30" customHeight="1">
      <c r="A44" s="29" t="s">
        <v>2401</v>
      </c>
      <c r="B44" s="29" t="s">
        <v>2395</v>
      </c>
      <c r="C44" s="29" t="s">
        <v>2402</v>
      </c>
      <c r="D44" s="29" t="s">
        <v>321</v>
      </c>
      <c r="E44" s="28">
        <v>63000</v>
      </c>
      <c r="F44" s="28"/>
      <c r="G44" s="28">
        <v>63000</v>
      </c>
      <c r="H44" s="28"/>
      <c r="I44" s="28">
        <v>63000</v>
      </c>
      <c r="J44" s="28"/>
      <c r="K44" s="28">
        <v>63000</v>
      </c>
      <c r="L44" s="28"/>
      <c r="M44" s="28">
        <v>63000</v>
      </c>
      <c r="N44" s="28"/>
      <c r="O44" s="28">
        <v>63000</v>
      </c>
      <c r="P44" s="28"/>
      <c r="R44" s="18">
        <v>1</v>
      </c>
    </row>
    <row r="45" spans="1:18" ht="30" customHeight="1">
      <c r="A45" s="29" t="s">
        <v>2400</v>
      </c>
      <c r="B45" s="29" t="s">
        <v>2395</v>
      </c>
      <c r="C45" s="29" t="s">
        <v>2389</v>
      </c>
      <c r="D45" s="29" t="s">
        <v>321</v>
      </c>
      <c r="E45" s="28"/>
      <c r="F45" s="28"/>
      <c r="G45" s="28"/>
      <c r="H45" s="28"/>
      <c r="I45" s="28">
        <v>20000</v>
      </c>
      <c r="J45" s="28"/>
      <c r="K45" s="28"/>
      <c r="L45" s="28"/>
      <c r="M45" s="28"/>
      <c r="N45" s="28"/>
      <c r="O45" s="28">
        <v>20000</v>
      </c>
      <c r="P45" s="28"/>
      <c r="R45" s="18">
        <v>1</v>
      </c>
    </row>
    <row r="46" spans="1:18" ht="30" customHeight="1">
      <c r="A46" s="29" t="s">
        <v>2399</v>
      </c>
      <c r="B46" s="29" t="s">
        <v>2395</v>
      </c>
      <c r="C46" s="29" t="s">
        <v>2385</v>
      </c>
      <c r="D46" s="29" t="s">
        <v>321</v>
      </c>
      <c r="E46" s="28"/>
      <c r="F46" s="28"/>
      <c r="G46" s="28"/>
      <c r="H46" s="28"/>
      <c r="I46" s="28">
        <v>20000</v>
      </c>
      <c r="J46" s="28"/>
      <c r="K46" s="28"/>
      <c r="L46" s="28"/>
      <c r="M46" s="28"/>
      <c r="N46" s="28"/>
      <c r="O46" s="28">
        <v>20000</v>
      </c>
      <c r="P46" s="28"/>
      <c r="R46" s="18">
        <v>1</v>
      </c>
    </row>
    <row r="47" spans="1:18" ht="30" customHeight="1">
      <c r="A47" s="29" t="s">
        <v>2398</v>
      </c>
      <c r="B47" s="29" t="s">
        <v>2395</v>
      </c>
      <c r="C47" s="29" t="s">
        <v>2375</v>
      </c>
      <c r="D47" s="29" t="s">
        <v>321</v>
      </c>
      <c r="E47" s="28">
        <v>20250</v>
      </c>
      <c r="F47" s="28"/>
      <c r="G47" s="28">
        <v>20250</v>
      </c>
      <c r="H47" s="28"/>
      <c r="I47" s="28">
        <v>20250</v>
      </c>
      <c r="J47" s="28"/>
      <c r="K47" s="28">
        <v>20250</v>
      </c>
      <c r="L47" s="28"/>
      <c r="M47" s="28">
        <v>20250</v>
      </c>
      <c r="N47" s="28"/>
      <c r="O47" s="28">
        <v>20250</v>
      </c>
      <c r="P47" s="28"/>
      <c r="R47" s="18">
        <v>1</v>
      </c>
    </row>
    <row r="48" spans="1:18" ht="30" customHeight="1">
      <c r="A48" s="29" t="s">
        <v>2396</v>
      </c>
      <c r="B48" s="29" t="s">
        <v>2395</v>
      </c>
      <c r="C48" s="29" t="s">
        <v>2397</v>
      </c>
      <c r="D48" s="29" t="s">
        <v>321</v>
      </c>
      <c r="E48" s="28">
        <v>29250</v>
      </c>
      <c r="F48" s="28"/>
      <c r="G48" s="28">
        <v>29250</v>
      </c>
      <c r="H48" s="28"/>
      <c r="I48" s="28">
        <v>29250</v>
      </c>
      <c r="J48" s="28"/>
      <c r="K48" s="28">
        <v>29250</v>
      </c>
      <c r="L48" s="28"/>
      <c r="M48" s="28">
        <v>29250</v>
      </c>
      <c r="N48" s="28"/>
      <c r="O48" s="28">
        <v>29250</v>
      </c>
      <c r="P48" s="28"/>
      <c r="R48" s="18">
        <v>1</v>
      </c>
    </row>
    <row r="49" spans="1:18" ht="30" customHeight="1">
      <c r="A49" s="29" t="s">
        <v>2393</v>
      </c>
      <c r="B49" s="29" t="s">
        <v>2395</v>
      </c>
      <c r="C49" s="29" t="s">
        <v>2394</v>
      </c>
      <c r="D49" s="29" t="s">
        <v>321</v>
      </c>
      <c r="E49" s="28">
        <v>31500</v>
      </c>
      <c r="F49" s="28"/>
      <c r="G49" s="28">
        <v>31500</v>
      </c>
      <c r="H49" s="28"/>
      <c r="I49" s="28">
        <v>31500</v>
      </c>
      <c r="J49" s="28"/>
      <c r="K49" s="28">
        <v>31500</v>
      </c>
      <c r="L49" s="28"/>
      <c r="M49" s="28">
        <v>31500</v>
      </c>
      <c r="N49" s="28"/>
      <c r="O49" s="28">
        <v>31500</v>
      </c>
      <c r="P49" s="28"/>
      <c r="R49" s="18">
        <v>1</v>
      </c>
    </row>
    <row r="50" spans="1:18" ht="30" customHeight="1">
      <c r="A50" s="29" t="s">
        <v>2388</v>
      </c>
      <c r="B50" s="29" t="s">
        <v>2373</v>
      </c>
      <c r="C50" s="29" t="s">
        <v>2389</v>
      </c>
      <c r="D50" s="29" t="s">
        <v>321</v>
      </c>
      <c r="E50" s="28"/>
      <c r="F50" s="28"/>
      <c r="G50" s="28"/>
      <c r="H50" s="28"/>
      <c r="I50" s="28">
        <v>20000</v>
      </c>
      <c r="J50" s="28"/>
      <c r="K50" s="28"/>
      <c r="L50" s="28"/>
      <c r="M50" s="28"/>
      <c r="N50" s="28"/>
      <c r="O50" s="28">
        <v>20000</v>
      </c>
      <c r="P50" s="28"/>
      <c r="R50" s="18">
        <v>1</v>
      </c>
    </row>
    <row r="51" spans="1:18" ht="30" customHeight="1">
      <c r="A51" s="29" t="s">
        <v>2386</v>
      </c>
      <c r="B51" s="29" t="s">
        <v>2373</v>
      </c>
      <c r="C51" s="29" t="s">
        <v>2387</v>
      </c>
      <c r="D51" s="29" t="s">
        <v>321</v>
      </c>
      <c r="E51" s="28"/>
      <c r="F51" s="28"/>
      <c r="G51" s="28"/>
      <c r="H51" s="28"/>
      <c r="I51" s="28">
        <v>20000</v>
      </c>
      <c r="J51" s="28"/>
      <c r="K51" s="28"/>
      <c r="L51" s="28"/>
      <c r="M51" s="28"/>
      <c r="N51" s="28"/>
      <c r="O51" s="28">
        <v>20000</v>
      </c>
      <c r="P51" s="28"/>
      <c r="R51" s="18">
        <v>1</v>
      </c>
    </row>
    <row r="52" spans="1:18" ht="30" customHeight="1">
      <c r="A52" s="29" t="s">
        <v>2384</v>
      </c>
      <c r="B52" s="29" t="s">
        <v>2373</v>
      </c>
      <c r="C52" s="29" t="s">
        <v>2385</v>
      </c>
      <c r="D52" s="29" t="s">
        <v>321</v>
      </c>
      <c r="E52" s="28"/>
      <c r="F52" s="28"/>
      <c r="G52" s="28"/>
      <c r="H52" s="28"/>
      <c r="I52" s="28">
        <v>20000</v>
      </c>
      <c r="J52" s="28"/>
      <c r="K52" s="28"/>
      <c r="L52" s="28"/>
      <c r="M52" s="28"/>
      <c r="N52" s="28"/>
      <c r="O52" s="28">
        <v>20000</v>
      </c>
      <c r="P52" s="28"/>
      <c r="R52" s="18">
        <v>1</v>
      </c>
    </row>
    <row r="53" spans="1:18" ht="30" customHeight="1">
      <c r="A53" s="29" t="s">
        <v>2382</v>
      </c>
      <c r="B53" s="29" t="s">
        <v>2373</v>
      </c>
      <c r="C53" s="29" t="s">
        <v>2383</v>
      </c>
      <c r="D53" s="29" t="s">
        <v>321</v>
      </c>
      <c r="E53" s="28"/>
      <c r="F53" s="28"/>
      <c r="G53" s="28"/>
      <c r="H53" s="28"/>
      <c r="I53" s="28">
        <v>20000</v>
      </c>
      <c r="J53" s="28"/>
      <c r="K53" s="28"/>
      <c r="L53" s="28"/>
      <c r="M53" s="28"/>
      <c r="N53" s="28"/>
      <c r="O53" s="28">
        <v>20000</v>
      </c>
      <c r="P53" s="28"/>
      <c r="R53" s="18">
        <v>1</v>
      </c>
    </row>
    <row r="54" spans="1:18" ht="30" customHeight="1">
      <c r="A54" s="29" t="s">
        <v>2380</v>
      </c>
      <c r="B54" s="29" t="s">
        <v>2373</v>
      </c>
      <c r="C54" s="29" t="s">
        <v>2381</v>
      </c>
      <c r="D54" s="29" t="s">
        <v>321</v>
      </c>
      <c r="E54" s="28"/>
      <c r="F54" s="28"/>
      <c r="G54" s="28"/>
      <c r="H54" s="28"/>
      <c r="I54" s="28">
        <v>20000</v>
      </c>
      <c r="J54" s="28"/>
      <c r="K54" s="28"/>
      <c r="L54" s="28"/>
      <c r="M54" s="28"/>
      <c r="N54" s="28"/>
      <c r="O54" s="28">
        <v>20000</v>
      </c>
      <c r="P54" s="28"/>
      <c r="R54" s="18">
        <v>1</v>
      </c>
    </row>
    <row r="55" spans="1:18" ht="30" customHeight="1">
      <c r="A55" s="29" t="s">
        <v>2378</v>
      </c>
      <c r="B55" s="29" t="s">
        <v>2373</v>
      </c>
      <c r="C55" s="29" t="s">
        <v>2379</v>
      </c>
      <c r="D55" s="29" t="s">
        <v>321</v>
      </c>
      <c r="E55" s="28"/>
      <c r="F55" s="28"/>
      <c r="G55" s="28"/>
      <c r="H55" s="28"/>
      <c r="I55" s="28">
        <v>20000</v>
      </c>
      <c r="J55" s="28"/>
      <c r="K55" s="28"/>
      <c r="L55" s="28"/>
      <c r="M55" s="28"/>
      <c r="N55" s="28"/>
      <c r="O55" s="28">
        <v>20000</v>
      </c>
      <c r="P55" s="28"/>
      <c r="R55" s="18">
        <v>1</v>
      </c>
    </row>
    <row r="56" spans="1:18" ht="30" customHeight="1">
      <c r="A56" s="29" t="s">
        <v>2376</v>
      </c>
      <c r="B56" s="29" t="s">
        <v>2373</v>
      </c>
      <c r="C56" s="29" t="s">
        <v>2377</v>
      </c>
      <c r="D56" s="29" t="s">
        <v>321</v>
      </c>
      <c r="E56" s="28"/>
      <c r="F56" s="28"/>
      <c r="G56" s="28"/>
      <c r="H56" s="28"/>
      <c r="I56" s="28">
        <v>20000</v>
      </c>
      <c r="J56" s="28"/>
      <c r="K56" s="28"/>
      <c r="L56" s="28"/>
      <c r="M56" s="28"/>
      <c r="N56" s="28"/>
      <c r="O56" s="28">
        <v>20000</v>
      </c>
      <c r="P56" s="28"/>
      <c r="R56" s="18">
        <v>1</v>
      </c>
    </row>
    <row r="57" spans="1:18" ht="30" customHeight="1">
      <c r="A57" s="29" t="s">
        <v>2374</v>
      </c>
      <c r="B57" s="29" t="s">
        <v>2373</v>
      </c>
      <c r="C57" s="29" t="s">
        <v>2375</v>
      </c>
      <c r="D57" s="29" t="s">
        <v>321</v>
      </c>
      <c r="E57" s="28">
        <v>20250</v>
      </c>
      <c r="F57" s="28"/>
      <c r="G57" s="28">
        <v>20250</v>
      </c>
      <c r="H57" s="28"/>
      <c r="I57" s="28">
        <v>20250</v>
      </c>
      <c r="J57" s="28"/>
      <c r="K57" s="28">
        <v>20250</v>
      </c>
      <c r="L57" s="28"/>
      <c r="M57" s="28">
        <v>20250</v>
      </c>
      <c r="N57" s="28"/>
      <c r="O57" s="28">
        <v>20250</v>
      </c>
      <c r="P57" s="28"/>
      <c r="R57" s="18">
        <v>1</v>
      </c>
    </row>
    <row r="58" spans="1:18" ht="30" customHeight="1">
      <c r="A58" s="29" t="s">
        <v>2371</v>
      </c>
      <c r="B58" s="29" t="s">
        <v>2373</v>
      </c>
      <c r="C58" s="29" t="s">
        <v>2372</v>
      </c>
      <c r="D58" s="29" t="s">
        <v>321</v>
      </c>
      <c r="E58" s="28">
        <v>30000</v>
      </c>
      <c r="F58" s="28"/>
      <c r="G58" s="28">
        <v>30000</v>
      </c>
      <c r="H58" s="28"/>
      <c r="I58" s="28">
        <v>30000</v>
      </c>
      <c r="J58" s="28"/>
      <c r="K58" s="28">
        <v>30000</v>
      </c>
      <c r="L58" s="28"/>
      <c r="M58" s="28">
        <v>30000</v>
      </c>
      <c r="N58" s="28"/>
      <c r="O58" s="28">
        <v>30000</v>
      </c>
      <c r="P58" s="28"/>
      <c r="R58" s="18">
        <v>1</v>
      </c>
    </row>
    <row r="59" spans="1:18" ht="30" customHeight="1">
      <c r="A59" s="29" t="s">
        <v>2390</v>
      </c>
      <c r="B59" s="29" t="s">
        <v>2392</v>
      </c>
      <c r="C59" s="29" t="s">
        <v>2391</v>
      </c>
      <c r="D59" s="29" t="s">
        <v>321</v>
      </c>
      <c r="E59" s="28">
        <v>54000</v>
      </c>
      <c r="F59" s="28"/>
      <c r="G59" s="28">
        <v>54000</v>
      </c>
      <c r="H59" s="28"/>
      <c r="I59" s="28">
        <v>54000</v>
      </c>
      <c r="J59" s="28"/>
      <c r="K59" s="28">
        <v>54000</v>
      </c>
      <c r="L59" s="28"/>
      <c r="M59" s="28">
        <v>54000</v>
      </c>
      <c r="N59" s="28"/>
      <c r="O59" s="28">
        <v>54000</v>
      </c>
      <c r="P59" s="28"/>
      <c r="R59" s="18">
        <v>1</v>
      </c>
    </row>
    <row r="60" spans="1:18" ht="30" customHeight="1">
      <c r="A60" s="29" t="s">
        <v>2364</v>
      </c>
      <c r="B60" s="29" t="s">
        <v>2367</v>
      </c>
      <c r="C60" s="29" t="s">
        <v>2366</v>
      </c>
      <c r="D60" s="29" t="s">
        <v>2365</v>
      </c>
      <c r="E60" s="28">
        <v>8300</v>
      </c>
      <c r="F60" s="28"/>
      <c r="G60" s="28">
        <v>8300</v>
      </c>
      <c r="H60" s="28"/>
      <c r="I60" s="28">
        <v>8300</v>
      </c>
      <c r="J60" s="28"/>
      <c r="K60" s="28">
        <v>8300</v>
      </c>
      <c r="L60" s="28"/>
      <c r="M60" s="28">
        <v>8300</v>
      </c>
      <c r="N60" s="28"/>
      <c r="O60" s="28">
        <v>8300</v>
      </c>
      <c r="P60" s="28"/>
      <c r="R60" s="18">
        <v>1</v>
      </c>
    </row>
    <row r="61" spans="1:18" ht="30" customHeight="1">
      <c r="A61" s="29" t="s">
        <v>2360</v>
      </c>
      <c r="B61" s="29" t="s">
        <v>2363</v>
      </c>
      <c r="C61" s="29" t="s">
        <v>2362</v>
      </c>
      <c r="D61" s="29" t="s">
        <v>82</v>
      </c>
      <c r="E61" s="28">
        <v>357040</v>
      </c>
      <c r="F61" s="28"/>
      <c r="G61" s="28">
        <v>357040</v>
      </c>
      <c r="H61" s="28"/>
      <c r="I61" s="28">
        <v>357040</v>
      </c>
      <c r="J61" s="28"/>
      <c r="K61" s="28">
        <v>357040</v>
      </c>
      <c r="L61" s="28"/>
      <c r="M61" s="28">
        <v>357040</v>
      </c>
      <c r="N61" s="28"/>
      <c r="O61" s="28">
        <v>357040</v>
      </c>
      <c r="P61" s="28"/>
      <c r="R61" s="18">
        <v>1</v>
      </c>
    </row>
    <row r="62" spans="1:18" ht="30" customHeigh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1:18" ht="30" customHeigh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1:18" ht="30" customHeigh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1:16" ht="30" customHeigh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1:16" ht="30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1:16" ht="30" customHeigh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1:16" ht="30" customHeigh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1:16" ht="30" customHeigh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1:16" ht="30" customHeigh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1:16" ht="30" customHeigh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1:16" ht="30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  <row r="73" spans="1:16" ht="30" customHeigh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</row>
    <row r="74" spans="1:16" ht="30" customHeigh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</row>
    <row r="75" spans="1:16" ht="30" customHeigh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</row>
    <row r="76" spans="1:16" ht="30" customHeigh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</row>
    <row r="77" spans="1:16" ht="30" customHeigh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</row>
    <row r="78" spans="1:16" ht="30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</row>
    <row r="79" spans="1:16" ht="30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</row>
    <row r="80" spans="1:16" hidden="1">
      <c r="A80" s="18" t="s">
        <v>2437</v>
      </c>
    </row>
    <row r="81" spans="1:9" ht="17.25">
      <c r="A81" s="19" t="s">
        <v>2436</v>
      </c>
      <c r="B81" s="19"/>
      <c r="C81" s="19"/>
      <c r="D81" s="19"/>
      <c r="E81" s="19"/>
      <c r="F81" s="19"/>
      <c r="G81" s="19"/>
      <c r="H81" s="19"/>
      <c r="I81" s="19"/>
    </row>
  </sheetData>
  <mergeCells count="13">
    <mergeCell ref="M3:N3"/>
    <mergeCell ref="O3:O4"/>
    <mergeCell ref="P3:P4"/>
    <mergeCell ref="A1:P1"/>
    <mergeCell ref="A2:P2"/>
    <mergeCell ref="A3:A4"/>
    <mergeCell ref="B3:B4"/>
    <mergeCell ref="C3:C4"/>
    <mergeCell ref="D3:D4"/>
    <mergeCell ref="E3:F3"/>
    <mergeCell ref="G3:H3"/>
    <mergeCell ref="I3:J3"/>
    <mergeCell ref="K3:L3"/>
  </mergeCells>
  <phoneticPr fontId="1" type="noConversion"/>
  <printOptions verticalCentered="1"/>
  <pageMargins left="0.78740157480314965" right="0" top="0.39370078740157483" bottom="0.39370078740157483" header="0.31496062992125984" footer="0.31496062992125984"/>
  <pageSetup paperSize="9" scale="60" orientation="landscape" r:id="rId1"/>
  <headerFooter>
    <oddFooter>&amp;C&amp;P&amp;R기계설비 단가대비표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3:Y37"/>
  <sheetViews>
    <sheetView topLeftCell="D1" workbookViewId="0">
      <selection activeCell="H15" sqref="H15"/>
    </sheetView>
  </sheetViews>
  <sheetFormatPr defaultRowHeight="22.5" customHeight="1"/>
  <cols>
    <col min="1" max="1" width="21.125" style="219" hidden="1" customWidth="1"/>
    <col min="2" max="2" width="21.5" style="219" hidden="1" customWidth="1"/>
    <col min="3" max="3" width="27" style="219" hidden="1" customWidth="1"/>
    <col min="4" max="4" width="26.875" style="219" customWidth="1"/>
    <col min="5" max="5" width="26.625" style="219" customWidth="1"/>
    <col min="6" max="6" width="4.875" style="230" customWidth="1"/>
    <col min="7" max="7" width="4.875" style="231" hidden="1" customWidth="1"/>
    <col min="8" max="25" width="8.75" style="219" customWidth="1"/>
    <col min="26" max="256" width="9" style="219"/>
    <col min="257" max="259" width="0" style="219" hidden="1" customWidth="1"/>
    <col min="260" max="260" width="26.875" style="219" customWidth="1"/>
    <col min="261" max="261" width="26.625" style="219" customWidth="1"/>
    <col min="262" max="262" width="4.875" style="219" customWidth="1"/>
    <col min="263" max="263" width="0" style="219" hidden="1" customWidth="1"/>
    <col min="264" max="281" width="8.75" style="219" customWidth="1"/>
    <col min="282" max="512" width="9" style="219"/>
    <col min="513" max="515" width="0" style="219" hidden="1" customWidth="1"/>
    <col min="516" max="516" width="26.875" style="219" customWidth="1"/>
    <col min="517" max="517" width="26.625" style="219" customWidth="1"/>
    <col min="518" max="518" width="4.875" style="219" customWidth="1"/>
    <col min="519" max="519" width="0" style="219" hidden="1" customWidth="1"/>
    <col min="520" max="537" width="8.75" style="219" customWidth="1"/>
    <col min="538" max="768" width="9" style="219"/>
    <col min="769" max="771" width="0" style="219" hidden="1" customWidth="1"/>
    <col min="772" max="772" width="26.875" style="219" customWidth="1"/>
    <col min="773" max="773" width="26.625" style="219" customWidth="1"/>
    <col min="774" max="774" width="4.875" style="219" customWidth="1"/>
    <col min="775" max="775" width="0" style="219" hidden="1" customWidth="1"/>
    <col min="776" max="793" width="8.75" style="219" customWidth="1"/>
    <col min="794" max="1024" width="9" style="219"/>
    <col min="1025" max="1027" width="0" style="219" hidden="1" customWidth="1"/>
    <col min="1028" max="1028" width="26.875" style="219" customWidth="1"/>
    <col min="1029" max="1029" width="26.625" style="219" customWidth="1"/>
    <col min="1030" max="1030" width="4.875" style="219" customWidth="1"/>
    <col min="1031" max="1031" width="0" style="219" hidden="1" customWidth="1"/>
    <col min="1032" max="1049" width="8.75" style="219" customWidth="1"/>
    <col min="1050" max="1280" width="9" style="219"/>
    <col min="1281" max="1283" width="0" style="219" hidden="1" customWidth="1"/>
    <col min="1284" max="1284" width="26.875" style="219" customWidth="1"/>
    <col min="1285" max="1285" width="26.625" style="219" customWidth="1"/>
    <col min="1286" max="1286" width="4.875" style="219" customWidth="1"/>
    <col min="1287" max="1287" width="0" style="219" hidden="1" customWidth="1"/>
    <col min="1288" max="1305" width="8.75" style="219" customWidth="1"/>
    <col min="1306" max="1536" width="9" style="219"/>
    <col min="1537" max="1539" width="0" style="219" hidden="1" customWidth="1"/>
    <col min="1540" max="1540" width="26.875" style="219" customWidth="1"/>
    <col min="1541" max="1541" width="26.625" style="219" customWidth="1"/>
    <col min="1542" max="1542" width="4.875" style="219" customWidth="1"/>
    <col min="1543" max="1543" width="0" style="219" hidden="1" customWidth="1"/>
    <col min="1544" max="1561" width="8.75" style="219" customWidth="1"/>
    <col min="1562" max="1792" width="9" style="219"/>
    <col min="1793" max="1795" width="0" style="219" hidden="1" customWidth="1"/>
    <col min="1796" max="1796" width="26.875" style="219" customWidth="1"/>
    <col min="1797" max="1797" width="26.625" style="219" customWidth="1"/>
    <col min="1798" max="1798" width="4.875" style="219" customWidth="1"/>
    <col min="1799" max="1799" width="0" style="219" hidden="1" customWidth="1"/>
    <col min="1800" max="1817" width="8.75" style="219" customWidth="1"/>
    <col min="1818" max="2048" width="9" style="219"/>
    <col min="2049" max="2051" width="0" style="219" hidden="1" customWidth="1"/>
    <col min="2052" max="2052" width="26.875" style="219" customWidth="1"/>
    <col min="2053" max="2053" width="26.625" style="219" customWidth="1"/>
    <col min="2054" max="2054" width="4.875" style="219" customWidth="1"/>
    <col min="2055" max="2055" width="0" style="219" hidden="1" customWidth="1"/>
    <col min="2056" max="2073" width="8.75" style="219" customWidth="1"/>
    <col min="2074" max="2304" width="9" style="219"/>
    <col min="2305" max="2307" width="0" style="219" hidden="1" customWidth="1"/>
    <col min="2308" max="2308" width="26.875" style="219" customWidth="1"/>
    <col min="2309" max="2309" width="26.625" style="219" customWidth="1"/>
    <col min="2310" max="2310" width="4.875" style="219" customWidth="1"/>
    <col min="2311" max="2311" width="0" style="219" hidden="1" customWidth="1"/>
    <col min="2312" max="2329" width="8.75" style="219" customWidth="1"/>
    <col min="2330" max="2560" width="9" style="219"/>
    <col min="2561" max="2563" width="0" style="219" hidden="1" customWidth="1"/>
    <col min="2564" max="2564" width="26.875" style="219" customWidth="1"/>
    <col min="2565" max="2565" width="26.625" style="219" customWidth="1"/>
    <col min="2566" max="2566" width="4.875" style="219" customWidth="1"/>
    <col min="2567" max="2567" width="0" style="219" hidden="1" customWidth="1"/>
    <col min="2568" max="2585" width="8.75" style="219" customWidth="1"/>
    <col min="2586" max="2816" width="9" style="219"/>
    <col min="2817" max="2819" width="0" style="219" hidden="1" customWidth="1"/>
    <col min="2820" max="2820" width="26.875" style="219" customWidth="1"/>
    <col min="2821" max="2821" width="26.625" style="219" customWidth="1"/>
    <col min="2822" max="2822" width="4.875" style="219" customWidth="1"/>
    <col min="2823" max="2823" width="0" style="219" hidden="1" customWidth="1"/>
    <col min="2824" max="2841" width="8.75" style="219" customWidth="1"/>
    <col min="2842" max="3072" width="9" style="219"/>
    <col min="3073" max="3075" width="0" style="219" hidden="1" customWidth="1"/>
    <col min="3076" max="3076" width="26.875" style="219" customWidth="1"/>
    <col min="3077" max="3077" width="26.625" style="219" customWidth="1"/>
    <col min="3078" max="3078" width="4.875" style="219" customWidth="1"/>
    <col min="3079" max="3079" width="0" style="219" hidden="1" customWidth="1"/>
    <col min="3080" max="3097" width="8.75" style="219" customWidth="1"/>
    <col min="3098" max="3328" width="9" style="219"/>
    <col min="3329" max="3331" width="0" style="219" hidden="1" customWidth="1"/>
    <col min="3332" max="3332" width="26.875" style="219" customWidth="1"/>
    <col min="3333" max="3333" width="26.625" style="219" customWidth="1"/>
    <col min="3334" max="3334" width="4.875" style="219" customWidth="1"/>
    <col min="3335" max="3335" width="0" style="219" hidden="1" customWidth="1"/>
    <col min="3336" max="3353" width="8.75" style="219" customWidth="1"/>
    <col min="3354" max="3584" width="9" style="219"/>
    <col min="3585" max="3587" width="0" style="219" hidden="1" customWidth="1"/>
    <col min="3588" max="3588" width="26.875" style="219" customWidth="1"/>
    <col min="3589" max="3589" width="26.625" style="219" customWidth="1"/>
    <col min="3590" max="3590" width="4.875" style="219" customWidth="1"/>
    <col min="3591" max="3591" width="0" style="219" hidden="1" customWidth="1"/>
    <col min="3592" max="3609" width="8.75" style="219" customWidth="1"/>
    <col min="3610" max="3840" width="9" style="219"/>
    <col min="3841" max="3843" width="0" style="219" hidden="1" customWidth="1"/>
    <col min="3844" max="3844" width="26.875" style="219" customWidth="1"/>
    <col min="3845" max="3845" width="26.625" style="219" customWidth="1"/>
    <col min="3846" max="3846" width="4.875" style="219" customWidth="1"/>
    <col min="3847" max="3847" width="0" style="219" hidden="1" customWidth="1"/>
    <col min="3848" max="3865" width="8.75" style="219" customWidth="1"/>
    <col min="3866" max="4096" width="9" style="219"/>
    <col min="4097" max="4099" width="0" style="219" hidden="1" customWidth="1"/>
    <col min="4100" max="4100" width="26.875" style="219" customWidth="1"/>
    <col min="4101" max="4101" width="26.625" style="219" customWidth="1"/>
    <col min="4102" max="4102" width="4.875" style="219" customWidth="1"/>
    <col min="4103" max="4103" width="0" style="219" hidden="1" customWidth="1"/>
    <col min="4104" max="4121" width="8.75" style="219" customWidth="1"/>
    <col min="4122" max="4352" width="9" style="219"/>
    <col min="4353" max="4355" width="0" style="219" hidden="1" customWidth="1"/>
    <col min="4356" max="4356" width="26.875" style="219" customWidth="1"/>
    <col min="4357" max="4357" width="26.625" style="219" customWidth="1"/>
    <col min="4358" max="4358" width="4.875" style="219" customWidth="1"/>
    <col min="4359" max="4359" width="0" style="219" hidden="1" customWidth="1"/>
    <col min="4360" max="4377" width="8.75" style="219" customWidth="1"/>
    <col min="4378" max="4608" width="9" style="219"/>
    <col min="4609" max="4611" width="0" style="219" hidden="1" customWidth="1"/>
    <col min="4612" max="4612" width="26.875" style="219" customWidth="1"/>
    <col min="4613" max="4613" width="26.625" style="219" customWidth="1"/>
    <col min="4614" max="4614" width="4.875" style="219" customWidth="1"/>
    <col min="4615" max="4615" width="0" style="219" hidden="1" customWidth="1"/>
    <col min="4616" max="4633" width="8.75" style="219" customWidth="1"/>
    <col min="4634" max="4864" width="9" style="219"/>
    <col min="4865" max="4867" width="0" style="219" hidden="1" customWidth="1"/>
    <col min="4868" max="4868" width="26.875" style="219" customWidth="1"/>
    <col min="4869" max="4869" width="26.625" style="219" customWidth="1"/>
    <col min="4870" max="4870" width="4.875" style="219" customWidth="1"/>
    <col min="4871" max="4871" width="0" style="219" hidden="1" customWidth="1"/>
    <col min="4872" max="4889" width="8.75" style="219" customWidth="1"/>
    <col min="4890" max="5120" width="9" style="219"/>
    <col min="5121" max="5123" width="0" style="219" hidden="1" customWidth="1"/>
    <col min="5124" max="5124" width="26.875" style="219" customWidth="1"/>
    <col min="5125" max="5125" width="26.625" style="219" customWidth="1"/>
    <col min="5126" max="5126" width="4.875" style="219" customWidth="1"/>
    <col min="5127" max="5127" width="0" style="219" hidden="1" customWidth="1"/>
    <col min="5128" max="5145" width="8.75" style="219" customWidth="1"/>
    <col min="5146" max="5376" width="9" style="219"/>
    <col min="5377" max="5379" width="0" style="219" hidden="1" customWidth="1"/>
    <col min="5380" max="5380" width="26.875" style="219" customWidth="1"/>
    <col min="5381" max="5381" width="26.625" style="219" customWidth="1"/>
    <col min="5382" max="5382" width="4.875" style="219" customWidth="1"/>
    <col min="5383" max="5383" width="0" style="219" hidden="1" customWidth="1"/>
    <col min="5384" max="5401" width="8.75" style="219" customWidth="1"/>
    <col min="5402" max="5632" width="9" style="219"/>
    <col min="5633" max="5635" width="0" style="219" hidden="1" customWidth="1"/>
    <col min="5636" max="5636" width="26.875" style="219" customWidth="1"/>
    <col min="5637" max="5637" width="26.625" style="219" customWidth="1"/>
    <col min="5638" max="5638" width="4.875" style="219" customWidth="1"/>
    <col min="5639" max="5639" width="0" style="219" hidden="1" customWidth="1"/>
    <col min="5640" max="5657" width="8.75" style="219" customWidth="1"/>
    <col min="5658" max="5888" width="9" style="219"/>
    <col min="5889" max="5891" width="0" style="219" hidden="1" customWidth="1"/>
    <col min="5892" max="5892" width="26.875" style="219" customWidth="1"/>
    <col min="5893" max="5893" width="26.625" style="219" customWidth="1"/>
    <col min="5894" max="5894" width="4.875" style="219" customWidth="1"/>
    <col min="5895" max="5895" width="0" style="219" hidden="1" customWidth="1"/>
    <col min="5896" max="5913" width="8.75" style="219" customWidth="1"/>
    <col min="5914" max="6144" width="9" style="219"/>
    <col min="6145" max="6147" width="0" style="219" hidden="1" customWidth="1"/>
    <col min="6148" max="6148" width="26.875" style="219" customWidth="1"/>
    <col min="6149" max="6149" width="26.625" style="219" customWidth="1"/>
    <col min="6150" max="6150" width="4.875" style="219" customWidth="1"/>
    <col min="6151" max="6151" width="0" style="219" hidden="1" customWidth="1"/>
    <col min="6152" max="6169" width="8.75" style="219" customWidth="1"/>
    <col min="6170" max="6400" width="9" style="219"/>
    <col min="6401" max="6403" width="0" style="219" hidden="1" customWidth="1"/>
    <col min="6404" max="6404" width="26.875" style="219" customWidth="1"/>
    <col min="6405" max="6405" width="26.625" style="219" customWidth="1"/>
    <col min="6406" max="6406" width="4.875" style="219" customWidth="1"/>
    <col min="6407" max="6407" width="0" style="219" hidden="1" customWidth="1"/>
    <col min="6408" max="6425" width="8.75" style="219" customWidth="1"/>
    <col min="6426" max="6656" width="9" style="219"/>
    <col min="6657" max="6659" width="0" style="219" hidden="1" customWidth="1"/>
    <col min="6660" max="6660" width="26.875" style="219" customWidth="1"/>
    <col min="6661" max="6661" width="26.625" style="219" customWidth="1"/>
    <col min="6662" max="6662" width="4.875" style="219" customWidth="1"/>
    <col min="6663" max="6663" width="0" style="219" hidden="1" customWidth="1"/>
    <col min="6664" max="6681" width="8.75" style="219" customWidth="1"/>
    <col min="6682" max="6912" width="9" style="219"/>
    <col min="6913" max="6915" width="0" style="219" hidden="1" customWidth="1"/>
    <col min="6916" max="6916" width="26.875" style="219" customWidth="1"/>
    <col min="6917" max="6917" width="26.625" style="219" customWidth="1"/>
    <col min="6918" max="6918" width="4.875" style="219" customWidth="1"/>
    <col min="6919" max="6919" width="0" style="219" hidden="1" customWidth="1"/>
    <col min="6920" max="6937" width="8.75" style="219" customWidth="1"/>
    <col min="6938" max="7168" width="9" style="219"/>
    <col min="7169" max="7171" width="0" style="219" hidden="1" customWidth="1"/>
    <col min="7172" max="7172" width="26.875" style="219" customWidth="1"/>
    <col min="7173" max="7173" width="26.625" style="219" customWidth="1"/>
    <col min="7174" max="7174" width="4.875" style="219" customWidth="1"/>
    <col min="7175" max="7175" width="0" style="219" hidden="1" customWidth="1"/>
    <col min="7176" max="7193" width="8.75" style="219" customWidth="1"/>
    <col min="7194" max="7424" width="9" style="219"/>
    <col min="7425" max="7427" width="0" style="219" hidden="1" customWidth="1"/>
    <col min="7428" max="7428" width="26.875" style="219" customWidth="1"/>
    <col min="7429" max="7429" width="26.625" style="219" customWidth="1"/>
    <col min="7430" max="7430" width="4.875" style="219" customWidth="1"/>
    <col min="7431" max="7431" width="0" style="219" hidden="1" customWidth="1"/>
    <col min="7432" max="7449" width="8.75" style="219" customWidth="1"/>
    <col min="7450" max="7680" width="9" style="219"/>
    <col min="7681" max="7683" width="0" style="219" hidden="1" customWidth="1"/>
    <col min="7684" max="7684" width="26.875" style="219" customWidth="1"/>
    <col min="7685" max="7685" width="26.625" style="219" customWidth="1"/>
    <col min="7686" max="7686" width="4.875" style="219" customWidth="1"/>
    <col min="7687" max="7687" width="0" style="219" hidden="1" customWidth="1"/>
    <col min="7688" max="7705" width="8.75" style="219" customWidth="1"/>
    <col min="7706" max="7936" width="9" style="219"/>
    <col min="7937" max="7939" width="0" style="219" hidden="1" customWidth="1"/>
    <col min="7940" max="7940" width="26.875" style="219" customWidth="1"/>
    <col min="7941" max="7941" width="26.625" style="219" customWidth="1"/>
    <col min="7942" max="7942" width="4.875" style="219" customWidth="1"/>
    <col min="7943" max="7943" width="0" style="219" hidden="1" customWidth="1"/>
    <col min="7944" max="7961" width="8.75" style="219" customWidth="1"/>
    <col min="7962" max="8192" width="9" style="219"/>
    <col min="8193" max="8195" width="0" style="219" hidden="1" customWidth="1"/>
    <col min="8196" max="8196" width="26.875" style="219" customWidth="1"/>
    <col min="8197" max="8197" width="26.625" style="219" customWidth="1"/>
    <col min="8198" max="8198" width="4.875" style="219" customWidth="1"/>
    <col min="8199" max="8199" width="0" style="219" hidden="1" customWidth="1"/>
    <col min="8200" max="8217" width="8.75" style="219" customWidth="1"/>
    <col min="8218" max="8448" width="9" style="219"/>
    <col min="8449" max="8451" width="0" style="219" hidden="1" customWidth="1"/>
    <col min="8452" max="8452" width="26.875" style="219" customWidth="1"/>
    <col min="8453" max="8453" width="26.625" style="219" customWidth="1"/>
    <col min="8454" max="8454" width="4.875" style="219" customWidth="1"/>
    <col min="8455" max="8455" width="0" style="219" hidden="1" customWidth="1"/>
    <col min="8456" max="8473" width="8.75" style="219" customWidth="1"/>
    <col min="8474" max="8704" width="9" style="219"/>
    <col min="8705" max="8707" width="0" style="219" hidden="1" customWidth="1"/>
    <col min="8708" max="8708" width="26.875" style="219" customWidth="1"/>
    <col min="8709" max="8709" width="26.625" style="219" customWidth="1"/>
    <col min="8710" max="8710" width="4.875" style="219" customWidth="1"/>
    <col min="8711" max="8711" width="0" style="219" hidden="1" customWidth="1"/>
    <col min="8712" max="8729" width="8.75" style="219" customWidth="1"/>
    <col min="8730" max="8960" width="9" style="219"/>
    <col min="8961" max="8963" width="0" style="219" hidden="1" customWidth="1"/>
    <col min="8964" max="8964" width="26.875" style="219" customWidth="1"/>
    <col min="8965" max="8965" width="26.625" style="219" customWidth="1"/>
    <col min="8966" max="8966" width="4.875" style="219" customWidth="1"/>
    <col min="8967" max="8967" width="0" style="219" hidden="1" customWidth="1"/>
    <col min="8968" max="8985" width="8.75" style="219" customWidth="1"/>
    <col min="8986" max="9216" width="9" style="219"/>
    <col min="9217" max="9219" width="0" style="219" hidden="1" customWidth="1"/>
    <col min="9220" max="9220" width="26.875" style="219" customWidth="1"/>
    <col min="9221" max="9221" width="26.625" style="219" customWidth="1"/>
    <col min="9222" max="9222" width="4.875" style="219" customWidth="1"/>
    <col min="9223" max="9223" width="0" style="219" hidden="1" customWidth="1"/>
    <col min="9224" max="9241" width="8.75" style="219" customWidth="1"/>
    <col min="9242" max="9472" width="9" style="219"/>
    <col min="9473" max="9475" width="0" style="219" hidden="1" customWidth="1"/>
    <col min="9476" max="9476" width="26.875" style="219" customWidth="1"/>
    <col min="9477" max="9477" width="26.625" style="219" customWidth="1"/>
    <col min="9478" max="9478" width="4.875" style="219" customWidth="1"/>
    <col min="9479" max="9479" width="0" style="219" hidden="1" customWidth="1"/>
    <col min="9480" max="9497" width="8.75" style="219" customWidth="1"/>
    <col min="9498" max="9728" width="9" style="219"/>
    <col min="9729" max="9731" width="0" style="219" hidden="1" customWidth="1"/>
    <col min="9732" max="9732" width="26.875" style="219" customWidth="1"/>
    <col min="9733" max="9733" width="26.625" style="219" customWidth="1"/>
    <col min="9734" max="9734" width="4.875" style="219" customWidth="1"/>
    <col min="9735" max="9735" width="0" style="219" hidden="1" customWidth="1"/>
    <col min="9736" max="9753" width="8.75" style="219" customWidth="1"/>
    <col min="9754" max="9984" width="9" style="219"/>
    <col min="9985" max="9987" width="0" style="219" hidden="1" customWidth="1"/>
    <col min="9988" max="9988" width="26.875" style="219" customWidth="1"/>
    <col min="9989" max="9989" width="26.625" style="219" customWidth="1"/>
    <col min="9990" max="9990" width="4.875" style="219" customWidth="1"/>
    <col min="9991" max="9991" width="0" style="219" hidden="1" customWidth="1"/>
    <col min="9992" max="10009" width="8.75" style="219" customWidth="1"/>
    <col min="10010" max="10240" width="9" style="219"/>
    <col min="10241" max="10243" width="0" style="219" hidden="1" customWidth="1"/>
    <col min="10244" max="10244" width="26.875" style="219" customWidth="1"/>
    <col min="10245" max="10245" width="26.625" style="219" customWidth="1"/>
    <col min="10246" max="10246" width="4.875" style="219" customWidth="1"/>
    <col min="10247" max="10247" width="0" style="219" hidden="1" customWidth="1"/>
    <col min="10248" max="10265" width="8.75" style="219" customWidth="1"/>
    <col min="10266" max="10496" width="9" style="219"/>
    <col min="10497" max="10499" width="0" style="219" hidden="1" customWidth="1"/>
    <col min="10500" max="10500" width="26.875" style="219" customWidth="1"/>
    <col min="10501" max="10501" width="26.625" style="219" customWidth="1"/>
    <col min="10502" max="10502" width="4.875" style="219" customWidth="1"/>
    <col min="10503" max="10503" width="0" style="219" hidden="1" customWidth="1"/>
    <col min="10504" max="10521" width="8.75" style="219" customWidth="1"/>
    <col min="10522" max="10752" width="9" style="219"/>
    <col min="10753" max="10755" width="0" style="219" hidden="1" customWidth="1"/>
    <col min="10756" max="10756" width="26.875" style="219" customWidth="1"/>
    <col min="10757" max="10757" width="26.625" style="219" customWidth="1"/>
    <col min="10758" max="10758" width="4.875" style="219" customWidth="1"/>
    <col min="10759" max="10759" width="0" style="219" hidden="1" customWidth="1"/>
    <col min="10760" max="10777" width="8.75" style="219" customWidth="1"/>
    <col min="10778" max="11008" width="9" style="219"/>
    <col min="11009" max="11011" width="0" style="219" hidden="1" customWidth="1"/>
    <col min="11012" max="11012" width="26.875" style="219" customWidth="1"/>
    <col min="11013" max="11013" width="26.625" style="219" customWidth="1"/>
    <col min="11014" max="11014" width="4.875" style="219" customWidth="1"/>
    <col min="11015" max="11015" width="0" style="219" hidden="1" customWidth="1"/>
    <col min="11016" max="11033" width="8.75" style="219" customWidth="1"/>
    <col min="11034" max="11264" width="9" style="219"/>
    <col min="11265" max="11267" width="0" style="219" hidden="1" customWidth="1"/>
    <col min="11268" max="11268" width="26.875" style="219" customWidth="1"/>
    <col min="11269" max="11269" width="26.625" style="219" customWidth="1"/>
    <col min="11270" max="11270" width="4.875" style="219" customWidth="1"/>
    <col min="11271" max="11271" width="0" style="219" hidden="1" customWidth="1"/>
    <col min="11272" max="11289" width="8.75" style="219" customWidth="1"/>
    <col min="11290" max="11520" width="9" style="219"/>
    <col min="11521" max="11523" width="0" style="219" hidden="1" customWidth="1"/>
    <col min="11524" max="11524" width="26.875" style="219" customWidth="1"/>
    <col min="11525" max="11525" width="26.625" style="219" customWidth="1"/>
    <col min="11526" max="11526" width="4.875" style="219" customWidth="1"/>
    <col min="11527" max="11527" width="0" style="219" hidden="1" customWidth="1"/>
    <col min="11528" max="11545" width="8.75" style="219" customWidth="1"/>
    <col min="11546" max="11776" width="9" style="219"/>
    <col min="11777" max="11779" width="0" style="219" hidden="1" customWidth="1"/>
    <col min="11780" max="11780" width="26.875" style="219" customWidth="1"/>
    <col min="11781" max="11781" width="26.625" style="219" customWidth="1"/>
    <col min="11782" max="11782" width="4.875" style="219" customWidth="1"/>
    <col min="11783" max="11783" width="0" style="219" hidden="1" customWidth="1"/>
    <col min="11784" max="11801" width="8.75" style="219" customWidth="1"/>
    <col min="11802" max="12032" width="9" style="219"/>
    <col min="12033" max="12035" width="0" style="219" hidden="1" customWidth="1"/>
    <col min="12036" max="12036" width="26.875" style="219" customWidth="1"/>
    <col min="12037" max="12037" width="26.625" style="219" customWidth="1"/>
    <col min="12038" max="12038" width="4.875" style="219" customWidth="1"/>
    <col min="12039" max="12039" width="0" style="219" hidden="1" customWidth="1"/>
    <col min="12040" max="12057" width="8.75" style="219" customWidth="1"/>
    <col min="12058" max="12288" width="9" style="219"/>
    <col min="12289" max="12291" width="0" style="219" hidden="1" customWidth="1"/>
    <col min="12292" max="12292" width="26.875" style="219" customWidth="1"/>
    <col min="12293" max="12293" width="26.625" style="219" customWidth="1"/>
    <col min="12294" max="12294" width="4.875" style="219" customWidth="1"/>
    <col min="12295" max="12295" width="0" style="219" hidden="1" customWidth="1"/>
    <col min="12296" max="12313" width="8.75" style="219" customWidth="1"/>
    <col min="12314" max="12544" width="9" style="219"/>
    <col min="12545" max="12547" width="0" style="219" hidden="1" customWidth="1"/>
    <col min="12548" max="12548" width="26.875" style="219" customWidth="1"/>
    <col min="12549" max="12549" width="26.625" style="219" customWidth="1"/>
    <col min="12550" max="12550" width="4.875" style="219" customWidth="1"/>
    <col min="12551" max="12551" width="0" style="219" hidden="1" customWidth="1"/>
    <col min="12552" max="12569" width="8.75" style="219" customWidth="1"/>
    <col min="12570" max="12800" width="9" style="219"/>
    <col min="12801" max="12803" width="0" style="219" hidden="1" customWidth="1"/>
    <col min="12804" max="12804" width="26.875" style="219" customWidth="1"/>
    <col min="12805" max="12805" width="26.625" style="219" customWidth="1"/>
    <col min="12806" max="12806" width="4.875" style="219" customWidth="1"/>
    <col min="12807" max="12807" width="0" style="219" hidden="1" customWidth="1"/>
    <col min="12808" max="12825" width="8.75" style="219" customWidth="1"/>
    <col min="12826" max="13056" width="9" style="219"/>
    <col min="13057" max="13059" width="0" style="219" hidden="1" customWidth="1"/>
    <col min="13060" max="13060" width="26.875" style="219" customWidth="1"/>
    <col min="13061" max="13061" width="26.625" style="219" customWidth="1"/>
    <col min="13062" max="13062" width="4.875" style="219" customWidth="1"/>
    <col min="13063" max="13063" width="0" style="219" hidden="1" customWidth="1"/>
    <col min="13064" max="13081" width="8.75" style="219" customWidth="1"/>
    <col min="13082" max="13312" width="9" style="219"/>
    <col min="13313" max="13315" width="0" style="219" hidden="1" customWidth="1"/>
    <col min="13316" max="13316" width="26.875" style="219" customWidth="1"/>
    <col min="13317" max="13317" width="26.625" style="219" customWidth="1"/>
    <col min="13318" max="13318" width="4.875" style="219" customWidth="1"/>
    <col min="13319" max="13319" width="0" style="219" hidden="1" customWidth="1"/>
    <col min="13320" max="13337" width="8.75" style="219" customWidth="1"/>
    <col min="13338" max="13568" width="9" style="219"/>
    <col min="13569" max="13571" width="0" style="219" hidden="1" customWidth="1"/>
    <col min="13572" max="13572" width="26.875" style="219" customWidth="1"/>
    <col min="13573" max="13573" width="26.625" style="219" customWidth="1"/>
    <col min="13574" max="13574" width="4.875" style="219" customWidth="1"/>
    <col min="13575" max="13575" width="0" style="219" hidden="1" customWidth="1"/>
    <col min="13576" max="13593" width="8.75" style="219" customWidth="1"/>
    <col min="13594" max="13824" width="9" style="219"/>
    <col min="13825" max="13827" width="0" style="219" hidden="1" customWidth="1"/>
    <col min="13828" max="13828" width="26.875" style="219" customWidth="1"/>
    <col min="13829" max="13829" width="26.625" style="219" customWidth="1"/>
    <col min="13830" max="13830" width="4.875" style="219" customWidth="1"/>
    <col min="13831" max="13831" width="0" style="219" hidden="1" customWidth="1"/>
    <col min="13832" max="13849" width="8.75" style="219" customWidth="1"/>
    <col min="13850" max="14080" width="9" style="219"/>
    <col min="14081" max="14083" width="0" style="219" hidden="1" customWidth="1"/>
    <col min="14084" max="14084" width="26.875" style="219" customWidth="1"/>
    <col min="14085" max="14085" width="26.625" style="219" customWidth="1"/>
    <col min="14086" max="14086" width="4.875" style="219" customWidth="1"/>
    <col min="14087" max="14087" width="0" style="219" hidden="1" customWidth="1"/>
    <col min="14088" max="14105" width="8.75" style="219" customWidth="1"/>
    <col min="14106" max="14336" width="9" style="219"/>
    <col min="14337" max="14339" width="0" style="219" hidden="1" customWidth="1"/>
    <col min="14340" max="14340" width="26.875" style="219" customWidth="1"/>
    <col min="14341" max="14341" width="26.625" style="219" customWidth="1"/>
    <col min="14342" max="14342" width="4.875" style="219" customWidth="1"/>
    <col min="14343" max="14343" width="0" style="219" hidden="1" customWidth="1"/>
    <col min="14344" max="14361" width="8.75" style="219" customWidth="1"/>
    <col min="14362" max="14592" width="9" style="219"/>
    <col min="14593" max="14595" width="0" style="219" hidden="1" customWidth="1"/>
    <col min="14596" max="14596" width="26.875" style="219" customWidth="1"/>
    <col min="14597" max="14597" width="26.625" style="219" customWidth="1"/>
    <col min="14598" max="14598" width="4.875" style="219" customWidth="1"/>
    <col min="14599" max="14599" width="0" style="219" hidden="1" customWidth="1"/>
    <col min="14600" max="14617" width="8.75" style="219" customWidth="1"/>
    <col min="14618" max="14848" width="9" style="219"/>
    <col min="14849" max="14851" width="0" style="219" hidden="1" customWidth="1"/>
    <col min="14852" max="14852" width="26.875" style="219" customWidth="1"/>
    <col min="14853" max="14853" width="26.625" style="219" customWidth="1"/>
    <col min="14854" max="14854" width="4.875" style="219" customWidth="1"/>
    <col min="14855" max="14855" width="0" style="219" hidden="1" customWidth="1"/>
    <col min="14856" max="14873" width="8.75" style="219" customWidth="1"/>
    <col min="14874" max="15104" width="9" style="219"/>
    <col min="15105" max="15107" width="0" style="219" hidden="1" customWidth="1"/>
    <col min="15108" max="15108" width="26.875" style="219" customWidth="1"/>
    <col min="15109" max="15109" width="26.625" style="219" customWidth="1"/>
    <col min="15110" max="15110" width="4.875" style="219" customWidth="1"/>
    <col min="15111" max="15111" width="0" style="219" hidden="1" customWidth="1"/>
    <col min="15112" max="15129" width="8.75" style="219" customWidth="1"/>
    <col min="15130" max="15360" width="9" style="219"/>
    <col min="15361" max="15363" width="0" style="219" hidden="1" customWidth="1"/>
    <col min="15364" max="15364" width="26.875" style="219" customWidth="1"/>
    <col min="15365" max="15365" width="26.625" style="219" customWidth="1"/>
    <col min="15366" max="15366" width="4.875" style="219" customWidth="1"/>
    <col min="15367" max="15367" width="0" style="219" hidden="1" customWidth="1"/>
    <col min="15368" max="15385" width="8.75" style="219" customWidth="1"/>
    <col min="15386" max="15616" width="9" style="219"/>
    <col min="15617" max="15619" width="0" style="219" hidden="1" customWidth="1"/>
    <col min="15620" max="15620" width="26.875" style="219" customWidth="1"/>
    <col min="15621" max="15621" width="26.625" style="219" customWidth="1"/>
    <col min="15622" max="15622" width="4.875" style="219" customWidth="1"/>
    <col min="15623" max="15623" width="0" style="219" hidden="1" customWidth="1"/>
    <col min="15624" max="15641" width="8.75" style="219" customWidth="1"/>
    <col min="15642" max="15872" width="9" style="219"/>
    <col min="15873" max="15875" width="0" style="219" hidden="1" customWidth="1"/>
    <col min="15876" max="15876" width="26.875" style="219" customWidth="1"/>
    <col min="15877" max="15877" width="26.625" style="219" customWidth="1"/>
    <col min="15878" max="15878" width="4.875" style="219" customWidth="1"/>
    <col min="15879" max="15879" width="0" style="219" hidden="1" customWidth="1"/>
    <col min="15880" max="15897" width="8.75" style="219" customWidth="1"/>
    <col min="15898" max="16128" width="9" style="219"/>
    <col min="16129" max="16131" width="0" style="219" hidden="1" customWidth="1"/>
    <col min="16132" max="16132" width="26.875" style="219" customWidth="1"/>
    <col min="16133" max="16133" width="26.625" style="219" customWidth="1"/>
    <col min="16134" max="16134" width="4.875" style="219" customWidth="1"/>
    <col min="16135" max="16135" width="0" style="219" hidden="1" customWidth="1"/>
    <col min="16136" max="16153" width="8.75" style="219" customWidth="1"/>
    <col min="16154" max="16384" width="9" style="219"/>
  </cols>
  <sheetData>
    <row r="3" spans="1:25" ht="22.5" customHeight="1">
      <c r="D3" s="1471" t="s">
        <v>4125</v>
      </c>
      <c r="E3" s="1472"/>
      <c r="F3" s="1472"/>
      <c r="G3" s="1472"/>
      <c r="H3" s="1472"/>
      <c r="I3" s="1472"/>
      <c r="J3" s="1472"/>
      <c r="K3" s="1472"/>
      <c r="L3" s="1472"/>
      <c r="M3" s="1472"/>
      <c r="N3" s="1472"/>
      <c r="O3" s="1472"/>
      <c r="P3" s="1472"/>
      <c r="Q3" s="1472"/>
      <c r="R3" s="1472"/>
      <c r="S3" s="1472"/>
      <c r="T3" s="1472"/>
      <c r="U3" s="1472"/>
      <c r="V3" s="1472"/>
      <c r="W3" s="1472"/>
      <c r="X3" s="1472"/>
      <c r="Y3" s="1472"/>
    </row>
    <row r="4" spans="1:25" ht="22.5" customHeight="1">
      <c r="A4" s="220" t="s">
        <v>4126</v>
      </c>
      <c r="B4" s="220" t="s">
        <v>12</v>
      </c>
      <c r="C4" s="220" t="s">
        <v>2331</v>
      </c>
      <c r="D4" s="1473" t="s">
        <v>4127</v>
      </c>
      <c r="E4" s="1473" t="s">
        <v>1908</v>
      </c>
      <c r="F4" s="1473" t="s">
        <v>3</v>
      </c>
      <c r="G4" s="221" t="s">
        <v>4128</v>
      </c>
      <c r="H4" s="222"/>
      <c r="I4" s="222"/>
      <c r="J4" s="222"/>
      <c r="K4" s="222"/>
      <c r="L4" s="222"/>
      <c r="M4" s="222" t="s">
        <v>4129</v>
      </c>
      <c r="N4" s="222" t="s">
        <v>4130</v>
      </c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</row>
    <row r="5" spans="1:25" ht="22.5" customHeight="1">
      <c r="A5" s="220"/>
      <c r="B5" s="220"/>
      <c r="C5" s="220"/>
      <c r="D5" s="1474"/>
      <c r="E5" s="1474"/>
      <c r="F5" s="1474"/>
      <c r="G5" s="223"/>
      <c r="H5" s="223" t="s">
        <v>3813</v>
      </c>
      <c r="I5" s="223" t="s">
        <v>4131</v>
      </c>
      <c r="J5" s="223" t="s">
        <v>4132</v>
      </c>
      <c r="K5" s="223" t="s">
        <v>4133</v>
      </c>
      <c r="L5" s="223" t="s">
        <v>4134</v>
      </c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</row>
    <row r="6" spans="1:25" ht="22.5" customHeight="1">
      <c r="A6" s="220"/>
      <c r="B6" s="220"/>
      <c r="C6" s="220"/>
      <c r="D6" s="1475"/>
      <c r="E6" s="1475"/>
      <c r="F6" s="1475"/>
      <c r="G6" s="224"/>
      <c r="H6" s="225"/>
      <c r="I6" s="225"/>
      <c r="J6" s="225"/>
      <c r="K6" s="225"/>
      <c r="L6" s="225"/>
      <c r="M6" s="225" t="s">
        <v>4135</v>
      </c>
      <c r="N6" s="225" t="s">
        <v>4135</v>
      </c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</row>
    <row r="7" spans="1:25" ht="22.5" customHeight="1">
      <c r="C7" s="219">
        <v>56941310010</v>
      </c>
      <c r="D7" s="226" t="s">
        <v>4136</v>
      </c>
      <c r="E7" s="226" t="s">
        <v>2435</v>
      </c>
      <c r="F7" s="227" t="s">
        <v>4137</v>
      </c>
      <c r="G7" s="228"/>
      <c r="H7" s="229">
        <v>631</v>
      </c>
      <c r="I7" s="229"/>
      <c r="J7" s="229">
        <v>631.20000000000005</v>
      </c>
      <c r="K7" s="229">
        <v>307.85000000000002</v>
      </c>
      <c r="L7" s="229">
        <v>323.39999999999998</v>
      </c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</row>
    <row r="8" spans="1:25" ht="22.5" customHeight="1">
      <c r="C8" s="219">
        <v>56941310020</v>
      </c>
      <c r="D8" s="226" t="s">
        <v>4136</v>
      </c>
      <c r="E8" s="226" t="s">
        <v>2433</v>
      </c>
      <c r="F8" s="227" t="s">
        <v>4137</v>
      </c>
      <c r="G8" s="228"/>
      <c r="H8" s="229">
        <v>104</v>
      </c>
      <c r="I8" s="229"/>
      <c r="J8" s="229">
        <v>104.8</v>
      </c>
      <c r="K8" s="229">
        <v>36.950000000000003</v>
      </c>
      <c r="L8" s="229">
        <v>67.849999999999994</v>
      </c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</row>
    <row r="9" spans="1:25" ht="22.5" customHeight="1">
      <c r="C9" s="219">
        <v>56941310030</v>
      </c>
      <c r="D9" s="226" t="s">
        <v>4136</v>
      </c>
      <c r="E9" s="226" t="s">
        <v>2430</v>
      </c>
      <c r="F9" s="227" t="s">
        <v>4137</v>
      </c>
      <c r="G9" s="228"/>
      <c r="H9" s="229">
        <v>23</v>
      </c>
      <c r="I9" s="229"/>
      <c r="J9" s="229">
        <v>23.8</v>
      </c>
      <c r="K9" s="229">
        <v>23.8</v>
      </c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</row>
    <row r="10" spans="1:25" ht="22.5" customHeight="1">
      <c r="C10" s="219">
        <v>56940790470</v>
      </c>
      <c r="D10" s="226" t="s">
        <v>2367</v>
      </c>
      <c r="E10" s="226" t="s">
        <v>2366</v>
      </c>
      <c r="F10" s="227" t="s">
        <v>2365</v>
      </c>
      <c r="G10" s="228"/>
      <c r="H10" s="229">
        <v>1555</v>
      </c>
      <c r="I10" s="229"/>
      <c r="J10" s="229">
        <v>1555.8</v>
      </c>
      <c r="K10" s="229">
        <v>210.67</v>
      </c>
      <c r="L10" s="229">
        <v>300.49</v>
      </c>
      <c r="M10" s="229">
        <v>356.85</v>
      </c>
      <c r="N10" s="229">
        <v>687.85</v>
      </c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</row>
    <row r="11" spans="1:25" ht="22.5" customHeight="1">
      <c r="C11" s="219">
        <v>41400227655</v>
      </c>
      <c r="D11" s="226" t="s">
        <v>4138</v>
      </c>
      <c r="E11" s="226" t="s">
        <v>4139</v>
      </c>
      <c r="F11" s="227" t="s">
        <v>4140</v>
      </c>
      <c r="G11" s="228"/>
      <c r="H11" s="229">
        <v>325</v>
      </c>
      <c r="I11" s="229"/>
      <c r="J11" s="229">
        <v>325.5</v>
      </c>
      <c r="K11" s="229">
        <v>135</v>
      </c>
      <c r="L11" s="229">
        <v>190.5</v>
      </c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</row>
    <row r="12" spans="1:25" ht="22.5" customHeight="1">
      <c r="C12" s="219">
        <v>41400227657</v>
      </c>
      <c r="D12" s="226" t="s">
        <v>4138</v>
      </c>
      <c r="E12" s="226" t="s">
        <v>4141</v>
      </c>
      <c r="F12" s="227" t="s">
        <v>4140</v>
      </c>
      <c r="G12" s="228"/>
      <c r="H12" s="229">
        <v>220</v>
      </c>
      <c r="I12" s="229"/>
      <c r="J12" s="229">
        <v>220.5</v>
      </c>
      <c r="K12" s="229">
        <v>100.5</v>
      </c>
      <c r="L12" s="229">
        <v>120</v>
      </c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</row>
    <row r="13" spans="1:25" ht="22.5" customHeight="1">
      <c r="C13" s="219">
        <v>41400228506</v>
      </c>
      <c r="D13" s="226" t="s">
        <v>4142</v>
      </c>
      <c r="E13" s="226" t="s">
        <v>2423</v>
      </c>
      <c r="F13" s="227" t="s">
        <v>321</v>
      </c>
      <c r="G13" s="228"/>
      <c r="H13" s="229">
        <v>217</v>
      </c>
      <c r="I13" s="229"/>
      <c r="J13" s="229">
        <v>217</v>
      </c>
      <c r="K13" s="229">
        <v>90</v>
      </c>
      <c r="L13" s="229">
        <v>127</v>
      </c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</row>
    <row r="14" spans="1:25" ht="22.5" customHeight="1">
      <c r="C14" s="219">
        <v>41400228508</v>
      </c>
      <c r="D14" s="226" t="s">
        <v>4142</v>
      </c>
      <c r="E14" s="226" t="s">
        <v>2421</v>
      </c>
      <c r="F14" s="227" t="s">
        <v>321</v>
      </c>
      <c r="G14" s="228"/>
      <c r="H14" s="229">
        <v>147</v>
      </c>
      <c r="I14" s="229"/>
      <c r="J14" s="229">
        <v>147</v>
      </c>
      <c r="K14" s="229">
        <v>67</v>
      </c>
      <c r="L14" s="229">
        <v>80</v>
      </c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</row>
    <row r="15" spans="1:25" ht="22.5" customHeight="1">
      <c r="C15" s="219">
        <v>41400228705</v>
      </c>
      <c r="D15" s="226" t="s">
        <v>4142</v>
      </c>
      <c r="E15" s="226" t="s">
        <v>2419</v>
      </c>
      <c r="F15" s="227" t="s">
        <v>321</v>
      </c>
      <c r="G15" s="228"/>
      <c r="H15" s="229">
        <v>434</v>
      </c>
      <c r="I15" s="229"/>
      <c r="J15" s="229">
        <v>434</v>
      </c>
      <c r="K15" s="229">
        <v>180</v>
      </c>
      <c r="L15" s="229">
        <v>254</v>
      </c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</row>
    <row r="16" spans="1:25" ht="22.5" customHeight="1">
      <c r="C16" s="219">
        <v>41400228707</v>
      </c>
      <c r="D16" s="226" t="s">
        <v>4142</v>
      </c>
      <c r="E16" s="226" t="s">
        <v>2416</v>
      </c>
      <c r="F16" s="227" t="s">
        <v>321</v>
      </c>
      <c r="G16" s="228"/>
      <c r="H16" s="229">
        <v>294</v>
      </c>
      <c r="I16" s="229"/>
      <c r="J16" s="229">
        <v>294</v>
      </c>
      <c r="K16" s="229">
        <v>134</v>
      </c>
      <c r="L16" s="229">
        <v>160</v>
      </c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</row>
    <row r="17" spans="3:25" ht="22.5" customHeight="1">
      <c r="C17" s="219">
        <v>41300247155</v>
      </c>
      <c r="D17" s="226" t="s">
        <v>4143</v>
      </c>
      <c r="E17" s="226" t="s">
        <v>2414</v>
      </c>
      <c r="F17" s="227" t="s">
        <v>321</v>
      </c>
      <c r="G17" s="228"/>
      <c r="H17" s="229">
        <v>217</v>
      </c>
      <c r="I17" s="229"/>
      <c r="J17" s="229">
        <v>217</v>
      </c>
      <c r="K17" s="229">
        <v>90</v>
      </c>
      <c r="L17" s="229">
        <v>127</v>
      </c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</row>
    <row r="18" spans="3:25" ht="22.5" customHeight="1">
      <c r="C18" s="219">
        <v>41300247157</v>
      </c>
      <c r="D18" s="226" t="s">
        <v>4143</v>
      </c>
      <c r="E18" s="226" t="s">
        <v>2411</v>
      </c>
      <c r="F18" s="227" t="s">
        <v>321</v>
      </c>
      <c r="G18" s="228"/>
      <c r="H18" s="229">
        <v>147</v>
      </c>
      <c r="I18" s="229"/>
      <c r="J18" s="229">
        <v>147</v>
      </c>
      <c r="K18" s="229">
        <v>67</v>
      </c>
      <c r="L18" s="229">
        <v>80</v>
      </c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</row>
    <row r="19" spans="3:25" ht="22.5" customHeight="1">
      <c r="C19" s="219">
        <v>36940227001</v>
      </c>
      <c r="D19" s="226" t="s">
        <v>2407</v>
      </c>
      <c r="E19" s="226" t="s">
        <v>2409</v>
      </c>
      <c r="F19" s="227" t="s">
        <v>321</v>
      </c>
      <c r="G19" s="228"/>
      <c r="H19" s="229">
        <v>10</v>
      </c>
      <c r="I19" s="229"/>
      <c r="J19" s="229">
        <v>10</v>
      </c>
      <c r="K19" s="229"/>
      <c r="L19" s="229">
        <v>10</v>
      </c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</row>
    <row r="20" spans="3:25" ht="22.5" customHeight="1">
      <c r="C20" s="219">
        <v>36940227004</v>
      </c>
      <c r="D20" s="226" t="s">
        <v>2407</v>
      </c>
      <c r="E20" s="226" t="s">
        <v>2406</v>
      </c>
      <c r="F20" s="227" t="s">
        <v>321</v>
      </c>
      <c r="G20" s="228"/>
      <c r="H20" s="229">
        <v>1</v>
      </c>
      <c r="I20" s="229"/>
      <c r="J20" s="229">
        <v>1</v>
      </c>
      <c r="K20" s="229"/>
      <c r="L20" s="229">
        <v>1</v>
      </c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</row>
    <row r="21" spans="3:25" ht="22.5" customHeight="1">
      <c r="C21" s="219">
        <v>36940227015</v>
      </c>
      <c r="D21" s="226" t="s">
        <v>2404</v>
      </c>
      <c r="E21" s="226"/>
      <c r="F21" s="227" t="s">
        <v>321</v>
      </c>
      <c r="G21" s="228"/>
      <c r="H21" s="229">
        <v>11</v>
      </c>
      <c r="I21" s="229"/>
      <c r="J21" s="229">
        <v>11</v>
      </c>
      <c r="K21" s="229"/>
      <c r="L21" s="229">
        <v>11</v>
      </c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</row>
    <row r="22" spans="3:25" ht="22.5" customHeight="1">
      <c r="C22" s="219" t="s">
        <v>2401</v>
      </c>
      <c r="D22" s="226" t="s">
        <v>2395</v>
      </c>
      <c r="E22" s="226" t="s">
        <v>2402</v>
      </c>
      <c r="F22" s="227" t="s">
        <v>321</v>
      </c>
      <c r="G22" s="228"/>
      <c r="H22" s="229">
        <v>1</v>
      </c>
      <c r="I22" s="229"/>
      <c r="J22" s="229">
        <v>1</v>
      </c>
      <c r="K22" s="229"/>
      <c r="L22" s="229">
        <v>1</v>
      </c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</row>
    <row r="23" spans="3:25" ht="22.5" customHeight="1">
      <c r="C23" s="219" t="s">
        <v>2400</v>
      </c>
      <c r="D23" s="226" t="s">
        <v>2395</v>
      </c>
      <c r="E23" s="226" t="s">
        <v>2389</v>
      </c>
      <c r="F23" s="227" t="s">
        <v>321</v>
      </c>
      <c r="G23" s="228"/>
      <c r="H23" s="229">
        <v>5</v>
      </c>
      <c r="I23" s="229"/>
      <c r="J23" s="229">
        <v>5</v>
      </c>
      <c r="K23" s="229"/>
      <c r="L23" s="229">
        <v>5</v>
      </c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</row>
    <row r="24" spans="3:25" ht="22.5" customHeight="1">
      <c r="C24" s="219" t="s">
        <v>2399</v>
      </c>
      <c r="D24" s="226" t="s">
        <v>2395</v>
      </c>
      <c r="E24" s="226" t="s">
        <v>2385</v>
      </c>
      <c r="F24" s="227" t="s">
        <v>321</v>
      </c>
      <c r="G24" s="228"/>
      <c r="H24" s="229">
        <v>2</v>
      </c>
      <c r="I24" s="229"/>
      <c r="J24" s="229">
        <v>2</v>
      </c>
      <c r="K24" s="229"/>
      <c r="L24" s="229">
        <v>2</v>
      </c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</row>
    <row r="25" spans="3:25" ht="22.5" customHeight="1">
      <c r="C25" s="219" t="s">
        <v>2398</v>
      </c>
      <c r="D25" s="226" t="s">
        <v>2395</v>
      </c>
      <c r="E25" s="226" t="s">
        <v>2375</v>
      </c>
      <c r="F25" s="227" t="s">
        <v>321</v>
      </c>
      <c r="G25" s="228"/>
      <c r="H25" s="229">
        <v>1</v>
      </c>
      <c r="I25" s="229"/>
      <c r="J25" s="229">
        <v>1</v>
      </c>
      <c r="K25" s="229"/>
      <c r="L25" s="229">
        <v>1</v>
      </c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</row>
    <row r="26" spans="3:25" ht="22.5" customHeight="1">
      <c r="C26" s="219" t="s">
        <v>2396</v>
      </c>
      <c r="D26" s="226" t="s">
        <v>2395</v>
      </c>
      <c r="E26" s="226" t="s">
        <v>2397</v>
      </c>
      <c r="F26" s="227" t="s">
        <v>321</v>
      </c>
      <c r="G26" s="228"/>
      <c r="H26" s="229">
        <v>1</v>
      </c>
      <c r="I26" s="229"/>
      <c r="J26" s="229">
        <v>1</v>
      </c>
      <c r="K26" s="229"/>
      <c r="L26" s="229">
        <v>1</v>
      </c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</row>
    <row r="27" spans="3:25" ht="22.5" customHeight="1">
      <c r="C27" s="219" t="s">
        <v>2393</v>
      </c>
      <c r="D27" s="226" t="s">
        <v>2395</v>
      </c>
      <c r="E27" s="226" t="s">
        <v>2394</v>
      </c>
      <c r="F27" s="227" t="s">
        <v>321</v>
      </c>
      <c r="G27" s="228"/>
      <c r="H27" s="229">
        <v>1</v>
      </c>
      <c r="I27" s="229"/>
      <c r="J27" s="229">
        <v>1</v>
      </c>
      <c r="K27" s="229"/>
      <c r="L27" s="229">
        <v>1</v>
      </c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</row>
    <row r="28" spans="3:25" ht="22.5" customHeight="1">
      <c r="C28" s="219" t="s">
        <v>2390</v>
      </c>
      <c r="D28" s="226" t="s">
        <v>2392</v>
      </c>
      <c r="E28" s="226" t="s">
        <v>2391</v>
      </c>
      <c r="F28" s="227" t="s">
        <v>321</v>
      </c>
      <c r="G28" s="228"/>
      <c r="H28" s="229">
        <v>4</v>
      </c>
      <c r="I28" s="229"/>
      <c r="J28" s="229">
        <v>4</v>
      </c>
      <c r="K28" s="229">
        <v>4</v>
      </c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</row>
    <row r="29" spans="3:25" ht="22.5" customHeight="1">
      <c r="C29" s="219" t="s">
        <v>2388</v>
      </c>
      <c r="D29" s="226" t="s">
        <v>2373</v>
      </c>
      <c r="E29" s="226" t="s">
        <v>2389</v>
      </c>
      <c r="F29" s="227" t="s">
        <v>321</v>
      </c>
      <c r="G29" s="228"/>
      <c r="H29" s="229">
        <v>60</v>
      </c>
      <c r="I29" s="229"/>
      <c r="J29" s="229">
        <v>60</v>
      </c>
      <c r="K29" s="229">
        <v>6</v>
      </c>
      <c r="L29" s="229">
        <v>54</v>
      </c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</row>
    <row r="30" spans="3:25" ht="22.5" customHeight="1">
      <c r="C30" s="219" t="s">
        <v>2386</v>
      </c>
      <c r="D30" s="226" t="s">
        <v>2373</v>
      </c>
      <c r="E30" s="226" t="s">
        <v>2387</v>
      </c>
      <c r="F30" s="227" t="s">
        <v>321</v>
      </c>
      <c r="G30" s="228"/>
      <c r="H30" s="229">
        <v>6</v>
      </c>
      <c r="I30" s="229"/>
      <c r="J30" s="229">
        <v>6</v>
      </c>
      <c r="K30" s="229">
        <v>6</v>
      </c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</row>
    <row r="31" spans="3:25" ht="22.5" customHeight="1">
      <c r="C31" s="219" t="s">
        <v>2384</v>
      </c>
      <c r="D31" s="226" t="s">
        <v>2373</v>
      </c>
      <c r="E31" s="226" t="s">
        <v>2385</v>
      </c>
      <c r="F31" s="227" t="s">
        <v>321</v>
      </c>
      <c r="G31" s="228"/>
      <c r="H31" s="229">
        <v>7</v>
      </c>
      <c r="I31" s="229"/>
      <c r="J31" s="229">
        <v>7</v>
      </c>
      <c r="K31" s="229"/>
      <c r="L31" s="229">
        <v>7</v>
      </c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</row>
    <row r="32" spans="3:25" ht="22.5" customHeight="1">
      <c r="C32" s="219" t="s">
        <v>2382</v>
      </c>
      <c r="D32" s="226" t="s">
        <v>2373</v>
      </c>
      <c r="E32" s="226" t="s">
        <v>2383</v>
      </c>
      <c r="F32" s="227" t="s">
        <v>321</v>
      </c>
      <c r="G32" s="228"/>
      <c r="H32" s="229">
        <v>4</v>
      </c>
      <c r="I32" s="229"/>
      <c r="J32" s="229">
        <v>4</v>
      </c>
      <c r="K32" s="229">
        <v>3</v>
      </c>
      <c r="L32" s="229">
        <v>1</v>
      </c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</row>
    <row r="33" spans="3:25" ht="22.5" customHeight="1">
      <c r="C33" s="219" t="s">
        <v>2380</v>
      </c>
      <c r="D33" s="226" t="s">
        <v>2373</v>
      </c>
      <c r="E33" s="226" t="s">
        <v>2381</v>
      </c>
      <c r="F33" s="227" t="s">
        <v>321</v>
      </c>
      <c r="G33" s="228"/>
      <c r="H33" s="229">
        <v>1</v>
      </c>
      <c r="I33" s="229"/>
      <c r="J33" s="229">
        <v>1</v>
      </c>
      <c r="K33" s="229">
        <v>1</v>
      </c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</row>
    <row r="34" spans="3:25" ht="22.5" customHeight="1">
      <c r="C34" s="219" t="s">
        <v>2378</v>
      </c>
      <c r="D34" s="226" t="s">
        <v>2373</v>
      </c>
      <c r="E34" s="226" t="s">
        <v>2379</v>
      </c>
      <c r="F34" s="227" t="s">
        <v>321</v>
      </c>
      <c r="G34" s="228"/>
      <c r="H34" s="229">
        <v>3</v>
      </c>
      <c r="I34" s="229"/>
      <c r="J34" s="229">
        <v>3</v>
      </c>
      <c r="K34" s="229"/>
      <c r="L34" s="229">
        <v>3</v>
      </c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</row>
    <row r="35" spans="3:25" ht="22.5" customHeight="1">
      <c r="C35" s="219" t="s">
        <v>2376</v>
      </c>
      <c r="D35" s="226" t="s">
        <v>2373</v>
      </c>
      <c r="E35" s="226" t="s">
        <v>2377</v>
      </c>
      <c r="F35" s="227" t="s">
        <v>321</v>
      </c>
      <c r="G35" s="228"/>
      <c r="H35" s="229">
        <v>3</v>
      </c>
      <c r="I35" s="229"/>
      <c r="J35" s="229">
        <v>3</v>
      </c>
      <c r="K35" s="229"/>
      <c r="L35" s="229">
        <v>3</v>
      </c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</row>
    <row r="36" spans="3:25" ht="22.5" customHeight="1">
      <c r="C36" s="219" t="s">
        <v>2374</v>
      </c>
      <c r="D36" s="226" t="s">
        <v>2373</v>
      </c>
      <c r="E36" s="226" t="s">
        <v>2375</v>
      </c>
      <c r="F36" s="227" t="s">
        <v>321</v>
      </c>
      <c r="G36" s="228"/>
      <c r="H36" s="229">
        <v>1</v>
      </c>
      <c r="I36" s="229"/>
      <c r="J36" s="229">
        <v>1</v>
      </c>
      <c r="K36" s="229"/>
      <c r="L36" s="229">
        <v>1</v>
      </c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</row>
    <row r="37" spans="3:25" ht="22.5" customHeight="1">
      <c r="C37" s="219" t="s">
        <v>2371</v>
      </c>
      <c r="D37" s="226" t="s">
        <v>2373</v>
      </c>
      <c r="E37" s="226" t="s">
        <v>2372</v>
      </c>
      <c r="F37" s="227" t="s">
        <v>321</v>
      </c>
      <c r="G37" s="228"/>
      <c r="H37" s="229">
        <v>1</v>
      </c>
      <c r="I37" s="229"/>
      <c r="J37" s="229">
        <v>1</v>
      </c>
      <c r="K37" s="229">
        <v>1</v>
      </c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</row>
  </sheetData>
  <mergeCells count="4">
    <mergeCell ref="D3:Y3"/>
    <mergeCell ref="D4:D6"/>
    <mergeCell ref="E4:E6"/>
    <mergeCell ref="F4:F6"/>
  </mergeCells>
  <phoneticPr fontId="1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60" orientation="landscape" r:id="rId1"/>
  <headerFooter alignWithMargins="0">
    <oddHeader>&amp;C&amp;28산 출 집 계 표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3:M315"/>
  <sheetViews>
    <sheetView topLeftCell="D1" workbookViewId="0">
      <selection activeCell="D18" sqref="D18"/>
    </sheetView>
  </sheetViews>
  <sheetFormatPr defaultRowHeight="15.95" customHeight="1"/>
  <cols>
    <col min="1" max="1" width="31.75" style="232" hidden="1" customWidth="1"/>
    <col min="2" max="2" width="33.5" style="233" hidden="1" customWidth="1"/>
    <col min="3" max="3" width="30.125" style="233" hidden="1" customWidth="1"/>
    <col min="4" max="5" width="41.125" style="232" customWidth="1"/>
    <col min="6" max="6" width="7" style="233" customWidth="1"/>
    <col min="7" max="7" width="14.125" style="233" hidden="1" customWidth="1"/>
    <col min="8" max="9" width="29" style="232" customWidth="1"/>
    <col min="10" max="10" width="4.75" style="230" customWidth="1"/>
    <col min="11" max="11" width="18.125" style="232" customWidth="1"/>
    <col min="12" max="13" width="8.625" style="232" customWidth="1"/>
    <col min="14" max="256" width="9" style="232"/>
    <col min="257" max="259" width="0" style="232" hidden="1" customWidth="1"/>
    <col min="260" max="261" width="41.125" style="232" customWidth="1"/>
    <col min="262" max="262" width="7" style="232" customWidth="1"/>
    <col min="263" max="263" width="0" style="232" hidden="1" customWidth="1"/>
    <col min="264" max="265" width="29" style="232" customWidth="1"/>
    <col min="266" max="266" width="4.75" style="232" customWidth="1"/>
    <col min="267" max="267" width="18.125" style="232" customWidth="1"/>
    <col min="268" max="269" width="8.625" style="232" customWidth="1"/>
    <col min="270" max="512" width="9" style="232"/>
    <col min="513" max="515" width="0" style="232" hidden="1" customWidth="1"/>
    <col min="516" max="517" width="41.125" style="232" customWidth="1"/>
    <col min="518" max="518" width="7" style="232" customWidth="1"/>
    <col min="519" max="519" width="0" style="232" hidden="1" customWidth="1"/>
    <col min="520" max="521" width="29" style="232" customWidth="1"/>
    <col min="522" max="522" width="4.75" style="232" customWidth="1"/>
    <col min="523" max="523" width="18.125" style="232" customWidth="1"/>
    <col min="524" max="525" width="8.625" style="232" customWidth="1"/>
    <col min="526" max="768" width="9" style="232"/>
    <col min="769" max="771" width="0" style="232" hidden="1" customWidth="1"/>
    <col min="772" max="773" width="41.125" style="232" customWidth="1"/>
    <col min="774" max="774" width="7" style="232" customWidth="1"/>
    <col min="775" max="775" width="0" style="232" hidden="1" customWidth="1"/>
    <col min="776" max="777" width="29" style="232" customWidth="1"/>
    <col min="778" max="778" width="4.75" style="232" customWidth="1"/>
    <col min="779" max="779" width="18.125" style="232" customWidth="1"/>
    <col min="780" max="781" width="8.625" style="232" customWidth="1"/>
    <col min="782" max="1024" width="9" style="232"/>
    <col min="1025" max="1027" width="0" style="232" hidden="1" customWidth="1"/>
    <col min="1028" max="1029" width="41.125" style="232" customWidth="1"/>
    <col min="1030" max="1030" width="7" style="232" customWidth="1"/>
    <col min="1031" max="1031" width="0" style="232" hidden="1" customWidth="1"/>
    <col min="1032" max="1033" width="29" style="232" customWidth="1"/>
    <col min="1034" max="1034" width="4.75" style="232" customWidth="1"/>
    <col min="1035" max="1035" width="18.125" style="232" customWidth="1"/>
    <col min="1036" max="1037" width="8.625" style="232" customWidth="1"/>
    <col min="1038" max="1280" width="9" style="232"/>
    <col min="1281" max="1283" width="0" style="232" hidden="1" customWidth="1"/>
    <col min="1284" max="1285" width="41.125" style="232" customWidth="1"/>
    <col min="1286" max="1286" width="7" style="232" customWidth="1"/>
    <col min="1287" max="1287" width="0" style="232" hidden="1" customWidth="1"/>
    <col min="1288" max="1289" width="29" style="232" customWidth="1"/>
    <col min="1290" max="1290" width="4.75" style="232" customWidth="1"/>
    <col min="1291" max="1291" width="18.125" style="232" customWidth="1"/>
    <col min="1292" max="1293" width="8.625" style="232" customWidth="1"/>
    <col min="1294" max="1536" width="9" style="232"/>
    <col min="1537" max="1539" width="0" style="232" hidden="1" customWidth="1"/>
    <col min="1540" max="1541" width="41.125" style="232" customWidth="1"/>
    <col min="1542" max="1542" width="7" style="232" customWidth="1"/>
    <col min="1543" max="1543" width="0" style="232" hidden="1" customWidth="1"/>
    <col min="1544" max="1545" width="29" style="232" customWidth="1"/>
    <col min="1546" max="1546" width="4.75" style="232" customWidth="1"/>
    <col min="1547" max="1547" width="18.125" style="232" customWidth="1"/>
    <col min="1548" max="1549" width="8.625" style="232" customWidth="1"/>
    <col min="1550" max="1792" width="9" style="232"/>
    <col min="1793" max="1795" width="0" style="232" hidden="1" customWidth="1"/>
    <col min="1796" max="1797" width="41.125" style="232" customWidth="1"/>
    <col min="1798" max="1798" width="7" style="232" customWidth="1"/>
    <col min="1799" max="1799" width="0" style="232" hidden="1" customWidth="1"/>
    <col min="1800" max="1801" width="29" style="232" customWidth="1"/>
    <col min="1802" max="1802" width="4.75" style="232" customWidth="1"/>
    <col min="1803" max="1803" width="18.125" style="232" customWidth="1"/>
    <col min="1804" max="1805" width="8.625" style="232" customWidth="1"/>
    <col min="1806" max="2048" width="9" style="232"/>
    <col min="2049" max="2051" width="0" style="232" hidden="1" customWidth="1"/>
    <col min="2052" max="2053" width="41.125" style="232" customWidth="1"/>
    <col min="2054" max="2054" width="7" style="232" customWidth="1"/>
    <col min="2055" max="2055" width="0" style="232" hidden="1" customWidth="1"/>
    <col min="2056" max="2057" width="29" style="232" customWidth="1"/>
    <col min="2058" max="2058" width="4.75" style="232" customWidth="1"/>
    <col min="2059" max="2059" width="18.125" style="232" customWidth="1"/>
    <col min="2060" max="2061" width="8.625" style="232" customWidth="1"/>
    <col min="2062" max="2304" width="9" style="232"/>
    <col min="2305" max="2307" width="0" style="232" hidden="1" customWidth="1"/>
    <col min="2308" max="2309" width="41.125" style="232" customWidth="1"/>
    <col min="2310" max="2310" width="7" style="232" customWidth="1"/>
    <col min="2311" max="2311" width="0" style="232" hidden="1" customWidth="1"/>
    <col min="2312" max="2313" width="29" style="232" customWidth="1"/>
    <col min="2314" max="2314" width="4.75" style="232" customWidth="1"/>
    <col min="2315" max="2315" width="18.125" style="232" customWidth="1"/>
    <col min="2316" max="2317" width="8.625" style="232" customWidth="1"/>
    <col min="2318" max="2560" width="9" style="232"/>
    <col min="2561" max="2563" width="0" style="232" hidden="1" customWidth="1"/>
    <col min="2564" max="2565" width="41.125" style="232" customWidth="1"/>
    <col min="2566" max="2566" width="7" style="232" customWidth="1"/>
    <col min="2567" max="2567" width="0" style="232" hidden="1" customWidth="1"/>
    <col min="2568" max="2569" width="29" style="232" customWidth="1"/>
    <col min="2570" max="2570" width="4.75" style="232" customWidth="1"/>
    <col min="2571" max="2571" width="18.125" style="232" customWidth="1"/>
    <col min="2572" max="2573" width="8.625" style="232" customWidth="1"/>
    <col min="2574" max="2816" width="9" style="232"/>
    <col min="2817" max="2819" width="0" style="232" hidden="1" customWidth="1"/>
    <col min="2820" max="2821" width="41.125" style="232" customWidth="1"/>
    <col min="2822" max="2822" width="7" style="232" customWidth="1"/>
    <col min="2823" max="2823" width="0" style="232" hidden="1" customWidth="1"/>
    <col min="2824" max="2825" width="29" style="232" customWidth="1"/>
    <col min="2826" max="2826" width="4.75" style="232" customWidth="1"/>
    <col min="2827" max="2827" width="18.125" style="232" customWidth="1"/>
    <col min="2828" max="2829" width="8.625" style="232" customWidth="1"/>
    <col min="2830" max="3072" width="9" style="232"/>
    <col min="3073" max="3075" width="0" style="232" hidden="1" customWidth="1"/>
    <col min="3076" max="3077" width="41.125" style="232" customWidth="1"/>
    <col min="3078" max="3078" width="7" style="232" customWidth="1"/>
    <col min="3079" max="3079" width="0" style="232" hidden="1" customWidth="1"/>
    <col min="3080" max="3081" width="29" style="232" customWidth="1"/>
    <col min="3082" max="3082" width="4.75" style="232" customWidth="1"/>
    <col min="3083" max="3083" width="18.125" style="232" customWidth="1"/>
    <col min="3084" max="3085" width="8.625" style="232" customWidth="1"/>
    <col min="3086" max="3328" width="9" style="232"/>
    <col min="3329" max="3331" width="0" style="232" hidden="1" customWidth="1"/>
    <col min="3332" max="3333" width="41.125" style="232" customWidth="1"/>
    <col min="3334" max="3334" width="7" style="232" customWidth="1"/>
    <col min="3335" max="3335" width="0" style="232" hidden="1" customWidth="1"/>
    <col min="3336" max="3337" width="29" style="232" customWidth="1"/>
    <col min="3338" max="3338" width="4.75" style="232" customWidth="1"/>
    <col min="3339" max="3339" width="18.125" style="232" customWidth="1"/>
    <col min="3340" max="3341" width="8.625" style="232" customWidth="1"/>
    <col min="3342" max="3584" width="9" style="232"/>
    <col min="3585" max="3587" width="0" style="232" hidden="1" customWidth="1"/>
    <col min="3588" max="3589" width="41.125" style="232" customWidth="1"/>
    <col min="3590" max="3590" width="7" style="232" customWidth="1"/>
    <col min="3591" max="3591" width="0" style="232" hidden="1" customWidth="1"/>
    <col min="3592" max="3593" width="29" style="232" customWidth="1"/>
    <col min="3594" max="3594" width="4.75" style="232" customWidth="1"/>
    <col min="3595" max="3595" width="18.125" style="232" customWidth="1"/>
    <col min="3596" max="3597" width="8.625" style="232" customWidth="1"/>
    <col min="3598" max="3840" width="9" style="232"/>
    <col min="3841" max="3843" width="0" style="232" hidden="1" customWidth="1"/>
    <col min="3844" max="3845" width="41.125" style="232" customWidth="1"/>
    <col min="3846" max="3846" width="7" style="232" customWidth="1"/>
    <col min="3847" max="3847" width="0" style="232" hidden="1" customWidth="1"/>
    <col min="3848" max="3849" width="29" style="232" customWidth="1"/>
    <col min="3850" max="3850" width="4.75" style="232" customWidth="1"/>
    <col min="3851" max="3851" width="18.125" style="232" customWidth="1"/>
    <col min="3852" max="3853" width="8.625" style="232" customWidth="1"/>
    <col min="3854" max="4096" width="9" style="232"/>
    <col min="4097" max="4099" width="0" style="232" hidden="1" customWidth="1"/>
    <col min="4100" max="4101" width="41.125" style="232" customWidth="1"/>
    <col min="4102" max="4102" width="7" style="232" customWidth="1"/>
    <col min="4103" max="4103" width="0" style="232" hidden="1" customWidth="1"/>
    <col min="4104" max="4105" width="29" style="232" customWidth="1"/>
    <col min="4106" max="4106" width="4.75" style="232" customWidth="1"/>
    <col min="4107" max="4107" width="18.125" style="232" customWidth="1"/>
    <col min="4108" max="4109" width="8.625" style="232" customWidth="1"/>
    <col min="4110" max="4352" width="9" style="232"/>
    <col min="4353" max="4355" width="0" style="232" hidden="1" customWidth="1"/>
    <col min="4356" max="4357" width="41.125" style="232" customWidth="1"/>
    <col min="4358" max="4358" width="7" style="232" customWidth="1"/>
    <col min="4359" max="4359" width="0" style="232" hidden="1" customWidth="1"/>
    <col min="4360" max="4361" width="29" style="232" customWidth="1"/>
    <col min="4362" max="4362" width="4.75" style="232" customWidth="1"/>
    <col min="4363" max="4363" width="18.125" style="232" customWidth="1"/>
    <col min="4364" max="4365" width="8.625" style="232" customWidth="1"/>
    <col min="4366" max="4608" width="9" style="232"/>
    <col min="4609" max="4611" width="0" style="232" hidden="1" customWidth="1"/>
    <col min="4612" max="4613" width="41.125" style="232" customWidth="1"/>
    <col min="4614" max="4614" width="7" style="232" customWidth="1"/>
    <col min="4615" max="4615" width="0" style="232" hidden="1" customWidth="1"/>
    <col min="4616" max="4617" width="29" style="232" customWidth="1"/>
    <col min="4618" max="4618" width="4.75" style="232" customWidth="1"/>
    <col min="4619" max="4619" width="18.125" style="232" customWidth="1"/>
    <col min="4620" max="4621" width="8.625" style="232" customWidth="1"/>
    <col min="4622" max="4864" width="9" style="232"/>
    <col min="4865" max="4867" width="0" style="232" hidden="1" customWidth="1"/>
    <col min="4868" max="4869" width="41.125" style="232" customWidth="1"/>
    <col min="4870" max="4870" width="7" style="232" customWidth="1"/>
    <col min="4871" max="4871" width="0" style="232" hidden="1" customWidth="1"/>
    <col min="4872" max="4873" width="29" style="232" customWidth="1"/>
    <col min="4874" max="4874" width="4.75" style="232" customWidth="1"/>
    <col min="4875" max="4875" width="18.125" style="232" customWidth="1"/>
    <col min="4876" max="4877" width="8.625" style="232" customWidth="1"/>
    <col min="4878" max="5120" width="9" style="232"/>
    <col min="5121" max="5123" width="0" style="232" hidden="1" customWidth="1"/>
    <col min="5124" max="5125" width="41.125" style="232" customWidth="1"/>
    <col min="5126" max="5126" width="7" style="232" customWidth="1"/>
    <col min="5127" max="5127" width="0" style="232" hidden="1" customWidth="1"/>
    <col min="5128" max="5129" width="29" style="232" customWidth="1"/>
    <col min="5130" max="5130" width="4.75" style="232" customWidth="1"/>
    <col min="5131" max="5131" width="18.125" style="232" customWidth="1"/>
    <col min="5132" max="5133" width="8.625" style="232" customWidth="1"/>
    <col min="5134" max="5376" width="9" style="232"/>
    <col min="5377" max="5379" width="0" style="232" hidden="1" customWidth="1"/>
    <col min="5380" max="5381" width="41.125" style="232" customWidth="1"/>
    <col min="5382" max="5382" width="7" style="232" customWidth="1"/>
    <col min="5383" max="5383" width="0" style="232" hidden="1" customWidth="1"/>
    <col min="5384" max="5385" width="29" style="232" customWidth="1"/>
    <col min="5386" max="5386" width="4.75" style="232" customWidth="1"/>
    <col min="5387" max="5387" width="18.125" style="232" customWidth="1"/>
    <col min="5388" max="5389" width="8.625" style="232" customWidth="1"/>
    <col min="5390" max="5632" width="9" style="232"/>
    <col min="5633" max="5635" width="0" style="232" hidden="1" customWidth="1"/>
    <col min="5636" max="5637" width="41.125" style="232" customWidth="1"/>
    <col min="5638" max="5638" width="7" style="232" customWidth="1"/>
    <col min="5639" max="5639" width="0" style="232" hidden="1" customWidth="1"/>
    <col min="5640" max="5641" width="29" style="232" customWidth="1"/>
    <col min="5642" max="5642" width="4.75" style="232" customWidth="1"/>
    <col min="5643" max="5643" width="18.125" style="232" customWidth="1"/>
    <col min="5644" max="5645" width="8.625" style="232" customWidth="1"/>
    <col min="5646" max="5888" width="9" style="232"/>
    <col min="5889" max="5891" width="0" style="232" hidden="1" customWidth="1"/>
    <col min="5892" max="5893" width="41.125" style="232" customWidth="1"/>
    <col min="5894" max="5894" width="7" style="232" customWidth="1"/>
    <col min="5895" max="5895" width="0" style="232" hidden="1" customWidth="1"/>
    <col min="5896" max="5897" width="29" style="232" customWidth="1"/>
    <col min="5898" max="5898" width="4.75" style="232" customWidth="1"/>
    <col min="5899" max="5899" width="18.125" style="232" customWidth="1"/>
    <col min="5900" max="5901" width="8.625" style="232" customWidth="1"/>
    <col min="5902" max="6144" width="9" style="232"/>
    <col min="6145" max="6147" width="0" style="232" hidden="1" customWidth="1"/>
    <col min="6148" max="6149" width="41.125" style="232" customWidth="1"/>
    <col min="6150" max="6150" width="7" style="232" customWidth="1"/>
    <col min="6151" max="6151" width="0" style="232" hidden="1" customWidth="1"/>
    <col min="6152" max="6153" width="29" style="232" customWidth="1"/>
    <col min="6154" max="6154" width="4.75" style="232" customWidth="1"/>
    <col min="6155" max="6155" width="18.125" style="232" customWidth="1"/>
    <col min="6156" max="6157" width="8.625" style="232" customWidth="1"/>
    <col min="6158" max="6400" width="9" style="232"/>
    <col min="6401" max="6403" width="0" style="232" hidden="1" customWidth="1"/>
    <col min="6404" max="6405" width="41.125" style="232" customWidth="1"/>
    <col min="6406" max="6406" width="7" style="232" customWidth="1"/>
    <col min="6407" max="6407" width="0" style="232" hidden="1" customWidth="1"/>
    <col min="6408" max="6409" width="29" style="232" customWidth="1"/>
    <col min="6410" max="6410" width="4.75" style="232" customWidth="1"/>
    <col min="6411" max="6411" width="18.125" style="232" customWidth="1"/>
    <col min="6412" max="6413" width="8.625" style="232" customWidth="1"/>
    <col min="6414" max="6656" width="9" style="232"/>
    <col min="6657" max="6659" width="0" style="232" hidden="1" customWidth="1"/>
    <col min="6660" max="6661" width="41.125" style="232" customWidth="1"/>
    <col min="6662" max="6662" width="7" style="232" customWidth="1"/>
    <col min="6663" max="6663" width="0" style="232" hidden="1" customWidth="1"/>
    <col min="6664" max="6665" width="29" style="232" customWidth="1"/>
    <col min="6666" max="6666" width="4.75" style="232" customWidth="1"/>
    <col min="6667" max="6667" width="18.125" style="232" customWidth="1"/>
    <col min="6668" max="6669" width="8.625" style="232" customWidth="1"/>
    <col min="6670" max="6912" width="9" style="232"/>
    <col min="6913" max="6915" width="0" style="232" hidden="1" customWidth="1"/>
    <col min="6916" max="6917" width="41.125" style="232" customWidth="1"/>
    <col min="6918" max="6918" width="7" style="232" customWidth="1"/>
    <col min="6919" max="6919" width="0" style="232" hidden="1" customWidth="1"/>
    <col min="6920" max="6921" width="29" style="232" customWidth="1"/>
    <col min="6922" max="6922" width="4.75" style="232" customWidth="1"/>
    <col min="6923" max="6923" width="18.125" style="232" customWidth="1"/>
    <col min="6924" max="6925" width="8.625" style="232" customWidth="1"/>
    <col min="6926" max="7168" width="9" style="232"/>
    <col min="7169" max="7171" width="0" style="232" hidden="1" customWidth="1"/>
    <col min="7172" max="7173" width="41.125" style="232" customWidth="1"/>
    <col min="7174" max="7174" width="7" style="232" customWidth="1"/>
    <col min="7175" max="7175" width="0" style="232" hidden="1" customWidth="1"/>
    <col min="7176" max="7177" width="29" style="232" customWidth="1"/>
    <col min="7178" max="7178" width="4.75" style="232" customWidth="1"/>
    <col min="7179" max="7179" width="18.125" style="232" customWidth="1"/>
    <col min="7180" max="7181" width="8.625" style="232" customWidth="1"/>
    <col min="7182" max="7424" width="9" style="232"/>
    <col min="7425" max="7427" width="0" style="232" hidden="1" customWidth="1"/>
    <col min="7428" max="7429" width="41.125" style="232" customWidth="1"/>
    <col min="7430" max="7430" width="7" style="232" customWidth="1"/>
    <col min="7431" max="7431" width="0" style="232" hidden="1" customWidth="1"/>
    <col min="7432" max="7433" width="29" style="232" customWidth="1"/>
    <col min="7434" max="7434" width="4.75" style="232" customWidth="1"/>
    <col min="7435" max="7435" width="18.125" style="232" customWidth="1"/>
    <col min="7436" max="7437" width="8.625" style="232" customWidth="1"/>
    <col min="7438" max="7680" width="9" style="232"/>
    <col min="7681" max="7683" width="0" style="232" hidden="1" customWidth="1"/>
    <col min="7684" max="7685" width="41.125" style="232" customWidth="1"/>
    <col min="7686" max="7686" width="7" style="232" customWidth="1"/>
    <col min="7687" max="7687" width="0" style="232" hidden="1" customWidth="1"/>
    <col min="7688" max="7689" width="29" style="232" customWidth="1"/>
    <col min="7690" max="7690" width="4.75" style="232" customWidth="1"/>
    <col min="7691" max="7691" width="18.125" style="232" customWidth="1"/>
    <col min="7692" max="7693" width="8.625" style="232" customWidth="1"/>
    <col min="7694" max="7936" width="9" style="232"/>
    <col min="7937" max="7939" width="0" style="232" hidden="1" customWidth="1"/>
    <col min="7940" max="7941" width="41.125" style="232" customWidth="1"/>
    <col min="7942" max="7942" width="7" style="232" customWidth="1"/>
    <col min="7943" max="7943" width="0" style="232" hidden="1" customWidth="1"/>
    <col min="7944" max="7945" width="29" style="232" customWidth="1"/>
    <col min="7946" max="7946" width="4.75" style="232" customWidth="1"/>
    <col min="7947" max="7947" width="18.125" style="232" customWidth="1"/>
    <col min="7948" max="7949" width="8.625" style="232" customWidth="1"/>
    <col min="7950" max="8192" width="9" style="232"/>
    <col min="8193" max="8195" width="0" style="232" hidden="1" customWidth="1"/>
    <col min="8196" max="8197" width="41.125" style="232" customWidth="1"/>
    <col min="8198" max="8198" width="7" style="232" customWidth="1"/>
    <col min="8199" max="8199" width="0" style="232" hidden="1" customWidth="1"/>
    <col min="8200" max="8201" width="29" style="232" customWidth="1"/>
    <col min="8202" max="8202" width="4.75" style="232" customWidth="1"/>
    <col min="8203" max="8203" width="18.125" style="232" customWidth="1"/>
    <col min="8204" max="8205" width="8.625" style="232" customWidth="1"/>
    <col min="8206" max="8448" width="9" style="232"/>
    <col min="8449" max="8451" width="0" style="232" hidden="1" customWidth="1"/>
    <col min="8452" max="8453" width="41.125" style="232" customWidth="1"/>
    <col min="8454" max="8454" width="7" style="232" customWidth="1"/>
    <col min="8455" max="8455" width="0" style="232" hidden="1" customWidth="1"/>
    <col min="8456" max="8457" width="29" style="232" customWidth="1"/>
    <col min="8458" max="8458" width="4.75" style="232" customWidth="1"/>
    <col min="8459" max="8459" width="18.125" style="232" customWidth="1"/>
    <col min="8460" max="8461" width="8.625" style="232" customWidth="1"/>
    <col min="8462" max="8704" width="9" style="232"/>
    <col min="8705" max="8707" width="0" style="232" hidden="1" customWidth="1"/>
    <col min="8708" max="8709" width="41.125" style="232" customWidth="1"/>
    <col min="8710" max="8710" width="7" style="232" customWidth="1"/>
    <col min="8711" max="8711" width="0" style="232" hidden="1" customWidth="1"/>
    <col min="8712" max="8713" width="29" style="232" customWidth="1"/>
    <col min="8714" max="8714" width="4.75" style="232" customWidth="1"/>
    <col min="8715" max="8715" width="18.125" style="232" customWidth="1"/>
    <col min="8716" max="8717" width="8.625" style="232" customWidth="1"/>
    <col min="8718" max="8960" width="9" style="232"/>
    <col min="8961" max="8963" width="0" style="232" hidden="1" customWidth="1"/>
    <col min="8964" max="8965" width="41.125" style="232" customWidth="1"/>
    <col min="8966" max="8966" width="7" style="232" customWidth="1"/>
    <col min="8967" max="8967" width="0" style="232" hidden="1" customWidth="1"/>
    <col min="8968" max="8969" width="29" style="232" customWidth="1"/>
    <col min="8970" max="8970" width="4.75" style="232" customWidth="1"/>
    <col min="8971" max="8971" width="18.125" style="232" customWidth="1"/>
    <col min="8972" max="8973" width="8.625" style="232" customWidth="1"/>
    <col min="8974" max="9216" width="9" style="232"/>
    <col min="9217" max="9219" width="0" style="232" hidden="1" customWidth="1"/>
    <col min="9220" max="9221" width="41.125" style="232" customWidth="1"/>
    <col min="9222" max="9222" width="7" style="232" customWidth="1"/>
    <col min="9223" max="9223" width="0" style="232" hidden="1" customWidth="1"/>
    <col min="9224" max="9225" width="29" style="232" customWidth="1"/>
    <col min="9226" max="9226" width="4.75" style="232" customWidth="1"/>
    <col min="9227" max="9227" width="18.125" style="232" customWidth="1"/>
    <col min="9228" max="9229" width="8.625" style="232" customWidth="1"/>
    <col min="9230" max="9472" width="9" style="232"/>
    <col min="9473" max="9475" width="0" style="232" hidden="1" customWidth="1"/>
    <col min="9476" max="9477" width="41.125" style="232" customWidth="1"/>
    <col min="9478" max="9478" width="7" style="232" customWidth="1"/>
    <col min="9479" max="9479" width="0" style="232" hidden="1" customWidth="1"/>
    <col min="9480" max="9481" width="29" style="232" customWidth="1"/>
    <col min="9482" max="9482" width="4.75" style="232" customWidth="1"/>
    <col min="9483" max="9483" width="18.125" style="232" customWidth="1"/>
    <col min="9484" max="9485" width="8.625" style="232" customWidth="1"/>
    <col min="9486" max="9728" width="9" style="232"/>
    <col min="9729" max="9731" width="0" style="232" hidden="1" customWidth="1"/>
    <col min="9732" max="9733" width="41.125" style="232" customWidth="1"/>
    <col min="9734" max="9734" width="7" style="232" customWidth="1"/>
    <col min="9735" max="9735" width="0" style="232" hidden="1" customWidth="1"/>
    <col min="9736" max="9737" width="29" style="232" customWidth="1"/>
    <col min="9738" max="9738" width="4.75" style="232" customWidth="1"/>
    <col min="9739" max="9739" width="18.125" style="232" customWidth="1"/>
    <col min="9740" max="9741" width="8.625" style="232" customWidth="1"/>
    <col min="9742" max="9984" width="9" style="232"/>
    <col min="9985" max="9987" width="0" style="232" hidden="1" customWidth="1"/>
    <col min="9988" max="9989" width="41.125" style="232" customWidth="1"/>
    <col min="9990" max="9990" width="7" style="232" customWidth="1"/>
    <col min="9991" max="9991" width="0" style="232" hidden="1" customWidth="1"/>
    <col min="9992" max="9993" width="29" style="232" customWidth="1"/>
    <col min="9994" max="9994" width="4.75" style="232" customWidth="1"/>
    <col min="9995" max="9995" width="18.125" style="232" customWidth="1"/>
    <col min="9996" max="9997" width="8.625" style="232" customWidth="1"/>
    <col min="9998" max="10240" width="9" style="232"/>
    <col min="10241" max="10243" width="0" style="232" hidden="1" customWidth="1"/>
    <col min="10244" max="10245" width="41.125" style="232" customWidth="1"/>
    <col min="10246" max="10246" width="7" style="232" customWidth="1"/>
    <col min="10247" max="10247" width="0" style="232" hidden="1" customWidth="1"/>
    <col min="10248" max="10249" width="29" style="232" customWidth="1"/>
    <col min="10250" max="10250" width="4.75" style="232" customWidth="1"/>
    <col min="10251" max="10251" width="18.125" style="232" customWidth="1"/>
    <col min="10252" max="10253" width="8.625" style="232" customWidth="1"/>
    <col min="10254" max="10496" width="9" style="232"/>
    <col min="10497" max="10499" width="0" style="232" hidden="1" customWidth="1"/>
    <col min="10500" max="10501" width="41.125" style="232" customWidth="1"/>
    <col min="10502" max="10502" width="7" style="232" customWidth="1"/>
    <col min="10503" max="10503" width="0" style="232" hidden="1" customWidth="1"/>
    <col min="10504" max="10505" width="29" style="232" customWidth="1"/>
    <col min="10506" max="10506" width="4.75" style="232" customWidth="1"/>
    <col min="10507" max="10507" width="18.125" style="232" customWidth="1"/>
    <col min="10508" max="10509" width="8.625" style="232" customWidth="1"/>
    <col min="10510" max="10752" width="9" style="232"/>
    <col min="10753" max="10755" width="0" style="232" hidden="1" customWidth="1"/>
    <col min="10756" max="10757" width="41.125" style="232" customWidth="1"/>
    <col min="10758" max="10758" width="7" style="232" customWidth="1"/>
    <col min="10759" max="10759" width="0" style="232" hidden="1" customWidth="1"/>
    <col min="10760" max="10761" width="29" style="232" customWidth="1"/>
    <col min="10762" max="10762" width="4.75" style="232" customWidth="1"/>
    <col min="10763" max="10763" width="18.125" style="232" customWidth="1"/>
    <col min="10764" max="10765" width="8.625" style="232" customWidth="1"/>
    <col min="10766" max="11008" width="9" style="232"/>
    <col min="11009" max="11011" width="0" style="232" hidden="1" customWidth="1"/>
    <col min="11012" max="11013" width="41.125" style="232" customWidth="1"/>
    <col min="11014" max="11014" width="7" style="232" customWidth="1"/>
    <col min="11015" max="11015" width="0" style="232" hidden="1" customWidth="1"/>
    <col min="11016" max="11017" width="29" style="232" customWidth="1"/>
    <col min="11018" max="11018" width="4.75" style="232" customWidth="1"/>
    <col min="11019" max="11019" width="18.125" style="232" customWidth="1"/>
    <col min="11020" max="11021" width="8.625" style="232" customWidth="1"/>
    <col min="11022" max="11264" width="9" style="232"/>
    <col min="11265" max="11267" width="0" style="232" hidden="1" customWidth="1"/>
    <col min="11268" max="11269" width="41.125" style="232" customWidth="1"/>
    <col min="11270" max="11270" width="7" style="232" customWidth="1"/>
    <col min="11271" max="11271" width="0" style="232" hidden="1" customWidth="1"/>
    <col min="11272" max="11273" width="29" style="232" customWidth="1"/>
    <col min="11274" max="11274" width="4.75" style="232" customWidth="1"/>
    <col min="11275" max="11275" width="18.125" style="232" customWidth="1"/>
    <col min="11276" max="11277" width="8.625" style="232" customWidth="1"/>
    <col min="11278" max="11520" width="9" style="232"/>
    <col min="11521" max="11523" width="0" style="232" hidden="1" customWidth="1"/>
    <col min="11524" max="11525" width="41.125" style="232" customWidth="1"/>
    <col min="11526" max="11526" width="7" style="232" customWidth="1"/>
    <col min="11527" max="11527" width="0" style="232" hidden="1" customWidth="1"/>
    <col min="11528" max="11529" width="29" style="232" customWidth="1"/>
    <col min="11530" max="11530" width="4.75" style="232" customWidth="1"/>
    <col min="11531" max="11531" width="18.125" style="232" customWidth="1"/>
    <col min="11532" max="11533" width="8.625" style="232" customWidth="1"/>
    <col min="11534" max="11776" width="9" style="232"/>
    <col min="11777" max="11779" width="0" style="232" hidden="1" customWidth="1"/>
    <col min="11780" max="11781" width="41.125" style="232" customWidth="1"/>
    <col min="11782" max="11782" width="7" style="232" customWidth="1"/>
    <col min="11783" max="11783" width="0" style="232" hidden="1" customWidth="1"/>
    <col min="11784" max="11785" width="29" style="232" customWidth="1"/>
    <col min="11786" max="11786" width="4.75" style="232" customWidth="1"/>
    <col min="11787" max="11787" width="18.125" style="232" customWidth="1"/>
    <col min="11788" max="11789" width="8.625" style="232" customWidth="1"/>
    <col min="11790" max="12032" width="9" style="232"/>
    <col min="12033" max="12035" width="0" style="232" hidden="1" customWidth="1"/>
    <col min="12036" max="12037" width="41.125" style="232" customWidth="1"/>
    <col min="12038" max="12038" width="7" style="232" customWidth="1"/>
    <col min="12039" max="12039" width="0" style="232" hidden="1" customWidth="1"/>
    <col min="12040" max="12041" width="29" style="232" customWidth="1"/>
    <col min="12042" max="12042" width="4.75" style="232" customWidth="1"/>
    <col min="12043" max="12043" width="18.125" style="232" customWidth="1"/>
    <col min="12044" max="12045" width="8.625" style="232" customWidth="1"/>
    <col min="12046" max="12288" width="9" style="232"/>
    <col min="12289" max="12291" width="0" style="232" hidden="1" customWidth="1"/>
    <col min="12292" max="12293" width="41.125" style="232" customWidth="1"/>
    <col min="12294" max="12294" width="7" style="232" customWidth="1"/>
    <col min="12295" max="12295" width="0" style="232" hidden="1" customWidth="1"/>
    <col min="12296" max="12297" width="29" style="232" customWidth="1"/>
    <col min="12298" max="12298" width="4.75" style="232" customWidth="1"/>
    <col min="12299" max="12299" width="18.125" style="232" customWidth="1"/>
    <col min="12300" max="12301" width="8.625" style="232" customWidth="1"/>
    <col min="12302" max="12544" width="9" style="232"/>
    <col min="12545" max="12547" width="0" style="232" hidden="1" customWidth="1"/>
    <col min="12548" max="12549" width="41.125" style="232" customWidth="1"/>
    <col min="12550" max="12550" width="7" style="232" customWidth="1"/>
    <col min="12551" max="12551" width="0" style="232" hidden="1" customWidth="1"/>
    <col min="12552" max="12553" width="29" style="232" customWidth="1"/>
    <col min="12554" max="12554" width="4.75" style="232" customWidth="1"/>
    <col min="12555" max="12555" width="18.125" style="232" customWidth="1"/>
    <col min="12556" max="12557" width="8.625" style="232" customWidth="1"/>
    <col min="12558" max="12800" width="9" style="232"/>
    <col min="12801" max="12803" width="0" style="232" hidden="1" customWidth="1"/>
    <col min="12804" max="12805" width="41.125" style="232" customWidth="1"/>
    <col min="12806" max="12806" width="7" style="232" customWidth="1"/>
    <col min="12807" max="12807" width="0" style="232" hidden="1" customWidth="1"/>
    <col min="12808" max="12809" width="29" style="232" customWidth="1"/>
    <col min="12810" max="12810" width="4.75" style="232" customWidth="1"/>
    <col min="12811" max="12811" width="18.125" style="232" customWidth="1"/>
    <col min="12812" max="12813" width="8.625" style="232" customWidth="1"/>
    <col min="12814" max="13056" width="9" style="232"/>
    <col min="13057" max="13059" width="0" style="232" hidden="1" customWidth="1"/>
    <col min="13060" max="13061" width="41.125" style="232" customWidth="1"/>
    <col min="13062" max="13062" width="7" style="232" customWidth="1"/>
    <col min="13063" max="13063" width="0" style="232" hidden="1" customWidth="1"/>
    <col min="13064" max="13065" width="29" style="232" customWidth="1"/>
    <col min="13066" max="13066" width="4.75" style="232" customWidth="1"/>
    <col min="13067" max="13067" width="18.125" style="232" customWidth="1"/>
    <col min="13068" max="13069" width="8.625" style="232" customWidth="1"/>
    <col min="13070" max="13312" width="9" style="232"/>
    <col min="13313" max="13315" width="0" style="232" hidden="1" customWidth="1"/>
    <col min="13316" max="13317" width="41.125" style="232" customWidth="1"/>
    <col min="13318" max="13318" width="7" style="232" customWidth="1"/>
    <col min="13319" max="13319" width="0" style="232" hidden="1" customWidth="1"/>
    <col min="13320" max="13321" width="29" style="232" customWidth="1"/>
    <col min="13322" max="13322" width="4.75" style="232" customWidth="1"/>
    <col min="13323" max="13323" width="18.125" style="232" customWidth="1"/>
    <col min="13324" max="13325" width="8.625" style="232" customWidth="1"/>
    <col min="13326" max="13568" width="9" style="232"/>
    <col min="13569" max="13571" width="0" style="232" hidden="1" customWidth="1"/>
    <col min="13572" max="13573" width="41.125" style="232" customWidth="1"/>
    <col min="13574" max="13574" width="7" style="232" customWidth="1"/>
    <col min="13575" max="13575" width="0" style="232" hidden="1" customWidth="1"/>
    <col min="13576" max="13577" width="29" style="232" customWidth="1"/>
    <col min="13578" max="13578" width="4.75" style="232" customWidth="1"/>
    <col min="13579" max="13579" width="18.125" style="232" customWidth="1"/>
    <col min="13580" max="13581" width="8.625" style="232" customWidth="1"/>
    <col min="13582" max="13824" width="9" style="232"/>
    <col min="13825" max="13827" width="0" style="232" hidden="1" customWidth="1"/>
    <col min="13828" max="13829" width="41.125" style="232" customWidth="1"/>
    <col min="13830" max="13830" width="7" style="232" customWidth="1"/>
    <col min="13831" max="13831" width="0" style="232" hidden="1" customWidth="1"/>
    <col min="13832" max="13833" width="29" style="232" customWidth="1"/>
    <col min="13834" max="13834" width="4.75" style="232" customWidth="1"/>
    <col min="13835" max="13835" width="18.125" style="232" customWidth="1"/>
    <col min="13836" max="13837" width="8.625" style="232" customWidth="1"/>
    <col min="13838" max="14080" width="9" style="232"/>
    <col min="14081" max="14083" width="0" style="232" hidden="1" customWidth="1"/>
    <col min="14084" max="14085" width="41.125" style="232" customWidth="1"/>
    <col min="14086" max="14086" width="7" style="232" customWidth="1"/>
    <col min="14087" max="14087" width="0" style="232" hidden="1" customWidth="1"/>
    <col min="14088" max="14089" width="29" style="232" customWidth="1"/>
    <col min="14090" max="14090" width="4.75" style="232" customWidth="1"/>
    <col min="14091" max="14091" width="18.125" style="232" customWidth="1"/>
    <col min="14092" max="14093" width="8.625" style="232" customWidth="1"/>
    <col min="14094" max="14336" width="9" style="232"/>
    <col min="14337" max="14339" width="0" style="232" hidden="1" customWidth="1"/>
    <col min="14340" max="14341" width="41.125" style="232" customWidth="1"/>
    <col min="14342" max="14342" width="7" style="232" customWidth="1"/>
    <col min="14343" max="14343" width="0" style="232" hidden="1" customWidth="1"/>
    <col min="14344" max="14345" width="29" style="232" customWidth="1"/>
    <col min="14346" max="14346" width="4.75" style="232" customWidth="1"/>
    <col min="14347" max="14347" width="18.125" style="232" customWidth="1"/>
    <col min="14348" max="14349" width="8.625" style="232" customWidth="1"/>
    <col min="14350" max="14592" width="9" style="232"/>
    <col min="14593" max="14595" width="0" style="232" hidden="1" customWidth="1"/>
    <col min="14596" max="14597" width="41.125" style="232" customWidth="1"/>
    <col min="14598" max="14598" width="7" style="232" customWidth="1"/>
    <col min="14599" max="14599" width="0" style="232" hidden="1" customWidth="1"/>
    <col min="14600" max="14601" width="29" style="232" customWidth="1"/>
    <col min="14602" max="14602" width="4.75" style="232" customWidth="1"/>
    <col min="14603" max="14603" width="18.125" style="232" customWidth="1"/>
    <col min="14604" max="14605" width="8.625" style="232" customWidth="1"/>
    <col min="14606" max="14848" width="9" style="232"/>
    <col min="14849" max="14851" width="0" style="232" hidden="1" customWidth="1"/>
    <col min="14852" max="14853" width="41.125" style="232" customWidth="1"/>
    <col min="14854" max="14854" width="7" style="232" customWidth="1"/>
    <col min="14855" max="14855" width="0" style="232" hidden="1" customWidth="1"/>
    <col min="14856" max="14857" width="29" style="232" customWidth="1"/>
    <col min="14858" max="14858" width="4.75" style="232" customWidth="1"/>
    <col min="14859" max="14859" width="18.125" style="232" customWidth="1"/>
    <col min="14860" max="14861" width="8.625" style="232" customWidth="1"/>
    <col min="14862" max="15104" width="9" style="232"/>
    <col min="15105" max="15107" width="0" style="232" hidden="1" customWidth="1"/>
    <col min="15108" max="15109" width="41.125" style="232" customWidth="1"/>
    <col min="15110" max="15110" width="7" style="232" customWidth="1"/>
    <col min="15111" max="15111" width="0" style="232" hidden="1" customWidth="1"/>
    <col min="15112" max="15113" width="29" style="232" customWidth="1"/>
    <col min="15114" max="15114" width="4.75" style="232" customWidth="1"/>
    <col min="15115" max="15115" width="18.125" style="232" customWidth="1"/>
    <col min="15116" max="15117" width="8.625" style="232" customWidth="1"/>
    <col min="15118" max="15360" width="9" style="232"/>
    <col min="15361" max="15363" width="0" style="232" hidden="1" customWidth="1"/>
    <col min="15364" max="15365" width="41.125" style="232" customWidth="1"/>
    <col min="15366" max="15366" width="7" style="232" customWidth="1"/>
    <col min="15367" max="15367" width="0" style="232" hidden="1" customWidth="1"/>
    <col min="15368" max="15369" width="29" style="232" customWidth="1"/>
    <col min="15370" max="15370" width="4.75" style="232" customWidth="1"/>
    <col min="15371" max="15371" width="18.125" style="232" customWidth="1"/>
    <col min="15372" max="15373" width="8.625" style="232" customWidth="1"/>
    <col min="15374" max="15616" width="9" style="232"/>
    <col min="15617" max="15619" width="0" style="232" hidden="1" customWidth="1"/>
    <col min="15620" max="15621" width="41.125" style="232" customWidth="1"/>
    <col min="15622" max="15622" width="7" style="232" customWidth="1"/>
    <col min="15623" max="15623" width="0" style="232" hidden="1" customWidth="1"/>
    <col min="15624" max="15625" width="29" style="232" customWidth="1"/>
    <col min="15626" max="15626" width="4.75" style="232" customWidth="1"/>
    <col min="15627" max="15627" width="18.125" style="232" customWidth="1"/>
    <col min="15628" max="15629" width="8.625" style="232" customWidth="1"/>
    <col min="15630" max="15872" width="9" style="232"/>
    <col min="15873" max="15875" width="0" style="232" hidden="1" customWidth="1"/>
    <col min="15876" max="15877" width="41.125" style="232" customWidth="1"/>
    <col min="15878" max="15878" width="7" style="232" customWidth="1"/>
    <col min="15879" max="15879" width="0" style="232" hidden="1" customWidth="1"/>
    <col min="15880" max="15881" width="29" style="232" customWidth="1"/>
    <col min="15882" max="15882" width="4.75" style="232" customWidth="1"/>
    <col min="15883" max="15883" width="18.125" style="232" customWidth="1"/>
    <col min="15884" max="15885" width="8.625" style="232" customWidth="1"/>
    <col min="15886" max="16128" width="9" style="232"/>
    <col min="16129" max="16131" width="0" style="232" hidden="1" customWidth="1"/>
    <col min="16132" max="16133" width="41.125" style="232" customWidth="1"/>
    <col min="16134" max="16134" width="7" style="232" customWidth="1"/>
    <col min="16135" max="16135" width="0" style="232" hidden="1" customWidth="1"/>
    <col min="16136" max="16137" width="29" style="232" customWidth="1"/>
    <col min="16138" max="16138" width="4.75" style="232" customWidth="1"/>
    <col min="16139" max="16139" width="18.125" style="232" customWidth="1"/>
    <col min="16140" max="16141" width="8.625" style="232" customWidth="1"/>
    <col min="16142" max="16384" width="9" style="232"/>
  </cols>
  <sheetData>
    <row r="3" spans="1:13" ht="15.95" customHeight="1">
      <c r="D3" s="1471" t="s">
        <v>4144</v>
      </c>
      <c r="E3" s="1472"/>
      <c r="F3" s="1472"/>
      <c r="G3" s="1472"/>
      <c r="H3" s="1472"/>
      <c r="I3" s="1472"/>
      <c r="J3" s="1472"/>
      <c r="K3" s="1472"/>
      <c r="L3" s="1472"/>
      <c r="M3" s="1472"/>
    </row>
    <row r="4" spans="1:13" ht="15.95" customHeight="1">
      <c r="A4" s="220" t="s">
        <v>4145</v>
      </c>
      <c r="B4" s="234" t="s">
        <v>4146</v>
      </c>
      <c r="C4" s="234" t="s">
        <v>4147</v>
      </c>
      <c r="D4" s="1473" t="s">
        <v>4148</v>
      </c>
      <c r="E4" s="1473" t="s">
        <v>4149</v>
      </c>
      <c r="F4" s="1476" t="s">
        <v>4150</v>
      </c>
      <c r="G4" s="1476" t="s">
        <v>4151</v>
      </c>
      <c r="H4" s="1473" t="s">
        <v>4152</v>
      </c>
      <c r="I4" s="1473" t="s">
        <v>4153</v>
      </c>
      <c r="J4" s="1473" t="s">
        <v>4154</v>
      </c>
      <c r="K4" s="1473" t="s">
        <v>4155</v>
      </c>
      <c r="L4" s="1473" t="s">
        <v>4156</v>
      </c>
      <c r="M4" s="1473" t="s">
        <v>4157</v>
      </c>
    </row>
    <row r="5" spans="1:13" ht="15.95" customHeight="1">
      <c r="A5" s="220"/>
      <c r="B5" s="234"/>
      <c r="C5" s="234"/>
      <c r="D5" s="1475"/>
      <c r="E5" s="1475"/>
      <c r="F5" s="1477"/>
      <c r="G5" s="1477"/>
      <c r="H5" s="1475"/>
      <c r="I5" s="1475"/>
      <c r="J5" s="1475"/>
      <c r="K5" s="1475"/>
      <c r="L5" s="1475"/>
      <c r="M5" s="1475"/>
    </row>
    <row r="6" spans="1:13" ht="15.95" customHeight="1">
      <c r="A6" s="232" t="s">
        <v>4158</v>
      </c>
      <c r="C6" s="233" t="s">
        <v>4159</v>
      </c>
      <c r="D6" s="235"/>
      <c r="E6" s="235"/>
      <c r="F6" s="236"/>
      <c r="G6" s="236"/>
      <c r="H6" s="237"/>
      <c r="I6" s="237"/>
      <c r="J6" s="238"/>
      <c r="K6" s="239"/>
      <c r="L6" s="239"/>
      <c r="M6" s="239"/>
    </row>
    <row r="7" spans="1:13" ht="15.95" customHeight="1">
      <c r="A7" s="232" t="s">
        <v>4158</v>
      </c>
      <c r="C7" s="233" t="s">
        <v>4160</v>
      </c>
      <c r="D7" s="240" t="s">
        <v>4161</v>
      </c>
      <c r="E7" s="240"/>
      <c r="F7" s="241"/>
      <c r="G7" s="241"/>
      <c r="H7" s="242"/>
      <c r="I7" s="242"/>
      <c r="J7" s="228"/>
      <c r="K7" s="243"/>
      <c r="L7" s="243"/>
      <c r="M7" s="243"/>
    </row>
    <row r="8" spans="1:13" ht="15.95" customHeight="1">
      <c r="A8" s="232" t="s">
        <v>4158</v>
      </c>
      <c r="B8" s="233" t="s">
        <v>4162</v>
      </c>
      <c r="D8" s="240" t="s">
        <v>4163</v>
      </c>
      <c r="E8" s="240" t="s">
        <v>4164</v>
      </c>
      <c r="F8" s="241" t="s">
        <v>4165</v>
      </c>
      <c r="G8" s="241" t="s">
        <v>2434</v>
      </c>
      <c r="H8" s="242" t="s">
        <v>4136</v>
      </c>
      <c r="I8" s="242" t="s">
        <v>2435</v>
      </c>
      <c r="J8" s="228" t="s">
        <v>4137</v>
      </c>
      <c r="K8" s="243" t="s">
        <v>4166</v>
      </c>
      <c r="L8" s="243" t="s">
        <v>4166</v>
      </c>
      <c r="M8" s="243" t="s">
        <v>4166</v>
      </c>
    </row>
    <row r="9" spans="1:13" ht="15.95" customHeight="1">
      <c r="A9" s="232" t="s">
        <v>4158</v>
      </c>
      <c r="B9" s="233" t="s">
        <v>4167</v>
      </c>
      <c r="D9" s="235"/>
      <c r="E9" s="235"/>
      <c r="F9" s="241"/>
      <c r="G9" s="241" t="s">
        <v>2445</v>
      </c>
      <c r="H9" s="242" t="s">
        <v>2367</v>
      </c>
      <c r="I9" s="242" t="s">
        <v>2366</v>
      </c>
      <c r="J9" s="228" t="s">
        <v>2365</v>
      </c>
      <c r="K9" s="243" t="s">
        <v>4166</v>
      </c>
      <c r="L9" s="243" t="s">
        <v>4166</v>
      </c>
      <c r="M9" s="243" t="s">
        <v>4166</v>
      </c>
    </row>
    <row r="10" spans="1:13" ht="15.95" customHeight="1">
      <c r="A10" s="232" t="s">
        <v>4158</v>
      </c>
      <c r="D10" s="240" t="s">
        <v>4168</v>
      </c>
      <c r="E10" s="240"/>
      <c r="F10" s="241"/>
      <c r="G10" s="241"/>
      <c r="H10" s="242"/>
      <c r="I10" s="242"/>
      <c r="J10" s="228"/>
      <c r="K10" s="243"/>
      <c r="L10" s="243"/>
      <c r="M10" s="243"/>
    </row>
    <row r="11" spans="1:13" ht="15.95" customHeight="1">
      <c r="A11" s="232" t="s">
        <v>4158</v>
      </c>
      <c r="B11" s="233" t="s">
        <v>4162</v>
      </c>
      <c r="D11" s="240" t="s">
        <v>4169</v>
      </c>
      <c r="E11" s="240" t="s">
        <v>4170</v>
      </c>
      <c r="F11" s="241" t="s">
        <v>4171</v>
      </c>
      <c r="G11" s="241" t="s">
        <v>2434</v>
      </c>
      <c r="H11" s="242" t="s">
        <v>4136</v>
      </c>
      <c r="I11" s="242" t="s">
        <v>2435</v>
      </c>
      <c r="J11" s="228" t="s">
        <v>4137</v>
      </c>
      <c r="K11" s="243" t="s">
        <v>4172</v>
      </c>
      <c r="L11" s="243" t="s">
        <v>4172</v>
      </c>
      <c r="M11" s="243" t="s">
        <v>4172</v>
      </c>
    </row>
    <row r="12" spans="1:13" ht="15.95" customHeight="1">
      <c r="A12" s="232" t="s">
        <v>4158</v>
      </c>
      <c r="B12" s="233" t="s">
        <v>4173</v>
      </c>
      <c r="D12" s="240" t="s">
        <v>4174</v>
      </c>
      <c r="E12" s="240" t="s">
        <v>2258</v>
      </c>
      <c r="F12" s="241" t="s">
        <v>2258</v>
      </c>
      <c r="G12" s="241" t="s">
        <v>2380</v>
      </c>
      <c r="H12" s="242" t="s">
        <v>2373</v>
      </c>
      <c r="I12" s="242" t="s">
        <v>2381</v>
      </c>
      <c r="J12" s="228" t="s">
        <v>321</v>
      </c>
      <c r="K12" s="243" t="s">
        <v>2258</v>
      </c>
      <c r="L12" s="243" t="s">
        <v>2258</v>
      </c>
      <c r="M12" s="243" t="s">
        <v>2258</v>
      </c>
    </row>
    <row r="13" spans="1:13" ht="15.95" customHeight="1">
      <c r="A13" s="232" t="s">
        <v>4158</v>
      </c>
      <c r="D13" s="240"/>
      <c r="E13" s="240"/>
      <c r="F13" s="241"/>
      <c r="G13" s="241"/>
      <c r="H13" s="242"/>
      <c r="I13" s="242"/>
      <c r="J13" s="228"/>
      <c r="K13" s="243"/>
      <c r="L13" s="243"/>
      <c r="M13" s="243"/>
    </row>
    <row r="14" spans="1:13" ht="15.95" customHeight="1">
      <c r="A14" s="232" t="s">
        <v>4158</v>
      </c>
      <c r="C14" s="233" t="s">
        <v>4175</v>
      </c>
      <c r="D14" s="240"/>
      <c r="E14" s="240"/>
      <c r="F14" s="241"/>
      <c r="G14" s="241"/>
      <c r="H14" s="242"/>
      <c r="I14" s="242"/>
      <c r="J14" s="228"/>
      <c r="K14" s="243"/>
      <c r="L14" s="243"/>
      <c r="M14" s="243"/>
    </row>
    <row r="15" spans="1:13" ht="15.95" customHeight="1">
      <c r="A15" s="232" t="s">
        <v>4158</v>
      </c>
      <c r="C15" s="233" t="s">
        <v>4160</v>
      </c>
      <c r="D15" s="240" t="s">
        <v>4161</v>
      </c>
      <c r="E15" s="240"/>
      <c r="F15" s="241"/>
      <c r="G15" s="241"/>
      <c r="H15" s="242"/>
      <c r="I15" s="242"/>
      <c r="J15" s="228"/>
      <c r="K15" s="243"/>
      <c r="L15" s="243"/>
      <c r="M15" s="243"/>
    </row>
    <row r="16" spans="1:13" ht="15.95" customHeight="1">
      <c r="A16" s="232" t="s">
        <v>4158</v>
      </c>
      <c r="B16" s="233" t="s">
        <v>4176</v>
      </c>
      <c r="D16" s="240" t="s">
        <v>4177</v>
      </c>
      <c r="E16" s="240" t="s">
        <v>4178</v>
      </c>
      <c r="F16" s="241" t="s">
        <v>4179</v>
      </c>
      <c r="G16" s="241" t="s">
        <v>2432</v>
      </c>
      <c r="H16" s="242" t="s">
        <v>4136</v>
      </c>
      <c r="I16" s="242" t="s">
        <v>2433</v>
      </c>
      <c r="J16" s="228" t="s">
        <v>4137</v>
      </c>
      <c r="K16" s="243" t="s">
        <v>4180</v>
      </c>
      <c r="L16" s="243" t="s">
        <v>4180</v>
      </c>
      <c r="M16" s="243" t="s">
        <v>4180</v>
      </c>
    </row>
    <row r="17" spans="1:13" ht="15.95" customHeight="1">
      <c r="A17" s="232" t="s">
        <v>4158</v>
      </c>
      <c r="B17" s="233" t="s">
        <v>4167</v>
      </c>
      <c r="D17" s="235"/>
      <c r="E17" s="235"/>
      <c r="F17" s="241"/>
      <c r="G17" s="241" t="s">
        <v>2445</v>
      </c>
      <c r="H17" s="242" t="s">
        <v>2367</v>
      </c>
      <c r="I17" s="242" t="s">
        <v>2366</v>
      </c>
      <c r="J17" s="228" t="s">
        <v>2365</v>
      </c>
      <c r="K17" s="243" t="s">
        <v>4180</v>
      </c>
      <c r="L17" s="243" t="s">
        <v>4180</v>
      </c>
      <c r="M17" s="243" t="s">
        <v>4180</v>
      </c>
    </row>
    <row r="18" spans="1:13" ht="15.95" customHeight="1">
      <c r="A18" s="232" t="s">
        <v>4158</v>
      </c>
      <c r="B18" s="233" t="s">
        <v>4162</v>
      </c>
      <c r="D18" s="240" t="s">
        <v>4181</v>
      </c>
      <c r="E18" s="240" t="s">
        <v>4182</v>
      </c>
      <c r="F18" s="241" t="s">
        <v>4183</v>
      </c>
      <c r="G18" s="241" t="s">
        <v>2434</v>
      </c>
      <c r="H18" s="242" t="s">
        <v>4136</v>
      </c>
      <c r="I18" s="242" t="s">
        <v>2435</v>
      </c>
      <c r="J18" s="228" t="s">
        <v>4137</v>
      </c>
      <c r="K18" s="243" t="s">
        <v>4184</v>
      </c>
      <c r="L18" s="243" t="s">
        <v>4184</v>
      </c>
      <c r="M18" s="243" t="s">
        <v>4184</v>
      </c>
    </row>
    <row r="19" spans="1:13" ht="15.95" customHeight="1">
      <c r="A19" s="232" t="s">
        <v>4158</v>
      </c>
      <c r="B19" s="233" t="s">
        <v>4167</v>
      </c>
      <c r="D19" s="235"/>
      <c r="E19" s="235"/>
      <c r="F19" s="241"/>
      <c r="G19" s="241" t="s">
        <v>2445</v>
      </c>
      <c r="H19" s="242" t="s">
        <v>2367</v>
      </c>
      <c r="I19" s="242" t="s">
        <v>2366</v>
      </c>
      <c r="J19" s="228" t="s">
        <v>2365</v>
      </c>
      <c r="K19" s="243" t="s">
        <v>4184</v>
      </c>
      <c r="L19" s="243" t="s">
        <v>4184</v>
      </c>
      <c r="M19" s="243" t="s">
        <v>4184</v>
      </c>
    </row>
    <row r="20" spans="1:13" ht="15.95" customHeight="1">
      <c r="A20" s="232" t="s">
        <v>4158</v>
      </c>
      <c r="B20" s="233" t="s">
        <v>4162</v>
      </c>
      <c r="D20" s="240" t="s">
        <v>4185</v>
      </c>
      <c r="E20" s="240" t="s">
        <v>4186</v>
      </c>
      <c r="F20" s="241" t="s">
        <v>4165</v>
      </c>
      <c r="G20" s="241" t="s">
        <v>2434</v>
      </c>
      <c r="H20" s="242" t="s">
        <v>4136</v>
      </c>
      <c r="I20" s="242" t="s">
        <v>2435</v>
      </c>
      <c r="J20" s="228" t="s">
        <v>4137</v>
      </c>
      <c r="K20" s="243" t="s">
        <v>4187</v>
      </c>
      <c r="L20" s="243" t="s">
        <v>4187</v>
      </c>
      <c r="M20" s="243" t="s">
        <v>4187</v>
      </c>
    </row>
    <row r="21" spans="1:13" ht="15.95" customHeight="1">
      <c r="A21" s="232" t="s">
        <v>4158</v>
      </c>
      <c r="B21" s="233" t="s">
        <v>4167</v>
      </c>
      <c r="D21" s="235"/>
      <c r="E21" s="235"/>
      <c r="F21" s="241"/>
      <c r="G21" s="241" t="s">
        <v>2445</v>
      </c>
      <c r="H21" s="242" t="s">
        <v>2367</v>
      </c>
      <c r="I21" s="242" t="s">
        <v>2366</v>
      </c>
      <c r="J21" s="228" t="s">
        <v>2365</v>
      </c>
      <c r="K21" s="243" t="s">
        <v>4187</v>
      </c>
      <c r="L21" s="243" t="s">
        <v>4187</v>
      </c>
      <c r="M21" s="243" t="s">
        <v>4187</v>
      </c>
    </row>
    <row r="22" spans="1:13" ht="15.95" customHeight="1">
      <c r="A22" s="232" t="s">
        <v>4158</v>
      </c>
      <c r="B22" s="233" t="s">
        <v>4162</v>
      </c>
      <c r="D22" s="240" t="s">
        <v>4188</v>
      </c>
      <c r="E22" s="240" t="s">
        <v>4189</v>
      </c>
      <c r="F22" s="241" t="s">
        <v>4190</v>
      </c>
      <c r="G22" s="241" t="s">
        <v>2434</v>
      </c>
      <c r="H22" s="242" t="s">
        <v>4136</v>
      </c>
      <c r="I22" s="242" t="s">
        <v>2435</v>
      </c>
      <c r="J22" s="228" t="s">
        <v>4137</v>
      </c>
      <c r="K22" s="243" t="s">
        <v>4191</v>
      </c>
      <c r="L22" s="243" t="s">
        <v>4191</v>
      </c>
      <c r="M22" s="243" t="s">
        <v>4191</v>
      </c>
    </row>
    <row r="23" spans="1:13" ht="15.95" customHeight="1">
      <c r="A23" s="232" t="s">
        <v>4158</v>
      </c>
      <c r="B23" s="233" t="s">
        <v>4167</v>
      </c>
      <c r="D23" s="235"/>
      <c r="E23" s="235"/>
      <c r="F23" s="241"/>
      <c r="G23" s="241" t="s">
        <v>2445</v>
      </c>
      <c r="H23" s="242" t="s">
        <v>2367</v>
      </c>
      <c r="I23" s="242" t="s">
        <v>2366</v>
      </c>
      <c r="J23" s="228" t="s">
        <v>2365</v>
      </c>
      <c r="K23" s="243" t="s">
        <v>4191</v>
      </c>
      <c r="L23" s="243" t="s">
        <v>4191</v>
      </c>
      <c r="M23" s="243" t="s">
        <v>4191</v>
      </c>
    </row>
    <row r="24" spans="1:13" ht="15.95" customHeight="1">
      <c r="A24" s="232" t="s">
        <v>4158</v>
      </c>
      <c r="B24" s="233" t="s">
        <v>4162</v>
      </c>
      <c r="D24" s="240" t="s">
        <v>4188</v>
      </c>
      <c r="E24" s="240" t="s">
        <v>4192</v>
      </c>
      <c r="F24" s="241" t="s">
        <v>4193</v>
      </c>
      <c r="G24" s="241" t="s">
        <v>2434</v>
      </c>
      <c r="H24" s="242" t="s">
        <v>4136</v>
      </c>
      <c r="I24" s="242" t="s">
        <v>2435</v>
      </c>
      <c r="J24" s="228" t="s">
        <v>4137</v>
      </c>
      <c r="K24" s="243" t="s">
        <v>4194</v>
      </c>
      <c r="L24" s="243" t="s">
        <v>4194</v>
      </c>
      <c r="M24" s="243" t="s">
        <v>4194</v>
      </c>
    </row>
    <row r="25" spans="1:13" ht="15.95" customHeight="1">
      <c r="A25" s="232" t="s">
        <v>4158</v>
      </c>
      <c r="B25" s="233" t="s">
        <v>4167</v>
      </c>
      <c r="D25" s="235"/>
      <c r="E25" s="235"/>
      <c r="F25" s="241"/>
      <c r="G25" s="241" t="s">
        <v>2445</v>
      </c>
      <c r="H25" s="242" t="s">
        <v>2367</v>
      </c>
      <c r="I25" s="242" t="s">
        <v>2366</v>
      </c>
      <c r="J25" s="228" t="s">
        <v>2365</v>
      </c>
      <c r="K25" s="243" t="s">
        <v>4194</v>
      </c>
      <c r="L25" s="243" t="s">
        <v>4194</v>
      </c>
      <c r="M25" s="243" t="s">
        <v>4194</v>
      </c>
    </row>
    <row r="26" spans="1:13" ht="15.95" customHeight="1">
      <c r="A26" s="232" t="s">
        <v>4158</v>
      </c>
      <c r="B26" s="233" t="s">
        <v>4162</v>
      </c>
      <c r="D26" s="240" t="s">
        <v>4195</v>
      </c>
      <c r="E26" s="240" t="s">
        <v>4196</v>
      </c>
      <c r="F26" s="241" t="s">
        <v>4197</v>
      </c>
      <c r="G26" s="241" t="s">
        <v>2434</v>
      </c>
      <c r="H26" s="242" t="s">
        <v>4136</v>
      </c>
      <c r="I26" s="242" t="s">
        <v>2435</v>
      </c>
      <c r="J26" s="228" t="s">
        <v>4137</v>
      </c>
      <c r="K26" s="243" t="s">
        <v>4197</v>
      </c>
      <c r="L26" s="243" t="s">
        <v>4197</v>
      </c>
      <c r="M26" s="243" t="s">
        <v>4197</v>
      </c>
    </row>
    <row r="27" spans="1:13" ht="15.95" customHeight="1">
      <c r="A27" s="232" t="s">
        <v>4158</v>
      </c>
      <c r="B27" s="233" t="s">
        <v>4167</v>
      </c>
      <c r="D27" s="235"/>
      <c r="E27" s="235"/>
      <c r="F27" s="241"/>
      <c r="G27" s="241" t="s">
        <v>2445</v>
      </c>
      <c r="H27" s="242" t="s">
        <v>2367</v>
      </c>
      <c r="I27" s="242" t="s">
        <v>2366</v>
      </c>
      <c r="J27" s="228" t="s">
        <v>2365</v>
      </c>
      <c r="K27" s="243" t="s">
        <v>4197</v>
      </c>
      <c r="L27" s="243" t="s">
        <v>4197</v>
      </c>
      <c r="M27" s="243" t="s">
        <v>4197</v>
      </c>
    </row>
    <row r="28" spans="1:13" ht="15.95" customHeight="1">
      <c r="A28" s="232" t="s">
        <v>4158</v>
      </c>
      <c r="D28" s="240" t="s">
        <v>4168</v>
      </c>
      <c r="E28" s="240"/>
      <c r="F28" s="241"/>
      <c r="G28" s="241"/>
      <c r="H28" s="242"/>
      <c r="I28" s="242"/>
      <c r="J28" s="228"/>
      <c r="K28" s="243"/>
      <c r="L28" s="243"/>
      <c r="M28" s="243"/>
    </row>
    <row r="29" spans="1:13" ht="15.95" customHeight="1">
      <c r="A29" s="232" t="s">
        <v>4158</v>
      </c>
      <c r="B29" s="233" t="s">
        <v>4198</v>
      </c>
      <c r="D29" s="240" t="s">
        <v>4199</v>
      </c>
      <c r="E29" s="240" t="s">
        <v>4200</v>
      </c>
      <c r="F29" s="241" t="s">
        <v>4201</v>
      </c>
      <c r="G29" s="241" t="s">
        <v>2429</v>
      </c>
      <c r="H29" s="242" t="s">
        <v>4136</v>
      </c>
      <c r="I29" s="242" t="s">
        <v>2430</v>
      </c>
      <c r="J29" s="228" t="s">
        <v>4137</v>
      </c>
      <c r="K29" s="243" t="s">
        <v>4202</v>
      </c>
      <c r="L29" s="243" t="s">
        <v>4202</v>
      </c>
      <c r="M29" s="243" t="s">
        <v>4202</v>
      </c>
    </row>
    <row r="30" spans="1:13" ht="15.95" customHeight="1">
      <c r="A30" s="232" t="s">
        <v>4158</v>
      </c>
      <c r="B30" s="233" t="s">
        <v>4176</v>
      </c>
      <c r="D30" s="240" t="s">
        <v>4203</v>
      </c>
      <c r="E30" s="240" t="s">
        <v>4204</v>
      </c>
      <c r="F30" s="241" t="s">
        <v>4201</v>
      </c>
      <c r="G30" s="241" t="s">
        <v>2432</v>
      </c>
      <c r="H30" s="242" t="s">
        <v>4136</v>
      </c>
      <c r="I30" s="242" t="s">
        <v>2433</v>
      </c>
      <c r="J30" s="228" t="s">
        <v>4137</v>
      </c>
      <c r="K30" s="243" t="s">
        <v>4205</v>
      </c>
      <c r="L30" s="243" t="s">
        <v>4205</v>
      </c>
      <c r="M30" s="243" t="s">
        <v>4205</v>
      </c>
    </row>
    <row r="31" spans="1:13" ht="15.95" customHeight="1">
      <c r="A31" s="232" t="s">
        <v>4158</v>
      </c>
      <c r="B31" s="233" t="s">
        <v>4162</v>
      </c>
      <c r="D31" s="240" t="s">
        <v>4206</v>
      </c>
      <c r="E31" s="240" t="s">
        <v>4207</v>
      </c>
      <c r="F31" s="241" t="s">
        <v>4208</v>
      </c>
      <c r="G31" s="241" t="s">
        <v>2434</v>
      </c>
      <c r="H31" s="242" t="s">
        <v>4136</v>
      </c>
      <c r="I31" s="242" t="s">
        <v>2435</v>
      </c>
      <c r="J31" s="228" t="s">
        <v>4137</v>
      </c>
      <c r="K31" s="243" t="s">
        <v>4209</v>
      </c>
      <c r="L31" s="243" t="s">
        <v>4209</v>
      </c>
      <c r="M31" s="243" t="s">
        <v>4209</v>
      </c>
    </row>
    <row r="32" spans="1:13" ht="15.95" customHeight="1">
      <c r="A32" s="232" t="s">
        <v>4158</v>
      </c>
      <c r="B32" s="233" t="s">
        <v>4162</v>
      </c>
      <c r="D32" s="240" t="s">
        <v>4210</v>
      </c>
      <c r="E32" s="240" t="s">
        <v>4211</v>
      </c>
      <c r="F32" s="241" t="s">
        <v>4212</v>
      </c>
      <c r="G32" s="241" t="s">
        <v>2434</v>
      </c>
      <c r="H32" s="242" t="s">
        <v>4136</v>
      </c>
      <c r="I32" s="242" t="s">
        <v>2435</v>
      </c>
      <c r="J32" s="228" t="s">
        <v>4137</v>
      </c>
      <c r="K32" s="243" t="s">
        <v>4209</v>
      </c>
      <c r="L32" s="243" t="s">
        <v>4209</v>
      </c>
      <c r="M32" s="243" t="s">
        <v>4209</v>
      </c>
    </row>
    <row r="33" spans="1:13" ht="15.95" customHeight="1">
      <c r="A33" s="232" t="s">
        <v>4158</v>
      </c>
      <c r="B33" s="233" t="s">
        <v>4162</v>
      </c>
      <c r="D33" s="240" t="s">
        <v>4210</v>
      </c>
      <c r="E33" s="240" t="s">
        <v>4213</v>
      </c>
      <c r="F33" s="241" t="s">
        <v>4214</v>
      </c>
      <c r="G33" s="241" t="s">
        <v>2434</v>
      </c>
      <c r="H33" s="242" t="s">
        <v>4136</v>
      </c>
      <c r="I33" s="242" t="s">
        <v>2435</v>
      </c>
      <c r="J33" s="228" t="s">
        <v>4137</v>
      </c>
      <c r="K33" s="243" t="s">
        <v>4190</v>
      </c>
      <c r="L33" s="243" t="s">
        <v>4190</v>
      </c>
      <c r="M33" s="243" t="s">
        <v>4190</v>
      </c>
    </row>
    <row r="34" spans="1:13" ht="15.95" customHeight="1">
      <c r="A34" s="232" t="s">
        <v>4158</v>
      </c>
      <c r="B34" s="233" t="s">
        <v>4162</v>
      </c>
      <c r="D34" s="240" t="s">
        <v>4210</v>
      </c>
      <c r="E34" s="240" t="s">
        <v>4215</v>
      </c>
      <c r="F34" s="241" t="s">
        <v>4216</v>
      </c>
      <c r="G34" s="241" t="s">
        <v>2434</v>
      </c>
      <c r="H34" s="242" t="s">
        <v>4136</v>
      </c>
      <c r="I34" s="242" t="s">
        <v>2435</v>
      </c>
      <c r="J34" s="228" t="s">
        <v>4137</v>
      </c>
      <c r="K34" s="243" t="s">
        <v>4217</v>
      </c>
      <c r="L34" s="243" t="s">
        <v>4217</v>
      </c>
      <c r="M34" s="243" t="s">
        <v>4217</v>
      </c>
    </row>
    <row r="35" spans="1:13" ht="15.95" customHeight="1">
      <c r="A35" s="232" t="s">
        <v>4158</v>
      </c>
      <c r="B35" s="233" t="s">
        <v>4162</v>
      </c>
      <c r="D35" s="240" t="s">
        <v>4218</v>
      </c>
      <c r="E35" s="240" t="s">
        <v>4219</v>
      </c>
      <c r="F35" s="241" t="s">
        <v>4165</v>
      </c>
      <c r="G35" s="241" t="s">
        <v>2434</v>
      </c>
      <c r="H35" s="242" t="s">
        <v>4136</v>
      </c>
      <c r="I35" s="242" t="s">
        <v>2435</v>
      </c>
      <c r="J35" s="228" t="s">
        <v>4137</v>
      </c>
      <c r="K35" s="243" t="s">
        <v>4165</v>
      </c>
      <c r="L35" s="243" t="s">
        <v>4165</v>
      </c>
      <c r="M35" s="243" t="s">
        <v>4165</v>
      </c>
    </row>
    <row r="36" spans="1:13" ht="15.95" customHeight="1">
      <c r="A36" s="232" t="s">
        <v>4158</v>
      </c>
      <c r="B36" s="233" t="s">
        <v>4162</v>
      </c>
      <c r="D36" s="240" t="s">
        <v>4169</v>
      </c>
      <c r="E36" s="240" t="s">
        <v>4220</v>
      </c>
      <c r="F36" s="241" t="s">
        <v>4221</v>
      </c>
      <c r="G36" s="241" t="s">
        <v>2434</v>
      </c>
      <c r="H36" s="242" t="s">
        <v>4136</v>
      </c>
      <c r="I36" s="242" t="s">
        <v>2435</v>
      </c>
      <c r="J36" s="228" t="s">
        <v>4137</v>
      </c>
      <c r="K36" s="243" t="s">
        <v>4222</v>
      </c>
      <c r="L36" s="243" t="s">
        <v>4222</v>
      </c>
      <c r="M36" s="243" t="s">
        <v>4222</v>
      </c>
    </row>
    <row r="37" spans="1:13" ht="15.95" customHeight="1">
      <c r="A37" s="232" t="s">
        <v>4158</v>
      </c>
      <c r="B37" s="233" t="s">
        <v>4162</v>
      </c>
      <c r="D37" s="240" t="s">
        <v>4206</v>
      </c>
      <c r="E37" s="240" t="s">
        <v>4223</v>
      </c>
      <c r="F37" s="241" t="s">
        <v>4224</v>
      </c>
      <c r="G37" s="241" t="s">
        <v>2434</v>
      </c>
      <c r="H37" s="242" t="s">
        <v>4136</v>
      </c>
      <c r="I37" s="242" t="s">
        <v>2435</v>
      </c>
      <c r="J37" s="228" t="s">
        <v>4137</v>
      </c>
      <c r="K37" s="243" t="s">
        <v>4225</v>
      </c>
      <c r="L37" s="243" t="s">
        <v>4225</v>
      </c>
      <c r="M37" s="243" t="s">
        <v>4225</v>
      </c>
    </row>
    <row r="38" spans="1:13" ht="15.95" customHeight="1">
      <c r="A38" s="232" t="s">
        <v>4158</v>
      </c>
      <c r="B38" s="233" t="s">
        <v>4226</v>
      </c>
      <c r="D38" s="240" t="s">
        <v>4227</v>
      </c>
      <c r="E38" s="240" t="s">
        <v>4228</v>
      </c>
      <c r="F38" s="241" t="s">
        <v>4229</v>
      </c>
      <c r="G38" s="241" t="s">
        <v>2388</v>
      </c>
      <c r="H38" s="242" t="s">
        <v>2373</v>
      </c>
      <c r="I38" s="242" t="s">
        <v>2389</v>
      </c>
      <c r="J38" s="228" t="s">
        <v>321</v>
      </c>
      <c r="K38" s="243" t="s">
        <v>2258</v>
      </c>
      <c r="L38" s="243" t="s">
        <v>2258</v>
      </c>
      <c r="M38" s="243" t="s">
        <v>4229</v>
      </c>
    </row>
    <row r="39" spans="1:13" ht="15.95" customHeight="1">
      <c r="A39" s="232" t="s">
        <v>4158</v>
      </c>
      <c r="B39" s="233" t="s">
        <v>4230</v>
      </c>
      <c r="D39" s="240" t="s">
        <v>4231</v>
      </c>
      <c r="E39" s="240" t="s">
        <v>4228</v>
      </c>
      <c r="F39" s="241" t="s">
        <v>4229</v>
      </c>
      <c r="G39" s="241" t="s">
        <v>2386</v>
      </c>
      <c r="H39" s="242" t="s">
        <v>2373</v>
      </c>
      <c r="I39" s="242" t="s">
        <v>2387</v>
      </c>
      <c r="J39" s="228" t="s">
        <v>321</v>
      </c>
      <c r="K39" s="243" t="s">
        <v>2258</v>
      </c>
      <c r="L39" s="243" t="s">
        <v>2258</v>
      </c>
      <c r="M39" s="243" t="s">
        <v>4229</v>
      </c>
    </row>
    <row r="40" spans="1:13" ht="15.95" customHeight="1">
      <c r="A40" s="232" t="s">
        <v>4158</v>
      </c>
      <c r="B40" s="233" t="s">
        <v>4232</v>
      </c>
      <c r="D40" s="240" t="s">
        <v>4233</v>
      </c>
      <c r="E40" s="240" t="s">
        <v>4234</v>
      </c>
      <c r="F40" s="241" t="s">
        <v>4235</v>
      </c>
      <c r="G40" s="241" t="s">
        <v>2382</v>
      </c>
      <c r="H40" s="242" t="s">
        <v>2373</v>
      </c>
      <c r="I40" s="242" t="s">
        <v>2383</v>
      </c>
      <c r="J40" s="228" t="s">
        <v>321</v>
      </c>
      <c r="K40" s="243" t="s">
        <v>2258</v>
      </c>
      <c r="L40" s="243" t="s">
        <v>2258</v>
      </c>
      <c r="M40" s="243" t="s">
        <v>4235</v>
      </c>
    </row>
    <row r="41" spans="1:13" ht="15.95" customHeight="1">
      <c r="A41" s="232" t="s">
        <v>4158</v>
      </c>
      <c r="B41" s="233" t="s">
        <v>4236</v>
      </c>
      <c r="D41" s="240" t="s">
        <v>4237</v>
      </c>
      <c r="E41" s="240" t="s">
        <v>2258</v>
      </c>
      <c r="F41" s="241" t="s">
        <v>2258</v>
      </c>
      <c r="G41" s="241" t="s">
        <v>2371</v>
      </c>
      <c r="H41" s="242" t="s">
        <v>2373</v>
      </c>
      <c r="I41" s="242" t="s">
        <v>2372</v>
      </c>
      <c r="J41" s="228" t="s">
        <v>321</v>
      </c>
      <c r="K41" s="243" t="s">
        <v>2258</v>
      </c>
      <c r="L41" s="243" t="s">
        <v>2258</v>
      </c>
      <c r="M41" s="243" t="s">
        <v>2258</v>
      </c>
    </row>
    <row r="42" spans="1:13" ht="15.95" customHeight="1">
      <c r="A42" s="232" t="s">
        <v>4158</v>
      </c>
      <c r="D42" s="240"/>
      <c r="E42" s="240"/>
      <c r="F42" s="241"/>
      <c r="G42" s="241"/>
      <c r="H42" s="242"/>
      <c r="I42" s="242"/>
      <c r="J42" s="228"/>
      <c r="K42" s="243"/>
      <c r="L42" s="243"/>
      <c r="M42" s="243"/>
    </row>
    <row r="43" spans="1:13" ht="15.95" customHeight="1">
      <c r="A43" s="232" t="s">
        <v>4158</v>
      </c>
      <c r="B43" s="233" t="s">
        <v>4238</v>
      </c>
      <c r="D43" s="240" t="s">
        <v>4239</v>
      </c>
      <c r="E43" s="240" t="s">
        <v>4240</v>
      </c>
      <c r="F43" s="241" t="s">
        <v>4241</v>
      </c>
      <c r="G43" s="241" t="s">
        <v>2413</v>
      </c>
      <c r="H43" s="242" t="s">
        <v>4143</v>
      </c>
      <c r="I43" s="242" t="s">
        <v>2414</v>
      </c>
      <c r="J43" s="228" t="s">
        <v>321</v>
      </c>
      <c r="K43" s="243" t="s">
        <v>2258</v>
      </c>
      <c r="L43" s="243" t="s">
        <v>2258</v>
      </c>
      <c r="M43" s="243" t="s">
        <v>4241</v>
      </c>
    </row>
    <row r="44" spans="1:13" ht="15.95" customHeight="1">
      <c r="A44" s="232" t="s">
        <v>4158</v>
      </c>
      <c r="B44" s="233" t="s">
        <v>4242</v>
      </c>
      <c r="D44" s="235"/>
      <c r="E44" s="235"/>
      <c r="F44" s="241"/>
      <c r="G44" s="241" t="s">
        <v>2427</v>
      </c>
      <c r="H44" s="242" t="s">
        <v>4138</v>
      </c>
      <c r="I44" s="242" t="s">
        <v>4139</v>
      </c>
      <c r="J44" s="228" t="s">
        <v>4140</v>
      </c>
      <c r="K44" s="243" t="s">
        <v>4243</v>
      </c>
      <c r="L44" s="243" t="s">
        <v>4243</v>
      </c>
      <c r="M44" s="243" t="s">
        <v>4244</v>
      </c>
    </row>
    <row r="45" spans="1:13" ht="15.95" customHeight="1">
      <c r="A45" s="232" t="s">
        <v>4158</v>
      </c>
      <c r="B45" s="233" t="s">
        <v>4167</v>
      </c>
      <c r="C45" s="233" t="s">
        <v>4245</v>
      </c>
      <c r="D45" s="237"/>
      <c r="E45" s="237"/>
      <c r="F45" s="241"/>
      <c r="G45" s="241" t="s">
        <v>2445</v>
      </c>
      <c r="H45" s="242" t="s">
        <v>2367</v>
      </c>
      <c r="I45" s="242" t="s">
        <v>2366</v>
      </c>
      <c r="J45" s="228" t="s">
        <v>2365</v>
      </c>
      <c r="K45" s="243" t="s">
        <v>4246</v>
      </c>
      <c r="L45" s="243" t="s">
        <v>4247</v>
      </c>
      <c r="M45" s="243" t="s">
        <v>4248</v>
      </c>
    </row>
    <row r="46" spans="1:13" ht="15.95" customHeight="1">
      <c r="D46" s="244"/>
      <c r="E46" s="244"/>
    </row>
    <row r="47" spans="1:13" ht="15.95" customHeight="1">
      <c r="D47" s="244"/>
      <c r="E47" s="244"/>
    </row>
    <row r="48" spans="1:13" ht="15.95" customHeight="1">
      <c r="B48" s="233" t="s">
        <v>4249</v>
      </c>
      <c r="D48" s="1471" t="s">
        <v>4144</v>
      </c>
      <c r="E48" s="1472"/>
      <c r="F48" s="1472"/>
      <c r="G48" s="1472"/>
      <c r="H48" s="1472"/>
      <c r="I48" s="1472"/>
      <c r="J48" s="1472"/>
      <c r="K48" s="1472"/>
      <c r="L48" s="1472"/>
      <c r="M48" s="1472"/>
    </row>
    <row r="49" spans="1:13" ht="15.95" customHeight="1">
      <c r="A49" s="220" t="s">
        <v>4145</v>
      </c>
      <c r="B49" s="234" t="s">
        <v>4146</v>
      </c>
      <c r="C49" s="234" t="s">
        <v>4147</v>
      </c>
      <c r="D49" s="1473" t="s">
        <v>4148</v>
      </c>
      <c r="E49" s="1473" t="s">
        <v>4149</v>
      </c>
      <c r="F49" s="1476" t="s">
        <v>4150</v>
      </c>
      <c r="G49" s="1476" t="s">
        <v>4151</v>
      </c>
      <c r="H49" s="1473" t="s">
        <v>4152</v>
      </c>
      <c r="I49" s="1473" t="s">
        <v>4153</v>
      </c>
      <c r="J49" s="1473" t="s">
        <v>4154</v>
      </c>
      <c r="K49" s="1473" t="s">
        <v>4155</v>
      </c>
      <c r="L49" s="1473" t="s">
        <v>4156</v>
      </c>
      <c r="M49" s="1473" t="s">
        <v>4157</v>
      </c>
    </row>
    <row r="50" spans="1:13" ht="15.95" customHeight="1">
      <c r="A50" s="220"/>
      <c r="B50" s="234"/>
      <c r="C50" s="234"/>
      <c r="D50" s="1475"/>
      <c r="E50" s="1475"/>
      <c r="F50" s="1477"/>
      <c r="G50" s="1477"/>
      <c r="H50" s="1475"/>
      <c r="I50" s="1475"/>
      <c r="J50" s="1475"/>
      <c r="K50" s="1475"/>
      <c r="L50" s="1475"/>
      <c r="M50" s="1475"/>
    </row>
    <row r="51" spans="1:13" ht="15.95" customHeight="1">
      <c r="A51" s="232" t="s">
        <v>4158</v>
      </c>
      <c r="B51" s="233" t="s">
        <v>2423</v>
      </c>
      <c r="C51" s="233" t="s">
        <v>4250</v>
      </c>
      <c r="D51" s="235"/>
      <c r="E51" s="235"/>
      <c r="F51" s="236"/>
      <c r="G51" s="236" t="s">
        <v>2422</v>
      </c>
      <c r="H51" s="237" t="s">
        <v>4142</v>
      </c>
      <c r="I51" s="237" t="s">
        <v>2423</v>
      </c>
      <c r="J51" s="238" t="s">
        <v>321</v>
      </c>
      <c r="K51" s="239" t="s">
        <v>2258</v>
      </c>
      <c r="L51" s="239" t="s">
        <v>2258</v>
      </c>
      <c r="M51" s="239" t="s">
        <v>4241</v>
      </c>
    </row>
    <row r="52" spans="1:13" ht="15.95" customHeight="1">
      <c r="A52" s="232" t="s">
        <v>4158</v>
      </c>
      <c r="B52" s="233" t="s">
        <v>2419</v>
      </c>
      <c r="D52" s="235"/>
      <c r="E52" s="235"/>
      <c r="F52" s="241"/>
      <c r="G52" s="241" t="s">
        <v>2418</v>
      </c>
      <c r="H52" s="242" t="s">
        <v>4142</v>
      </c>
      <c r="I52" s="242" t="s">
        <v>2419</v>
      </c>
      <c r="J52" s="228" t="s">
        <v>321</v>
      </c>
      <c r="K52" s="243" t="s">
        <v>2256</v>
      </c>
      <c r="L52" s="243" t="s">
        <v>2256</v>
      </c>
      <c r="M52" s="243" t="s">
        <v>4251</v>
      </c>
    </row>
    <row r="53" spans="1:13" ht="15.95" customHeight="1">
      <c r="A53" s="232" t="s">
        <v>4158</v>
      </c>
      <c r="B53" s="233" t="s">
        <v>4252</v>
      </c>
      <c r="D53" s="240" t="s">
        <v>4253</v>
      </c>
      <c r="E53" s="240" t="s">
        <v>4254</v>
      </c>
      <c r="F53" s="241" t="s">
        <v>1981</v>
      </c>
      <c r="G53" s="241" t="s">
        <v>2410</v>
      </c>
      <c r="H53" s="242" t="s">
        <v>4143</v>
      </c>
      <c r="I53" s="242" t="s">
        <v>2411</v>
      </c>
      <c r="J53" s="228" t="s">
        <v>321</v>
      </c>
      <c r="K53" s="243" t="s">
        <v>2258</v>
      </c>
      <c r="L53" s="243" t="s">
        <v>2258</v>
      </c>
      <c r="M53" s="243" t="s">
        <v>1981</v>
      </c>
    </row>
    <row r="54" spans="1:13" ht="15.95" customHeight="1">
      <c r="A54" s="232" t="s">
        <v>4158</v>
      </c>
      <c r="B54" s="233" t="s">
        <v>4255</v>
      </c>
      <c r="D54" s="235"/>
      <c r="E54" s="235"/>
      <c r="F54" s="241"/>
      <c r="G54" s="241" t="s">
        <v>2424</v>
      </c>
      <c r="H54" s="242" t="s">
        <v>4138</v>
      </c>
      <c r="I54" s="242" t="s">
        <v>4141</v>
      </c>
      <c r="J54" s="228" t="s">
        <v>4140</v>
      </c>
      <c r="K54" s="243" t="s">
        <v>4243</v>
      </c>
      <c r="L54" s="243" t="s">
        <v>4243</v>
      </c>
      <c r="M54" s="243" t="s">
        <v>4256</v>
      </c>
    </row>
    <row r="55" spans="1:13" ht="15.95" customHeight="1">
      <c r="A55" s="232" t="s">
        <v>4158</v>
      </c>
      <c r="B55" s="233" t="s">
        <v>4167</v>
      </c>
      <c r="D55" s="235"/>
      <c r="E55" s="235"/>
      <c r="F55" s="241"/>
      <c r="G55" s="241" t="s">
        <v>2445</v>
      </c>
      <c r="H55" s="242" t="s">
        <v>2367</v>
      </c>
      <c r="I55" s="242" t="s">
        <v>2366</v>
      </c>
      <c r="J55" s="228" t="s">
        <v>2365</v>
      </c>
      <c r="K55" s="243" t="s">
        <v>4257</v>
      </c>
      <c r="L55" s="243" t="s">
        <v>4258</v>
      </c>
      <c r="M55" s="243" t="s">
        <v>4259</v>
      </c>
    </row>
    <row r="56" spans="1:13" ht="15.95" customHeight="1">
      <c r="A56" s="232" t="s">
        <v>4158</v>
      </c>
      <c r="B56" s="233" t="s">
        <v>2421</v>
      </c>
      <c r="D56" s="235"/>
      <c r="E56" s="235"/>
      <c r="F56" s="241"/>
      <c r="G56" s="241" t="s">
        <v>2420</v>
      </c>
      <c r="H56" s="242" t="s">
        <v>4142</v>
      </c>
      <c r="I56" s="242" t="s">
        <v>2421</v>
      </c>
      <c r="J56" s="228" t="s">
        <v>321</v>
      </c>
      <c r="K56" s="243" t="s">
        <v>2258</v>
      </c>
      <c r="L56" s="243" t="s">
        <v>2258</v>
      </c>
      <c r="M56" s="243" t="s">
        <v>1981</v>
      </c>
    </row>
    <row r="57" spans="1:13" ht="15.95" customHeight="1">
      <c r="A57" s="232" t="s">
        <v>4158</v>
      </c>
      <c r="B57" s="233" t="s">
        <v>2416</v>
      </c>
      <c r="D57" s="235"/>
      <c r="E57" s="235"/>
      <c r="F57" s="241"/>
      <c r="G57" s="241" t="s">
        <v>2415</v>
      </c>
      <c r="H57" s="242" t="s">
        <v>4142</v>
      </c>
      <c r="I57" s="242" t="s">
        <v>2416</v>
      </c>
      <c r="J57" s="228" t="s">
        <v>321</v>
      </c>
      <c r="K57" s="243" t="s">
        <v>2256</v>
      </c>
      <c r="L57" s="243" t="s">
        <v>2256</v>
      </c>
      <c r="M57" s="243" t="s">
        <v>4260</v>
      </c>
    </row>
    <row r="58" spans="1:13" ht="15.95" customHeight="1">
      <c r="A58" s="232" t="s">
        <v>4158</v>
      </c>
      <c r="B58" s="233" t="s">
        <v>4238</v>
      </c>
      <c r="D58" s="240" t="s">
        <v>4261</v>
      </c>
      <c r="E58" s="240" t="s">
        <v>4262</v>
      </c>
      <c r="F58" s="241" t="s">
        <v>4263</v>
      </c>
      <c r="G58" s="241" t="s">
        <v>2413</v>
      </c>
      <c r="H58" s="242" t="s">
        <v>4143</v>
      </c>
      <c r="I58" s="242" t="s">
        <v>2414</v>
      </c>
      <c r="J58" s="228" t="s">
        <v>321</v>
      </c>
      <c r="K58" s="243" t="s">
        <v>2258</v>
      </c>
      <c r="L58" s="243" t="s">
        <v>2258</v>
      </c>
      <c r="M58" s="243" t="s">
        <v>4263</v>
      </c>
    </row>
    <row r="59" spans="1:13" ht="15.95" customHeight="1">
      <c r="A59" s="232" t="s">
        <v>4158</v>
      </c>
      <c r="B59" s="233" t="s">
        <v>4242</v>
      </c>
      <c r="D59" s="235"/>
      <c r="E59" s="235"/>
      <c r="F59" s="241"/>
      <c r="G59" s="241" t="s">
        <v>2427</v>
      </c>
      <c r="H59" s="242" t="s">
        <v>4138</v>
      </c>
      <c r="I59" s="242" t="s">
        <v>4139</v>
      </c>
      <c r="J59" s="228" t="s">
        <v>4140</v>
      </c>
      <c r="K59" s="243" t="s">
        <v>4243</v>
      </c>
      <c r="L59" s="243" t="s">
        <v>4243</v>
      </c>
      <c r="M59" s="243" t="s">
        <v>1984</v>
      </c>
    </row>
    <row r="60" spans="1:13" ht="15.95" customHeight="1">
      <c r="A60" s="232" t="s">
        <v>4158</v>
      </c>
      <c r="B60" s="233" t="s">
        <v>2423</v>
      </c>
      <c r="D60" s="235"/>
      <c r="E60" s="235"/>
      <c r="F60" s="241"/>
      <c r="G60" s="241" t="s">
        <v>2422</v>
      </c>
      <c r="H60" s="242" t="s">
        <v>4142</v>
      </c>
      <c r="I60" s="242" t="s">
        <v>2423</v>
      </c>
      <c r="J60" s="228" t="s">
        <v>321</v>
      </c>
      <c r="K60" s="243" t="s">
        <v>2258</v>
      </c>
      <c r="L60" s="243" t="s">
        <v>2258</v>
      </c>
      <c r="M60" s="243" t="s">
        <v>4263</v>
      </c>
    </row>
    <row r="61" spans="1:13" ht="15.95" customHeight="1">
      <c r="A61" s="232" t="s">
        <v>4158</v>
      </c>
      <c r="B61" s="233" t="s">
        <v>2419</v>
      </c>
      <c r="D61" s="235"/>
      <c r="E61" s="235"/>
      <c r="F61" s="241"/>
      <c r="G61" s="241" t="s">
        <v>2418</v>
      </c>
      <c r="H61" s="242" t="s">
        <v>4142</v>
      </c>
      <c r="I61" s="242" t="s">
        <v>2419</v>
      </c>
      <c r="J61" s="228" t="s">
        <v>321</v>
      </c>
      <c r="K61" s="243" t="s">
        <v>2256</v>
      </c>
      <c r="L61" s="243" t="s">
        <v>2256</v>
      </c>
      <c r="M61" s="243" t="s">
        <v>4264</v>
      </c>
    </row>
    <row r="62" spans="1:13" ht="15.95" customHeight="1">
      <c r="A62" s="232" t="s">
        <v>4158</v>
      </c>
      <c r="B62" s="233" t="s">
        <v>4252</v>
      </c>
      <c r="D62" s="240" t="s">
        <v>4265</v>
      </c>
      <c r="E62" s="240" t="s">
        <v>4266</v>
      </c>
      <c r="F62" s="241" t="s">
        <v>4267</v>
      </c>
      <c r="G62" s="241" t="s">
        <v>2410</v>
      </c>
      <c r="H62" s="242" t="s">
        <v>4143</v>
      </c>
      <c r="I62" s="242" t="s">
        <v>2411</v>
      </c>
      <c r="J62" s="228" t="s">
        <v>321</v>
      </c>
      <c r="K62" s="243" t="s">
        <v>2258</v>
      </c>
      <c r="L62" s="243" t="s">
        <v>2258</v>
      </c>
      <c r="M62" s="243" t="s">
        <v>4267</v>
      </c>
    </row>
    <row r="63" spans="1:13" ht="15.95" customHeight="1">
      <c r="A63" s="232" t="s">
        <v>4158</v>
      </c>
      <c r="B63" s="233" t="s">
        <v>4255</v>
      </c>
      <c r="D63" s="235"/>
      <c r="E63" s="235"/>
      <c r="F63" s="241"/>
      <c r="G63" s="241" t="s">
        <v>2424</v>
      </c>
      <c r="H63" s="242" t="s">
        <v>4138</v>
      </c>
      <c r="I63" s="242" t="s">
        <v>4141</v>
      </c>
      <c r="J63" s="228" t="s">
        <v>4140</v>
      </c>
      <c r="K63" s="243" t="s">
        <v>4243</v>
      </c>
      <c r="L63" s="243" t="s">
        <v>4243</v>
      </c>
      <c r="M63" s="243" t="s">
        <v>4268</v>
      </c>
    </row>
    <row r="64" spans="1:13" ht="15.95" customHeight="1">
      <c r="A64" s="232" t="s">
        <v>4158</v>
      </c>
      <c r="B64" s="233" t="s">
        <v>2421</v>
      </c>
      <c r="D64" s="235"/>
      <c r="E64" s="235"/>
      <c r="F64" s="241"/>
      <c r="G64" s="241" t="s">
        <v>2420</v>
      </c>
      <c r="H64" s="242" t="s">
        <v>4142</v>
      </c>
      <c r="I64" s="242" t="s">
        <v>2421</v>
      </c>
      <c r="J64" s="228" t="s">
        <v>321</v>
      </c>
      <c r="K64" s="243" t="s">
        <v>2258</v>
      </c>
      <c r="L64" s="243" t="s">
        <v>2258</v>
      </c>
      <c r="M64" s="243" t="s">
        <v>4267</v>
      </c>
    </row>
    <row r="65" spans="1:13" ht="15.95" customHeight="1">
      <c r="A65" s="232" t="s">
        <v>4158</v>
      </c>
      <c r="B65" s="233" t="s">
        <v>2416</v>
      </c>
      <c r="D65" s="235"/>
      <c r="E65" s="235"/>
      <c r="F65" s="241"/>
      <c r="G65" s="241" t="s">
        <v>2415</v>
      </c>
      <c r="H65" s="242" t="s">
        <v>4142</v>
      </c>
      <c r="I65" s="242" t="s">
        <v>2416</v>
      </c>
      <c r="J65" s="228" t="s">
        <v>321</v>
      </c>
      <c r="K65" s="243" t="s">
        <v>2256</v>
      </c>
      <c r="L65" s="243" t="s">
        <v>2256</v>
      </c>
      <c r="M65" s="243" t="s">
        <v>4269</v>
      </c>
    </row>
    <row r="66" spans="1:13" ht="15.95" customHeight="1">
      <c r="A66" s="232" t="s">
        <v>4158</v>
      </c>
      <c r="B66" s="233" t="s">
        <v>4270</v>
      </c>
      <c r="D66" s="240" t="s">
        <v>4271</v>
      </c>
      <c r="E66" s="240" t="s">
        <v>4272</v>
      </c>
      <c r="F66" s="241" t="s">
        <v>4272</v>
      </c>
      <c r="G66" s="241" t="s">
        <v>2390</v>
      </c>
      <c r="H66" s="242" t="s">
        <v>2392</v>
      </c>
      <c r="I66" s="242" t="s">
        <v>2391</v>
      </c>
      <c r="J66" s="228" t="s">
        <v>321</v>
      </c>
      <c r="K66" s="243" t="s">
        <v>2258</v>
      </c>
      <c r="L66" s="243" t="s">
        <v>2258</v>
      </c>
      <c r="M66" s="243" t="s">
        <v>4272</v>
      </c>
    </row>
    <row r="67" spans="1:13" ht="15.95" customHeight="1">
      <c r="A67" s="232" t="s">
        <v>4158</v>
      </c>
      <c r="D67" s="240"/>
      <c r="E67" s="240"/>
      <c r="F67" s="241"/>
      <c r="G67" s="241"/>
      <c r="H67" s="242"/>
      <c r="I67" s="242"/>
      <c r="J67" s="228"/>
      <c r="K67" s="243"/>
      <c r="L67" s="243"/>
      <c r="M67" s="243"/>
    </row>
    <row r="68" spans="1:13" ht="15.95" customHeight="1">
      <c r="A68" s="232" t="s">
        <v>4158</v>
      </c>
      <c r="D68" s="235"/>
      <c r="E68" s="235"/>
      <c r="F68" s="241"/>
      <c r="G68" s="241"/>
      <c r="H68" s="242"/>
      <c r="I68" s="242"/>
      <c r="J68" s="228"/>
      <c r="K68" s="243"/>
      <c r="L68" s="243"/>
      <c r="M68" s="243"/>
    </row>
    <row r="69" spans="1:13" ht="15.95" customHeight="1">
      <c r="A69" s="232" t="s">
        <v>4158</v>
      </c>
      <c r="D69" s="235"/>
      <c r="E69" s="235"/>
      <c r="F69" s="241"/>
      <c r="G69" s="241"/>
      <c r="H69" s="242"/>
      <c r="I69" s="242"/>
      <c r="J69" s="228"/>
      <c r="K69" s="243"/>
      <c r="L69" s="243"/>
      <c r="M69" s="243"/>
    </row>
    <row r="70" spans="1:13" ht="15.95" customHeight="1">
      <c r="A70" s="232" t="s">
        <v>4158</v>
      </c>
      <c r="D70" s="235"/>
      <c r="E70" s="235"/>
      <c r="F70" s="241"/>
      <c r="G70" s="241"/>
      <c r="H70" s="242"/>
      <c r="I70" s="242"/>
      <c r="J70" s="228"/>
      <c r="K70" s="243"/>
      <c r="L70" s="243"/>
      <c r="M70" s="243"/>
    </row>
    <row r="71" spans="1:13" ht="15.95" customHeight="1">
      <c r="A71" s="232" t="s">
        <v>4158</v>
      </c>
      <c r="D71" s="235"/>
      <c r="E71" s="235"/>
      <c r="F71" s="241"/>
      <c r="G71" s="241"/>
      <c r="H71" s="242"/>
      <c r="I71" s="242"/>
      <c r="J71" s="228"/>
      <c r="K71" s="243"/>
      <c r="L71" s="243"/>
      <c r="M71" s="243"/>
    </row>
    <row r="72" spans="1:13" ht="15.95" customHeight="1">
      <c r="A72" s="232" t="s">
        <v>4158</v>
      </c>
      <c r="D72" s="235"/>
      <c r="E72" s="235"/>
      <c r="F72" s="241"/>
      <c r="G72" s="241"/>
      <c r="H72" s="242"/>
      <c r="I72" s="242"/>
      <c r="J72" s="228"/>
      <c r="K72" s="243"/>
      <c r="L72" s="243"/>
      <c r="M72" s="243"/>
    </row>
    <row r="73" spans="1:13" ht="15.95" customHeight="1">
      <c r="A73" s="232" t="s">
        <v>4158</v>
      </c>
      <c r="D73" s="235"/>
      <c r="E73" s="235"/>
      <c r="F73" s="241"/>
      <c r="G73" s="241"/>
      <c r="H73" s="242"/>
      <c r="I73" s="242"/>
      <c r="J73" s="228"/>
      <c r="K73" s="243"/>
      <c r="L73" s="243"/>
      <c r="M73" s="243"/>
    </row>
    <row r="74" spans="1:13" ht="15.95" customHeight="1">
      <c r="A74" s="232" t="s">
        <v>4158</v>
      </c>
      <c r="D74" s="235"/>
      <c r="E74" s="235"/>
      <c r="F74" s="241"/>
      <c r="G74" s="241"/>
      <c r="H74" s="242"/>
      <c r="I74" s="242"/>
      <c r="J74" s="228"/>
      <c r="K74" s="243"/>
      <c r="L74" s="243"/>
      <c r="M74" s="243"/>
    </row>
    <row r="75" spans="1:13" ht="15.95" customHeight="1">
      <c r="A75" s="232" t="s">
        <v>4158</v>
      </c>
      <c r="D75" s="235"/>
      <c r="E75" s="235"/>
      <c r="F75" s="241"/>
      <c r="G75" s="241"/>
      <c r="H75" s="242"/>
      <c r="I75" s="242"/>
      <c r="J75" s="228"/>
      <c r="K75" s="243"/>
      <c r="L75" s="243"/>
      <c r="M75" s="243"/>
    </row>
    <row r="76" spans="1:13" ht="15.95" customHeight="1">
      <c r="A76" s="232" t="s">
        <v>4158</v>
      </c>
      <c r="D76" s="235"/>
      <c r="E76" s="235"/>
      <c r="F76" s="241"/>
      <c r="G76" s="241"/>
      <c r="H76" s="242"/>
      <c r="I76" s="242"/>
      <c r="J76" s="228"/>
      <c r="K76" s="243"/>
      <c r="L76" s="243"/>
      <c r="M76" s="243"/>
    </row>
    <row r="77" spans="1:13" ht="15.95" customHeight="1">
      <c r="A77" s="232" t="s">
        <v>4158</v>
      </c>
      <c r="D77" s="235"/>
      <c r="E77" s="235"/>
      <c r="F77" s="241"/>
      <c r="G77" s="241"/>
      <c r="H77" s="242"/>
      <c r="I77" s="242"/>
      <c r="J77" s="228"/>
      <c r="K77" s="243"/>
      <c r="L77" s="243"/>
      <c r="M77" s="243"/>
    </row>
    <row r="78" spans="1:13" ht="15.95" customHeight="1">
      <c r="A78" s="232" t="s">
        <v>4158</v>
      </c>
      <c r="D78" s="235"/>
      <c r="E78" s="235"/>
      <c r="F78" s="241"/>
      <c r="G78" s="241"/>
      <c r="H78" s="242"/>
      <c r="I78" s="242"/>
      <c r="J78" s="228"/>
      <c r="K78" s="243"/>
      <c r="L78" s="243"/>
      <c r="M78" s="243"/>
    </row>
    <row r="79" spans="1:13" ht="15.95" customHeight="1">
      <c r="A79" s="232" t="s">
        <v>4158</v>
      </c>
      <c r="D79" s="235"/>
      <c r="E79" s="235"/>
      <c r="F79" s="241"/>
      <c r="G79" s="241"/>
      <c r="H79" s="242"/>
      <c r="I79" s="242"/>
      <c r="J79" s="228"/>
      <c r="K79" s="243"/>
      <c r="L79" s="243"/>
      <c r="M79" s="243"/>
    </row>
    <row r="80" spans="1:13" ht="15.95" customHeight="1">
      <c r="A80" s="232" t="s">
        <v>4158</v>
      </c>
      <c r="D80" s="235"/>
      <c r="E80" s="235"/>
      <c r="F80" s="241"/>
      <c r="G80" s="241"/>
      <c r="H80" s="242"/>
      <c r="I80" s="242"/>
      <c r="J80" s="228"/>
      <c r="K80" s="243"/>
      <c r="L80" s="243"/>
      <c r="M80" s="243"/>
    </row>
    <row r="81" spans="1:13" ht="15.95" customHeight="1">
      <c r="A81" s="232" t="s">
        <v>4158</v>
      </c>
      <c r="D81" s="235"/>
      <c r="E81" s="235"/>
      <c r="F81" s="241"/>
      <c r="G81" s="241"/>
      <c r="H81" s="242"/>
      <c r="I81" s="242"/>
      <c r="J81" s="228"/>
      <c r="K81" s="243"/>
      <c r="L81" s="243"/>
      <c r="M81" s="243"/>
    </row>
    <row r="82" spans="1:13" ht="15.95" customHeight="1">
      <c r="A82" s="232" t="s">
        <v>4158</v>
      </c>
      <c r="D82" s="235"/>
      <c r="E82" s="235"/>
      <c r="F82" s="241"/>
      <c r="G82" s="241"/>
      <c r="H82" s="242"/>
      <c r="I82" s="242"/>
      <c r="J82" s="228"/>
      <c r="K82" s="243"/>
      <c r="L82" s="243"/>
      <c r="M82" s="243"/>
    </row>
    <row r="83" spans="1:13" ht="15.95" customHeight="1">
      <c r="A83" s="232" t="s">
        <v>4158</v>
      </c>
      <c r="D83" s="235"/>
      <c r="E83" s="235"/>
      <c r="F83" s="241"/>
      <c r="G83" s="241"/>
      <c r="H83" s="242"/>
      <c r="I83" s="242"/>
      <c r="J83" s="228"/>
      <c r="K83" s="243"/>
      <c r="L83" s="243"/>
      <c r="M83" s="243"/>
    </row>
    <row r="84" spans="1:13" ht="15.95" customHeight="1">
      <c r="A84" s="232" t="s">
        <v>4158</v>
      </c>
      <c r="D84" s="235"/>
      <c r="E84" s="235"/>
      <c r="F84" s="241"/>
      <c r="G84" s="241"/>
      <c r="H84" s="242"/>
      <c r="I84" s="242"/>
      <c r="J84" s="228"/>
      <c r="K84" s="243"/>
      <c r="L84" s="243"/>
      <c r="M84" s="243"/>
    </row>
    <row r="85" spans="1:13" ht="15.95" customHeight="1">
      <c r="A85" s="232" t="s">
        <v>4158</v>
      </c>
      <c r="D85" s="235"/>
      <c r="E85" s="235"/>
      <c r="F85" s="241"/>
      <c r="G85" s="241"/>
      <c r="H85" s="242"/>
      <c r="I85" s="242"/>
      <c r="J85" s="228"/>
      <c r="K85" s="243"/>
      <c r="L85" s="243"/>
      <c r="M85" s="243"/>
    </row>
    <row r="86" spans="1:13" ht="15.95" customHeight="1">
      <c r="A86" s="232" t="s">
        <v>4158</v>
      </c>
      <c r="D86" s="235"/>
      <c r="E86" s="235"/>
      <c r="F86" s="241"/>
      <c r="G86" s="241"/>
      <c r="H86" s="242"/>
      <c r="I86" s="242"/>
      <c r="J86" s="228"/>
      <c r="K86" s="243"/>
      <c r="L86" s="243"/>
      <c r="M86" s="243"/>
    </row>
    <row r="87" spans="1:13" ht="15.95" customHeight="1">
      <c r="A87" s="232" t="s">
        <v>4158</v>
      </c>
      <c r="D87" s="235"/>
      <c r="E87" s="235"/>
      <c r="F87" s="241"/>
      <c r="G87" s="241"/>
      <c r="H87" s="242"/>
      <c r="I87" s="242"/>
      <c r="J87" s="228"/>
      <c r="K87" s="243"/>
      <c r="L87" s="243"/>
      <c r="M87" s="243"/>
    </row>
    <row r="88" spans="1:13" ht="15.95" customHeight="1">
      <c r="A88" s="232" t="s">
        <v>4158</v>
      </c>
      <c r="D88" s="235"/>
      <c r="E88" s="235"/>
      <c r="F88" s="241"/>
      <c r="G88" s="241"/>
      <c r="H88" s="242"/>
      <c r="I88" s="242"/>
      <c r="J88" s="228"/>
      <c r="K88" s="243"/>
      <c r="L88" s="243"/>
      <c r="M88" s="243"/>
    </row>
    <row r="89" spans="1:13" ht="15.95" customHeight="1">
      <c r="A89" s="232" t="s">
        <v>4158</v>
      </c>
      <c r="D89" s="235"/>
      <c r="E89" s="235"/>
      <c r="F89" s="241"/>
      <c r="G89" s="241"/>
      <c r="H89" s="242"/>
      <c r="I89" s="242"/>
      <c r="J89" s="228"/>
      <c r="K89" s="243"/>
      <c r="L89" s="243"/>
      <c r="M89" s="243"/>
    </row>
    <row r="90" spans="1:13" ht="15.95" customHeight="1">
      <c r="A90" s="232" t="s">
        <v>4158</v>
      </c>
      <c r="D90" s="237"/>
      <c r="E90" s="237"/>
      <c r="F90" s="241"/>
      <c r="G90" s="241"/>
      <c r="H90" s="242"/>
      <c r="I90" s="242"/>
      <c r="J90" s="228"/>
      <c r="K90" s="243"/>
      <c r="L90" s="243"/>
      <c r="M90" s="243"/>
    </row>
    <row r="91" spans="1:13" ht="15.95" customHeight="1">
      <c r="D91" s="244"/>
      <c r="E91" s="244"/>
    </row>
    <row r="92" spans="1:13" ht="15.95" customHeight="1">
      <c r="D92" s="244"/>
      <c r="E92" s="244"/>
    </row>
    <row r="93" spans="1:13" ht="15.95" customHeight="1">
      <c r="B93" s="233" t="s">
        <v>4249</v>
      </c>
      <c r="D93" s="1471" t="s">
        <v>4273</v>
      </c>
      <c r="E93" s="1472"/>
      <c r="F93" s="1472"/>
      <c r="G93" s="1472"/>
      <c r="H93" s="1472"/>
      <c r="I93" s="1472"/>
      <c r="J93" s="1472"/>
      <c r="K93" s="1472"/>
      <c r="L93" s="1472"/>
      <c r="M93" s="1472"/>
    </row>
    <row r="94" spans="1:13" ht="15.95" customHeight="1">
      <c r="A94" s="220" t="s">
        <v>4145</v>
      </c>
      <c r="B94" s="234" t="s">
        <v>4146</v>
      </c>
      <c r="C94" s="234" t="s">
        <v>4147</v>
      </c>
      <c r="D94" s="1473" t="s">
        <v>4148</v>
      </c>
      <c r="E94" s="1473" t="s">
        <v>4149</v>
      </c>
      <c r="F94" s="1476" t="s">
        <v>4150</v>
      </c>
      <c r="G94" s="1476" t="s">
        <v>4151</v>
      </c>
      <c r="H94" s="1473" t="s">
        <v>4152</v>
      </c>
      <c r="I94" s="1473" t="s">
        <v>4153</v>
      </c>
      <c r="J94" s="1473" t="s">
        <v>4154</v>
      </c>
      <c r="K94" s="1473" t="s">
        <v>4155</v>
      </c>
      <c r="L94" s="1473" t="s">
        <v>4156</v>
      </c>
      <c r="M94" s="1473" t="s">
        <v>4157</v>
      </c>
    </row>
    <row r="95" spans="1:13" ht="15.95" customHeight="1">
      <c r="A95" s="220"/>
      <c r="B95" s="234"/>
      <c r="C95" s="234"/>
      <c r="D95" s="1475"/>
      <c r="E95" s="1475"/>
      <c r="F95" s="1477"/>
      <c r="G95" s="1477"/>
      <c r="H95" s="1475"/>
      <c r="I95" s="1475"/>
      <c r="J95" s="1475"/>
      <c r="K95" s="1475"/>
      <c r="L95" s="1475"/>
      <c r="M95" s="1475"/>
    </row>
    <row r="96" spans="1:13" ht="15.95" customHeight="1">
      <c r="A96" s="232" t="s">
        <v>4274</v>
      </c>
      <c r="C96" s="233" t="s">
        <v>4275</v>
      </c>
      <c r="D96" s="235"/>
      <c r="E96" s="235"/>
      <c r="F96" s="236"/>
      <c r="G96" s="236"/>
      <c r="H96" s="237"/>
      <c r="I96" s="237"/>
      <c r="J96" s="238"/>
      <c r="K96" s="239"/>
      <c r="L96" s="239"/>
      <c r="M96" s="239"/>
    </row>
    <row r="97" spans="1:13" ht="15.95" customHeight="1">
      <c r="A97" s="232" t="s">
        <v>4274</v>
      </c>
      <c r="C97" s="233" t="s">
        <v>4160</v>
      </c>
      <c r="D97" s="240" t="s">
        <v>4161</v>
      </c>
      <c r="E97" s="240"/>
      <c r="F97" s="241"/>
      <c r="G97" s="241"/>
      <c r="H97" s="242"/>
      <c r="I97" s="242"/>
      <c r="J97" s="228"/>
      <c r="K97" s="243"/>
      <c r="L97" s="243"/>
      <c r="M97" s="243"/>
    </row>
    <row r="98" spans="1:13" ht="15.95" customHeight="1">
      <c r="A98" s="232" t="s">
        <v>4274</v>
      </c>
      <c r="B98" s="233" t="s">
        <v>4162</v>
      </c>
      <c r="D98" s="240" t="s">
        <v>4276</v>
      </c>
      <c r="E98" s="240" t="s">
        <v>4193</v>
      </c>
      <c r="F98" s="241" t="s">
        <v>4193</v>
      </c>
      <c r="G98" s="241" t="s">
        <v>2434</v>
      </c>
      <c r="H98" s="242" t="s">
        <v>4136</v>
      </c>
      <c r="I98" s="242" t="s">
        <v>2435</v>
      </c>
      <c r="J98" s="228" t="s">
        <v>4137</v>
      </c>
      <c r="K98" s="243" t="s">
        <v>4277</v>
      </c>
      <c r="L98" s="243" t="s">
        <v>4277</v>
      </c>
      <c r="M98" s="243" t="s">
        <v>4277</v>
      </c>
    </row>
    <row r="99" spans="1:13" ht="15.95" customHeight="1">
      <c r="A99" s="232" t="s">
        <v>4274</v>
      </c>
      <c r="B99" s="233" t="s">
        <v>4167</v>
      </c>
      <c r="D99" s="235"/>
      <c r="E99" s="235"/>
      <c r="F99" s="241"/>
      <c r="G99" s="241" t="s">
        <v>2445</v>
      </c>
      <c r="H99" s="242" t="s">
        <v>2367</v>
      </c>
      <c r="I99" s="242" t="s">
        <v>2366</v>
      </c>
      <c r="J99" s="228" t="s">
        <v>2365</v>
      </c>
      <c r="K99" s="243" t="s">
        <v>4277</v>
      </c>
      <c r="L99" s="243" t="s">
        <v>4277</v>
      </c>
      <c r="M99" s="243" t="s">
        <v>4277</v>
      </c>
    </row>
    <row r="100" spans="1:13" ht="15.95" customHeight="1">
      <c r="A100" s="232" t="s">
        <v>4274</v>
      </c>
      <c r="B100" s="233" t="s">
        <v>4162</v>
      </c>
      <c r="D100" s="240" t="s">
        <v>4181</v>
      </c>
      <c r="E100" s="240" t="s">
        <v>2256</v>
      </c>
      <c r="F100" s="241" t="s">
        <v>2256</v>
      </c>
      <c r="G100" s="241" t="s">
        <v>2434</v>
      </c>
      <c r="H100" s="242" t="s">
        <v>4136</v>
      </c>
      <c r="I100" s="242" t="s">
        <v>2435</v>
      </c>
      <c r="J100" s="228" t="s">
        <v>4137</v>
      </c>
      <c r="K100" s="243" t="s">
        <v>4278</v>
      </c>
      <c r="L100" s="243" t="s">
        <v>4278</v>
      </c>
      <c r="M100" s="243" t="s">
        <v>4278</v>
      </c>
    </row>
    <row r="101" spans="1:13" ht="15.95" customHeight="1">
      <c r="A101" s="232" t="s">
        <v>4274</v>
      </c>
      <c r="B101" s="233" t="s">
        <v>4167</v>
      </c>
      <c r="D101" s="235"/>
      <c r="E101" s="235"/>
      <c r="F101" s="241"/>
      <c r="G101" s="241" t="s">
        <v>2445</v>
      </c>
      <c r="H101" s="242" t="s">
        <v>2367</v>
      </c>
      <c r="I101" s="242" t="s">
        <v>2366</v>
      </c>
      <c r="J101" s="228" t="s">
        <v>2365</v>
      </c>
      <c r="K101" s="243" t="s">
        <v>4278</v>
      </c>
      <c r="L101" s="243" t="s">
        <v>4278</v>
      </c>
      <c r="M101" s="243" t="s">
        <v>4278</v>
      </c>
    </row>
    <row r="102" spans="1:13" ht="15.95" customHeight="1">
      <c r="A102" s="232" t="s">
        <v>4274</v>
      </c>
      <c r="B102" s="233" t="s">
        <v>4162</v>
      </c>
      <c r="D102" s="240" t="s">
        <v>4195</v>
      </c>
      <c r="E102" s="240" t="s">
        <v>4279</v>
      </c>
      <c r="F102" s="241" t="s">
        <v>4280</v>
      </c>
      <c r="G102" s="241" t="s">
        <v>2434</v>
      </c>
      <c r="H102" s="242" t="s">
        <v>4136</v>
      </c>
      <c r="I102" s="242" t="s">
        <v>2435</v>
      </c>
      <c r="J102" s="228" t="s">
        <v>4137</v>
      </c>
      <c r="K102" s="243" t="s">
        <v>4280</v>
      </c>
      <c r="L102" s="243" t="s">
        <v>4280</v>
      </c>
      <c r="M102" s="243" t="s">
        <v>4280</v>
      </c>
    </row>
    <row r="103" spans="1:13" ht="15.95" customHeight="1">
      <c r="A103" s="232" t="s">
        <v>4274</v>
      </c>
      <c r="B103" s="233" t="s">
        <v>4167</v>
      </c>
      <c r="D103" s="235"/>
      <c r="E103" s="235"/>
      <c r="F103" s="241"/>
      <c r="G103" s="241" t="s">
        <v>2445</v>
      </c>
      <c r="H103" s="242" t="s">
        <v>2367</v>
      </c>
      <c r="I103" s="242" t="s">
        <v>2366</v>
      </c>
      <c r="J103" s="228" t="s">
        <v>2365</v>
      </c>
      <c r="K103" s="243" t="s">
        <v>4280</v>
      </c>
      <c r="L103" s="243" t="s">
        <v>4280</v>
      </c>
      <c r="M103" s="243" t="s">
        <v>4280</v>
      </c>
    </row>
    <row r="104" spans="1:13" ht="15.95" customHeight="1">
      <c r="A104" s="232" t="s">
        <v>4274</v>
      </c>
      <c r="B104" s="233" t="s">
        <v>4162</v>
      </c>
      <c r="D104" s="240" t="s">
        <v>4195</v>
      </c>
      <c r="E104" s="240" t="s">
        <v>4281</v>
      </c>
      <c r="F104" s="241" t="s">
        <v>1981</v>
      </c>
      <c r="G104" s="241" t="s">
        <v>2434</v>
      </c>
      <c r="H104" s="242" t="s">
        <v>4136</v>
      </c>
      <c r="I104" s="242" t="s">
        <v>2435</v>
      </c>
      <c r="J104" s="228" t="s">
        <v>4137</v>
      </c>
      <c r="K104" s="243" t="s">
        <v>1981</v>
      </c>
      <c r="L104" s="243" t="s">
        <v>1981</v>
      </c>
      <c r="M104" s="243" t="s">
        <v>1981</v>
      </c>
    </row>
    <row r="105" spans="1:13" ht="15.95" customHeight="1">
      <c r="A105" s="232" t="s">
        <v>4274</v>
      </c>
      <c r="B105" s="233" t="s">
        <v>4167</v>
      </c>
      <c r="D105" s="235"/>
      <c r="E105" s="235"/>
      <c r="F105" s="241"/>
      <c r="G105" s="241" t="s">
        <v>2445</v>
      </c>
      <c r="H105" s="242" t="s">
        <v>2367</v>
      </c>
      <c r="I105" s="242" t="s">
        <v>2366</v>
      </c>
      <c r="J105" s="228" t="s">
        <v>2365</v>
      </c>
      <c r="K105" s="243" t="s">
        <v>1981</v>
      </c>
      <c r="L105" s="243" t="s">
        <v>1981</v>
      </c>
      <c r="M105" s="243" t="s">
        <v>1981</v>
      </c>
    </row>
    <row r="106" spans="1:13" ht="15.95" customHeight="1">
      <c r="A106" s="232" t="s">
        <v>4274</v>
      </c>
      <c r="D106" s="240" t="s">
        <v>4168</v>
      </c>
      <c r="E106" s="240"/>
      <c r="F106" s="241"/>
      <c r="G106" s="241"/>
      <c r="H106" s="242"/>
      <c r="I106" s="242"/>
      <c r="J106" s="228"/>
      <c r="K106" s="243"/>
      <c r="L106" s="243"/>
      <c r="M106" s="243"/>
    </row>
    <row r="107" spans="1:13" ht="15.95" customHeight="1">
      <c r="A107" s="232" t="s">
        <v>4274</v>
      </c>
      <c r="B107" s="233" t="s">
        <v>4176</v>
      </c>
      <c r="D107" s="240" t="s">
        <v>4282</v>
      </c>
      <c r="E107" s="240" t="s">
        <v>4283</v>
      </c>
      <c r="F107" s="241" t="s">
        <v>4283</v>
      </c>
      <c r="G107" s="241" t="s">
        <v>2432</v>
      </c>
      <c r="H107" s="242" t="s">
        <v>4136</v>
      </c>
      <c r="I107" s="242" t="s">
        <v>2433</v>
      </c>
      <c r="J107" s="228" t="s">
        <v>4137</v>
      </c>
      <c r="K107" s="243" t="s">
        <v>4179</v>
      </c>
      <c r="L107" s="243" t="s">
        <v>4179</v>
      </c>
      <c r="M107" s="243" t="s">
        <v>4179</v>
      </c>
    </row>
    <row r="108" spans="1:13" ht="15.95" customHeight="1">
      <c r="A108" s="232" t="s">
        <v>4274</v>
      </c>
      <c r="B108" s="233" t="s">
        <v>4176</v>
      </c>
      <c r="D108" s="240" t="s">
        <v>4284</v>
      </c>
      <c r="E108" s="240" t="s">
        <v>2256</v>
      </c>
      <c r="F108" s="241" t="s">
        <v>2256</v>
      </c>
      <c r="G108" s="241" t="s">
        <v>2432</v>
      </c>
      <c r="H108" s="242" t="s">
        <v>4136</v>
      </c>
      <c r="I108" s="242" t="s">
        <v>2433</v>
      </c>
      <c r="J108" s="228" t="s">
        <v>4137</v>
      </c>
      <c r="K108" s="243" t="s">
        <v>4285</v>
      </c>
      <c r="L108" s="243" t="s">
        <v>4285</v>
      </c>
      <c r="M108" s="243" t="s">
        <v>4285</v>
      </c>
    </row>
    <row r="109" spans="1:13" ht="15.95" customHeight="1">
      <c r="A109" s="232" t="s">
        <v>4274</v>
      </c>
      <c r="B109" s="233" t="s">
        <v>4162</v>
      </c>
      <c r="D109" s="240" t="s">
        <v>4286</v>
      </c>
      <c r="E109" s="240" t="s">
        <v>4287</v>
      </c>
      <c r="F109" s="241" t="s">
        <v>4287</v>
      </c>
      <c r="G109" s="241" t="s">
        <v>2434</v>
      </c>
      <c r="H109" s="242" t="s">
        <v>4136</v>
      </c>
      <c r="I109" s="242" t="s">
        <v>2435</v>
      </c>
      <c r="J109" s="228" t="s">
        <v>4137</v>
      </c>
      <c r="K109" s="243" t="s">
        <v>4288</v>
      </c>
      <c r="L109" s="243" t="s">
        <v>4288</v>
      </c>
      <c r="M109" s="243" t="s">
        <v>4288</v>
      </c>
    </row>
    <row r="110" spans="1:13" ht="15.95" customHeight="1">
      <c r="A110" s="232" t="s">
        <v>4274</v>
      </c>
      <c r="B110" s="233" t="s">
        <v>4162</v>
      </c>
      <c r="D110" s="240" t="s">
        <v>4289</v>
      </c>
      <c r="E110" s="240" t="s">
        <v>4290</v>
      </c>
      <c r="F110" s="241" t="s">
        <v>4291</v>
      </c>
      <c r="G110" s="241" t="s">
        <v>2434</v>
      </c>
      <c r="H110" s="242" t="s">
        <v>4136</v>
      </c>
      <c r="I110" s="242" t="s">
        <v>2435</v>
      </c>
      <c r="J110" s="228" t="s">
        <v>4137</v>
      </c>
      <c r="K110" s="243" t="s">
        <v>4292</v>
      </c>
      <c r="L110" s="243" t="s">
        <v>4292</v>
      </c>
      <c r="M110" s="243" t="s">
        <v>4292</v>
      </c>
    </row>
    <row r="111" spans="1:13" ht="15.95" customHeight="1">
      <c r="A111" s="232" t="s">
        <v>4274</v>
      </c>
      <c r="B111" s="233" t="s">
        <v>4162</v>
      </c>
      <c r="D111" s="240" t="s">
        <v>4206</v>
      </c>
      <c r="E111" s="240" t="s">
        <v>2256</v>
      </c>
      <c r="F111" s="241" t="s">
        <v>2256</v>
      </c>
      <c r="G111" s="241" t="s">
        <v>2434</v>
      </c>
      <c r="H111" s="242" t="s">
        <v>4136</v>
      </c>
      <c r="I111" s="242" t="s">
        <v>2435</v>
      </c>
      <c r="J111" s="228" t="s">
        <v>4137</v>
      </c>
      <c r="K111" s="243" t="s">
        <v>4293</v>
      </c>
      <c r="L111" s="243" t="s">
        <v>4293</v>
      </c>
      <c r="M111" s="243" t="s">
        <v>4293</v>
      </c>
    </row>
    <row r="112" spans="1:13" ht="15.95" customHeight="1">
      <c r="A112" s="232" t="s">
        <v>4274</v>
      </c>
      <c r="B112" s="233" t="s">
        <v>4162</v>
      </c>
      <c r="D112" s="240" t="s">
        <v>4294</v>
      </c>
      <c r="E112" s="240" t="s">
        <v>4295</v>
      </c>
      <c r="F112" s="241" t="s">
        <v>4296</v>
      </c>
      <c r="G112" s="241" t="s">
        <v>2434</v>
      </c>
      <c r="H112" s="242" t="s">
        <v>4136</v>
      </c>
      <c r="I112" s="242" t="s">
        <v>2435</v>
      </c>
      <c r="J112" s="228" t="s">
        <v>4137</v>
      </c>
      <c r="K112" s="243" t="s">
        <v>4297</v>
      </c>
      <c r="L112" s="243" t="s">
        <v>4297</v>
      </c>
      <c r="M112" s="243" t="s">
        <v>4297</v>
      </c>
    </row>
    <row r="113" spans="1:13" ht="15.95" customHeight="1">
      <c r="A113" s="232" t="s">
        <v>4274</v>
      </c>
      <c r="B113" s="233" t="s">
        <v>4162</v>
      </c>
      <c r="D113" s="240" t="s">
        <v>4298</v>
      </c>
      <c r="E113" s="240" t="s">
        <v>4272</v>
      </c>
      <c r="F113" s="241" t="s">
        <v>4272</v>
      </c>
      <c r="G113" s="241" t="s">
        <v>2434</v>
      </c>
      <c r="H113" s="242" t="s">
        <v>4136</v>
      </c>
      <c r="I113" s="242" t="s">
        <v>2435</v>
      </c>
      <c r="J113" s="228" t="s">
        <v>4137</v>
      </c>
      <c r="K113" s="243" t="s">
        <v>4299</v>
      </c>
      <c r="L113" s="243" t="s">
        <v>4299</v>
      </c>
      <c r="M113" s="243" t="s">
        <v>4299</v>
      </c>
    </row>
    <row r="114" spans="1:13" ht="15.95" customHeight="1">
      <c r="A114" s="232" t="s">
        <v>4274</v>
      </c>
      <c r="B114" s="233" t="s">
        <v>4162</v>
      </c>
      <c r="D114" s="240" t="s">
        <v>4300</v>
      </c>
      <c r="E114" s="240" t="s">
        <v>4301</v>
      </c>
      <c r="F114" s="241" t="s">
        <v>4197</v>
      </c>
      <c r="G114" s="241" t="s">
        <v>2434</v>
      </c>
      <c r="H114" s="242" t="s">
        <v>4136</v>
      </c>
      <c r="I114" s="242" t="s">
        <v>2435</v>
      </c>
      <c r="J114" s="228" t="s">
        <v>4137</v>
      </c>
      <c r="K114" s="243" t="s">
        <v>4197</v>
      </c>
      <c r="L114" s="243" t="s">
        <v>4197</v>
      </c>
      <c r="M114" s="243" t="s">
        <v>4197</v>
      </c>
    </row>
    <row r="115" spans="1:13" ht="15.95" customHeight="1">
      <c r="A115" s="232" t="s">
        <v>4274</v>
      </c>
      <c r="B115" s="233" t="s">
        <v>4162</v>
      </c>
      <c r="D115" s="240" t="s">
        <v>4300</v>
      </c>
      <c r="E115" s="240" t="s">
        <v>4302</v>
      </c>
      <c r="F115" s="241" t="s">
        <v>4303</v>
      </c>
      <c r="G115" s="241" t="s">
        <v>2434</v>
      </c>
      <c r="H115" s="242" t="s">
        <v>4136</v>
      </c>
      <c r="I115" s="242" t="s">
        <v>2435</v>
      </c>
      <c r="J115" s="228" t="s">
        <v>4137</v>
      </c>
      <c r="K115" s="243" t="s">
        <v>4303</v>
      </c>
      <c r="L115" s="243" t="s">
        <v>4303</v>
      </c>
      <c r="M115" s="243" t="s">
        <v>4303</v>
      </c>
    </row>
    <row r="116" spans="1:13" ht="15.95" customHeight="1">
      <c r="A116" s="232" t="s">
        <v>4274</v>
      </c>
      <c r="B116" s="233" t="s">
        <v>4162</v>
      </c>
      <c r="D116" s="240" t="s">
        <v>4300</v>
      </c>
      <c r="E116" s="240" t="s">
        <v>4243</v>
      </c>
      <c r="F116" s="241" t="s">
        <v>4243</v>
      </c>
      <c r="G116" s="241" t="s">
        <v>2434</v>
      </c>
      <c r="H116" s="242" t="s">
        <v>4136</v>
      </c>
      <c r="I116" s="242" t="s">
        <v>2435</v>
      </c>
      <c r="J116" s="228" t="s">
        <v>4137</v>
      </c>
      <c r="K116" s="243" t="s">
        <v>4243</v>
      </c>
      <c r="L116" s="243" t="s">
        <v>4243</v>
      </c>
      <c r="M116" s="243" t="s">
        <v>4243</v>
      </c>
    </row>
    <row r="117" spans="1:13" ht="15.95" customHeight="1">
      <c r="A117" s="232" t="s">
        <v>4274</v>
      </c>
      <c r="B117" s="233" t="s">
        <v>4162</v>
      </c>
      <c r="D117" s="240" t="s">
        <v>4210</v>
      </c>
      <c r="E117" s="240" t="s">
        <v>4304</v>
      </c>
      <c r="F117" s="241" t="s">
        <v>4305</v>
      </c>
      <c r="G117" s="241" t="s">
        <v>2434</v>
      </c>
      <c r="H117" s="242" t="s">
        <v>4136</v>
      </c>
      <c r="I117" s="242" t="s">
        <v>2435</v>
      </c>
      <c r="J117" s="228" t="s">
        <v>4137</v>
      </c>
      <c r="K117" s="243" t="s">
        <v>4306</v>
      </c>
      <c r="L117" s="243" t="s">
        <v>4306</v>
      </c>
      <c r="M117" s="243" t="s">
        <v>4306</v>
      </c>
    </row>
    <row r="118" spans="1:13" ht="15.95" customHeight="1">
      <c r="A118" s="232" t="s">
        <v>4274</v>
      </c>
      <c r="B118" s="233" t="s">
        <v>4162</v>
      </c>
      <c r="D118" s="240" t="s">
        <v>4218</v>
      </c>
      <c r="E118" s="240" t="s">
        <v>4307</v>
      </c>
      <c r="F118" s="241" t="s">
        <v>4303</v>
      </c>
      <c r="G118" s="241" t="s">
        <v>2434</v>
      </c>
      <c r="H118" s="242" t="s">
        <v>4136</v>
      </c>
      <c r="I118" s="242" t="s">
        <v>2435</v>
      </c>
      <c r="J118" s="228" t="s">
        <v>4137</v>
      </c>
      <c r="K118" s="243" t="s">
        <v>4303</v>
      </c>
      <c r="L118" s="243" t="s">
        <v>4303</v>
      </c>
      <c r="M118" s="243" t="s">
        <v>4303</v>
      </c>
    </row>
    <row r="119" spans="1:13" ht="15.95" customHeight="1">
      <c r="A119" s="232" t="s">
        <v>4274</v>
      </c>
      <c r="B119" s="233" t="s">
        <v>4162</v>
      </c>
      <c r="D119" s="240" t="s">
        <v>4218</v>
      </c>
      <c r="E119" s="240" t="s">
        <v>4243</v>
      </c>
      <c r="F119" s="241" t="s">
        <v>4243</v>
      </c>
      <c r="G119" s="241" t="s">
        <v>2434</v>
      </c>
      <c r="H119" s="242" t="s">
        <v>4136</v>
      </c>
      <c r="I119" s="242" t="s">
        <v>2435</v>
      </c>
      <c r="J119" s="228" t="s">
        <v>4137</v>
      </c>
      <c r="K119" s="243" t="s">
        <v>4243</v>
      </c>
      <c r="L119" s="243" t="s">
        <v>4243</v>
      </c>
      <c r="M119" s="243" t="s">
        <v>4243</v>
      </c>
    </row>
    <row r="120" spans="1:13" ht="15.95" customHeight="1">
      <c r="A120" s="232" t="s">
        <v>4274</v>
      </c>
      <c r="B120" s="233" t="s">
        <v>4226</v>
      </c>
      <c r="D120" s="240" t="s">
        <v>4227</v>
      </c>
      <c r="E120" s="240" t="s">
        <v>4308</v>
      </c>
      <c r="F120" s="241" t="s">
        <v>4256</v>
      </c>
      <c r="G120" s="241" t="s">
        <v>2388</v>
      </c>
      <c r="H120" s="242" t="s">
        <v>2373</v>
      </c>
      <c r="I120" s="242" t="s">
        <v>2389</v>
      </c>
      <c r="J120" s="228" t="s">
        <v>321</v>
      </c>
      <c r="K120" s="243" t="s">
        <v>2258</v>
      </c>
      <c r="L120" s="243" t="s">
        <v>2258</v>
      </c>
      <c r="M120" s="243" t="s">
        <v>4256</v>
      </c>
    </row>
    <row r="121" spans="1:13" ht="15.95" customHeight="1">
      <c r="A121" s="232" t="s">
        <v>4274</v>
      </c>
      <c r="B121" s="233" t="s">
        <v>4309</v>
      </c>
      <c r="D121" s="240" t="s">
        <v>4310</v>
      </c>
      <c r="E121" s="240" t="s">
        <v>2256</v>
      </c>
      <c r="F121" s="241" t="s">
        <v>2256</v>
      </c>
      <c r="G121" s="241" t="s">
        <v>2384</v>
      </c>
      <c r="H121" s="242" t="s">
        <v>2373</v>
      </c>
      <c r="I121" s="242" t="s">
        <v>2385</v>
      </c>
      <c r="J121" s="228" t="s">
        <v>321</v>
      </c>
      <c r="K121" s="243" t="s">
        <v>2258</v>
      </c>
      <c r="L121" s="243" t="s">
        <v>2258</v>
      </c>
      <c r="M121" s="243" t="s">
        <v>2256</v>
      </c>
    </row>
    <row r="122" spans="1:13" ht="15.95" customHeight="1">
      <c r="A122" s="232" t="s">
        <v>4274</v>
      </c>
      <c r="B122" s="233" t="s">
        <v>4232</v>
      </c>
      <c r="D122" s="240" t="s">
        <v>4233</v>
      </c>
      <c r="E122" s="240" t="s">
        <v>2258</v>
      </c>
      <c r="F122" s="241" t="s">
        <v>2258</v>
      </c>
      <c r="G122" s="241" t="s">
        <v>2382</v>
      </c>
      <c r="H122" s="242" t="s">
        <v>2373</v>
      </c>
      <c r="I122" s="242" t="s">
        <v>2383</v>
      </c>
      <c r="J122" s="228" t="s">
        <v>321</v>
      </c>
      <c r="K122" s="243" t="s">
        <v>2258</v>
      </c>
      <c r="L122" s="243" t="s">
        <v>2258</v>
      </c>
      <c r="M122" s="243" t="s">
        <v>2258</v>
      </c>
    </row>
    <row r="123" spans="1:13" ht="15.95" customHeight="1">
      <c r="A123" s="232" t="s">
        <v>4274</v>
      </c>
      <c r="B123" s="233" t="s">
        <v>4311</v>
      </c>
      <c r="D123" s="240" t="s">
        <v>4312</v>
      </c>
      <c r="E123" s="240" t="s">
        <v>2258</v>
      </c>
      <c r="F123" s="241" t="s">
        <v>2258</v>
      </c>
      <c r="G123" s="241" t="s">
        <v>2378</v>
      </c>
      <c r="H123" s="242" t="s">
        <v>2373</v>
      </c>
      <c r="I123" s="242" t="s">
        <v>2379</v>
      </c>
      <c r="J123" s="228" t="s">
        <v>321</v>
      </c>
      <c r="K123" s="243" t="s">
        <v>2258</v>
      </c>
      <c r="L123" s="243" t="s">
        <v>2258</v>
      </c>
      <c r="M123" s="243" t="s">
        <v>2258</v>
      </c>
    </row>
    <row r="124" spans="1:13" ht="15.95" customHeight="1">
      <c r="A124" s="232" t="s">
        <v>4274</v>
      </c>
      <c r="B124" s="233" t="s">
        <v>4313</v>
      </c>
      <c r="D124" s="240" t="s">
        <v>4314</v>
      </c>
      <c r="E124" s="240" t="s">
        <v>2258</v>
      </c>
      <c r="F124" s="241" t="s">
        <v>2258</v>
      </c>
      <c r="G124" s="241" t="s">
        <v>2376</v>
      </c>
      <c r="H124" s="242" t="s">
        <v>2373</v>
      </c>
      <c r="I124" s="242" t="s">
        <v>2377</v>
      </c>
      <c r="J124" s="228" t="s">
        <v>321</v>
      </c>
      <c r="K124" s="243" t="s">
        <v>2258</v>
      </c>
      <c r="L124" s="243" t="s">
        <v>2258</v>
      </c>
      <c r="M124" s="243" t="s">
        <v>2258</v>
      </c>
    </row>
    <row r="125" spans="1:13" ht="15.95" customHeight="1">
      <c r="A125" s="232" t="s">
        <v>4274</v>
      </c>
      <c r="C125" s="233" t="s">
        <v>4315</v>
      </c>
      <c r="D125" s="240"/>
      <c r="E125" s="240"/>
      <c r="F125" s="241"/>
      <c r="G125" s="241"/>
      <c r="H125" s="242"/>
      <c r="I125" s="242"/>
      <c r="J125" s="228"/>
      <c r="K125" s="243"/>
      <c r="L125" s="243"/>
      <c r="M125" s="243"/>
    </row>
    <row r="126" spans="1:13" ht="15.95" customHeight="1">
      <c r="A126" s="232" t="s">
        <v>4274</v>
      </c>
      <c r="C126" s="233" t="s">
        <v>4160</v>
      </c>
      <c r="D126" s="240" t="s">
        <v>4161</v>
      </c>
      <c r="E126" s="240"/>
      <c r="F126" s="241"/>
      <c r="G126" s="241"/>
      <c r="H126" s="242"/>
      <c r="I126" s="242"/>
      <c r="J126" s="228"/>
      <c r="K126" s="243"/>
      <c r="L126" s="243"/>
      <c r="M126" s="243"/>
    </row>
    <row r="127" spans="1:13" ht="15.95" customHeight="1">
      <c r="A127" s="232" t="s">
        <v>4274</v>
      </c>
      <c r="B127" s="233" t="s">
        <v>4176</v>
      </c>
      <c r="D127" s="240" t="s">
        <v>4316</v>
      </c>
      <c r="E127" s="240" t="s">
        <v>4317</v>
      </c>
      <c r="F127" s="241" t="s">
        <v>4318</v>
      </c>
      <c r="G127" s="241" t="s">
        <v>2432</v>
      </c>
      <c r="H127" s="242" t="s">
        <v>4136</v>
      </c>
      <c r="I127" s="242" t="s">
        <v>2433</v>
      </c>
      <c r="J127" s="228" t="s">
        <v>4137</v>
      </c>
      <c r="K127" s="243" t="s">
        <v>4319</v>
      </c>
      <c r="L127" s="243" t="s">
        <v>4319</v>
      </c>
      <c r="M127" s="243" t="s">
        <v>4319</v>
      </c>
    </row>
    <row r="128" spans="1:13" ht="15.95" customHeight="1">
      <c r="A128" s="232" t="s">
        <v>4274</v>
      </c>
      <c r="B128" s="233" t="s">
        <v>4167</v>
      </c>
      <c r="D128" s="235"/>
      <c r="E128" s="235"/>
      <c r="F128" s="241"/>
      <c r="G128" s="241" t="s">
        <v>2445</v>
      </c>
      <c r="H128" s="242" t="s">
        <v>2367</v>
      </c>
      <c r="I128" s="242" t="s">
        <v>2366</v>
      </c>
      <c r="J128" s="228" t="s">
        <v>2365</v>
      </c>
      <c r="K128" s="243" t="s">
        <v>4319</v>
      </c>
      <c r="L128" s="243" t="s">
        <v>4319</v>
      </c>
      <c r="M128" s="243" t="s">
        <v>4319</v>
      </c>
    </row>
    <row r="129" spans="1:13" ht="15.95" customHeight="1">
      <c r="A129" s="232" t="s">
        <v>4274</v>
      </c>
      <c r="B129" s="233" t="s">
        <v>4162</v>
      </c>
      <c r="D129" s="240" t="s">
        <v>4320</v>
      </c>
      <c r="E129" s="240" t="s">
        <v>4321</v>
      </c>
      <c r="F129" s="241" t="s">
        <v>4235</v>
      </c>
      <c r="G129" s="241" t="s">
        <v>2434</v>
      </c>
      <c r="H129" s="242" t="s">
        <v>4136</v>
      </c>
      <c r="I129" s="242" t="s">
        <v>2435</v>
      </c>
      <c r="J129" s="228" t="s">
        <v>4137</v>
      </c>
      <c r="K129" s="243" t="s">
        <v>4322</v>
      </c>
      <c r="L129" s="243" t="s">
        <v>4322</v>
      </c>
      <c r="M129" s="243" t="s">
        <v>4322</v>
      </c>
    </row>
    <row r="130" spans="1:13" ht="15.95" customHeight="1">
      <c r="A130" s="232" t="s">
        <v>4274</v>
      </c>
      <c r="B130" s="233" t="s">
        <v>4167</v>
      </c>
      <c r="D130" s="235"/>
      <c r="E130" s="235"/>
      <c r="F130" s="241"/>
      <c r="G130" s="241" t="s">
        <v>2445</v>
      </c>
      <c r="H130" s="242" t="s">
        <v>2367</v>
      </c>
      <c r="I130" s="242" t="s">
        <v>2366</v>
      </c>
      <c r="J130" s="228" t="s">
        <v>2365</v>
      </c>
      <c r="K130" s="243" t="s">
        <v>4322</v>
      </c>
      <c r="L130" s="243" t="s">
        <v>4322</v>
      </c>
      <c r="M130" s="243" t="s">
        <v>4322</v>
      </c>
    </row>
    <row r="131" spans="1:13" ht="15.95" customHeight="1">
      <c r="A131" s="232" t="s">
        <v>4274</v>
      </c>
      <c r="B131" s="233" t="s">
        <v>4162</v>
      </c>
      <c r="D131" s="240" t="s">
        <v>4323</v>
      </c>
      <c r="E131" s="240" t="s">
        <v>4321</v>
      </c>
      <c r="F131" s="241" t="s">
        <v>4235</v>
      </c>
      <c r="G131" s="241" t="s">
        <v>2434</v>
      </c>
      <c r="H131" s="242" t="s">
        <v>4136</v>
      </c>
      <c r="I131" s="242" t="s">
        <v>2435</v>
      </c>
      <c r="J131" s="228" t="s">
        <v>4137</v>
      </c>
      <c r="K131" s="243" t="s">
        <v>4322</v>
      </c>
      <c r="L131" s="243" t="s">
        <v>4322</v>
      </c>
      <c r="M131" s="243" t="s">
        <v>4322</v>
      </c>
    </row>
    <row r="132" spans="1:13" ht="15.95" customHeight="1">
      <c r="A132" s="232" t="s">
        <v>4274</v>
      </c>
      <c r="B132" s="233" t="s">
        <v>4167</v>
      </c>
      <c r="D132" s="235"/>
      <c r="E132" s="235"/>
      <c r="F132" s="241"/>
      <c r="G132" s="241" t="s">
        <v>2445</v>
      </c>
      <c r="H132" s="242" t="s">
        <v>2367</v>
      </c>
      <c r="I132" s="242" t="s">
        <v>2366</v>
      </c>
      <c r="J132" s="228" t="s">
        <v>2365</v>
      </c>
      <c r="K132" s="243" t="s">
        <v>4322</v>
      </c>
      <c r="L132" s="243" t="s">
        <v>4322</v>
      </c>
      <c r="M132" s="243" t="s">
        <v>4322</v>
      </c>
    </row>
    <row r="133" spans="1:13" ht="15.95" customHeight="1">
      <c r="A133" s="232" t="s">
        <v>4274</v>
      </c>
      <c r="B133" s="233" t="s">
        <v>4162</v>
      </c>
      <c r="D133" s="240" t="s">
        <v>4185</v>
      </c>
      <c r="E133" s="240" t="s">
        <v>4324</v>
      </c>
      <c r="F133" s="241" t="s">
        <v>4124</v>
      </c>
      <c r="G133" s="241" t="s">
        <v>2434</v>
      </c>
      <c r="H133" s="242" t="s">
        <v>4136</v>
      </c>
      <c r="I133" s="242" t="s">
        <v>2435</v>
      </c>
      <c r="J133" s="228" t="s">
        <v>4137</v>
      </c>
      <c r="K133" s="243" t="s">
        <v>4325</v>
      </c>
      <c r="L133" s="243" t="s">
        <v>4325</v>
      </c>
      <c r="M133" s="243" t="s">
        <v>4325</v>
      </c>
    </row>
    <row r="134" spans="1:13" ht="15.95" customHeight="1">
      <c r="A134" s="232" t="s">
        <v>4274</v>
      </c>
      <c r="B134" s="233" t="s">
        <v>4167</v>
      </c>
      <c r="D134" s="235"/>
      <c r="E134" s="235"/>
      <c r="F134" s="241"/>
      <c r="G134" s="241" t="s">
        <v>2445</v>
      </c>
      <c r="H134" s="242" t="s">
        <v>2367</v>
      </c>
      <c r="I134" s="242" t="s">
        <v>2366</v>
      </c>
      <c r="J134" s="228" t="s">
        <v>2365</v>
      </c>
      <c r="K134" s="243" t="s">
        <v>4325</v>
      </c>
      <c r="L134" s="243" t="s">
        <v>4325</v>
      </c>
      <c r="M134" s="243" t="s">
        <v>4325</v>
      </c>
    </row>
    <row r="135" spans="1:13" ht="15.95" customHeight="1">
      <c r="A135" s="232" t="s">
        <v>4274</v>
      </c>
      <c r="B135" s="233" t="s">
        <v>4162</v>
      </c>
      <c r="D135" s="245" t="s">
        <v>4188</v>
      </c>
      <c r="E135" s="245" t="s">
        <v>4326</v>
      </c>
      <c r="F135" s="241" t="s">
        <v>4287</v>
      </c>
      <c r="G135" s="241" t="s">
        <v>2434</v>
      </c>
      <c r="H135" s="242" t="s">
        <v>4136</v>
      </c>
      <c r="I135" s="242" t="s">
        <v>2435</v>
      </c>
      <c r="J135" s="228" t="s">
        <v>4137</v>
      </c>
      <c r="K135" s="243" t="s">
        <v>4327</v>
      </c>
      <c r="L135" s="243" t="s">
        <v>4327</v>
      </c>
      <c r="M135" s="243" t="s">
        <v>4327</v>
      </c>
    </row>
    <row r="136" spans="1:13" ht="15.95" customHeight="1">
      <c r="D136" s="244"/>
      <c r="E136" s="244"/>
    </row>
    <row r="137" spans="1:13" ht="15.95" customHeight="1">
      <c r="D137" s="244"/>
      <c r="E137" s="244"/>
    </row>
    <row r="138" spans="1:13" ht="15.95" customHeight="1">
      <c r="B138" s="233" t="s">
        <v>4249</v>
      </c>
      <c r="D138" s="1471" t="s">
        <v>4273</v>
      </c>
      <c r="E138" s="1472"/>
      <c r="F138" s="1472"/>
      <c r="G138" s="1472"/>
      <c r="H138" s="1472"/>
      <c r="I138" s="1472"/>
      <c r="J138" s="1472"/>
      <c r="K138" s="1472"/>
      <c r="L138" s="1472"/>
      <c r="M138" s="1472"/>
    </row>
    <row r="139" spans="1:13" ht="15.95" customHeight="1">
      <c r="A139" s="220" t="s">
        <v>4145</v>
      </c>
      <c r="B139" s="234" t="s">
        <v>4146</v>
      </c>
      <c r="C139" s="234" t="s">
        <v>4147</v>
      </c>
      <c r="D139" s="1473" t="s">
        <v>4148</v>
      </c>
      <c r="E139" s="1473" t="s">
        <v>4149</v>
      </c>
      <c r="F139" s="1476" t="s">
        <v>4150</v>
      </c>
      <c r="G139" s="1476" t="s">
        <v>4151</v>
      </c>
      <c r="H139" s="1473" t="s">
        <v>4152</v>
      </c>
      <c r="I139" s="1473" t="s">
        <v>4153</v>
      </c>
      <c r="J139" s="1473" t="s">
        <v>4154</v>
      </c>
      <c r="K139" s="1473" t="s">
        <v>4155</v>
      </c>
      <c r="L139" s="1473" t="s">
        <v>4156</v>
      </c>
      <c r="M139" s="1473" t="s">
        <v>4157</v>
      </c>
    </row>
    <row r="140" spans="1:13" ht="15.95" customHeight="1">
      <c r="A140" s="220"/>
      <c r="B140" s="234"/>
      <c r="C140" s="234"/>
      <c r="D140" s="1475"/>
      <c r="E140" s="1475"/>
      <c r="F140" s="1477"/>
      <c r="G140" s="1477"/>
      <c r="H140" s="1475"/>
      <c r="I140" s="1475"/>
      <c r="J140" s="1475"/>
      <c r="K140" s="1475"/>
      <c r="L140" s="1475"/>
      <c r="M140" s="1475"/>
    </row>
    <row r="141" spans="1:13" ht="15.95" customHeight="1">
      <c r="A141" s="232" t="s">
        <v>4274</v>
      </c>
      <c r="B141" s="233" t="s">
        <v>4167</v>
      </c>
      <c r="C141" s="233" t="s">
        <v>4250</v>
      </c>
      <c r="D141" s="235"/>
      <c r="E141" s="235"/>
      <c r="F141" s="236"/>
      <c r="G141" s="236" t="s">
        <v>2445</v>
      </c>
      <c r="H141" s="237" t="s">
        <v>2367</v>
      </c>
      <c r="I141" s="237" t="s">
        <v>2366</v>
      </c>
      <c r="J141" s="238" t="s">
        <v>2365</v>
      </c>
      <c r="K141" s="239" t="s">
        <v>4327</v>
      </c>
      <c r="L141" s="239" t="s">
        <v>4327</v>
      </c>
      <c r="M141" s="239" t="s">
        <v>4327</v>
      </c>
    </row>
    <row r="142" spans="1:13" ht="15.95" customHeight="1">
      <c r="A142" s="232" t="s">
        <v>4274</v>
      </c>
      <c r="B142" s="233" t="s">
        <v>4162</v>
      </c>
      <c r="D142" s="240" t="s">
        <v>4195</v>
      </c>
      <c r="E142" s="240" t="s">
        <v>4328</v>
      </c>
      <c r="F142" s="241" t="s">
        <v>2174</v>
      </c>
      <c r="G142" s="241" t="s">
        <v>2434</v>
      </c>
      <c r="H142" s="242" t="s">
        <v>4136</v>
      </c>
      <c r="I142" s="242" t="s">
        <v>2435</v>
      </c>
      <c r="J142" s="228" t="s">
        <v>4137</v>
      </c>
      <c r="K142" s="243" t="s">
        <v>2174</v>
      </c>
      <c r="L142" s="243" t="s">
        <v>2174</v>
      </c>
      <c r="M142" s="243" t="s">
        <v>2174</v>
      </c>
    </row>
    <row r="143" spans="1:13" ht="15.95" customHeight="1">
      <c r="A143" s="232" t="s">
        <v>4274</v>
      </c>
      <c r="B143" s="233" t="s">
        <v>4167</v>
      </c>
      <c r="D143" s="235"/>
      <c r="E143" s="235"/>
      <c r="F143" s="241"/>
      <c r="G143" s="241" t="s">
        <v>2445</v>
      </c>
      <c r="H143" s="242" t="s">
        <v>2367</v>
      </c>
      <c r="I143" s="242" t="s">
        <v>2366</v>
      </c>
      <c r="J143" s="228" t="s">
        <v>2365</v>
      </c>
      <c r="K143" s="243" t="s">
        <v>2174</v>
      </c>
      <c r="L143" s="243" t="s">
        <v>2174</v>
      </c>
      <c r="M143" s="243" t="s">
        <v>2174</v>
      </c>
    </row>
    <row r="144" spans="1:13" ht="15.95" customHeight="1">
      <c r="A144" s="232" t="s">
        <v>4274</v>
      </c>
      <c r="B144" s="233" t="s">
        <v>4162</v>
      </c>
      <c r="D144" s="240" t="s">
        <v>4195</v>
      </c>
      <c r="E144" s="240" t="s">
        <v>4329</v>
      </c>
      <c r="F144" s="241" t="s">
        <v>4283</v>
      </c>
      <c r="G144" s="241" t="s">
        <v>2434</v>
      </c>
      <c r="H144" s="242" t="s">
        <v>4136</v>
      </c>
      <c r="I144" s="242" t="s">
        <v>2435</v>
      </c>
      <c r="J144" s="228" t="s">
        <v>4137</v>
      </c>
      <c r="K144" s="243" t="s">
        <v>4283</v>
      </c>
      <c r="L144" s="243" t="s">
        <v>4283</v>
      </c>
      <c r="M144" s="243" t="s">
        <v>4283</v>
      </c>
    </row>
    <row r="145" spans="1:13" ht="15.95" customHeight="1">
      <c r="A145" s="232" t="s">
        <v>4274</v>
      </c>
      <c r="B145" s="233" t="s">
        <v>4167</v>
      </c>
      <c r="D145" s="235"/>
      <c r="E145" s="235"/>
      <c r="F145" s="241"/>
      <c r="G145" s="241" t="s">
        <v>2445</v>
      </c>
      <c r="H145" s="242" t="s">
        <v>2367</v>
      </c>
      <c r="I145" s="242" t="s">
        <v>2366</v>
      </c>
      <c r="J145" s="228" t="s">
        <v>2365</v>
      </c>
      <c r="K145" s="243" t="s">
        <v>4283</v>
      </c>
      <c r="L145" s="243" t="s">
        <v>4283</v>
      </c>
      <c r="M145" s="243" t="s">
        <v>4283</v>
      </c>
    </row>
    <row r="146" spans="1:13" ht="15.95" customHeight="1">
      <c r="A146" s="232" t="s">
        <v>4274</v>
      </c>
      <c r="D146" s="240" t="s">
        <v>4168</v>
      </c>
      <c r="E146" s="240"/>
      <c r="F146" s="241"/>
      <c r="G146" s="241"/>
      <c r="H146" s="242"/>
      <c r="I146" s="242"/>
      <c r="J146" s="228"/>
      <c r="K146" s="243"/>
      <c r="L146" s="243"/>
      <c r="M146" s="243"/>
    </row>
    <row r="147" spans="1:13" ht="15.95" customHeight="1">
      <c r="A147" s="232" t="s">
        <v>4274</v>
      </c>
      <c r="B147" s="233" t="s">
        <v>4176</v>
      </c>
      <c r="D147" s="240" t="s">
        <v>4203</v>
      </c>
      <c r="E147" s="240" t="s">
        <v>4330</v>
      </c>
      <c r="F147" s="241" t="s">
        <v>4165</v>
      </c>
      <c r="G147" s="241" t="s">
        <v>2432</v>
      </c>
      <c r="H147" s="242" t="s">
        <v>4136</v>
      </c>
      <c r="I147" s="242" t="s">
        <v>2433</v>
      </c>
      <c r="J147" s="228" t="s">
        <v>4137</v>
      </c>
      <c r="K147" s="243" t="s">
        <v>4331</v>
      </c>
      <c r="L147" s="243" t="s">
        <v>4331</v>
      </c>
      <c r="M147" s="243" t="s">
        <v>4331</v>
      </c>
    </row>
    <row r="148" spans="1:13" ht="15.95" customHeight="1">
      <c r="A148" s="232" t="s">
        <v>4274</v>
      </c>
      <c r="B148" s="233" t="s">
        <v>4162</v>
      </c>
      <c r="D148" s="240" t="s">
        <v>4286</v>
      </c>
      <c r="E148" s="240" t="s">
        <v>4229</v>
      </c>
      <c r="F148" s="241" t="s">
        <v>4229</v>
      </c>
      <c r="G148" s="241" t="s">
        <v>2434</v>
      </c>
      <c r="H148" s="242" t="s">
        <v>4136</v>
      </c>
      <c r="I148" s="242" t="s">
        <v>2435</v>
      </c>
      <c r="J148" s="228" t="s">
        <v>4137</v>
      </c>
      <c r="K148" s="243" t="s">
        <v>4171</v>
      </c>
      <c r="L148" s="243" t="s">
        <v>4171</v>
      </c>
      <c r="M148" s="243" t="s">
        <v>4171</v>
      </c>
    </row>
    <row r="149" spans="1:13" ht="15.95" customHeight="1">
      <c r="A149" s="232" t="s">
        <v>4274</v>
      </c>
      <c r="B149" s="233" t="s">
        <v>4162</v>
      </c>
      <c r="D149" s="240" t="s">
        <v>4206</v>
      </c>
      <c r="E149" s="240" t="s">
        <v>4332</v>
      </c>
      <c r="F149" s="241" t="s">
        <v>4221</v>
      </c>
      <c r="G149" s="241" t="s">
        <v>2434</v>
      </c>
      <c r="H149" s="242" t="s">
        <v>4136</v>
      </c>
      <c r="I149" s="242" t="s">
        <v>2435</v>
      </c>
      <c r="J149" s="228" t="s">
        <v>4137</v>
      </c>
      <c r="K149" s="243" t="s">
        <v>4333</v>
      </c>
      <c r="L149" s="243" t="s">
        <v>4333</v>
      </c>
      <c r="M149" s="243" t="s">
        <v>4333</v>
      </c>
    </row>
    <row r="150" spans="1:13" ht="15.95" customHeight="1">
      <c r="A150" s="232" t="s">
        <v>4274</v>
      </c>
      <c r="B150" s="233" t="s">
        <v>4162</v>
      </c>
      <c r="D150" s="240" t="s">
        <v>4300</v>
      </c>
      <c r="E150" s="240" t="s">
        <v>4334</v>
      </c>
      <c r="F150" s="241" t="s">
        <v>4272</v>
      </c>
      <c r="G150" s="241" t="s">
        <v>2434</v>
      </c>
      <c r="H150" s="242" t="s">
        <v>4136</v>
      </c>
      <c r="I150" s="242" t="s">
        <v>2435</v>
      </c>
      <c r="J150" s="228" t="s">
        <v>4137</v>
      </c>
      <c r="K150" s="243" t="s">
        <v>4272</v>
      </c>
      <c r="L150" s="243" t="s">
        <v>4272</v>
      </c>
      <c r="M150" s="243" t="s">
        <v>4272</v>
      </c>
    </row>
    <row r="151" spans="1:13" ht="15.95" customHeight="1">
      <c r="A151" s="232" t="s">
        <v>4274</v>
      </c>
      <c r="B151" s="233" t="s">
        <v>4162</v>
      </c>
      <c r="D151" s="240" t="s">
        <v>4210</v>
      </c>
      <c r="E151" s="240" t="s">
        <v>4335</v>
      </c>
      <c r="F151" s="241" t="s">
        <v>4336</v>
      </c>
      <c r="G151" s="241" t="s">
        <v>2434</v>
      </c>
      <c r="H151" s="242" t="s">
        <v>4136</v>
      </c>
      <c r="I151" s="242" t="s">
        <v>2435</v>
      </c>
      <c r="J151" s="228" t="s">
        <v>4137</v>
      </c>
      <c r="K151" s="243" t="s">
        <v>4337</v>
      </c>
      <c r="L151" s="243" t="s">
        <v>4337</v>
      </c>
      <c r="M151" s="243" t="s">
        <v>4337</v>
      </c>
    </row>
    <row r="152" spans="1:13" ht="15.95" customHeight="1">
      <c r="A152" s="232" t="s">
        <v>4274</v>
      </c>
      <c r="B152" s="233" t="s">
        <v>4162</v>
      </c>
      <c r="D152" s="240" t="s">
        <v>4218</v>
      </c>
      <c r="E152" s="240" t="s">
        <v>4338</v>
      </c>
      <c r="F152" s="241" t="s">
        <v>4229</v>
      </c>
      <c r="G152" s="241" t="s">
        <v>2434</v>
      </c>
      <c r="H152" s="242" t="s">
        <v>4136</v>
      </c>
      <c r="I152" s="242" t="s">
        <v>2435</v>
      </c>
      <c r="J152" s="228" t="s">
        <v>4137</v>
      </c>
      <c r="K152" s="243" t="s">
        <v>4229</v>
      </c>
      <c r="L152" s="243" t="s">
        <v>4229</v>
      </c>
      <c r="M152" s="243" t="s">
        <v>4229</v>
      </c>
    </row>
    <row r="153" spans="1:13" ht="15.95" customHeight="1">
      <c r="A153" s="232" t="s">
        <v>4274</v>
      </c>
      <c r="B153" s="233" t="s">
        <v>4162</v>
      </c>
      <c r="D153" s="240" t="s">
        <v>4218</v>
      </c>
      <c r="E153" s="240" t="s">
        <v>4339</v>
      </c>
      <c r="F153" s="241" t="s">
        <v>4235</v>
      </c>
      <c r="G153" s="241" t="s">
        <v>2434</v>
      </c>
      <c r="H153" s="242" t="s">
        <v>4136</v>
      </c>
      <c r="I153" s="242" t="s">
        <v>2435</v>
      </c>
      <c r="J153" s="228" t="s">
        <v>4137</v>
      </c>
      <c r="K153" s="243" t="s">
        <v>4235</v>
      </c>
      <c r="L153" s="243" t="s">
        <v>4235</v>
      </c>
      <c r="M153" s="243" t="s">
        <v>4235</v>
      </c>
    </row>
    <row r="154" spans="1:13" ht="15.95" customHeight="1">
      <c r="A154" s="232" t="s">
        <v>4274</v>
      </c>
      <c r="B154" s="233" t="s">
        <v>4340</v>
      </c>
      <c r="D154" s="240" t="s">
        <v>4341</v>
      </c>
      <c r="E154" s="240" t="s">
        <v>4283</v>
      </c>
      <c r="F154" s="241" t="s">
        <v>4283</v>
      </c>
      <c r="G154" s="241" t="s">
        <v>2400</v>
      </c>
      <c r="H154" s="242" t="s">
        <v>2395</v>
      </c>
      <c r="I154" s="242" t="s">
        <v>2389</v>
      </c>
      <c r="J154" s="228" t="s">
        <v>321</v>
      </c>
      <c r="K154" s="243" t="s">
        <v>2258</v>
      </c>
      <c r="L154" s="243" t="s">
        <v>2258</v>
      </c>
      <c r="M154" s="243" t="s">
        <v>4283</v>
      </c>
    </row>
    <row r="155" spans="1:13" ht="15.95" customHeight="1">
      <c r="A155" s="232" t="s">
        <v>4274</v>
      </c>
      <c r="B155" s="233" t="s">
        <v>4342</v>
      </c>
      <c r="D155" s="235"/>
      <c r="E155" s="235"/>
      <c r="F155" s="241"/>
      <c r="G155" s="241" t="s">
        <v>2408</v>
      </c>
      <c r="H155" s="242" t="s">
        <v>2407</v>
      </c>
      <c r="I155" s="242" t="s">
        <v>2409</v>
      </c>
      <c r="J155" s="228" t="s">
        <v>321</v>
      </c>
      <c r="K155" s="243" t="s">
        <v>2258</v>
      </c>
      <c r="L155" s="243" t="s">
        <v>2258</v>
      </c>
      <c r="M155" s="243" t="s">
        <v>4283</v>
      </c>
    </row>
    <row r="156" spans="1:13" ht="15.95" customHeight="1">
      <c r="A156" s="232" t="s">
        <v>4274</v>
      </c>
      <c r="B156" s="233" t="s">
        <v>2404</v>
      </c>
      <c r="D156" s="235"/>
      <c r="E156" s="235"/>
      <c r="F156" s="241"/>
      <c r="G156" s="241" t="s">
        <v>2403</v>
      </c>
      <c r="H156" s="242" t="s">
        <v>2404</v>
      </c>
      <c r="I156" s="242"/>
      <c r="J156" s="228" t="s">
        <v>321</v>
      </c>
      <c r="K156" s="243" t="s">
        <v>2258</v>
      </c>
      <c r="L156" s="243" t="s">
        <v>2258</v>
      </c>
      <c r="M156" s="243" t="s">
        <v>4283</v>
      </c>
    </row>
    <row r="157" spans="1:13" ht="15.95" customHeight="1">
      <c r="A157" s="232" t="s">
        <v>4274</v>
      </c>
      <c r="B157" s="233" t="s">
        <v>4343</v>
      </c>
      <c r="D157" s="240" t="s">
        <v>4344</v>
      </c>
      <c r="E157" s="240" t="s">
        <v>4345</v>
      </c>
      <c r="F157" s="241" t="s">
        <v>2256</v>
      </c>
      <c r="G157" s="241" t="s">
        <v>2399</v>
      </c>
      <c r="H157" s="242" t="s">
        <v>2395</v>
      </c>
      <c r="I157" s="242" t="s">
        <v>2385</v>
      </c>
      <c r="J157" s="228" t="s">
        <v>321</v>
      </c>
      <c r="K157" s="243" t="s">
        <v>2258</v>
      </c>
      <c r="L157" s="243" t="s">
        <v>2258</v>
      </c>
      <c r="M157" s="243" t="s">
        <v>2256</v>
      </c>
    </row>
    <row r="158" spans="1:13" ht="15.95" customHeight="1">
      <c r="A158" s="232" t="s">
        <v>4274</v>
      </c>
      <c r="B158" s="233" t="s">
        <v>4342</v>
      </c>
      <c r="D158" s="235"/>
      <c r="E158" s="235"/>
      <c r="F158" s="241"/>
      <c r="G158" s="241" t="s">
        <v>2408</v>
      </c>
      <c r="H158" s="242" t="s">
        <v>2407</v>
      </c>
      <c r="I158" s="242" t="s">
        <v>2409</v>
      </c>
      <c r="J158" s="228" t="s">
        <v>321</v>
      </c>
      <c r="K158" s="243" t="s">
        <v>2258</v>
      </c>
      <c r="L158" s="243" t="s">
        <v>2258</v>
      </c>
      <c r="M158" s="243" t="s">
        <v>2256</v>
      </c>
    </row>
    <row r="159" spans="1:13" ht="15.95" customHeight="1">
      <c r="A159" s="232" t="s">
        <v>4274</v>
      </c>
      <c r="B159" s="233" t="s">
        <v>2404</v>
      </c>
      <c r="D159" s="235"/>
      <c r="E159" s="235"/>
      <c r="F159" s="241"/>
      <c r="G159" s="241" t="s">
        <v>2403</v>
      </c>
      <c r="H159" s="242" t="s">
        <v>2404</v>
      </c>
      <c r="I159" s="242"/>
      <c r="J159" s="228" t="s">
        <v>321</v>
      </c>
      <c r="K159" s="243" t="s">
        <v>2258</v>
      </c>
      <c r="L159" s="243" t="s">
        <v>2258</v>
      </c>
      <c r="M159" s="243" t="s">
        <v>2256</v>
      </c>
    </row>
    <row r="160" spans="1:13" ht="15.95" customHeight="1">
      <c r="A160" s="232" t="s">
        <v>4274</v>
      </c>
      <c r="B160" s="233" t="s">
        <v>4346</v>
      </c>
      <c r="D160" s="240" t="s">
        <v>4347</v>
      </c>
      <c r="E160" s="240" t="s">
        <v>2258</v>
      </c>
      <c r="F160" s="241" t="s">
        <v>2258</v>
      </c>
      <c r="G160" s="241" t="s">
        <v>2398</v>
      </c>
      <c r="H160" s="242" t="s">
        <v>2395</v>
      </c>
      <c r="I160" s="242" t="s">
        <v>2375</v>
      </c>
      <c r="J160" s="228" t="s">
        <v>321</v>
      </c>
      <c r="K160" s="243" t="s">
        <v>2258</v>
      </c>
      <c r="L160" s="243" t="s">
        <v>2258</v>
      </c>
      <c r="M160" s="243" t="s">
        <v>2258</v>
      </c>
    </row>
    <row r="161" spans="1:13" ht="15.95" customHeight="1">
      <c r="A161" s="232" t="s">
        <v>4274</v>
      </c>
      <c r="B161" s="233" t="s">
        <v>4342</v>
      </c>
      <c r="D161" s="235"/>
      <c r="E161" s="235"/>
      <c r="F161" s="241"/>
      <c r="G161" s="241" t="s">
        <v>2408</v>
      </c>
      <c r="H161" s="242" t="s">
        <v>2407</v>
      </c>
      <c r="I161" s="242" t="s">
        <v>2409</v>
      </c>
      <c r="J161" s="228" t="s">
        <v>321</v>
      </c>
      <c r="K161" s="243" t="s">
        <v>2258</v>
      </c>
      <c r="L161" s="243" t="s">
        <v>2258</v>
      </c>
      <c r="M161" s="243" t="s">
        <v>2258</v>
      </c>
    </row>
    <row r="162" spans="1:13" ht="15.95" customHeight="1">
      <c r="A162" s="232" t="s">
        <v>4274</v>
      </c>
      <c r="B162" s="233" t="s">
        <v>2404</v>
      </c>
      <c r="D162" s="235"/>
      <c r="E162" s="235"/>
      <c r="F162" s="241"/>
      <c r="G162" s="241" t="s">
        <v>2403</v>
      </c>
      <c r="H162" s="242" t="s">
        <v>2404</v>
      </c>
      <c r="I162" s="242"/>
      <c r="J162" s="228" t="s">
        <v>321</v>
      </c>
      <c r="K162" s="243" t="s">
        <v>2258</v>
      </c>
      <c r="L162" s="243" t="s">
        <v>2258</v>
      </c>
      <c r="M162" s="243" t="s">
        <v>2258</v>
      </c>
    </row>
    <row r="163" spans="1:13" ht="15.95" customHeight="1">
      <c r="A163" s="232" t="s">
        <v>4274</v>
      </c>
      <c r="B163" s="233" t="s">
        <v>4348</v>
      </c>
      <c r="D163" s="240" t="s">
        <v>4349</v>
      </c>
      <c r="E163" s="240" t="s">
        <v>2258</v>
      </c>
      <c r="F163" s="241" t="s">
        <v>2258</v>
      </c>
      <c r="G163" s="241" t="s">
        <v>2396</v>
      </c>
      <c r="H163" s="242" t="s">
        <v>2395</v>
      </c>
      <c r="I163" s="242" t="s">
        <v>2397</v>
      </c>
      <c r="J163" s="228" t="s">
        <v>321</v>
      </c>
      <c r="K163" s="243" t="s">
        <v>2258</v>
      </c>
      <c r="L163" s="243" t="s">
        <v>2258</v>
      </c>
      <c r="M163" s="243" t="s">
        <v>2258</v>
      </c>
    </row>
    <row r="164" spans="1:13" ht="15.95" customHeight="1">
      <c r="A164" s="232" t="s">
        <v>4274</v>
      </c>
      <c r="B164" s="233" t="s">
        <v>4342</v>
      </c>
      <c r="D164" s="235"/>
      <c r="E164" s="235"/>
      <c r="F164" s="241"/>
      <c r="G164" s="241" t="s">
        <v>2408</v>
      </c>
      <c r="H164" s="242" t="s">
        <v>2407</v>
      </c>
      <c r="I164" s="242" t="s">
        <v>2409</v>
      </c>
      <c r="J164" s="228" t="s">
        <v>321</v>
      </c>
      <c r="K164" s="243" t="s">
        <v>2258</v>
      </c>
      <c r="L164" s="243" t="s">
        <v>2258</v>
      </c>
      <c r="M164" s="243" t="s">
        <v>2258</v>
      </c>
    </row>
    <row r="165" spans="1:13" ht="15.95" customHeight="1">
      <c r="A165" s="232" t="s">
        <v>4274</v>
      </c>
      <c r="B165" s="233" t="s">
        <v>2404</v>
      </c>
      <c r="D165" s="235"/>
      <c r="E165" s="235"/>
      <c r="F165" s="241"/>
      <c r="G165" s="241" t="s">
        <v>2403</v>
      </c>
      <c r="H165" s="242" t="s">
        <v>2404</v>
      </c>
      <c r="I165" s="242"/>
      <c r="J165" s="228" t="s">
        <v>321</v>
      </c>
      <c r="K165" s="243" t="s">
        <v>2258</v>
      </c>
      <c r="L165" s="243" t="s">
        <v>2258</v>
      </c>
      <c r="M165" s="243" t="s">
        <v>2258</v>
      </c>
    </row>
    <row r="166" spans="1:13" ht="15.95" customHeight="1">
      <c r="A166" s="232" t="s">
        <v>4274</v>
      </c>
      <c r="B166" s="233" t="s">
        <v>4350</v>
      </c>
      <c r="D166" s="240" t="s">
        <v>4351</v>
      </c>
      <c r="E166" s="240" t="s">
        <v>2258</v>
      </c>
      <c r="F166" s="241" t="s">
        <v>2258</v>
      </c>
      <c r="G166" s="241" t="s">
        <v>2393</v>
      </c>
      <c r="H166" s="242" t="s">
        <v>2395</v>
      </c>
      <c r="I166" s="242" t="s">
        <v>2394</v>
      </c>
      <c r="J166" s="228" t="s">
        <v>321</v>
      </c>
      <c r="K166" s="243" t="s">
        <v>2258</v>
      </c>
      <c r="L166" s="243" t="s">
        <v>2258</v>
      </c>
      <c r="M166" s="243" t="s">
        <v>2258</v>
      </c>
    </row>
    <row r="167" spans="1:13" ht="15.95" customHeight="1">
      <c r="A167" s="232" t="s">
        <v>4274</v>
      </c>
      <c r="B167" s="233" t="s">
        <v>4342</v>
      </c>
      <c r="D167" s="235"/>
      <c r="E167" s="235"/>
      <c r="F167" s="241"/>
      <c r="G167" s="241" t="s">
        <v>2408</v>
      </c>
      <c r="H167" s="242" t="s">
        <v>2407</v>
      </c>
      <c r="I167" s="242" t="s">
        <v>2409</v>
      </c>
      <c r="J167" s="228" t="s">
        <v>321</v>
      </c>
      <c r="K167" s="243" t="s">
        <v>2258</v>
      </c>
      <c r="L167" s="243" t="s">
        <v>2258</v>
      </c>
      <c r="M167" s="243" t="s">
        <v>2258</v>
      </c>
    </row>
    <row r="168" spans="1:13" ht="15.95" customHeight="1">
      <c r="A168" s="232" t="s">
        <v>4274</v>
      </c>
      <c r="B168" s="233" t="s">
        <v>2404</v>
      </c>
      <c r="D168" s="235"/>
      <c r="E168" s="235"/>
      <c r="F168" s="241"/>
      <c r="G168" s="241" t="s">
        <v>2403</v>
      </c>
      <c r="H168" s="242" t="s">
        <v>2404</v>
      </c>
      <c r="I168" s="242"/>
      <c r="J168" s="228" t="s">
        <v>321</v>
      </c>
      <c r="K168" s="243" t="s">
        <v>2258</v>
      </c>
      <c r="L168" s="243" t="s">
        <v>2258</v>
      </c>
      <c r="M168" s="243" t="s">
        <v>2258</v>
      </c>
    </row>
    <row r="169" spans="1:13" ht="15.95" customHeight="1">
      <c r="A169" s="232" t="s">
        <v>4274</v>
      </c>
      <c r="B169" s="233" t="s">
        <v>4352</v>
      </c>
      <c r="D169" s="240" t="s">
        <v>4353</v>
      </c>
      <c r="E169" s="240" t="s">
        <v>2258</v>
      </c>
      <c r="F169" s="241" t="s">
        <v>2258</v>
      </c>
      <c r="G169" s="241" t="s">
        <v>2401</v>
      </c>
      <c r="H169" s="242" t="s">
        <v>2395</v>
      </c>
      <c r="I169" s="242" t="s">
        <v>2402</v>
      </c>
      <c r="J169" s="228" t="s">
        <v>321</v>
      </c>
      <c r="K169" s="243" t="s">
        <v>2258</v>
      </c>
      <c r="L169" s="243" t="s">
        <v>2258</v>
      </c>
      <c r="M169" s="243" t="s">
        <v>2258</v>
      </c>
    </row>
    <row r="170" spans="1:13" ht="15.95" customHeight="1">
      <c r="A170" s="232" t="s">
        <v>4274</v>
      </c>
      <c r="B170" s="233" t="s">
        <v>4354</v>
      </c>
      <c r="D170" s="235"/>
      <c r="E170" s="235"/>
      <c r="F170" s="241"/>
      <c r="G170" s="241" t="s">
        <v>2405</v>
      </c>
      <c r="H170" s="242" t="s">
        <v>2407</v>
      </c>
      <c r="I170" s="242" t="s">
        <v>2406</v>
      </c>
      <c r="J170" s="228" t="s">
        <v>321</v>
      </c>
      <c r="K170" s="243" t="s">
        <v>2258</v>
      </c>
      <c r="L170" s="243" t="s">
        <v>2258</v>
      </c>
      <c r="M170" s="243" t="s">
        <v>2258</v>
      </c>
    </row>
    <row r="171" spans="1:13" ht="15.95" customHeight="1">
      <c r="A171" s="232" t="s">
        <v>4274</v>
      </c>
      <c r="B171" s="233" t="s">
        <v>2404</v>
      </c>
      <c r="D171" s="235"/>
      <c r="E171" s="235"/>
      <c r="F171" s="241"/>
      <c r="G171" s="241" t="s">
        <v>2403</v>
      </c>
      <c r="H171" s="242" t="s">
        <v>2404</v>
      </c>
      <c r="I171" s="242"/>
      <c r="J171" s="228" t="s">
        <v>321</v>
      </c>
      <c r="K171" s="243" t="s">
        <v>2258</v>
      </c>
      <c r="L171" s="243" t="s">
        <v>2258</v>
      </c>
      <c r="M171" s="243" t="s">
        <v>2258</v>
      </c>
    </row>
    <row r="172" spans="1:13" ht="15.95" customHeight="1">
      <c r="A172" s="232" t="s">
        <v>4274</v>
      </c>
      <c r="B172" s="233" t="s">
        <v>4226</v>
      </c>
      <c r="D172" s="240" t="s">
        <v>4227</v>
      </c>
      <c r="E172" s="240" t="s">
        <v>4355</v>
      </c>
      <c r="F172" s="241" t="s">
        <v>4171</v>
      </c>
      <c r="G172" s="241" t="s">
        <v>2388</v>
      </c>
      <c r="H172" s="242" t="s">
        <v>2373</v>
      </c>
      <c r="I172" s="242" t="s">
        <v>2389</v>
      </c>
      <c r="J172" s="228" t="s">
        <v>321</v>
      </c>
      <c r="K172" s="243" t="s">
        <v>2258</v>
      </c>
      <c r="L172" s="243" t="s">
        <v>2258</v>
      </c>
      <c r="M172" s="243" t="s">
        <v>4171</v>
      </c>
    </row>
    <row r="173" spans="1:13" ht="15.95" customHeight="1">
      <c r="A173" s="232" t="s">
        <v>4274</v>
      </c>
      <c r="B173" s="233" t="s">
        <v>4309</v>
      </c>
      <c r="D173" s="240" t="s">
        <v>4310</v>
      </c>
      <c r="E173" s="240" t="s">
        <v>4356</v>
      </c>
      <c r="F173" s="241" t="s">
        <v>4283</v>
      </c>
      <c r="G173" s="241" t="s">
        <v>2384</v>
      </c>
      <c r="H173" s="242" t="s">
        <v>2373</v>
      </c>
      <c r="I173" s="242" t="s">
        <v>2385</v>
      </c>
      <c r="J173" s="228" t="s">
        <v>321</v>
      </c>
      <c r="K173" s="243" t="s">
        <v>2258</v>
      </c>
      <c r="L173" s="243" t="s">
        <v>2258</v>
      </c>
      <c r="M173" s="243" t="s">
        <v>4283</v>
      </c>
    </row>
    <row r="174" spans="1:13" ht="15.95" customHeight="1">
      <c r="A174" s="232" t="s">
        <v>4274</v>
      </c>
      <c r="B174" s="233" t="s">
        <v>4311</v>
      </c>
      <c r="D174" s="240" t="s">
        <v>4312</v>
      </c>
      <c r="E174" s="240" t="s">
        <v>2256</v>
      </c>
      <c r="F174" s="241" t="s">
        <v>2256</v>
      </c>
      <c r="G174" s="241" t="s">
        <v>2378</v>
      </c>
      <c r="H174" s="242" t="s">
        <v>2373</v>
      </c>
      <c r="I174" s="242" t="s">
        <v>2379</v>
      </c>
      <c r="J174" s="228" t="s">
        <v>321</v>
      </c>
      <c r="K174" s="243" t="s">
        <v>2258</v>
      </c>
      <c r="L174" s="243" t="s">
        <v>2258</v>
      </c>
      <c r="M174" s="243" t="s">
        <v>2256</v>
      </c>
    </row>
    <row r="175" spans="1:13" ht="15.95" customHeight="1">
      <c r="A175" s="232" t="s">
        <v>4274</v>
      </c>
      <c r="B175" s="233" t="s">
        <v>4313</v>
      </c>
      <c r="D175" s="240" t="s">
        <v>4314</v>
      </c>
      <c r="E175" s="240" t="s">
        <v>2256</v>
      </c>
      <c r="F175" s="241" t="s">
        <v>2256</v>
      </c>
      <c r="G175" s="241" t="s">
        <v>2376</v>
      </c>
      <c r="H175" s="242" t="s">
        <v>2373</v>
      </c>
      <c r="I175" s="242" t="s">
        <v>2377</v>
      </c>
      <c r="J175" s="228" t="s">
        <v>321</v>
      </c>
      <c r="K175" s="243" t="s">
        <v>2258</v>
      </c>
      <c r="L175" s="243" t="s">
        <v>2258</v>
      </c>
      <c r="M175" s="243" t="s">
        <v>2256</v>
      </c>
    </row>
    <row r="176" spans="1:13" ht="15.95" customHeight="1">
      <c r="A176" s="232" t="s">
        <v>4274</v>
      </c>
      <c r="B176" s="233" t="s">
        <v>4357</v>
      </c>
      <c r="D176" s="240" t="s">
        <v>4358</v>
      </c>
      <c r="E176" s="240" t="s">
        <v>2258</v>
      </c>
      <c r="F176" s="241" t="s">
        <v>2258</v>
      </c>
      <c r="G176" s="241" t="s">
        <v>2374</v>
      </c>
      <c r="H176" s="242" t="s">
        <v>2373</v>
      </c>
      <c r="I176" s="242" t="s">
        <v>2375</v>
      </c>
      <c r="J176" s="228" t="s">
        <v>321</v>
      </c>
      <c r="K176" s="243" t="s">
        <v>2258</v>
      </c>
      <c r="L176" s="243" t="s">
        <v>2258</v>
      </c>
      <c r="M176" s="243" t="s">
        <v>2258</v>
      </c>
    </row>
    <row r="177" spans="1:13" ht="15.95" customHeight="1">
      <c r="A177" s="232" t="s">
        <v>4274</v>
      </c>
      <c r="D177" s="240"/>
      <c r="E177" s="240"/>
      <c r="F177" s="241"/>
      <c r="G177" s="241"/>
      <c r="H177" s="242"/>
      <c r="I177" s="242"/>
      <c r="J177" s="228"/>
      <c r="K177" s="243"/>
      <c r="L177" s="243"/>
      <c r="M177" s="243"/>
    </row>
    <row r="178" spans="1:13" ht="15.95" customHeight="1">
      <c r="A178" s="232" t="s">
        <v>4274</v>
      </c>
      <c r="B178" s="233" t="s">
        <v>4238</v>
      </c>
      <c r="D178" s="240" t="s">
        <v>4239</v>
      </c>
      <c r="E178" s="240" t="s">
        <v>4359</v>
      </c>
      <c r="F178" s="241" t="s">
        <v>4360</v>
      </c>
      <c r="G178" s="241" t="s">
        <v>2413</v>
      </c>
      <c r="H178" s="242" t="s">
        <v>4143</v>
      </c>
      <c r="I178" s="242" t="s">
        <v>2414</v>
      </c>
      <c r="J178" s="228" t="s">
        <v>321</v>
      </c>
      <c r="K178" s="243" t="s">
        <v>2258</v>
      </c>
      <c r="L178" s="243" t="s">
        <v>2258</v>
      </c>
      <c r="M178" s="243" t="s">
        <v>4360</v>
      </c>
    </row>
    <row r="179" spans="1:13" ht="15.95" customHeight="1">
      <c r="A179" s="232" t="s">
        <v>4274</v>
      </c>
      <c r="B179" s="233" t="s">
        <v>4242</v>
      </c>
      <c r="D179" s="235"/>
      <c r="E179" s="235"/>
      <c r="F179" s="241"/>
      <c r="G179" s="241" t="s">
        <v>2427</v>
      </c>
      <c r="H179" s="242" t="s">
        <v>4138</v>
      </c>
      <c r="I179" s="242" t="s">
        <v>4139</v>
      </c>
      <c r="J179" s="228" t="s">
        <v>4140</v>
      </c>
      <c r="K179" s="243" t="s">
        <v>4243</v>
      </c>
      <c r="L179" s="243" t="s">
        <v>4243</v>
      </c>
      <c r="M179" s="243" t="s">
        <v>4361</v>
      </c>
    </row>
    <row r="180" spans="1:13" ht="15.95" customHeight="1">
      <c r="A180" s="232" t="s">
        <v>4274</v>
      </c>
      <c r="B180" s="233" t="s">
        <v>4167</v>
      </c>
      <c r="C180" s="233" t="s">
        <v>4245</v>
      </c>
      <c r="D180" s="237"/>
      <c r="E180" s="237"/>
      <c r="F180" s="241"/>
      <c r="G180" s="241" t="s">
        <v>2445</v>
      </c>
      <c r="H180" s="242" t="s">
        <v>2367</v>
      </c>
      <c r="I180" s="242" t="s">
        <v>2366</v>
      </c>
      <c r="J180" s="228" t="s">
        <v>2365</v>
      </c>
      <c r="K180" s="243" t="s">
        <v>4246</v>
      </c>
      <c r="L180" s="243" t="s">
        <v>4247</v>
      </c>
      <c r="M180" s="243" t="s">
        <v>4362</v>
      </c>
    </row>
    <row r="181" spans="1:13" ht="15.95" customHeight="1">
      <c r="D181" s="244"/>
      <c r="E181" s="244"/>
    </row>
    <row r="182" spans="1:13" ht="15.95" customHeight="1">
      <c r="D182" s="244"/>
      <c r="E182" s="244"/>
    </row>
    <row r="183" spans="1:13" ht="15.95" customHeight="1">
      <c r="B183" s="233" t="s">
        <v>4249</v>
      </c>
      <c r="D183" s="1471" t="s">
        <v>4273</v>
      </c>
      <c r="E183" s="1472"/>
      <c r="F183" s="1472"/>
      <c r="G183" s="1472"/>
      <c r="H183" s="1472"/>
      <c r="I183" s="1472"/>
      <c r="J183" s="1472"/>
      <c r="K183" s="1472"/>
      <c r="L183" s="1472"/>
      <c r="M183" s="1472"/>
    </row>
    <row r="184" spans="1:13" ht="15.95" customHeight="1">
      <c r="A184" s="220" t="s">
        <v>4145</v>
      </c>
      <c r="B184" s="234" t="s">
        <v>4146</v>
      </c>
      <c r="C184" s="234" t="s">
        <v>4147</v>
      </c>
      <c r="D184" s="1473" t="s">
        <v>4148</v>
      </c>
      <c r="E184" s="1473" t="s">
        <v>4149</v>
      </c>
      <c r="F184" s="1476" t="s">
        <v>4150</v>
      </c>
      <c r="G184" s="1476" t="s">
        <v>4151</v>
      </c>
      <c r="H184" s="1473" t="s">
        <v>4152</v>
      </c>
      <c r="I184" s="1473" t="s">
        <v>4153</v>
      </c>
      <c r="J184" s="1473" t="s">
        <v>4154</v>
      </c>
      <c r="K184" s="1473" t="s">
        <v>4155</v>
      </c>
      <c r="L184" s="1473" t="s">
        <v>4156</v>
      </c>
      <c r="M184" s="1473" t="s">
        <v>4157</v>
      </c>
    </row>
    <row r="185" spans="1:13" ht="15.95" customHeight="1">
      <c r="A185" s="220"/>
      <c r="B185" s="234"/>
      <c r="C185" s="234"/>
      <c r="D185" s="1475"/>
      <c r="E185" s="1475"/>
      <c r="F185" s="1477"/>
      <c r="G185" s="1477"/>
      <c r="H185" s="1475"/>
      <c r="I185" s="1475"/>
      <c r="J185" s="1475"/>
      <c r="K185" s="1475"/>
      <c r="L185" s="1475"/>
      <c r="M185" s="1475"/>
    </row>
    <row r="186" spans="1:13" ht="15.95" customHeight="1">
      <c r="A186" s="232" t="s">
        <v>4274</v>
      </c>
      <c r="B186" s="233" t="s">
        <v>2423</v>
      </c>
      <c r="C186" s="233" t="s">
        <v>4250</v>
      </c>
      <c r="D186" s="235"/>
      <c r="E186" s="235"/>
      <c r="F186" s="236"/>
      <c r="G186" s="236" t="s">
        <v>2422</v>
      </c>
      <c r="H186" s="237" t="s">
        <v>4142</v>
      </c>
      <c r="I186" s="237" t="s">
        <v>2423</v>
      </c>
      <c r="J186" s="238" t="s">
        <v>321</v>
      </c>
      <c r="K186" s="239" t="s">
        <v>2258</v>
      </c>
      <c r="L186" s="239" t="s">
        <v>2258</v>
      </c>
      <c r="M186" s="239" t="s">
        <v>4360</v>
      </c>
    </row>
    <row r="187" spans="1:13" ht="15.95" customHeight="1">
      <c r="A187" s="232" t="s">
        <v>4274</v>
      </c>
      <c r="B187" s="233" t="s">
        <v>2419</v>
      </c>
      <c r="D187" s="235"/>
      <c r="E187" s="235"/>
      <c r="F187" s="241"/>
      <c r="G187" s="241" t="s">
        <v>2418</v>
      </c>
      <c r="H187" s="242" t="s">
        <v>4142</v>
      </c>
      <c r="I187" s="242" t="s">
        <v>2419</v>
      </c>
      <c r="J187" s="228" t="s">
        <v>321</v>
      </c>
      <c r="K187" s="243" t="s">
        <v>2256</v>
      </c>
      <c r="L187" s="243" t="s">
        <v>2256</v>
      </c>
      <c r="M187" s="243" t="s">
        <v>4363</v>
      </c>
    </row>
    <row r="188" spans="1:13" ht="15.95" customHeight="1">
      <c r="A188" s="232" t="s">
        <v>4274</v>
      </c>
      <c r="B188" s="233" t="s">
        <v>4252</v>
      </c>
      <c r="D188" s="240" t="s">
        <v>4265</v>
      </c>
      <c r="E188" s="240" t="s">
        <v>4364</v>
      </c>
      <c r="F188" s="241" t="s">
        <v>4365</v>
      </c>
      <c r="G188" s="241" t="s">
        <v>2410</v>
      </c>
      <c r="H188" s="242" t="s">
        <v>4143</v>
      </c>
      <c r="I188" s="242" t="s">
        <v>2411</v>
      </c>
      <c r="J188" s="228" t="s">
        <v>321</v>
      </c>
      <c r="K188" s="243" t="s">
        <v>2258</v>
      </c>
      <c r="L188" s="243" t="s">
        <v>2258</v>
      </c>
      <c r="M188" s="243" t="s">
        <v>4365</v>
      </c>
    </row>
    <row r="189" spans="1:13" ht="15.95" customHeight="1">
      <c r="A189" s="232" t="s">
        <v>4274</v>
      </c>
      <c r="B189" s="233" t="s">
        <v>4255</v>
      </c>
      <c r="D189" s="235"/>
      <c r="E189" s="235"/>
      <c r="F189" s="241"/>
      <c r="G189" s="241" t="s">
        <v>2424</v>
      </c>
      <c r="H189" s="242" t="s">
        <v>4138</v>
      </c>
      <c r="I189" s="242" t="s">
        <v>4141</v>
      </c>
      <c r="J189" s="228" t="s">
        <v>4140</v>
      </c>
      <c r="K189" s="243" t="s">
        <v>4243</v>
      </c>
      <c r="L189" s="243" t="s">
        <v>4243</v>
      </c>
      <c r="M189" s="243" t="s">
        <v>4366</v>
      </c>
    </row>
    <row r="190" spans="1:13" ht="15.95" customHeight="1">
      <c r="A190" s="232" t="s">
        <v>4274</v>
      </c>
      <c r="B190" s="233" t="s">
        <v>2421</v>
      </c>
      <c r="D190" s="235"/>
      <c r="E190" s="235"/>
      <c r="F190" s="241"/>
      <c r="G190" s="241" t="s">
        <v>2420</v>
      </c>
      <c r="H190" s="242" t="s">
        <v>4142</v>
      </c>
      <c r="I190" s="242" t="s">
        <v>2421</v>
      </c>
      <c r="J190" s="228" t="s">
        <v>321</v>
      </c>
      <c r="K190" s="243" t="s">
        <v>2258</v>
      </c>
      <c r="L190" s="243" t="s">
        <v>2258</v>
      </c>
      <c r="M190" s="243" t="s">
        <v>4365</v>
      </c>
    </row>
    <row r="191" spans="1:13" ht="15.95" customHeight="1">
      <c r="A191" s="232" t="s">
        <v>4274</v>
      </c>
      <c r="B191" s="233" t="s">
        <v>2416</v>
      </c>
      <c r="D191" s="235"/>
      <c r="E191" s="235"/>
      <c r="F191" s="241"/>
      <c r="G191" s="241" t="s">
        <v>2415</v>
      </c>
      <c r="H191" s="242" t="s">
        <v>4142</v>
      </c>
      <c r="I191" s="242" t="s">
        <v>2416</v>
      </c>
      <c r="J191" s="228" t="s">
        <v>321</v>
      </c>
      <c r="K191" s="243" t="s">
        <v>2256</v>
      </c>
      <c r="L191" s="243" t="s">
        <v>2256</v>
      </c>
      <c r="M191" s="243" t="s">
        <v>4367</v>
      </c>
    </row>
    <row r="192" spans="1:13" ht="15.95" customHeight="1">
      <c r="A192" s="232" t="s">
        <v>4274</v>
      </c>
      <c r="D192" s="240"/>
      <c r="E192" s="240"/>
      <c r="F192" s="241"/>
      <c r="G192" s="241"/>
      <c r="H192" s="242"/>
      <c r="I192" s="242"/>
      <c r="J192" s="228"/>
      <c r="K192" s="243"/>
      <c r="L192" s="243"/>
      <c r="M192" s="243"/>
    </row>
    <row r="193" spans="1:13" ht="15.95" customHeight="1">
      <c r="A193" s="232" t="s">
        <v>4274</v>
      </c>
      <c r="D193" s="235"/>
      <c r="E193" s="235"/>
      <c r="F193" s="241"/>
      <c r="G193" s="241"/>
      <c r="H193" s="242"/>
      <c r="I193" s="242"/>
      <c r="J193" s="228"/>
      <c r="K193" s="243"/>
      <c r="L193" s="243"/>
      <c r="M193" s="243"/>
    </row>
    <row r="194" spans="1:13" ht="15.95" customHeight="1">
      <c r="A194" s="232" t="s">
        <v>4274</v>
      </c>
      <c r="D194" s="235"/>
      <c r="E194" s="235"/>
      <c r="F194" s="241"/>
      <c r="G194" s="241"/>
      <c r="H194" s="242"/>
      <c r="I194" s="242"/>
      <c r="J194" s="228"/>
      <c r="K194" s="243"/>
      <c r="L194" s="243"/>
      <c r="M194" s="243"/>
    </row>
    <row r="195" spans="1:13" ht="15.95" customHeight="1">
      <c r="A195" s="232" t="s">
        <v>4274</v>
      </c>
      <c r="D195" s="235"/>
      <c r="E195" s="235"/>
      <c r="F195" s="241"/>
      <c r="G195" s="241"/>
      <c r="H195" s="242"/>
      <c r="I195" s="242"/>
      <c r="J195" s="228"/>
      <c r="K195" s="243"/>
      <c r="L195" s="243"/>
      <c r="M195" s="243"/>
    </row>
    <row r="196" spans="1:13" ht="15.95" customHeight="1">
      <c r="A196" s="232" t="s">
        <v>4274</v>
      </c>
      <c r="D196" s="235"/>
      <c r="E196" s="235"/>
      <c r="F196" s="241"/>
      <c r="G196" s="241"/>
      <c r="H196" s="242"/>
      <c r="I196" s="242"/>
      <c r="J196" s="228"/>
      <c r="K196" s="243"/>
      <c r="L196" s="243"/>
      <c r="M196" s="243"/>
    </row>
    <row r="197" spans="1:13" ht="15.95" customHeight="1">
      <c r="A197" s="232" t="s">
        <v>4274</v>
      </c>
      <c r="D197" s="235"/>
      <c r="E197" s="235"/>
      <c r="F197" s="241"/>
      <c r="G197" s="241"/>
      <c r="H197" s="242"/>
      <c r="I197" s="242"/>
      <c r="J197" s="228"/>
      <c r="K197" s="243"/>
      <c r="L197" s="243"/>
      <c r="M197" s="243"/>
    </row>
    <row r="198" spans="1:13" ht="15.95" customHeight="1">
      <c r="A198" s="232" t="s">
        <v>4274</v>
      </c>
      <c r="D198" s="235"/>
      <c r="E198" s="235"/>
      <c r="F198" s="241"/>
      <c r="G198" s="241"/>
      <c r="H198" s="242"/>
      <c r="I198" s="242"/>
      <c r="J198" s="228"/>
      <c r="K198" s="243"/>
      <c r="L198" s="243"/>
      <c r="M198" s="243"/>
    </row>
    <row r="199" spans="1:13" ht="15.95" customHeight="1">
      <c r="A199" s="232" t="s">
        <v>4274</v>
      </c>
      <c r="D199" s="235"/>
      <c r="E199" s="235"/>
      <c r="F199" s="241"/>
      <c r="G199" s="241"/>
      <c r="H199" s="242"/>
      <c r="I199" s="242"/>
      <c r="J199" s="228"/>
      <c r="K199" s="243"/>
      <c r="L199" s="243"/>
      <c r="M199" s="243"/>
    </row>
    <row r="200" spans="1:13" ht="15.95" customHeight="1">
      <c r="A200" s="232" t="s">
        <v>4274</v>
      </c>
      <c r="D200" s="235"/>
      <c r="E200" s="235"/>
      <c r="F200" s="241"/>
      <c r="G200" s="241"/>
      <c r="H200" s="242"/>
      <c r="I200" s="242"/>
      <c r="J200" s="228"/>
      <c r="K200" s="243"/>
      <c r="L200" s="243"/>
      <c r="M200" s="243"/>
    </row>
    <row r="201" spans="1:13" ht="15.95" customHeight="1">
      <c r="A201" s="232" t="s">
        <v>4274</v>
      </c>
      <c r="D201" s="235"/>
      <c r="E201" s="235"/>
      <c r="F201" s="241"/>
      <c r="G201" s="241"/>
      <c r="H201" s="242"/>
      <c r="I201" s="242"/>
      <c r="J201" s="228"/>
      <c r="K201" s="243"/>
      <c r="L201" s="243"/>
      <c r="M201" s="243"/>
    </row>
    <row r="202" spans="1:13" ht="15.95" customHeight="1">
      <c r="A202" s="232" t="s">
        <v>4274</v>
      </c>
      <c r="D202" s="235"/>
      <c r="E202" s="235"/>
      <c r="F202" s="241"/>
      <c r="G202" s="241"/>
      <c r="H202" s="242"/>
      <c r="I202" s="242"/>
      <c r="J202" s="228"/>
      <c r="K202" s="243"/>
      <c r="L202" s="243"/>
      <c r="M202" s="243"/>
    </row>
    <row r="203" spans="1:13" ht="15.95" customHeight="1">
      <c r="A203" s="232" t="s">
        <v>4274</v>
      </c>
      <c r="D203" s="235"/>
      <c r="E203" s="235"/>
      <c r="F203" s="241"/>
      <c r="G203" s="241"/>
      <c r="H203" s="242"/>
      <c r="I203" s="242"/>
      <c r="J203" s="228"/>
      <c r="K203" s="243"/>
      <c r="L203" s="243"/>
      <c r="M203" s="243"/>
    </row>
    <row r="204" spans="1:13" ht="15.95" customHeight="1">
      <c r="A204" s="232" t="s">
        <v>4274</v>
      </c>
      <c r="D204" s="235"/>
      <c r="E204" s="235"/>
      <c r="F204" s="241"/>
      <c r="G204" s="241"/>
      <c r="H204" s="242"/>
      <c r="I204" s="242"/>
      <c r="J204" s="228"/>
      <c r="K204" s="243"/>
      <c r="L204" s="243"/>
      <c r="M204" s="243"/>
    </row>
    <row r="205" spans="1:13" ht="15.95" customHeight="1">
      <c r="A205" s="232" t="s">
        <v>4274</v>
      </c>
      <c r="D205" s="235"/>
      <c r="E205" s="235"/>
      <c r="F205" s="241"/>
      <c r="G205" s="241"/>
      <c r="H205" s="242"/>
      <c r="I205" s="242"/>
      <c r="J205" s="228"/>
      <c r="K205" s="243"/>
      <c r="L205" s="243"/>
      <c r="M205" s="243"/>
    </row>
    <row r="206" spans="1:13" ht="15.95" customHeight="1">
      <c r="A206" s="232" t="s">
        <v>4274</v>
      </c>
      <c r="D206" s="235"/>
      <c r="E206" s="235"/>
      <c r="F206" s="241"/>
      <c r="G206" s="241"/>
      <c r="H206" s="242"/>
      <c r="I206" s="242"/>
      <c r="J206" s="228"/>
      <c r="K206" s="243"/>
      <c r="L206" s="243"/>
      <c r="M206" s="243"/>
    </row>
    <row r="207" spans="1:13" ht="15.95" customHeight="1">
      <c r="A207" s="232" t="s">
        <v>4274</v>
      </c>
      <c r="D207" s="235"/>
      <c r="E207" s="235"/>
      <c r="F207" s="241"/>
      <c r="G207" s="241"/>
      <c r="H207" s="242"/>
      <c r="I207" s="242"/>
      <c r="J207" s="228"/>
      <c r="K207" s="243"/>
      <c r="L207" s="243"/>
      <c r="M207" s="243"/>
    </row>
    <row r="208" spans="1:13" ht="15.95" customHeight="1">
      <c r="A208" s="232" t="s">
        <v>4274</v>
      </c>
      <c r="D208" s="235"/>
      <c r="E208" s="235"/>
      <c r="F208" s="241"/>
      <c r="G208" s="241"/>
      <c r="H208" s="242"/>
      <c r="I208" s="242"/>
      <c r="J208" s="228"/>
      <c r="K208" s="243"/>
      <c r="L208" s="243"/>
      <c r="M208" s="243"/>
    </row>
    <row r="209" spans="1:13" ht="15.95" customHeight="1">
      <c r="A209" s="232" t="s">
        <v>4274</v>
      </c>
      <c r="D209" s="235"/>
      <c r="E209" s="235"/>
      <c r="F209" s="241"/>
      <c r="G209" s="241"/>
      <c r="H209" s="242"/>
      <c r="I209" s="242"/>
      <c r="J209" s="228"/>
      <c r="K209" s="243"/>
      <c r="L209" s="243"/>
      <c r="M209" s="243"/>
    </row>
    <row r="210" spans="1:13" ht="15.95" customHeight="1">
      <c r="A210" s="232" t="s">
        <v>4274</v>
      </c>
      <c r="D210" s="235"/>
      <c r="E210" s="235"/>
      <c r="F210" s="241"/>
      <c r="G210" s="241"/>
      <c r="H210" s="242"/>
      <c r="I210" s="242"/>
      <c r="J210" s="228"/>
      <c r="K210" s="243"/>
      <c r="L210" s="243"/>
      <c r="M210" s="243"/>
    </row>
    <row r="211" spans="1:13" ht="15.95" customHeight="1">
      <c r="A211" s="232" t="s">
        <v>4274</v>
      </c>
      <c r="D211" s="235"/>
      <c r="E211" s="235"/>
      <c r="F211" s="241"/>
      <c r="G211" s="241"/>
      <c r="H211" s="242"/>
      <c r="I211" s="242"/>
      <c r="J211" s="228"/>
      <c r="K211" s="243"/>
      <c r="L211" s="243"/>
      <c r="M211" s="243"/>
    </row>
    <row r="212" spans="1:13" ht="15.95" customHeight="1">
      <c r="A212" s="232" t="s">
        <v>4274</v>
      </c>
      <c r="D212" s="235"/>
      <c r="E212" s="235"/>
      <c r="F212" s="241"/>
      <c r="G212" s="241"/>
      <c r="H212" s="242"/>
      <c r="I212" s="242"/>
      <c r="J212" s="228"/>
      <c r="K212" s="243"/>
      <c r="L212" s="243"/>
      <c r="M212" s="243"/>
    </row>
    <row r="213" spans="1:13" ht="15.95" customHeight="1">
      <c r="A213" s="232" t="s">
        <v>4274</v>
      </c>
      <c r="D213" s="235"/>
      <c r="E213" s="235"/>
      <c r="F213" s="241"/>
      <c r="G213" s="241"/>
      <c r="H213" s="242"/>
      <c r="I213" s="242"/>
      <c r="J213" s="228"/>
      <c r="K213" s="243"/>
      <c r="L213" s="243"/>
      <c r="M213" s="243"/>
    </row>
    <row r="214" spans="1:13" ht="15.95" customHeight="1">
      <c r="A214" s="232" t="s">
        <v>4274</v>
      </c>
      <c r="D214" s="235"/>
      <c r="E214" s="235"/>
      <c r="F214" s="241"/>
      <c r="G214" s="241"/>
      <c r="H214" s="242"/>
      <c r="I214" s="242"/>
      <c r="J214" s="228"/>
      <c r="K214" s="243"/>
      <c r="L214" s="243"/>
      <c r="M214" s="243"/>
    </row>
    <row r="215" spans="1:13" ht="15.95" customHeight="1">
      <c r="A215" s="232" t="s">
        <v>4274</v>
      </c>
      <c r="D215" s="235"/>
      <c r="E215" s="235"/>
      <c r="F215" s="241"/>
      <c r="G215" s="241"/>
      <c r="H215" s="242"/>
      <c r="I215" s="242"/>
      <c r="J215" s="228"/>
      <c r="K215" s="243"/>
      <c r="L215" s="243"/>
      <c r="M215" s="243"/>
    </row>
    <row r="216" spans="1:13" ht="15.95" customHeight="1">
      <c r="A216" s="232" t="s">
        <v>4274</v>
      </c>
      <c r="D216" s="235"/>
      <c r="E216" s="235"/>
      <c r="F216" s="241"/>
      <c r="G216" s="241"/>
      <c r="H216" s="242"/>
      <c r="I216" s="242"/>
      <c r="J216" s="228"/>
      <c r="K216" s="243"/>
      <c r="L216" s="243"/>
      <c r="M216" s="243"/>
    </row>
    <row r="217" spans="1:13" ht="15.95" customHeight="1">
      <c r="A217" s="232" t="s">
        <v>4274</v>
      </c>
      <c r="D217" s="235"/>
      <c r="E217" s="235"/>
      <c r="F217" s="241"/>
      <c r="G217" s="241"/>
      <c r="H217" s="242"/>
      <c r="I217" s="242"/>
      <c r="J217" s="228"/>
      <c r="K217" s="243"/>
      <c r="L217" s="243"/>
      <c r="M217" s="243"/>
    </row>
    <row r="218" spans="1:13" ht="15.95" customHeight="1">
      <c r="A218" s="232" t="s">
        <v>4274</v>
      </c>
      <c r="D218" s="235"/>
      <c r="E218" s="235"/>
      <c r="F218" s="241"/>
      <c r="G218" s="241"/>
      <c r="H218" s="242"/>
      <c r="I218" s="242"/>
      <c r="J218" s="228"/>
      <c r="K218" s="243"/>
      <c r="L218" s="243"/>
      <c r="M218" s="243"/>
    </row>
    <row r="219" spans="1:13" ht="15.95" customHeight="1">
      <c r="A219" s="232" t="s">
        <v>4274</v>
      </c>
      <c r="D219" s="235"/>
      <c r="E219" s="235"/>
      <c r="F219" s="241"/>
      <c r="G219" s="241"/>
      <c r="H219" s="242"/>
      <c r="I219" s="242"/>
      <c r="J219" s="228"/>
      <c r="K219" s="243"/>
      <c r="L219" s="243"/>
      <c r="M219" s="243"/>
    </row>
    <row r="220" spans="1:13" ht="15.95" customHeight="1">
      <c r="A220" s="232" t="s">
        <v>4274</v>
      </c>
      <c r="D220" s="235"/>
      <c r="E220" s="235"/>
      <c r="F220" s="241"/>
      <c r="G220" s="241"/>
      <c r="H220" s="242"/>
      <c r="I220" s="242"/>
      <c r="J220" s="228"/>
      <c r="K220" s="243"/>
      <c r="L220" s="243"/>
      <c r="M220" s="243"/>
    </row>
    <row r="221" spans="1:13" ht="15.95" customHeight="1">
      <c r="A221" s="232" t="s">
        <v>4274</v>
      </c>
      <c r="D221" s="235"/>
      <c r="E221" s="235"/>
      <c r="F221" s="241"/>
      <c r="G221" s="241"/>
      <c r="H221" s="242"/>
      <c r="I221" s="242"/>
      <c r="J221" s="228"/>
      <c r="K221" s="243"/>
      <c r="L221" s="243"/>
      <c r="M221" s="243"/>
    </row>
    <row r="222" spans="1:13" ht="15.95" customHeight="1">
      <c r="A222" s="232" t="s">
        <v>4274</v>
      </c>
      <c r="D222" s="235"/>
      <c r="E222" s="235"/>
      <c r="F222" s="241"/>
      <c r="G222" s="241"/>
      <c r="H222" s="242"/>
      <c r="I222" s="242"/>
      <c r="J222" s="228"/>
      <c r="K222" s="243"/>
      <c r="L222" s="243"/>
      <c r="M222" s="243"/>
    </row>
    <row r="223" spans="1:13" ht="15.95" customHeight="1">
      <c r="A223" s="232" t="s">
        <v>4274</v>
      </c>
      <c r="D223" s="235"/>
      <c r="E223" s="235"/>
      <c r="F223" s="241"/>
      <c r="G223" s="241"/>
      <c r="H223" s="242"/>
      <c r="I223" s="242"/>
      <c r="J223" s="228"/>
      <c r="K223" s="243"/>
      <c r="L223" s="243"/>
      <c r="M223" s="243"/>
    </row>
    <row r="224" spans="1:13" ht="15.95" customHeight="1">
      <c r="A224" s="232" t="s">
        <v>4274</v>
      </c>
      <c r="D224" s="235"/>
      <c r="E224" s="235"/>
      <c r="F224" s="241"/>
      <c r="G224" s="241"/>
      <c r="H224" s="242"/>
      <c r="I224" s="242"/>
      <c r="J224" s="228"/>
      <c r="K224" s="243"/>
      <c r="L224" s="243"/>
      <c r="M224" s="243"/>
    </row>
    <row r="225" spans="1:13" ht="15.95" customHeight="1">
      <c r="A225" s="232" t="s">
        <v>4274</v>
      </c>
      <c r="D225" s="237"/>
      <c r="E225" s="237"/>
      <c r="F225" s="241"/>
      <c r="G225" s="241"/>
      <c r="H225" s="242"/>
      <c r="I225" s="242"/>
      <c r="J225" s="228"/>
      <c r="K225" s="243"/>
      <c r="L225" s="243"/>
      <c r="M225" s="243"/>
    </row>
    <row r="226" spans="1:13" ht="15.95" customHeight="1">
      <c r="D226" s="244"/>
      <c r="E226" s="244"/>
    </row>
    <row r="227" spans="1:13" ht="15.95" customHeight="1">
      <c r="D227" s="244"/>
      <c r="E227" s="244"/>
    </row>
    <row r="228" spans="1:13" ht="15.95" customHeight="1">
      <c r="B228" s="233" t="s">
        <v>4249</v>
      </c>
      <c r="D228" s="1471" t="s">
        <v>4368</v>
      </c>
      <c r="E228" s="1472"/>
      <c r="F228" s="1472"/>
      <c r="G228" s="1472"/>
      <c r="H228" s="1472"/>
      <c r="I228" s="1472"/>
      <c r="J228" s="1472"/>
      <c r="K228" s="1472"/>
      <c r="L228" s="1472"/>
      <c r="M228" s="1472"/>
    </row>
    <row r="229" spans="1:13" ht="15.95" customHeight="1">
      <c r="A229" s="220" t="s">
        <v>4145</v>
      </c>
      <c r="B229" s="234" t="s">
        <v>4146</v>
      </c>
      <c r="C229" s="234" t="s">
        <v>4147</v>
      </c>
      <c r="D229" s="1473" t="s">
        <v>4148</v>
      </c>
      <c r="E229" s="1473" t="s">
        <v>4149</v>
      </c>
      <c r="F229" s="1476" t="s">
        <v>4150</v>
      </c>
      <c r="G229" s="1476" t="s">
        <v>4151</v>
      </c>
      <c r="H229" s="1473" t="s">
        <v>4152</v>
      </c>
      <c r="I229" s="1473" t="s">
        <v>4153</v>
      </c>
      <c r="J229" s="1473" t="s">
        <v>4154</v>
      </c>
      <c r="K229" s="1473" t="s">
        <v>4155</v>
      </c>
      <c r="L229" s="1473" t="s">
        <v>4156</v>
      </c>
      <c r="M229" s="1473" t="s">
        <v>4157</v>
      </c>
    </row>
    <row r="230" spans="1:13" ht="15.95" customHeight="1">
      <c r="A230" s="220"/>
      <c r="B230" s="234"/>
      <c r="C230" s="234"/>
      <c r="D230" s="1475"/>
      <c r="E230" s="1475"/>
      <c r="F230" s="1477"/>
      <c r="G230" s="1477"/>
      <c r="H230" s="1475"/>
      <c r="I230" s="1475"/>
      <c r="J230" s="1475"/>
      <c r="K230" s="1475"/>
      <c r="L230" s="1475"/>
      <c r="M230" s="1475"/>
    </row>
    <row r="231" spans="1:13" ht="15.95" customHeight="1">
      <c r="A231" s="232" t="s">
        <v>4158</v>
      </c>
      <c r="C231" s="233" t="s">
        <v>4159</v>
      </c>
      <c r="D231" s="235"/>
      <c r="E231" s="235"/>
      <c r="F231" s="236"/>
      <c r="G231" s="236"/>
      <c r="H231" s="237"/>
      <c r="I231" s="237"/>
      <c r="J231" s="238"/>
      <c r="K231" s="239"/>
      <c r="L231" s="239"/>
      <c r="M231" s="239"/>
    </row>
    <row r="232" spans="1:13" ht="15.95" customHeight="1">
      <c r="A232" s="232" t="s">
        <v>4158</v>
      </c>
      <c r="C232" s="233" t="s">
        <v>4369</v>
      </c>
      <c r="D232" s="240" t="s">
        <v>4161</v>
      </c>
      <c r="E232" s="240"/>
      <c r="F232" s="241"/>
      <c r="G232" s="241"/>
      <c r="H232" s="242"/>
      <c r="I232" s="242"/>
      <c r="J232" s="228"/>
      <c r="K232" s="243"/>
      <c r="L232" s="243"/>
      <c r="M232" s="243"/>
    </row>
    <row r="233" spans="1:13" ht="15.95" customHeight="1">
      <c r="A233" s="232" t="s">
        <v>4158</v>
      </c>
      <c r="B233" s="233" t="s">
        <v>4167</v>
      </c>
      <c r="D233" s="240" t="s">
        <v>4370</v>
      </c>
      <c r="E233" s="240" t="s">
        <v>4287</v>
      </c>
      <c r="F233" s="241" t="s">
        <v>4287</v>
      </c>
      <c r="G233" s="241" t="s">
        <v>2445</v>
      </c>
      <c r="H233" s="242" t="s">
        <v>2367</v>
      </c>
      <c r="I233" s="242" t="s">
        <v>2366</v>
      </c>
      <c r="J233" s="228" t="s">
        <v>2365</v>
      </c>
      <c r="K233" s="243" t="s">
        <v>4292</v>
      </c>
      <c r="L233" s="243" t="s">
        <v>4292</v>
      </c>
      <c r="M233" s="243" t="s">
        <v>4292</v>
      </c>
    </row>
    <row r="234" spans="1:13" ht="15.95" customHeight="1">
      <c r="A234" s="232" t="s">
        <v>4158</v>
      </c>
      <c r="B234" s="233" t="s">
        <v>4167</v>
      </c>
      <c r="D234" s="240" t="s">
        <v>4371</v>
      </c>
      <c r="E234" s="240" t="s">
        <v>2256</v>
      </c>
      <c r="F234" s="241" t="s">
        <v>2256</v>
      </c>
      <c r="G234" s="241" t="s">
        <v>2445</v>
      </c>
      <c r="H234" s="242" t="s">
        <v>2367</v>
      </c>
      <c r="I234" s="242" t="s">
        <v>2366</v>
      </c>
      <c r="J234" s="228" t="s">
        <v>2365</v>
      </c>
      <c r="K234" s="243" t="s">
        <v>4372</v>
      </c>
      <c r="L234" s="243" t="s">
        <v>4372</v>
      </c>
      <c r="M234" s="243" t="s">
        <v>4372</v>
      </c>
    </row>
    <row r="235" spans="1:13" ht="15.95" customHeight="1">
      <c r="A235" s="232" t="s">
        <v>4158</v>
      </c>
      <c r="B235" s="233" t="s">
        <v>4167</v>
      </c>
      <c r="D235" s="240" t="s">
        <v>4373</v>
      </c>
      <c r="E235" s="240" t="s">
        <v>4374</v>
      </c>
      <c r="F235" s="241" t="s">
        <v>4374</v>
      </c>
      <c r="G235" s="241" t="s">
        <v>2445</v>
      </c>
      <c r="H235" s="242" t="s">
        <v>2367</v>
      </c>
      <c r="I235" s="242" t="s">
        <v>2366</v>
      </c>
      <c r="J235" s="228" t="s">
        <v>2365</v>
      </c>
      <c r="K235" s="243" t="s">
        <v>4375</v>
      </c>
      <c r="L235" s="243" t="s">
        <v>4375</v>
      </c>
      <c r="M235" s="243" t="s">
        <v>4375</v>
      </c>
    </row>
    <row r="236" spans="1:13" ht="15.95" customHeight="1">
      <c r="A236" s="232" t="s">
        <v>4158</v>
      </c>
      <c r="B236" s="233" t="s">
        <v>4167</v>
      </c>
      <c r="D236" s="240" t="s">
        <v>4376</v>
      </c>
      <c r="E236" s="240" t="s">
        <v>4377</v>
      </c>
      <c r="F236" s="241" t="s">
        <v>4193</v>
      </c>
      <c r="G236" s="241" t="s">
        <v>2445</v>
      </c>
      <c r="H236" s="242" t="s">
        <v>2367</v>
      </c>
      <c r="I236" s="242" t="s">
        <v>2366</v>
      </c>
      <c r="J236" s="228" t="s">
        <v>2365</v>
      </c>
      <c r="K236" s="243" t="s">
        <v>4378</v>
      </c>
      <c r="L236" s="243" t="s">
        <v>4378</v>
      </c>
      <c r="M236" s="243" t="s">
        <v>4378</v>
      </c>
    </row>
    <row r="237" spans="1:13" ht="15.95" customHeight="1">
      <c r="A237" s="232" t="s">
        <v>4158</v>
      </c>
      <c r="B237" s="233" t="s">
        <v>4167</v>
      </c>
      <c r="D237" s="240" t="s">
        <v>4163</v>
      </c>
      <c r="E237" s="240" t="s">
        <v>4379</v>
      </c>
      <c r="F237" s="241" t="s">
        <v>4267</v>
      </c>
      <c r="G237" s="241" t="s">
        <v>2445</v>
      </c>
      <c r="H237" s="242" t="s">
        <v>2367</v>
      </c>
      <c r="I237" s="242" t="s">
        <v>2366</v>
      </c>
      <c r="J237" s="228" t="s">
        <v>2365</v>
      </c>
      <c r="K237" s="243" t="s">
        <v>4380</v>
      </c>
      <c r="L237" s="243" t="s">
        <v>4380</v>
      </c>
      <c r="M237" s="243" t="s">
        <v>4380</v>
      </c>
    </row>
    <row r="238" spans="1:13" ht="15.95" customHeight="1">
      <c r="A238" s="232" t="s">
        <v>4158</v>
      </c>
      <c r="D238" s="240"/>
      <c r="E238" s="240"/>
      <c r="F238" s="241"/>
      <c r="G238" s="241"/>
      <c r="H238" s="242"/>
      <c r="I238" s="242"/>
      <c r="J238" s="228"/>
      <c r="K238" s="243"/>
      <c r="L238" s="243"/>
      <c r="M238" s="243"/>
    </row>
    <row r="239" spans="1:13" ht="15.95" customHeight="1">
      <c r="A239" s="232" t="s">
        <v>4158</v>
      </c>
      <c r="C239" s="233" t="s">
        <v>4175</v>
      </c>
      <c r="D239" s="240"/>
      <c r="E239" s="240"/>
      <c r="F239" s="241"/>
      <c r="G239" s="241"/>
      <c r="H239" s="242"/>
      <c r="I239" s="242"/>
      <c r="J239" s="228"/>
      <c r="K239" s="243"/>
      <c r="L239" s="243"/>
      <c r="M239" s="243"/>
    </row>
    <row r="240" spans="1:13" ht="15.95" customHeight="1">
      <c r="A240" s="232" t="s">
        <v>4158</v>
      </c>
      <c r="C240" s="233" t="s">
        <v>4369</v>
      </c>
      <c r="D240" s="240" t="s">
        <v>4161</v>
      </c>
      <c r="E240" s="240"/>
      <c r="F240" s="241"/>
      <c r="G240" s="241"/>
      <c r="H240" s="242"/>
      <c r="I240" s="242"/>
      <c r="J240" s="228"/>
      <c r="K240" s="243"/>
      <c r="L240" s="243"/>
      <c r="M240" s="243"/>
    </row>
    <row r="241" spans="1:13" ht="15.95" customHeight="1">
      <c r="A241" s="232" t="s">
        <v>4158</v>
      </c>
      <c r="B241" s="233" t="s">
        <v>4167</v>
      </c>
      <c r="D241" s="240" t="s">
        <v>4381</v>
      </c>
      <c r="E241" s="240" t="s">
        <v>4382</v>
      </c>
      <c r="F241" s="241" t="s">
        <v>4305</v>
      </c>
      <c r="G241" s="241" t="s">
        <v>2445</v>
      </c>
      <c r="H241" s="242" t="s">
        <v>2367</v>
      </c>
      <c r="I241" s="242" t="s">
        <v>2366</v>
      </c>
      <c r="J241" s="228" t="s">
        <v>2365</v>
      </c>
      <c r="K241" s="243" t="s">
        <v>4383</v>
      </c>
      <c r="L241" s="243" t="s">
        <v>4383</v>
      </c>
      <c r="M241" s="243" t="s">
        <v>4383</v>
      </c>
    </row>
    <row r="242" spans="1:13" ht="15.95" customHeight="1">
      <c r="A242" s="232" t="s">
        <v>4158</v>
      </c>
      <c r="B242" s="233" t="s">
        <v>4167</v>
      </c>
      <c r="D242" s="240" t="s">
        <v>4384</v>
      </c>
      <c r="E242" s="240" t="s">
        <v>4385</v>
      </c>
      <c r="F242" s="241" t="s">
        <v>4386</v>
      </c>
      <c r="G242" s="241" t="s">
        <v>2445</v>
      </c>
      <c r="H242" s="242" t="s">
        <v>2367</v>
      </c>
      <c r="I242" s="242" t="s">
        <v>2366</v>
      </c>
      <c r="J242" s="228" t="s">
        <v>2365</v>
      </c>
      <c r="K242" s="243" t="s">
        <v>4387</v>
      </c>
      <c r="L242" s="243" t="s">
        <v>4387</v>
      </c>
      <c r="M242" s="243" t="s">
        <v>4387</v>
      </c>
    </row>
    <row r="243" spans="1:13" ht="15.95" customHeight="1">
      <c r="A243" s="232" t="s">
        <v>4158</v>
      </c>
      <c r="B243" s="233" t="s">
        <v>4167</v>
      </c>
      <c r="D243" s="240" t="s">
        <v>4371</v>
      </c>
      <c r="E243" s="240" t="s">
        <v>4388</v>
      </c>
      <c r="F243" s="241" t="s">
        <v>4193</v>
      </c>
      <c r="G243" s="241" t="s">
        <v>2445</v>
      </c>
      <c r="H243" s="242" t="s">
        <v>2367</v>
      </c>
      <c r="I243" s="242" t="s">
        <v>2366</v>
      </c>
      <c r="J243" s="228" t="s">
        <v>2365</v>
      </c>
      <c r="K243" s="243" t="s">
        <v>4389</v>
      </c>
      <c r="L243" s="243" t="s">
        <v>4389</v>
      </c>
      <c r="M243" s="243" t="s">
        <v>4389</v>
      </c>
    </row>
    <row r="244" spans="1:13" ht="15.95" customHeight="1">
      <c r="A244" s="232" t="s">
        <v>4158</v>
      </c>
      <c r="B244" s="233" t="s">
        <v>4167</v>
      </c>
      <c r="D244" s="240" t="s">
        <v>4177</v>
      </c>
      <c r="E244" s="240" t="s">
        <v>4390</v>
      </c>
      <c r="F244" s="241" t="s">
        <v>4165</v>
      </c>
      <c r="G244" s="241" t="s">
        <v>2445</v>
      </c>
      <c r="H244" s="242" t="s">
        <v>2367</v>
      </c>
      <c r="I244" s="242" t="s">
        <v>2366</v>
      </c>
      <c r="J244" s="228" t="s">
        <v>2365</v>
      </c>
      <c r="K244" s="243" t="s">
        <v>4391</v>
      </c>
      <c r="L244" s="243" t="s">
        <v>4391</v>
      </c>
      <c r="M244" s="243" t="s">
        <v>4391</v>
      </c>
    </row>
    <row r="245" spans="1:13" ht="15.95" customHeight="1">
      <c r="A245" s="232" t="s">
        <v>4158</v>
      </c>
      <c r="B245" s="233" t="s">
        <v>4167</v>
      </c>
      <c r="D245" s="240" t="s">
        <v>4392</v>
      </c>
      <c r="E245" s="240" t="s">
        <v>4235</v>
      </c>
      <c r="F245" s="241" t="s">
        <v>4235</v>
      </c>
      <c r="G245" s="241" t="s">
        <v>2445</v>
      </c>
      <c r="H245" s="242" t="s">
        <v>2367</v>
      </c>
      <c r="I245" s="242" t="s">
        <v>2366</v>
      </c>
      <c r="J245" s="228" t="s">
        <v>2365</v>
      </c>
      <c r="K245" s="243" t="s">
        <v>4229</v>
      </c>
      <c r="L245" s="243" t="s">
        <v>4229</v>
      </c>
      <c r="M245" s="243" t="s">
        <v>4229</v>
      </c>
    </row>
    <row r="246" spans="1:13" ht="15.95" customHeight="1">
      <c r="A246" s="232" t="s">
        <v>4158</v>
      </c>
      <c r="B246" s="233" t="s">
        <v>4167</v>
      </c>
      <c r="D246" s="240" t="s">
        <v>4316</v>
      </c>
      <c r="E246" s="240" t="s">
        <v>4393</v>
      </c>
      <c r="F246" s="241" t="s">
        <v>4394</v>
      </c>
      <c r="G246" s="241" t="s">
        <v>2445</v>
      </c>
      <c r="H246" s="242" t="s">
        <v>2367</v>
      </c>
      <c r="I246" s="242" t="s">
        <v>2366</v>
      </c>
      <c r="J246" s="228" t="s">
        <v>2365</v>
      </c>
      <c r="K246" s="243" t="s">
        <v>4395</v>
      </c>
      <c r="L246" s="243" t="s">
        <v>4395</v>
      </c>
      <c r="M246" s="243" t="s">
        <v>4395</v>
      </c>
    </row>
    <row r="247" spans="1:13" ht="15.95" customHeight="1">
      <c r="A247" s="232" t="s">
        <v>4158</v>
      </c>
      <c r="B247" s="233" t="s">
        <v>4167</v>
      </c>
      <c r="D247" s="240" t="s">
        <v>4396</v>
      </c>
      <c r="E247" s="240" t="s">
        <v>4397</v>
      </c>
      <c r="F247" s="241" t="s">
        <v>4197</v>
      </c>
      <c r="G247" s="241" t="s">
        <v>2445</v>
      </c>
      <c r="H247" s="242" t="s">
        <v>2367</v>
      </c>
      <c r="I247" s="242" t="s">
        <v>2366</v>
      </c>
      <c r="J247" s="228" t="s">
        <v>2365</v>
      </c>
      <c r="K247" s="243" t="s">
        <v>4398</v>
      </c>
      <c r="L247" s="243" t="s">
        <v>4398</v>
      </c>
      <c r="M247" s="243" t="s">
        <v>4398</v>
      </c>
    </row>
    <row r="248" spans="1:13" ht="15.95" customHeight="1">
      <c r="A248" s="232" t="s">
        <v>4158</v>
      </c>
      <c r="B248" s="233" t="s">
        <v>4167</v>
      </c>
      <c r="D248" s="240" t="s">
        <v>4376</v>
      </c>
      <c r="E248" s="240" t="s">
        <v>4287</v>
      </c>
      <c r="F248" s="241" t="s">
        <v>4287</v>
      </c>
      <c r="G248" s="241" t="s">
        <v>2445</v>
      </c>
      <c r="H248" s="242" t="s">
        <v>2367</v>
      </c>
      <c r="I248" s="242" t="s">
        <v>2366</v>
      </c>
      <c r="J248" s="228" t="s">
        <v>2365</v>
      </c>
      <c r="K248" s="243" t="s">
        <v>4399</v>
      </c>
      <c r="L248" s="243" t="s">
        <v>4399</v>
      </c>
      <c r="M248" s="243" t="s">
        <v>4399</v>
      </c>
    </row>
    <row r="249" spans="1:13" ht="15.95" customHeight="1">
      <c r="A249" s="232" t="s">
        <v>4158</v>
      </c>
      <c r="B249" s="233" t="s">
        <v>4167</v>
      </c>
      <c r="D249" s="240" t="s">
        <v>4276</v>
      </c>
      <c r="E249" s="240" t="s">
        <v>4400</v>
      </c>
      <c r="F249" s="241" t="s">
        <v>4401</v>
      </c>
      <c r="G249" s="241" t="s">
        <v>2445</v>
      </c>
      <c r="H249" s="242" t="s">
        <v>2367</v>
      </c>
      <c r="I249" s="242" t="s">
        <v>2366</v>
      </c>
      <c r="J249" s="228" t="s">
        <v>2365</v>
      </c>
      <c r="K249" s="243" t="s">
        <v>4402</v>
      </c>
      <c r="L249" s="243" t="s">
        <v>4402</v>
      </c>
      <c r="M249" s="243" t="s">
        <v>4402</v>
      </c>
    </row>
    <row r="250" spans="1:13" ht="15.95" customHeight="1">
      <c r="A250" s="232" t="s">
        <v>4158</v>
      </c>
      <c r="B250" s="233" t="s">
        <v>4167</v>
      </c>
      <c r="D250" s="240" t="s">
        <v>4181</v>
      </c>
      <c r="E250" s="240" t="s">
        <v>4403</v>
      </c>
      <c r="F250" s="241" t="s">
        <v>4305</v>
      </c>
      <c r="G250" s="241" t="s">
        <v>2445</v>
      </c>
      <c r="H250" s="242" t="s">
        <v>2367</v>
      </c>
      <c r="I250" s="242" t="s">
        <v>2366</v>
      </c>
      <c r="J250" s="228" t="s">
        <v>2365</v>
      </c>
      <c r="K250" s="243" t="s">
        <v>4404</v>
      </c>
      <c r="L250" s="243" t="s">
        <v>4404</v>
      </c>
      <c r="M250" s="243" t="s">
        <v>4404</v>
      </c>
    </row>
    <row r="251" spans="1:13" ht="15.95" customHeight="1">
      <c r="A251" s="232" t="s">
        <v>4158</v>
      </c>
      <c r="B251" s="233" t="s">
        <v>4167</v>
      </c>
      <c r="D251" s="240" t="s">
        <v>4195</v>
      </c>
      <c r="E251" s="240" t="s">
        <v>4405</v>
      </c>
      <c r="F251" s="241" t="s">
        <v>4406</v>
      </c>
      <c r="G251" s="241" t="s">
        <v>2445</v>
      </c>
      <c r="H251" s="242" t="s">
        <v>2367</v>
      </c>
      <c r="I251" s="242" t="s">
        <v>2366</v>
      </c>
      <c r="J251" s="228" t="s">
        <v>2365</v>
      </c>
      <c r="K251" s="243" t="s">
        <v>4406</v>
      </c>
      <c r="L251" s="243" t="s">
        <v>4406</v>
      </c>
      <c r="M251" s="243" t="s">
        <v>4406</v>
      </c>
    </row>
    <row r="252" spans="1:13" ht="15.95" customHeight="1">
      <c r="A252" s="232" t="s">
        <v>4158</v>
      </c>
      <c r="B252" s="233" t="s">
        <v>4167</v>
      </c>
      <c r="D252" s="240" t="s">
        <v>4195</v>
      </c>
      <c r="E252" s="240" t="s">
        <v>4407</v>
      </c>
      <c r="F252" s="241" t="s">
        <v>4171</v>
      </c>
      <c r="G252" s="241" t="s">
        <v>2445</v>
      </c>
      <c r="H252" s="242" t="s">
        <v>2367</v>
      </c>
      <c r="I252" s="242" t="s">
        <v>2366</v>
      </c>
      <c r="J252" s="228" t="s">
        <v>2365</v>
      </c>
      <c r="K252" s="243" t="s">
        <v>4171</v>
      </c>
      <c r="L252" s="243" t="s">
        <v>4171</v>
      </c>
      <c r="M252" s="243" t="s">
        <v>4171</v>
      </c>
    </row>
    <row r="253" spans="1:13" ht="15.95" customHeight="1">
      <c r="A253" s="232" t="s">
        <v>4158</v>
      </c>
      <c r="D253" s="240"/>
      <c r="E253" s="240"/>
      <c r="F253" s="241"/>
      <c r="G253" s="241"/>
      <c r="H253" s="242"/>
      <c r="I253" s="242"/>
      <c r="J253" s="228"/>
      <c r="K253" s="243"/>
      <c r="L253" s="243"/>
      <c r="M253" s="243"/>
    </row>
    <row r="254" spans="1:13" ht="15.95" customHeight="1">
      <c r="A254" s="232" t="s">
        <v>4158</v>
      </c>
      <c r="D254" s="235"/>
      <c r="E254" s="235"/>
      <c r="F254" s="241"/>
      <c r="G254" s="241"/>
      <c r="H254" s="242"/>
      <c r="I254" s="242"/>
      <c r="J254" s="228"/>
      <c r="K254" s="243"/>
      <c r="L254" s="243"/>
      <c r="M254" s="243"/>
    </row>
    <row r="255" spans="1:13" ht="15.95" customHeight="1">
      <c r="A255" s="232" t="s">
        <v>4158</v>
      </c>
      <c r="D255" s="235"/>
      <c r="E255" s="235"/>
      <c r="F255" s="241"/>
      <c r="G255" s="241"/>
      <c r="H255" s="242"/>
      <c r="I255" s="242"/>
      <c r="J255" s="228"/>
      <c r="K255" s="243"/>
      <c r="L255" s="243"/>
      <c r="M255" s="243"/>
    </row>
    <row r="256" spans="1:13" ht="15.95" customHeight="1">
      <c r="A256" s="232" t="s">
        <v>4158</v>
      </c>
      <c r="D256" s="235"/>
      <c r="E256" s="235"/>
      <c r="F256" s="241"/>
      <c r="G256" s="241"/>
      <c r="H256" s="242"/>
      <c r="I256" s="242"/>
      <c r="J256" s="228"/>
      <c r="K256" s="243"/>
      <c r="L256" s="243"/>
      <c r="M256" s="243"/>
    </row>
    <row r="257" spans="1:13" ht="15.95" customHeight="1">
      <c r="A257" s="232" t="s">
        <v>4158</v>
      </c>
      <c r="D257" s="235"/>
      <c r="E257" s="235"/>
      <c r="F257" s="241"/>
      <c r="G257" s="241"/>
      <c r="H257" s="242"/>
      <c r="I257" s="242"/>
      <c r="J257" s="228"/>
      <c r="K257" s="243"/>
      <c r="L257" s="243"/>
      <c r="M257" s="243"/>
    </row>
    <row r="258" spans="1:13" ht="15.95" customHeight="1">
      <c r="A258" s="232" t="s">
        <v>4158</v>
      </c>
      <c r="D258" s="235"/>
      <c r="E258" s="235"/>
      <c r="F258" s="241"/>
      <c r="G258" s="241"/>
      <c r="H258" s="242"/>
      <c r="I258" s="242"/>
      <c r="J258" s="228"/>
      <c r="K258" s="243"/>
      <c r="L258" s="243"/>
      <c r="M258" s="243"/>
    </row>
    <row r="259" spans="1:13" ht="15.95" customHeight="1">
      <c r="A259" s="232" t="s">
        <v>4158</v>
      </c>
      <c r="D259" s="235"/>
      <c r="E259" s="235"/>
      <c r="F259" s="241"/>
      <c r="G259" s="241"/>
      <c r="H259" s="242"/>
      <c r="I259" s="242"/>
      <c r="J259" s="228"/>
      <c r="K259" s="243"/>
      <c r="L259" s="243"/>
      <c r="M259" s="243"/>
    </row>
    <row r="260" spans="1:13" ht="15.95" customHeight="1">
      <c r="A260" s="232" t="s">
        <v>4158</v>
      </c>
      <c r="D260" s="235"/>
      <c r="E260" s="235"/>
      <c r="F260" s="241"/>
      <c r="G260" s="241"/>
      <c r="H260" s="242"/>
      <c r="I260" s="242"/>
      <c r="J260" s="228"/>
      <c r="K260" s="243"/>
      <c r="L260" s="243"/>
      <c r="M260" s="243"/>
    </row>
    <row r="261" spans="1:13" ht="15.95" customHeight="1">
      <c r="A261" s="232" t="s">
        <v>4158</v>
      </c>
      <c r="D261" s="235"/>
      <c r="E261" s="235"/>
      <c r="F261" s="241"/>
      <c r="G261" s="241"/>
      <c r="H261" s="242"/>
      <c r="I261" s="242"/>
      <c r="J261" s="228"/>
      <c r="K261" s="243"/>
      <c r="L261" s="243"/>
      <c r="M261" s="243"/>
    </row>
    <row r="262" spans="1:13" ht="15.95" customHeight="1">
      <c r="A262" s="232" t="s">
        <v>4158</v>
      </c>
      <c r="D262" s="235"/>
      <c r="E262" s="235"/>
      <c r="F262" s="241"/>
      <c r="G262" s="241"/>
      <c r="H262" s="242"/>
      <c r="I262" s="242"/>
      <c r="J262" s="228"/>
      <c r="K262" s="243"/>
      <c r="L262" s="243"/>
      <c r="M262" s="243"/>
    </row>
    <row r="263" spans="1:13" ht="15.95" customHeight="1">
      <c r="A263" s="232" t="s">
        <v>4158</v>
      </c>
      <c r="D263" s="235"/>
      <c r="E263" s="235"/>
      <c r="F263" s="241"/>
      <c r="G263" s="241"/>
      <c r="H263" s="242"/>
      <c r="I263" s="242"/>
      <c r="J263" s="228"/>
      <c r="K263" s="243"/>
      <c r="L263" s="243"/>
      <c r="M263" s="243"/>
    </row>
    <row r="264" spans="1:13" ht="15.95" customHeight="1">
      <c r="A264" s="232" t="s">
        <v>4158</v>
      </c>
      <c r="D264" s="235"/>
      <c r="E264" s="235"/>
      <c r="F264" s="241"/>
      <c r="G264" s="241"/>
      <c r="H264" s="242"/>
      <c r="I264" s="242"/>
      <c r="J264" s="228"/>
      <c r="K264" s="243"/>
      <c r="L264" s="243"/>
      <c r="M264" s="243"/>
    </row>
    <row r="265" spans="1:13" ht="15.95" customHeight="1">
      <c r="A265" s="232" t="s">
        <v>4158</v>
      </c>
      <c r="D265" s="235"/>
      <c r="E265" s="235"/>
      <c r="F265" s="241"/>
      <c r="G265" s="241"/>
      <c r="H265" s="242"/>
      <c r="I265" s="242"/>
      <c r="J265" s="228"/>
      <c r="K265" s="243"/>
      <c r="L265" s="243"/>
      <c r="M265" s="243"/>
    </row>
    <row r="266" spans="1:13" ht="15.95" customHeight="1">
      <c r="A266" s="232" t="s">
        <v>4158</v>
      </c>
      <c r="D266" s="235"/>
      <c r="E266" s="235"/>
      <c r="F266" s="241"/>
      <c r="G266" s="241"/>
      <c r="H266" s="242"/>
      <c r="I266" s="242"/>
      <c r="J266" s="228"/>
      <c r="K266" s="243"/>
      <c r="L266" s="243"/>
      <c r="M266" s="243"/>
    </row>
    <row r="267" spans="1:13" ht="15.95" customHeight="1">
      <c r="A267" s="232" t="s">
        <v>4158</v>
      </c>
      <c r="D267" s="235"/>
      <c r="E267" s="235"/>
      <c r="F267" s="241"/>
      <c r="G267" s="241"/>
      <c r="H267" s="242"/>
      <c r="I267" s="242"/>
      <c r="J267" s="228"/>
      <c r="K267" s="243"/>
      <c r="L267" s="243"/>
      <c r="M267" s="243"/>
    </row>
    <row r="268" spans="1:13" ht="15.95" customHeight="1">
      <c r="A268" s="232" t="s">
        <v>4158</v>
      </c>
      <c r="D268" s="235"/>
      <c r="E268" s="235"/>
      <c r="F268" s="241"/>
      <c r="G268" s="241"/>
      <c r="H268" s="242"/>
      <c r="I268" s="242"/>
      <c r="J268" s="228"/>
      <c r="K268" s="243"/>
      <c r="L268" s="243"/>
      <c r="M268" s="243"/>
    </row>
    <row r="269" spans="1:13" ht="15.95" customHeight="1">
      <c r="A269" s="232" t="s">
        <v>4158</v>
      </c>
      <c r="D269" s="235"/>
      <c r="E269" s="235"/>
      <c r="F269" s="241"/>
      <c r="G269" s="241"/>
      <c r="H269" s="242"/>
      <c r="I269" s="242"/>
      <c r="J269" s="228"/>
      <c r="K269" s="243"/>
      <c r="L269" s="243"/>
      <c r="M269" s="243"/>
    </row>
    <row r="270" spans="1:13" ht="15.95" customHeight="1">
      <c r="A270" s="232" t="s">
        <v>4158</v>
      </c>
      <c r="D270" s="237"/>
      <c r="E270" s="237"/>
      <c r="F270" s="241"/>
      <c r="G270" s="241"/>
      <c r="H270" s="242"/>
      <c r="I270" s="242"/>
      <c r="J270" s="228"/>
      <c r="K270" s="243"/>
      <c r="L270" s="243"/>
      <c r="M270" s="243"/>
    </row>
    <row r="271" spans="1:13" ht="15.95" customHeight="1">
      <c r="D271" s="244"/>
      <c r="E271" s="244"/>
    </row>
    <row r="272" spans="1:13" ht="15.95" customHeight="1">
      <c r="D272" s="244"/>
      <c r="E272" s="244"/>
    </row>
    <row r="273" spans="1:13" ht="15.95" customHeight="1">
      <c r="B273" s="233" t="s">
        <v>4249</v>
      </c>
      <c r="D273" s="1471" t="s">
        <v>4408</v>
      </c>
      <c r="E273" s="1472"/>
      <c r="F273" s="1472"/>
      <c r="G273" s="1472"/>
      <c r="H273" s="1472"/>
      <c r="I273" s="1472"/>
      <c r="J273" s="1472"/>
      <c r="K273" s="1472"/>
      <c r="L273" s="1472"/>
      <c r="M273" s="1472"/>
    </row>
    <row r="274" spans="1:13" ht="15.95" customHeight="1">
      <c r="A274" s="220" t="s">
        <v>4145</v>
      </c>
      <c r="B274" s="234" t="s">
        <v>4146</v>
      </c>
      <c r="C274" s="234" t="s">
        <v>4147</v>
      </c>
      <c r="D274" s="1473" t="s">
        <v>4148</v>
      </c>
      <c r="E274" s="1473" t="s">
        <v>4149</v>
      </c>
      <c r="F274" s="1476" t="s">
        <v>4150</v>
      </c>
      <c r="G274" s="1476" t="s">
        <v>4151</v>
      </c>
      <c r="H274" s="1473" t="s">
        <v>4152</v>
      </c>
      <c r="I274" s="1473" t="s">
        <v>4153</v>
      </c>
      <c r="J274" s="1473" t="s">
        <v>4154</v>
      </c>
      <c r="K274" s="1473" t="s">
        <v>4155</v>
      </c>
      <c r="L274" s="1473" t="s">
        <v>4156</v>
      </c>
      <c r="M274" s="1473" t="s">
        <v>4157</v>
      </c>
    </row>
    <row r="275" spans="1:13" ht="15.95" customHeight="1">
      <c r="A275" s="220"/>
      <c r="B275" s="234"/>
      <c r="C275" s="234"/>
      <c r="D275" s="1475"/>
      <c r="E275" s="1475"/>
      <c r="F275" s="1477"/>
      <c r="G275" s="1477"/>
      <c r="H275" s="1475"/>
      <c r="I275" s="1475"/>
      <c r="J275" s="1475"/>
      <c r="K275" s="1475"/>
      <c r="L275" s="1475"/>
      <c r="M275" s="1475"/>
    </row>
    <row r="276" spans="1:13" ht="15.95" customHeight="1">
      <c r="A276" s="232" t="s">
        <v>4274</v>
      </c>
      <c r="C276" s="233" t="s">
        <v>4275</v>
      </c>
      <c r="D276" s="235"/>
      <c r="E276" s="235"/>
      <c r="F276" s="236"/>
      <c r="G276" s="236"/>
      <c r="H276" s="237"/>
      <c r="I276" s="237"/>
      <c r="J276" s="238"/>
      <c r="K276" s="239"/>
      <c r="L276" s="239"/>
      <c r="M276" s="239"/>
    </row>
    <row r="277" spans="1:13" ht="15.95" customHeight="1">
      <c r="A277" s="232" t="s">
        <v>4274</v>
      </c>
      <c r="C277" s="233" t="s">
        <v>4369</v>
      </c>
      <c r="D277" s="240" t="s">
        <v>4161</v>
      </c>
      <c r="E277" s="240"/>
      <c r="F277" s="241"/>
      <c r="G277" s="241"/>
      <c r="H277" s="242"/>
      <c r="I277" s="242"/>
      <c r="J277" s="228"/>
      <c r="K277" s="243"/>
      <c r="L277" s="243"/>
      <c r="M277" s="243"/>
    </row>
    <row r="278" spans="1:13" ht="15.95" customHeight="1">
      <c r="A278" s="232" t="s">
        <v>4274</v>
      </c>
      <c r="B278" s="233" t="s">
        <v>4167</v>
      </c>
      <c r="D278" s="240" t="s">
        <v>4409</v>
      </c>
      <c r="E278" s="240" t="s">
        <v>4410</v>
      </c>
      <c r="F278" s="241" t="s">
        <v>4124</v>
      </c>
      <c r="G278" s="241" t="s">
        <v>2445</v>
      </c>
      <c r="H278" s="242" t="s">
        <v>2367</v>
      </c>
      <c r="I278" s="242" t="s">
        <v>2366</v>
      </c>
      <c r="J278" s="228" t="s">
        <v>2365</v>
      </c>
      <c r="K278" s="243" t="s">
        <v>4411</v>
      </c>
      <c r="L278" s="243" t="s">
        <v>4411</v>
      </c>
      <c r="M278" s="243" t="s">
        <v>4411</v>
      </c>
    </row>
    <row r="279" spans="1:13" ht="15.95" customHeight="1">
      <c r="A279" s="232" t="s">
        <v>4274</v>
      </c>
      <c r="B279" s="233" t="s">
        <v>4167</v>
      </c>
      <c r="D279" s="240" t="s">
        <v>4412</v>
      </c>
      <c r="E279" s="240" t="s">
        <v>4291</v>
      </c>
      <c r="F279" s="241" t="s">
        <v>4291</v>
      </c>
      <c r="G279" s="241" t="s">
        <v>2445</v>
      </c>
      <c r="H279" s="242" t="s">
        <v>2367</v>
      </c>
      <c r="I279" s="242" t="s">
        <v>2366</v>
      </c>
      <c r="J279" s="228" t="s">
        <v>2365</v>
      </c>
      <c r="K279" s="243" t="s">
        <v>4413</v>
      </c>
      <c r="L279" s="243" t="s">
        <v>4413</v>
      </c>
      <c r="M279" s="243" t="s">
        <v>4413</v>
      </c>
    </row>
    <row r="280" spans="1:13" ht="15.95" customHeight="1">
      <c r="A280" s="232" t="s">
        <v>4274</v>
      </c>
      <c r="B280" s="233" t="s">
        <v>4167</v>
      </c>
      <c r="D280" s="240" t="s">
        <v>4414</v>
      </c>
      <c r="E280" s="240" t="s">
        <v>4415</v>
      </c>
      <c r="F280" s="241" t="s">
        <v>4394</v>
      </c>
      <c r="G280" s="241" t="s">
        <v>2445</v>
      </c>
      <c r="H280" s="242" t="s">
        <v>2367</v>
      </c>
      <c r="I280" s="242" t="s">
        <v>2366</v>
      </c>
      <c r="J280" s="228" t="s">
        <v>2365</v>
      </c>
      <c r="K280" s="243" t="s">
        <v>4416</v>
      </c>
      <c r="L280" s="243" t="s">
        <v>4416</v>
      </c>
      <c r="M280" s="243" t="s">
        <v>4416</v>
      </c>
    </row>
    <row r="281" spans="1:13" ht="15.95" customHeight="1">
      <c r="A281" s="232" t="s">
        <v>4274</v>
      </c>
      <c r="B281" s="233" t="s">
        <v>4167</v>
      </c>
      <c r="D281" s="240" t="s">
        <v>4417</v>
      </c>
      <c r="E281" s="240" t="s">
        <v>4179</v>
      </c>
      <c r="F281" s="241" t="s">
        <v>4179</v>
      </c>
      <c r="G281" s="241" t="s">
        <v>2445</v>
      </c>
      <c r="H281" s="242" t="s">
        <v>2367</v>
      </c>
      <c r="I281" s="242" t="s">
        <v>2366</v>
      </c>
      <c r="J281" s="228" t="s">
        <v>2365</v>
      </c>
      <c r="K281" s="243" t="s">
        <v>4418</v>
      </c>
      <c r="L281" s="243" t="s">
        <v>4418</v>
      </c>
      <c r="M281" s="243" t="s">
        <v>4418</v>
      </c>
    </row>
    <row r="282" spans="1:13" ht="15.95" customHeight="1">
      <c r="A282" s="232" t="s">
        <v>4274</v>
      </c>
      <c r="B282" s="233" t="s">
        <v>4167</v>
      </c>
      <c r="D282" s="240" t="s">
        <v>4419</v>
      </c>
      <c r="E282" s="240" t="s">
        <v>4420</v>
      </c>
      <c r="F282" s="241" t="s">
        <v>4421</v>
      </c>
      <c r="G282" s="241" t="s">
        <v>2445</v>
      </c>
      <c r="H282" s="242" t="s">
        <v>2367</v>
      </c>
      <c r="I282" s="242" t="s">
        <v>2366</v>
      </c>
      <c r="J282" s="228" t="s">
        <v>2365</v>
      </c>
      <c r="K282" s="243" t="s">
        <v>4422</v>
      </c>
      <c r="L282" s="243" t="s">
        <v>4422</v>
      </c>
      <c r="M282" s="243" t="s">
        <v>4422</v>
      </c>
    </row>
    <row r="283" spans="1:13" ht="15.95" customHeight="1">
      <c r="A283" s="232" t="s">
        <v>4274</v>
      </c>
      <c r="B283" s="233" t="s">
        <v>4167</v>
      </c>
      <c r="D283" s="240" t="s">
        <v>4423</v>
      </c>
      <c r="E283" s="240" t="s">
        <v>4374</v>
      </c>
      <c r="F283" s="241" t="s">
        <v>4374</v>
      </c>
      <c r="G283" s="241" t="s">
        <v>2445</v>
      </c>
      <c r="H283" s="242" t="s">
        <v>2367</v>
      </c>
      <c r="I283" s="242" t="s">
        <v>2366</v>
      </c>
      <c r="J283" s="228" t="s">
        <v>2365</v>
      </c>
      <c r="K283" s="243" t="s">
        <v>4424</v>
      </c>
      <c r="L283" s="243" t="s">
        <v>4424</v>
      </c>
      <c r="M283" s="243" t="s">
        <v>4424</v>
      </c>
    </row>
    <row r="284" spans="1:13" ht="15.95" customHeight="1">
      <c r="A284" s="232" t="s">
        <v>4274</v>
      </c>
      <c r="B284" s="233" t="s">
        <v>4167</v>
      </c>
      <c r="D284" s="240" t="s">
        <v>4425</v>
      </c>
      <c r="E284" s="240" t="s">
        <v>4426</v>
      </c>
      <c r="F284" s="241" t="s">
        <v>4427</v>
      </c>
      <c r="G284" s="241" t="s">
        <v>2445</v>
      </c>
      <c r="H284" s="242" t="s">
        <v>2367</v>
      </c>
      <c r="I284" s="242" t="s">
        <v>2366</v>
      </c>
      <c r="J284" s="228" t="s">
        <v>2365</v>
      </c>
      <c r="K284" s="243" t="s">
        <v>4428</v>
      </c>
      <c r="L284" s="243" t="s">
        <v>4428</v>
      </c>
      <c r="M284" s="243" t="s">
        <v>4428</v>
      </c>
    </row>
    <row r="285" spans="1:13" ht="15.95" customHeight="1">
      <c r="A285" s="232" t="s">
        <v>4274</v>
      </c>
      <c r="B285" s="233" t="s">
        <v>4167</v>
      </c>
      <c r="D285" s="240" t="s">
        <v>4371</v>
      </c>
      <c r="E285" s="240" t="s">
        <v>4429</v>
      </c>
      <c r="F285" s="241" t="s">
        <v>4212</v>
      </c>
      <c r="G285" s="241" t="s">
        <v>2445</v>
      </c>
      <c r="H285" s="242" t="s">
        <v>2367</v>
      </c>
      <c r="I285" s="242" t="s">
        <v>2366</v>
      </c>
      <c r="J285" s="228" t="s">
        <v>2365</v>
      </c>
      <c r="K285" s="243" t="s">
        <v>4430</v>
      </c>
      <c r="L285" s="243" t="s">
        <v>4430</v>
      </c>
      <c r="M285" s="243" t="s">
        <v>4430</v>
      </c>
    </row>
    <row r="286" spans="1:13" ht="15.95" customHeight="1">
      <c r="A286" s="232" t="s">
        <v>4274</v>
      </c>
      <c r="B286" s="233" t="s">
        <v>4167</v>
      </c>
      <c r="D286" s="240" t="s">
        <v>4431</v>
      </c>
      <c r="E286" s="240" t="s">
        <v>4432</v>
      </c>
      <c r="F286" s="241" t="s">
        <v>4205</v>
      </c>
      <c r="G286" s="241" t="s">
        <v>2445</v>
      </c>
      <c r="H286" s="242" t="s">
        <v>2367</v>
      </c>
      <c r="I286" s="242" t="s">
        <v>2366</v>
      </c>
      <c r="J286" s="228" t="s">
        <v>2365</v>
      </c>
      <c r="K286" s="243" t="s">
        <v>4433</v>
      </c>
      <c r="L286" s="243" t="s">
        <v>4433</v>
      </c>
      <c r="M286" s="243" t="s">
        <v>4433</v>
      </c>
    </row>
    <row r="287" spans="1:13" ht="15.95" customHeight="1">
      <c r="A287" s="232" t="s">
        <v>4274</v>
      </c>
      <c r="B287" s="233" t="s">
        <v>4167</v>
      </c>
      <c r="D287" s="240" t="s">
        <v>4177</v>
      </c>
      <c r="E287" s="240" t="s">
        <v>4434</v>
      </c>
      <c r="F287" s="241" t="s">
        <v>4435</v>
      </c>
      <c r="G287" s="241" t="s">
        <v>2445</v>
      </c>
      <c r="H287" s="242" t="s">
        <v>2367</v>
      </c>
      <c r="I287" s="242" t="s">
        <v>2366</v>
      </c>
      <c r="J287" s="228" t="s">
        <v>2365</v>
      </c>
      <c r="K287" s="243" t="s">
        <v>4436</v>
      </c>
      <c r="L287" s="243" t="s">
        <v>4436</v>
      </c>
      <c r="M287" s="243" t="s">
        <v>4436</v>
      </c>
    </row>
    <row r="288" spans="1:13" ht="15.95" customHeight="1">
      <c r="A288" s="232" t="s">
        <v>4274</v>
      </c>
      <c r="B288" s="233" t="s">
        <v>4167</v>
      </c>
      <c r="D288" s="240" t="s">
        <v>4316</v>
      </c>
      <c r="E288" s="240" t="s">
        <v>4437</v>
      </c>
      <c r="F288" s="241" t="s">
        <v>4124</v>
      </c>
      <c r="G288" s="241" t="s">
        <v>2445</v>
      </c>
      <c r="H288" s="242" t="s">
        <v>2367</v>
      </c>
      <c r="I288" s="242" t="s">
        <v>2366</v>
      </c>
      <c r="J288" s="228" t="s">
        <v>2365</v>
      </c>
      <c r="K288" s="243" t="s">
        <v>4438</v>
      </c>
      <c r="L288" s="243" t="s">
        <v>4438</v>
      </c>
      <c r="M288" s="243" t="s">
        <v>4438</v>
      </c>
    </row>
    <row r="289" spans="1:13" ht="15.95" customHeight="1">
      <c r="A289" s="232" t="s">
        <v>4274</v>
      </c>
      <c r="B289" s="233" t="s">
        <v>4167</v>
      </c>
      <c r="D289" s="240" t="s">
        <v>4376</v>
      </c>
      <c r="E289" s="240" t="s">
        <v>4439</v>
      </c>
      <c r="F289" s="241" t="s">
        <v>4440</v>
      </c>
      <c r="G289" s="241" t="s">
        <v>2445</v>
      </c>
      <c r="H289" s="242" t="s">
        <v>2367</v>
      </c>
      <c r="I289" s="242" t="s">
        <v>2366</v>
      </c>
      <c r="J289" s="228" t="s">
        <v>2365</v>
      </c>
      <c r="K289" s="243" t="s">
        <v>4441</v>
      </c>
      <c r="L289" s="243" t="s">
        <v>4441</v>
      </c>
      <c r="M289" s="243" t="s">
        <v>4441</v>
      </c>
    </row>
    <row r="290" spans="1:13" ht="15.95" customHeight="1">
      <c r="A290" s="232" t="s">
        <v>4274</v>
      </c>
      <c r="B290" s="233" t="s">
        <v>4167</v>
      </c>
      <c r="D290" s="240" t="s">
        <v>4276</v>
      </c>
      <c r="E290" s="240" t="s">
        <v>4442</v>
      </c>
      <c r="F290" s="241" t="s">
        <v>4305</v>
      </c>
      <c r="G290" s="241" t="s">
        <v>2445</v>
      </c>
      <c r="H290" s="242" t="s">
        <v>2367</v>
      </c>
      <c r="I290" s="242" t="s">
        <v>2366</v>
      </c>
      <c r="J290" s="228" t="s">
        <v>2365</v>
      </c>
      <c r="K290" s="243" t="s">
        <v>4443</v>
      </c>
      <c r="L290" s="243" t="s">
        <v>4443</v>
      </c>
      <c r="M290" s="243" t="s">
        <v>4443</v>
      </c>
    </row>
    <row r="291" spans="1:13" ht="15.95" customHeight="1">
      <c r="A291" s="232" t="s">
        <v>4274</v>
      </c>
      <c r="B291" s="233" t="s">
        <v>4167</v>
      </c>
      <c r="D291" s="240" t="s">
        <v>4181</v>
      </c>
      <c r="E291" s="240" t="s">
        <v>4444</v>
      </c>
      <c r="F291" s="241" t="s">
        <v>4212</v>
      </c>
      <c r="G291" s="241" t="s">
        <v>2445</v>
      </c>
      <c r="H291" s="242" t="s">
        <v>2367</v>
      </c>
      <c r="I291" s="242" t="s">
        <v>2366</v>
      </c>
      <c r="J291" s="228" t="s">
        <v>2365</v>
      </c>
      <c r="K291" s="243" t="s">
        <v>4445</v>
      </c>
      <c r="L291" s="243" t="s">
        <v>4445</v>
      </c>
      <c r="M291" s="243" t="s">
        <v>4445</v>
      </c>
    </row>
    <row r="292" spans="1:13" ht="15.95" customHeight="1">
      <c r="A292" s="232" t="s">
        <v>4274</v>
      </c>
      <c r="B292" s="233" t="s">
        <v>4167</v>
      </c>
      <c r="D292" s="240" t="s">
        <v>4195</v>
      </c>
      <c r="E292" s="240" t="s">
        <v>4446</v>
      </c>
      <c r="F292" s="241" t="s">
        <v>4205</v>
      </c>
      <c r="G292" s="241" t="s">
        <v>2445</v>
      </c>
      <c r="H292" s="242" t="s">
        <v>2367</v>
      </c>
      <c r="I292" s="242" t="s">
        <v>2366</v>
      </c>
      <c r="J292" s="228" t="s">
        <v>2365</v>
      </c>
      <c r="K292" s="243" t="s">
        <v>4205</v>
      </c>
      <c r="L292" s="243" t="s">
        <v>4205</v>
      </c>
      <c r="M292" s="243" t="s">
        <v>4205</v>
      </c>
    </row>
    <row r="293" spans="1:13" ht="15.95" customHeight="1">
      <c r="A293" s="232" t="s">
        <v>4274</v>
      </c>
      <c r="C293" s="233" t="s">
        <v>4315</v>
      </c>
      <c r="D293" s="240"/>
      <c r="E293" s="240"/>
      <c r="F293" s="241"/>
      <c r="G293" s="241"/>
      <c r="H293" s="242"/>
      <c r="I293" s="242"/>
      <c r="J293" s="228"/>
      <c r="K293" s="243"/>
      <c r="L293" s="243"/>
      <c r="M293" s="243"/>
    </row>
    <row r="294" spans="1:13" ht="15.95" customHeight="1">
      <c r="A294" s="232" t="s">
        <v>4274</v>
      </c>
      <c r="C294" s="233" t="s">
        <v>4369</v>
      </c>
      <c r="D294" s="240" t="s">
        <v>4161</v>
      </c>
      <c r="E294" s="240"/>
      <c r="F294" s="241"/>
      <c r="G294" s="241"/>
      <c r="H294" s="242"/>
      <c r="I294" s="242"/>
      <c r="J294" s="228"/>
      <c r="K294" s="243"/>
      <c r="L294" s="243"/>
      <c r="M294" s="243"/>
    </row>
    <row r="295" spans="1:13" ht="15.95" customHeight="1">
      <c r="A295" s="232" t="s">
        <v>4274</v>
      </c>
      <c r="B295" s="233" t="s">
        <v>4167</v>
      </c>
      <c r="D295" s="240" t="s">
        <v>4447</v>
      </c>
      <c r="E295" s="240" t="s">
        <v>4394</v>
      </c>
      <c r="F295" s="241" t="s">
        <v>4394</v>
      </c>
      <c r="G295" s="241" t="s">
        <v>2445</v>
      </c>
      <c r="H295" s="242" t="s">
        <v>2367</v>
      </c>
      <c r="I295" s="242" t="s">
        <v>2366</v>
      </c>
      <c r="J295" s="228" t="s">
        <v>2365</v>
      </c>
      <c r="K295" s="243" t="s">
        <v>4448</v>
      </c>
      <c r="L295" s="243" t="s">
        <v>4448</v>
      </c>
      <c r="M295" s="243" t="s">
        <v>4448</v>
      </c>
    </row>
    <row r="296" spans="1:13" ht="15.95" customHeight="1">
      <c r="A296" s="232" t="s">
        <v>4274</v>
      </c>
      <c r="B296" s="233" t="s">
        <v>4167</v>
      </c>
      <c r="D296" s="240" t="s">
        <v>4423</v>
      </c>
      <c r="E296" s="240" t="s">
        <v>4449</v>
      </c>
      <c r="F296" s="241" t="s">
        <v>4171</v>
      </c>
      <c r="G296" s="241" t="s">
        <v>2445</v>
      </c>
      <c r="H296" s="242" t="s">
        <v>2367</v>
      </c>
      <c r="I296" s="242" t="s">
        <v>2366</v>
      </c>
      <c r="J296" s="228" t="s">
        <v>2365</v>
      </c>
      <c r="K296" s="243" t="s">
        <v>4450</v>
      </c>
      <c r="L296" s="243" t="s">
        <v>4450</v>
      </c>
      <c r="M296" s="243" t="s">
        <v>4450</v>
      </c>
    </row>
    <row r="297" spans="1:13" ht="15.95" customHeight="1">
      <c r="A297" s="232" t="s">
        <v>4274</v>
      </c>
      <c r="B297" s="233" t="s">
        <v>4167</v>
      </c>
      <c r="D297" s="240" t="s">
        <v>4370</v>
      </c>
      <c r="E297" s="240" t="s">
        <v>2256</v>
      </c>
      <c r="F297" s="241" t="s">
        <v>2256</v>
      </c>
      <c r="G297" s="241" t="s">
        <v>2445</v>
      </c>
      <c r="H297" s="242" t="s">
        <v>2367</v>
      </c>
      <c r="I297" s="242" t="s">
        <v>2366</v>
      </c>
      <c r="J297" s="228" t="s">
        <v>2365</v>
      </c>
      <c r="K297" s="243" t="s">
        <v>4451</v>
      </c>
      <c r="L297" s="243" t="s">
        <v>4451</v>
      </c>
      <c r="M297" s="243" t="s">
        <v>4451</v>
      </c>
    </row>
    <row r="298" spans="1:13" ht="15.95" customHeight="1">
      <c r="A298" s="232" t="s">
        <v>4274</v>
      </c>
      <c r="B298" s="233" t="s">
        <v>4167</v>
      </c>
      <c r="D298" s="240" t="s">
        <v>4452</v>
      </c>
      <c r="E298" s="240" t="s">
        <v>4453</v>
      </c>
      <c r="F298" s="241" t="s">
        <v>4291</v>
      </c>
      <c r="G298" s="241" t="s">
        <v>2445</v>
      </c>
      <c r="H298" s="242" t="s">
        <v>2367</v>
      </c>
      <c r="I298" s="242" t="s">
        <v>2366</v>
      </c>
      <c r="J298" s="228" t="s">
        <v>2365</v>
      </c>
      <c r="K298" s="243" t="s">
        <v>4183</v>
      </c>
      <c r="L298" s="243" t="s">
        <v>4183</v>
      </c>
      <c r="M298" s="243" t="s">
        <v>4183</v>
      </c>
    </row>
    <row r="299" spans="1:13" ht="15.95" customHeight="1">
      <c r="A299" s="232" t="s">
        <v>4274</v>
      </c>
      <c r="B299" s="233" t="s">
        <v>4167</v>
      </c>
      <c r="D299" s="240" t="s">
        <v>4454</v>
      </c>
      <c r="E299" s="240" t="s">
        <v>4201</v>
      </c>
      <c r="F299" s="241" t="s">
        <v>4201</v>
      </c>
      <c r="G299" s="241" t="s">
        <v>2445</v>
      </c>
      <c r="H299" s="242" t="s">
        <v>2367</v>
      </c>
      <c r="I299" s="242" t="s">
        <v>2366</v>
      </c>
      <c r="J299" s="228" t="s">
        <v>2365</v>
      </c>
      <c r="K299" s="243" t="s">
        <v>4455</v>
      </c>
      <c r="L299" s="243" t="s">
        <v>4455</v>
      </c>
      <c r="M299" s="243" t="s">
        <v>4455</v>
      </c>
    </row>
    <row r="300" spans="1:13" ht="15.95" customHeight="1">
      <c r="A300" s="232" t="s">
        <v>4274</v>
      </c>
      <c r="B300" s="233" t="s">
        <v>4167</v>
      </c>
      <c r="D300" s="240" t="s">
        <v>4177</v>
      </c>
      <c r="E300" s="240" t="s">
        <v>4456</v>
      </c>
      <c r="F300" s="241" t="s">
        <v>4296</v>
      </c>
      <c r="G300" s="241" t="s">
        <v>2445</v>
      </c>
      <c r="H300" s="242" t="s">
        <v>2367</v>
      </c>
      <c r="I300" s="242" t="s">
        <v>2366</v>
      </c>
      <c r="J300" s="228" t="s">
        <v>2365</v>
      </c>
      <c r="K300" s="243" t="s">
        <v>4457</v>
      </c>
      <c r="L300" s="243" t="s">
        <v>4457</v>
      </c>
      <c r="M300" s="243" t="s">
        <v>4457</v>
      </c>
    </row>
    <row r="301" spans="1:13" ht="15.95" customHeight="1">
      <c r="A301" s="232" t="s">
        <v>4274</v>
      </c>
      <c r="B301" s="233" t="s">
        <v>4167</v>
      </c>
      <c r="D301" s="240" t="s">
        <v>4458</v>
      </c>
      <c r="E301" s="240" t="s">
        <v>2256</v>
      </c>
      <c r="F301" s="241" t="s">
        <v>2256</v>
      </c>
      <c r="G301" s="241" t="s">
        <v>2445</v>
      </c>
      <c r="H301" s="242" t="s">
        <v>2367</v>
      </c>
      <c r="I301" s="242" t="s">
        <v>2366</v>
      </c>
      <c r="J301" s="228" t="s">
        <v>2365</v>
      </c>
      <c r="K301" s="243" t="s">
        <v>4459</v>
      </c>
      <c r="L301" s="243" t="s">
        <v>4459</v>
      </c>
      <c r="M301" s="243" t="s">
        <v>4459</v>
      </c>
    </row>
    <row r="302" spans="1:13" ht="15.95" customHeight="1">
      <c r="A302" s="232" t="s">
        <v>4274</v>
      </c>
      <c r="D302" s="240"/>
      <c r="E302" s="240"/>
      <c r="F302" s="241"/>
      <c r="G302" s="241"/>
      <c r="H302" s="242"/>
      <c r="I302" s="242"/>
      <c r="J302" s="228"/>
      <c r="K302" s="243"/>
      <c r="L302" s="243"/>
      <c r="M302" s="243"/>
    </row>
    <row r="303" spans="1:13" ht="15.95" customHeight="1">
      <c r="A303" s="232" t="s">
        <v>4274</v>
      </c>
      <c r="D303" s="235"/>
      <c r="E303" s="235"/>
      <c r="F303" s="241"/>
      <c r="G303" s="241"/>
      <c r="H303" s="242"/>
      <c r="I303" s="242"/>
      <c r="J303" s="228"/>
      <c r="K303" s="243"/>
      <c r="L303" s="243"/>
      <c r="M303" s="243"/>
    </row>
    <row r="304" spans="1:13" ht="15.95" customHeight="1">
      <c r="A304" s="232" t="s">
        <v>4274</v>
      </c>
      <c r="D304" s="235"/>
      <c r="E304" s="235"/>
      <c r="F304" s="241"/>
      <c r="G304" s="241"/>
      <c r="H304" s="242"/>
      <c r="I304" s="242"/>
      <c r="J304" s="228"/>
      <c r="K304" s="243"/>
      <c r="L304" s="243"/>
      <c r="M304" s="243"/>
    </row>
    <row r="305" spans="1:13" ht="15.95" customHeight="1">
      <c r="A305" s="232" t="s">
        <v>4274</v>
      </c>
      <c r="D305" s="235"/>
      <c r="E305" s="235"/>
      <c r="F305" s="241"/>
      <c r="G305" s="241"/>
      <c r="H305" s="242"/>
      <c r="I305" s="242"/>
      <c r="J305" s="228"/>
      <c r="K305" s="243"/>
      <c r="L305" s="243"/>
      <c r="M305" s="243"/>
    </row>
    <row r="306" spans="1:13" ht="15.95" customHeight="1">
      <c r="A306" s="232" t="s">
        <v>4274</v>
      </c>
      <c r="D306" s="235"/>
      <c r="E306" s="235"/>
      <c r="F306" s="241"/>
      <c r="G306" s="241"/>
      <c r="H306" s="242"/>
      <c r="I306" s="242"/>
      <c r="J306" s="228"/>
      <c r="K306" s="243"/>
      <c r="L306" s="243"/>
      <c r="M306" s="243"/>
    </row>
    <row r="307" spans="1:13" ht="15.95" customHeight="1">
      <c r="A307" s="232" t="s">
        <v>4274</v>
      </c>
      <c r="D307" s="235"/>
      <c r="E307" s="235"/>
      <c r="F307" s="241"/>
      <c r="G307" s="241"/>
      <c r="H307" s="242"/>
      <c r="I307" s="242"/>
      <c r="J307" s="228"/>
      <c r="K307" s="243"/>
      <c r="L307" s="243"/>
      <c r="M307" s="243"/>
    </row>
    <row r="308" spans="1:13" ht="15.95" customHeight="1">
      <c r="A308" s="232" t="s">
        <v>4274</v>
      </c>
      <c r="D308" s="235"/>
      <c r="E308" s="235"/>
      <c r="F308" s="241"/>
      <c r="G308" s="241"/>
      <c r="H308" s="242"/>
      <c r="I308" s="242"/>
      <c r="J308" s="228"/>
      <c r="K308" s="243"/>
      <c r="L308" s="243"/>
      <c r="M308" s="243"/>
    </row>
    <row r="309" spans="1:13" ht="15.95" customHeight="1">
      <c r="A309" s="232" t="s">
        <v>4274</v>
      </c>
      <c r="D309" s="235"/>
      <c r="E309" s="235"/>
      <c r="F309" s="241"/>
      <c r="G309" s="241"/>
      <c r="H309" s="242"/>
      <c r="I309" s="242"/>
      <c r="J309" s="228"/>
      <c r="K309" s="243"/>
      <c r="L309" s="243"/>
      <c r="M309" s="243"/>
    </row>
    <row r="310" spans="1:13" ht="15.95" customHeight="1">
      <c r="A310" s="232" t="s">
        <v>4274</v>
      </c>
      <c r="D310" s="235"/>
      <c r="E310" s="235"/>
      <c r="F310" s="241"/>
      <c r="G310" s="241"/>
      <c r="H310" s="242"/>
      <c r="I310" s="242"/>
      <c r="J310" s="228"/>
      <c r="K310" s="243"/>
      <c r="L310" s="243"/>
      <c r="M310" s="243"/>
    </row>
    <row r="311" spans="1:13" ht="15.95" customHeight="1">
      <c r="A311" s="232" t="s">
        <v>4274</v>
      </c>
      <c r="D311" s="235"/>
      <c r="E311" s="235"/>
      <c r="F311" s="241"/>
      <c r="G311" s="241"/>
      <c r="H311" s="242"/>
      <c r="I311" s="242"/>
      <c r="J311" s="228"/>
      <c r="K311" s="243"/>
      <c r="L311" s="243"/>
      <c r="M311" s="243"/>
    </row>
    <row r="312" spans="1:13" ht="15.95" customHeight="1">
      <c r="A312" s="232" t="s">
        <v>4274</v>
      </c>
      <c r="D312" s="235"/>
      <c r="E312" s="235"/>
      <c r="F312" s="241"/>
      <c r="G312" s="241"/>
      <c r="H312" s="242"/>
      <c r="I312" s="242"/>
      <c r="J312" s="228"/>
      <c r="K312" s="243"/>
      <c r="L312" s="243"/>
      <c r="M312" s="243"/>
    </row>
    <row r="313" spans="1:13" ht="15.95" customHeight="1">
      <c r="A313" s="232" t="s">
        <v>4274</v>
      </c>
      <c r="D313" s="235"/>
      <c r="E313" s="235"/>
      <c r="F313" s="241"/>
      <c r="G313" s="241"/>
      <c r="H313" s="242"/>
      <c r="I313" s="242"/>
      <c r="J313" s="228"/>
      <c r="K313" s="243"/>
      <c r="L313" s="243"/>
      <c r="M313" s="243"/>
    </row>
    <row r="314" spans="1:13" ht="15.95" customHeight="1">
      <c r="A314" s="232" t="s">
        <v>4274</v>
      </c>
      <c r="D314" s="235"/>
      <c r="E314" s="235"/>
      <c r="F314" s="241"/>
      <c r="G314" s="241"/>
      <c r="H314" s="242"/>
      <c r="I314" s="242"/>
      <c r="J314" s="228"/>
      <c r="K314" s="243"/>
      <c r="L314" s="243"/>
      <c r="M314" s="243"/>
    </row>
    <row r="315" spans="1:13" ht="15.95" customHeight="1">
      <c r="A315" s="232" t="s">
        <v>4274</v>
      </c>
      <c r="D315" s="237"/>
      <c r="E315" s="237"/>
      <c r="F315" s="241"/>
      <c r="G315" s="241"/>
      <c r="H315" s="242"/>
      <c r="I315" s="242"/>
      <c r="J315" s="228"/>
      <c r="K315" s="243"/>
      <c r="L315" s="243"/>
      <c r="M315" s="243"/>
    </row>
  </sheetData>
  <mergeCells count="77">
    <mergeCell ref="I274:I275"/>
    <mergeCell ref="J274:J275"/>
    <mergeCell ref="K274:K275"/>
    <mergeCell ref="L274:L275"/>
    <mergeCell ref="M274:M275"/>
    <mergeCell ref="J229:J230"/>
    <mergeCell ref="K229:K230"/>
    <mergeCell ref="L229:L230"/>
    <mergeCell ref="M229:M230"/>
    <mergeCell ref="D273:M273"/>
    <mergeCell ref="D229:D230"/>
    <mergeCell ref="E229:E230"/>
    <mergeCell ref="F229:F230"/>
    <mergeCell ref="G229:G230"/>
    <mergeCell ref="H229:H230"/>
    <mergeCell ref="I229:I230"/>
    <mergeCell ref="D274:D275"/>
    <mergeCell ref="E274:E275"/>
    <mergeCell ref="F274:F275"/>
    <mergeCell ref="G274:G275"/>
    <mergeCell ref="H274:H275"/>
    <mergeCell ref="D228:M228"/>
    <mergeCell ref="J139:J140"/>
    <mergeCell ref="K139:K140"/>
    <mergeCell ref="L139:L140"/>
    <mergeCell ref="M139:M140"/>
    <mergeCell ref="D183:M183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D138:M138"/>
    <mergeCell ref="D139:D140"/>
    <mergeCell ref="E139:E140"/>
    <mergeCell ref="F139:F140"/>
    <mergeCell ref="G139:G140"/>
    <mergeCell ref="H139:H140"/>
    <mergeCell ref="I139:I140"/>
    <mergeCell ref="D93:M93"/>
    <mergeCell ref="D94:D95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D48:M48"/>
    <mergeCell ref="D49:D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D3:M3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honeticPr fontId="1" type="noConversion"/>
  <printOptions horizontalCentered="1" verticalCentered="1"/>
  <pageMargins left="0.74803149606299213" right="0.35433070866141736" top="0.59055118110236227" bottom="0.59055118110236227" header="0.51181102362204722" footer="0.47244094488188981"/>
  <pageSetup paperSize="9" scale="70" orientation="landscape" verticalDpi="0" r:id="rId1"/>
  <headerFooter alignWithMargins="0">
    <oddHeader>&amp;C&amp;28세 부 산 출 서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Q63"/>
  <sheetViews>
    <sheetView view="pageBreakPreview" zoomScale="124" zoomScaleNormal="98" zoomScaleSheetLayoutView="124" workbookViewId="0">
      <pane xSplit="1" ySplit="5" topLeftCell="B6" activePane="bottomRight" state="frozen"/>
      <selection pane="topRight" activeCell="D1" sqref="D1"/>
      <selection pane="bottomLeft" activeCell="A5" sqref="A5"/>
      <selection pane="bottomRight" activeCell="G5" sqref="G5"/>
    </sheetView>
  </sheetViews>
  <sheetFormatPr defaultColWidth="16.625" defaultRowHeight="26.25" customHeight="1"/>
  <cols>
    <col min="1" max="2" width="25" style="185" customWidth="1"/>
    <col min="3" max="3" width="14.5" style="185" customWidth="1"/>
    <col min="4" max="4" width="14.5" style="203" customWidth="1"/>
    <col min="5" max="6" width="14.5" style="185" customWidth="1"/>
    <col min="7" max="7" width="14.5" style="203" customWidth="1"/>
    <col min="8" max="9" width="14.5" style="185" customWidth="1"/>
    <col min="10" max="10" width="14.5" style="203" customWidth="1"/>
    <col min="11" max="12" width="14.5" style="185" customWidth="1"/>
    <col min="13" max="13" width="14.5" style="203" customWidth="1"/>
    <col min="14" max="14" width="14.5" style="185" customWidth="1"/>
    <col min="15" max="16" width="17.625" style="185" bestFit="1" customWidth="1"/>
    <col min="17" max="17" width="21.125" style="185" bestFit="1" customWidth="1"/>
    <col min="18" max="16384" width="16.625" style="185"/>
  </cols>
  <sheetData>
    <row r="1" spans="1:17" ht="26.25" customHeight="1">
      <c r="A1" s="206" t="s">
        <v>3789</v>
      </c>
      <c r="B1" s="206"/>
      <c r="D1" s="185"/>
      <c r="G1" s="185"/>
      <c r="J1" s="185"/>
      <c r="M1" s="185" t="s">
        <v>3788</v>
      </c>
    </row>
    <row r="2" spans="1:17" s="186" customFormat="1" ht="26.25" customHeight="1">
      <c r="A2" s="1496" t="s">
        <v>1</v>
      </c>
      <c r="B2" s="1497"/>
      <c r="C2" s="1494" t="s">
        <v>5</v>
      </c>
      <c r="D2" s="1494"/>
      <c r="E2" s="1494"/>
      <c r="F2" s="1494" t="s">
        <v>8</v>
      </c>
      <c r="G2" s="1494"/>
      <c r="H2" s="1494"/>
      <c r="I2" s="1494" t="s">
        <v>9</v>
      </c>
      <c r="J2" s="1494"/>
      <c r="K2" s="1494"/>
      <c r="L2" s="1494" t="s">
        <v>10</v>
      </c>
      <c r="M2" s="1494"/>
      <c r="N2" s="1494"/>
      <c r="O2" s="1494" t="s">
        <v>11</v>
      </c>
      <c r="Q2" s="186">
        <f ca="1">공종별집계표!T5</f>
        <v>1722324827.2386</v>
      </c>
    </row>
    <row r="3" spans="1:17" s="186" customFormat="1" ht="26.25" customHeight="1">
      <c r="A3" s="212" t="s">
        <v>3810</v>
      </c>
      <c r="B3" s="188" t="s">
        <v>3811</v>
      </c>
      <c r="C3" s="187" t="s">
        <v>3786</v>
      </c>
      <c r="D3" s="188" t="s">
        <v>3787</v>
      </c>
      <c r="E3" s="187" t="s">
        <v>7</v>
      </c>
      <c r="F3" s="187" t="s">
        <v>3786</v>
      </c>
      <c r="G3" s="188" t="s">
        <v>3787</v>
      </c>
      <c r="H3" s="187" t="s">
        <v>7</v>
      </c>
      <c r="I3" s="187" t="s">
        <v>3786</v>
      </c>
      <c r="J3" s="188" t="s">
        <v>3787</v>
      </c>
      <c r="K3" s="187" t="s">
        <v>7</v>
      </c>
      <c r="L3" s="187" t="s">
        <v>3786</v>
      </c>
      <c r="M3" s="188" t="s">
        <v>3787</v>
      </c>
      <c r="N3" s="187" t="s">
        <v>7</v>
      </c>
      <c r="O3" s="1495"/>
      <c r="Q3" s="186" t="e">
        <f>#REF!</f>
        <v>#REF!</v>
      </c>
    </row>
    <row r="4" spans="1:17" s="186" customFormat="1" ht="26.25" customHeight="1">
      <c r="A4" s="1478" t="s">
        <v>50</v>
      </c>
      <c r="B4" s="1479"/>
      <c r="C4" s="204">
        <f t="shared" ref="C4:K4" si="0">C5+C26+C49+C51+C52+C53</f>
        <v>746820458</v>
      </c>
      <c r="D4" s="205" t="e">
        <f>D5+D26+D49+D50+D51+D52+D53</f>
        <v>#REF!</v>
      </c>
      <c r="E4" s="189" t="e">
        <f t="shared" si="0"/>
        <v>#REF!</v>
      </c>
      <c r="F4" s="204">
        <f t="shared" si="0"/>
        <v>1032093152</v>
      </c>
      <c r="G4" s="205" t="e">
        <f>G5+G26+G49+G50+G51+G52+G53</f>
        <v>#REF!</v>
      </c>
      <c r="H4" s="189" t="e">
        <f t="shared" si="0"/>
        <v>#REF!</v>
      </c>
      <c r="I4" s="189">
        <f t="shared" si="0"/>
        <v>728421</v>
      </c>
      <c r="J4" s="190" t="e">
        <f t="shared" si="0"/>
        <v>#REF!</v>
      </c>
      <c r="K4" s="189" t="e">
        <f t="shared" si="0"/>
        <v>#REF!</v>
      </c>
      <c r="L4" s="204">
        <f t="shared" ref="L4:N5" si="1">C4+F4+I4</f>
        <v>1779642031</v>
      </c>
      <c r="M4" s="205" t="e">
        <f t="shared" si="1"/>
        <v>#REF!</v>
      </c>
      <c r="N4" s="189" t="e">
        <f t="shared" si="1"/>
        <v>#REF!</v>
      </c>
      <c r="O4" s="191"/>
      <c r="P4" s="210">
        <v>1.3684482697390821</v>
      </c>
      <c r="Q4" s="192">
        <f>L4*P4</f>
        <v>2435348058.0768957</v>
      </c>
    </row>
    <row r="5" spans="1:17" s="186" customFormat="1" ht="26.25" customHeight="1">
      <c r="A5" s="1478" t="s">
        <v>53</v>
      </c>
      <c r="B5" s="1479"/>
      <c r="C5" s="189">
        <f t="shared" ref="C5:K5" si="2">SUM(C6:C25)</f>
        <v>431415945</v>
      </c>
      <c r="D5" s="190" t="e">
        <f t="shared" si="2"/>
        <v>#REF!</v>
      </c>
      <c r="E5" s="189" t="e">
        <f t="shared" si="2"/>
        <v>#REF!</v>
      </c>
      <c r="F5" s="189">
        <f t="shared" si="2"/>
        <v>420845211</v>
      </c>
      <c r="G5" s="190" t="e">
        <f t="shared" si="2"/>
        <v>#REF!</v>
      </c>
      <c r="H5" s="189" t="e">
        <f t="shared" si="2"/>
        <v>#REF!</v>
      </c>
      <c r="I5" s="189">
        <f t="shared" si="2"/>
        <v>563819</v>
      </c>
      <c r="J5" s="190" t="e">
        <f t="shared" si="2"/>
        <v>#REF!</v>
      </c>
      <c r="K5" s="189" t="e">
        <f t="shared" si="2"/>
        <v>#REF!</v>
      </c>
      <c r="L5" s="204">
        <f t="shared" si="1"/>
        <v>852824975</v>
      </c>
      <c r="M5" s="205" t="e">
        <f t="shared" si="1"/>
        <v>#REF!</v>
      </c>
      <c r="N5" s="189" t="e">
        <f t="shared" si="1"/>
        <v>#REF!</v>
      </c>
      <c r="O5" s="191" t="s">
        <v>51</v>
      </c>
      <c r="Q5" s="193" t="e">
        <f>M4*P4</f>
        <v>#REF!</v>
      </c>
    </row>
    <row r="6" spans="1:17" ht="26.25" customHeight="1">
      <c r="A6" s="194" t="s">
        <v>55</v>
      </c>
      <c r="B6" s="213" t="str">
        <f>공종별집계표!A8</f>
        <v>010101  가  설  공  사</v>
      </c>
      <c r="C6" s="195">
        <v>7624496</v>
      </c>
      <c r="D6" s="196">
        <f>공종별집계표!G8</f>
        <v>1615295.3</v>
      </c>
      <c r="E6" s="195">
        <f>D6-C6</f>
        <v>-6009200.7000000002</v>
      </c>
      <c r="F6" s="195">
        <v>23503453</v>
      </c>
      <c r="G6" s="196">
        <f>공종별집계표!K8</f>
        <v>20399420.435000002</v>
      </c>
      <c r="H6" s="195">
        <f>G6-F6</f>
        <v>-3104032.5649999976</v>
      </c>
      <c r="I6" s="195">
        <v>0</v>
      </c>
      <c r="J6" s="196">
        <f>공종별집계표!O8</f>
        <v>0</v>
      </c>
      <c r="K6" s="195">
        <f>J6-I6</f>
        <v>0</v>
      </c>
      <c r="L6" s="195">
        <f t="shared" ref="L6:M9" si="3">D6+F6+I6</f>
        <v>25118748.300000001</v>
      </c>
      <c r="M6" s="197">
        <f t="shared" si="3"/>
        <v>14390219.735000003</v>
      </c>
      <c r="N6" s="195">
        <f t="shared" ref="N6:N9" si="4">M6-L6</f>
        <v>-10728528.564999998</v>
      </c>
      <c r="O6" s="198" t="s">
        <v>51</v>
      </c>
      <c r="Q6" s="193" t="e">
        <f>N4*P4</f>
        <v>#REF!</v>
      </c>
    </row>
    <row r="7" spans="1:17" ht="26.25" customHeight="1">
      <c r="A7" s="194" t="s">
        <v>87</v>
      </c>
      <c r="B7" s="213" t="e">
        <f>공종별집계표!#REF!</f>
        <v>#REF!</v>
      </c>
      <c r="C7" s="195">
        <v>291706</v>
      </c>
      <c r="D7" s="196" t="e">
        <f>공종별집계표!#REF!</f>
        <v>#REF!</v>
      </c>
      <c r="E7" s="195" t="e">
        <f t="shared" ref="E7:E9" si="5">D7-C7</f>
        <v>#REF!</v>
      </c>
      <c r="F7" s="195">
        <v>34507603</v>
      </c>
      <c r="G7" s="196" t="e">
        <f>공종별집계표!#REF!</f>
        <v>#REF!</v>
      </c>
      <c r="H7" s="195" t="e">
        <f t="shared" ref="H7:H9" si="6">G7-F7</f>
        <v>#REF!</v>
      </c>
      <c r="I7" s="195">
        <v>0</v>
      </c>
      <c r="J7" s="196" t="e">
        <f>공종별집계표!#REF!</f>
        <v>#REF!</v>
      </c>
      <c r="K7" s="195" t="e">
        <f>J7-I7</f>
        <v>#REF!</v>
      </c>
      <c r="L7" s="195" t="e">
        <f t="shared" si="3"/>
        <v>#REF!</v>
      </c>
      <c r="M7" s="197" t="e">
        <f t="shared" si="3"/>
        <v>#REF!</v>
      </c>
      <c r="N7" s="195" t="e">
        <f t="shared" si="4"/>
        <v>#REF!</v>
      </c>
      <c r="O7" s="198" t="s">
        <v>51</v>
      </c>
    </row>
    <row r="8" spans="1:17" ht="26.25" customHeight="1">
      <c r="A8" s="194" t="s">
        <v>109</v>
      </c>
      <c r="B8" s="213" t="e">
        <f>공종별집계표!#REF!</f>
        <v>#REF!</v>
      </c>
      <c r="C8" s="195">
        <v>864305</v>
      </c>
      <c r="D8" s="196" t="e">
        <f>공종별집계표!#REF!</f>
        <v>#REF!</v>
      </c>
      <c r="E8" s="195" t="e">
        <f t="shared" si="5"/>
        <v>#REF!</v>
      </c>
      <c r="F8" s="195">
        <v>59119027</v>
      </c>
      <c r="G8" s="196" t="e">
        <f>공종별집계표!#REF!</f>
        <v>#REF!</v>
      </c>
      <c r="H8" s="195" t="e">
        <f t="shared" si="6"/>
        <v>#REF!</v>
      </c>
      <c r="I8" s="195">
        <v>0</v>
      </c>
      <c r="J8" s="196" t="e">
        <f>공종별집계표!#REF!</f>
        <v>#REF!</v>
      </c>
      <c r="K8" s="195" t="e">
        <f>J8-I8</f>
        <v>#REF!</v>
      </c>
      <c r="L8" s="195" t="e">
        <f t="shared" si="3"/>
        <v>#REF!</v>
      </c>
      <c r="M8" s="197" t="e">
        <f t="shared" si="3"/>
        <v>#REF!</v>
      </c>
      <c r="N8" s="195" t="e">
        <f t="shared" si="4"/>
        <v>#REF!</v>
      </c>
      <c r="O8" s="198" t="s">
        <v>51</v>
      </c>
    </row>
    <row r="9" spans="1:17" ht="26.25" customHeight="1">
      <c r="A9" s="194" t="s">
        <v>146</v>
      </c>
      <c r="B9" s="213" t="e">
        <f>공종별집계표!#REF!</f>
        <v>#REF!</v>
      </c>
      <c r="C9" s="195">
        <v>791651</v>
      </c>
      <c r="D9" s="196" t="e">
        <f>공종별집계표!#REF!</f>
        <v>#REF!</v>
      </c>
      <c r="E9" s="195" t="e">
        <f t="shared" si="5"/>
        <v>#REF!</v>
      </c>
      <c r="F9" s="195">
        <v>14587540</v>
      </c>
      <c r="G9" s="196" t="e">
        <f>공종별집계표!#REF!</f>
        <v>#REF!</v>
      </c>
      <c r="H9" s="195" t="e">
        <f t="shared" si="6"/>
        <v>#REF!</v>
      </c>
      <c r="I9" s="195">
        <v>0</v>
      </c>
      <c r="J9" s="196" t="e">
        <f>공종별집계표!#REF!</f>
        <v>#REF!</v>
      </c>
      <c r="K9" s="195" t="e">
        <f>J9-I9</f>
        <v>#REF!</v>
      </c>
      <c r="L9" s="195" t="e">
        <f t="shared" si="3"/>
        <v>#REF!</v>
      </c>
      <c r="M9" s="197" t="e">
        <f t="shared" si="3"/>
        <v>#REF!</v>
      </c>
      <c r="N9" s="195" t="e">
        <f t="shared" si="4"/>
        <v>#REF!</v>
      </c>
      <c r="O9" s="198" t="s">
        <v>51</v>
      </c>
    </row>
    <row r="10" spans="1:17" ht="26.25" customHeight="1">
      <c r="A10" s="1485" t="s">
        <v>3809</v>
      </c>
      <c r="B10" s="213" t="str">
        <f>공종별집계표!A9</f>
        <v>010102  천 정 공 사(참여기증자실)</v>
      </c>
      <c r="C10" s="1482">
        <v>12211492</v>
      </c>
      <c r="D10" s="196">
        <f>공종별집계표!G9</f>
        <v>2924356.5</v>
      </c>
      <c r="E10" s="1482">
        <f>(D10+D11+D12)-C10</f>
        <v>-1289113.7800000012</v>
      </c>
      <c r="F10" s="1482">
        <v>37744051</v>
      </c>
      <c r="G10" s="196">
        <f>공종별집계표!K9</f>
        <v>8417630.4000000004</v>
      </c>
      <c r="H10" s="1482">
        <f>(G10+G11+G12)-F10</f>
        <v>-14746403.379999999</v>
      </c>
      <c r="I10" s="1482">
        <v>0</v>
      </c>
      <c r="J10" s="196">
        <f>공종별집계표!O9</f>
        <v>30658</v>
      </c>
      <c r="K10" s="1482">
        <f>(J10+J11+J12)-I10</f>
        <v>287172</v>
      </c>
      <c r="L10" s="1482">
        <f>C10+F10+I10:I12</f>
        <v>49955543</v>
      </c>
      <c r="M10" s="1488">
        <f>D10+D11+D12+G10+G11+G12+J10+J11+J12</f>
        <v>34207197.840000004</v>
      </c>
      <c r="N10" s="1482">
        <f>M10-L10</f>
        <v>-15748345.159999996</v>
      </c>
      <c r="O10" s="198" t="s">
        <v>51</v>
      </c>
    </row>
    <row r="11" spans="1:17" ht="26.25" customHeight="1">
      <c r="A11" s="1486"/>
      <c r="B11" s="213" t="str">
        <f>공종별집계표!A12</f>
        <v>010105  천 정 공 사(기획전시실)</v>
      </c>
      <c r="C11" s="1483"/>
      <c r="D11" s="196">
        <f>공종별집계표!G12</f>
        <v>732854.96000000008</v>
      </c>
      <c r="E11" s="1483"/>
      <c r="F11" s="1483"/>
      <c r="G11" s="196">
        <f>공종별집계표!K12</f>
        <v>1626458.76</v>
      </c>
      <c r="H11" s="1483"/>
      <c r="I11" s="1483"/>
      <c r="J11" s="196">
        <f>공종별집계표!O12</f>
        <v>121809</v>
      </c>
      <c r="K11" s="1483"/>
      <c r="L11" s="1483"/>
      <c r="M11" s="1489"/>
      <c r="N11" s="1483"/>
      <c r="O11" s="198"/>
    </row>
    <row r="12" spans="1:17" ht="26.25" customHeight="1">
      <c r="A12" s="1487"/>
      <c r="B12" s="213" t="str">
        <f>공종별집계표!A15</f>
        <v>010108  천 정 공 사(상설전시실 및 부속실)</v>
      </c>
      <c r="C12" s="1484"/>
      <c r="D12" s="196">
        <f>공종별집계표!G15</f>
        <v>7265166.7599999998</v>
      </c>
      <c r="E12" s="1484"/>
      <c r="F12" s="1484"/>
      <c r="G12" s="196">
        <f>공종별집계표!K15</f>
        <v>12953558.460000001</v>
      </c>
      <c r="H12" s="1484"/>
      <c r="I12" s="1484"/>
      <c r="J12" s="196">
        <f>공종별집계표!O15</f>
        <v>134705</v>
      </c>
      <c r="K12" s="1484"/>
      <c r="L12" s="1484"/>
      <c r="M12" s="1490"/>
      <c r="N12" s="1484"/>
      <c r="O12" s="198"/>
    </row>
    <row r="13" spans="1:17" ht="26.25" customHeight="1">
      <c r="A13" s="1485" t="s">
        <v>3771</v>
      </c>
      <c r="B13" s="213" t="str">
        <f>공종별집계표!A10</f>
        <v>010103  벽 체 공 사(참여기증자실)</v>
      </c>
      <c r="C13" s="1482">
        <v>76122925</v>
      </c>
      <c r="D13" s="196">
        <f>공종별집계표!G10</f>
        <v>5623014.4349999996</v>
      </c>
      <c r="E13" s="1482">
        <f>(D13+D14+D15+D16)-C13</f>
        <v>-16020060.576000005</v>
      </c>
      <c r="F13" s="1482">
        <v>129388535</v>
      </c>
      <c r="G13" s="196">
        <f>공종별집계표!K10</f>
        <v>13271465.4</v>
      </c>
      <c r="H13" s="1482">
        <f>(G13+G14+G15+G16)-F13</f>
        <v>2979995.6559999883</v>
      </c>
      <c r="I13" s="1482">
        <v>548235</v>
      </c>
      <c r="J13" s="196">
        <f>공종별집계표!O10</f>
        <v>11300.98</v>
      </c>
      <c r="K13" s="1482">
        <f>(J13+J14+J15+J16)-I13</f>
        <v>-360025.93400000001</v>
      </c>
      <c r="L13" s="1482">
        <f>C13+F13+I13</f>
        <v>206059695</v>
      </c>
      <c r="M13" s="1488">
        <f>D13+D14+D15+D16+G13+G14+G15+G16+J13+J14+J15+J16</f>
        <v>192659604.14599997</v>
      </c>
      <c r="N13" s="1482">
        <f>M13-L13</f>
        <v>-13400090.854000032</v>
      </c>
      <c r="O13" s="198" t="s">
        <v>51</v>
      </c>
    </row>
    <row r="14" spans="1:17" ht="26.25" customHeight="1">
      <c r="A14" s="1486"/>
      <c r="B14" s="213" t="str">
        <f>공종별집계표!A13</f>
        <v>010106  벽 체 공 사(기획전시실)</v>
      </c>
      <c r="C14" s="1483"/>
      <c r="D14" s="196">
        <f>공종별집계표!G13</f>
        <v>14365682.455</v>
      </c>
      <c r="E14" s="1483"/>
      <c r="F14" s="1483"/>
      <c r="G14" s="196">
        <f>공종별집계표!K13</f>
        <v>36830633.879999995</v>
      </c>
      <c r="H14" s="1483"/>
      <c r="I14" s="1483"/>
      <c r="J14" s="196">
        <f>공종별집계표!O13</f>
        <v>15521.280000000002</v>
      </c>
      <c r="K14" s="1483"/>
      <c r="L14" s="1483"/>
      <c r="M14" s="1489"/>
      <c r="N14" s="1483"/>
      <c r="O14" s="198"/>
    </row>
    <row r="15" spans="1:17" ht="26.25" customHeight="1">
      <c r="A15" s="1486"/>
      <c r="B15" s="213" t="str">
        <f>공종별집계표!A16</f>
        <v>010109  벽 체 공 사(상설전시실 및 부속실)</v>
      </c>
      <c r="C15" s="1483"/>
      <c r="D15" s="196">
        <f>공종별집계표!G16</f>
        <v>25408400.233999997</v>
      </c>
      <c r="E15" s="1483"/>
      <c r="F15" s="1483"/>
      <c r="G15" s="196">
        <f>공종별집계표!K16</f>
        <v>73950511.275999993</v>
      </c>
      <c r="H15" s="1483"/>
      <c r="I15" s="1483"/>
      <c r="J15" s="196">
        <f>공종별집계표!O16</f>
        <v>78736.125999999989</v>
      </c>
      <c r="K15" s="1483"/>
      <c r="L15" s="1483"/>
      <c r="M15" s="1489"/>
      <c r="N15" s="1483"/>
      <c r="O15" s="198"/>
    </row>
    <row r="16" spans="1:17" ht="26.25" customHeight="1">
      <c r="A16" s="1487"/>
      <c r="B16" s="213" t="str">
        <f>공종별집계표!A18</f>
        <v>010111  벽 체 공 사(휴게 HALL)</v>
      </c>
      <c r="C16" s="1484"/>
      <c r="D16" s="196">
        <f>공종별집계표!G18</f>
        <v>14705767.300000001</v>
      </c>
      <c r="E16" s="1484"/>
      <c r="F16" s="1484"/>
      <c r="G16" s="196">
        <f>공종별집계표!K18</f>
        <v>8315920.0999999996</v>
      </c>
      <c r="H16" s="1484"/>
      <c r="I16" s="1484"/>
      <c r="J16" s="196">
        <f>공종별집계표!O18</f>
        <v>82650.679999999993</v>
      </c>
      <c r="K16" s="1484"/>
      <c r="L16" s="1484"/>
      <c r="M16" s="1490"/>
      <c r="N16" s="1484"/>
      <c r="O16" s="198"/>
    </row>
    <row r="17" spans="1:15" ht="26.25" customHeight="1">
      <c r="A17" s="1485" t="s">
        <v>3772</v>
      </c>
      <c r="B17" s="213" t="str">
        <f>공종별집계표!A11</f>
        <v>010104  바 닥 공 사(참여기증자실)</v>
      </c>
      <c r="C17" s="1482">
        <v>122884619</v>
      </c>
      <c r="D17" s="196">
        <f>공종별집계표!G11</f>
        <v>16882522.550000001</v>
      </c>
      <c r="E17" s="1482">
        <f>(D17+D18+D19+D20)-C17</f>
        <v>-11954928.303999975</v>
      </c>
      <c r="F17" s="1482">
        <v>66736887</v>
      </c>
      <c r="G17" s="196">
        <f>공종별집계표!K11</f>
        <v>11129397.4</v>
      </c>
      <c r="H17" s="1482">
        <f>(G17+G18+G19+G20)-F17</f>
        <v>18850990.263999999</v>
      </c>
      <c r="I17" s="1482">
        <v>13757</v>
      </c>
      <c r="J17" s="196">
        <f>공종별집계표!O11</f>
        <v>1273.0999999999999</v>
      </c>
      <c r="K17" s="1482">
        <f>(J17+J18+J19+J20)-I17</f>
        <v>37818.76</v>
      </c>
      <c r="L17" s="1482">
        <f>C17+F17+I17</f>
        <v>189635263</v>
      </c>
      <c r="M17" s="1488">
        <f>D17+D18+D19+D20+G17+G18+G19+G20+J17+J18+J19+J20</f>
        <v>196569143.72000006</v>
      </c>
      <c r="N17" s="1482">
        <f>M17-L17</f>
        <v>6933880.7200000584</v>
      </c>
      <c r="O17" s="198" t="s">
        <v>51</v>
      </c>
    </row>
    <row r="18" spans="1:15" ht="26.25" customHeight="1">
      <c r="A18" s="1486"/>
      <c r="B18" s="213" t="str">
        <f>공종별집계표!A14</f>
        <v>010107  바 닥 공 사(기획전시실)</v>
      </c>
      <c r="C18" s="1483"/>
      <c r="D18" s="196">
        <f>공종별집계표!G14</f>
        <v>40356873.399999999</v>
      </c>
      <c r="E18" s="1483"/>
      <c r="F18" s="1483"/>
      <c r="G18" s="196">
        <f>공종별집계표!K14</f>
        <v>26580416</v>
      </c>
      <c r="H18" s="1483"/>
      <c r="I18" s="1483"/>
      <c r="J18" s="196">
        <f>공종별집계표!O14</f>
        <v>1404.8000000000002</v>
      </c>
      <c r="K18" s="1483"/>
      <c r="L18" s="1483"/>
      <c r="M18" s="1489"/>
      <c r="N18" s="1483"/>
      <c r="O18" s="198"/>
    </row>
    <row r="19" spans="1:15" ht="26.25" customHeight="1">
      <c r="A19" s="1486"/>
      <c r="B19" s="213" t="str">
        <f>공종별집계표!A17</f>
        <v>010110  바 닥 공 사(상설전시실 및 부속실)</v>
      </c>
      <c r="C19" s="1483"/>
      <c r="D19" s="196">
        <f>공종별집계표!G17</f>
        <v>46533334.780000016</v>
      </c>
      <c r="E19" s="1483"/>
      <c r="F19" s="1483"/>
      <c r="G19" s="196">
        <f>공종별집계표!K17</f>
        <v>30673426.960000005</v>
      </c>
      <c r="H19" s="1483"/>
      <c r="I19" s="1483"/>
      <c r="J19" s="196">
        <f>공종별집계표!O17</f>
        <v>1799.8999999999999</v>
      </c>
      <c r="K19" s="1483"/>
      <c r="L19" s="1483"/>
      <c r="M19" s="1489"/>
      <c r="N19" s="1483"/>
      <c r="O19" s="198"/>
    </row>
    <row r="20" spans="1:15" ht="26.25" customHeight="1">
      <c r="A20" s="1487"/>
      <c r="B20" s="213" t="str">
        <f>공종별집계표!A19</f>
        <v>010112  바 닥 공 사(휴게 HALL)</v>
      </c>
      <c r="C20" s="1484"/>
      <c r="D20" s="196">
        <f>공종별집계표!G19</f>
        <v>7156959.966</v>
      </c>
      <c r="E20" s="1484"/>
      <c r="F20" s="1484"/>
      <c r="G20" s="196">
        <f>공종별집계표!K19</f>
        <v>17204636.903999999</v>
      </c>
      <c r="H20" s="1484"/>
      <c r="I20" s="1484"/>
      <c r="J20" s="196">
        <f>공종별집계표!O19</f>
        <v>47097.96</v>
      </c>
      <c r="K20" s="1484"/>
      <c r="L20" s="1484"/>
      <c r="M20" s="1490"/>
      <c r="N20" s="1484"/>
      <c r="O20" s="198"/>
    </row>
    <row r="21" spans="1:15" ht="26.25" customHeight="1">
      <c r="A21" s="194" t="s">
        <v>3773</v>
      </c>
      <c r="B21" s="213" t="e">
        <f>공종별집계표!#REF!</f>
        <v>#REF!</v>
      </c>
      <c r="C21" s="195">
        <v>47913933</v>
      </c>
      <c r="D21" s="196" t="e">
        <f>공종별집계표!#REF!</f>
        <v>#REF!</v>
      </c>
      <c r="E21" s="195" t="e">
        <f t="shared" ref="E21:E25" si="7">D21-C21</f>
        <v>#REF!</v>
      </c>
      <c r="F21" s="195">
        <v>26888579</v>
      </c>
      <c r="G21" s="196" t="e">
        <f>공종별집계표!#REF!</f>
        <v>#REF!</v>
      </c>
      <c r="H21" s="195" t="e">
        <f t="shared" ref="H21:H25" si="8">G21-F21</f>
        <v>#REF!</v>
      </c>
      <c r="I21" s="195">
        <v>0</v>
      </c>
      <c r="J21" s="196" t="e">
        <f>공종별집계표!#REF!</f>
        <v>#REF!</v>
      </c>
      <c r="K21" s="195" t="e">
        <f t="shared" ref="K21:K25" si="9">J21-I21</f>
        <v>#REF!</v>
      </c>
      <c r="L21" s="195">
        <f t="shared" ref="L21:M26" si="10">C21+F21+I21</f>
        <v>74802512</v>
      </c>
      <c r="M21" s="197" t="e">
        <f t="shared" si="10"/>
        <v>#REF!</v>
      </c>
      <c r="N21" s="195" t="e">
        <f>M21-L21</f>
        <v>#REF!</v>
      </c>
      <c r="O21" s="198" t="s">
        <v>51</v>
      </c>
    </row>
    <row r="22" spans="1:15" ht="26.25" customHeight="1">
      <c r="A22" s="194" t="s">
        <v>3774</v>
      </c>
      <c r="B22" s="213" t="e">
        <f>공종별집계표!#REF!</f>
        <v>#REF!</v>
      </c>
      <c r="C22" s="195">
        <v>79238000</v>
      </c>
      <c r="D22" s="196" t="e">
        <f>공종별집계표!#REF!</f>
        <v>#REF!</v>
      </c>
      <c r="E22" s="195" t="e">
        <f t="shared" si="7"/>
        <v>#REF!</v>
      </c>
      <c r="F22" s="195">
        <v>15081120</v>
      </c>
      <c r="G22" s="196" t="e">
        <f>공종별집계표!#REF!</f>
        <v>#REF!</v>
      </c>
      <c r="H22" s="195" t="e">
        <f t="shared" si="8"/>
        <v>#REF!</v>
      </c>
      <c r="I22" s="195">
        <v>1827</v>
      </c>
      <c r="J22" s="196" t="e">
        <f>공종별집계표!#REF!</f>
        <v>#REF!</v>
      </c>
      <c r="K22" s="195" t="e">
        <f t="shared" si="9"/>
        <v>#REF!</v>
      </c>
      <c r="L22" s="195">
        <f t="shared" si="10"/>
        <v>94320947</v>
      </c>
      <c r="M22" s="197" t="e">
        <f t="shared" si="10"/>
        <v>#REF!</v>
      </c>
      <c r="N22" s="195" t="e">
        <f t="shared" ref="N22:N30" si="11">M22-L22</f>
        <v>#REF!</v>
      </c>
      <c r="O22" s="198" t="s">
        <v>51</v>
      </c>
    </row>
    <row r="23" spans="1:15" ht="26.25" customHeight="1">
      <c r="A23" s="194" t="s">
        <v>3775</v>
      </c>
      <c r="B23" s="213" t="e">
        <f>공종별집계표!#REF!</f>
        <v>#REF!</v>
      </c>
      <c r="C23" s="195">
        <v>11569350</v>
      </c>
      <c r="D23" s="196" t="e">
        <f>공종별집계표!#REF!</f>
        <v>#REF!</v>
      </c>
      <c r="E23" s="195" t="e">
        <f t="shared" si="7"/>
        <v>#REF!</v>
      </c>
      <c r="F23" s="195">
        <v>8532000</v>
      </c>
      <c r="G23" s="196" t="e">
        <f>공종별집계표!#REF!</f>
        <v>#REF!</v>
      </c>
      <c r="H23" s="195" t="e">
        <f t="shared" si="8"/>
        <v>#REF!</v>
      </c>
      <c r="I23" s="195">
        <v>0</v>
      </c>
      <c r="J23" s="196" t="e">
        <f>공종별집계표!#REF!</f>
        <v>#REF!</v>
      </c>
      <c r="K23" s="195" t="e">
        <f t="shared" si="9"/>
        <v>#REF!</v>
      </c>
      <c r="L23" s="195">
        <f t="shared" si="10"/>
        <v>20101350</v>
      </c>
      <c r="M23" s="197" t="e">
        <f t="shared" si="10"/>
        <v>#REF!</v>
      </c>
      <c r="N23" s="195" t="e">
        <f t="shared" si="11"/>
        <v>#REF!</v>
      </c>
      <c r="O23" s="198" t="s">
        <v>51</v>
      </c>
    </row>
    <row r="24" spans="1:15" ht="26.25" customHeight="1">
      <c r="A24" s="194" t="s">
        <v>3776</v>
      </c>
      <c r="B24" s="213" t="e">
        <f>공종별집계표!#REF!</f>
        <v>#REF!</v>
      </c>
      <c r="C24" s="195">
        <v>46683468</v>
      </c>
      <c r="D24" s="196" t="e">
        <f>공종별집계표!#REF!</f>
        <v>#REF!</v>
      </c>
      <c r="E24" s="195" t="e">
        <f t="shared" si="7"/>
        <v>#REF!</v>
      </c>
      <c r="F24" s="195">
        <v>4756416</v>
      </c>
      <c r="G24" s="196" t="e">
        <f>공종별집계표!#REF!</f>
        <v>#REF!</v>
      </c>
      <c r="H24" s="195" t="e">
        <f t="shared" si="8"/>
        <v>#REF!</v>
      </c>
      <c r="I24" s="195">
        <v>0</v>
      </c>
      <c r="J24" s="196" t="e">
        <f>공종별집계표!#REF!</f>
        <v>#REF!</v>
      </c>
      <c r="K24" s="195" t="e">
        <f t="shared" si="9"/>
        <v>#REF!</v>
      </c>
      <c r="L24" s="195">
        <f t="shared" si="10"/>
        <v>51439884</v>
      </c>
      <c r="M24" s="197" t="e">
        <f t="shared" si="10"/>
        <v>#REF!</v>
      </c>
      <c r="N24" s="195" t="e">
        <f t="shared" si="11"/>
        <v>#REF!</v>
      </c>
      <c r="O24" s="198" t="s">
        <v>51</v>
      </c>
    </row>
    <row r="25" spans="1:15" ht="26.25" customHeight="1">
      <c r="A25" s="194" t="s">
        <v>3777</v>
      </c>
      <c r="B25" s="213" t="e">
        <f>공종별집계표!#REF!</f>
        <v>#REF!</v>
      </c>
      <c r="C25" s="195">
        <v>25220000</v>
      </c>
      <c r="D25" s="196" t="e">
        <f>공종별집계표!#REF!</f>
        <v>#REF!</v>
      </c>
      <c r="E25" s="195" t="e">
        <f t="shared" si="7"/>
        <v>#REF!</v>
      </c>
      <c r="F25" s="195">
        <v>0</v>
      </c>
      <c r="G25" s="196" t="e">
        <f>공종별집계표!#REF!</f>
        <v>#REF!</v>
      </c>
      <c r="H25" s="195" t="e">
        <f t="shared" si="8"/>
        <v>#REF!</v>
      </c>
      <c r="I25" s="195">
        <v>0</v>
      </c>
      <c r="J25" s="196" t="e">
        <f>공종별집계표!#REF!</f>
        <v>#REF!</v>
      </c>
      <c r="K25" s="195" t="e">
        <f t="shared" si="9"/>
        <v>#REF!</v>
      </c>
      <c r="L25" s="195">
        <f t="shared" si="10"/>
        <v>25220000</v>
      </c>
      <c r="M25" s="197" t="e">
        <f t="shared" si="10"/>
        <v>#REF!</v>
      </c>
      <c r="N25" s="195" t="e">
        <f t="shared" si="11"/>
        <v>#REF!</v>
      </c>
      <c r="O25" s="198" t="s">
        <v>51</v>
      </c>
    </row>
    <row r="26" spans="1:15" s="186" customFormat="1" ht="26.25" customHeight="1">
      <c r="A26" s="1480" t="s">
        <v>597</v>
      </c>
      <c r="B26" s="1481"/>
      <c r="C26" s="204">
        <f t="shared" ref="C26:K26" si="12">SUM(C27:C48)</f>
        <v>268493155</v>
      </c>
      <c r="D26" s="205" t="e">
        <f t="shared" si="12"/>
        <v>#REF!</v>
      </c>
      <c r="E26" s="189" t="e">
        <f t="shared" si="12"/>
        <v>#REF!</v>
      </c>
      <c r="F26" s="189">
        <f t="shared" si="12"/>
        <v>387089862</v>
      </c>
      <c r="G26" s="190" t="e">
        <f t="shared" si="12"/>
        <v>#REF!</v>
      </c>
      <c r="H26" s="189" t="e">
        <f t="shared" si="12"/>
        <v>#REF!</v>
      </c>
      <c r="I26" s="189">
        <f t="shared" si="12"/>
        <v>164602</v>
      </c>
      <c r="J26" s="190" t="e">
        <f t="shared" si="12"/>
        <v>#REF!</v>
      </c>
      <c r="K26" s="189" t="e">
        <f t="shared" si="12"/>
        <v>#REF!</v>
      </c>
      <c r="L26" s="204">
        <f t="shared" si="10"/>
        <v>655747619</v>
      </c>
      <c r="M26" s="205" t="e">
        <f t="shared" si="10"/>
        <v>#REF!</v>
      </c>
      <c r="N26" s="189" t="e">
        <f>E26+H26+K26</f>
        <v>#REF!</v>
      </c>
      <c r="O26" s="191" t="s">
        <v>51</v>
      </c>
    </row>
    <row r="27" spans="1:15" ht="26.25" customHeight="1">
      <c r="A27" s="194" t="s">
        <v>3785</v>
      </c>
      <c r="B27" s="213" t="str">
        <f>공종별집계표!A25</f>
        <v>010201  가  설  공  사</v>
      </c>
      <c r="C27" s="195">
        <v>1968280</v>
      </c>
      <c r="D27" s="196">
        <f>공종별집계표!G25</f>
        <v>1575287.96</v>
      </c>
      <c r="E27" s="195">
        <f t="shared" ref="E27:E30" si="13">D27-C27</f>
        <v>-392992.04000000004</v>
      </c>
      <c r="F27" s="195">
        <v>23100439</v>
      </c>
      <c r="G27" s="196">
        <f>공종별집계표!K25</f>
        <v>28139141.572999999</v>
      </c>
      <c r="H27" s="195">
        <f t="shared" ref="H27:H30" si="14">G27-F27</f>
        <v>5038702.5729999989</v>
      </c>
      <c r="I27" s="195">
        <v>0</v>
      </c>
      <c r="J27" s="196">
        <f>공종별집계표!O25</f>
        <v>143120.25</v>
      </c>
      <c r="K27" s="195">
        <f>J27-I27</f>
        <v>143120.25</v>
      </c>
      <c r="L27" s="195">
        <f>C27+F27+I27</f>
        <v>25068719</v>
      </c>
      <c r="M27" s="197">
        <f>J27+G27+D27</f>
        <v>29857549.783</v>
      </c>
      <c r="N27" s="211">
        <f t="shared" si="11"/>
        <v>4788830.7829999998</v>
      </c>
      <c r="O27" s="198" t="s">
        <v>51</v>
      </c>
    </row>
    <row r="28" spans="1:15" ht="26.25" customHeight="1">
      <c r="A28" s="194" t="s">
        <v>605</v>
      </c>
      <c r="B28" s="213" t="e">
        <f>공종별집계표!#REF!</f>
        <v>#REF!</v>
      </c>
      <c r="C28" s="195">
        <v>54345</v>
      </c>
      <c r="D28" s="196" t="e">
        <f>공종별집계표!#REF!</f>
        <v>#REF!</v>
      </c>
      <c r="E28" s="195" t="e">
        <f t="shared" si="13"/>
        <v>#REF!</v>
      </c>
      <c r="F28" s="195">
        <v>25080139</v>
      </c>
      <c r="G28" s="196" t="e">
        <f>공종별집계표!#REF!</f>
        <v>#REF!</v>
      </c>
      <c r="H28" s="195" t="e">
        <f t="shared" si="14"/>
        <v>#REF!</v>
      </c>
      <c r="I28" s="195">
        <v>0</v>
      </c>
      <c r="J28" s="196" t="e">
        <f>공종별집계표!#REF!</f>
        <v>#REF!</v>
      </c>
      <c r="K28" s="195" t="e">
        <f>J28-I28</f>
        <v>#REF!</v>
      </c>
      <c r="L28" s="195">
        <f>C28+F28+I28</f>
        <v>25134484</v>
      </c>
      <c r="M28" s="197" t="e">
        <f>J28+G28+D28</f>
        <v>#REF!</v>
      </c>
      <c r="N28" s="195" t="e">
        <f t="shared" si="11"/>
        <v>#REF!</v>
      </c>
      <c r="O28" s="198" t="s">
        <v>51</v>
      </c>
    </row>
    <row r="29" spans="1:15" ht="26.25" customHeight="1">
      <c r="A29" s="194" t="s">
        <v>612</v>
      </c>
      <c r="B29" s="213" t="e">
        <f>공종별집계표!#REF!</f>
        <v>#REF!</v>
      </c>
      <c r="C29" s="195">
        <v>1787469</v>
      </c>
      <c r="D29" s="196" t="e">
        <f>공종별집계표!#REF!</f>
        <v>#REF!</v>
      </c>
      <c r="E29" s="195" t="e">
        <f t="shared" si="13"/>
        <v>#REF!</v>
      </c>
      <c r="F29" s="195">
        <v>78856720</v>
      </c>
      <c r="G29" s="196" t="e">
        <f>공종별집계표!#REF!</f>
        <v>#REF!</v>
      </c>
      <c r="H29" s="195" t="e">
        <f t="shared" si="14"/>
        <v>#REF!</v>
      </c>
      <c r="I29" s="195">
        <v>22615</v>
      </c>
      <c r="J29" s="196" t="e">
        <f>공종별집계표!#REF!</f>
        <v>#REF!</v>
      </c>
      <c r="K29" s="195" t="e">
        <f>J29-I29</f>
        <v>#REF!</v>
      </c>
      <c r="L29" s="195">
        <f>C29+F29+I29</f>
        <v>80666804</v>
      </c>
      <c r="M29" s="197" t="e">
        <f>J29+G29+D29</f>
        <v>#REF!</v>
      </c>
      <c r="N29" s="195" t="e">
        <f t="shared" si="11"/>
        <v>#REF!</v>
      </c>
      <c r="O29" s="198" t="s">
        <v>51</v>
      </c>
    </row>
    <row r="30" spans="1:15" ht="26.25" customHeight="1">
      <c r="A30" s="194" t="s">
        <v>623</v>
      </c>
      <c r="B30" s="213" t="e">
        <f>공종별집계표!#REF!</f>
        <v>#REF!</v>
      </c>
      <c r="C30" s="195">
        <v>559302</v>
      </c>
      <c r="D30" s="196" t="e">
        <f>공종별집계표!#REF!</f>
        <v>#REF!</v>
      </c>
      <c r="E30" s="195" t="e">
        <f t="shared" si="13"/>
        <v>#REF!</v>
      </c>
      <c r="F30" s="195">
        <v>14585326</v>
      </c>
      <c r="G30" s="196" t="e">
        <f>공종별집계표!#REF!</f>
        <v>#REF!</v>
      </c>
      <c r="H30" s="195" t="e">
        <f t="shared" si="14"/>
        <v>#REF!</v>
      </c>
      <c r="I30" s="195">
        <v>0</v>
      </c>
      <c r="J30" s="196" t="e">
        <f>공종별집계표!#REF!</f>
        <v>#REF!</v>
      </c>
      <c r="K30" s="195" t="e">
        <f>J30-I30</f>
        <v>#REF!</v>
      </c>
      <c r="L30" s="195">
        <f>C30+F30+I30</f>
        <v>15144628</v>
      </c>
      <c r="M30" s="197" t="e">
        <f>J30+G30+D30</f>
        <v>#REF!</v>
      </c>
      <c r="N30" s="195" t="e">
        <f t="shared" si="11"/>
        <v>#REF!</v>
      </c>
      <c r="O30" s="198" t="s">
        <v>51</v>
      </c>
    </row>
    <row r="31" spans="1:15" ht="26.25" customHeight="1">
      <c r="A31" s="1485" t="s">
        <v>3778</v>
      </c>
      <c r="B31" s="213" t="str">
        <f>공종별집계표!A26</f>
        <v>010202  천 정 공 사(전실)</v>
      </c>
      <c r="C31" s="1482">
        <v>3124638</v>
      </c>
      <c r="D31" s="196">
        <f>공종별집계표!G26</f>
        <v>361054.2</v>
      </c>
      <c r="E31" s="1482">
        <f>(D31+D32+D33+D34+D35)-C31</f>
        <v>920558.58000000007</v>
      </c>
      <c r="F31" s="1482">
        <v>29058282</v>
      </c>
      <c r="G31" s="196">
        <f>공종별집계표!K26</f>
        <v>821246.4</v>
      </c>
      <c r="H31" s="1482">
        <f>(G31+G32+G33+G34+G35)-F31</f>
        <v>-21700723.869999997</v>
      </c>
      <c r="I31" s="1482">
        <v>0</v>
      </c>
      <c r="J31" s="196">
        <f>공종별집계표!O26</f>
        <v>2902.8</v>
      </c>
      <c r="K31" s="1482">
        <f>(J31+J32+J33+J34+J35)-I31</f>
        <v>367262.8</v>
      </c>
      <c r="L31" s="1482">
        <f>C31+F31+I31</f>
        <v>32182920</v>
      </c>
      <c r="M31" s="1488">
        <f>D31+D32+D33+D34+D35+G31+G32+G33+G34+G35+J31+J32+J33+J34+J35</f>
        <v>11770017.51</v>
      </c>
      <c r="N31" s="1482">
        <f>M31-L31</f>
        <v>-20412902.490000002</v>
      </c>
      <c r="O31" s="198" t="s">
        <v>51</v>
      </c>
    </row>
    <row r="32" spans="1:15" ht="26.25" customHeight="1">
      <c r="A32" s="1486"/>
      <c r="B32" s="213" t="str">
        <f>공종별집계표!A29</f>
        <v>010205  천 정 공 사(상설전시실)</v>
      </c>
      <c r="C32" s="1483"/>
      <c r="D32" s="196">
        <f>공종별집계표!G29</f>
        <v>2095577.34</v>
      </c>
      <c r="E32" s="1483"/>
      <c r="F32" s="1483"/>
      <c r="G32" s="196">
        <f>공종별집계표!K29</f>
        <v>4650811.29</v>
      </c>
      <c r="H32" s="1483"/>
      <c r="I32" s="1483"/>
      <c r="J32" s="196">
        <f>공종별집계표!O29</f>
        <v>348311</v>
      </c>
      <c r="K32" s="1483"/>
      <c r="L32" s="1483"/>
      <c r="M32" s="1489"/>
      <c r="N32" s="1483"/>
      <c r="O32" s="198"/>
    </row>
    <row r="33" spans="1:15" ht="26.25" customHeight="1">
      <c r="A33" s="1486"/>
      <c r="B33" s="213" t="str">
        <f>공종별집계표!A32</f>
        <v>010208  천 정 공 사(내림경사로)</v>
      </c>
      <c r="C33" s="1483"/>
      <c r="D33" s="196">
        <f>공종별집계표!G32</f>
        <v>1492000</v>
      </c>
      <c r="E33" s="1483"/>
      <c r="F33" s="1483"/>
      <c r="G33" s="196">
        <f>공종별집계표!K32</f>
        <v>1671189.2</v>
      </c>
      <c r="H33" s="1483"/>
      <c r="I33" s="1483"/>
      <c r="J33" s="196">
        <f>공종별집계표!O32</f>
        <v>0</v>
      </c>
      <c r="K33" s="1483"/>
      <c r="L33" s="1483"/>
      <c r="M33" s="1489"/>
      <c r="N33" s="1483"/>
      <c r="O33" s="198"/>
    </row>
    <row r="34" spans="1:15" ht="26.25" customHeight="1">
      <c r="A34" s="1486"/>
      <c r="B34" s="213" t="str">
        <f>공종별집계표!A34</f>
        <v>010210  천 정 공 사(부속실)</v>
      </c>
      <c r="C34" s="1483"/>
      <c r="D34" s="196">
        <f>공종별집계표!G34</f>
        <v>27003.86</v>
      </c>
      <c r="E34" s="1483"/>
      <c r="F34" s="1483"/>
      <c r="G34" s="196">
        <f>공종별집계표!K34</f>
        <v>59930.909999999996</v>
      </c>
      <c r="H34" s="1483"/>
      <c r="I34" s="1483"/>
      <c r="J34" s="196">
        <f>공종별집계표!O34</f>
        <v>4488</v>
      </c>
      <c r="K34" s="1483"/>
      <c r="L34" s="1483"/>
      <c r="M34" s="1489"/>
      <c r="N34" s="1483"/>
      <c r="O34" s="198"/>
    </row>
    <row r="35" spans="1:15" ht="26.25" customHeight="1">
      <c r="A35" s="1487"/>
      <c r="B35" s="213" t="str">
        <f>공종별집계표!A37</f>
        <v>010213  천 정 공 사(휴게홀/창고4)</v>
      </c>
      <c r="C35" s="1484"/>
      <c r="D35" s="196">
        <f>공종별집계표!G37</f>
        <v>69561.180000000008</v>
      </c>
      <c r="E35" s="1484"/>
      <c r="F35" s="1484"/>
      <c r="G35" s="196">
        <f>공종별집계표!K37</f>
        <v>154380.33000000002</v>
      </c>
      <c r="H35" s="1484"/>
      <c r="I35" s="1484"/>
      <c r="J35" s="196">
        <f>공종별집계표!O37</f>
        <v>11561</v>
      </c>
      <c r="K35" s="1484"/>
      <c r="L35" s="1484"/>
      <c r="M35" s="1490"/>
      <c r="N35" s="1484"/>
      <c r="O35" s="198"/>
    </row>
    <row r="36" spans="1:15" ht="26.25" customHeight="1">
      <c r="A36" s="1485" t="s">
        <v>3779</v>
      </c>
      <c r="B36" s="213" t="str">
        <f>공종별집계표!A27</f>
        <v>010203  벽 체 공 사(전실)</v>
      </c>
      <c r="C36" s="1482">
        <v>45099278</v>
      </c>
      <c r="D36" s="196">
        <f>공종별집계표!G27</f>
        <v>1186879.18</v>
      </c>
      <c r="E36" s="1491">
        <f>(D36+D37+D38+D39+D40)-C36</f>
        <v>32104712.487120003</v>
      </c>
      <c r="F36" s="1482">
        <v>123007659</v>
      </c>
      <c r="G36" s="196">
        <f>공종별집계표!K27</f>
        <v>3058971.56</v>
      </c>
      <c r="H36" s="1491">
        <f>(G36+G37+G38+G39+G40)-F36</f>
        <v>67185434.37687999</v>
      </c>
      <c r="I36" s="1482">
        <v>138360</v>
      </c>
      <c r="J36" s="196">
        <f>공종별집계표!O27</f>
        <v>0</v>
      </c>
      <c r="K36" s="1482">
        <f>(J36+J37+J38+J39+J40)-I36</f>
        <v>301037.85800000001</v>
      </c>
      <c r="L36" s="1482">
        <f>C36+F36+I36</f>
        <v>168245297</v>
      </c>
      <c r="M36" s="1488">
        <f>D36+D37+D38+D39+D40+G36+G37+G38+G39+G40+J36+J37+J38+J39+J40</f>
        <v>267836481.722</v>
      </c>
      <c r="N36" s="1491">
        <f>M36-L36</f>
        <v>99591184.722000003</v>
      </c>
      <c r="O36" s="198" t="s">
        <v>51</v>
      </c>
    </row>
    <row r="37" spans="1:15" ht="26.25" customHeight="1">
      <c r="A37" s="1486"/>
      <c r="B37" s="213" t="str">
        <f>공종별집계표!A30</f>
        <v>010206  벽 체 공 사(상설전시실)</v>
      </c>
      <c r="C37" s="1483"/>
      <c r="D37" s="196">
        <f>공종별집계표!G30</f>
        <v>44151621.857120007</v>
      </c>
      <c r="E37" s="1492"/>
      <c r="F37" s="1483"/>
      <c r="G37" s="196">
        <f>공종별집계표!K30</f>
        <v>107834492.93688002</v>
      </c>
      <c r="H37" s="1492"/>
      <c r="I37" s="1483"/>
      <c r="J37" s="196">
        <f>공종별집계표!O30</f>
        <v>228805.60800000004</v>
      </c>
      <c r="K37" s="1483"/>
      <c r="L37" s="1483"/>
      <c r="M37" s="1489"/>
      <c r="N37" s="1492"/>
      <c r="O37" s="198"/>
    </row>
    <row r="38" spans="1:15" ht="26.25" customHeight="1">
      <c r="A38" s="1486"/>
      <c r="B38" s="213" t="str">
        <f>공종별집계표!A33</f>
        <v>010209  벽 체 공 사(내림경사로)</v>
      </c>
      <c r="C38" s="1483"/>
      <c r="D38" s="196">
        <f>공종별집계표!G33</f>
        <v>22872635.929999996</v>
      </c>
      <c r="E38" s="1492"/>
      <c r="F38" s="1483"/>
      <c r="G38" s="196">
        <f>공종별집계표!K33</f>
        <v>56404210.369999982</v>
      </c>
      <c r="H38" s="1492"/>
      <c r="I38" s="1483"/>
      <c r="J38" s="196">
        <f>공종별집계표!O33</f>
        <v>146295.49999999997</v>
      </c>
      <c r="K38" s="1483"/>
      <c r="L38" s="1483"/>
      <c r="M38" s="1489"/>
      <c r="N38" s="1492"/>
      <c r="O38" s="198"/>
    </row>
    <row r="39" spans="1:15" ht="26.25" customHeight="1">
      <c r="A39" s="1486"/>
      <c r="B39" s="213" t="str">
        <f>공종별집계표!A35</f>
        <v>010211  벽 체 공 사(부속실)</v>
      </c>
      <c r="C39" s="1483"/>
      <c r="D39" s="196">
        <f>공종별집계표!G35</f>
        <v>3819452.36</v>
      </c>
      <c r="E39" s="1492"/>
      <c r="F39" s="1483"/>
      <c r="G39" s="196">
        <f>공종별집계표!K35</f>
        <v>9342806.4700000007</v>
      </c>
      <c r="H39" s="1492"/>
      <c r="I39" s="1483"/>
      <c r="J39" s="196">
        <f>공종별집계표!O35</f>
        <v>0</v>
      </c>
      <c r="K39" s="1483"/>
      <c r="L39" s="1483"/>
      <c r="M39" s="1489"/>
      <c r="N39" s="1492"/>
      <c r="O39" s="198"/>
    </row>
    <row r="40" spans="1:15" ht="26.25" customHeight="1">
      <c r="A40" s="1487"/>
      <c r="B40" s="213" t="str">
        <f>공종별집계표!A38</f>
        <v>010214  벽 체 공 사(휴게홀/창고4)</v>
      </c>
      <c r="C40" s="1484"/>
      <c r="D40" s="196">
        <f>공종별집계표!G38</f>
        <v>5173401.16</v>
      </c>
      <c r="E40" s="1493"/>
      <c r="F40" s="1484"/>
      <c r="G40" s="196">
        <f>공종별집계표!K38</f>
        <v>13552612.039999999</v>
      </c>
      <c r="H40" s="1493"/>
      <c r="I40" s="1484"/>
      <c r="J40" s="196">
        <f>공종별집계표!O38</f>
        <v>64296.750000000007</v>
      </c>
      <c r="K40" s="1484"/>
      <c r="L40" s="1484"/>
      <c r="M40" s="1490"/>
      <c r="N40" s="1493"/>
      <c r="O40" s="198"/>
    </row>
    <row r="41" spans="1:15" ht="26.25" customHeight="1">
      <c r="A41" s="1485" t="s">
        <v>3780</v>
      </c>
      <c r="B41" s="213" t="str">
        <f>공종별집계표!A28</f>
        <v>010204  바 닥 공 사(전실)</v>
      </c>
      <c r="C41" s="1482">
        <v>124019406</v>
      </c>
      <c r="D41" s="196">
        <f>공종별집계표!G28</f>
        <v>1834343.4</v>
      </c>
      <c r="E41" s="1482">
        <f>(D41+D42+D43+D44)-C41</f>
        <v>-12792442.099999994</v>
      </c>
      <c r="F41" s="1482">
        <v>61194891</v>
      </c>
      <c r="G41" s="196">
        <f>공종별집계표!K28</f>
        <v>1344772.2000000002</v>
      </c>
      <c r="H41" s="1482">
        <f>(G41+G42+G43+G44)-F41</f>
        <v>12195448.300000012</v>
      </c>
      <c r="I41" s="1482">
        <v>3627</v>
      </c>
      <c r="J41" s="196">
        <f>공종별집계표!O28</f>
        <v>2634</v>
      </c>
      <c r="K41" s="1482">
        <f>(J41+J42+J43+J44)-I41</f>
        <v>-993</v>
      </c>
      <c r="L41" s="1482">
        <f>C41+F41+I41</f>
        <v>185217924</v>
      </c>
      <c r="M41" s="1488">
        <f>D41+D42+D43+D44+G41+G42+G43+G44+J41+J42+J43+J44</f>
        <v>184619937.20000002</v>
      </c>
      <c r="N41" s="1482">
        <f>M41-L41</f>
        <v>-597986.79999998212</v>
      </c>
      <c r="O41" s="198" t="s">
        <v>51</v>
      </c>
    </row>
    <row r="42" spans="1:15" ht="26.25" customHeight="1">
      <c r="A42" s="1486"/>
      <c r="B42" s="213" t="str">
        <f>공종별집계표!A31</f>
        <v>010207  바 닥 공 사(상설전시실)</v>
      </c>
      <c r="C42" s="1483"/>
      <c r="D42" s="196">
        <f>공종별집계표!G31</f>
        <v>102063263.40000001</v>
      </c>
      <c r="E42" s="1483"/>
      <c r="F42" s="1483"/>
      <c r="G42" s="196">
        <f>공종별집계표!K31</f>
        <v>67130170.100000009</v>
      </c>
      <c r="H42" s="1483"/>
      <c r="I42" s="1483"/>
      <c r="J42" s="196">
        <f>공종별집계표!O31</f>
        <v>0</v>
      </c>
      <c r="K42" s="1483"/>
      <c r="L42" s="1483"/>
      <c r="M42" s="1489"/>
      <c r="N42" s="1483"/>
      <c r="O42" s="198"/>
    </row>
    <row r="43" spans="1:15" ht="26.25" customHeight="1">
      <c r="A43" s="1486"/>
      <c r="B43" s="213" t="str">
        <f>공종별집계표!A36</f>
        <v>010212  바 닥 공 사(부속실)</v>
      </c>
      <c r="C43" s="1483"/>
      <c r="D43" s="196">
        <f>공종별집계표!G36</f>
        <v>2025148</v>
      </c>
      <c r="E43" s="1483"/>
      <c r="F43" s="1483"/>
      <c r="G43" s="196">
        <f>공종별집계표!K36</f>
        <v>1322430.7</v>
      </c>
      <c r="H43" s="1483"/>
      <c r="I43" s="1483"/>
      <c r="J43" s="196">
        <f>공종별집계표!O36</f>
        <v>0</v>
      </c>
      <c r="K43" s="1483"/>
      <c r="L43" s="1483"/>
      <c r="M43" s="1489"/>
      <c r="N43" s="1483"/>
      <c r="O43" s="198"/>
    </row>
    <row r="44" spans="1:15" ht="26.25" customHeight="1">
      <c r="A44" s="1487"/>
      <c r="B44" s="213" t="str">
        <f>공종별집계표!A39</f>
        <v>010215  바 닥 공 사(휴게홀/창고4)</v>
      </c>
      <c r="C44" s="1484"/>
      <c r="D44" s="196">
        <f>공종별집계표!G39</f>
        <v>5304209.0999999996</v>
      </c>
      <c r="E44" s="1484"/>
      <c r="F44" s="1484"/>
      <c r="G44" s="196">
        <f>공종별집계표!K39</f>
        <v>3592966.3000000003</v>
      </c>
      <c r="H44" s="1484"/>
      <c r="I44" s="1484"/>
      <c r="J44" s="196">
        <f>공종별집계표!O39</f>
        <v>0</v>
      </c>
      <c r="K44" s="1484"/>
      <c r="L44" s="1484"/>
      <c r="M44" s="1490"/>
      <c r="N44" s="1484"/>
      <c r="O44" s="198"/>
    </row>
    <row r="45" spans="1:15" ht="26.25" customHeight="1">
      <c r="A45" s="194" t="s">
        <v>3781</v>
      </c>
      <c r="B45" s="213" t="str">
        <f>공종별집계표!A40</f>
        <v>010216  창 호 공 사</v>
      </c>
      <c r="C45" s="195">
        <v>26267619</v>
      </c>
      <c r="D45" s="196">
        <f>공종별집계표!G40</f>
        <v>36846066.299999997</v>
      </c>
      <c r="E45" s="195">
        <f t="shared" ref="E45:E53" si="15">D45-C45</f>
        <v>10578447.299999997</v>
      </c>
      <c r="F45" s="195">
        <v>17056724</v>
      </c>
      <c r="G45" s="196">
        <f>공종별집계표!K40</f>
        <v>13966046.289999999</v>
      </c>
      <c r="H45" s="195">
        <f t="shared" ref="H45:H53" si="16">G45-F45</f>
        <v>-3090677.7100000009</v>
      </c>
      <c r="I45" s="195">
        <v>0</v>
      </c>
      <c r="J45" s="196">
        <f>공종별집계표!O40</f>
        <v>85025.684000000023</v>
      </c>
      <c r="K45" s="195">
        <f t="shared" ref="K45:K53" si="17">J45-I45</f>
        <v>85025.684000000023</v>
      </c>
      <c r="L45" s="195">
        <f t="shared" ref="L45:L53" si="18">C45+F45+I45</f>
        <v>43324343</v>
      </c>
      <c r="M45" s="197">
        <f t="shared" ref="M45:M53" si="19">D45+G45+J45</f>
        <v>50897138.273999996</v>
      </c>
      <c r="N45" s="195">
        <f>M45-L45</f>
        <v>7572795.2739999965</v>
      </c>
      <c r="O45" s="198" t="s">
        <v>51</v>
      </c>
    </row>
    <row r="46" spans="1:15" ht="26.25" customHeight="1">
      <c r="A46" s="194" t="s">
        <v>3782</v>
      </c>
      <c r="B46" s="213" t="e">
        <f>공종별집계표!#REF!</f>
        <v>#REF!</v>
      </c>
      <c r="C46" s="195">
        <v>3087550</v>
      </c>
      <c r="D46" s="196" t="e">
        <f>공종별집계표!#REF!</f>
        <v>#REF!</v>
      </c>
      <c r="E46" s="195" t="e">
        <f t="shared" si="15"/>
        <v>#REF!</v>
      </c>
      <c r="F46" s="195">
        <v>0</v>
      </c>
      <c r="G46" s="196" t="e">
        <f>공종별집계표!#REF!</f>
        <v>#REF!</v>
      </c>
      <c r="H46" s="195" t="e">
        <f t="shared" si="16"/>
        <v>#REF!</v>
      </c>
      <c r="I46" s="195">
        <v>0</v>
      </c>
      <c r="J46" s="196" t="e">
        <f>공종별집계표!#REF!</f>
        <v>#REF!</v>
      </c>
      <c r="K46" s="195" t="e">
        <f t="shared" si="17"/>
        <v>#REF!</v>
      </c>
      <c r="L46" s="195">
        <f t="shared" si="18"/>
        <v>3087550</v>
      </c>
      <c r="M46" s="197" t="e">
        <f t="shared" si="19"/>
        <v>#REF!</v>
      </c>
      <c r="N46" s="211" t="e">
        <f t="shared" ref="N46:N54" si="20">M46-L46</f>
        <v>#REF!</v>
      </c>
      <c r="O46" s="198" t="s">
        <v>51</v>
      </c>
    </row>
    <row r="47" spans="1:15" ht="26.25" customHeight="1">
      <c r="A47" s="194" t="s">
        <v>3783</v>
      </c>
      <c r="B47" s="213" t="e">
        <f>공종별집계표!#REF!</f>
        <v>#REF!</v>
      </c>
      <c r="C47" s="195">
        <v>50445268</v>
      </c>
      <c r="D47" s="196" t="e">
        <f>공종별집계표!#REF!</f>
        <v>#REF!</v>
      </c>
      <c r="E47" s="195" t="e">
        <f t="shared" si="15"/>
        <v>#REF!</v>
      </c>
      <c r="F47" s="195">
        <v>15149682</v>
      </c>
      <c r="G47" s="196" t="e">
        <f>공종별집계표!#REF!</f>
        <v>#REF!</v>
      </c>
      <c r="H47" s="195" t="e">
        <f t="shared" si="16"/>
        <v>#REF!</v>
      </c>
      <c r="I47" s="195">
        <v>0</v>
      </c>
      <c r="J47" s="196" t="e">
        <f>공종별집계표!#REF!</f>
        <v>#REF!</v>
      </c>
      <c r="K47" s="195" t="e">
        <f t="shared" si="17"/>
        <v>#REF!</v>
      </c>
      <c r="L47" s="195">
        <f t="shared" si="18"/>
        <v>65594950</v>
      </c>
      <c r="M47" s="197" t="e">
        <f t="shared" si="19"/>
        <v>#REF!</v>
      </c>
      <c r="N47" s="211" t="e">
        <f t="shared" si="20"/>
        <v>#REF!</v>
      </c>
      <c r="O47" s="198" t="s">
        <v>51</v>
      </c>
    </row>
    <row r="48" spans="1:15" ht="26.25" customHeight="1">
      <c r="A48" s="194" t="s">
        <v>3784</v>
      </c>
      <c r="B48" s="213" t="e">
        <f>공종별집계표!#REF!</f>
        <v>#REF!</v>
      </c>
      <c r="C48" s="195">
        <v>12080000</v>
      </c>
      <c r="D48" s="196" t="e">
        <f>공종별집계표!#REF!</f>
        <v>#REF!</v>
      </c>
      <c r="E48" s="195" t="e">
        <f t="shared" si="15"/>
        <v>#REF!</v>
      </c>
      <c r="F48" s="195">
        <v>0</v>
      </c>
      <c r="G48" s="196" t="e">
        <f>공종별집계표!#REF!</f>
        <v>#REF!</v>
      </c>
      <c r="H48" s="195" t="e">
        <f t="shared" si="16"/>
        <v>#REF!</v>
      </c>
      <c r="I48" s="195">
        <v>0</v>
      </c>
      <c r="J48" s="196" t="e">
        <f>공종별집계표!#REF!</f>
        <v>#REF!</v>
      </c>
      <c r="K48" s="195" t="e">
        <f t="shared" si="17"/>
        <v>#REF!</v>
      </c>
      <c r="L48" s="195">
        <f t="shared" si="18"/>
        <v>12080000</v>
      </c>
      <c r="M48" s="197" t="e">
        <f t="shared" si="19"/>
        <v>#REF!</v>
      </c>
      <c r="N48" s="195" t="e">
        <f t="shared" si="20"/>
        <v>#REF!</v>
      </c>
      <c r="O48" s="198" t="s">
        <v>51</v>
      </c>
    </row>
    <row r="49" spans="1:15" s="186" customFormat="1" ht="26.25" customHeight="1">
      <c r="A49" s="199" t="s">
        <v>3865</v>
      </c>
      <c r="B49" s="188" t="str">
        <f>공종별집계표!A53</f>
        <v>030101  공 조 덕 트 설 치 공 사</v>
      </c>
      <c r="C49" s="200">
        <v>32142909</v>
      </c>
      <c r="D49" s="196">
        <f>공종별집계표!G53</f>
        <v>29800793</v>
      </c>
      <c r="E49" s="195">
        <f t="shared" si="15"/>
        <v>-2342116</v>
      </c>
      <c r="F49" s="200">
        <v>97154955</v>
      </c>
      <c r="G49" s="201">
        <f>공종별집계표!K53</f>
        <v>82655737</v>
      </c>
      <c r="H49" s="189">
        <f t="shared" si="16"/>
        <v>-14499218</v>
      </c>
      <c r="I49" s="200">
        <v>0</v>
      </c>
      <c r="J49" s="201">
        <f>공종별집계표!O53</f>
        <v>0</v>
      </c>
      <c r="K49" s="189">
        <f t="shared" si="17"/>
        <v>0</v>
      </c>
      <c r="L49" s="189">
        <f t="shared" si="18"/>
        <v>129297864</v>
      </c>
      <c r="M49" s="197">
        <f t="shared" si="19"/>
        <v>112456530</v>
      </c>
      <c r="N49" s="195">
        <f t="shared" si="20"/>
        <v>-16841334</v>
      </c>
      <c r="O49" s="200"/>
    </row>
    <row r="50" spans="1:15" s="186" customFormat="1" ht="26.25" customHeight="1">
      <c r="A50" s="246" t="s">
        <v>4460</v>
      </c>
      <c r="B50" s="188" t="s">
        <v>4460</v>
      </c>
      <c r="C50" s="200"/>
      <c r="D50" s="196">
        <f>공종별집계표!H54</f>
        <v>0</v>
      </c>
      <c r="E50" s="195">
        <f t="shared" si="15"/>
        <v>0</v>
      </c>
      <c r="F50" s="200"/>
      <c r="G50" s="201">
        <f>공종별집계표!L54</f>
        <v>0</v>
      </c>
      <c r="H50" s="189">
        <f t="shared" si="16"/>
        <v>0</v>
      </c>
      <c r="I50" s="200">
        <v>0</v>
      </c>
      <c r="J50" s="201"/>
      <c r="K50" s="189">
        <f t="shared" si="17"/>
        <v>0</v>
      </c>
      <c r="L50" s="189">
        <f t="shared" ref="L50" si="21">C50+F50+I50</f>
        <v>0</v>
      </c>
      <c r="M50" s="197">
        <f t="shared" ref="M50" si="22">D50+G50+J50</f>
        <v>0</v>
      </c>
      <c r="N50" s="195">
        <f t="shared" ref="N50" si="23">M50-L50</f>
        <v>0</v>
      </c>
      <c r="O50" s="200"/>
    </row>
    <row r="51" spans="1:15" s="186" customFormat="1" ht="26.25" customHeight="1">
      <c r="A51" s="246" t="s">
        <v>3866</v>
      </c>
      <c r="B51" s="188" t="e">
        <f>공종별집계표!#REF!</f>
        <v>#REF!</v>
      </c>
      <c r="C51" s="200">
        <v>13263540</v>
      </c>
      <c r="D51" s="196" t="e">
        <f>공종별집계표!#REF!</f>
        <v>#REF!</v>
      </c>
      <c r="E51" s="195" t="e">
        <f t="shared" si="15"/>
        <v>#REF!</v>
      </c>
      <c r="F51" s="200">
        <v>53212100</v>
      </c>
      <c r="G51" s="201" t="e">
        <f>공종별집계표!#REF!</f>
        <v>#REF!</v>
      </c>
      <c r="H51" s="189" t="e">
        <f t="shared" si="16"/>
        <v>#REF!</v>
      </c>
      <c r="I51" s="200">
        <v>0</v>
      </c>
      <c r="J51" s="201" t="e">
        <f>공종별집계표!#REF!</f>
        <v>#REF!</v>
      </c>
      <c r="K51" s="189" t="e">
        <f t="shared" si="17"/>
        <v>#REF!</v>
      </c>
      <c r="L51" s="189">
        <f t="shared" si="18"/>
        <v>66475640</v>
      </c>
      <c r="M51" s="197" t="e">
        <f t="shared" si="19"/>
        <v>#REF!</v>
      </c>
      <c r="N51" s="195" t="e">
        <f t="shared" si="20"/>
        <v>#REF!</v>
      </c>
      <c r="O51" s="200"/>
    </row>
    <row r="52" spans="1:15" s="186" customFormat="1" ht="26.25" customHeight="1">
      <c r="A52" s="247" t="s">
        <v>4461</v>
      </c>
      <c r="B52" s="188" t="str">
        <f>공종별집계표!A62</f>
        <v>5. 방 염 비</v>
      </c>
      <c r="C52" s="202">
        <v>522543</v>
      </c>
      <c r="D52" s="196">
        <f>공종별집계표!G62</f>
        <v>0</v>
      </c>
      <c r="E52" s="195">
        <f t="shared" si="15"/>
        <v>-522543</v>
      </c>
      <c r="F52" s="202">
        <v>24672693</v>
      </c>
      <c r="G52" s="201">
        <f>공종별집계표!K62</f>
        <v>0</v>
      </c>
      <c r="H52" s="189">
        <f t="shared" si="16"/>
        <v>-24672693</v>
      </c>
      <c r="I52" s="202">
        <v>0</v>
      </c>
      <c r="J52" s="201">
        <f>공종별집계표!O62</f>
        <v>6734130</v>
      </c>
      <c r="K52" s="189">
        <f t="shared" si="17"/>
        <v>6734130</v>
      </c>
      <c r="L52" s="189">
        <f t="shared" si="18"/>
        <v>25195236</v>
      </c>
      <c r="M52" s="197">
        <f t="shared" si="19"/>
        <v>6734130</v>
      </c>
      <c r="N52" s="195">
        <f t="shared" si="20"/>
        <v>-18461106</v>
      </c>
      <c r="O52" s="189"/>
    </row>
    <row r="53" spans="1:15" s="186" customFormat="1" ht="26.25" customHeight="1">
      <c r="A53" s="247" t="s">
        <v>3867</v>
      </c>
      <c r="B53" s="188" t="str">
        <f>공종별집계표!A63</f>
        <v>0501 1층 방염비</v>
      </c>
      <c r="C53" s="202">
        <v>982366</v>
      </c>
      <c r="D53" s="196">
        <f>공종별집계표!G63</f>
        <v>0</v>
      </c>
      <c r="E53" s="195">
        <f t="shared" si="15"/>
        <v>-982366</v>
      </c>
      <c r="F53" s="202">
        <v>49118331</v>
      </c>
      <c r="G53" s="201">
        <f>공종별집계표!K63</f>
        <v>0</v>
      </c>
      <c r="H53" s="189">
        <f t="shared" si="16"/>
        <v>-49118331</v>
      </c>
      <c r="I53" s="202">
        <v>0</v>
      </c>
      <c r="J53" s="201">
        <f>공종별집계표!O63</f>
        <v>406275</v>
      </c>
      <c r="K53" s="189">
        <f t="shared" si="17"/>
        <v>406275</v>
      </c>
      <c r="L53" s="189">
        <f t="shared" si="18"/>
        <v>50100697</v>
      </c>
      <c r="M53" s="197">
        <f t="shared" si="19"/>
        <v>406275</v>
      </c>
      <c r="N53" s="195">
        <f t="shared" si="20"/>
        <v>-49694422</v>
      </c>
      <c r="O53" s="189"/>
    </row>
    <row r="54" spans="1:15" ht="26.25" customHeight="1">
      <c r="A54" s="194"/>
      <c r="B54" s="188"/>
      <c r="C54" s="195"/>
      <c r="D54" s="197"/>
      <c r="E54" s="195"/>
      <c r="F54" s="195"/>
      <c r="G54" s="197"/>
      <c r="H54" s="195"/>
      <c r="I54" s="195"/>
      <c r="J54" s="197"/>
      <c r="K54" s="195"/>
      <c r="L54" s="195"/>
      <c r="M54" s="197"/>
      <c r="N54" s="195">
        <f t="shared" si="20"/>
        <v>0</v>
      </c>
      <c r="O54" s="195"/>
    </row>
    <row r="55" spans="1:15" ht="26.25" customHeight="1">
      <c r="D55" s="185"/>
      <c r="G55" s="185"/>
      <c r="J55" s="185"/>
      <c r="M55" s="185"/>
    </row>
    <row r="56" spans="1:15" ht="26.25" customHeight="1">
      <c r="D56" s="185"/>
      <c r="G56" s="185"/>
      <c r="J56" s="185"/>
      <c r="M56" s="185"/>
    </row>
    <row r="57" spans="1:15" ht="26.25" customHeight="1">
      <c r="D57" s="185"/>
      <c r="G57" s="185"/>
      <c r="J57" s="185"/>
      <c r="M57" s="185"/>
    </row>
    <row r="58" spans="1:15" ht="26.25" customHeight="1">
      <c r="D58" s="185"/>
      <c r="G58" s="185"/>
      <c r="J58" s="185"/>
      <c r="M58" s="185"/>
    </row>
    <row r="59" spans="1:15" ht="26.25" customHeight="1">
      <c r="D59" s="185"/>
      <c r="G59" s="185"/>
      <c r="J59" s="185"/>
      <c r="M59" s="185"/>
    </row>
    <row r="60" spans="1:15" ht="26.25" customHeight="1">
      <c r="D60" s="185"/>
      <c r="G60" s="185"/>
      <c r="J60" s="185"/>
      <c r="M60" s="185"/>
    </row>
    <row r="61" spans="1:15" ht="26.25" customHeight="1">
      <c r="D61" s="185"/>
      <c r="G61" s="185"/>
      <c r="J61" s="185"/>
      <c r="M61" s="185"/>
    </row>
    <row r="62" spans="1:15" ht="26.25" customHeight="1">
      <c r="D62" s="185"/>
      <c r="G62" s="185"/>
      <c r="J62" s="185"/>
      <c r="M62" s="185"/>
    </row>
    <row r="63" spans="1:15" ht="26.25" customHeight="1">
      <c r="D63" s="185"/>
      <c r="G63" s="185"/>
      <c r="J63" s="185"/>
      <c r="M63" s="185"/>
    </row>
  </sheetData>
  <mergeCells count="69">
    <mergeCell ref="A2:B2"/>
    <mergeCell ref="K41:K44"/>
    <mergeCell ref="I41:I44"/>
    <mergeCell ref="E31:E35"/>
    <mergeCell ref="H31:H35"/>
    <mergeCell ref="K17:K20"/>
    <mergeCell ref="K31:K35"/>
    <mergeCell ref="E36:E40"/>
    <mergeCell ref="H36:H40"/>
    <mergeCell ref="K36:K40"/>
    <mergeCell ref="F17:F20"/>
    <mergeCell ref="I17:I20"/>
    <mergeCell ref="F41:F44"/>
    <mergeCell ref="F31:F35"/>
    <mergeCell ref="E41:E44"/>
    <mergeCell ref="H41:H44"/>
    <mergeCell ref="F36:F40"/>
    <mergeCell ref="I36:I40"/>
    <mergeCell ref="I31:I35"/>
    <mergeCell ref="L13:L16"/>
    <mergeCell ref="M13:M16"/>
    <mergeCell ref="I13:I16"/>
    <mergeCell ref="H17:H20"/>
    <mergeCell ref="H13:H16"/>
    <mergeCell ref="K13:K16"/>
    <mergeCell ref="O2:O3"/>
    <mergeCell ref="C10:C12"/>
    <mergeCell ref="E10:E12"/>
    <mergeCell ref="F10:F12"/>
    <mergeCell ref="H10:H12"/>
    <mergeCell ref="M10:M12"/>
    <mergeCell ref="L10:L12"/>
    <mergeCell ref="K10:K12"/>
    <mergeCell ref="N10:N12"/>
    <mergeCell ref="I10:I12"/>
    <mergeCell ref="F2:H2"/>
    <mergeCell ref="I2:K2"/>
    <mergeCell ref="C2:E2"/>
    <mergeCell ref="L2:N2"/>
    <mergeCell ref="N13:N16"/>
    <mergeCell ref="L17:L20"/>
    <mergeCell ref="N17:N20"/>
    <mergeCell ref="M17:M20"/>
    <mergeCell ref="L41:L44"/>
    <mergeCell ref="M41:M44"/>
    <mergeCell ref="N41:N44"/>
    <mergeCell ref="L31:L35"/>
    <mergeCell ref="M31:M35"/>
    <mergeCell ref="N31:N35"/>
    <mergeCell ref="M36:M40"/>
    <mergeCell ref="L36:L40"/>
    <mergeCell ref="N36:N40"/>
    <mergeCell ref="A41:A44"/>
    <mergeCell ref="C17:C20"/>
    <mergeCell ref="C41:C44"/>
    <mergeCell ref="A17:A20"/>
    <mergeCell ref="A31:A35"/>
    <mergeCell ref="A36:A40"/>
    <mergeCell ref="C31:C35"/>
    <mergeCell ref="C36:C40"/>
    <mergeCell ref="A4:B4"/>
    <mergeCell ref="A5:B5"/>
    <mergeCell ref="A26:B26"/>
    <mergeCell ref="C13:C16"/>
    <mergeCell ref="F13:F16"/>
    <mergeCell ref="A10:A12"/>
    <mergeCell ref="A13:A16"/>
    <mergeCell ref="E13:E16"/>
    <mergeCell ref="E17:E20"/>
  </mergeCells>
  <phoneticPr fontId="1" type="noConversion"/>
  <pageMargins left="0.31496062992125984" right="0.31496062992125984" top="0.74803149606299213" bottom="0.74803149606299213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47"/>
  <sheetViews>
    <sheetView showZeros="0" tabSelected="1" zoomScale="50" zoomScaleNormal="50" zoomScaleSheetLayoutView="70" workbookViewId="0">
      <pane xSplit="3" ySplit="4" topLeftCell="D5" activePane="bottomRight" state="frozen"/>
      <selection activeCell="F8" sqref="F8"/>
      <selection pane="topRight" activeCell="F8" sqref="F8"/>
      <selection pane="bottomLeft" activeCell="F8" sqref="F8"/>
      <selection pane="bottomRight" sqref="A1:Q1"/>
    </sheetView>
  </sheetViews>
  <sheetFormatPr defaultColWidth="10.625" defaultRowHeight="22.5"/>
  <cols>
    <col min="1" max="1" width="8.625" style="327" customWidth="1"/>
    <col min="2" max="2" width="8.375" style="327" customWidth="1"/>
    <col min="3" max="3" width="42" style="327" bestFit="1" customWidth="1"/>
    <col min="4" max="15" width="27.625" style="380" customWidth="1"/>
    <col min="16" max="16" width="22.625" style="327" customWidth="1"/>
    <col min="17" max="17" width="36.625" style="327" customWidth="1"/>
    <col min="18" max="18" width="14.25" style="327" customWidth="1"/>
    <col min="19" max="19" width="16" style="326" customWidth="1"/>
    <col min="20" max="20" width="22.25" style="327" customWidth="1"/>
    <col min="21" max="21" width="27.875" style="327" bestFit="1" customWidth="1"/>
    <col min="22" max="253" width="10.625" style="327"/>
    <col min="254" max="254" width="8.625" style="327" customWidth="1"/>
    <col min="255" max="255" width="8.375" style="327" customWidth="1"/>
    <col min="256" max="256" width="42" style="327" bestFit="1" customWidth="1"/>
    <col min="257" max="271" width="20" style="327" customWidth="1"/>
    <col min="272" max="272" width="22.625" style="327" customWidth="1"/>
    <col min="273" max="273" width="36.625" style="327" customWidth="1"/>
    <col min="274" max="274" width="14.25" style="327" customWidth="1"/>
    <col min="275" max="275" width="16" style="327" customWidth="1"/>
    <col min="276" max="276" width="22.25" style="327" customWidth="1"/>
    <col min="277" max="277" width="14.5" style="327" bestFit="1" customWidth="1"/>
    <col min="278" max="509" width="10.625" style="327"/>
    <col min="510" max="510" width="8.625" style="327" customWidth="1"/>
    <col min="511" max="511" width="8.375" style="327" customWidth="1"/>
    <col min="512" max="512" width="42" style="327" bestFit="1" customWidth="1"/>
    <col min="513" max="527" width="20" style="327" customWidth="1"/>
    <col min="528" max="528" width="22.625" style="327" customWidth="1"/>
    <col min="529" max="529" width="36.625" style="327" customWidth="1"/>
    <col min="530" max="530" width="14.25" style="327" customWidth="1"/>
    <col min="531" max="531" width="16" style="327" customWidth="1"/>
    <col min="532" max="532" width="22.25" style="327" customWidth="1"/>
    <col min="533" max="533" width="14.5" style="327" bestFit="1" customWidth="1"/>
    <col min="534" max="765" width="10.625" style="327"/>
    <col min="766" max="766" width="8.625" style="327" customWidth="1"/>
    <col min="767" max="767" width="8.375" style="327" customWidth="1"/>
    <col min="768" max="768" width="42" style="327" bestFit="1" customWidth="1"/>
    <col min="769" max="783" width="20" style="327" customWidth="1"/>
    <col min="784" max="784" width="22.625" style="327" customWidth="1"/>
    <col min="785" max="785" width="36.625" style="327" customWidth="1"/>
    <col min="786" max="786" width="14.25" style="327" customWidth="1"/>
    <col min="787" max="787" width="16" style="327" customWidth="1"/>
    <col min="788" max="788" width="22.25" style="327" customWidth="1"/>
    <col min="789" max="789" width="14.5" style="327" bestFit="1" customWidth="1"/>
    <col min="790" max="1021" width="10.625" style="327"/>
    <col min="1022" max="1022" width="8.625" style="327" customWidth="1"/>
    <col min="1023" max="1023" width="8.375" style="327" customWidth="1"/>
    <col min="1024" max="1024" width="42" style="327" bestFit="1" customWidth="1"/>
    <col min="1025" max="1039" width="20" style="327" customWidth="1"/>
    <col min="1040" max="1040" width="22.625" style="327" customWidth="1"/>
    <col min="1041" max="1041" width="36.625" style="327" customWidth="1"/>
    <col min="1042" max="1042" width="14.25" style="327" customWidth="1"/>
    <col min="1043" max="1043" width="16" style="327" customWidth="1"/>
    <col min="1044" max="1044" width="22.25" style="327" customWidth="1"/>
    <col min="1045" max="1045" width="14.5" style="327" bestFit="1" customWidth="1"/>
    <col min="1046" max="1277" width="10.625" style="327"/>
    <col min="1278" max="1278" width="8.625" style="327" customWidth="1"/>
    <col min="1279" max="1279" width="8.375" style="327" customWidth="1"/>
    <col min="1280" max="1280" width="42" style="327" bestFit="1" customWidth="1"/>
    <col min="1281" max="1295" width="20" style="327" customWidth="1"/>
    <col min="1296" max="1296" width="22.625" style="327" customWidth="1"/>
    <col min="1297" max="1297" width="36.625" style="327" customWidth="1"/>
    <col min="1298" max="1298" width="14.25" style="327" customWidth="1"/>
    <col min="1299" max="1299" width="16" style="327" customWidth="1"/>
    <col min="1300" max="1300" width="22.25" style="327" customWidth="1"/>
    <col min="1301" max="1301" width="14.5" style="327" bestFit="1" customWidth="1"/>
    <col min="1302" max="1533" width="10.625" style="327"/>
    <col min="1534" max="1534" width="8.625" style="327" customWidth="1"/>
    <col min="1535" max="1535" width="8.375" style="327" customWidth="1"/>
    <col min="1536" max="1536" width="42" style="327" bestFit="1" customWidth="1"/>
    <col min="1537" max="1551" width="20" style="327" customWidth="1"/>
    <col min="1552" max="1552" width="22.625" style="327" customWidth="1"/>
    <col min="1553" max="1553" width="36.625" style="327" customWidth="1"/>
    <col min="1554" max="1554" width="14.25" style="327" customWidth="1"/>
    <col min="1555" max="1555" width="16" style="327" customWidth="1"/>
    <col min="1556" max="1556" width="22.25" style="327" customWidth="1"/>
    <col min="1557" max="1557" width="14.5" style="327" bestFit="1" customWidth="1"/>
    <col min="1558" max="1789" width="10.625" style="327"/>
    <col min="1790" max="1790" width="8.625" style="327" customWidth="1"/>
    <col min="1791" max="1791" width="8.375" style="327" customWidth="1"/>
    <col min="1792" max="1792" width="42" style="327" bestFit="1" customWidth="1"/>
    <col min="1793" max="1807" width="20" style="327" customWidth="1"/>
    <col min="1808" max="1808" width="22.625" style="327" customWidth="1"/>
    <col min="1809" max="1809" width="36.625" style="327" customWidth="1"/>
    <col min="1810" max="1810" width="14.25" style="327" customWidth="1"/>
    <col min="1811" max="1811" width="16" style="327" customWidth="1"/>
    <col min="1812" max="1812" width="22.25" style="327" customWidth="1"/>
    <col min="1813" max="1813" width="14.5" style="327" bestFit="1" customWidth="1"/>
    <col min="1814" max="2045" width="10.625" style="327"/>
    <col min="2046" max="2046" width="8.625" style="327" customWidth="1"/>
    <col min="2047" max="2047" width="8.375" style="327" customWidth="1"/>
    <col min="2048" max="2048" width="42" style="327" bestFit="1" customWidth="1"/>
    <col min="2049" max="2063" width="20" style="327" customWidth="1"/>
    <col min="2064" max="2064" width="22.625" style="327" customWidth="1"/>
    <col min="2065" max="2065" width="36.625" style="327" customWidth="1"/>
    <col min="2066" max="2066" width="14.25" style="327" customWidth="1"/>
    <col min="2067" max="2067" width="16" style="327" customWidth="1"/>
    <col min="2068" max="2068" width="22.25" style="327" customWidth="1"/>
    <col min="2069" max="2069" width="14.5" style="327" bestFit="1" customWidth="1"/>
    <col min="2070" max="2301" width="10.625" style="327"/>
    <col min="2302" max="2302" width="8.625" style="327" customWidth="1"/>
    <col min="2303" max="2303" width="8.375" style="327" customWidth="1"/>
    <col min="2304" max="2304" width="42" style="327" bestFit="1" customWidth="1"/>
    <col min="2305" max="2319" width="20" style="327" customWidth="1"/>
    <col min="2320" max="2320" width="22.625" style="327" customWidth="1"/>
    <col min="2321" max="2321" width="36.625" style="327" customWidth="1"/>
    <col min="2322" max="2322" width="14.25" style="327" customWidth="1"/>
    <col min="2323" max="2323" width="16" style="327" customWidth="1"/>
    <col min="2324" max="2324" width="22.25" style="327" customWidth="1"/>
    <col min="2325" max="2325" width="14.5" style="327" bestFit="1" customWidth="1"/>
    <col min="2326" max="2557" width="10.625" style="327"/>
    <col min="2558" max="2558" width="8.625" style="327" customWidth="1"/>
    <col min="2559" max="2559" width="8.375" style="327" customWidth="1"/>
    <col min="2560" max="2560" width="42" style="327" bestFit="1" customWidth="1"/>
    <col min="2561" max="2575" width="20" style="327" customWidth="1"/>
    <col min="2576" max="2576" width="22.625" style="327" customWidth="1"/>
    <col min="2577" max="2577" width="36.625" style="327" customWidth="1"/>
    <col min="2578" max="2578" width="14.25" style="327" customWidth="1"/>
    <col min="2579" max="2579" width="16" style="327" customWidth="1"/>
    <col min="2580" max="2580" width="22.25" style="327" customWidth="1"/>
    <col min="2581" max="2581" width="14.5" style="327" bestFit="1" customWidth="1"/>
    <col min="2582" max="2813" width="10.625" style="327"/>
    <col min="2814" max="2814" width="8.625" style="327" customWidth="1"/>
    <col min="2815" max="2815" width="8.375" style="327" customWidth="1"/>
    <col min="2816" max="2816" width="42" style="327" bestFit="1" customWidth="1"/>
    <col min="2817" max="2831" width="20" style="327" customWidth="1"/>
    <col min="2832" max="2832" width="22.625" style="327" customWidth="1"/>
    <col min="2833" max="2833" width="36.625" style="327" customWidth="1"/>
    <col min="2834" max="2834" width="14.25" style="327" customWidth="1"/>
    <col min="2835" max="2835" width="16" style="327" customWidth="1"/>
    <col min="2836" max="2836" width="22.25" style="327" customWidth="1"/>
    <col min="2837" max="2837" width="14.5" style="327" bestFit="1" customWidth="1"/>
    <col min="2838" max="3069" width="10.625" style="327"/>
    <col min="3070" max="3070" width="8.625" style="327" customWidth="1"/>
    <col min="3071" max="3071" width="8.375" style="327" customWidth="1"/>
    <col min="3072" max="3072" width="42" style="327" bestFit="1" customWidth="1"/>
    <col min="3073" max="3087" width="20" style="327" customWidth="1"/>
    <col min="3088" max="3088" width="22.625" style="327" customWidth="1"/>
    <col min="3089" max="3089" width="36.625" style="327" customWidth="1"/>
    <col min="3090" max="3090" width="14.25" style="327" customWidth="1"/>
    <col min="3091" max="3091" width="16" style="327" customWidth="1"/>
    <col min="3092" max="3092" width="22.25" style="327" customWidth="1"/>
    <col min="3093" max="3093" width="14.5" style="327" bestFit="1" customWidth="1"/>
    <col min="3094" max="3325" width="10.625" style="327"/>
    <col min="3326" max="3326" width="8.625" style="327" customWidth="1"/>
    <col min="3327" max="3327" width="8.375" style="327" customWidth="1"/>
    <col min="3328" max="3328" width="42" style="327" bestFit="1" customWidth="1"/>
    <col min="3329" max="3343" width="20" style="327" customWidth="1"/>
    <col min="3344" max="3344" width="22.625" style="327" customWidth="1"/>
    <col min="3345" max="3345" width="36.625" style="327" customWidth="1"/>
    <col min="3346" max="3346" width="14.25" style="327" customWidth="1"/>
    <col min="3347" max="3347" width="16" style="327" customWidth="1"/>
    <col min="3348" max="3348" width="22.25" style="327" customWidth="1"/>
    <col min="3349" max="3349" width="14.5" style="327" bestFit="1" customWidth="1"/>
    <col min="3350" max="3581" width="10.625" style="327"/>
    <col min="3582" max="3582" width="8.625" style="327" customWidth="1"/>
    <col min="3583" max="3583" width="8.375" style="327" customWidth="1"/>
    <col min="3584" max="3584" width="42" style="327" bestFit="1" customWidth="1"/>
    <col min="3585" max="3599" width="20" style="327" customWidth="1"/>
    <col min="3600" max="3600" width="22.625" style="327" customWidth="1"/>
    <col min="3601" max="3601" width="36.625" style="327" customWidth="1"/>
    <col min="3602" max="3602" width="14.25" style="327" customWidth="1"/>
    <col min="3603" max="3603" width="16" style="327" customWidth="1"/>
    <col min="3604" max="3604" width="22.25" style="327" customWidth="1"/>
    <col min="3605" max="3605" width="14.5" style="327" bestFit="1" customWidth="1"/>
    <col min="3606" max="3837" width="10.625" style="327"/>
    <col min="3838" max="3838" width="8.625" style="327" customWidth="1"/>
    <col min="3839" max="3839" width="8.375" style="327" customWidth="1"/>
    <col min="3840" max="3840" width="42" style="327" bestFit="1" customWidth="1"/>
    <col min="3841" max="3855" width="20" style="327" customWidth="1"/>
    <col min="3856" max="3856" width="22.625" style="327" customWidth="1"/>
    <col min="3857" max="3857" width="36.625" style="327" customWidth="1"/>
    <col min="3858" max="3858" width="14.25" style="327" customWidth="1"/>
    <col min="3859" max="3859" width="16" style="327" customWidth="1"/>
    <col min="3860" max="3860" width="22.25" style="327" customWidth="1"/>
    <col min="3861" max="3861" width="14.5" style="327" bestFit="1" customWidth="1"/>
    <col min="3862" max="4093" width="10.625" style="327"/>
    <col min="4094" max="4094" width="8.625" style="327" customWidth="1"/>
    <col min="4095" max="4095" width="8.375" style="327" customWidth="1"/>
    <col min="4096" max="4096" width="42" style="327" bestFit="1" customWidth="1"/>
    <col min="4097" max="4111" width="20" style="327" customWidth="1"/>
    <col min="4112" max="4112" width="22.625" style="327" customWidth="1"/>
    <col min="4113" max="4113" width="36.625" style="327" customWidth="1"/>
    <col min="4114" max="4114" width="14.25" style="327" customWidth="1"/>
    <col min="4115" max="4115" width="16" style="327" customWidth="1"/>
    <col min="4116" max="4116" width="22.25" style="327" customWidth="1"/>
    <col min="4117" max="4117" width="14.5" style="327" bestFit="1" customWidth="1"/>
    <col min="4118" max="4349" width="10.625" style="327"/>
    <col min="4350" max="4350" width="8.625" style="327" customWidth="1"/>
    <col min="4351" max="4351" width="8.375" style="327" customWidth="1"/>
    <col min="4352" max="4352" width="42" style="327" bestFit="1" customWidth="1"/>
    <col min="4353" max="4367" width="20" style="327" customWidth="1"/>
    <col min="4368" max="4368" width="22.625" style="327" customWidth="1"/>
    <col min="4369" max="4369" width="36.625" style="327" customWidth="1"/>
    <col min="4370" max="4370" width="14.25" style="327" customWidth="1"/>
    <col min="4371" max="4371" width="16" style="327" customWidth="1"/>
    <col min="4372" max="4372" width="22.25" style="327" customWidth="1"/>
    <col min="4373" max="4373" width="14.5" style="327" bestFit="1" customWidth="1"/>
    <col min="4374" max="4605" width="10.625" style="327"/>
    <col min="4606" max="4606" width="8.625" style="327" customWidth="1"/>
    <col min="4607" max="4607" width="8.375" style="327" customWidth="1"/>
    <col min="4608" max="4608" width="42" style="327" bestFit="1" customWidth="1"/>
    <col min="4609" max="4623" width="20" style="327" customWidth="1"/>
    <col min="4624" max="4624" width="22.625" style="327" customWidth="1"/>
    <col min="4625" max="4625" width="36.625" style="327" customWidth="1"/>
    <col min="4626" max="4626" width="14.25" style="327" customWidth="1"/>
    <col min="4627" max="4627" width="16" style="327" customWidth="1"/>
    <col min="4628" max="4628" width="22.25" style="327" customWidth="1"/>
    <col min="4629" max="4629" width="14.5" style="327" bestFit="1" customWidth="1"/>
    <col min="4630" max="4861" width="10.625" style="327"/>
    <col min="4862" max="4862" width="8.625" style="327" customWidth="1"/>
    <col min="4863" max="4863" width="8.375" style="327" customWidth="1"/>
    <col min="4864" max="4864" width="42" style="327" bestFit="1" customWidth="1"/>
    <col min="4865" max="4879" width="20" style="327" customWidth="1"/>
    <col min="4880" max="4880" width="22.625" style="327" customWidth="1"/>
    <col min="4881" max="4881" width="36.625" style="327" customWidth="1"/>
    <col min="4882" max="4882" width="14.25" style="327" customWidth="1"/>
    <col min="4883" max="4883" width="16" style="327" customWidth="1"/>
    <col min="4884" max="4884" width="22.25" style="327" customWidth="1"/>
    <col min="4885" max="4885" width="14.5" style="327" bestFit="1" customWidth="1"/>
    <col min="4886" max="5117" width="10.625" style="327"/>
    <col min="5118" max="5118" width="8.625" style="327" customWidth="1"/>
    <col min="5119" max="5119" width="8.375" style="327" customWidth="1"/>
    <col min="5120" max="5120" width="42" style="327" bestFit="1" customWidth="1"/>
    <col min="5121" max="5135" width="20" style="327" customWidth="1"/>
    <col min="5136" max="5136" width="22.625" style="327" customWidth="1"/>
    <col min="5137" max="5137" width="36.625" style="327" customWidth="1"/>
    <col min="5138" max="5138" width="14.25" style="327" customWidth="1"/>
    <col min="5139" max="5139" width="16" style="327" customWidth="1"/>
    <col min="5140" max="5140" width="22.25" style="327" customWidth="1"/>
    <col min="5141" max="5141" width="14.5" style="327" bestFit="1" customWidth="1"/>
    <col min="5142" max="5373" width="10.625" style="327"/>
    <col min="5374" max="5374" width="8.625" style="327" customWidth="1"/>
    <col min="5375" max="5375" width="8.375" style="327" customWidth="1"/>
    <col min="5376" max="5376" width="42" style="327" bestFit="1" customWidth="1"/>
    <col min="5377" max="5391" width="20" style="327" customWidth="1"/>
    <col min="5392" max="5392" width="22.625" style="327" customWidth="1"/>
    <col min="5393" max="5393" width="36.625" style="327" customWidth="1"/>
    <col min="5394" max="5394" width="14.25" style="327" customWidth="1"/>
    <col min="5395" max="5395" width="16" style="327" customWidth="1"/>
    <col min="5396" max="5396" width="22.25" style="327" customWidth="1"/>
    <col min="5397" max="5397" width="14.5" style="327" bestFit="1" customWidth="1"/>
    <col min="5398" max="5629" width="10.625" style="327"/>
    <col min="5630" max="5630" width="8.625" style="327" customWidth="1"/>
    <col min="5631" max="5631" width="8.375" style="327" customWidth="1"/>
    <col min="5632" max="5632" width="42" style="327" bestFit="1" customWidth="1"/>
    <col min="5633" max="5647" width="20" style="327" customWidth="1"/>
    <col min="5648" max="5648" width="22.625" style="327" customWidth="1"/>
    <col min="5649" max="5649" width="36.625" style="327" customWidth="1"/>
    <col min="5650" max="5650" width="14.25" style="327" customWidth="1"/>
    <col min="5651" max="5651" width="16" style="327" customWidth="1"/>
    <col min="5652" max="5652" width="22.25" style="327" customWidth="1"/>
    <col min="5653" max="5653" width="14.5" style="327" bestFit="1" customWidth="1"/>
    <col min="5654" max="5885" width="10.625" style="327"/>
    <col min="5886" max="5886" width="8.625" style="327" customWidth="1"/>
    <col min="5887" max="5887" width="8.375" style="327" customWidth="1"/>
    <col min="5888" max="5888" width="42" style="327" bestFit="1" customWidth="1"/>
    <col min="5889" max="5903" width="20" style="327" customWidth="1"/>
    <col min="5904" max="5904" width="22.625" style="327" customWidth="1"/>
    <col min="5905" max="5905" width="36.625" style="327" customWidth="1"/>
    <col min="5906" max="5906" width="14.25" style="327" customWidth="1"/>
    <col min="5907" max="5907" width="16" style="327" customWidth="1"/>
    <col min="5908" max="5908" width="22.25" style="327" customWidth="1"/>
    <col min="5909" max="5909" width="14.5" style="327" bestFit="1" customWidth="1"/>
    <col min="5910" max="6141" width="10.625" style="327"/>
    <col min="6142" max="6142" width="8.625" style="327" customWidth="1"/>
    <col min="6143" max="6143" width="8.375" style="327" customWidth="1"/>
    <col min="6144" max="6144" width="42" style="327" bestFit="1" customWidth="1"/>
    <col min="6145" max="6159" width="20" style="327" customWidth="1"/>
    <col min="6160" max="6160" width="22.625" style="327" customWidth="1"/>
    <col min="6161" max="6161" width="36.625" style="327" customWidth="1"/>
    <col min="6162" max="6162" width="14.25" style="327" customWidth="1"/>
    <col min="6163" max="6163" width="16" style="327" customWidth="1"/>
    <col min="6164" max="6164" width="22.25" style="327" customWidth="1"/>
    <col min="6165" max="6165" width="14.5" style="327" bestFit="1" customWidth="1"/>
    <col min="6166" max="6397" width="10.625" style="327"/>
    <col min="6398" max="6398" width="8.625" style="327" customWidth="1"/>
    <col min="6399" max="6399" width="8.375" style="327" customWidth="1"/>
    <col min="6400" max="6400" width="42" style="327" bestFit="1" customWidth="1"/>
    <col min="6401" max="6415" width="20" style="327" customWidth="1"/>
    <col min="6416" max="6416" width="22.625" style="327" customWidth="1"/>
    <col min="6417" max="6417" width="36.625" style="327" customWidth="1"/>
    <col min="6418" max="6418" width="14.25" style="327" customWidth="1"/>
    <col min="6419" max="6419" width="16" style="327" customWidth="1"/>
    <col min="6420" max="6420" width="22.25" style="327" customWidth="1"/>
    <col min="6421" max="6421" width="14.5" style="327" bestFit="1" customWidth="1"/>
    <col min="6422" max="6653" width="10.625" style="327"/>
    <col min="6654" max="6654" width="8.625" style="327" customWidth="1"/>
    <col min="6655" max="6655" width="8.375" style="327" customWidth="1"/>
    <col min="6656" max="6656" width="42" style="327" bestFit="1" customWidth="1"/>
    <col min="6657" max="6671" width="20" style="327" customWidth="1"/>
    <col min="6672" max="6672" width="22.625" style="327" customWidth="1"/>
    <col min="6673" max="6673" width="36.625" style="327" customWidth="1"/>
    <col min="6674" max="6674" width="14.25" style="327" customWidth="1"/>
    <col min="6675" max="6675" width="16" style="327" customWidth="1"/>
    <col min="6676" max="6676" width="22.25" style="327" customWidth="1"/>
    <col min="6677" max="6677" width="14.5" style="327" bestFit="1" customWidth="1"/>
    <col min="6678" max="6909" width="10.625" style="327"/>
    <col min="6910" max="6910" width="8.625" style="327" customWidth="1"/>
    <col min="6911" max="6911" width="8.375" style="327" customWidth="1"/>
    <col min="6912" max="6912" width="42" style="327" bestFit="1" customWidth="1"/>
    <col min="6913" max="6927" width="20" style="327" customWidth="1"/>
    <col min="6928" max="6928" width="22.625" style="327" customWidth="1"/>
    <col min="6929" max="6929" width="36.625" style="327" customWidth="1"/>
    <col min="6930" max="6930" width="14.25" style="327" customWidth="1"/>
    <col min="6931" max="6931" width="16" style="327" customWidth="1"/>
    <col min="6932" max="6932" width="22.25" style="327" customWidth="1"/>
    <col min="6933" max="6933" width="14.5" style="327" bestFit="1" customWidth="1"/>
    <col min="6934" max="7165" width="10.625" style="327"/>
    <col min="7166" max="7166" width="8.625" style="327" customWidth="1"/>
    <col min="7167" max="7167" width="8.375" style="327" customWidth="1"/>
    <col min="7168" max="7168" width="42" style="327" bestFit="1" customWidth="1"/>
    <col min="7169" max="7183" width="20" style="327" customWidth="1"/>
    <col min="7184" max="7184" width="22.625" style="327" customWidth="1"/>
    <col min="7185" max="7185" width="36.625" style="327" customWidth="1"/>
    <col min="7186" max="7186" width="14.25" style="327" customWidth="1"/>
    <col min="7187" max="7187" width="16" style="327" customWidth="1"/>
    <col min="7188" max="7188" width="22.25" style="327" customWidth="1"/>
    <col min="7189" max="7189" width="14.5" style="327" bestFit="1" customWidth="1"/>
    <col min="7190" max="7421" width="10.625" style="327"/>
    <col min="7422" max="7422" width="8.625" style="327" customWidth="1"/>
    <col min="7423" max="7423" width="8.375" style="327" customWidth="1"/>
    <col min="7424" max="7424" width="42" style="327" bestFit="1" customWidth="1"/>
    <col min="7425" max="7439" width="20" style="327" customWidth="1"/>
    <col min="7440" max="7440" width="22.625" style="327" customWidth="1"/>
    <col min="7441" max="7441" width="36.625" style="327" customWidth="1"/>
    <col min="7442" max="7442" width="14.25" style="327" customWidth="1"/>
    <col min="7443" max="7443" width="16" style="327" customWidth="1"/>
    <col min="7444" max="7444" width="22.25" style="327" customWidth="1"/>
    <col min="7445" max="7445" width="14.5" style="327" bestFit="1" customWidth="1"/>
    <col min="7446" max="7677" width="10.625" style="327"/>
    <col min="7678" max="7678" width="8.625" style="327" customWidth="1"/>
    <col min="7679" max="7679" width="8.375" style="327" customWidth="1"/>
    <col min="7680" max="7680" width="42" style="327" bestFit="1" customWidth="1"/>
    <col min="7681" max="7695" width="20" style="327" customWidth="1"/>
    <col min="7696" max="7696" width="22.625" style="327" customWidth="1"/>
    <col min="7697" max="7697" width="36.625" style="327" customWidth="1"/>
    <col min="7698" max="7698" width="14.25" style="327" customWidth="1"/>
    <col min="7699" max="7699" width="16" style="327" customWidth="1"/>
    <col min="7700" max="7700" width="22.25" style="327" customWidth="1"/>
    <col min="7701" max="7701" width="14.5" style="327" bestFit="1" customWidth="1"/>
    <col min="7702" max="7933" width="10.625" style="327"/>
    <col min="7934" max="7934" width="8.625" style="327" customWidth="1"/>
    <col min="7935" max="7935" width="8.375" style="327" customWidth="1"/>
    <col min="7936" max="7936" width="42" style="327" bestFit="1" customWidth="1"/>
    <col min="7937" max="7951" width="20" style="327" customWidth="1"/>
    <col min="7952" max="7952" width="22.625" style="327" customWidth="1"/>
    <col min="7953" max="7953" width="36.625" style="327" customWidth="1"/>
    <col min="7954" max="7954" width="14.25" style="327" customWidth="1"/>
    <col min="7955" max="7955" width="16" style="327" customWidth="1"/>
    <col min="7956" max="7956" width="22.25" style="327" customWidth="1"/>
    <col min="7957" max="7957" width="14.5" style="327" bestFit="1" customWidth="1"/>
    <col min="7958" max="8189" width="10.625" style="327"/>
    <col min="8190" max="8190" width="8.625" style="327" customWidth="1"/>
    <col min="8191" max="8191" width="8.375" style="327" customWidth="1"/>
    <col min="8192" max="8192" width="42" style="327" bestFit="1" customWidth="1"/>
    <col min="8193" max="8207" width="20" style="327" customWidth="1"/>
    <col min="8208" max="8208" width="22.625" style="327" customWidth="1"/>
    <col min="8209" max="8209" width="36.625" style="327" customWidth="1"/>
    <col min="8210" max="8210" width="14.25" style="327" customWidth="1"/>
    <col min="8211" max="8211" width="16" style="327" customWidth="1"/>
    <col min="8212" max="8212" width="22.25" style="327" customWidth="1"/>
    <col min="8213" max="8213" width="14.5" style="327" bestFit="1" customWidth="1"/>
    <col min="8214" max="8445" width="10.625" style="327"/>
    <col min="8446" max="8446" width="8.625" style="327" customWidth="1"/>
    <col min="8447" max="8447" width="8.375" style="327" customWidth="1"/>
    <col min="8448" max="8448" width="42" style="327" bestFit="1" customWidth="1"/>
    <col min="8449" max="8463" width="20" style="327" customWidth="1"/>
    <col min="8464" max="8464" width="22.625" style="327" customWidth="1"/>
    <col min="8465" max="8465" width="36.625" style="327" customWidth="1"/>
    <col min="8466" max="8466" width="14.25" style="327" customWidth="1"/>
    <col min="8467" max="8467" width="16" style="327" customWidth="1"/>
    <col min="8468" max="8468" width="22.25" style="327" customWidth="1"/>
    <col min="8469" max="8469" width="14.5" style="327" bestFit="1" customWidth="1"/>
    <col min="8470" max="8701" width="10.625" style="327"/>
    <col min="8702" max="8702" width="8.625" style="327" customWidth="1"/>
    <col min="8703" max="8703" width="8.375" style="327" customWidth="1"/>
    <col min="8704" max="8704" width="42" style="327" bestFit="1" customWidth="1"/>
    <col min="8705" max="8719" width="20" style="327" customWidth="1"/>
    <col min="8720" max="8720" width="22.625" style="327" customWidth="1"/>
    <col min="8721" max="8721" width="36.625" style="327" customWidth="1"/>
    <col min="8722" max="8722" width="14.25" style="327" customWidth="1"/>
    <col min="8723" max="8723" width="16" style="327" customWidth="1"/>
    <col min="8724" max="8724" width="22.25" style="327" customWidth="1"/>
    <col min="8725" max="8725" width="14.5" style="327" bestFit="1" customWidth="1"/>
    <col min="8726" max="8957" width="10.625" style="327"/>
    <col min="8958" max="8958" width="8.625" style="327" customWidth="1"/>
    <col min="8959" max="8959" width="8.375" style="327" customWidth="1"/>
    <col min="8960" max="8960" width="42" style="327" bestFit="1" customWidth="1"/>
    <col min="8961" max="8975" width="20" style="327" customWidth="1"/>
    <col min="8976" max="8976" width="22.625" style="327" customWidth="1"/>
    <col min="8977" max="8977" width="36.625" style="327" customWidth="1"/>
    <col min="8978" max="8978" width="14.25" style="327" customWidth="1"/>
    <col min="8979" max="8979" width="16" style="327" customWidth="1"/>
    <col min="8980" max="8980" width="22.25" style="327" customWidth="1"/>
    <col min="8981" max="8981" width="14.5" style="327" bestFit="1" customWidth="1"/>
    <col min="8982" max="9213" width="10.625" style="327"/>
    <col min="9214" max="9214" width="8.625" style="327" customWidth="1"/>
    <col min="9215" max="9215" width="8.375" style="327" customWidth="1"/>
    <col min="9216" max="9216" width="42" style="327" bestFit="1" customWidth="1"/>
    <col min="9217" max="9231" width="20" style="327" customWidth="1"/>
    <col min="9232" max="9232" width="22.625" style="327" customWidth="1"/>
    <col min="9233" max="9233" width="36.625" style="327" customWidth="1"/>
    <col min="9234" max="9234" width="14.25" style="327" customWidth="1"/>
    <col min="9235" max="9235" width="16" style="327" customWidth="1"/>
    <col min="9236" max="9236" width="22.25" style="327" customWidth="1"/>
    <col min="9237" max="9237" width="14.5" style="327" bestFit="1" customWidth="1"/>
    <col min="9238" max="9469" width="10.625" style="327"/>
    <col min="9470" max="9470" width="8.625" style="327" customWidth="1"/>
    <col min="9471" max="9471" width="8.375" style="327" customWidth="1"/>
    <col min="9472" max="9472" width="42" style="327" bestFit="1" customWidth="1"/>
    <col min="9473" max="9487" width="20" style="327" customWidth="1"/>
    <col min="9488" max="9488" width="22.625" style="327" customWidth="1"/>
    <col min="9489" max="9489" width="36.625" style="327" customWidth="1"/>
    <col min="9490" max="9490" width="14.25" style="327" customWidth="1"/>
    <col min="9491" max="9491" width="16" style="327" customWidth="1"/>
    <col min="9492" max="9492" width="22.25" style="327" customWidth="1"/>
    <col min="9493" max="9493" width="14.5" style="327" bestFit="1" customWidth="1"/>
    <col min="9494" max="9725" width="10.625" style="327"/>
    <col min="9726" max="9726" width="8.625" style="327" customWidth="1"/>
    <col min="9727" max="9727" width="8.375" style="327" customWidth="1"/>
    <col min="9728" max="9728" width="42" style="327" bestFit="1" customWidth="1"/>
    <col min="9729" max="9743" width="20" style="327" customWidth="1"/>
    <col min="9744" max="9744" width="22.625" style="327" customWidth="1"/>
    <col min="9745" max="9745" width="36.625" style="327" customWidth="1"/>
    <col min="9746" max="9746" width="14.25" style="327" customWidth="1"/>
    <col min="9747" max="9747" width="16" style="327" customWidth="1"/>
    <col min="9748" max="9748" width="22.25" style="327" customWidth="1"/>
    <col min="9749" max="9749" width="14.5" style="327" bestFit="1" customWidth="1"/>
    <col min="9750" max="9981" width="10.625" style="327"/>
    <col min="9982" max="9982" width="8.625" style="327" customWidth="1"/>
    <col min="9983" max="9983" width="8.375" style="327" customWidth="1"/>
    <col min="9984" max="9984" width="42" style="327" bestFit="1" customWidth="1"/>
    <col min="9985" max="9999" width="20" style="327" customWidth="1"/>
    <col min="10000" max="10000" width="22.625" style="327" customWidth="1"/>
    <col min="10001" max="10001" width="36.625" style="327" customWidth="1"/>
    <col min="10002" max="10002" width="14.25" style="327" customWidth="1"/>
    <col min="10003" max="10003" width="16" style="327" customWidth="1"/>
    <col min="10004" max="10004" width="22.25" style="327" customWidth="1"/>
    <col min="10005" max="10005" width="14.5" style="327" bestFit="1" customWidth="1"/>
    <col min="10006" max="10237" width="10.625" style="327"/>
    <col min="10238" max="10238" width="8.625" style="327" customWidth="1"/>
    <col min="10239" max="10239" width="8.375" style="327" customWidth="1"/>
    <col min="10240" max="10240" width="42" style="327" bestFit="1" customWidth="1"/>
    <col min="10241" max="10255" width="20" style="327" customWidth="1"/>
    <col min="10256" max="10256" width="22.625" style="327" customWidth="1"/>
    <col min="10257" max="10257" width="36.625" style="327" customWidth="1"/>
    <col min="10258" max="10258" width="14.25" style="327" customWidth="1"/>
    <col min="10259" max="10259" width="16" style="327" customWidth="1"/>
    <col min="10260" max="10260" width="22.25" style="327" customWidth="1"/>
    <col min="10261" max="10261" width="14.5" style="327" bestFit="1" customWidth="1"/>
    <col min="10262" max="10493" width="10.625" style="327"/>
    <col min="10494" max="10494" width="8.625" style="327" customWidth="1"/>
    <col min="10495" max="10495" width="8.375" style="327" customWidth="1"/>
    <col min="10496" max="10496" width="42" style="327" bestFit="1" customWidth="1"/>
    <col min="10497" max="10511" width="20" style="327" customWidth="1"/>
    <col min="10512" max="10512" width="22.625" style="327" customWidth="1"/>
    <col min="10513" max="10513" width="36.625" style="327" customWidth="1"/>
    <col min="10514" max="10514" width="14.25" style="327" customWidth="1"/>
    <col min="10515" max="10515" width="16" style="327" customWidth="1"/>
    <col min="10516" max="10516" width="22.25" style="327" customWidth="1"/>
    <col min="10517" max="10517" width="14.5" style="327" bestFit="1" customWidth="1"/>
    <col min="10518" max="10749" width="10.625" style="327"/>
    <col min="10750" max="10750" width="8.625" style="327" customWidth="1"/>
    <col min="10751" max="10751" width="8.375" style="327" customWidth="1"/>
    <col min="10752" max="10752" width="42" style="327" bestFit="1" customWidth="1"/>
    <col min="10753" max="10767" width="20" style="327" customWidth="1"/>
    <col min="10768" max="10768" width="22.625" style="327" customWidth="1"/>
    <col min="10769" max="10769" width="36.625" style="327" customWidth="1"/>
    <col min="10770" max="10770" width="14.25" style="327" customWidth="1"/>
    <col min="10771" max="10771" width="16" style="327" customWidth="1"/>
    <col min="10772" max="10772" width="22.25" style="327" customWidth="1"/>
    <col min="10773" max="10773" width="14.5" style="327" bestFit="1" customWidth="1"/>
    <col min="10774" max="11005" width="10.625" style="327"/>
    <col min="11006" max="11006" width="8.625" style="327" customWidth="1"/>
    <col min="11007" max="11007" width="8.375" style="327" customWidth="1"/>
    <col min="11008" max="11008" width="42" style="327" bestFit="1" customWidth="1"/>
    <col min="11009" max="11023" width="20" style="327" customWidth="1"/>
    <col min="11024" max="11024" width="22.625" style="327" customWidth="1"/>
    <col min="11025" max="11025" width="36.625" style="327" customWidth="1"/>
    <col min="11026" max="11026" width="14.25" style="327" customWidth="1"/>
    <col min="11027" max="11027" width="16" style="327" customWidth="1"/>
    <col min="11028" max="11028" width="22.25" style="327" customWidth="1"/>
    <col min="11029" max="11029" width="14.5" style="327" bestFit="1" customWidth="1"/>
    <col min="11030" max="11261" width="10.625" style="327"/>
    <col min="11262" max="11262" width="8.625" style="327" customWidth="1"/>
    <col min="11263" max="11263" width="8.375" style="327" customWidth="1"/>
    <col min="11264" max="11264" width="42" style="327" bestFit="1" customWidth="1"/>
    <col min="11265" max="11279" width="20" style="327" customWidth="1"/>
    <col min="11280" max="11280" width="22.625" style="327" customWidth="1"/>
    <col min="11281" max="11281" width="36.625" style="327" customWidth="1"/>
    <col min="11282" max="11282" width="14.25" style="327" customWidth="1"/>
    <col min="11283" max="11283" width="16" style="327" customWidth="1"/>
    <col min="11284" max="11284" width="22.25" style="327" customWidth="1"/>
    <col min="11285" max="11285" width="14.5" style="327" bestFit="1" customWidth="1"/>
    <col min="11286" max="11517" width="10.625" style="327"/>
    <col min="11518" max="11518" width="8.625" style="327" customWidth="1"/>
    <col min="11519" max="11519" width="8.375" style="327" customWidth="1"/>
    <col min="11520" max="11520" width="42" style="327" bestFit="1" customWidth="1"/>
    <col min="11521" max="11535" width="20" style="327" customWidth="1"/>
    <col min="11536" max="11536" width="22.625" style="327" customWidth="1"/>
    <col min="11537" max="11537" width="36.625" style="327" customWidth="1"/>
    <col min="11538" max="11538" width="14.25" style="327" customWidth="1"/>
    <col min="11539" max="11539" width="16" style="327" customWidth="1"/>
    <col min="11540" max="11540" width="22.25" style="327" customWidth="1"/>
    <col min="11541" max="11541" width="14.5" style="327" bestFit="1" customWidth="1"/>
    <col min="11542" max="11773" width="10.625" style="327"/>
    <col min="11774" max="11774" width="8.625" style="327" customWidth="1"/>
    <col min="11775" max="11775" width="8.375" style="327" customWidth="1"/>
    <col min="11776" max="11776" width="42" style="327" bestFit="1" customWidth="1"/>
    <col min="11777" max="11791" width="20" style="327" customWidth="1"/>
    <col min="11792" max="11792" width="22.625" style="327" customWidth="1"/>
    <col min="11793" max="11793" width="36.625" style="327" customWidth="1"/>
    <col min="11794" max="11794" width="14.25" style="327" customWidth="1"/>
    <col min="11795" max="11795" width="16" style="327" customWidth="1"/>
    <col min="11796" max="11796" width="22.25" style="327" customWidth="1"/>
    <col min="11797" max="11797" width="14.5" style="327" bestFit="1" customWidth="1"/>
    <col min="11798" max="12029" width="10.625" style="327"/>
    <col min="12030" max="12030" width="8.625" style="327" customWidth="1"/>
    <col min="12031" max="12031" width="8.375" style="327" customWidth="1"/>
    <col min="12032" max="12032" width="42" style="327" bestFit="1" customWidth="1"/>
    <col min="12033" max="12047" width="20" style="327" customWidth="1"/>
    <col min="12048" max="12048" width="22.625" style="327" customWidth="1"/>
    <col min="12049" max="12049" width="36.625" style="327" customWidth="1"/>
    <col min="12050" max="12050" width="14.25" style="327" customWidth="1"/>
    <col min="12051" max="12051" width="16" style="327" customWidth="1"/>
    <col min="12052" max="12052" width="22.25" style="327" customWidth="1"/>
    <col min="12053" max="12053" width="14.5" style="327" bestFit="1" customWidth="1"/>
    <col min="12054" max="12285" width="10.625" style="327"/>
    <col min="12286" max="12286" width="8.625" style="327" customWidth="1"/>
    <col min="12287" max="12287" width="8.375" style="327" customWidth="1"/>
    <col min="12288" max="12288" width="42" style="327" bestFit="1" customWidth="1"/>
    <col min="12289" max="12303" width="20" style="327" customWidth="1"/>
    <col min="12304" max="12304" width="22.625" style="327" customWidth="1"/>
    <col min="12305" max="12305" width="36.625" style="327" customWidth="1"/>
    <col min="12306" max="12306" width="14.25" style="327" customWidth="1"/>
    <col min="12307" max="12307" width="16" style="327" customWidth="1"/>
    <col min="12308" max="12308" width="22.25" style="327" customWidth="1"/>
    <col min="12309" max="12309" width="14.5" style="327" bestFit="1" customWidth="1"/>
    <col min="12310" max="12541" width="10.625" style="327"/>
    <col min="12542" max="12542" width="8.625" style="327" customWidth="1"/>
    <col min="12543" max="12543" width="8.375" style="327" customWidth="1"/>
    <col min="12544" max="12544" width="42" style="327" bestFit="1" customWidth="1"/>
    <col min="12545" max="12559" width="20" style="327" customWidth="1"/>
    <col min="12560" max="12560" width="22.625" style="327" customWidth="1"/>
    <col min="12561" max="12561" width="36.625" style="327" customWidth="1"/>
    <col min="12562" max="12562" width="14.25" style="327" customWidth="1"/>
    <col min="12563" max="12563" width="16" style="327" customWidth="1"/>
    <col min="12564" max="12564" width="22.25" style="327" customWidth="1"/>
    <col min="12565" max="12565" width="14.5" style="327" bestFit="1" customWidth="1"/>
    <col min="12566" max="12797" width="10.625" style="327"/>
    <col min="12798" max="12798" width="8.625" style="327" customWidth="1"/>
    <col min="12799" max="12799" width="8.375" style="327" customWidth="1"/>
    <col min="12800" max="12800" width="42" style="327" bestFit="1" customWidth="1"/>
    <col min="12801" max="12815" width="20" style="327" customWidth="1"/>
    <col min="12816" max="12816" width="22.625" style="327" customWidth="1"/>
    <col min="12817" max="12817" width="36.625" style="327" customWidth="1"/>
    <col min="12818" max="12818" width="14.25" style="327" customWidth="1"/>
    <col min="12819" max="12819" width="16" style="327" customWidth="1"/>
    <col min="12820" max="12820" width="22.25" style="327" customWidth="1"/>
    <col min="12821" max="12821" width="14.5" style="327" bestFit="1" customWidth="1"/>
    <col min="12822" max="13053" width="10.625" style="327"/>
    <col min="13054" max="13054" width="8.625" style="327" customWidth="1"/>
    <col min="13055" max="13055" width="8.375" style="327" customWidth="1"/>
    <col min="13056" max="13056" width="42" style="327" bestFit="1" customWidth="1"/>
    <col min="13057" max="13071" width="20" style="327" customWidth="1"/>
    <col min="13072" max="13072" width="22.625" style="327" customWidth="1"/>
    <col min="13073" max="13073" width="36.625" style="327" customWidth="1"/>
    <col min="13074" max="13074" width="14.25" style="327" customWidth="1"/>
    <col min="13075" max="13075" width="16" style="327" customWidth="1"/>
    <col min="13076" max="13076" width="22.25" style="327" customWidth="1"/>
    <col min="13077" max="13077" width="14.5" style="327" bestFit="1" customWidth="1"/>
    <col min="13078" max="13309" width="10.625" style="327"/>
    <col min="13310" max="13310" width="8.625" style="327" customWidth="1"/>
    <col min="13311" max="13311" width="8.375" style="327" customWidth="1"/>
    <col min="13312" max="13312" width="42" style="327" bestFit="1" customWidth="1"/>
    <col min="13313" max="13327" width="20" style="327" customWidth="1"/>
    <col min="13328" max="13328" width="22.625" style="327" customWidth="1"/>
    <col min="13329" max="13329" width="36.625" style="327" customWidth="1"/>
    <col min="13330" max="13330" width="14.25" style="327" customWidth="1"/>
    <col min="13331" max="13331" width="16" style="327" customWidth="1"/>
    <col min="13332" max="13332" width="22.25" style="327" customWidth="1"/>
    <col min="13333" max="13333" width="14.5" style="327" bestFit="1" customWidth="1"/>
    <col min="13334" max="13565" width="10.625" style="327"/>
    <col min="13566" max="13566" width="8.625" style="327" customWidth="1"/>
    <col min="13567" max="13567" width="8.375" style="327" customWidth="1"/>
    <col min="13568" max="13568" width="42" style="327" bestFit="1" customWidth="1"/>
    <col min="13569" max="13583" width="20" style="327" customWidth="1"/>
    <col min="13584" max="13584" width="22.625" style="327" customWidth="1"/>
    <col min="13585" max="13585" width="36.625" style="327" customWidth="1"/>
    <col min="13586" max="13586" width="14.25" style="327" customWidth="1"/>
    <col min="13587" max="13587" width="16" style="327" customWidth="1"/>
    <col min="13588" max="13588" width="22.25" style="327" customWidth="1"/>
    <col min="13589" max="13589" width="14.5" style="327" bestFit="1" customWidth="1"/>
    <col min="13590" max="13821" width="10.625" style="327"/>
    <col min="13822" max="13822" width="8.625" style="327" customWidth="1"/>
    <col min="13823" max="13823" width="8.375" style="327" customWidth="1"/>
    <col min="13824" max="13824" width="42" style="327" bestFit="1" customWidth="1"/>
    <col min="13825" max="13839" width="20" style="327" customWidth="1"/>
    <col min="13840" max="13840" width="22.625" style="327" customWidth="1"/>
    <col min="13841" max="13841" width="36.625" style="327" customWidth="1"/>
    <col min="13842" max="13842" width="14.25" style="327" customWidth="1"/>
    <col min="13843" max="13843" width="16" style="327" customWidth="1"/>
    <col min="13844" max="13844" width="22.25" style="327" customWidth="1"/>
    <col min="13845" max="13845" width="14.5" style="327" bestFit="1" customWidth="1"/>
    <col min="13846" max="14077" width="10.625" style="327"/>
    <col min="14078" max="14078" width="8.625" style="327" customWidth="1"/>
    <col min="14079" max="14079" width="8.375" style="327" customWidth="1"/>
    <col min="14080" max="14080" width="42" style="327" bestFit="1" customWidth="1"/>
    <col min="14081" max="14095" width="20" style="327" customWidth="1"/>
    <col min="14096" max="14096" width="22.625" style="327" customWidth="1"/>
    <col min="14097" max="14097" width="36.625" style="327" customWidth="1"/>
    <col min="14098" max="14098" width="14.25" style="327" customWidth="1"/>
    <col min="14099" max="14099" width="16" style="327" customWidth="1"/>
    <col min="14100" max="14100" width="22.25" style="327" customWidth="1"/>
    <col min="14101" max="14101" width="14.5" style="327" bestFit="1" customWidth="1"/>
    <col min="14102" max="14333" width="10.625" style="327"/>
    <col min="14334" max="14334" width="8.625" style="327" customWidth="1"/>
    <col min="14335" max="14335" width="8.375" style="327" customWidth="1"/>
    <col min="14336" max="14336" width="42" style="327" bestFit="1" customWidth="1"/>
    <col min="14337" max="14351" width="20" style="327" customWidth="1"/>
    <col min="14352" max="14352" width="22.625" style="327" customWidth="1"/>
    <col min="14353" max="14353" width="36.625" style="327" customWidth="1"/>
    <col min="14354" max="14354" width="14.25" style="327" customWidth="1"/>
    <col min="14355" max="14355" width="16" style="327" customWidth="1"/>
    <col min="14356" max="14356" width="22.25" style="327" customWidth="1"/>
    <col min="14357" max="14357" width="14.5" style="327" bestFit="1" customWidth="1"/>
    <col min="14358" max="14589" width="10.625" style="327"/>
    <col min="14590" max="14590" width="8.625" style="327" customWidth="1"/>
    <col min="14591" max="14591" width="8.375" style="327" customWidth="1"/>
    <col min="14592" max="14592" width="42" style="327" bestFit="1" customWidth="1"/>
    <col min="14593" max="14607" width="20" style="327" customWidth="1"/>
    <col min="14608" max="14608" width="22.625" style="327" customWidth="1"/>
    <col min="14609" max="14609" width="36.625" style="327" customWidth="1"/>
    <col min="14610" max="14610" width="14.25" style="327" customWidth="1"/>
    <col min="14611" max="14611" width="16" style="327" customWidth="1"/>
    <col min="14612" max="14612" width="22.25" style="327" customWidth="1"/>
    <col min="14613" max="14613" width="14.5" style="327" bestFit="1" customWidth="1"/>
    <col min="14614" max="14845" width="10.625" style="327"/>
    <col min="14846" max="14846" width="8.625" style="327" customWidth="1"/>
    <col min="14847" max="14847" width="8.375" style="327" customWidth="1"/>
    <col min="14848" max="14848" width="42" style="327" bestFit="1" customWidth="1"/>
    <col min="14849" max="14863" width="20" style="327" customWidth="1"/>
    <col min="14864" max="14864" width="22.625" style="327" customWidth="1"/>
    <col min="14865" max="14865" width="36.625" style="327" customWidth="1"/>
    <col min="14866" max="14866" width="14.25" style="327" customWidth="1"/>
    <col min="14867" max="14867" width="16" style="327" customWidth="1"/>
    <col min="14868" max="14868" width="22.25" style="327" customWidth="1"/>
    <col min="14869" max="14869" width="14.5" style="327" bestFit="1" customWidth="1"/>
    <col min="14870" max="15101" width="10.625" style="327"/>
    <col min="15102" max="15102" width="8.625" style="327" customWidth="1"/>
    <col min="15103" max="15103" width="8.375" style="327" customWidth="1"/>
    <col min="15104" max="15104" width="42" style="327" bestFit="1" customWidth="1"/>
    <col min="15105" max="15119" width="20" style="327" customWidth="1"/>
    <col min="15120" max="15120" width="22.625" style="327" customWidth="1"/>
    <col min="15121" max="15121" width="36.625" style="327" customWidth="1"/>
    <col min="15122" max="15122" width="14.25" style="327" customWidth="1"/>
    <col min="15123" max="15123" width="16" style="327" customWidth="1"/>
    <col min="15124" max="15124" width="22.25" style="327" customWidth="1"/>
    <col min="15125" max="15125" width="14.5" style="327" bestFit="1" customWidth="1"/>
    <col min="15126" max="15357" width="10.625" style="327"/>
    <col min="15358" max="15358" width="8.625" style="327" customWidth="1"/>
    <col min="15359" max="15359" width="8.375" style="327" customWidth="1"/>
    <col min="15360" max="15360" width="42" style="327" bestFit="1" customWidth="1"/>
    <col min="15361" max="15375" width="20" style="327" customWidth="1"/>
    <col min="15376" max="15376" width="22.625" style="327" customWidth="1"/>
    <col min="15377" max="15377" width="36.625" style="327" customWidth="1"/>
    <col min="15378" max="15378" width="14.25" style="327" customWidth="1"/>
    <col min="15379" max="15379" width="16" style="327" customWidth="1"/>
    <col min="15380" max="15380" width="22.25" style="327" customWidth="1"/>
    <col min="15381" max="15381" width="14.5" style="327" bestFit="1" customWidth="1"/>
    <col min="15382" max="15613" width="10.625" style="327"/>
    <col min="15614" max="15614" width="8.625" style="327" customWidth="1"/>
    <col min="15615" max="15615" width="8.375" style="327" customWidth="1"/>
    <col min="15616" max="15616" width="42" style="327" bestFit="1" customWidth="1"/>
    <col min="15617" max="15631" width="20" style="327" customWidth="1"/>
    <col min="15632" max="15632" width="22.625" style="327" customWidth="1"/>
    <col min="15633" max="15633" width="36.625" style="327" customWidth="1"/>
    <col min="15634" max="15634" width="14.25" style="327" customWidth="1"/>
    <col min="15635" max="15635" width="16" style="327" customWidth="1"/>
    <col min="15636" max="15636" width="22.25" style="327" customWidth="1"/>
    <col min="15637" max="15637" width="14.5" style="327" bestFit="1" customWidth="1"/>
    <col min="15638" max="15869" width="10.625" style="327"/>
    <col min="15870" max="15870" width="8.625" style="327" customWidth="1"/>
    <col min="15871" max="15871" width="8.375" style="327" customWidth="1"/>
    <col min="15872" max="15872" width="42" style="327" bestFit="1" customWidth="1"/>
    <col min="15873" max="15887" width="20" style="327" customWidth="1"/>
    <col min="15888" max="15888" width="22.625" style="327" customWidth="1"/>
    <col min="15889" max="15889" width="36.625" style="327" customWidth="1"/>
    <col min="15890" max="15890" width="14.25" style="327" customWidth="1"/>
    <col min="15891" max="15891" width="16" style="327" customWidth="1"/>
    <col min="15892" max="15892" width="22.25" style="327" customWidth="1"/>
    <col min="15893" max="15893" width="14.5" style="327" bestFit="1" customWidth="1"/>
    <col min="15894" max="16125" width="10.625" style="327"/>
    <col min="16126" max="16126" width="8.625" style="327" customWidth="1"/>
    <col min="16127" max="16127" width="8.375" style="327" customWidth="1"/>
    <col min="16128" max="16128" width="42" style="327" bestFit="1" customWidth="1"/>
    <col min="16129" max="16143" width="20" style="327" customWidth="1"/>
    <col min="16144" max="16144" width="22.625" style="327" customWidth="1"/>
    <col min="16145" max="16145" width="36.625" style="327" customWidth="1"/>
    <col min="16146" max="16146" width="14.25" style="327" customWidth="1"/>
    <col min="16147" max="16147" width="16" style="327" customWidth="1"/>
    <col min="16148" max="16148" width="22.25" style="327" customWidth="1"/>
    <col min="16149" max="16149" width="14.5" style="327" bestFit="1" customWidth="1"/>
    <col min="16150" max="16384" width="10.625" style="327"/>
  </cols>
  <sheetData>
    <row r="1" spans="1:26" ht="31.5" customHeight="1">
      <c r="A1" s="1370" t="s">
        <v>4631</v>
      </c>
      <c r="B1" s="1370"/>
      <c r="C1" s="1370"/>
      <c r="D1" s="1370"/>
      <c r="E1" s="1370"/>
      <c r="F1" s="1370"/>
      <c r="G1" s="1370"/>
      <c r="H1" s="1370"/>
      <c r="I1" s="1370"/>
      <c r="J1" s="1370"/>
      <c r="K1" s="1370"/>
      <c r="L1" s="1370"/>
      <c r="M1" s="1370"/>
      <c r="N1" s="1370"/>
      <c r="O1" s="1370"/>
      <c r="P1" s="1370"/>
      <c r="Q1" s="1370"/>
      <c r="R1" s="325"/>
    </row>
    <row r="2" spans="1:26" ht="23.25" customHeight="1">
      <c r="A2" s="328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30"/>
      <c r="T2" s="331"/>
      <c r="U2" s="331"/>
      <c r="V2" s="331"/>
      <c r="W2" s="331"/>
      <c r="X2" s="331"/>
      <c r="Y2" s="331"/>
      <c r="Z2" s="331"/>
    </row>
    <row r="3" spans="1:26" s="334" customFormat="1" ht="43.5" customHeight="1">
      <c r="A3" s="1371" t="s">
        <v>4632</v>
      </c>
      <c r="B3" s="1372"/>
      <c r="C3" s="1375" t="s">
        <v>4633</v>
      </c>
      <c r="D3" s="1377" t="s">
        <v>4634</v>
      </c>
      <c r="E3" s="1378"/>
      <c r="F3" s="1379"/>
      <c r="G3" s="1377" t="s">
        <v>4684</v>
      </c>
      <c r="H3" s="1378"/>
      <c r="I3" s="1379"/>
      <c r="J3" s="1377" t="s">
        <v>4635</v>
      </c>
      <c r="K3" s="1378"/>
      <c r="L3" s="1379"/>
      <c r="M3" s="1377" t="s">
        <v>4636</v>
      </c>
      <c r="N3" s="1378"/>
      <c r="O3" s="1379"/>
      <c r="P3" s="1380" t="s">
        <v>4637</v>
      </c>
      <c r="Q3" s="1381"/>
      <c r="R3" s="332" t="s">
        <v>4638</v>
      </c>
      <c r="S3" s="333" t="s">
        <v>4639</v>
      </c>
    </row>
    <row r="4" spans="1:26" s="334" customFormat="1" ht="43.5" customHeight="1">
      <c r="A4" s="1373"/>
      <c r="B4" s="1374"/>
      <c r="C4" s="1376"/>
      <c r="D4" s="1069" t="s">
        <v>6635</v>
      </c>
      <c r="E4" s="335" t="s">
        <v>6636</v>
      </c>
      <c r="F4" s="335" t="s">
        <v>6637</v>
      </c>
      <c r="G4" s="1069" t="s">
        <v>6635</v>
      </c>
      <c r="H4" s="335" t="s">
        <v>6636</v>
      </c>
      <c r="I4" s="335" t="s">
        <v>6637</v>
      </c>
      <c r="J4" s="1069" t="s">
        <v>6635</v>
      </c>
      <c r="K4" s="335" t="s">
        <v>6636</v>
      </c>
      <c r="L4" s="335" t="s">
        <v>6637</v>
      </c>
      <c r="M4" s="1069" t="s">
        <v>6635</v>
      </c>
      <c r="N4" s="335" t="s">
        <v>6636</v>
      </c>
      <c r="O4" s="335" t="s">
        <v>6637</v>
      </c>
      <c r="P4" s="336"/>
      <c r="Q4" s="337"/>
      <c r="R4" s="338"/>
      <c r="S4" s="333"/>
    </row>
    <row r="5" spans="1:26" ht="43.5" customHeight="1">
      <c r="A5" s="1362" t="s">
        <v>4640</v>
      </c>
      <c r="B5" s="339" t="s">
        <v>1213</v>
      </c>
      <c r="C5" s="340" t="s">
        <v>4641</v>
      </c>
      <c r="D5" s="1062">
        <v>630342397.23820007</v>
      </c>
      <c r="E5" s="341">
        <f>순공사비집계표!E5</f>
        <v>617255126.66711998</v>
      </c>
      <c r="F5" s="342">
        <f>E5-D5</f>
        <v>-13087270.571080089</v>
      </c>
      <c r="G5" s="1062">
        <v>5282242.66</v>
      </c>
      <c r="H5" s="341">
        <f>순공사비집계표!E6</f>
        <v>2453524.46</v>
      </c>
      <c r="I5" s="342">
        <f>H5-G5</f>
        <v>-2828718.2</v>
      </c>
      <c r="J5" s="1062">
        <v>45915003.659999996</v>
      </c>
      <c r="K5" s="341">
        <f>순공사비집계표!E7</f>
        <v>30859461.640000001</v>
      </c>
      <c r="L5" s="342">
        <f>K5-J5</f>
        <v>-15055542.019999996</v>
      </c>
      <c r="M5" s="1062">
        <f>D5+G5+J5</f>
        <v>681539643.5582</v>
      </c>
      <c r="N5" s="341">
        <f>E5+H5+K5</f>
        <v>650568112.76712</v>
      </c>
      <c r="O5" s="342">
        <f>N5-M5</f>
        <v>-30971530.791079998</v>
      </c>
      <c r="P5" s="1364"/>
      <c r="Q5" s="1365"/>
      <c r="R5" s="343"/>
    </row>
    <row r="6" spans="1:26" ht="43.5" customHeight="1">
      <c r="A6" s="1362"/>
      <c r="B6" s="339" t="s">
        <v>4642</v>
      </c>
      <c r="C6" s="344" t="s">
        <v>4643</v>
      </c>
      <c r="D6" s="1063"/>
      <c r="E6" s="387"/>
      <c r="F6" s="388">
        <f t="shared" ref="F6:F31" si="0">E6-D6</f>
        <v>0</v>
      </c>
      <c r="G6" s="1070"/>
      <c r="H6" s="387"/>
      <c r="I6" s="388">
        <f t="shared" ref="I6:I32" si="1">H6-G6</f>
        <v>0</v>
      </c>
      <c r="J6" s="1070"/>
      <c r="K6" s="387"/>
      <c r="L6" s="388">
        <f t="shared" ref="L6:L30" si="2">K6-J6</f>
        <v>0</v>
      </c>
      <c r="M6" s="1070">
        <f t="shared" ref="M6:M28" si="3">D6+G6+J6</f>
        <v>0</v>
      </c>
      <c r="N6" s="387">
        <f t="shared" ref="N6:N27" si="4">E6+H6+K6</f>
        <v>0</v>
      </c>
      <c r="O6" s="388">
        <f t="shared" ref="O6:O28" si="5">N6-M6</f>
        <v>0</v>
      </c>
      <c r="P6" s="389"/>
      <c r="Q6" s="390"/>
      <c r="R6" s="345"/>
    </row>
    <row r="7" spans="1:26" ht="43.5" customHeight="1">
      <c r="A7" s="1362"/>
      <c r="B7" s="346" t="s">
        <v>4644</v>
      </c>
      <c r="C7" s="347" t="s">
        <v>4645</v>
      </c>
      <c r="D7" s="1064">
        <v>630342397.23820007</v>
      </c>
      <c r="E7" s="391">
        <f>SUM(E5:E5)</f>
        <v>617255126.66711998</v>
      </c>
      <c r="F7" s="392">
        <f t="shared" si="0"/>
        <v>-13087270.571080089</v>
      </c>
      <c r="G7" s="1071">
        <v>5282242.66</v>
      </c>
      <c r="H7" s="391">
        <f>SUM(H5:H5)</f>
        <v>2453524.46</v>
      </c>
      <c r="I7" s="392">
        <f t="shared" si="1"/>
        <v>-2828718.2</v>
      </c>
      <c r="J7" s="1071">
        <v>45915003.659999996</v>
      </c>
      <c r="K7" s="391">
        <f>SUM(K5:K5)</f>
        <v>30859461.640000001</v>
      </c>
      <c r="L7" s="392">
        <f t="shared" si="2"/>
        <v>-15055542.019999996</v>
      </c>
      <c r="M7" s="1071">
        <f t="shared" si="3"/>
        <v>681539643.5582</v>
      </c>
      <c r="N7" s="391">
        <f t="shared" si="4"/>
        <v>650568112.76712</v>
      </c>
      <c r="O7" s="392">
        <f t="shared" si="5"/>
        <v>-30971530.791079998</v>
      </c>
      <c r="P7" s="1359"/>
      <c r="Q7" s="1360"/>
      <c r="R7" s="348"/>
    </row>
    <row r="8" spans="1:26" ht="43.5" customHeight="1">
      <c r="A8" s="1362"/>
      <c r="B8" s="339" t="s">
        <v>4646</v>
      </c>
      <c r="C8" s="349" t="s">
        <v>4647</v>
      </c>
      <c r="D8" s="1062">
        <v>769426984.41095996</v>
      </c>
      <c r="E8" s="341">
        <f>순공사비집계표!G5</f>
        <v>634488442.04488003</v>
      </c>
      <c r="F8" s="342">
        <f t="shared" si="0"/>
        <v>-134938542.36607993</v>
      </c>
      <c r="G8" s="1062">
        <v>261925901.77139997</v>
      </c>
      <c r="H8" s="341">
        <f>순공사비집계표!G6</f>
        <v>181367392.76859999</v>
      </c>
      <c r="I8" s="342">
        <f t="shared" si="1"/>
        <v>-80558509.002799988</v>
      </c>
      <c r="J8" s="1062">
        <v>171933517</v>
      </c>
      <c r="K8" s="341">
        <f>순공사비집계표!G7</f>
        <v>135589169</v>
      </c>
      <c r="L8" s="342">
        <f t="shared" si="2"/>
        <v>-36344348</v>
      </c>
      <c r="M8" s="1062">
        <f t="shared" si="3"/>
        <v>1203286403.1823599</v>
      </c>
      <c r="N8" s="341">
        <f t="shared" si="4"/>
        <v>951445003.81348002</v>
      </c>
      <c r="O8" s="342">
        <f t="shared" si="5"/>
        <v>-251841399.36887991</v>
      </c>
      <c r="P8" s="1366"/>
      <c r="Q8" s="1367"/>
      <c r="R8" s="350"/>
    </row>
    <row r="9" spans="1:26" ht="43.5" customHeight="1">
      <c r="A9" s="1362"/>
      <c r="B9" s="339" t="s">
        <v>4648</v>
      </c>
      <c r="C9" s="351" t="s">
        <v>4649</v>
      </c>
      <c r="D9" s="1065">
        <v>60784731</v>
      </c>
      <c r="E9" s="387">
        <f>INT(E8*(S9))</f>
        <v>50124586</v>
      </c>
      <c r="F9" s="388">
        <f t="shared" si="0"/>
        <v>-10660145</v>
      </c>
      <c r="G9" s="1070">
        <v>20692146</v>
      </c>
      <c r="H9" s="387">
        <f>INT(H8*(S9))</f>
        <v>14328024</v>
      </c>
      <c r="I9" s="388">
        <f t="shared" si="1"/>
        <v>-6364122</v>
      </c>
      <c r="J9" s="1070">
        <v>13582747</v>
      </c>
      <c r="K9" s="387">
        <f>INT(K8*(S9))</f>
        <v>10711544</v>
      </c>
      <c r="L9" s="388">
        <f t="shared" si="2"/>
        <v>-2871203</v>
      </c>
      <c r="M9" s="1070">
        <f t="shared" si="3"/>
        <v>95059624</v>
      </c>
      <c r="N9" s="387">
        <f t="shared" si="4"/>
        <v>75164154</v>
      </c>
      <c r="O9" s="388">
        <f t="shared" si="5"/>
        <v>-19895470</v>
      </c>
      <c r="P9" s="1357" t="s">
        <v>4650</v>
      </c>
      <c r="Q9" s="1358"/>
      <c r="R9" s="345"/>
      <c r="S9" s="353">
        <v>7.9000000000000001E-2</v>
      </c>
    </row>
    <row r="10" spans="1:26" ht="43.5" customHeight="1">
      <c r="A10" s="1362"/>
      <c r="B10" s="354" t="s">
        <v>4651</v>
      </c>
      <c r="C10" s="355" t="s">
        <v>4645</v>
      </c>
      <c r="D10" s="1065">
        <v>830211715.41095996</v>
      </c>
      <c r="E10" s="391">
        <f>SUM(E8:E9)</f>
        <v>684613028.04488003</v>
      </c>
      <c r="F10" s="392">
        <f t="shared" si="0"/>
        <v>-145598687.36607993</v>
      </c>
      <c r="G10" s="1071">
        <v>282618047.77139997</v>
      </c>
      <c r="H10" s="391">
        <f>SUM(H8:H9)</f>
        <v>195695416.76859999</v>
      </c>
      <c r="I10" s="392">
        <f t="shared" si="1"/>
        <v>-86922631.002799988</v>
      </c>
      <c r="J10" s="1071">
        <v>185516264</v>
      </c>
      <c r="K10" s="391">
        <f>SUM(K8:K9)</f>
        <v>146300713</v>
      </c>
      <c r="L10" s="392">
        <f t="shared" si="2"/>
        <v>-39215551</v>
      </c>
      <c r="M10" s="1071">
        <f t="shared" si="3"/>
        <v>1298346027.1823599</v>
      </c>
      <c r="N10" s="391">
        <f t="shared" si="4"/>
        <v>1026609157.81348</v>
      </c>
      <c r="O10" s="392">
        <f t="shared" si="5"/>
        <v>-271736869.36887991</v>
      </c>
      <c r="P10" s="1368"/>
      <c r="Q10" s="1369"/>
      <c r="R10" s="356"/>
    </row>
    <row r="11" spans="1:26" ht="43.5" customHeight="1">
      <c r="A11" s="1362"/>
      <c r="B11" s="1362"/>
      <c r="C11" s="349" t="s">
        <v>4652</v>
      </c>
      <c r="D11" s="1062">
        <v>1226679.6580000001</v>
      </c>
      <c r="E11" s="341">
        <f>순공사비집계표!I5</f>
        <v>1878211.6580000003</v>
      </c>
      <c r="F11" s="342">
        <f t="shared" si="0"/>
        <v>651532.00000000023</v>
      </c>
      <c r="G11" s="1062"/>
      <c r="H11" s="341"/>
      <c r="I11" s="342">
        <f t="shared" si="1"/>
        <v>0</v>
      </c>
      <c r="J11" s="1062"/>
      <c r="K11" s="341"/>
      <c r="L11" s="342">
        <f t="shared" si="2"/>
        <v>0</v>
      </c>
      <c r="M11" s="1062">
        <f t="shared" si="3"/>
        <v>1226679.6580000001</v>
      </c>
      <c r="N11" s="341">
        <f t="shared" si="4"/>
        <v>1878211.6580000003</v>
      </c>
      <c r="O11" s="342">
        <f t="shared" si="5"/>
        <v>651532.00000000023</v>
      </c>
      <c r="P11" s="1364"/>
      <c r="Q11" s="1365"/>
      <c r="R11" s="357"/>
    </row>
    <row r="12" spans="1:26" ht="43.5" customHeight="1">
      <c r="A12" s="1362"/>
      <c r="B12" s="1362"/>
      <c r="C12" s="349" t="s">
        <v>4653</v>
      </c>
      <c r="D12" s="1062">
        <v>31132939</v>
      </c>
      <c r="E12" s="341">
        <f>INT(E10*(S12))</f>
        <v>25672988</v>
      </c>
      <c r="F12" s="342">
        <f t="shared" si="0"/>
        <v>-5459951</v>
      </c>
      <c r="G12" s="1062">
        <v>10598176</v>
      </c>
      <c r="H12" s="341">
        <f>INT(H10*(S12))</f>
        <v>7338578</v>
      </c>
      <c r="I12" s="342">
        <f t="shared" si="1"/>
        <v>-3259598</v>
      </c>
      <c r="J12" s="1062">
        <v>6956859</v>
      </c>
      <c r="K12" s="341">
        <f>INT(K10*(S12))</f>
        <v>5486276</v>
      </c>
      <c r="L12" s="342">
        <f t="shared" si="2"/>
        <v>-1470583</v>
      </c>
      <c r="M12" s="1062">
        <f t="shared" si="3"/>
        <v>48687974</v>
      </c>
      <c r="N12" s="341">
        <f t="shared" si="4"/>
        <v>38497842</v>
      </c>
      <c r="O12" s="342">
        <f t="shared" si="5"/>
        <v>-10190132</v>
      </c>
      <c r="P12" s="1353" t="s">
        <v>4700</v>
      </c>
      <c r="Q12" s="1354"/>
      <c r="R12" s="357"/>
      <c r="S12" s="353">
        <v>3.7499999999999999E-2</v>
      </c>
    </row>
    <row r="13" spans="1:26" ht="43.5" customHeight="1">
      <c r="A13" s="1362"/>
      <c r="B13" s="1362"/>
      <c r="C13" s="349" t="s">
        <v>4654</v>
      </c>
      <c r="D13" s="1062">
        <v>7222841</v>
      </c>
      <c r="E13" s="341">
        <f>INT(E10*(S13))</f>
        <v>5956133</v>
      </c>
      <c r="F13" s="342">
        <f t="shared" si="0"/>
        <v>-1266708</v>
      </c>
      <c r="G13" s="1062">
        <v>2458777</v>
      </c>
      <c r="H13" s="341">
        <f>INT(H10*(S13))</f>
        <v>1702550</v>
      </c>
      <c r="I13" s="342">
        <f t="shared" si="1"/>
        <v>-756227</v>
      </c>
      <c r="J13" s="1062">
        <v>1613991</v>
      </c>
      <c r="K13" s="341">
        <f>INT(K10*(S13))</f>
        <v>1272816</v>
      </c>
      <c r="L13" s="342">
        <f t="shared" si="2"/>
        <v>-341175</v>
      </c>
      <c r="M13" s="1062">
        <f t="shared" si="3"/>
        <v>11295609</v>
      </c>
      <c r="N13" s="341">
        <f t="shared" si="4"/>
        <v>8931499</v>
      </c>
      <c r="O13" s="342">
        <f t="shared" si="5"/>
        <v>-2364110</v>
      </c>
      <c r="P13" s="1353" t="s">
        <v>4655</v>
      </c>
      <c r="Q13" s="1354"/>
      <c r="R13" s="357"/>
      <c r="S13" s="353">
        <v>8.6999999999999994E-3</v>
      </c>
    </row>
    <row r="14" spans="1:26" ht="43.5" customHeight="1">
      <c r="A14" s="1362"/>
      <c r="B14" s="1362"/>
      <c r="C14" s="349" t="s">
        <v>4656</v>
      </c>
      <c r="D14" s="1062">
        <v>24852491</v>
      </c>
      <c r="E14" s="341">
        <f>INT(E8*(S14))</f>
        <v>20493976</v>
      </c>
      <c r="F14" s="342">
        <f t="shared" si="0"/>
        <v>-4358515</v>
      </c>
      <c r="G14" s="1062">
        <v>8460206</v>
      </c>
      <c r="H14" s="341">
        <f>INT(H8*(S14))</f>
        <v>5858166</v>
      </c>
      <c r="I14" s="342">
        <f t="shared" si="1"/>
        <v>-2602040</v>
      </c>
      <c r="J14" s="1062">
        <v>5553452</v>
      </c>
      <c r="K14" s="341">
        <f>INT(K8*(S14))</f>
        <v>4379530</v>
      </c>
      <c r="L14" s="342">
        <f t="shared" si="2"/>
        <v>-1173922</v>
      </c>
      <c r="M14" s="1062">
        <f t="shared" si="3"/>
        <v>38866149</v>
      </c>
      <c r="N14" s="341">
        <f t="shared" si="4"/>
        <v>30731672</v>
      </c>
      <c r="O14" s="342">
        <f t="shared" si="5"/>
        <v>-8134477</v>
      </c>
      <c r="P14" s="1353" t="s">
        <v>4701</v>
      </c>
      <c r="Q14" s="1354"/>
      <c r="R14" s="357"/>
      <c r="S14" s="353">
        <v>3.2300000000000002E-2</v>
      </c>
    </row>
    <row r="15" spans="1:26" ht="43.5" customHeight="1">
      <c r="A15" s="1362"/>
      <c r="B15" s="1362"/>
      <c r="C15" s="349" t="s">
        <v>4657</v>
      </c>
      <c r="D15" s="1062">
        <v>34624214</v>
      </c>
      <c r="E15" s="341">
        <f>INT(E8*(S15))</f>
        <v>28551979</v>
      </c>
      <c r="F15" s="342">
        <f t="shared" si="0"/>
        <v>-6072235</v>
      </c>
      <c r="G15" s="1062">
        <v>11786665</v>
      </c>
      <c r="H15" s="341">
        <f>INT(H8*(S15))</f>
        <v>8161532</v>
      </c>
      <c r="I15" s="342">
        <f t="shared" si="1"/>
        <v>-3625133</v>
      </c>
      <c r="J15" s="1062">
        <v>7737008</v>
      </c>
      <c r="K15" s="341">
        <f>INT(K8*(S15))</f>
        <v>6101512</v>
      </c>
      <c r="L15" s="342">
        <f t="shared" si="2"/>
        <v>-1635496</v>
      </c>
      <c r="M15" s="1062">
        <f t="shared" si="3"/>
        <v>54147887</v>
      </c>
      <c r="N15" s="341">
        <f t="shared" si="4"/>
        <v>42815023</v>
      </c>
      <c r="O15" s="342">
        <f t="shared" si="5"/>
        <v>-11332864</v>
      </c>
      <c r="P15" s="1353" t="s">
        <v>4658</v>
      </c>
      <c r="Q15" s="1354"/>
      <c r="R15" s="357"/>
      <c r="S15" s="353">
        <v>4.4999999999999998E-2</v>
      </c>
    </row>
    <row r="16" spans="1:26" ht="43.5" customHeight="1">
      <c r="A16" s="1362"/>
      <c r="B16" s="1362"/>
      <c r="C16" s="349" t="s">
        <v>4659</v>
      </c>
      <c r="D16" s="1062">
        <v>2114946</v>
      </c>
      <c r="E16" s="341">
        <f>INT(E14*(S16))</f>
        <v>1744037</v>
      </c>
      <c r="F16" s="342">
        <f t="shared" si="0"/>
        <v>-370909</v>
      </c>
      <c r="G16" s="1062">
        <v>719963</v>
      </c>
      <c r="H16" s="341">
        <f>INT(H14*(S16))</f>
        <v>498529</v>
      </c>
      <c r="I16" s="342">
        <f t="shared" si="1"/>
        <v>-221434</v>
      </c>
      <c r="J16" s="1062">
        <v>472598</v>
      </c>
      <c r="K16" s="341">
        <f>INT(K14*(S16))</f>
        <v>372698</v>
      </c>
      <c r="L16" s="342">
        <f t="shared" si="2"/>
        <v>-99900</v>
      </c>
      <c r="M16" s="1062">
        <f t="shared" si="3"/>
        <v>3307507</v>
      </c>
      <c r="N16" s="341">
        <f t="shared" si="4"/>
        <v>2615264</v>
      </c>
      <c r="O16" s="342">
        <f t="shared" si="5"/>
        <v>-692243</v>
      </c>
      <c r="P16" s="1353" t="s">
        <v>4702</v>
      </c>
      <c r="Q16" s="1354"/>
      <c r="R16" s="357"/>
      <c r="S16" s="353">
        <v>8.5099999999999995E-2</v>
      </c>
    </row>
    <row r="17" spans="1:21" ht="43.5" customHeight="1">
      <c r="A17" s="1362"/>
      <c r="B17" s="1362"/>
      <c r="C17" s="349" t="s">
        <v>4660</v>
      </c>
      <c r="D17" s="1062">
        <v>17696820</v>
      </c>
      <c r="E17" s="341">
        <f>INT((E8)*(S17))</f>
        <v>14593234</v>
      </c>
      <c r="F17" s="342">
        <f t="shared" si="0"/>
        <v>-3103586</v>
      </c>
      <c r="G17" s="1062">
        <v>6024295</v>
      </c>
      <c r="H17" s="341">
        <f>INT((H8)*(S17))</f>
        <v>4171450</v>
      </c>
      <c r="I17" s="342">
        <f t="shared" si="1"/>
        <v>-1852845</v>
      </c>
      <c r="J17" s="1062">
        <v>3954470</v>
      </c>
      <c r="K17" s="341">
        <f>INT((K8)*(S17))</f>
        <v>3118550</v>
      </c>
      <c r="L17" s="342">
        <f t="shared" si="2"/>
        <v>-835920</v>
      </c>
      <c r="M17" s="1062">
        <f t="shared" si="3"/>
        <v>27675585</v>
      </c>
      <c r="N17" s="341">
        <f t="shared" si="4"/>
        <v>21883234</v>
      </c>
      <c r="O17" s="342">
        <f t="shared" si="5"/>
        <v>-5792351</v>
      </c>
      <c r="P17" s="1353" t="s">
        <v>4661</v>
      </c>
      <c r="Q17" s="1354"/>
      <c r="R17" s="357"/>
      <c r="S17" s="358">
        <v>2.3E-2</v>
      </c>
    </row>
    <row r="18" spans="1:21" ht="43.5" customHeight="1">
      <c r="A18" s="1362"/>
      <c r="B18" s="1362"/>
      <c r="C18" s="349" t="s">
        <v>4662</v>
      </c>
      <c r="D18" s="1062">
        <v>31384710</v>
      </c>
      <c r="E18" s="341">
        <f>INT((E7+E8)*(S18))+T18</f>
        <v>28631430</v>
      </c>
      <c r="F18" s="342">
        <f t="shared" si="0"/>
        <v>-2753280</v>
      </c>
      <c r="G18" s="1062">
        <v>10319071</v>
      </c>
      <c r="H18" s="341">
        <f>INT((H7+H8)*(S18))+T18</f>
        <v>8768069</v>
      </c>
      <c r="I18" s="342">
        <f t="shared" si="1"/>
        <v>-1551002</v>
      </c>
      <c r="J18" s="1062">
        <v>9400982</v>
      </c>
      <c r="K18" s="341">
        <f>INT((K7+K8)*(S18))+T18</f>
        <v>8444944</v>
      </c>
      <c r="L18" s="342">
        <f>K18-J18</f>
        <v>-956038</v>
      </c>
      <c r="M18" s="1062">
        <f t="shared" si="3"/>
        <v>51104763</v>
      </c>
      <c r="N18" s="341">
        <f t="shared" si="4"/>
        <v>45844443</v>
      </c>
      <c r="O18" s="342">
        <f t="shared" si="5"/>
        <v>-5260320</v>
      </c>
      <c r="P18" s="1353" t="s">
        <v>4699</v>
      </c>
      <c r="Q18" s="1361"/>
      <c r="R18" s="357"/>
      <c r="S18" s="358">
        <v>1.8599999999999998E-2</v>
      </c>
      <c r="T18" s="327">
        <v>5349000</v>
      </c>
    </row>
    <row r="19" spans="1:21" ht="43.5" customHeight="1">
      <c r="A19" s="1362"/>
      <c r="B19" s="1362"/>
      <c r="C19" s="359" t="s">
        <v>4663</v>
      </c>
      <c r="D19" s="1066">
        <v>84712138</v>
      </c>
      <c r="E19" s="360">
        <f>INT((E7+E10)*(S19))</f>
        <v>75508352</v>
      </c>
      <c r="F19" s="342">
        <f t="shared" si="0"/>
        <v>-9203786</v>
      </c>
      <c r="G19" s="1066">
        <v>16698216</v>
      </c>
      <c r="H19" s="360">
        <f>INT((H7+H10)*(S19))</f>
        <v>11492638</v>
      </c>
      <c r="I19" s="342">
        <f t="shared" si="1"/>
        <v>-5205578</v>
      </c>
      <c r="J19" s="1066">
        <v>13423013</v>
      </c>
      <c r="K19" s="360">
        <f>INT((K7+K10)*(S19))</f>
        <v>10275290</v>
      </c>
      <c r="L19" s="342">
        <f>K19-J19</f>
        <v>-3147723</v>
      </c>
      <c r="M19" s="1062">
        <f t="shared" si="3"/>
        <v>114833367</v>
      </c>
      <c r="N19" s="341">
        <f t="shared" si="4"/>
        <v>97276280</v>
      </c>
      <c r="O19" s="342">
        <f t="shared" si="5"/>
        <v>-17557087</v>
      </c>
      <c r="P19" s="1353" t="s">
        <v>4703</v>
      </c>
      <c r="Q19" s="1354"/>
      <c r="R19" s="357"/>
      <c r="S19" s="358">
        <v>5.8000000000000003E-2</v>
      </c>
    </row>
    <row r="20" spans="1:21" ht="43.5" customHeight="1">
      <c r="A20" s="1362"/>
      <c r="B20" s="1362"/>
      <c r="C20" s="359" t="s">
        <v>6820</v>
      </c>
      <c r="D20" s="1066">
        <v>6734130</v>
      </c>
      <c r="E20" s="360">
        <f>순공사비집계표!I30</f>
        <v>6734130</v>
      </c>
      <c r="F20" s="342">
        <f>E20-D20</f>
        <v>0</v>
      </c>
      <c r="G20" s="1066"/>
      <c r="H20" s="360"/>
      <c r="I20" s="342"/>
      <c r="J20" s="1066"/>
      <c r="K20" s="360"/>
      <c r="L20" s="342"/>
      <c r="M20" s="1062">
        <v>6734130</v>
      </c>
      <c r="N20" s="341">
        <f t="shared" si="4"/>
        <v>6734130</v>
      </c>
      <c r="O20" s="342">
        <f t="shared" si="5"/>
        <v>0</v>
      </c>
      <c r="P20" s="1353"/>
      <c r="Q20" s="1354"/>
      <c r="R20" s="357"/>
      <c r="S20" s="358"/>
    </row>
    <row r="21" spans="1:21" ht="43.5" customHeight="1">
      <c r="A21" s="1362"/>
      <c r="B21" s="1362"/>
      <c r="C21" s="1288" t="s">
        <v>6816</v>
      </c>
      <c r="D21" s="1289"/>
      <c r="E21" s="1289">
        <f>TRUNC(SUM(E7,E8,E11)*0.3%,0)</f>
        <v>3760865</v>
      </c>
      <c r="F21" s="1290">
        <f>E21-D21</f>
        <v>3760865</v>
      </c>
      <c r="G21" s="1289"/>
      <c r="H21" s="1289">
        <f>TRUNC(SUM(H7,H8,H11)*0.3%,0)</f>
        <v>551462</v>
      </c>
      <c r="I21" s="1290">
        <f>H21-G21</f>
        <v>551462</v>
      </c>
      <c r="J21" s="1289"/>
      <c r="K21" s="1289">
        <f>TRUNC(SUM(K7,K8,K11)*0.3%,0)</f>
        <v>499345</v>
      </c>
      <c r="L21" s="1290">
        <f>K21-J21</f>
        <v>499345</v>
      </c>
      <c r="M21" s="1291"/>
      <c r="N21" s="1291">
        <f>SUM(E21,H21,K21)</f>
        <v>4811672</v>
      </c>
      <c r="O21" s="1290">
        <f>N21-M21</f>
        <v>4811672</v>
      </c>
      <c r="P21" s="1355" t="s">
        <v>6817</v>
      </c>
      <c r="Q21" s="1356"/>
      <c r="R21" s="1292"/>
      <c r="S21" s="362">
        <v>3.0000000000000001E-3</v>
      </c>
      <c r="T21" s="327" t="s">
        <v>6826</v>
      </c>
    </row>
    <row r="22" spans="1:21" ht="43.5" customHeight="1">
      <c r="A22" s="1362"/>
      <c r="B22" s="1362"/>
      <c r="C22" s="361"/>
      <c r="D22" s="1066"/>
      <c r="E22" s="360"/>
      <c r="F22" s="342"/>
      <c r="G22" s="1066"/>
      <c r="H22" s="360"/>
      <c r="I22" s="342"/>
      <c r="J22" s="1066"/>
      <c r="K22" s="360"/>
      <c r="L22" s="342"/>
      <c r="M22" s="1062"/>
      <c r="N22" s="341"/>
      <c r="O22" s="342"/>
      <c r="P22" s="1353"/>
      <c r="Q22" s="1354"/>
      <c r="R22" s="357"/>
      <c r="S22" s="362"/>
    </row>
    <row r="23" spans="1:21" ht="43.5" customHeight="1">
      <c r="A23" s="1363"/>
      <c r="B23" s="1363"/>
      <c r="C23" s="363" t="s">
        <v>4645</v>
      </c>
      <c r="D23" s="1065">
        <v>241701908.65799999</v>
      </c>
      <c r="E23" s="387">
        <f>SUM(E11:E18,E19:E22)</f>
        <v>213525335.65799999</v>
      </c>
      <c r="F23" s="388">
        <f>E23-D23</f>
        <v>-28176573</v>
      </c>
      <c r="G23" s="1070">
        <v>67065369</v>
      </c>
      <c r="H23" s="387">
        <f>SUM(H11:H18,H19:H22)</f>
        <v>48542974</v>
      </c>
      <c r="I23" s="388">
        <f t="shared" si="1"/>
        <v>-18522395</v>
      </c>
      <c r="J23" s="1070">
        <v>49112373</v>
      </c>
      <c r="K23" s="387">
        <f>SUM(K11:K18,K19:K22)</f>
        <v>39950961</v>
      </c>
      <c r="L23" s="388">
        <f t="shared" si="2"/>
        <v>-9161412</v>
      </c>
      <c r="M23" s="1070">
        <f t="shared" si="3"/>
        <v>357879650.65799999</v>
      </c>
      <c r="N23" s="387">
        <f t="shared" si="4"/>
        <v>302019270.65799999</v>
      </c>
      <c r="O23" s="388">
        <f t="shared" si="5"/>
        <v>-55860380</v>
      </c>
      <c r="P23" s="1357"/>
      <c r="Q23" s="1358"/>
      <c r="R23" s="345"/>
    </row>
    <row r="24" spans="1:21" ht="43.5" customHeight="1">
      <c r="A24" s="1336" t="s">
        <v>4664</v>
      </c>
      <c r="B24" s="1337"/>
      <c r="C24" s="1338"/>
      <c r="D24" s="1065">
        <v>1702256021.3071599</v>
      </c>
      <c r="E24" s="352">
        <f>+E7+E10+E23</f>
        <v>1515393490.3699999</v>
      </c>
      <c r="F24" s="392">
        <f t="shared" si="0"/>
        <v>-186862530.93716002</v>
      </c>
      <c r="G24" s="1071">
        <v>354965659.4314</v>
      </c>
      <c r="H24" s="391">
        <f>+H7+H10+H23</f>
        <v>246691915.2286</v>
      </c>
      <c r="I24" s="392">
        <f t="shared" si="1"/>
        <v>-108273744.20280001</v>
      </c>
      <c r="J24" s="1071">
        <v>280543640.65999997</v>
      </c>
      <c r="K24" s="391">
        <f>+K7+K10+K23</f>
        <v>217111135.63999999</v>
      </c>
      <c r="L24" s="392">
        <f t="shared" si="2"/>
        <v>-63432505.019999981</v>
      </c>
      <c r="M24" s="1071">
        <f t="shared" si="3"/>
        <v>2337765321.39856</v>
      </c>
      <c r="N24" s="391">
        <f t="shared" si="4"/>
        <v>1979196541.2385998</v>
      </c>
      <c r="O24" s="392">
        <f t="shared" si="5"/>
        <v>-358568780.15996027</v>
      </c>
      <c r="P24" s="1359"/>
      <c r="Q24" s="1360"/>
      <c r="R24" s="348"/>
    </row>
    <row r="25" spans="1:21" ht="43.5" customHeight="1">
      <c r="A25" s="1336" t="s">
        <v>2302</v>
      </c>
      <c r="B25" s="1337"/>
      <c r="C25" s="1338"/>
      <c r="D25" s="1065">
        <v>102135361</v>
      </c>
      <c r="E25" s="393">
        <f>INT(E24*(S25))</f>
        <v>90923609</v>
      </c>
      <c r="F25" s="374">
        <f t="shared" si="0"/>
        <v>-11211752</v>
      </c>
      <c r="G25" s="1072">
        <v>21297939</v>
      </c>
      <c r="H25" s="393">
        <f>INT(H24*(S25))</f>
        <v>14801514</v>
      </c>
      <c r="I25" s="374">
        <f t="shared" si="1"/>
        <v>-6496425</v>
      </c>
      <c r="J25" s="1072">
        <v>16832618</v>
      </c>
      <c r="K25" s="393">
        <f>INT(K24*(S25))</f>
        <v>13026668</v>
      </c>
      <c r="L25" s="374">
        <f t="shared" si="2"/>
        <v>-3805950</v>
      </c>
      <c r="M25" s="1072">
        <f t="shared" si="3"/>
        <v>140265918</v>
      </c>
      <c r="N25" s="393">
        <f t="shared" si="4"/>
        <v>118751791</v>
      </c>
      <c r="O25" s="374">
        <f t="shared" si="5"/>
        <v>-21514127</v>
      </c>
      <c r="P25" s="1349" t="s">
        <v>4665</v>
      </c>
      <c r="Q25" s="1350"/>
      <c r="R25" s="348"/>
      <c r="S25" s="364">
        <v>0.06</v>
      </c>
    </row>
    <row r="26" spans="1:21" ht="43.5" customHeight="1">
      <c r="A26" s="1336" t="s">
        <v>2303</v>
      </c>
      <c r="B26" s="1337"/>
      <c r="C26" s="1338"/>
      <c r="D26" s="1065">
        <v>176107347</v>
      </c>
      <c r="E26" s="391">
        <f>INT((E10+E23+E25)*(S26))+400/1.1</f>
        <v>148359658.63636363</v>
      </c>
      <c r="F26" s="392">
        <f t="shared" si="0"/>
        <v>-27747688.363636374</v>
      </c>
      <c r="G26" s="1071">
        <v>55647203</v>
      </c>
      <c r="H26" s="391">
        <f>INT((H10+H23+H25)*(S26))</f>
        <v>38855985</v>
      </c>
      <c r="I26" s="392">
        <f t="shared" si="1"/>
        <v>-16791218</v>
      </c>
      <c r="J26" s="1071">
        <v>37719188</v>
      </c>
      <c r="K26" s="391">
        <f>INT((K10+K23+K25)*(S26))</f>
        <v>29891751</v>
      </c>
      <c r="L26" s="392">
        <f t="shared" si="2"/>
        <v>-7827437</v>
      </c>
      <c r="M26" s="1071">
        <f t="shared" si="3"/>
        <v>269473738</v>
      </c>
      <c r="N26" s="391">
        <f t="shared" si="4"/>
        <v>217107394.63636363</v>
      </c>
      <c r="O26" s="392">
        <f t="shared" si="5"/>
        <v>-52366343.363636374</v>
      </c>
      <c r="P26" s="1342" t="s">
        <v>4666</v>
      </c>
      <c r="Q26" s="1343"/>
      <c r="R26" s="348"/>
      <c r="S26" s="364">
        <v>0.15</v>
      </c>
    </row>
    <row r="27" spans="1:21" ht="43.5" customHeight="1">
      <c r="A27" s="1336" t="s">
        <v>4667</v>
      </c>
      <c r="B27" s="1337"/>
      <c r="C27" s="1338"/>
      <c r="D27" s="1065">
        <v>1980498729.3071599</v>
      </c>
      <c r="E27" s="391">
        <f>SUM(E24:E26)</f>
        <v>1754676758.0063634</v>
      </c>
      <c r="F27" s="392">
        <f t="shared" si="0"/>
        <v>-225821971.30079651</v>
      </c>
      <c r="G27" s="1071">
        <v>431910801.4314</v>
      </c>
      <c r="H27" s="391">
        <f>SUM(H24:H26)</f>
        <v>300349414.22860003</v>
      </c>
      <c r="I27" s="392">
        <f t="shared" si="1"/>
        <v>-131561387.20279998</v>
      </c>
      <c r="J27" s="1071">
        <v>335095446.65999997</v>
      </c>
      <c r="K27" s="391">
        <f>SUM(K24:K26)</f>
        <v>260029554.63999999</v>
      </c>
      <c r="L27" s="392">
        <f t="shared" si="2"/>
        <v>-75065892.019999981</v>
      </c>
      <c r="M27" s="1071">
        <f t="shared" si="3"/>
        <v>2747504977.3985596</v>
      </c>
      <c r="N27" s="391">
        <f t="shared" si="4"/>
        <v>2315055726.8749633</v>
      </c>
      <c r="O27" s="392">
        <f t="shared" si="5"/>
        <v>-432449250.52359629</v>
      </c>
      <c r="P27" s="1351"/>
      <c r="Q27" s="1352"/>
      <c r="R27" s="365"/>
      <c r="S27" s="366"/>
    </row>
    <row r="28" spans="1:21" ht="43.5" customHeight="1">
      <c r="A28" s="1336" t="s">
        <v>2305</v>
      </c>
      <c r="B28" s="1337"/>
      <c r="C28" s="1338"/>
      <c r="D28" s="1065">
        <v>198049872</v>
      </c>
      <c r="E28" s="391">
        <f>INT(E27*($S28))</f>
        <v>175467675</v>
      </c>
      <c r="F28" s="392">
        <f t="shared" si="0"/>
        <v>-22582197</v>
      </c>
      <c r="G28" s="1071">
        <v>43191080</v>
      </c>
      <c r="H28" s="391">
        <f>INT(H27*(S28))</f>
        <v>30034941</v>
      </c>
      <c r="I28" s="392">
        <f t="shared" si="1"/>
        <v>-13156139</v>
      </c>
      <c r="J28" s="1071">
        <v>33509544</v>
      </c>
      <c r="K28" s="391">
        <f>INT(K27*(S28))</f>
        <v>26002955</v>
      </c>
      <c r="L28" s="392">
        <f t="shared" si="2"/>
        <v>-7506589</v>
      </c>
      <c r="M28" s="1071">
        <f t="shared" si="3"/>
        <v>274750496</v>
      </c>
      <c r="N28" s="391">
        <f>E28+H28+K28</f>
        <v>231505571</v>
      </c>
      <c r="O28" s="392">
        <f t="shared" si="5"/>
        <v>-43244925</v>
      </c>
      <c r="P28" s="1342" t="s">
        <v>4668</v>
      </c>
      <c r="Q28" s="1343"/>
      <c r="R28" s="348"/>
      <c r="S28" s="367">
        <v>0.1</v>
      </c>
    </row>
    <row r="29" spans="1:21" ht="43.5" customHeight="1">
      <c r="A29" s="1344" t="s">
        <v>4669</v>
      </c>
      <c r="B29" s="1345"/>
      <c r="C29" s="1346"/>
      <c r="D29" s="1067">
        <v>2178548601.3071599</v>
      </c>
      <c r="E29" s="368">
        <f>+E27+E28</f>
        <v>1930144433.0063634</v>
      </c>
      <c r="F29" s="392">
        <f t="shared" si="0"/>
        <v>-248404168.30079651</v>
      </c>
      <c r="G29" s="1073">
        <v>475101881.4314</v>
      </c>
      <c r="H29" s="394">
        <f>+H27+H28</f>
        <v>330384355.22860003</v>
      </c>
      <c r="I29" s="392">
        <f t="shared" si="1"/>
        <v>-144717526.20279998</v>
      </c>
      <c r="J29" s="1073">
        <v>368604990.65999997</v>
      </c>
      <c r="K29" s="394">
        <f>+K27+K28</f>
        <v>286032509.63999999</v>
      </c>
      <c r="L29" s="392">
        <f t="shared" si="2"/>
        <v>-82572481.019999981</v>
      </c>
      <c r="M29" s="1073">
        <f t="shared" ref="M29:N32" si="6">D29+G29+J29</f>
        <v>3022255473.3985596</v>
      </c>
      <c r="N29" s="394">
        <f t="shared" si="6"/>
        <v>2546561297.8749633</v>
      </c>
      <c r="O29" s="392">
        <f t="shared" ref="O29:O30" si="7">N29-M29</f>
        <v>-475694175.52359629</v>
      </c>
      <c r="P29" s="1347"/>
      <c r="Q29" s="1348"/>
      <c r="R29" s="369"/>
    </row>
    <row r="30" spans="1:21" ht="43.5" customHeight="1">
      <c r="A30" s="1336" t="s">
        <v>4707</v>
      </c>
      <c r="B30" s="1337"/>
      <c r="C30" s="1338"/>
      <c r="D30" s="1065">
        <v>1695160000</v>
      </c>
      <c r="E30" s="352">
        <f>순공사비집계표!K15+순공사비집계표!K16+순공사비집계표!K18</f>
        <v>1695160000</v>
      </c>
      <c r="F30" s="392">
        <f>E30-D30</f>
        <v>0</v>
      </c>
      <c r="G30" s="1071"/>
      <c r="H30" s="391"/>
      <c r="I30" s="392">
        <f t="shared" si="1"/>
        <v>0</v>
      </c>
      <c r="J30" s="1071">
        <v>66475640</v>
      </c>
      <c r="K30" s="391">
        <f ca="1">순공사비집계표!K17</f>
        <v>66475640</v>
      </c>
      <c r="L30" s="392">
        <f t="shared" ca="1" si="2"/>
        <v>0</v>
      </c>
      <c r="M30" s="1071">
        <f t="shared" si="6"/>
        <v>1761635640</v>
      </c>
      <c r="N30" s="391">
        <f t="shared" ca="1" si="6"/>
        <v>1761635640</v>
      </c>
      <c r="O30" s="392">
        <f t="shared" ca="1" si="7"/>
        <v>0</v>
      </c>
      <c r="P30" s="370"/>
      <c r="Q30" s="371"/>
      <c r="R30" s="372"/>
    </row>
    <row r="31" spans="1:21" ht="43.5" customHeight="1">
      <c r="A31" s="1336"/>
      <c r="B31" s="1337"/>
      <c r="C31" s="1338"/>
      <c r="D31" s="1065"/>
      <c r="E31" s="352"/>
      <c r="F31" s="392">
        <f t="shared" si="0"/>
        <v>0</v>
      </c>
      <c r="G31" s="1071"/>
      <c r="H31" s="391"/>
      <c r="I31" s="392">
        <f t="shared" si="1"/>
        <v>0</v>
      </c>
      <c r="J31" s="1071"/>
      <c r="K31" s="391"/>
      <c r="L31" s="392">
        <f>K31-J31</f>
        <v>0</v>
      </c>
      <c r="M31" s="1071">
        <f t="shared" si="6"/>
        <v>0</v>
      </c>
      <c r="N31" s="391">
        <f t="shared" si="6"/>
        <v>0</v>
      </c>
      <c r="O31" s="392">
        <f>N31-M31</f>
        <v>0</v>
      </c>
      <c r="P31" s="398"/>
      <c r="Q31" s="371"/>
      <c r="R31" s="372"/>
    </row>
    <row r="32" spans="1:21" s="379" customFormat="1" ht="43.5" customHeight="1">
      <c r="A32" s="1339" t="s">
        <v>4670</v>
      </c>
      <c r="B32" s="1340"/>
      <c r="C32" s="1341"/>
      <c r="D32" s="1068">
        <v>3873708601.3071599</v>
      </c>
      <c r="E32" s="373">
        <f>SUM(E29:E31)</f>
        <v>3625304433.0063634</v>
      </c>
      <c r="F32" s="374">
        <f>E32-D32</f>
        <v>-248404168.30079651</v>
      </c>
      <c r="G32" s="1074">
        <v>475101881.4314</v>
      </c>
      <c r="H32" s="395">
        <f>SUM(H29:H31)</f>
        <v>330384355.22860003</v>
      </c>
      <c r="I32" s="374">
        <f t="shared" si="1"/>
        <v>-144717526.20279998</v>
      </c>
      <c r="J32" s="1074">
        <v>435080630.65999997</v>
      </c>
      <c r="K32" s="395">
        <f ca="1">SUM(K29:K31)</f>
        <v>352508149.63999999</v>
      </c>
      <c r="L32" s="374">
        <f ca="1">K32-J32</f>
        <v>-82572481.019999981</v>
      </c>
      <c r="M32" s="1075">
        <f t="shared" si="6"/>
        <v>4783891113.3985596</v>
      </c>
      <c r="N32" s="396">
        <f ca="1">E32+H32+K32</f>
        <v>4308196937.8749638</v>
      </c>
      <c r="O32" s="374">
        <f ca="1">N32-M32</f>
        <v>-475694175.52359581</v>
      </c>
      <c r="P32" s="397"/>
      <c r="Q32" s="375"/>
      <c r="R32" s="376"/>
      <c r="S32" s="377"/>
      <c r="T32" s="378"/>
      <c r="U32" s="378"/>
    </row>
    <row r="33" spans="5:17" ht="30" customHeight="1"/>
    <row r="34" spans="5:17" ht="30" customHeight="1">
      <c r="E34" s="381" t="s">
        <v>4671</v>
      </c>
      <c r="F34" s="382">
        <f>F29/D29</f>
        <v>-0.1140227801903297</v>
      </c>
      <c r="H34" s="381" t="s">
        <v>6749</v>
      </c>
      <c r="I34" s="382">
        <f>I29/G29</f>
        <v>-0.30460314273391431</v>
      </c>
      <c r="K34" s="381" t="s">
        <v>4672</v>
      </c>
      <c r="L34" s="382">
        <f>L29/J29</f>
        <v>-0.22401346458210211</v>
      </c>
      <c r="N34" s="381" t="s">
        <v>4673</v>
      </c>
      <c r="O34" s="382">
        <f>O29/M29</f>
        <v>-0.15739707635922418</v>
      </c>
    </row>
    <row r="35" spans="5:17" ht="30" customHeight="1"/>
    <row r="36" spans="5:17" ht="30" customHeight="1">
      <c r="Q36" s="327">
        <f>N29-M29</f>
        <v>-475694175.52359629</v>
      </c>
    </row>
    <row r="37" spans="5:17" ht="30" customHeight="1"/>
    <row r="38" spans="5:17" ht="30" customHeight="1"/>
    <row r="39" spans="5:17" ht="30" customHeight="1"/>
    <row r="40" spans="5:17" ht="30" customHeight="1"/>
    <row r="41" spans="5:17" ht="30" customHeight="1"/>
    <row r="42" spans="5:17" ht="30" customHeight="1"/>
    <row r="43" spans="5:17" ht="30" customHeight="1"/>
    <row r="44" spans="5:17" ht="30" customHeight="1"/>
    <row r="45" spans="5:17" ht="30" customHeight="1"/>
    <row r="46" spans="5:17" ht="30" customHeight="1"/>
    <row r="47" spans="5:17" ht="30" customHeight="1"/>
  </sheetData>
  <mergeCells count="43">
    <mergeCell ref="P13:Q13"/>
    <mergeCell ref="A1:Q1"/>
    <mergeCell ref="A3:B4"/>
    <mergeCell ref="C3:C4"/>
    <mergeCell ref="D3:F3"/>
    <mergeCell ref="G3:I3"/>
    <mergeCell ref="J3:L3"/>
    <mergeCell ref="M3:O3"/>
    <mergeCell ref="P3:Q3"/>
    <mergeCell ref="A24:C24"/>
    <mergeCell ref="P24:Q24"/>
    <mergeCell ref="P14:Q14"/>
    <mergeCell ref="P15:Q15"/>
    <mergeCell ref="P16:Q16"/>
    <mergeCell ref="P17:Q17"/>
    <mergeCell ref="P18:Q18"/>
    <mergeCell ref="A5:A23"/>
    <mergeCell ref="P5:Q5"/>
    <mergeCell ref="P7:Q7"/>
    <mergeCell ref="P8:Q8"/>
    <mergeCell ref="P9:Q9"/>
    <mergeCell ref="P10:Q10"/>
    <mergeCell ref="B11:B23"/>
    <mergeCell ref="P11:Q11"/>
    <mergeCell ref="P12:Q12"/>
    <mergeCell ref="P19:Q19"/>
    <mergeCell ref="P20:Q20"/>
    <mergeCell ref="P21:Q21"/>
    <mergeCell ref="P22:Q22"/>
    <mergeCell ref="P23:Q23"/>
    <mergeCell ref="A25:C25"/>
    <mergeCell ref="P25:Q25"/>
    <mergeCell ref="A26:C26"/>
    <mergeCell ref="P26:Q26"/>
    <mergeCell ref="A27:C27"/>
    <mergeCell ref="P27:Q27"/>
    <mergeCell ref="A31:C31"/>
    <mergeCell ref="A32:C32"/>
    <mergeCell ref="A28:C28"/>
    <mergeCell ref="P28:Q28"/>
    <mergeCell ref="A29:C29"/>
    <mergeCell ref="P29:Q29"/>
    <mergeCell ref="A30:C30"/>
  </mergeCells>
  <phoneticPr fontId="49" type="noConversion"/>
  <printOptions horizontalCentered="1"/>
  <pageMargins left="0.25" right="0.25" top="0.75" bottom="0.75" header="0.3" footer="0.3"/>
  <pageSetup paperSize="9" scale="35" fitToHeight="0" orientation="landscape" horizontalDpi="4294967293" vertic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R48"/>
  <sheetViews>
    <sheetView zoomScaleSheetLayoutView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L1"/>
    </sheetView>
  </sheetViews>
  <sheetFormatPr defaultRowHeight="13.5"/>
  <cols>
    <col min="1" max="1" width="28.25" style="317" customWidth="1"/>
    <col min="2" max="3" width="5.625" style="318" bestFit="1" customWidth="1"/>
    <col min="4" max="4" width="15.625" style="1090" customWidth="1"/>
    <col min="5" max="5" width="15.625" style="320" customWidth="1"/>
    <col min="6" max="6" width="15.625" style="1090" customWidth="1"/>
    <col min="7" max="7" width="15.625" style="320" customWidth="1"/>
    <col min="8" max="8" width="15.625" style="1090" customWidth="1"/>
    <col min="9" max="9" width="15.625" style="320" customWidth="1"/>
    <col min="10" max="10" width="15.625" style="1090" customWidth="1"/>
    <col min="11" max="11" width="15.625" style="320" customWidth="1"/>
    <col min="12" max="12" width="9" style="318"/>
    <col min="13" max="13" width="9" style="316"/>
    <col min="14" max="14" width="15.5" style="315" bestFit="1" customWidth="1"/>
    <col min="15" max="15" width="15.625" style="316" bestFit="1" customWidth="1"/>
    <col min="16" max="16" width="13.75" style="316" bestFit="1" customWidth="1"/>
    <col min="17" max="17" width="13.625" style="316" bestFit="1" customWidth="1"/>
    <col min="18" max="18" width="15.75" style="316" bestFit="1" customWidth="1"/>
    <col min="19" max="260" width="9" style="316"/>
    <col min="261" max="261" width="28.25" style="316" customWidth="1"/>
    <col min="262" max="263" width="5.625" style="316" bestFit="1" customWidth="1"/>
    <col min="264" max="264" width="19" style="316" customWidth="1"/>
    <col min="265" max="265" width="19.25" style="316" customWidth="1"/>
    <col min="266" max="266" width="18.875" style="316" customWidth="1"/>
    <col min="267" max="267" width="16.625" style="316" customWidth="1"/>
    <col min="268" max="269" width="9" style="316"/>
    <col min="270" max="270" width="15.5" style="316" bestFit="1" customWidth="1"/>
    <col min="271" max="271" width="15.625" style="316" bestFit="1" customWidth="1"/>
    <col min="272" max="272" width="13.75" style="316" bestFit="1" customWidth="1"/>
    <col min="273" max="273" width="13.625" style="316" bestFit="1" customWidth="1"/>
    <col min="274" max="274" width="15.75" style="316" bestFit="1" customWidth="1"/>
    <col min="275" max="516" width="9" style="316"/>
    <col min="517" max="517" width="28.25" style="316" customWidth="1"/>
    <col min="518" max="519" width="5.625" style="316" bestFit="1" customWidth="1"/>
    <col min="520" max="520" width="19" style="316" customWidth="1"/>
    <col min="521" max="521" width="19.25" style="316" customWidth="1"/>
    <col min="522" max="522" width="18.875" style="316" customWidth="1"/>
    <col min="523" max="523" width="16.625" style="316" customWidth="1"/>
    <col min="524" max="525" width="9" style="316"/>
    <col min="526" max="526" width="15.5" style="316" bestFit="1" customWidth="1"/>
    <col min="527" max="527" width="15.625" style="316" bestFit="1" customWidth="1"/>
    <col min="528" max="528" width="13.75" style="316" bestFit="1" customWidth="1"/>
    <col min="529" max="529" width="13.625" style="316" bestFit="1" customWidth="1"/>
    <col min="530" max="530" width="15.75" style="316" bestFit="1" customWidth="1"/>
    <col min="531" max="772" width="9" style="316"/>
    <col min="773" max="773" width="28.25" style="316" customWidth="1"/>
    <col min="774" max="775" width="5.625" style="316" bestFit="1" customWidth="1"/>
    <col min="776" max="776" width="19" style="316" customWidth="1"/>
    <col min="777" max="777" width="19.25" style="316" customWidth="1"/>
    <col min="778" max="778" width="18.875" style="316" customWidth="1"/>
    <col min="779" max="779" width="16.625" style="316" customWidth="1"/>
    <col min="780" max="781" width="9" style="316"/>
    <col min="782" max="782" width="15.5" style="316" bestFit="1" customWidth="1"/>
    <col min="783" max="783" width="15.625" style="316" bestFit="1" customWidth="1"/>
    <col min="784" max="784" width="13.75" style="316" bestFit="1" customWidth="1"/>
    <col min="785" max="785" width="13.625" style="316" bestFit="1" customWidth="1"/>
    <col min="786" max="786" width="15.75" style="316" bestFit="1" customWidth="1"/>
    <col min="787" max="1028" width="9" style="316"/>
    <col min="1029" max="1029" width="28.25" style="316" customWidth="1"/>
    <col min="1030" max="1031" width="5.625" style="316" bestFit="1" customWidth="1"/>
    <col min="1032" max="1032" width="19" style="316" customWidth="1"/>
    <col min="1033" max="1033" width="19.25" style="316" customWidth="1"/>
    <col min="1034" max="1034" width="18.875" style="316" customWidth="1"/>
    <col min="1035" max="1035" width="16.625" style="316" customWidth="1"/>
    <col min="1036" max="1037" width="9" style="316"/>
    <col min="1038" max="1038" width="15.5" style="316" bestFit="1" customWidth="1"/>
    <col min="1039" max="1039" width="15.625" style="316" bestFit="1" customWidth="1"/>
    <col min="1040" max="1040" width="13.75" style="316" bestFit="1" customWidth="1"/>
    <col min="1041" max="1041" width="13.625" style="316" bestFit="1" customWidth="1"/>
    <col min="1042" max="1042" width="15.75" style="316" bestFit="1" customWidth="1"/>
    <col min="1043" max="1284" width="9" style="316"/>
    <col min="1285" max="1285" width="28.25" style="316" customWidth="1"/>
    <col min="1286" max="1287" width="5.625" style="316" bestFit="1" customWidth="1"/>
    <col min="1288" max="1288" width="19" style="316" customWidth="1"/>
    <col min="1289" max="1289" width="19.25" style="316" customWidth="1"/>
    <col min="1290" max="1290" width="18.875" style="316" customWidth="1"/>
    <col min="1291" max="1291" width="16.625" style="316" customWidth="1"/>
    <col min="1292" max="1293" width="9" style="316"/>
    <col min="1294" max="1294" width="15.5" style="316" bestFit="1" customWidth="1"/>
    <col min="1295" max="1295" width="15.625" style="316" bestFit="1" customWidth="1"/>
    <col min="1296" max="1296" width="13.75" style="316" bestFit="1" customWidth="1"/>
    <col min="1297" max="1297" width="13.625" style="316" bestFit="1" customWidth="1"/>
    <col min="1298" max="1298" width="15.75" style="316" bestFit="1" customWidth="1"/>
    <col min="1299" max="1540" width="9" style="316"/>
    <col min="1541" max="1541" width="28.25" style="316" customWidth="1"/>
    <col min="1542" max="1543" width="5.625" style="316" bestFit="1" customWidth="1"/>
    <col min="1544" max="1544" width="19" style="316" customWidth="1"/>
    <col min="1545" max="1545" width="19.25" style="316" customWidth="1"/>
    <col min="1546" max="1546" width="18.875" style="316" customWidth="1"/>
    <col min="1547" max="1547" width="16.625" style="316" customWidth="1"/>
    <col min="1548" max="1549" width="9" style="316"/>
    <col min="1550" max="1550" width="15.5" style="316" bestFit="1" customWidth="1"/>
    <col min="1551" max="1551" width="15.625" style="316" bestFit="1" customWidth="1"/>
    <col min="1552" max="1552" width="13.75" style="316" bestFit="1" customWidth="1"/>
    <col min="1553" max="1553" width="13.625" style="316" bestFit="1" customWidth="1"/>
    <col min="1554" max="1554" width="15.75" style="316" bestFit="1" customWidth="1"/>
    <col min="1555" max="1796" width="9" style="316"/>
    <col min="1797" max="1797" width="28.25" style="316" customWidth="1"/>
    <col min="1798" max="1799" width="5.625" style="316" bestFit="1" customWidth="1"/>
    <col min="1800" max="1800" width="19" style="316" customWidth="1"/>
    <col min="1801" max="1801" width="19.25" style="316" customWidth="1"/>
    <col min="1802" max="1802" width="18.875" style="316" customWidth="1"/>
    <col min="1803" max="1803" width="16.625" style="316" customWidth="1"/>
    <col min="1804" max="1805" width="9" style="316"/>
    <col min="1806" max="1806" width="15.5" style="316" bestFit="1" customWidth="1"/>
    <col min="1807" max="1807" width="15.625" style="316" bestFit="1" customWidth="1"/>
    <col min="1808" max="1808" width="13.75" style="316" bestFit="1" customWidth="1"/>
    <col min="1809" max="1809" width="13.625" style="316" bestFit="1" customWidth="1"/>
    <col min="1810" max="1810" width="15.75" style="316" bestFit="1" customWidth="1"/>
    <col min="1811" max="2052" width="9" style="316"/>
    <col min="2053" max="2053" width="28.25" style="316" customWidth="1"/>
    <col min="2054" max="2055" width="5.625" style="316" bestFit="1" customWidth="1"/>
    <col min="2056" max="2056" width="19" style="316" customWidth="1"/>
    <col min="2057" max="2057" width="19.25" style="316" customWidth="1"/>
    <col min="2058" max="2058" width="18.875" style="316" customWidth="1"/>
    <col min="2059" max="2059" width="16.625" style="316" customWidth="1"/>
    <col min="2060" max="2061" width="9" style="316"/>
    <col min="2062" max="2062" width="15.5" style="316" bestFit="1" customWidth="1"/>
    <col min="2063" max="2063" width="15.625" style="316" bestFit="1" customWidth="1"/>
    <col min="2064" max="2064" width="13.75" style="316" bestFit="1" customWidth="1"/>
    <col min="2065" max="2065" width="13.625" style="316" bestFit="1" customWidth="1"/>
    <col min="2066" max="2066" width="15.75" style="316" bestFit="1" customWidth="1"/>
    <col min="2067" max="2308" width="9" style="316"/>
    <col min="2309" max="2309" width="28.25" style="316" customWidth="1"/>
    <col min="2310" max="2311" width="5.625" style="316" bestFit="1" customWidth="1"/>
    <col min="2312" max="2312" width="19" style="316" customWidth="1"/>
    <col min="2313" max="2313" width="19.25" style="316" customWidth="1"/>
    <col min="2314" max="2314" width="18.875" style="316" customWidth="1"/>
    <col min="2315" max="2315" width="16.625" style="316" customWidth="1"/>
    <col min="2316" max="2317" width="9" style="316"/>
    <col min="2318" max="2318" width="15.5" style="316" bestFit="1" customWidth="1"/>
    <col min="2319" max="2319" width="15.625" style="316" bestFit="1" customWidth="1"/>
    <col min="2320" max="2320" width="13.75" style="316" bestFit="1" customWidth="1"/>
    <col min="2321" max="2321" width="13.625" style="316" bestFit="1" customWidth="1"/>
    <col min="2322" max="2322" width="15.75" style="316" bestFit="1" customWidth="1"/>
    <col min="2323" max="2564" width="9" style="316"/>
    <col min="2565" max="2565" width="28.25" style="316" customWidth="1"/>
    <col min="2566" max="2567" width="5.625" style="316" bestFit="1" customWidth="1"/>
    <col min="2568" max="2568" width="19" style="316" customWidth="1"/>
    <col min="2569" max="2569" width="19.25" style="316" customWidth="1"/>
    <col min="2570" max="2570" width="18.875" style="316" customWidth="1"/>
    <col min="2571" max="2571" width="16.625" style="316" customWidth="1"/>
    <col min="2572" max="2573" width="9" style="316"/>
    <col min="2574" max="2574" width="15.5" style="316" bestFit="1" customWidth="1"/>
    <col min="2575" max="2575" width="15.625" style="316" bestFit="1" customWidth="1"/>
    <col min="2576" max="2576" width="13.75" style="316" bestFit="1" customWidth="1"/>
    <col min="2577" max="2577" width="13.625" style="316" bestFit="1" customWidth="1"/>
    <col min="2578" max="2578" width="15.75" style="316" bestFit="1" customWidth="1"/>
    <col min="2579" max="2820" width="9" style="316"/>
    <col min="2821" max="2821" width="28.25" style="316" customWidth="1"/>
    <col min="2822" max="2823" width="5.625" style="316" bestFit="1" customWidth="1"/>
    <col min="2824" max="2824" width="19" style="316" customWidth="1"/>
    <col min="2825" max="2825" width="19.25" style="316" customWidth="1"/>
    <col min="2826" max="2826" width="18.875" style="316" customWidth="1"/>
    <col min="2827" max="2827" width="16.625" style="316" customWidth="1"/>
    <col min="2828" max="2829" width="9" style="316"/>
    <col min="2830" max="2830" width="15.5" style="316" bestFit="1" customWidth="1"/>
    <col min="2831" max="2831" width="15.625" style="316" bestFit="1" customWidth="1"/>
    <col min="2832" max="2832" width="13.75" style="316" bestFit="1" customWidth="1"/>
    <col min="2833" max="2833" width="13.625" style="316" bestFit="1" customWidth="1"/>
    <col min="2834" max="2834" width="15.75" style="316" bestFit="1" customWidth="1"/>
    <col min="2835" max="3076" width="9" style="316"/>
    <col min="3077" max="3077" width="28.25" style="316" customWidth="1"/>
    <col min="3078" max="3079" width="5.625" style="316" bestFit="1" customWidth="1"/>
    <col min="3080" max="3080" width="19" style="316" customWidth="1"/>
    <col min="3081" max="3081" width="19.25" style="316" customWidth="1"/>
    <col min="3082" max="3082" width="18.875" style="316" customWidth="1"/>
    <col min="3083" max="3083" width="16.625" style="316" customWidth="1"/>
    <col min="3084" max="3085" width="9" style="316"/>
    <col min="3086" max="3086" width="15.5" style="316" bestFit="1" customWidth="1"/>
    <col min="3087" max="3087" width="15.625" style="316" bestFit="1" customWidth="1"/>
    <col min="3088" max="3088" width="13.75" style="316" bestFit="1" customWidth="1"/>
    <col min="3089" max="3089" width="13.625" style="316" bestFit="1" customWidth="1"/>
    <col min="3090" max="3090" width="15.75" style="316" bestFit="1" customWidth="1"/>
    <col min="3091" max="3332" width="9" style="316"/>
    <col min="3333" max="3333" width="28.25" style="316" customWidth="1"/>
    <col min="3334" max="3335" width="5.625" style="316" bestFit="1" customWidth="1"/>
    <col min="3336" max="3336" width="19" style="316" customWidth="1"/>
    <col min="3337" max="3337" width="19.25" style="316" customWidth="1"/>
    <col min="3338" max="3338" width="18.875" style="316" customWidth="1"/>
    <col min="3339" max="3339" width="16.625" style="316" customWidth="1"/>
    <col min="3340" max="3341" width="9" style="316"/>
    <col min="3342" max="3342" width="15.5" style="316" bestFit="1" customWidth="1"/>
    <col min="3343" max="3343" width="15.625" style="316" bestFit="1" customWidth="1"/>
    <col min="3344" max="3344" width="13.75" style="316" bestFit="1" customWidth="1"/>
    <col min="3345" max="3345" width="13.625" style="316" bestFit="1" customWidth="1"/>
    <col min="3346" max="3346" width="15.75" style="316" bestFit="1" customWidth="1"/>
    <col min="3347" max="3588" width="9" style="316"/>
    <col min="3589" max="3589" width="28.25" style="316" customWidth="1"/>
    <col min="3590" max="3591" width="5.625" style="316" bestFit="1" customWidth="1"/>
    <col min="3592" max="3592" width="19" style="316" customWidth="1"/>
    <col min="3593" max="3593" width="19.25" style="316" customWidth="1"/>
    <col min="3594" max="3594" width="18.875" style="316" customWidth="1"/>
    <col min="3595" max="3595" width="16.625" style="316" customWidth="1"/>
    <col min="3596" max="3597" width="9" style="316"/>
    <col min="3598" max="3598" width="15.5" style="316" bestFit="1" customWidth="1"/>
    <col min="3599" max="3599" width="15.625" style="316" bestFit="1" customWidth="1"/>
    <col min="3600" max="3600" width="13.75" style="316" bestFit="1" customWidth="1"/>
    <col min="3601" max="3601" width="13.625" style="316" bestFit="1" customWidth="1"/>
    <col min="3602" max="3602" width="15.75" style="316" bestFit="1" customWidth="1"/>
    <col min="3603" max="3844" width="9" style="316"/>
    <col min="3845" max="3845" width="28.25" style="316" customWidth="1"/>
    <col min="3846" max="3847" width="5.625" style="316" bestFit="1" customWidth="1"/>
    <col min="3848" max="3848" width="19" style="316" customWidth="1"/>
    <col min="3849" max="3849" width="19.25" style="316" customWidth="1"/>
    <col min="3850" max="3850" width="18.875" style="316" customWidth="1"/>
    <col min="3851" max="3851" width="16.625" style="316" customWidth="1"/>
    <col min="3852" max="3853" width="9" style="316"/>
    <col min="3854" max="3854" width="15.5" style="316" bestFit="1" customWidth="1"/>
    <col min="3855" max="3855" width="15.625" style="316" bestFit="1" customWidth="1"/>
    <col min="3856" max="3856" width="13.75" style="316" bestFit="1" customWidth="1"/>
    <col min="3857" max="3857" width="13.625" style="316" bestFit="1" customWidth="1"/>
    <col min="3858" max="3858" width="15.75" style="316" bestFit="1" customWidth="1"/>
    <col min="3859" max="4100" width="9" style="316"/>
    <col min="4101" max="4101" width="28.25" style="316" customWidth="1"/>
    <col min="4102" max="4103" width="5.625" style="316" bestFit="1" customWidth="1"/>
    <col min="4104" max="4104" width="19" style="316" customWidth="1"/>
    <col min="4105" max="4105" width="19.25" style="316" customWidth="1"/>
    <col min="4106" max="4106" width="18.875" style="316" customWidth="1"/>
    <col min="4107" max="4107" width="16.625" style="316" customWidth="1"/>
    <col min="4108" max="4109" width="9" style="316"/>
    <col min="4110" max="4110" width="15.5" style="316" bestFit="1" customWidth="1"/>
    <col min="4111" max="4111" width="15.625" style="316" bestFit="1" customWidth="1"/>
    <col min="4112" max="4112" width="13.75" style="316" bestFit="1" customWidth="1"/>
    <col min="4113" max="4113" width="13.625" style="316" bestFit="1" customWidth="1"/>
    <col min="4114" max="4114" width="15.75" style="316" bestFit="1" customWidth="1"/>
    <col min="4115" max="4356" width="9" style="316"/>
    <col min="4357" max="4357" width="28.25" style="316" customWidth="1"/>
    <col min="4358" max="4359" width="5.625" style="316" bestFit="1" customWidth="1"/>
    <col min="4360" max="4360" width="19" style="316" customWidth="1"/>
    <col min="4361" max="4361" width="19.25" style="316" customWidth="1"/>
    <col min="4362" max="4362" width="18.875" style="316" customWidth="1"/>
    <col min="4363" max="4363" width="16.625" style="316" customWidth="1"/>
    <col min="4364" max="4365" width="9" style="316"/>
    <col min="4366" max="4366" width="15.5" style="316" bestFit="1" customWidth="1"/>
    <col min="4367" max="4367" width="15.625" style="316" bestFit="1" customWidth="1"/>
    <col min="4368" max="4368" width="13.75" style="316" bestFit="1" customWidth="1"/>
    <col min="4369" max="4369" width="13.625" style="316" bestFit="1" customWidth="1"/>
    <col min="4370" max="4370" width="15.75" style="316" bestFit="1" customWidth="1"/>
    <col min="4371" max="4612" width="9" style="316"/>
    <col min="4613" max="4613" width="28.25" style="316" customWidth="1"/>
    <col min="4614" max="4615" width="5.625" style="316" bestFit="1" customWidth="1"/>
    <col min="4616" max="4616" width="19" style="316" customWidth="1"/>
    <col min="4617" max="4617" width="19.25" style="316" customWidth="1"/>
    <col min="4618" max="4618" width="18.875" style="316" customWidth="1"/>
    <col min="4619" max="4619" width="16.625" style="316" customWidth="1"/>
    <col min="4620" max="4621" width="9" style="316"/>
    <col min="4622" max="4622" width="15.5" style="316" bestFit="1" customWidth="1"/>
    <col min="4623" max="4623" width="15.625" style="316" bestFit="1" customWidth="1"/>
    <col min="4624" max="4624" width="13.75" style="316" bestFit="1" customWidth="1"/>
    <col min="4625" max="4625" width="13.625" style="316" bestFit="1" customWidth="1"/>
    <col min="4626" max="4626" width="15.75" style="316" bestFit="1" customWidth="1"/>
    <col min="4627" max="4868" width="9" style="316"/>
    <col min="4869" max="4869" width="28.25" style="316" customWidth="1"/>
    <col min="4870" max="4871" width="5.625" style="316" bestFit="1" customWidth="1"/>
    <col min="4872" max="4872" width="19" style="316" customWidth="1"/>
    <col min="4873" max="4873" width="19.25" style="316" customWidth="1"/>
    <col min="4874" max="4874" width="18.875" style="316" customWidth="1"/>
    <col min="4875" max="4875" width="16.625" style="316" customWidth="1"/>
    <col min="4876" max="4877" width="9" style="316"/>
    <col min="4878" max="4878" width="15.5" style="316" bestFit="1" customWidth="1"/>
    <col min="4879" max="4879" width="15.625" style="316" bestFit="1" customWidth="1"/>
    <col min="4880" max="4880" width="13.75" style="316" bestFit="1" customWidth="1"/>
    <col min="4881" max="4881" width="13.625" style="316" bestFit="1" customWidth="1"/>
    <col min="4882" max="4882" width="15.75" style="316" bestFit="1" customWidth="1"/>
    <col min="4883" max="5124" width="9" style="316"/>
    <col min="5125" max="5125" width="28.25" style="316" customWidth="1"/>
    <col min="5126" max="5127" width="5.625" style="316" bestFit="1" customWidth="1"/>
    <col min="5128" max="5128" width="19" style="316" customWidth="1"/>
    <col min="5129" max="5129" width="19.25" style="316" customWidth="1"/>
    <col min="5130" max="5130" width="18.875" style="316" customWidth="1"/>
    <col min="5131" max="5131" width="16.625" style="316" customWidth="1"/>
    <col min="5132" max="5133" width="9" style="316"/>
    <col min="5134" max="5134" width="15.5" style="316" bestFit="1" customWidth="1"/>
    <col min="5135" max="5135" width="15.625" style="316" bestFit="1" customWidth="1"/>
    <col min="5136" max="5136" width="13.75" style="316" bestFit="1" customWidth="1"/>
    <col min="5137" max="5137" width="13.625" style="316" bestFit="1" customWidth="1"/>
    <col min="5138" max="5138" width="15.75" style="316" bestFit="1" customWidth="1"/>
    <col min="5139" max="5380" width="9" style="316"/>
    <col min="5381" max="5381" width="28.25" style="316" customWidth="1"/>
    <col min="5382" max="5383" width="5.625" style="316" bestFit="1" customWidth="1"/>
    <col min="5384" max="5384" width="19" style="316" customWidth="1"/>
    <col min="5385" max="5385" width="19.25" style="316" customWidth="1"/>
    <col min="5386" max="5386" width="18.875" style="316" customWidth="1"/>
    <col min="5387" max="5387" width="16.625" style="316" customWidth="1"/>
    <col min="5388" max="5389" width="9" style="316"/>
    <col min="5390" max="5390" width="15.5" style="316" bestFit="1" customWidth="1"/>
    <col min="5391" max="5391" width="15.625" style="316" bestFit="1" customWidth="1"/>
    <col min="5392" max="5392" width="13.75" style="316" bestFit="1" customWidth="1"/>
    <col min="5393" max="5393" width="13.625" style="316" bestFit="1" customWidth="1"/>
    <col min="5394" max="5394" width="15.75" style="316" bestFit="1" customWidth="1"/>
    <col min="5395" max="5636" width="9" style="316"/>
    <col min="5637" max="5637" width="28.25" style="316" customWidth="1"/>
    <col min="5638" max="5639" width="5.625" style="316" bestFit="1" customWidth="1"/>
    <col min="5640" max="5640" width="19" style="316" customWidth="1"/>
    <col min="5641" max="5641" width="19.25" style="316" customWidth="1"/>
    <col min="5642" max="5642" width="18.875" style="316" customWidth="1"/>
    <col min="5643" max="5643" width="16.625" style="316" customWidth="1"/>
    <col min="5644" max="5645" width="9" style="316"/>
    <col min="5646" max="5646" width="15.5" style="316" bestFit="1" customWidth="1"/>
    <col min="5647" max="5647" width="15.625" style="316" bestFit="1" customWidth="1"/>
    <col min="5648" max="5648" width="13.75" style="316" bestFit="1" customWidth="1"/>
    <col min="5649" max="5649" width="13.625" style="316" bestFit="1" customWidth="1"/>
    <col min="5650" max="5650" width="15.75" style="316" bestFit="1" customWidth="1"/>
    <col min="5651" max="5892" width="9" style="316"/>
    <col min="5893" max="5893" width="28.25" style="316" customWidth="1"/>
    <col min="5894" max="5895" width="5.625" style="316" bestFit="1" customWidth="1"/>
    <col min="5896" max="5896" width="19" style="316" customWidth="1"/>
    <col min="5897" max="5897" width="19.25" style="316" customWidth="1"/>
    <col min="5898" max="5898" width="18.875" style="316" customWidth="1"/>
    <col min="5899" max="5899" width="16.625" style="316" customWidth="1"/>
    <col min="5900" max="5901" width="9" style="316"/>
    <col min="5902" max="5902" width="15.5" style="316" bestFit="1" customWidth="1"/>
    <col min="5903" max="5903" width="15.625" style="316" bestFit="1" customWidth="1"/>
    <col min="5904" max="5904" width="13.75" style="316" bestFit="1" customWidth="1"/>
    <col min="5905" max="5905" width="13.625" style="316" bestFit="1" customWidth="1"/>
    <col min="5906" max="5906" width="15.75" style="316" bestFit="1" customWidth="1"/>
    <col min="5907" max="6148" width="9" style="316"/>
    <col min="6149" max="6149" width="28.25" style="316" customWidth="1"/>
    <col min="6150" max="6151" width="5.625" style="316" bestFit="1" customWidth="1"/>
    <col min="6152" max="6152" width="19" style="316" customWidth="1"/>
    <col min="6153" max="6153" width="19.25" style="316" customWidth="1"/>
    <col min="6154" max="6154" width="18.875" style="316" customWidth="1"/>
    <col min="6155" max="6155" width="16.625" style="316" customWidth="1"/>
    <col min="6156" max="6157" width="9" style="316"/>
    <col min="6158" max="6158" width="15.5" style="316" bestFit="1" customWidth="1"/>
    <col min="6159" max="6159" width="15.625" style="316" bestFit="1" customWidth="1"/>
    <col min="6160" max="6160" width="13.75" style="316" bestFit="1" customWidth="1"/>
    <col min="6161" max="6161" width="13.625" style="316" bestFit="1" customWidth="1"/>
    <col min="6162" max="6162" width="15.75" style="316" bestFit="1" customWidth="1"/>
    <col min="6163" max="6404" width="9" style="316"/>
    <col min="6405" max="6405" width="28.25" style="316" customWidth="1"/>
    <col min="6406" max="6407" width="5.625" style="316" bestFit="1" customWidth="1"/>
    <col min="6408" max="6408" width="19" style="316" customWidth="1"/>
    <col min="6409" max="6409" width="19.25" style="316" customWidth="1"/>
    <col min="6410" max="6410" width="18.875" style="316" customWidth="1"/>
    <col min="6411" max="6411" width="16.625" style="316" customWidth="1"/>
    <col min="6412" max="6413" width="9" style="316"/>
    <col min="6414" max="6414" width="15.5" style="316" bestFit="1" customWidth="1"/>
    <col min="6415" max="6415" width="15.625" style="316" bestFit="1" customWidth="1"/>
    <col min="6416" max="6416" width="13.75" style="316" bestFit="1" customWidth="1"/>
    <col min="6417" max="6417" width="13.625" style="316" bestFit="1" customWidth="1"/>
    <col min="6418" max="6418" width="15.75" style="316" bestFit="1" customWidth="1"/>
    <col min="6419" max="6660" width="9" style="316"/>
    <col min="6661" max="6661" width="28.25" style="316" customWidth="1"/>
    <col min="6662" max="6663" width="5.625" style="316" bestFit="1" customWidth="1"/>
    <col min="6664" max="6664" width="19" style="316" customWidth="1"/>
    <col min="6665" max="6665" width="19.25" style="316" customWidth="1"/>
    <col min="6666" max="6666" width="18.875" style="316" customWidth="1"/>
    <col min="6667" max="6667" width="16.625" style="316" customWidth="1"/>
    <col min="6668" max="6669" width="9" style="316"/>
    <col min="6670" max="6670" width="15.5" style="316" bestFit="1" customWidth="1"/>
    <col min="6671" max="6671" width="15.625" style="316" bestFit="1" customWidth="1"/>
    <col min="6672" max="6672" width="13.75" style="316" bestFit="1" customWidth="1"/>
    <col min="6673" max="6673" width="13.625" style="316" bestFit="1" customWidth="1"/>
    <col min="6674" max="6674" width="15.75" style="316" bestFit="1" customWidth="1"/>
    <col min="6675" max="6916" width="9" style="316"/>
    <col min="6917" max="6917" width="28.25" style="316" customWidth="1"/>
    <col min="6918" max="6919" width="5.625" style="316" bestFit="1" customWidth="1"/>
    <col min="6920" max="6920" width="19" style="316" customWidth="1"/>
    <col min="6921" max="6921" width="19.25" style="316" customWidth="1"/>
    <col min="6922" max="6922" width="18.875" style="316" customWidth="1"/>
    <col min="6923" max="6923" width="16.625" style="316" customWidth="1"/>
    <col min="6924" max="6925" width="9" style="316"/>
    <col min="6926" max="6926" width="15.5" style="316" bestFit="1" customWidth="1"/>
    <col min="6927" max="6927" width="15.625" style="316" bestFit="1" customWidth="1"/>
    <col min="6928" max="6928" width="13.75" style="316" bestFit="1" customWidth="1"/>
    <col min="6929" max="6929" width="13.625" style="316" bestFit="1" customWidth="1"/>
    <col min="6930" max="6930" width="15.75" style="316" bestFit="1" customWidth="1"/>
    <col min="6931" max="7172" width="9" style="316"/>
    <col min="7173" max="7173" width="28.25" style="316" customWidth="1"/>
    <col min="7174" max="7175" width="5.625" style="316" bestFit="1" customWidth="1"/>
    <col min="7176" max="7176" width="19" style="316" customWidth="1"/>
    <col min="7177" max="7177" width="19.25" style="316" customWidth="1"/>
    <col min="7178" max="7178" width="18.875" style="316" customWidth="1"/>
    <col min="7179" max="7179" width="16.625" style="316" customWidth="1"/>
    <col min="7180" max="7181" width="9" style="316"/>
    <col min="7182" max="7182" width="15.5" style="316" bestFit="1" customWidth="1"/>
    <col min="7183" max="7183" width="15.625" style="316" bestFit="1" customWidth="1"/>
    <col min="7184" max="7184" width="13.75" style="316" bestFit="1" customWidth="1"/>
    <col min="7185" max="7185" width="13.625" style="316" bestFit="1" customWidth="1"/>
    <col min="7186" max="7186" width="15.75" style="316" bestFit="1" customWidth="1"/>
    <col min="7187" max="7428" width="9" style="316"/>
    <col min="7429" max="7429" width="28.25" style="316" customWidth="1"/>
    <col min="7430" max="7431" width="5.625" style="316" bestFit="1" customWidth="1"/>
    <col min="7432" max="7432" width="19" style="316" customWidth="1"/>
    <col min="7433" max="7433" width="19.25" style="316" customWidth="1"/>
    <col min="7434" max="7434" width="18.875" style="316" customWidth="1"/>
    <col min="7435" max="7435" width="16.625" style="316" customWidth="1"/>
    <col min="7436" max="7437" width="9" style="316"/>
    <col min="7438" max="7438" width="15.5" style="316" bestFit="1" customWidth="1"/>
    <col min="7439" max="7439" width="15.625" style="316" bestFit="1" customWidth="1"/>
    <col min="7440" max="7440" width="13.75" style="316" bestFit="1" customWidth="1"/>
    <col min="7441" max="7441" width="13.625" style="316" bestFit="1" customWidth="1"/>
    <col min="7442" max="7442" width="15.75" style="316" bestFit="1" customWidth="1"/>
    <col min="7443" max="7684" width="9" style="316"/>
    <col min="7685" max="7685" width="28.25" style="316" customWidth="1"/>
    <col min="7686" max="7687" width="5.625" style="316" bestFit="1" customWidth="1"/>
    <col min="7688" max="7688" width="19" style="316" customWidth="1"/>
    <col min="7689" max="7689" width="19.25" style="316" customWidth="1"/>
    <col min="7690" max="7690" width="18.875" style="316" customWidth="1"/>
    <col min="7691" max="7691" width="16.625" style="316" customWidth="1"/>
    <col min="7692" max="7693" width="9" style="316"/>
    <col min="7694" max="7694" width="15.5" style="316" bestFit="1" customWidth="1"/>
    <col min="7695" max="7695" width="15.625" style="316" bestFit="1" customWidth="1"/>
    <col min="7696" max="7696" width="13.75" style="316" bestFit="1" customWidth="1"/>
    <col min="7697" max="7697" width="13.625" style="316" bestFit="1" customWidth="1"/>
    <col min="7698" max="7698" width="15.75" style="316" bestFit="1" customWidth="1"/>
    <col min="7699" max="7940" width="9" style="316"/>
    <col min="7941" max="7941" width="28.25" style="316" customWidth="1"/>
    <col min="7942" max="7943" width="5.625" style="316" bestFit="1" customWidth="1"/>
    <col min="7944" max="7944" width="19" style="316" customWidth="1"/>
    <col min="7945" max="7945" width="19.25" style="316" customWidth="1"/>
    <col min="7946" max="7946" width="18.875" style="316" customWidth="1"/>
    <col min="7947" max="7947" width="16.625" style="316" customWidth="1"/>
    <col min="7948" max="7949" width="9" style="316"/>
    <col min="7950" max="7950" width="15.5" style="316" bestFit="1" customWidth="1"/>
    <col min="7951" max="7951" width="15.625" style="316" bestFit="1" customWidth="1"/>
    <col min="7952" max="7952" width="13.75" style="316" bestFit="1" customWidth="1"/>
    <col min="7953" max="7953" width="13.625" style="316" bestFit="1" customWidth="1"/>
    <col min="7954" max="7954" width="15.75" style="316" bestFit="1" customWidth="1"/>
    <col min="7955" max="8196" width="9" style="316"/>
    <col min="8197" max="8197" width="28.25" style="316" customWidth="1"/>
    <col min="8198" max="8199" width="5.625" style="316" bestFit="1" customWidth="1"/>
    <col min="8200" max="8200" width="19" style="316" customWidth="1"/>
    <col min="8201" max="8201" width="19.25" style="316" customWidth="1"/>
    <col min="8202" max="8202" width="18.875" style="316" customWidth="1"/>
    <col min="8203" max="8203" width="16.625" style="316" customWidth="1"/>
    <col min="8204" max="8205" width="9" style="316"/>
    <col min="8206" max="8206" width="15.5" style="316" bestFit="1" customWidth="1"/>
    <col min="8207" max="8207" width="15.625" style="316" bestFit="1" customWidth="1"/>
    <col min="8208" max="8208" width="13.75" style="316" bestFit="1" customWidth="1"/>
    <col min="8209" max="8209" width="13.625" style="316" bestFit="1" customWidth="1"/>
    <col min="8210" max="8210" width="15.75" style="316" bestFit="1" customWidth="1"/>
    <col min="8211" max="8452" width="9" style="316"/>
    <col min="8453" max="8453" width="28.25" style="316" customWidth="1"/>
    <col min="8454" max="8455" width="5.625" style="316" bestFit="1" customWidth="1"/>
    <col min="8456" max="8456" width="19" style="316" customWidth="1"/>
    <col min="8457" max="8457" width="19.25" style="316" customWidth="1"/>
    <col min="8458" max="8458" width="18.875" style="316" customWidth="1"/>
    <col min="8459" max="8459" width="16.625" style="316" customWidth="1"/>
    <col min="8460" max="8461" width="9" style="316"/>
    <col min="8462" max="8462" width="15.5" style="316" bestFit="1" customWidth="1"/>
    <col min="8463" max="8463" width="15.625" style="316" bestFit="1" customWidth="1"/>
    <col min="8464" max="8464" width="13.75" style="316" bestFit="1" customWidth="1"/>
    <col min="8465" max="8465" width="13.625" style="316" bestFit="1" customWidth="1"/>
    <col min="8466" max="8466" width="15.75" style="316" bestFit="1" customWidth="1"/>
    <col min="8467" max="8708" width="9" style="316"/>
    <col min="8709" max="8709" width="28.25" style="316" customWidth="1"/>
    <col min="8710" max="8711" width="5.625" style="316" bestFit="1" customWidth="1"/>
    <col min="8712" max="8712" width="19" style="316" customWidth="1"/>
    <col min="8713" max="8713" width="19.25" style="316" customWidth="1"/>
    <col min="8714" max="8714" width="18.875" style="316" customWidth="1"/>
    <col min="8715" max="8715" width="16.625" style="316" customWidth="1"/>
    <col min="8716" max="8717" width="9" style="316"/>
    <col min="8718" max="8718" width="15.5" style="316" bestFit="1" customWidth="1"/>
    <col min="8719" max="8719" width="15.625" style="316" bestFit="1" customWidth="1"/>
    <col min="8720" max="8720" width="13.75" style="316" bestFit="1" customWidth="1"/>
    <col min="8721" max="8721" width="13.625" style="316" bestFit="1" customWidth="1"/>
    <col min="8722" max="8722" width="15.75" style="316" bestFit="1" customWidth="1"/>
    <col min="8723" max="8964" width="9" style="316"/>
    <col min="8965" max="8965" width="28.25" style="316" customWidth="1"/>
    <col min="8966" max="8967" width="5.625" style="316" bestFit="1" customWidth="1"/>
    <col min="8968" max="8968" width="19" style="316" customWidth="1"/>
    <col min="8969" max="8969" width="19.25" style="316" customWidth="1"/>
    <col min="8970" max="8970" width="18.875" style="316" customWidth="1"/>
    <col min="8971" max="8971" width="16.625" style="316" customWidth="1"/>
    <col min="8972" max="8973" width="9" style="316"/>
    <col min="8974" max="8974" width="15.5" style="316" bestFit="1" customWidth="1"/>
    <col min="8975" max="8975" width="15.625" style="316" bestFit="1" customWidth="1"/>
    <col min="8976" max="8976" width="13.75" style="316" bestFit="1" customWidth="1"/>
    <col min="8977" max="8977" width="13.625" style="316" bestFit="1" customWidth="1"/>
    <col min="8978" max="8978" width="15.75" style="316" bestFit="1" customWidth="1"/>
    <col min="8979" max="9220" width="9" style="316"/>
    <col min="9221" max="9221" width="28.25" style="316" customWidth="1"/>
    <col min="9222" max="9223" width="5.625" style="316" bestFit="1" customWidth="1"/>
    <col min="9224" max="9224" width="19" style="316" customWidth="1"/>
    <col min="9225" max="9225" width="19.25" style="316" customWidth="1"/>
    <col min="9226" max="9226" width="18.875" style="316" customWidth="1"/>
    <col min="9227" max="9227" width="16.625" style="316" customWidth="1"/>
    <col min="9228" max="9229" width="9" style="316"/>
    <col min="9230" max="9230" width="15.5" style="316" bestFit="1" customWidth="1"/>
    <col min="9231" max="9231" width="15.625" style="316" bestFit="1" customWidth="1"/>
    <col min="9232" max="9232" width="13.75" style="316" bestFit="1" customWidth="1"/>
    <col min="9233" max="9233" width="13.625" style="316" bestFit="1" customWidth="1"/>
    <col min="9234" max="9234" width="15.75" style="316" bestFit="1" customWidth="1"/>
    <col min="9235" max="9476" width="9" style="316"/>
    <col min="9477" max="9477" width="28.25" style="316" customWidth="1"/>
    <col min="9478" max="9479" width="5.625" style="316" bestFit="1" customWidth="1"/>
    <col min="9480" max="9480" width="19" style="316" customWidth="1"/>
    <col min="9481" max="9481" width="19.25" style="316" customWidth="1"/>
    <col min="9482" max="9482" width="18.875" style="316" customWidth="1"/>
    <col min="9483" max="9483" width="16.625" style="316" customWidth="1"/>
    <col min="9484" max="9485" width="9" style="316"/>
    <col min="9486" max="9486" width="15.5" style="316" bestFit="1" customWidth="1"/>
    <col min="9487" max="9487" width="15.625" style="316" bestFit="1" customWidth="1"/>
    <col min="9488" max="9488" width="13.75" style="316" bestFit="1" customWidth="1"/>
    <col min="9489" max="9489" width="13.625" style="316" bestFit="1" customWidth="1"/>
    <col min="9490" max="9490" width="15.75" style="316" bestFit="1" customWidth="1"/>
    <col min="9491" max="9732" width="9" style="316"/>
    <col min="9733" max="9733" width="28.25" style="316" customWidth="1"/>
    <col min="9734" max="9735" width="5.625" style="316" bestFit="1" customWidth="1"/>
    <col min="9736" max="9736" width="19" style="316" customWidth="1"/>
    <col min="9737" max="9737" width="19.25" style="316" customWidth="1"/>
    <col min="9738" max="9738" width="18.875" style="316" customWidth="1"/>
    <col min="9739" max="9739" width="16.625" style="316" customWidth="1"/>
    <col min="9740" max="9741" width="9" style="316"/>
    <col min="9742" max="9742" width="15.5" style="316" bestFit="1" customWidth="1"/>
    <col min="9743" max="9743" width="15.625" style="316" bestFit="1" customWidth="1"/>
    <col min="9744" max="9744" width="13.75" style="316" bestFit="1" customWidth="1"/>
    <col min="9745" max="9745" width="13.625" style="316" bestFit="1" customWidth="1"/>
    <col min="9746" max="9746" width="15.75" style="316" bestFit="1" customWidth="1"/>
    <col min="9747" max="9988" width="9" style="316"/>
    <col min="9989" max="9989" width="28.25" style="316" customWidth="1"/>
    <col min="9990" max="9991" width="5.625" style="316" bestFit="1" customWidth="1"/>
    <col min="9992" max="9992" width="19" style="316" customWidth="1"/>
    <col min="9993" max="9993" width="19.25" style="316" customWidth="1"/>
    <col min="9994" max="9994" width="18.875" style="316" customWidth="1"/>
    <col min="9995" max="9995" width="16.625" style="316" customWidth="1"/>
    <col min="9996" max="9997" width="9" style="316"/>
    <col min="9998" max="9998" width="15.5" style="316" bestFit="1" customWidth="1"/>
    <col min="9999" max="9999" width="15.625" style="316" bestFit="1" customWidth="1"/>
    <col min="10000" max="10000" width="13.75" style="316" bestFit="1" customWidth="1"/>
    <col min="10001" max="10001" width="13.625" style="316" bestFit="1" customWidth="1"/>
    <col min="10002" max="10002" width="15.75" style="316" bestFit="1" customWidth="1"/>
    <col min="10003" max="10244" width="9" style="316"/>
    <col min="10245" max="10245" width="28.25" style="316" customWidth="1"/>
    <col min="10246" max="10247" width="5.625" style="316" bestFit="1" customWidth="1"/>
    <col min="10248" max="10248" width="19" style="316" customWidth="1"/>
    <col min="10249" max="10249" width="19.25" style="316" customWidth="1"/>
    <col min="10250" max="10250" width="18.875" style="316" customWidth="1"/>
    <col min="10251" max="10251" width="16.625" style="316" customWidth="1"/>
    <col min="10252" max="10253" width="9" style="316"/>
    <col min="10254" max="10254" width="15.5" style="316" bestFit="1" customWidth="1"/>
    <col min="10255" max="10255" width="15.625" style="316" bestFit="1" customWidth="1"/>
    <col min="10256" max="10256" width="13.75" style="316" bestFit="1" customWidth="1"/>
    <col min="10257" max="10257" width="13.625" style="316" bestFit="1" customWidth="1"/>
    <col min="10258" max="10258" width="15.75" style="316" bestFit="1" customWidth="1"/>
    <col min="10259" max="10500" width="9" style="316"/>
    <col min="10501" max="10501" width="28.25" style="316" customWidth="1"/>
    <col min="10502" max="10503" width="5.625" style="316" bestFit="1" customWidth="1"/>
    <col min="10504" max="10504" width="19" style="316" customWidth="1"/>
    <col min="10505" max="10505" width="19.25" style="316" customWidth="1"/>
    <col min="10506" max="10506" width="18.875" style="316" customWidth="1"/>
    <col min="10507" max="10507" width="16.625" style="316" customWidth="1"/>
    <col min="10508" max="10509" width="9" style="316"/>
    <col min="10510" max="10510" width="15.5" style="316" bestFit="1" customWidth="1"/>
    <col min="10511" max="10511" width="15.625" style="316" bestFit="1" customWidth="1"/>
    <col min="10512" max="10512" width="13.75" style="316" bestFit="1" customWidth="1"/>
    <col min="10513" max="10513" width="13.625" style="316" bestFit="1" customWidth="1"/>
    <col min="10514" max="10514" width="15.75" style="316" bestFit="1" customWidth="1"/>
    <col min="10515" max="10756" width="9" style="316"/>
    <col min="10757" max="10757" width="28.25" style="316" customWidth="1"/>
    <col min="10758" max="10759" width="5.625" style="316" bestFit="1" customWidth="1"/>
    <col min="10760" max="10760" width="19" style="316" customWidth="1"/>
    <col min="10761" max="10761" width="19.25" style="316" customWidth="1"/>
    <col min="10762" max="10762" width="18.875" style="316" customWidth="1"/>
    <col min="10763" max="10763" width="16.625" style="316" customWidth="1"/>
    <col min="10764" max="10765" width="9" style="316"/>
    <col min="10766" max="10766" width="15.5" style="316" bestFit="1" customWidth="1"/>
    <col min="10767" max="10767" width="15.625" style="316" bestFit="1" customWidth="1"/>
    <col min="10768" max="10768" width="13.75" style="316" bestFit="1" customWidth="1"/>
    <col min="10769" max="10769" width="13.625" style="316" bestFit="1" customWidth="1"/>
    <col min="10770" max="10770" width="15.75" style="316" bestFit="1" customWidth="1"/>
    <col min="10771" max="11012" width="9" style="316"/>
    <col min="11013" max="11013" width="28.25" style="316" customWidth="1"/>
    <col min="11014" max="11015" width="5.625" style="316" bestFit="1" customWidth="1"/>
    <col min="11016" max="11016" width="19" style="316" customWidth="1"/>
    <col min="11017" max="11017" width="19.25" style="316" customWidth="1"/>
    <col min="11018" max="11018" width="18.875" style="316" customWidth="1"/>
    <col min="11019" max="11019" width="16.625" style="316" customWidth="1"/>
    <col min="11020" max="11021" width="9" style="316"/>
    <col min="11022" max="11022" width="15.5" style="316" bestFit="1" customWidth="1"/>
    <col min="11023" max="11023" width="15.625" style="316" bestFit="1" customWidth="1"/>
    <col min="11024" max="11024" width="13.75" style="316" bestFit="1" customWidth="1"/>
    <col min="11025" max="11025" width="13.625" style="316" bestFit="1" customWidth="1"/>
    <col min="11026" max="11026" width="15.75" style="316" bestFit="1" customWidth="1"/>
    <col min="11027" max="11268" width="9" style="316"/>
    <col min="11269" max="11269" width="28.25" style="316" customWidth="1"/>
    <col min="11270" max="11271" width="5.625" style="316" bestFit="1" customWidth="1"/>
    <col min="11272" max="11272" width="19" style="316" customWidth="1"/>
    <col min="11273" max="11273" width="19.25" style="316" customWidth="1"/>
    <col min="11274" max="11274" width="18.875" style="316" customWidth="1"/>
    <col min="11275" max="11275" width="16.625" style="316" customWidth="1"/>
    <col min="11276" max="11277" width="9" style="316"/>
    <col min="11278" max="11278" width="15.5" style="316" bestFit="1" customWidth="1"/>
    <col min="11279" max="11279" width="15.625" style="316" bestFit="1" customWidth="1"/>
    <col min="11280" max="11280" width="13.75" style="316" bestFit="1" customWidth="1"/>
    <col min="11281" max="11281" width="13.625" style="316" bestFit="1" customWidth="1"/>
    <col min="11282" max="11282" width="15.75" style="316" bestFit="1" customWidth="1"/>
    <col min="11283" max="11524" width="9" style="316"/>
    <col min="11525" max="11525" width="28.25" style="316" customWidth="1"/>
    <col min="11526" max="11527" width="5.625" style="316" bestFit="1" customWidth="1"/>
    <col min="11528" max="11528" width="19" style="316" customWidth="1"/>
    <col min="11529" max="11529" width="19.25" style="316" customWidth="1"/>
    <col min="11530" max="11530" width="18.875" style="316" customWidth="1"/>
    <col min="11531" max="11531" width="16.625" style="316" customWidth="1"/>
    <col min="11532" max="11533" width="9" style="316"/>
    <col min="11534" max="11534" width="15.5" style="316" bestFit="1" customWidth="1"/>
    <col min="11535" max="11535" width="15.625" style="316" bestFit="1" customWidth="1"/>
    <col min="11536" max="11536" width="13.75" style="316" bestFit="1" customWidth="1"/>
    <col min="11537" max="11537" width="13.625" style="316" bestFit="1" customWidth="1"/>
    <col min="11538" max="11538" width="15.75" style="316" bestFit="1" customWidth="1"/>
    <col min="11539" max="11780" width="9" style="316"/>
    <col min="11781" max="11781" width="28.25" style="316" customWidth="1"/>
    <col min="11782" max="11783" width="5.625" style="316" bestFit="1" customWidth="1"/>
    <col min="11784" max="11784" width="19" style="316" customWidth="1"/>
    <col min="11785" max="11785" width="19.25" style="316" customWidth="1"/>
    <col min="11786" max="11786" width="18.875" style="316" customWidth="1"/>
    <col min="11787" max="11787" width="16.625" style="316" customWidth="1"/>
    <col min="11788" max="11789" width="9" style="316"/>
    <col min="11790" max="11790" width="15.5" style="316" bestFit="1" customWidth="1"/>
    <col min="11791" max="11791" width="15.625" style="316" bestFit="1" customWidth="1"/>
    <col min="11792" max="11792" width="13.75" style="316" bestFit="1" customWidth="1"/>
    <col min="11793" max="11793" width="13.625" style="316" bestFit="1" customWidth="1"/>
    <col min="11794" max="11794" width="15.75" style="316" bestFit="1" customWidth="1"/>
    <col min="11795" max="12036" width="9" style="316"/>
    <col min="12037" max="12037" width="28.25" style="316" customWidth="1"/>
    <col min="12038" max="12039" width="5.625" style="316" bestFit="1" customWidth="1"/>
    <col min="12040" max="12040" width="19" style="316" customWidth="1"/>
    <col min="12041" max="12041" width="19.25" style="316" customWidth="1"/>
    <col min="12042" max="12042" width="18.875" style="316" customWidth="1"/>
    <col min="12043" max="12043" width="16.625" style="316" customWidth="1"/>
    <col min="12044" max="12045" width="9" style="316"/>
    <col min="12046" max="12046" width="15.5" style="316" bestFit="1" customWidth="1"/>
    <col min="12047" max="12047" width="15.625" style="316" bestFit="1" customWidth="1"/>
    <col min="12048" max="12048" width="13.75" style="316" bestFit="1" customWidth="1"/>
    <col min="12049" max="12049" width="13.625" style="316" bestFit="1" customWidth="1"/>
    <col min="12050" max="12050" width="15.75" style="316" bestFit="1" customWidth="1"/>
    <col min="12051" max="12292" width="9" style="316"/>
    <col min="12293" max="12293" width="28.25" style="316" customWidth="1"/>
    <col min="12294" max="12295" width="5.625" style="316" bestFit="1" customWidth="1"/>
    <col min="12296" max="12296" width="19" style="316" customWidth="1"/>
    <col min="12297" max="12297" width="19.25" style="316" customWidth="1"/>
    <col min="12298" max="12298" width="18.875" style="316" customWidth="1"/>
    <col min="12299" max="12299" width="16.625" style="316" customWidth="1"/>
    <col min="12300" max="12301" width="9" style="316"/>
    <col min="12302" max="12302" width="15.5" style="316" bestFit="1" customWidth="1"/>
    <col min="12303" max="12303" width="15.625" style="316" bestFit="1" customWidth="1"/>
    <col min="12304" max="12304" width="13.75" style="316" bestFit="1" customWidth="1"/>
    <col min="12305" max="12305" width="13.625" style="316" bestFit="1" customWidth="1"/>
    <col min="12306" max="12306" width="15.75" style="316" bestFit="1" customWidth="1"/>
    <col min="12307" max="12548" width="9" style="316"/>
    <col min="12549" max="12549" width="28.25" style="316" customWidth="1"/>
    <col min="12550" max="12551" width="5.625" style="316" bestFit="1" customWidth="1"/>
    <col min="12552" max="12552" width="19" style="316" customWidth="1"/>
    <col min="12553" max="12553" width="19.25" style="316" customWidth="1"/>
    <col min="12554" max="12554" width="18.875" style="316" customWidth="1"/>
    <col min="12555" max="12555" width="16.625" style="316" customWidth="1"/>
    <col min="12556" max="12557" width="9" style="316"/>
    <col min="12558" max="12558" width="15.5" style="316" bestFit="1" customWidth="1"/>
    <col min="12559" max="12559" width="15.625" style="316" bestFit="1" customWidth="1"/>
    <col min="12560" max="12560" width="13.75" style="316" bestFit="1" customWidth="1"/>
    <col min="12561" max="12561" width="13.625" style="316" bestFit="1" customWidth="1"/>
    <col min="12562" max="12562" width="15.75" style="316" bestFit="1" customWidth="1"/>
    <col min="12563" max="12804" width="9" style="316"/>
    <col min="12805" max="12805" width="28.25" style="316" customWidth="1"/>
    <col min="12806" max="12807" width="5.625" style="316" bestFit="1" customWidth="1"/>
    <col min="12808" max="12808" width="19" style="316" customWidth="1"/>
    <col min="12809" max="12809" width="19.25" style="316" customWidth="1"/>
    <col min="12810" max="12810" width="18.875" style="316" customWidth="1"/>
    <col min="12811" max="12811" width="16.625" style="316" customWidth="1"/>
    <col min="12812" max="12813" width="9" style="316"/>
    <col min="12814" max="12814" width="15.5" style="316" bestFit="1" customWidth="1"/>
    <col min="12815" max="12815" width="15.625" style="316" bestFit="1" customWidth="1"/>
    <col min="12816" max="12816" width="13.75" style="316" bestFit="1" customWidth="1"/>
    <col min="12817" max="12817" width="13.625" style="316" bestFit="1" customWidth="1"/>
    <col min="12818" max="12818" width="15.75" style="316" bestFit="1" customWidth="1"/>
    <col min="12819" max="13060" width="9" style="316"/>
    <col min="13061" max="13061" width="28.25" style="316" customWidth="1"/>
    <col min="13062" max="13063" width="5.625" style="316" bestFit="1" customWidth="1"/>
    <col min="13064" max="13064" width="19" style="316" customWidth="1"/>
    <col min="13065" max="13065" width="19.25" style="316" customWidth="1"/>
    <col min="13066" max="13066" width="18.875" style="316" customWidth="1"/>
    <col min="13067" max="13067" width="16.625" style="316" customWidth="1"/>
    <col min="13068" max="13069" width="9" style="316"/>
    <col min="13070" max="13070" width="15.5" style="316" bestFit="1" customWidth="1"/>
    <col min="13071" max="13071" width="15.625" style="316" bestFit="1" customWidth="1"/>
    <col min="13072" max="13072" width="13.75" style="316" bestFit="1" customWidth="1"/>
    <col min="13073" max="13073" width="13.625" style="316" bestFit="1" customWidth="1"/>
    <col min="13074" max="13074" width="15.75" style="316" bestFit="1" customWidth="1"/>
    <col min="13075" max="13316" width="9" style="316"/>
    <col min="13317" max="13317" width="28.25" style="316" customWidth="1"/>
    <col min="13318" max="13319" width="5.625" style="316" bestFit="1" customWidth="1"/>
    <col min="13320" max="13320" width="19" style="316" customWidth="1"/>
    <col min="13321" max="13321" width="19.25" style="316" customWidth="1"/>
    <col min="13322" max="13322" width="18.875" style="316" customWidth="1"/>
    <col min="13323" max="13323" width="16.625" style="316" customWidth="1"/>
    <col min="13324" max="13325" width="9" style="316"/>
    <col min="13326" max="13326" width="15.5" style="316" bestFit="1" customWidth="1"/>
    <col min="13327" max="13327" width="15.625" style="316" bestFit="1" customWidth="1"/>
    <col min="13328" max="13328" width="13.75" style="316" bestFit="1" customWidth="1"/>
    <col min="13329" max="13329" width="13.625" style="316" bestFit="1" customWidth="1"/>
    <col min="13330" max="13330" width="15.75" style="316" bestFit="1" customWidth="1"/>
    <col min="13331" max="13572" width="9" style="316"/>
    <col min="13573" max="13573" width="28.25" style="316" customWidth="1"/>
    <col min="13574" max="13575" width="5.625" style="316" bestFit="1" customWidth="1"/>
    <col min="13576" max="13576" width="19" style="316" customWidth="1"/>
    <col min="13577" max="13577" width="19.25" style="316" customWidth="1"/>
    <col min="13578" max="13578" width="18.875" style="316" customWidth="1"/>
    <col min="13579" max="13579" width="16.625" style="316" customWidth="1"/>
    <col min="13580" max="13581" width="9" style="316"/>
    <col min="13582" max="13582" width="15.5" style="316" bestFit="1" customWidth="1"/>
    <col min="13583" max="13583" width="15.625" style="316" bestFit="1" customWidth="1"/>
    <col min="13584" max="13584" width="13.75" style="316" bestFit="1" customWidth="1"/>
    <col min="13585" max="13585" width="13.625" style="316" bestFit="1" customWidth="1"/>
    <col min="13586" max="13586" width="15.75" style="316" bestFit="1" customWidth="1"/>
    <col min="13587" max="13828" width="9" style="316"/>
    <col min="13829" max="13829" width="28.25" style="316" customWidth="1"/>
    <col min="13830" max="13831" width="5.625" style="316" bestFit="1" customWidth="1"/>
    <col min="13832" max="13832" width="19" style="316" customWidth="1"/>
    <col min="13833" max="13833" width="19.25" style="316" customWidth="1"/>
    <col min="13834" max="13834" width="18.875" style="316" customWidth="1"/>
    <col min="13835" max="13835" width="16.625" style="316" customWidth="1"/>
    <col min="13836" max="13837" width="9" style="316"/>
    <col min="13838" max="13838" width="15.5" style="316" bestFit="1" customWidth="1"/>
    <col min="13839" max="13839" width="15.625" style="316" bestFit="1" customWidth="1"/>
    <col min="13840" max="13840" width="13.75" style="316" bestFit="1" customWidth="1"/>
    <col min="13841" max="13841" width="13.625" style="316" bestFit="1" customWidth="1"/>
    <col min="13842" max="13842" width="15.75" style="316" bestFit="1" customWidth="1"/>
    <col min="13843" max="14084" width="9" style="316"/>
    <col min="14085" max="14085" width="28.25" style="316" customWidth="1"/>
    <col min="14086" max="14087" width="5.625" style="316" bestFit="1" customWidth="1"/>
    <col min="14088" max="14088" width="19" style="316" customWidth="1"/>
    <col min="14089" max="14089" width="19.25" style="316" customWidth="1"/>
    <col min="14090" max="14090" width="18.875" style="316" customWidth="1"/>
    <col min="14091" max="14091" width="16.625" style="316" customWidth="1"/>
    <col min="14092" max="14093" width="9" style="316"/>
    <col min="14094" max="14094" width="15.5" style="316" bestFit="1" customWidth="1"/>
    <col min="14095" max="14095" width="15.625" style="316" bestFit="1" customWidth="1"/>
    <col min="14096" max="14096" width="13.75" style="316" bestFit="1" customWidth="1"/>
    <col min="14097" max="14097" width="13.625" style="316" bestFit="1" customWidth="1"/>
    <col min="14098" max="14098" width="15.75" style="316" bestFit="1" customWidth="1"/>
    <col min="14099" max="14340" width="9" style="316"/>
    <col min="14341" max="14341" width="28.25" style="316" customWidth="1"/>
    <col min="14342" max="14343" width="5.625" style="316" bestFit="1" customWidth="1"/>
    <col min="14344" max="14344" width="19" style="316" customWidth="1"/>
    <col min="14345" max="14345" width="19.25" style="316" customWidth="1"/>
    <col min="14346" max="14346" width="18.875" style="316" customWidth="1"/>
    <col min="14347" max="14347" width="16.625" style="316" customWidth="1"/>
    <col min="14348" max="14349" width="9" style="316"/>
    <col min="14350" max="14350" width="15.5" style="316" bestFit="1" customWidth="1"/>
    <col min="14351" max="14351" width="15.625" style="316" bestFit="1" customWidth="1"/>
    <col min="14352" max="14352" width="13.75" style="316" bestFit="1" customWidth="1"/>
    <col min="14353" max="14353" width="13.625" style="316" bestFit="1" customWidth="1"/>
    <col min="14354" max="14354" width="15.75" style="316" bestFit="1" customWidth="1"/>
    <col min="14355" max="14596" width="9" style="316"/>
    <col min="14597" max="14597" width="28.25" style="316" customWidth="1"/>
    <col min="14598" max="14599" width="5.625" style="316" bestFit="1" customWidth="1"/>
    <col min="14600" max="14600" width="19" style="316" customWidth="1"/>
    <col min="14601" max="14601" width="19.25" style="316" customWidth="1"/>
    <col min="14602" max="14602" width="18.875" style="316" customWidth="1"/>
    <col min="14603" max="14603" width="16.625" style="316" customWidth="1"/>
    <col min="14604" max="14605" width="9" style="316"/>
    <col min="14606" max="14606" width="15.5" style="316" bestFit="1" customWidth="1"/>
    <col min="14607" max="14607" width="15.625" style="316" bestFit="1" customWidth="1"/>
    <col min="14608" max="14608" width="13.75" style="316" bestFit="1" customWidth="1"/>
    <col min="14609" max="14609" width="13.625" style="316" bestFit="1" customWidth="1"/>
    <col min="14610" max="14610" width="15.75" style="316" bestFit="1" customWidth="1"/>
    <col min="14611" max="14852" width="9" style="316"/>
    <col min="14853" max="14853" width="28.25" style="316" customWidth="1"/>
    <col min="14854" max="14855" width="5.625" style="316" bestFit="1" customWidth="1"/>
    <col min="14856" max="14856" width="19" style="316" customWidth="1"/>
    <col min="14857" max="14857" width="19.25" style="316" customWidth="1"/>
    <col min="14858" max="14858" width="18.875" style="316" customWidth="1"/>
    <col min="14859" max="14859" width="16.625" style="316" customWidth="1"/>
    <col min="14860" max="14861" width="9" style="316"/>
    <col min="14862" max="14862" width="15.5" style="316" bestFit="1" customWidth="1"/>
    <col min="14863" max="14863" width="15.625" style="316" bestFit="1" customWidth="1"/>
    <col min="14864" max="14864" width="13.75" style="316" bestFit="1" customWidth="1"/>
    <col min="14865" max="14865" width="13.625" style="316" bestFit="1" customWidth="1"/>
    <col min="14866" max="14866" width="15.75" style="316" bestFit="1" customWidth="1"/>
    <col min="14867" max="15108" width="9" style="316"/>
    <col min="15109" max="15109" width="28.25" style="316" customWidth="1"/>
    <col min="15110" max="15111" width="5.625" style="316" bestFit="1" customWidth="1"/>
    <col min="15112" max="15112" width="19" style="316" customWidth="1"/>
    <col min="15113" max="15113" width="19.25" style="316" customWidth="1"/>
    <col min="15114" max="15114" width="18.875" style="316" customWidth="1"/>
    <col min="15115" max="15115" width="16.625" style="316" customWidth="1"/>
    <col min="15116" max="15117" width="9" style="316"/>
    <col min="15118" max="15118" width="15.5" style="316" bestFit="1" customWidth="1"/>
    <col min="15119" max="15119" width="15.625" style="316" bestFit="1" customWidth="1"/>
    <col min="15120" max="15120" width="13.75" style="316" bestFit="1" customWidth="1"/>
    <col min="15121" max="15121" width="13.625" style="316" bestFit="1" customWidth="1"/>
    <col min="15122" max="15122" width="15.75" style="316" bestFit="1" customWidth="1"/>
    <col min="15123" max="15364" width="9" style="316"/>
    <col min="15365" max="15365" width="28.25" style="316" customWidth="1"/>
    <col min="15366" max="15367" width="5.625" style="316" bestFit="1" customWidth="1"/>
    <col min="15368" max="15368" width="19" style="316" customWidth="1"/>
    <col min="15369" max="15369" width="19.25" style="316" customWidth="1"/>
    <col min="15370" max="15370" width="18.875" style="316" customWidth="1"/>
    <col min="15371" max="15371" width="16.625" style="316" customWidth="1"/>
    <col min="15372" max="15373" width="9" style="316"/>
    <col min="15374" max="15374" width="15.5" style="316" bestFit="1" customWidth="1"/>
    <col min="15375" max="15375" width="15.625" style="316" bestFit="1" customWidth="1"/>
    <col min="15376" max="15376" width="13.75" style="316" bestFit="1" customWidth="1"/>
    <col min="15377" max="15377" width="13.625" style="316" bestFit="1" customWidth="1"/>
    <col min="15378" max="15378" width="15.75" style="316" bestFit="1" customWidth="1"/>
    <col min="15379" max="15620" width="9" style="316"/>
    <col min="15621" max="15621" width="28.25" style="316" customWidth="1"/>
    <col min="15622" max="15623" width="5.625" style="316" bestFit="1" customWidth="1"/>
    <col min="15624" max="15624" width="19" style="316" customWidth="1"/>
    <col min="15625" max="15625" width="19.25" style="316" customWidth="1"/>
    <col min="15626" max="15626" width="18.875" style="316" customWidth="1"/>
    <col min="15627" max="15627" width="16.625" style="316" customWidth="1"/>
    <col min="15628" max="15629" width="9" style="316"/>
    <col min="15630" max="15630" width="15.5" style="316" bestFit="1" customWidth="1"/>
    <col min="15631" max="15631" width="15.625" style="316" bestFit="1" customWidth="1"/>
    <col min="15632" max="15632" width="13.75" style="316" bestFit="1" customWidth="1"/>
    <col min="15633" max="15633" width="13.625" style="316" bestFit="1" customWidth="1"/>
    <col min="15634" max="15634" width="15.75" style="316" bestFit="1" customWidth="1"/>
    <col min="15635" max="15876" width="9" style="316"/>
    <col min="15877" max="15877" width="28.25" style="316" customWidth="1"/>
    <col min="15878" max="15879" width="5.625" style="316" bestFit="1" customWidth="1"/>
    <col min="15880" max="15880" width="19" style="316" customWidth="1"/>
    <col min="15881" max="15881" width="19.25" style="316" customWidth="1"/>
    <col min="15882" max="15882" width="18.875" style="316" customWidth="1"/>
    <col min="15883" max="15883" width="16.625" style="316" customWidth="1"/>
    <col min="15884" max="15885" width="9" style="316"/>
    <col min="15886" max="15886" width="15.5" style="316" bestFit="1" customWidth="1"/>
    <col min="15887" max="15887" width="15.625" style="316" bestFit="1" customWidth="1"/>
    <col min="15888" max="15888" width="13.75" style="316" bestFit="1" customWidth="1"/>
    <col min="15889" max="15889" width="13.625" style="316" bestFit="1" customWidth="1"/>
    <col min="15890" max="15890" width="15.75" style="316" bestFit="1" customWidth="1"/>
    <col min="15891" max="16132" width="9" style="316"/>
    <col min="16133" max="16133" width="28.25" style="316" customWidth="1"/>
    <col min="16134" max="16135" width="5.625" style="316" bestFit="1" customWidth="1"/>
    <col min="16136" max="16136" width="19" style="316" customWidth="1"/>
    <col min="16137" max="16137" width="19.25" style="316" customWidth="1"/>
    <col min="16138" max="16138" width="18.875" style="316" customWidth="1"/>
    <col min="16139" max="16139" width="16.625" style="316" customWidth="1"/>
    <col min="16140" max="16141" width="9" style="316"/>
    <col min="16142" max="16142" width="15.5" style="316" bestFit="1" customWidth="1"/>
    <col min="16143" max="16143" width="15.625" style="316" bestFit="1" customWidth="1"/>
    <col min="16144" max="16144" width="13.75" style="316" bestFit="1" customWidth="1"/>
    <col min="16145" max="16145" width="13.625" style="316" bestFit="1" customWidth="1"/>
    <col min="16146" max="16146" width="15.75" style="316" bestFit="1" customWidth="1"/>
    <col min="16147" max="16384" width="9" style="316"/>
  </cols>
  <sheetData>
    <row r="1" spans="1:18" s="255" customFormat="1" ht="39.950000000000003" customHeight="1">
      <c r="A1" s="1382" t="s">
        <v>4674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N1" s="256"/>
    </row>
    <row r="2" spans="1:18" s="261" customFormat="1" ht="24.95" customHeight="1">
      <c r="A2" s="257" t="s">
        <v>4675</v>
      </c>
      <c r="B2" s="258" t="s">
        <v>4676</v>
      </c>
      <c r="C2" s="258" t="s">
        <v>4677</v>
      </c>
      <c r="D2" s="1076" t="s">
        <v>6638</v>
      </c>
      <c r="E2" s="259" t="s">
        <v>6639</v>
      </c>
      <c r="F2" s="1076" t="s">
        <v>6640</v>
      </c>
      <c r="G2" s="259" t="s">
        <v>6641</v>
      </c>
      <c r="H2" s="1076" t="s">
        <v>6642</v>
      </c>
      <c r="I2" s="259" t="s">
        <v>6643</v>
      </c>
      <c r="J2" s="1076" t="s">
        <v>6644</v>
      </c>
      <c r="K2" s="259" t="s">
        <v>6645</v>
      </c>
      <c r="L2" s="260" t="s">
        <v>4678</v>
      </c>
      <c r="N2" s="262"/>
    </row>
    <row r="3" spans="1:18" s="267" customFormat="1" ht="24.95" customHeight="1">
      <c r="A3" s="263"/>
      <c r="B3" s="264"/>
      <c r="C3" s="264"/>
      <c r="D3" s="1077"/>
      <c r="E3" s="264"/>
      <c r="F3" s="1077"/>
      <c r="G3" s="265"/>
      <c r="H3" s="1091"/>
      <c r="I3" s="266"/>
      <c r="J3" s="1097"/>
      <c r="K3" s="266"/>
      <c r="L3" s="526"/>
      <c r="N3" s="268"/>
    </row>
    <row r="4" spans="1:18" s="255" customFormat="1" ht="24.95" customHeight="1">
      <c r="A4" s="269" t="s">
        <v>4679</v>
      </c>
      <c r="B4" s="270"/>
      <c r="C4" s="270"/>
      <c r="D4" s="1078"/>
      <c r="E4" s="271"/>
      <c r="F4" s="1078"/>
      <c r="G4" s="271"/>
      <c r="H4" s="1078"/>
      <c r="I4" s="271"/>
      <c r="J4" s="1078"/>
      <c r="K4" s="271"/>
      <c r="L4" s="527"/>
      <c r="N4" s="272"/>
      <c r="O4" s="273"/>
      <c r="P4" s="273"/>
      <c r="Q4" s="273"/>
      <c r="R4" s="273"/>
    </row>
    <row r="5" spans="1:18" s="278" customFormat="1" ht="24.95" customHeight="1">
      <c r="A5" s="274" t="s">
        <v>4680</v>
      </c>
      <c r="B5" s="275">
        <v>1</v>
      </c>
      <c r="C5" s="276" t="s">
        <v>4681</v>
      </c>
      <c r="D5" s="1079">
        <v>630342397.23820007</v>
      </c>
      <c r="E5" s="277">
        <f>공종별집계표!H6</f>
        <v>617255126.66711998</v>
      </c>
      <c r="F5" s="1079">
        <v>769426984.41095996</v>
      </c>
      <c r="G5" s="277">
        <f>공종별집계표!L6</f>
        <v>634488442.04488003</v>
      </c>
      <c r="H5" s="1079">
        <v>1226679.6580000001</v>
      </c>
      <c r="I5" s="277">
        <f>공종별집계표!P6</f>
        <v>1878211.6580000003</v>
      </c>
      <c r="J5" s="1079">
        <v>1400996061.3071599</v>
      </c>
      <c r="K5" s="277">
        <f>SUM(E5,G5,I5)</f>
        <v>1253621780.3699999</v>
      </c>
      <c r="L5" s="528"/>
      <c r="N5" s="279"/>
      <c r="O5" s="279"/>
      <c r="P5" s="279"/>
      <c r="Q5" s="279"/>
      <c r="R5" s="279"/>
    </row>
    <row r="6" spans="1:18" s="278" customFormat="1" ht="24.95" customHeight="1">
      <c r="A6" s="274" t="s">
        <v>4685</v>
      </c>
      <c r="B6" s="275">
        <v>1</v>
      </c>
      <c r="C6" s="276" t="s">
        <v>4681</v>
      </c>
      <c r="D6" s="1080">
        <v>5282242.66</v>
      </c>
      <c r="E6" s="280">
        <f>공종별집계표!H43</f>
        <v>2453524.46</v>
      </c>
      <c r="F6" s="1080">
        <v>261925901.77139997</v>
      </c>
      <c r="G6" s="280">
        <f>공종별집계표!L43</f>
        <v>181367392.76859999</v>
      </c>
      <c r="H6" s="1079">
        <v>0</v>
      </c>
      <c r="I6" s="284">
        <f>공종별집계표!P43</f>
        <v>63729</v>
      </c>
      <c r="J6" s="1081">
        <v>267208144.43139997</v>
      </c>
      <c r="K6" s="277">
        <f>SUM(E6,G6,I6)</f>
        <v>183884646.2286</v>
      </c>
      <c r="L6" s="528"/>
      <c r="N6" s="279"/>
      <c r="O6" s="279"/>
      <c r="P6" s="279"/>
      <c r="Q6" s="279"/>
      <c r="R6" s="279"/>
    </row>
    <row r="7" spans="1:18" s="285" customFormat="1" ht="24.95" customHeight="1">
      <c r="A7" s="1228" t="s">
        <v>4686</v>
      </c>
      <c r="B7" s="1229">
        <v>1</v>
      </c>
      <c r="C7" s="1230" t="s">
        <v>4681</v>
      </c>
      <c r="D7" s="1231">
        <v>45915003.659999996</v>
      </c>
      <c r="E7" s="1232">
        <f>공종별집계표!H52</f>
        <v>30859461.640000001</v>
      </c>
      <c r="F7" s="1231">
        <v>171933517</v>
      </c>
      <c r="G7" s="1232">
        <f>공종별집계표!L52</f>
        <v>135589169</v>
      </c>
      <c r="H7" s="1231">
        <v>0</v>
      </c>
      <c r="I7" s="1232">
        <f>공종별집계표!P52</f>
        <v>0</v>
      </c>
      <c r="J7" s="1231">
        <v>217848520.66</v>
      </c>
      <c r="K7" s="1232">
        <f>SUM(E7,G7,I7)</f>
        <v>166448630.63999999</v>
      </c>
      <c r="L7" s="1233"/>
      <c r="M7" s="285" t="s">
        <v>6752</v>
      </c>
      <c r="N7" s="286"/>
      <c r="O7" s="286"/>
      <c r="P7" s="286"/>
      <c r="Q7" s="286"/>
      <c r="R7" s="286"/>
    </row>
    <row r="8" spans="1:18" s="278" customFormat="1" ht="24.95" customHeight="1">
      <c r="A8" s="274"/>
      <c r="B8" s="282"/>
      <c r="C8" s="283"/>
      <c r="D8" s="1079"/>
      <c r="E8" s="277"/>
      <c r="F8" s="1079"/>
      <c r="G8" s="277"/>
      <c r="H8" s="1079"/>
      <c r="I8" s="277"/>
      <c r="J8" s="1079"/>
      <c r="K8" s="277"/>
      <c r="L8" s="528"/>
      <c r="N8" s="279"/>
      <c r="O8" s="279"/>
      <c r="P8" s="279"/>
      <c r="Q8" s="279"/>
      <c r="R8" s="279"/>
    </row>
    <row r="9" spans="1:18" s="278" customFormat="1" ht="24.95" customHeight="1">
      <c r="A9" s="274"/>
      <c r="B9" s="275"/>
      <c r="C9" s="276"/>
      <c r="D9" s="1079"/>
      <c r="E9" s="277"/>
      <c r="F9" s="1079"/>
      <c r="G9" s="277"/>
      <c r="H9" s="1079"/>
      <c r="I9" s="277"/>
      <c r="J9" s="1079"/>
      <c r="K9" s="277"/>
      <c r="L9" s="528"/>
      <c r="N9" s="279"/>
      <c r="O9" s="279"/>
      <c r="P9" s="279"/>
      <c r="Q9" s="279"/>
      <c r="R9" s="279"/>
    </row>
    <row r="10" spans="1:18" s="278" customFormat="1" ht="24.95" customHeight="1">
      <c r="A10" s="274"/>
      <c r="B10" s="275"/>
      <c r="C10" s="276"/>
      <c r="D10" s="1079"/>
      <c r="E10" s="277"/>
      <c r="F10" s="1079"/>
      <c r="G10" s="277"/>
      <c r="H10" s="1079"/>
      <c r="I10" s="277"/>
      <c r="J10" s="1079"/>
      <c r="K10" s="277"/>
      <c r="L10" s="528"/>
      <c r="N10" s="279"/>
      <c r="O10" s="279"/>
    </row>
    <row r="11" spans="1:18" s="278" customFormat="1" ht="24.95" customHeight="1">
      <c r="A11" s="274"/>
      <c r="B11" s="275"/>
      <c r="C11" s="276"/>
      <c r="D11" s="1079"/>
      <c r="E11" s="277"/>
      <c r="F11" s="1079"/>
      <c r="G11" s="277"/>
      <c r="H11" s="1079"/>
      <c r="I11" s="277"/>
      <c r="J11" s="1079"/>
      <c r="K11" s="277"/>
      <c r="L11" s="528"/>
      <c r="N11" s="279"/>
      <c r="O11" s="279"/>
    </row>
    <row r="12" spans="1:18" s="278" customFormat="1" ht="24.95" customHeight="1">
      <c r="A12" s="287" t="s">
        <v>4682</v>
      </c>
      <c r="B12" s="288"/>
      <c r="C12" s="288"/>
      <c r="D12" s="1082">
        <v>681539643.5582</v>
      </c>
      <c r="E12" s="289">
        <f>SUM(E5:E11)</f>
        <v>650568112.76712</v>
      </c>
      <c r="F12" s="1082">
        <v>1203286403.1823599</v>
      </c>
      <c r="G12" s="289">
        <f>SUM(G5:G11)</f>
        <v>951445003.81348002</v>
      </c>
      <c r="H12" s="1082">
        <v>1226679.6580000001</v>
      </c>
      <c r="I12" s="289">
        <f>SUM(I5:I11)</f>
        <v>1941940.6580000003</v>
      </c>
      <c r="J12" s="1082">
        <v>1886052726.39856</v>
      </c>
      <c r="K12" s="289">
        <f>SUM(K5:K9)</f>
        <v>1603955057.2385998</v>
      </c>
      <c r="L12" s="529"/>
      <c r="N12" s="272"/>
      <c r="O12" s="273"/>
      <c r="P12" s="273"/>
      <c r="Q12" s="273"/>
      <c r="R12" s="273"/>
    </row>
    <row r="13" spans="1:18" s="278" customFormat="1" ht="24.95" customHeight="1">
      <c r="A13" s="290"/>
      <c r="B13" s="276"/>
      <c r="C13" s="276"/>
      <c r="D13" s="1079"/>
      <c r="E13" s="277"/>
      <c r="F13" s="1079"/>
      <c r="G13" s="277"/>
      <c r="H13" s="1079"/>
      <c r="I13" s="277"/>
      <c r="J13" s="1079"/>
      <c r="K13" s="277"/>
      <c r="L13" s="528"/>
      <c r="N13" s="279"/>
      <c r="O13" s="279"/>
      <c r="P13" s="279"/>
      <c r="Q13" s="279"/>
      <c r="R13" s="279"/>
    </row>
    <row r="14" spans="1:18" s="278" customFormat="1" ht="24.95" customHeight="1">
      <c r="A14" s="291" t="s">
        <v>4687</v>
      </c>
      <c r="B14" s="276"/>
      <c r="C14" s="276"/>
      <c r="D14" s="1079"/>
      <c r="E14" s="277"/>
      <c r="F14" s="1079"/>
      <c r="G14" s="277"/>
      <c r="H14" s="1079"/>
      <c r="I14" s="277"/>
      <c r="J14" s="1079"/>
      <c r="K14" s="277"/>
      <c r="L14" s="528"/>
      <c r="N14" s="279"/>
      <c r="O14" s="279"/>
      <c r="P14" s="279"/>
      <c r="Q14" s="279"/>
      <c r="R14" s="279"/>
    </row>
    <row r="15" spans="1:18" s="278" customFormat="1" ht="24.95" customHeight="1">
      <c r="A15" s="274" t="s">
        <v>4795</v>
      </c>
      <c r="B15" s="275">
        <v>1</v>
      </c>
      <c r="C15" s="276" t="s">
        <v>4681</v>
      </c>
      <c r="D15" s="1079">
        <v>27380000</v>
      </c>
      <c r="E15" s="277">
        <f>공종별집계표!H57</f>
        <v>27380000</v>
      </c>
      <c r="F15" s="1079">
        <v>0</v>
      </c>
      <c r="G15" s="277">
        <f>공종별집계표!L57</f>
        <v>0</v>
      </c>
      <c r="H15" s="1079">
        <v>0</v>
      </c>
      <c r="I15" s="277">
        <f>공종별집계표!P57</f>
        <v>0</v>
      </c>
      <c r="J15" s="1079">
        <v>27380000</v>
      </c>
      <c r="K15" s="277">
        <f>SUM(E15,G15,I15)</f>
        <v>27380000</v>
      </c>
      <c r="L15" s="530"/>
      <c r="N15" s="279"/>
      <c r="O15" s="279"/>
      <c r="P15" s="279"/>
      <c r="Q15" s="279"/>
      <c r="R15" s="279"/>
    </row>
    <row r="16" spans="1:18" s="278" customFormat="1" ht="24.95" customHeight="1">
      <c r="A16" s="274" t="s">
        <v>4796</v>
      </c>
      <c r="B16" s="275">
        <v>1</v>
      </c>
      <c r="C16" s="276" t="s">
        <v>4681</v>
      </c>
      <c r="D16" s="1079">
        <v>17780000</v>
      </c>
      <c r="E16" s="277">
        <f>공종별집계표!H59</f>
        <v>17780000</v>
      </c>
      <c r="F16" s="1079">
        <v>0</v>
      </c>
      <c r="G16" s="277">
        <f>공종별집계표!L59</f>
        <v>0</v>
      </c>
      <c r="H16" s="1079">
        <v>0</v>
      </c>
      <c r="I16" s="277">
        <f>공종별집계표!P59</f>
        <v>0</v>
      </c>
      <c r="J16" s="1079">
        <v>17780000</v>
      </c>
      <c r="K16" s="277">
        <f>SUM(E16,G16,I16)</f>
        <v>17780000</v>
      </c>
      <c r="L16" s="530"/>
      <c r="N16" s="279"/>
      <c r="O16" s="279"/>
      <c r="P16" s="279"/>
      <c r="Q16" s="279"/>
      <c r="R16" s="279"/>
    </row>
    <row r="17" spans="1:15" s="278" customFormat="1" ht="24.95" customHeight="1">
      <c r="A17" s="281" t="s">
        <v>4704</v>
      </c>
      <c r="B17" s="282">
        <v>1</v>
      </c>
      <c r="C17" s="283" t="s">
        <v>4681</v>
      </c>
      <c r="D17" s="1079">
        <v>13263540</v>
      </c>
      <c r="E17" s="277">
        <f>공종별집계표!H61</f>
        <v>13263540</v>
      </c>
      <c r="F17" s="1079">
        <v>53212100</v>
      </c>
      <c r="G17" s="277">
        <f>공종별집계표!L61</f>
        <v>53212100</v>
      </c>
      <c r="H17" s="1079">
        <v>0</v>
      </c>
      <c r="I17" s="277">
        <f ca="1">공종별집계표!P61</f>
        <v>0</v>
      </c>
      <c r="J17" s="1079">
        <v>66475640</v>
      </c>
      <c r="K17" s="277">
        <f ca="1">SUM(E17,G17,I17)</f>
        <v>66475640</v>
      </c>
      <c r="L17" s="528"/>
      <c r="N17" s="279"/>
      <c r="O17" s="279"/>
    </row>
    <row r="18" spans="1:15" s="278" customFormat="1" ht="24.95" customHeight="1">
      <c r="A18" s="274" t="s">
        <v>6543</v>
      </c>
      <c r="B18" s="275">
        <v>1</v>
      </c>
      <c r="C18" s="276" t="s">
        <v>6544</v>
      </c>
      <c r="D18" s="1079"/>
      <c r="E18" s="277"/>
      <c r="F18" s="1079"/>
      <c r="G18" s="277"/>
      <c r="H18" s="1079"/>
      <c r="I18" s="277"/>
      <c r="J18" s="1079">
        <v>1650000000</v>
      </c>
      <c r="K18" s="277">
        <f>'원가(진열장)'!E26</f>
        <v>1650000000</v>
      </c>
      <c r="L18" s="528"/>
      <c r="N18" s="279"/>
      <c r="O18" s="279"/>
    </row>
    <row r="19" spans="1:15" s="278" customFormat="1" ht="24.95" customHeight="1">
      <c r="A19" s="292"/>
      <c r="B19" s="275"/>
      <c r="C19" s="276"/>
      <c r="D19" s="1079"/>
      <c r="E19" s="277"/>
      <c r="F19" s="1079"/>
      <c r="G19" s="277"/>
      <c r="H19" s="1079"/>
      <c r="I19" s="277"/>
      <c r="J19" s="1079"/>
      <c r="K19" s="277"/>
      <c r="L19" s="528"/>
      <c r="N19" s="279"/>
      <c r="O19" s="279"/>
    </row>
    <row r="20" spans="1:15" s="278" customFormat="1" ht="24.95" customHeight="1">
      <c r="A20" s="292"/>
      <c r="B20" s="276"/>
      <c r="C20" s="276"/>
      <c r="D20" s="1079"/>
      <c r="E20" s="277"/>
      <c r="F20" s="1079"/>
      <c r="G20" s="277"/>
      <c r="H20" s="1079"/>
      <c r="I20" s="277"/>
      <c r="J20" s="1079"/>
      <c r="K20" s="277"/>
      <c r="L20" s="528"/>
      <c r="N20" s="279"/>
      <c r="O20" s="279"/>
    </row>
    <row r="21" spans="1:15" s="278" customFormat="1" ht="24.95" customHeight="1">
      <c r="A21" s="287" t="s">
        <v>4682</v>
      </c>
      <c r="B21" s="288"/>
      <c r="C21" s="288"/>
      <c r="D21" s="1082">
        <v>58423540</v>
      </c>
      <c r="E21" s="289">
        <f>SUM(E15:E18)</f>
        <v>58423540</v>
      </c>
      <c r="F21" s="1082">
        <v>53212100</v>
      </c>
      <c r="G21" s="289">
        <f>SUM(G15:G18)</f>
        <v>53212100</v>
      </c>
      <c r="H21" s="1082">
        <v>0</v>
      </c>
      <c r="I21" s="289">
        <f ca="1">SUM(I15:I18)</f>
        <v>0</v>
      </c>
      <c r="J21" s="1082">
        <v>1761635640</v>
      </c>
      <c r="K21" s="289">
        <f ca="1">SUM( K15:K18)</f>
        <v>1761635640</v>
      </c>
      <c r="L21" s="529"/>
      <c r="N21" s="279"/>
      <c r="O21" s="279"/>
    </row>
    <row r="22" spans="1:15" s="278" customFormat="1" ht="24.95" customHeight="1">
      <c r="A22" s="292"/>
      <c r="B22" s="276"/>
      <c r="C22" s="276"/>
      <c r="D22" s="1079"/>
      <c r="E22" s="277"/>
      <c r="F22" s="1079"/>
      <c r="G22" s="277"/>
      <c r="H22" s="1079"/>
      <c r="I22" s="277"/>
      <c r="J22" s="1079"/>
      <c r="K22" s="277"/>
      <c r="L22" s="528"/>
      <c r="N22" s="279"/>
    </row>
    <row r="23" spans="1:15" s="278" customFormat="1" ht="24.95" customHeight="1">
      <c r="A23" s="291" t="s">
        <v>4705</v>
      </c>
      <c r="B23" s="276"/>
      <c r="C23" s="276"/>
      <c r="D23" s="1079"/>
      <c r="E23" s="277"/>
      <c r="F23" s="1079"/>
      <c r="G23" s="277"/>
      <c r="H23" s="1079"/>
      <c r="I23" s="277"/>
      <c r="J23" s="1079"/>
      <c r="K23" s="277"/>
      <c r="L23" s="528"/>
      <c r="N23" s="279"/>
    </row>
    <row r="24" spans="1:15" s="278" customFormat="1" ht="24.95" customHeight="1">
      <c r="A24" s="274" t="s">
        <v>4706</v>
      </c>
      <c r="B24" s="275">
        <v>1</v>
      </c>
      <c r="C24" s="276" t="s">
        <v>2602</v>
      </c>
      <c r="D24" s="1079"/>
      <c r="E24" s="277"/>
      <c r="F24" s="1079"/>
      <c r="G24" s="293"/>
      <c r="H24" s="1092">
        <v>6734130</v>
      </c>
      <c r="I24" s="277">
        <f>공종별집계표!P62</f>
        <v>6734130</v>
      </c>
      <c r="J24" s="1079">
        <v>6734130</v>
      </c>
      <c r="K24" s="277">
        <f>E24+G24+I24</f>
        <v>6734130</v>
      </c>
      <c r="L24" s="528"/>
      <c r="N24" s="294"/>
    </row>
    <row r="25" spans="1:15" s="278" customFormat="1" ht="24.95" customHeight="1">
      <c r="A25" s="274"/>
      <c r="B25" s="275"/>
      <c r="C25" s="276"/>
      <c r="D25" s="1079"/>
      <c r="E25" s="277"/>
      <c r="F25" s="1079"/>
      <c r="G25" s="293"/>
      <c r="H25" s="1092"/>
      <c r="I25" s="277"/>
      <c r="J25" s="1079"/>
      <c r="K25" s="277"/>
      <c r="L25" s="528"/>
      <c r="N25" s="294"/>
    </row>
    <row r="26" spans="1:15" s="278" customFormat="1" ht="24.95" customHeight="1">
      <c r="A26" s="274"/>
      <c r="B26" s="275"/>
      <c r="C26" s="276"/>
      <c r="D26" s="1079"/>
      <c r="E26" s="277"/>
      <c r="F26" s="1079"/>
      <c r="G26" s="293"/>
      <c r="H26" s="1092"/>
      <c r="I26" s="277"/>
      <c r="J26" s="1079"/>
      <c r="K26" s="277"/>
      <c r="L26" s="528"/>
      <c r="N26" s="294"/>
    </row>
    <row r="27" spans="1:15" s="278" customFormat="1" ht="24.95" customHeight="1">
      <c r="A27" s="274"/>
      <c r="B27" s="275"/>
      <c r="C27" s="276"/>
      <c r="D27" s="1079"/>
      <c r="E27" s="277"/>
      <c r="F27" s="1079"/>
      <c r="G27" s="293"/>
      <c r="H27" s="1092"/>
      <c r="I27" s="277"/>
      <c r="J27" s="1079"/>
      <c r="K27" s="277"/>
      <c r="L27" s="528"/>
      <c r="N27" s="294"/>
      <c r="O27" s="295"/>
    </row>
    <row r="28" spans="1:15" s="278" customFormat="1" ht="24.95" customHeight="1">
      <c r="A28" s="274"/>
      <c r="B28" s="275"/>
      <c r="C28" s="276"/>
      <c r="D28" s="1079"/>
      <c r="E28" s="277"/>
      <c r="F28" s="1079"/>
      <c r="G28" s="293"/>
      <c r="H28" s="1092"/>
      <c r="I28" s="277"/>
      <c r="J28" s="1079"/>
      <c r="K28" s="277"/>
      <c r="L28" s="528"/>
      <c r="N28" s="294"/>
    </row>
    <row r="29" spans="1:15" s="278" customFormat="1" ht="24.95" customHeight="1">
      <c r="A29" s="296"/>
      <c r="B29" s="276"/>
      <c r="C29" s="276"/>
      <c r="D29" s="1083"/>
      <c r="E29" s="297"/>
      <c r="F29" s="1083"/>
      <c r="G29" s="277"/>
      <c r="H29" s="1079"/>
      <c r="I29" s="277"/>
      <c r="J29" s="1079"/>
      <c r="K29" s="277"/>
      <c r="L29" s="528"/>
      <c r="N29" s="294"/>
    </row>
    <row r="30" spans="1:15" s="278" customFormat="1" ht="24.95" customHeight="1">
      <c r="A30" s="298" t="s">
        <v>4682</v>
      </c>
      <c r="B30" s="299"/>
      <c r="C30" s="299"/>
      <c r="D30" s="1084">
        <v>0</v>
      </c>
      <c r="E30" s="300">
        <f>SUM(E24:E29)</f>
        <v>0</v>
      </c>
      <c r="F30" s="1084">
        <v>0</v>
      </c>
      <c r="G30" s="300">
        <f>SUM(G24:G29)</f>
        <v>0</v>
      </c>
      <c r="H30" s="1084">
        <v>6734130</v>
      </c>
      <c r="I30" s="300">
        <f>SUM(I24:I29)</f>
        <v>6734130</v>
      </c>
      <c r="J30" s="1084">
        <v>6734130</v>
      </c>
      <c r="K30" s="300">
        <f>SUM(K24:K27)</f>
        <v>6734130</v>
      </c>
      <c r="L30" s="525"/>
      <c r="N30" s="294"/>
    </row>
    <row r="31" spans="1:15" s="278" customFormat="1" ht="16.5" customHeight="1">
      <c r="A31" s="301"/>
      <c r="B31" s="302"/>
      <c r="C31" s="302"/>
      <c r="D31" s="1085"/>
      <c r="E31" s="294"/>
      <c r="F31" s="1085"/>
      <c r="G31" s="303"/>
      <c r="H31" s="1093"/>
      <c r="I31" s="294"/>
      <c r="J31" s="1085"/>
      <c r="K31" s="294"/>
      <c r="L31" s="302"/>
      <c r="N31" s="294"/>
    </row>
    <row r="32" spans="1:15" s="255" customFormat="1" ht="22.5" customHeight="1">
      <c r="A32" s="304"/>
      <c r="B32" s="273"/>
      <c r="C32" s="273"/>
      <c r="D32" s="1086"/>
      <c r="E32" s="295"/>
      <c r="F32" s="1086"/>
      <c r="G32" s="305"/>
      <c r="H32" s="1094"/>
      <c r="I32" s="306"/>
      <c r="J32" s="1094"/>
      <c r="K32" s="306"/>
      <c r="L32" s="273"/>
      <c r="N32" s="307"/>
    </row>
    <row r="33" spans="1:14" s="255" customFormat="1" ht="20.100000000000001" hidden="1" customHeight="1">
      <c r="A33" s="304" t="s">
        <v>4683</v>
      </c>
      <c r="B33" s="308"/>
      <c r="C33" s="308"/>
      <c r="D33" s="1086"/>
      <c r="E33" s="295">
        <v>371000</v>
      </c>
      <c r="F33" s="1086"/>
      <c r="G33" s="305"/>
      <c r="H33" s="1094"/>
      <c r="I33" s="306"/>
      <c r="J33" s="1094"/>
      <c r="K33" s="306"/>
      <c r="L33" s="308"/>
      <c r="M33" s="278"/>
      <c r="N33" s="256"/>
    </row>
    <row r="34" spans="1:14" s="255" customFormat="1" ht="20.100000000000001" customHeight="1">
      <c r="A34" s="304"/>
      <c r="B34" s="308"/>
      <c r="C34" s="308"/>
      <c r="D34" s="1086"/>
      <c r="E34" s="295"/>
      <c r="F34" s="1086"/>
      <c r="G34" s="305"/>
      <c r="H34" s="1094"/>
      <c r="I34" s="305"/>
      <c r="J34" s="1094"/>
      <c r="K34" s="306"/>
      <c r="L34" s="308"/>
      <c r="M34" s="278"/>
      <c r="N34" s="256"/>
    </row>
    <row r="35" spans="1:14" s="255" customFormat="1" ht="20.100000000000001" customHeight="1">
      <c r="A35" s="304"/>
      <c r="B35" s="308"/>
      <c r="C35" s="308"/>
      <c r="D35" s="1086"/>
      <c r="E35" s="295"/>
      <c r="F35" s="1086"/>
      <c r="G35" s="305"/>
      <c r="H35" s="1094"/>
      <c r="I35" s="306"/>
      <c r="J35" s="1094"/>
      <c r="K35" s="306"/>
      <c r="L35" s="308"/>
      <c r="M35" s="278"/>
      <c r="N35" s="256"/>
    </row>
    <row r="36" spans="1:14" s="255" customFormat="1" ht="20.100000000000001" customHeight="1">
      <c r="A36" s="304"/>
      <c r="B36" s="308"/>
      <c r="C36" s="308"/>
      <c r="D36" s="1086"/>
      <c r="E36" s="295"/>
      <c r="F36" s="1086"/>
      <c r="G36" s="305"/>
      <c r="H36" s="1094"/>
      <c r="I36" s="306"/>
      <c r="J36" s="1094"/>
      <c r="K36" s="306"/>
      <c r="L36" s="308"/>
      <c r="M36" s="278"/>
      <c r="N36" s="256"/>
    </row>
    <row r="37" spans="1:14" s="255" customFormat="1" ht="20.100000000000001" customHeight="1">
      <c r="A37" s="304"/>
      <c r="B37" s="308"/>
      <c r="C37" s="308"/>
      <c r="D37" s="1086"/>
      <c r="E37" s="295"/>
      <c r="F37" s="1086"/>
      <c r="G37" s="295"/>
      <c r="H37" s="1086"/>
      <c r="I37" s="295"/>
      <c r="J37" s="1086"/>
      <c r="K37" s="295"/>
      <c r="L37" s="308"/>
      <c r="M37" s="278"/>
      <c r="N37" s="256"/>
    </row>
    <row r="38" spans="1:14" s="255" customFormat="1" ht="20.100000000000001" customHeight="1">
      <c r="A38" s="304"/>
      <c r="B38" s="302"/>
      <c r="C38" s="302"/>
      <c r="D38" s="1085"/>
      <c r="E38" s="294"/>
      <c r="F38" s="1085"/>
      <c r="G38" s="309"/>
      <c r="H38" s="1095"/>
      <c r="I38" s="306"/>
      <c r="J38" s="1094"/>
      <c r="K38" s="306"/>
      <c r="L38" s="308"/>
      <c r="M38" s="278"/>
      <c r="N38" s="256"/>
    </row>
    <row r="39" spans="1:14" ht="20.100000000000001" customHeight="1">
      <c r="A39" s="310"/>
      <c r="B39" s="311"/>
      <c r="C39" s="311"/>
      <c r="D39" s="1087"/>
      <c r="E39" s="312"/>
      <c r="F39" s="1087"/>
      <c r="G39" s="313"/>
      <c r="H39" s="1096"/>
      <c r="I39" s="313"/>
      <c r="J39" s="1096"/>
      <c r="K39" s="313"/>
      <c r="L39" s="311"/>
      <c r="M39" s="314"/>
    </row>
    <row r="40" spans="1:14" ht="20.100000000000001" customHeight="1">
      <c r="D40" s="1088"/>
      <c r="E40" s="319"/>
      <c r="F40" s="1088"/>
    </row>
    <row r="41" spans="1:14" ht="20.100000000000001" customHeight="1">
      <c r="D41" s="1089"/>
      <c r="E41" s="321"/>
      <c r="F41" s="1089"/>
    </row>
    <row r="42" spans="1:14" ht="20.100000000000001" customHeight="1">
      <c r="D42" s="1088"/>
      <c r="E42" s="322"/>
      <c r="F42" s="1088"/>
    </row>
    <row r="43" spans="1:14" ht="20.100000000000001" customHeight="1"/>
    <row r="44" spans="1:14" ht="20.100000000000001" customHeight="1"/>
    <row r="48" spans="1:14">
      <c r="M48" s="323"/>
      <c r="N48" s="324"/>
    </row>
  </sheetData>
  <mergeCells count="1">
    <mergeCell ref="A1:L1"/>
  </mergeCells>
  <phoneticPr fontId="1" type="noConversion"/>
  <printOptions horizontalCentered="1" verticalCentered="1"/>
  <pageMargins left="0.59055118110236227" right="0.74803149606299213" top="0.31" bottom="0.33" header="0.27559055118110237" footer="0.27559055118110237"/>
  <pageSetup paperSize="9" scale="9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Z69"/>
  <sheetViews>
    <sheetView view="pageBreakPreview" zoomScale="90" zoomScaleSheetLayoutView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U1"/>
    </sheetView>
  </sheetViews>
  <sheetFormatPr defaultRowHeight="17.25"/>
  <cols>
    <col min="1" max="1" width="40.625" customWidth="1"/>
    <col min="2" max="2" width="20.625" hidden="1" customWidth="1"/>
    <col min="3" max="4" width="4.625" customWidth="1"/>
    <col min="5" max="6" width="15.625" style="1111" customWidth="1"/>
    <col min="7" max="8" width="15.625" customWidth="1"/>
    <col min="9" max="10" width="15.625" style="1111" customWidth="1"/>
    <col min="11" max="12" width="15.625" customWidth="1"/>
    <col min="13" max="14" width="15.625" style="1111" customWidth="1"/>
    <col min="15" max="16" width="15.625" customWidth="1"/>
    <col min="17" max="18" width="15.625" style="1111" customWidth="1"/>
    <col min="19" max="20" width="15.625" customWidth="1"/>
    <col min="21" max="21" width="12.625" customWidth="1"/>
    <col min="22" max="24" width="2.625" hidden="1" customWidth="1"/>
    <col min="25" max="27" width="1.625" hidden="1" customWidth="1"/>
    <col min="28" max="28" width="18.625" hidden="1" customWidth="1"/>
    <col min="29" max="29" width="3.25" customWidth="1"/>
    <col min="30" max="30" width="28.875" customWidth="1"/>
    <col min="31" max="31" width="16.75" customWidth="1"/>
    <col min="32" max="34" width="16.75" style="50" customWidth="1"/>
    <col min="35" max="39" width="16.75" style="48" customWidth="1"/>
    <col min="40" max="40" width="13.625" style="48" customWidth="1"/>
    <col min="41" max="41" width="9" style="48"/>
    <col min="42" max="42" width="15.375" style="48" customWidth="1"/>
    <col min="43" max="52" width="9" style="48"/>
  </cols>
  <sheetData>
    <row r="1" spans="1:52" ht="30" customHeight="1">
      <c r="A1" s="1383" t="s">
        <v>0</v>
      </c>
      <c r="B1" s="1383"/>
      <c r="C1" s="1383"/>
      <c r="D1" s="1383"/>
      <c r="E1" s="1383"/>
      <c r="F1" s="1383"/>
      <c r="G1" s="1383"/>
      <c r="H1" s="1383"/>
      <c r="I1" s="1383"/>
      <c r="J1" s="1383"/>
      <c r="K1" s="1383"/>
      <c r="L1" s="1383"/>
      <c r="M1" s="1383"/>
      <c r="N1" s="1383"/>
      <c r="O1" s="1383"/>
      <c r="P1" s="1383"/>
      <c r="Q1" s="1383"/>
      <c r="R1" s="1383"/>
      <c r="S1" s="1383"/>
      <c r="T1" s="1383"/>
      <c r="U1" s="1383"/>
    </row>
    <row r="2" spans="1:52" ht="30" customHeight="1">
      <c r="A2" s="1384" t="s">
        <v>4794</v>
      </c>
      <c r="B2" s="1384"/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  <c r="O2" s="1384"/>
      <c r="P2" s="1384"/>
      <c r="Q2" s="1384"/>
      <c r="R2" s="1384"/>
      <c r="S2" s="1384"/>
      <c r="T2" s="1384"/>
      <c r="U2" s="1384"/>
      <c r="AD2" s="214" t="e">
        <f>#REF!</f>
        <v>#REF!</v>
      </c>
    </row>
    <row r="3" spans="1:52" ht="30" customHeight="1">
      <c r="A3" s="1385" t="s">
        <v>1</v>
      </c>
      <c r="B3" s="1385" t="s">
        <v>2</v>
      </c>
      <c r="C3" s="1385" t="s">
        <v>3</v>
      </c>
      <c r="D3" s="1385" t="s">
        <v>4</v>
      </c>
      <c r="E3" s="1387" t="s">
        <v>5</v>
      </c>
      <c r="F3" s="1388"/>
      <c r="G3" s="1385" t="s">
        <v>5</v>
      </c>
      <c r="H3" s="1385"/>
      <c r="I3" s="1387" t="s">
        <v>8</v>
      </c>
      <c r="J3" s="1388"/>
      <c r="K3" s="1385" t="s">
        <v>8</v>
      </c>
      <c r="L3" s="1385"/>
      <c r="M3" s="1387" t="s">
        <v>9</v>
      </c>
      <c r="N3" s="1388"/>
      <c r="O3" s="1385" t="s">
        <v>9</v>
      </c>
      <c r="P3" s="1385"/>
      <c r="Q3" s="1387" t="s">
        <v>10</v>
      </c>
      <c r="R3" s="1388"/>
      <c r="S3" s="1385" t="s">
        <v>10</v>
      </c>
      <c r="T3" s="1385"/>
      <c r="U3" s="1385" t="s">
        <v>11</v>
      </c>
      <c r="V3" s="1389" t="s">
        <v>12</v>
      </c>
      <c r="W3" s="1389" t="s">
        <v>13</v>
      </c>
      <c r="X3" s="1389" t="s">
        <v>14</v>
      </c>
      <c r="Y3" s="1389" t="s">
        <v>15</v>
      </c>
      <c r="Z3" s="1389" t="s">
        <v>16</v>
      </c>
      <c r="AA3" s="1389" t="s">
        <v>17</v>
      </c>
      <c r="AB3" s="1389" t="s">
        <v>18</v>
      </c>
      <c r="AC3" s="15"/>
      <c r="AD3" s="15"/>
      <c r="AE3" s="52"/>
    </row>
    <row r="4" spans="1:52" ht="30" customHeight="1">
      <c r="A4" s="1386"/>
      <c r="B4" s="1386"/>
      <c r="C4" s="1386"/>
      <c r="D4" s="1386"/>
      <c r="E4" s="1098" t="s">
        <v>6</v>
      </c>
      <c r="F4" s="1098" t="s">
        <v>7</v>
      </c>
      <c r="G4" s="7" t="s">
        <v>6</v>
      </c>
      <c r="H4" s="7" t="s">
        <v>7</v>
      </c>
      <c r="I4" s="1098" t="s">
        <v>6</v>
      </c>
      <c r="J4" s="1098" t="s">
        <v>7</v>
      </c>
      <c r="K4" s="7" t="s">
        <v>6</v>
      </c>
      <c r="L4" s="7" t="s">
        <v>7</v>
      </c>
      <c r="M4" s="1098" t="s">
        <v>6</v>
      </c>
      <c r="N4" s="1098" t="s">
        <v>7</v>
      </c>
      <c r="O4" s="7" t="s">
        <v>6</v>
      </c>
      <c r="P4" s="7" t="s">
        <v>7</v>
      </c>
      <c r="Q4" s="1098" t="s">
        <v>6</v>
      </c>
      <c r="R4" s="1098" t="s">
        <v>7</v>
      </c>
      <c r="S4" s="7" t="s">
        <v>6</v>
      </c>
      <c r="T4" s="7" t="s">
        <v>7</v>
      </c>
      <c r="U4" s="1386"/>
      <c r="V4" s="1389"/>
      <c r="W4" s="1389"/>
      <c r="X4" s="1389"/>
      <c r="Y4" s="1389"/>
      <c r="Z4" s="1389"/>
      <c r="AA4" s="1389"/>
      <c r="AB4" s="1389"/>
      <c r="AC4" s="15"/>
    </row>
    <row r="5" spans="1:52" s="46" customFormat="1" ht="30" customHeight="1">
      <c r="A5" s="40" t="s">
        <v>50</v>
      </c>
      <c r="B5" s="40" t="s">
        <v>51</v>
      </c>
      <c r="C5" s="40" t="s">
        <v>51</v>
      </c>
      <c r="D5" s="41">
        <v>1</v>
      </c>
      <c r="E5" s="1099">
        <v>739963183.5582</v>
      </c>
      <c r="F5" s="1099">
        <v>739963183.5582</v>
      </c>
      <c r="G5" s="47">
        <f>H6+H43+H52+H56+H62</f>
        <v>708991652.76712</v>
      </c>
      <c r="H5" s="47">
        <f>G5*D5</f>
        <v>708991652.76712</v>
      </c>
      <c r="I5" s="1099">
        <v>1256498503.1823599</v>
      </c>
      <c r="J5" s="1099">
        <v>1256498503.1823599</v>
      </c>
      <c r="K5" s="47">
        <f>L6+L43+L52+L56+L62</f>
        <v>1004657103.81348</v>
      </c>
      <c r="L5" s="47">
        <f>K5*D5</f>
        <v>1004657103.81348</v>
      </c>
      <c r="M5" s="1099">
        <v>7960809.6579999998</v>
      </c>
      <c r="N5" s="1099">
        <v>7960809.6579999998</v>
      </c>
      <c r="O5" s="47">
        <f ca="1">P6+P43+P52+P56+P62</f>
        <v>8676070.6579999998</v>
      </c>
      <c r="P5" s="47">
        <f ca="1">O5*D5</f>
        <v>8676070.6579999998</v>
      </c>
      <c r="Q5" s="1099">
        <v>2004422496.39856</v>
      </c>
      <c r="R5" s="1099">
        <v>2004422496.39856</v>
      </c>
      <c r="S5" s="47">
        <f ca="1">H5+L5+P5</f>
        <v>1722324827.2386</v>
      </c>
      <c r="T5" s="47">
        <f ca="1">H5+L5+P5</f>
        <v>1722324827.2386</v>
      </c>
      <c r="U5" s="40" t="s">
        <v>51</v>
      </c>
      <c r="V5" s="43" t="s">
        <v>52</v>
      </c>
      <c r="W5" s="43" t="s">
        <v>51</v>
      </c>
      <c r="X5" s="43" t="s">
        <v>51</v>
      </c>
      <c r="Y5" s="43" t="s">
        <v>51</v>
      </c>
      <c r="Z5" s="44">
        <v>1</v>
      </c>
      <c r="AA5" s="43" t="s">
        <v>51</v>
      </c>
      <c r="AB5" s="45"/>
      <c r="AC5" s="45"/>
      <c r="AR5" s="49"/>
      <c r="AS5" s="49"/>
      <c r="AT5" s="49"/>
      <c r="AU5" s="49"/>
      <c r="AV5" s="49"/>
      <c r="AW5" s="49"/>
      <c r="AX5" s="49"/>
      <c r="AY5" s="49"/>
      <c r="AZ5" s="49"/>
    </row>
    <row r="6" spans="1:52" s="46" customFormat="1" ht="30" customHeight="1">
      <c r="A6" s="404" t="s">
        <v>4713</v>
      </c>
      <c r="B6" s="404"/>
      <c r="C6" s="404"/>
      <c r="D6" s="405">
        <v>1</v>
      </c>
      <c r="E6" s="1100">
        <v>630342397.23820007</v>
      </c>
      <c r="F6" s="1100">
        <v>630342397.23820007</v>
      </c>
      <c r="G6" s="406">
        <f>H7+H24</f>
        <v>617255126.66711998</v>
      </c>
      <c r="H6" s="406">
        <f>G6*D6</f>
        <v>617255126.66711998</v>
      </c>
      <c r="I6" s="1100">
        <v>769426984.41095996</v>
      </c>
      <c r="J6" s="1100">
        <v>769426984.41095996</v>
      </c>
      <c r="K6" s="406">
        <f>L7+L24</f>
        <v>634488442.04488003</v>
      </c>
      <c r="L6" s="406">
        <f>K6*D6</f>
        <v>634488442.04488003</v>
      </c>
      <c r="M6" s="1100">
        <v>1226679.6580000001</v>
      </c>
      <c r="N6" s="1100">
        <v>1226679.6580000001</v>
      </c>
      <c r="O6" s="406">
        <f>P7+P24</f>
        <v>1878211.6580000003</v>
      </c>
      <c r="P6" s="407">
        <f>O6*D6</f>
        <v>1878211.6580000003</v>
      </c>
      <c r="Q6" s="1126">
        <v>1400996061.3071599</v>
      </c>
      <c r="R6" s="1126">
        <v>1400996061.3071599</v>
      </c>
      <c r="S6" s="406">
        <f>G6+K6+O6</f>
        <v>1253621780.3699999</v>
      </c>
      <c r="T6" s="406">
        <f>H6+L6+P6</f>
        <v>1253621780.3699999</v>
      </c>
      <c r="U6" s="404"/>
      <c r="V6" s="43"/>
      <c r="W6" s="43"/>
      <c r="X6" s="43"/>
      <c r="Y6" s="43"/>
      <c r="Z6" s="44"/>
      <c r="AA6" s="43"/>
      <c r="AB6" s="45"/>
      <c r="AC6" s="45"/>
      <c r="AR6" s="49"/>
      <c r="AS6" s="49"/>
      <c r="AT6" s="49"/>
      <c r="AU6" s="49"/>
      <c r="AV6" s="49"/>
      <c r="AW6" s="49"/>
      <c r="AX6" s="49"/>
      <c r="AY6" s="49"/>
      <c r="AZ6" s="49"/>
    </row>
    <row r="7" spans="1:52" s="46" customFormat="1" ht="30" customHeight="1">
      <c r="A7" s="40" t="s">
        <v>53</v>
      </c>
      <c r="B7" s="40" t="s">
        <v>51</v>
      </c>
      <c r="C7" s="40" t="s">
        <v>51</v>
      </c>
      <c r="D7" s="41">
        <v>1</v>
      </c>
      <c r="E7" s="1099">
        <v>325834683.47000003</v>
      </c>
      <c r="F7" s="1099">
        <v>325834683.47000003</v>
      </c>
      <c r="G7" s="47">
        <f>SUM(H8:H23)</f>
        <v>315120331.04000002</v>
      </c>
      <c r="H7" s="47">
        <f>D7*G7</f>
        <v>315120331.04000002</v>
      </c>
      <c r="I7" s="1099">
        <v>376283286.71499997</v>
      </c>
      <c r="J7" s="1099">
        <v>376283286.71499997</v>
      </c>
      <c r="K7" s="47">
        <f>SUM(L8:L23)</f>
        <v>302062505.97499996</v>
      </c>
      <c r="L7" s="47">
        <f>D7*K7</f>
        <v>302062505.97499996</v>
      </c>
      <c r="M7" s="1099">
        <v>239784.82599999997</v>
      </c>
      <c r="N7" s="1099">
        <v>239784.82599999997</v>
      </c>
      <c r="O7" s="47">
        <f>SUM(P8:P23)</f>
        <v>526956.826</v>
      </c>
      <c r="P7" s="42">
        <f>D7*O7</f>
        <v>526956.826</v>
      </c>
      <c r="Q7" s="1103">
        <v>702357755.01099992</v>
      </c>
      <c r="R7" s="1103">
        <v>702357755.01099992</v>
      </c>
      <c r="S7" s="503">
        <f>G7+K7+O7</f>
        <v>617709793.84099996</v>
      </c>
      <c r="T7" s="503">
        <f>H7+L7+P7</f>
        <v>617709793.84099996</v>
      </c>
      <c r="U7" s="40"/>
      <c r="V7" s="43"/>
      <c r="W7" s="43"/>
      <c r="X7" s="43"/>
      <c r="Y7" s="43"/>
      <c r="Z7" s="44"/>
      <c r="AA7" s="43"/>
      <c r="AB7" s="45"/>
      <c r="AC7" s="45"/>
      <c r="AR7" s="49"/>
      <c r="AS7" s="49"/>
      <c r="AT7" s="49"/>
      <c r="AU7" s="49"/>
      <c r="AV7" s="49"/>
      <c r="AW7" s="49"/>
      <c r="AX7" s="49"/>
      <c r="AY7" s="49"/>
      <c r="AZ7" s="49"/>
    </row>
    <row r="8" spans="1:52" ht="30" customHeight="1">
      <c r="A8" s="8" t="str">
        <f>공종별내역서!A5</f>
        <v>010101  가  설  공  사</v>
      </c>
      <c r="B8" s="8" t="s">
        <v>51</v>
      </c>
      <c r="C8" s="8" t="s">
        <v>51</v>
      </c>
      <c r="D8" s="41">
        <v>1</v>
      </c>
      <c r="E8" s="1101">
        <v>2655013.5</v>
      </c>
      <c r="F8" s="1101">
        <v>2655013.5</v>
      </c>
      <c r="G8" s="10">
        <f>공종별내역서!I26</f>
        <v>1615295.3</v>
      </c>
      <c r="H8" s="10">
        <f t="shared" ref="H8:H23" si="0">G8*D8</f>
        <v>1615295.3</v>
      </c>
      <c r="I8" s="1101">
        <v>23887617.435000002</v>
      </c>
      <c r="J8" s="1101">
        <v>23887617.435000002</v>
      </c>
      <c r="K8" s="10">
        <f>공종별내역서!M26</f>
        <v>20399420.435000002</v>
      </c>
      <c r="L8" s="10">
        <f t="shared" ref="L8:L23" si="1">K8*D8</f>
        <v>20399420.435000002</v>
      </c>
      <c r="M8" s="1114">
        <v>0</v>
      </c>
      <c r="N8" s="1114">
        <v>0</v>
      </c>
      <c r="O8" s="517">
        <f>공종별내역서!Q26</f>
        <v>0</v>
      </c>
      <c r="P8" s="517">
        <f t="shared" ref="P8:P22" si="2">O8*D8</f>
        <v>0</v>
      </c>
      <c r="Q8" s="1123">
        <v>26542630.935000002</v>
      </c>
      <c r="R8" s="1123">
        <v>26542630.935000002</v>
      </c>
      <c r="S8" s="10">
        <f t="shared" ref="S8:S28" si="3">G8+K8+O8</f>
        <v>22014715.735000003</v>
      </c>
      <c r="T8" s="10">
        <f t="shared" ref="T8:T28" si="4">H8+L8+P8</f>
        <v>22014715.735000003</v>
      </c>
      <c r="U8" s="8" t="s">
        <v>51</v>
      </c>
      <c r="V8" s="2" t="s">
        <v>56</v>
      </c>
      <c r="W8" s="2" t="s">
        <v>51</v>
      </c>
      <c r="X8" s="2" t="s">
        <v>54</v>
      </c>
      <c r="Y8" s="2" t="s">
        <v>51</v>
      </c>
      <c r="Z8" s="3">
        <v>3</v>
      </c>
      <c r="AA8" s="2" t="s">
        <v>51</v>
      </c>
      <c r="AB8" s="6"/>
      <c r="AC8" s="6"/>
    </row>
    <row r="9" spans="1:52" ht="30" customHeight="1">
      <c r="A9" s="8" t="str">
        <f>공종별내역서!A27</f>
        <v>010102  천 정 공 사(참여기증자실)</v>
      </c>
      <c r="B9" s="8" t="s">
        <v>51</v>
      </c>
      <c r="C9" s="8" t="s">
        <v>51</v>
      </c>
      <c r="D9" s="41">
        <v>1</v>
      </c>
      <c r="E9" s="1101">
        <v>5408003.6600000011</v>
      </c>
      <c r="F9" s="1101">
        <v>5408003.6600000011</v>
      </c>
      <c r="G9" s="10">
        <f>공종별내역서!I49</f>
        <v>2924356.5</v>
      </c>
      <c r="H9" s="10">
        <f t="shared" si="0"/>
        <v>2924356.5</v>
      </c>
      <c r="I9" s="1101">
        <v>13696835.52</v>
      </c>
      <c r="J9" s="1101">
        <v>13696835.52</v>
      </c>
      <c r="K9" s="10">
        <f>공종별내역서!M49</f>
        <v>8417630.4000000004</v>
      </c>
      <c r="L9" s="10">
        <f t="shared" si="1"/>
        <v>8417630.4000000004</v>
      </c>
      <c r="M9" s="1114">
        <v>0</v>
      </c>
      <c r="N9" s="1114">
        <v>0</v>
      </c>
      <c r="O9" s="517">
        <f>공종별내역서!Q49</f>
        <v>30658</v>
      </c>
      <c r="P9" s="517">
        <f t="shared" si="2"/>
        <v>30658</v>
      </c>
      <c r="Q9" s="1123">
        <v>19104839.18</v>
      </c>
      <c r="R9" s="1123">
        <v>19104839.18</v>
      </c>
      <c r="S9" s="10">
        <f t="shared" si="3"/>
        <v>11372644.9</v>
      </c>
      <c r="T9" s="10">
        <f t="shared" si="4"/>
        <v>11372644.9</v>
      </c>
      <c r="U9" s="8" t="s">
        <v>51</v>
      </c>
      <c r="V9" s="2" t="s">
        <v>169</v>
      </c>
      <c r="W9" s="2" t="s">
        <v>51</v>
      </c>
      <c r="X9" s="2" t="s">
        <v>54</v>
      </c>
      <c r="Y9" s="2" t="s">
        <v>51</v>
      </c>
      <c r="Z9" s="3">
        <v>3</v>
      </c>
      <c r="AA9" s="2" t="s">
        <v>51</v>
      </c>
      <c r="AB9" s="6"/>
      <c r="AC9" s="6"/>
    </row>
    <row r="10" spans="1:52" ht="30" customHeight="1">
      <c r="A10" s="8" t="str">
        <f>공종별내역서!A50</f>
        <v>010103  벽 체 공 사(참여기증자실)</v>
      </c>
      <c r="B10" s="8" t="s">
        <v>51</v>
      </c>
      <c r="C10" s="8" t="s">
        <v>51</v>
      </c>
      <c r="D10" s="41">
        <v>1</v>
      </c>
      <c r="E10" s="1101">
        <v>5875382.3300000001</v>
      </c>
      <c r="F10" s="1101">
        <v>5875382.3300000001</v>
      </c>
      <c r="G10" s="10">
        <f>공종별내역서!I72</f>
        <v>5623014.4349999996</v>
      </c>
      <c r="H10" s="10">
        <f t="shared" si="0"/>
        <v>5623014.4349999996</v>
      </c>
      <c r="I10" s="1101">
        <v>18288944.564999998</v>
      </c>
      <c r="J10" s="1101">
        <v>18288944.564999998</v>
      </c>
      <c r="K10" s="10">
        <f>공종별내역서!M72</f>
        <v>13271465.4</v>
      </c>
      <c r="L10" s="10">
        <f t="shared" si="1"/>
        <v>13271465.4</v>
      </c>
      <c r="M10" s="1101">
        <v>11300.98</v>
      </c>
      <c r="N10" s="1101">
        <v>11300.98</v>
      </c>
      <c r="O10" s="10">
        <f>공종별내역서!Q72</f>
        <v>11300.98</v>
      </c>
      <c r="P10" s="10">
        <f t="shared" si="2"/>
        <v>11300.98</v>
      </c>
      <c r="Q10" s="1101">
        <v>24175627.874999996</v>
      </c>
      <c r="R10" s="1101">
        <v>24175627.874999996</v>
      </c>
      <c r="S10" s="10">
        <f t="shared" si="3"/>
        <v>18905780.815000001</v>
      </c>
      <c r="T10" s="10">
        <f t="shared" si="4"/>
        <v>18905780.815000001</v>
      </c>
      <c r="U10" s="8" t="s">
        <v>51</v>
      </c>
      <c r="V10" s="2" t="s">
        <v>174</v>
      </c>
      <c r="W10" s="2" t="s">
        <v>51</v>
      </c>
      <c r="X10" s="2" t="s">
        <v>54</v>
      </c>
      <c r="Y10" s="2" t="s">
        <v>51</v>
      </c>
      <c r="Z10" s="3">
        <v>3</v>
      </c>
      <c r="AA10" s="2" t="s">
        <v>51</v>
      </c>
      <c r="AB10" s="6"/>
      <c r="AC10" s="6"/>
    </row>
    <row r="11" spans="1:52" ht="30" customHeight="1">
      <c r="A11" s="8" t="str">
        <f>공종별내역서!A73</f>
        <v>010104  바 닥 공 사(참여기증자실)</v>
      </c>
      <c r="B11" s="8" t="s">
        <v>51</v>
      </c>
      <c r="C11" s="8" t="s">
        <v>51</v>
      </c>
      <c r="D11" s="41">
        <v>1</v>
      </c>
      <c r="E11" s="1101">
        <v>16884049.949999999</v>
      </c>
      <c r="F11" s="1101">
        <v>16884049.949999999</v>
      </c>
      <c r="G11" s="10">
        <f>공종별내역서!I95</f>
        <v>16882522.550000001</v>
      </c>
      <c r="H11" s="10">
        <f t="shared" si="0"/>
        <v>16882522.550000001</v>
      </c>
      <c r="I11" s="1101">
        <v>11817459.1</v>
      </c>
      <c r="J11" s="1101">
        <v>11817459.1</v>
      </c>
      <c r="K11" s="10">
        <f>공종별내역서!M95</f>
        <v>11129397.4</v>
      </c>
      <c r="L11" s="10">
        <f t="shared" si="1"/>
        <v>11129397.4</v>
      </c>
      <c r="M11" s="1101">
        <v>1273.0999999999999</v>
      </c>
      <c r="N11" s="1101">
        <v>1273.0999999999999</v>
      </c>
      <c r="O11" s="10">
        <f>공종별내역서!Q95</f>
        <v>1273.0999999999999</v>
      </c>
      <c r="P11" s="10">
        <f t="shared" si="2"/>
        <v>1273.0999999999999</v>
      </c>
      <c r="Q11" s="1101">
        <v>28702782.149999999</v>
      </c>
      <c r="R11" s="1101">
        <v>28702782.149999999</v>
      </c>
      <c r="S11" s="10">
        <f t="shared" si="3"/>
        <v>28013193.050000004</v>
      </c>
      <c r="T11" s="10">
        <f t="shared" si="4"/>
        <v>28013193.050000004</v>
      </c>
      <c r="U11" s="8" t="s">
        <v>51</v>
      </c>
      <c r="V11" s="2" t="s">
        <v>232</v>
      </c>
      <c r="W11" s="2" t="s">
        <v>51</v>
      </c>
      <c r="X11" s="2" t="s">
        <v>54</v>
      </c>
      <c r="Y11" s="2" t="s">
        <v>51</v>
      </c>
      <c r="Z11" s="3">
        <v>3</v>
      </c>
      <c r="AA11" s="2" t="s">
        <v>51</v>
      </c>
      <c r="AB11" s="6"/>
      <c r="AC11" s="6"/>
    </row>
    <row r="12" spans="1:52" ht="30" customHeight="1">
      <c r="A12" s="8" t="str">
        <f>공종별내역서!A96</f>
        <v>010105  천 정 공 사(기획전시실)</v>
      </c>
      <c r="B12" s="8" t="s">
        <v>51</v>
      </c>
      <c r="C12" s="8" t="s">
        <v>51</v>
      </c>
      <c r="D12" s="41">
        <v>1</v>
      </c>
      <c r="E12" s="1101">
        <v>732854.96000000008</v>
      </c>
      <c r="F12" s="1101">
        <v>732854.96000000008</v>
      </c>
      <c r="G12" s="10">
        <f>공종별내역서!I118</f>
        <v>732854.96000000008</v>
      </c>
      <c r="H12" s="10">
        <f t="shared" si="0"/>
        <v>732854.96000000008</v>
      </c>
      <c r="I12" s="1101">
        <v>13953199</v>
      </c>
      <c r="J12" s="1101">
        <v>13953199</v>
      </c>
      <c r="K12" s="10">
        <f>공종별내역서!M118</f>
        <v>1626458.76</v>
      </c>
      <c r="L12" s="10">
        <f t="shared" si="1"/>
        <v>1626458.76</v>
      </c>
      <c r="M12" s="1114">
        <v>0</v>
      </c>
      <c r="N12" s="1114">
        <v>0</v>
      </c>
      <c r="O12" s="517">
        <f>공종별내역서!Q118</f>
        <v>121809</v>
      </c>
      <c r="P12" s="517">
        <f t="shared" si="2"/>
        <v>121809</v>
      </c>
      <c r="Q12" s="1123">
        <v>14686053.960000001</v>
      </c>
      <c r="R12" s="1123">
        <v>14686053.960000001</v>
      </c>
      <c r="S12" s="10">
        <f t="shared" si="3"/>
        <v>2481122.7200000002</v>
      </c>
      <c r="T12" s="10">
        <f t="shared" si="4"/>
        <v>2481122.7200000002</v>
      </c>
      <c r="U12" s="8" t="s">
        <v>51</v>
      </c>
      <c r="V12" s="2" t="s">
        <v>248</v>
      </c>
      <c r="W12" s="2" t="s">
        <v>51</v>
      </c>
      <c r="X12" s="2" t="s">
        <v>54</v>
      </c>
      <c r="Y12" s="2" t="s">
        <v>51</v>
      </c>
      <c r="Z12" s="3">
        <v>3</v>
      </c>
      <c r="AA12" s="2" t="s">
        <v>51</v>
      </c>
      <c r="AB12" s="6"/>
      <c r="AC12" s="6"/>
    </row>
    <row r="13" spans="1:52" ht="30" customHeight="1">
      <c r="A13" s="8" t="str">
        <f>공종별내역서!A119</f>
        <v>010106  벽 체 공 사(기획전시실)</v>
      </c>
      <c r="B13" s="8" t="s">
        <v>51</v>
      </c>
      <c r="C13" s="8" t="s">
        <v>51</v>
      </c>
      <c r="D13" s="41">
        <v>1</v>
      </c>
      <c r="E13" s="1101">
        <v>14253589.959999999</v>
      </c>
      <c r="F13" s="1101">
        <v>14253589.959999999</v>
      </c>
      <c r="G13" s="10">
        <f>공종별내역서!I141</f>
        <v>14365682.455</v>
      </c>
      <c r="H13" s="10">
        <f t="shared" si="0"/>
        <v>14365682.455</v>
      </c>
      <c r="I13" s="1101">
        <v>42590031.584999993</v>
      </c>
      <c r="J13" s="1101">
        <v>42590031.584999993</v>
      </c>
      <c r="K13" s="10">
        <f>공종별내역서!M141</f>
        <v>36830633.879999995</v>
      </c>
      <c r="L13" s="10">
        <f t="shared" si="1"/>
        <v>36830633.879999995</v>
      </c>
      <c r="M13" s="1101">
        <v>15521.280000000002</v>
      </c>
      <c r="N13" s="1101">
        <v>15521.280000000002</v>
      </c>
      <c r="O13" s="10">
        <f>공종별내역서!Q141</f>
        <v>15521.280000000002</v>
      </c>
      <c r="P13" s="10">
        <f t="shared" si="2"/>
        <v>15521.280000000002</v>
      </c>
      <c r="Q13" s="1101">
        <v>56859142.824999996</v>
      </c>
      <c r="R13" s="1101">
        <v>56859142.824999996</v>
      </c>
      <c r="S13" s="10">
        <f t="shared" si="3"/>
        <v>51211837.614999995</v>
      </c>
      <c r="T13" s="10">
        <f t="shared" si="4"/>
        <v>51211837.614999995</v>
      </c>
      <c r="U13" s="8" t="s">
        <v>51</v>
      </c>
      <c r="V13" s="2" t="s">
        <v>250</v>
      </c>
      <c r="W13" s="2" t="s">
        <v>51</v>
      </c>
      <c r="X13" s="2" t="s">
        <v>54</v>
      </c>
      <c r="Y13" s="2" t="s">
        <v>51</v>
      </c>
      <c r="Z13" s="3">
        <v>3</v>
      </c>
      <c r="AA13" s="2" t="s">
        <v>51</v>
      </c>
      <c r="AB13" s="6"/>
      <c r="AC13" s="6"/>
    </row>
    <row r="14" spans="1:52" ht="30" customHeight="1">
      <c r="A14" s="8" t="str">
        <f>공종별내역서!A142</f>
        <v>010107  바 닥 공 사(기획전시실)</v>
      </c>
      <c r="B14" s="8" t="s">
        <v>51</v>
      </c>
      <c r="C14" s="8" t="s">
        <v>51</v>
      </c>
      <c r="D14" s="41">
        <v>1</v>
      </c>
      <c r="E14" s="1101">
        <v>40359544.600000001</v>
      </c>
      <c r="F14" s="1101">
        <v>40359544.600000001</v>
      </c>
      <c r="G14" s="10">
        <f>공종별내역서!I164</f>
        <v>40356873.399999999</v>
      </c>
      <c r="H14" s="10">
        <f t="shared" si="0"/>
        <v>40356873.399999999</v>
      </c>
      <c r="I14" s="1101">
        <v>28409171.599999998</v>
      </c>
      <c r="J14" s="1101">
        <v>28409171.599999998</v>
      </c>
      <c r="K14" s="10">
        <f>공종별내역서!M164</f>
        <v>26580416</v>
      </c>
      <c r="L14" s="10">
        <f t="shared" si="1"/>
        <v>26580416</v>
      </c>
      <c r="M14" s="1101">
        <v>1404.8000000000002</v>
      </c>
      <c r="N14" s="1101">
        <v>1404.8000000000002</v>
      </c>
      <c r="O14" s="10">
        <f>공종별내역서!Q164</f>
        <v>1404.8000000000002</v>
      </c>
      <c r="P14" s="10">
        <f t="shared" si="2"/>
        <v>1404.8000000000002</v>
      </c>
      <c r="Q14" s="1101">
        <v>68770121</v>
      </c>
      <c r="R14" s="1101">
        <v>68770121</v>
      </c>
      <c r="S14" s="10">
        <f t="shared" si="3"/>
        <v>66938694.199999996</v>
      </c>
      <c r="T14" s="10">
        <f t="shared" si="4"/>
        <v>66938694.199999996</v>
      </c>
      <c r="U14" s="8" t="s">
        <v>51</v>
      </c>
      <c r="V14" s="2" t="s">
        <v>264</v>
      </c>
      <c r="W14" s="2" t="s">
        <v>51</v>
      </c>
      <c r="X14" s="2" t="s">
        <v>54</v>
      </c>
      <c r="Y14" s="2" t="s">
        <v>51</v>
      </c>
      <c r="Z14" s="3">
        <v>3</v>
      </c>
      <c r="AA14" s="2" t="s">
        <v>51</v>
      </c>
      <c r="AB14" s="6"/>
      <c r="AC14" s="6"/>
    </row>
    <row r="15" spans="1:52" ht="30" customHeight="1">
      <c r="A15" s="8" t="str">
        <f>공종별내역서!A165</f>
        <v>010108  천 정 공 사(상설전시실 및 부속실)</v>
      </c>
      <c r="B15" s="8" t="s">
        <v>51</v>
      </c>
      <c r="C15" s="8" t="s">
        <v>51</v>
      </c>
      <c r="D15" s="41">
        <v>1</v>
      </c>
      <c r="E15" s="1101">
        <v>13394814.76</v>
      </c>
      <c r="F15" s="1101">
        <v>13394814.76</v>
      </c>
      <c r="G15" s="10">
        <f>공종별내역서!I187</f>
        <v>7265166.7599999998</v>
      </c>
      <c r="H15" s="10">
        <f t="shared" si="0"/>
        <v>7265166.7599999998</v>
      </c>
      <c r="I15" s="1101">
        <v>39987034.100000001</v>
      </c>
      <c r="J15" s="1101">
        <v>39987034.100000001</v>
      </c>
      <c r="K15" s="10">
        <f>공종별내역서!M187</f>
        <v>12953558.460000001</v>
      </c>
      <c r="L15" s="10">
        <f t="shared" si="1"/>
        <v>12953558.460000001</v>
      </c>
      <c r="M15" s="1114">
        <v>0</v>
      </c>
      <c r="N15" s="1114">
        <v>0</v>
      </c>
      <c r="O15" s="517">
        <f>공종별내역서!Q187</f>
        <v>134705</v>
      </c>
      <c r="P15" s="517">
        <f t="shared" si="2"/>
        <v>134705</v>
      </c>
      <c r="Q15" s="1123">
        <v>53381848.859999999</v>
      </c>
      <c r="R15" s="1123">
        <v>53381848.859999999</v>
      </c>
      <c r="S15" s="10">
        <f t="shared" si="3"/>
        <v>20353430.219999999</v>
      </c>
      <c r="T15" s="10">
        <f t="shared" si="4"/>
        <v>20353430.219999999</v>
      </c>
      <c r="U15" s="8" t="s">
        <v>51</v>
      </c>
      <c r="V15" s="2" t="s">
        <v>269</v>
      </c>
      <c r="W15" s="2" t="s">
        <v>51</v>
      </c>
      <c r="X15" s="2" t="s">
        <v>54</v>
      </c>
      <c r="Y15" s="2" t="s">
        <v>51</v>
      </c>
      <c r="Z15" s="3">
        <v>3</v>
      </c>
      <c r="AA15" s="2" t="s">
        <v>51</v>
      </c>
      <c r="AB15" s="6"/>
      <c r="AC15" s="6"/>
      <c r="AD15" s="6"/>
      <c r="AE15" s="6"/>
    </row>
    <row r="16" spans="1:52" ht="30" customHeight="1">
      <c r="A16" s="8" t="str">
        <f>공종별내역서!A188</f>
        <v>010109  벽 체 공 사(상설전시실 및 부속실)</v>
      </c>
      <c r="B16" s="8" t="s">
        <v>51</v>
      </c>
      <c r="C16" s="8" t="s">
        <v>51</v>
      </c>
      <c r="D16" s="41">
        <v>1</v>
      </c>
      <c r="E16" s="1101">
        <v>25783296.663999997</v>
      </c>
      <c r="F16" s="1101">
        <v>25783296.663999997</v>
      </c>
      <c r="G16" s="10">
        <f>공종별내역서!I210</f>
        <v>25408400.233999997</v>
      </c>
      <c r="H16" s="10">
        <f t="shared" si="0"/>
        <v>25408400.233999997</v>
      </c>
      <c r="I16" s="1101">
        <v>82026001.445999995</v>
      </c>
      <c r="J16" s="1101">
        <v>82026001.445999995</v>
      </c>
      <c r="K16" s="10">
        <f>공종별내역서!M210</f>
        <v>73950511.275999993</v>
      </c>
      <c r="L16" s="10">
        <f t="shared" si="1"/>
        <v>73950511.275999993</v>
      </c>
      <c r="M16" s="1101">
        <v>78736.125999999989</v>
      </c>
      <c r="N16" s="1101">
        <v>78736.125999999989</v>
      </c>
      <c r="O16" s="10">
        <f>공종별내역서!Q210</f>
        <v>78736.125999999989</v>
      </c>
      <c r="P16" s="10">
        <f t="shared" si="2"/>
        <v>78736.125999999989</v>
      </c>
      <c r="Q16" s="1101">
        <v>107888034.23599999</v>
      </c>
      <c r="R16" s="1101">
        <v>107888034.23599999</v>
      </c>
      <c r="S16" s="10">
        <f t="shared" si="3"/>
        <v>99437647.635999992</v>
      </c>
      <c r="T16" s="10">
        <f t="shared" si="4"/>
        <v>99437647.635999992</v>
      </c>
      <c r="U16" s="8" t="s">
        <v>51</v>
      </c>
      <c r="V16" s="2" t="s">
        <v>271</v>
      </c>
      <c r="W16" s="2" t="s">
        <v>51</v>
      </c>
      <c r="X16" s="2" t="s">
        <v>54</v>
      </c>
      <c r="Y16" s="2" t="s">
        <v>51</v>
      </c>
      <c r="Z16" s="3">
        <v>3</v>
      </c>
      <c r="AA16" s="2" t="s">
        <v>51</v>
      </c>
      <c r="AB16" s="6"/>
      <c r="AC16" s="6"/>
      <c r="AD16" s="6"/>
      <c r="AE16" s="6"/>
    </row>
    <row r="17" spans="1:52" ht="30" customHeight="1">
      <c r="A17" s="8" t="str">
        <f>공종별내역서!A211</f>
        <v>010110  바 닥 공 사(상설전시실 및 부속실)</v>
      </c>
      <c r="B17" s="8" t="s">
        <v>51</v>
      </c>
      <c r="C17" s="8" t="s">
        <v>51</v>
      </c>
      <c r="D17" s="41">
        <v>1</v>
      </c>
      <c r="E17" s="1101">
        <v>46536720.540000014</v>
      </c>
      <c r="F17" s="1101">
        <v>46536720.540000014</v>
      </c>
      <c r="G17" s="10">
        <f>공종별내역서!I233</f>
        <v>46533334.780000016</v>
      </c>
      <c r="H17" s="10">
        <f t="shared" si="0"/>
        <v>46533334.780000016</v>
      </c>
      <c r="I17" s="1101">
        <v>32976686.920000006</v>
      </c>
      <c r="J17" s="1101">
        <v>32976686.920000006</v>
      </c>
      <c r="K17" s="10">
        <f>공종별내역서!M233</f>
        <v>30673426.960000005</v>
      </c>
      <c r="L17" s="10">
        <f t="shared" si="1"/>
        <v>30673426.960000005</v>
      </c>
      <c r="M17" s="1101">
        <v>1799.8999999999999</v>
      </c>
      <c r="N17" s="1101">
        <v>1799.8999999999999</v>
      </c>
      <c r="O17" s="10">
        <f>공종별내역서!Q233</f>
        <v>1799.8999999999999</v>
      </c>
      <c r="P17" s="10">
        <f t="shared" si="2"/>
        <v>1799.8999999999999</v>
      </c>
      <c r="Q17" s="1101">
        <v>79515207.360000029</v>
      </c>
      <c r="R17" s="1101">
        <v>79515207.360000029</v>
      </c>
      <c r="S17" s="10">
        <f t="shared" si="3"/>
        <v>77208561.64000003</v>
      </c>
      <c r="T17" s="10">
        <f t="shared" si="4"/>
        <v>77208561.64000003</v>
      </c>
      <c r="U17" s="8" t="s">
        <v>51</v>
      </c>
      <c r="V17" s="2" t="s">
        <v>293</v>
      </c>
      <c r="W17" s="2" t="s">
        <v>51</v>
      </c>
      <c r="X17" s="2" t="s">
        <v>54</v>
      </c>
      <c r="Y17" s="2" t="s">
        <v>51</v>
      </c>
      <c r="Z17" s="3">
        <v>3</v>
      </c>
      <c r="AA17" s="2" t="s">
        <v>51</v>
      </c>
      <c r="AB17" s="6"/>
      <c r="AC17" s="6"/>
      <c r="AD17" s="6"/>
      <c r="AE17" s="6"/>
    </row>
    <row r="18" spans="1:52" ht="30" customHeight="1">
      <c r="A18" s="8" t="str">
        <f>공종별내역서!A234</f>
        <v>010111  벽 체 공 사(휴게 HALL)</v>
      </c>
      <c r="B18" s="8" t="s">
        <v>51</v>
      </c>
      <c r="C18" s="8" t="s">
        <v>51</v>
      </c>
      <c r="D18" s="41">
        <v>1</v>
      </c>
      <c r="E18" s="1101">
        <v>13874478.18</v>
      </c>
      <c r="F18" s="1101">
        <v>13874478.18</v>
      </c>
      <c r="G18" s="10">
        <f>공종별내역서!I256</f>
        <v>14705767.300000001</v>
      </c>
      <c r="H18" s="10">
        <f t="shared" si="0"/>
        <v>14705767.300000001</v>
      </c>
      <c r="I18" s="1101">
        <v>10736638.540000001</v>
      </c>
      <c r="J18" s="1101">
        <v>10736638.540000001</v>
      </c>
      <c r="K18" s="10">
        <f>공종별내역서!M256</f>
        <v>8315920.0999999996</v>
      </c>
      <c r="L18" s="10">
        <f t="shared" si="1"/>
        <v>8315920.0999999996</v>
      </c>
      <c r="M18" s="1101">
        <v>82650.679999999993</v>
      </c>
      <c r="N18" s="1101">
        <v>82650.679999999993</v>
      </c>
      <c r="O18" s="10">
        <f>공종별내역서!Q256</f>
        <v>82650.679999999993</v>
      </c>
      <c r="P18" s="10">
        <f t="shared" si="2"/>
        <v>82650.679999999993</v>
      </c>
      <c r="Q18" s="1101">
        <v>24693767.399999999</v>
      </c>
      <c r="R18" s="1101">
        <v>24693767.399999999</v>
      </c>
      <c r="S18" s="10">
        <f t="shared" si="3"/>
        <v>23104338.079999998</v>
      </c>
      <c r="T18" s="10">
        <f t="shared" si="4"/>
        <v>23104338.079999998</v>
      </c>
      <c r="U18" s="8" t="s">
        <v>51</v>
      </c>
      <c r="V18" s="2" t="s">
        <v>298</v>
      </c>
      <c r="W18" s="2" t="s">
        <v>51</v>
      </c>
      <c r="X18" s="2" t="s">
        <v>54</v>
      </c>
      <c r="Y18" s="2" t="s">
        <v>51</v>
      </c>
      <c r="Z18" s="3">
        <v>3</v>
      </c>
      <c r="AA18" s="2" t="s">
        <v>51</v>
      </c>
      <c r="AB18" s="6"/>
      <c r="AC18" s="6"/>
      <c r="AD18" s="6"/>
      <c r="AE18" s="6"/>
    </row>
    <row r="19" spans="1:52" ht="30" customHeight="1">
      <c r="A19" s="8" t="str">
        <f>공종별내역서!A257</f>
        <v>010112  바 닥 공 사(휴게 HALL)</v>
      </c>
      <c r="B19" s="8" t="s">
        <v>51</v>
      </c>
      <c r="C19" s="8" t="s">
        <v>51</v>
      </c>
      <c r="D19" s="41">
        <v>1</v>
      </c>
      <c r="E19" s="1101">
        <v>7156959.966</v>
      </c>
      <c r="F19" s="1101">
        <v>7156959.966</v>
      </c>
      <c r="G19" s="10">
        <f>공종별내역서!I279</f>
        <v>7156959.966</v>
      </c>
      <c r="H19" s="10">
        <f t="shared" si="0"/>
        <v>7156959.966</v>
      </c>
      <c r="I19" s="1101">
        <v>17204636.903999999</v>
      </c>
      <c r="J19" s="1101">
        <v>17204636.903999999</v>
      </c>
      <c r="K19" s="10">
        <f>공종별내역서!M279</f>
        <v>17204636.903999999</v>
      </c>
      <c r="L19" s="10">
        <f t="shared" si="1"/>
        <v>17204636.903999999</v>
      </c>
      <c r="M19" s="1101">
        <v>47097.96</v>
      </c>
      <c r="N19" s="1101">
        <v>47097.96</v>
      </c>
      <c r="O19" s="10">
        <f>공종별내역서!Q279</f>
        <v>47097.96</v>
      </c>
      <c r="P19" s="10">
        <f t="shared" si="2"/>
        <v>47097.96</v>
      </c>
      <c r="Q19" s="1101">
        <v>24408694.829999998</v>
      </c>
      <c r="R19" s="1101">
        <v>24408694.829999998</v>
      </c>
      <c r="S19" s="10">
        <f t="shared" si="3"/>
        <v>24408694.829999998</v>
      </c>
      <c r="T19" s="10">
        <f t="shared" si="4"/>
        <v>24408694.829999998</v>
      </c>
      <c r="U19" s="8" t="s">
        <v>51</v>
      </c>
      <c r="V19" s="2" t="s">
        <v>308</v>
      </c>
      <c r="W19" s="2" t="s">
        <v>51</v>
      </c>
      <c r="X19" s="2" t="s">
        <v>54</v>
      </c>
      <c r="Y19" s="2" t="s">
        <v>51</v>
      </c>
      <c r="Z19" s="3">
        <v>3</v>
      </c>
      <c r="AA19" s="2" t="s">
        <v>51</v>
      </c>
      <c r="AB19" s="6"/>
      <c r="AC19" s="6"/>
      <c r="AD19" s="6"/>
      <c r="AE19" s="6"/>
    </row>
    <row r="20" spans="1:52" ht="30" customHeight="1">
      <c r="A20" s="8" t="str">
        <f>공종별내역서!A280</f>
        <v>010113  창 호 공 사</v>
      </c>
      <c r="B20" s="8"/>
      <c r="C20" s="8"/>
      <c r="D20" s="41">
        <v>1</v>
      </c>
      <c r="E20" s="1101">
        <v>44168474.399999999</v>
      </c>
      <c r="F20" s="1101">
        <v>44168474.399999999</v>
      </c>
      <c r="G20" s="10">
        <f>공종별내역서!I302</f>
        <v>44168474.399999999</v>
      </c>
      <c r="H20" s="10">
        <f t="shared" si="0"/>
        <v>44168474.399999999</v>
      </c>
      <c r="I20" s="1101">
        <v>15598720</v>
      </c>
      <c r="J20" s="1101">
        <v>15598720</v>
      </c>
      <c r="K20" s="10">
        <f>공종별내역서!M302</f>
        <v>15598720</v>
      </c>
      <c r="L20" s="10">
        <f t="shared" si="1"/>
        <v>15598720</v>
      </c>
      <c r="M20" s="1114">
        <v>0</v>
      </c>
      <c r="N20" s="1114">
        <v>0</v>
      </c>
      <c r="O20" s="517">
        <f>공종별내역서!Q302</f>
        <v>0</v>
      </c>
      <c r="P20" s="517">
        <f t="shared" si="2"/>
        <v>0</v>
      </c>
      <c r="Q20" s="1123">
        <v>59767194.399999999</v>
      </c>
      <c r="R20" s="1123">
        <v>59767194.399999999</v>
      </c>
      <c r="S20" s="10">
        <f t="shared" ref="S20:S21" si="5">G20+K20+O20</f>
        <v>59767194.399999999</v>
      </c>
      <c r="T20" s="10">
        <f t="shared" ref="T20:T21" si="6">H20+L20+P20</f>
        <v>59767194.399999999</v>
      </c>
      <c r="U20" s="8"/>
      <c r="V20" s="2"/>
      <c r="W20" s="2"/>
      <c r="X20" s="2"/>
      <c r="Y20" s="2"/>
      <c r="Z20" s="3"/>
      <c r="AA20" s="2"/>
      <c r="AB20" s="6"/>
      <c r="AC20" s="6"/>
      <c r="AD20" s="6"/>
      <c r="AE20" s="6"/>
    </row>
    <row r="21" spans="1:52" ht="30" customHeight="1">
      <c r="A21" s="8" t="str">
        <f>공종별내역서!A303</f>
        <v>010114  그 래 픽</v>
      </c>
      <c r="B21" s="8"/>
      <c r="C21" s="8"/>
      <c r="D21" s="41">
        <v>1</v>
      </c>
      <c r="E21" s="1101">
        <v>17667500</v>
      </c>
      <c r="F21" s="1101">
        <v>17667500</v>
      </c>
      <c r="G21" s="10">
        <f>공종별내역서!I348</f>
        <v>17667500</v>
      </c>
      <c r="H21" s="10">
        <f t="shared" si="0"/>
        <v>17667500</v>
      </c>
      <c r="I21" s="1101">
        <v>8532000</v>
      </c>
      <c r="J21" s="1101">
        <v>8532000</v>
      </c>
      <c r="K21" s="10">
        <f>공종별내역서!M348</f>
        <v>8532000</v>
      </c>
      <c r="L21" s="10">
        <f t="shared" si="1"/>
        <v>8532000</v>
      </c>
      <c r="M21" s="1114">
        <v>0</v>
      </c>
      <c r="N21" s="1114">
        <v>0</v>
      </c>
      <c r="O21" s="517">
        <f>공종별내역서!Q348</f>
        <v>0</v>
      </c>
      <c r="P21" s="517">
        <f t="shared" si="2"/>
        <v>0</v>
      </c>
      <c r="Q21" s="1123">
        <v>26199500</v>
      </c>
      <c r="R21" s="1123">
        <v>26199500</v>
      </c>
      <c r="S21" s="10">
        <f t="shared" si="5"/>
        <v>26199500</v>
      </c>
      <c r="T21" s="10">
        <f t="shared" si="6"/>
        <v>26199500</v>
      </c>
      <c r="U21" s="8"/>
      <c r="V21" s="2"/>
      <c r="W21" s="2"/>
      <c r="X21" s="2"/>
      <c r="Y21" s="2"/>
      <c r="Z21" s="3"/>
      <c r="AA21" s="2"/>
      <c r="AB21" s="6"/>
      <c r="AC21" s="6"/>
      <c r="AD21" s="6"/>
      <c r="AE21" s="6"/>
    </row>
    <row r="22" spans="1:52" ht="30" customHeight="1">
      <c r="A22" s="8" t="str">
        <f>공종별내역서!A349</f>
        <v>010115  전 시 대</v>
      </c>
      <c r="B22" s="8"/>
      <c r="C22" s="8"/>
      <c r="D22" s="41">
        <v>1</v>
      </c>
      <c r="E22" s="1101">
        <v>41034000</v>
      </c>
      <c r="F22" s="1101">
        <v>41034000</v>
      </c>
      <c r="G22" s="10">
        <f>공종별내역서!I440</f>
        <v>39664128</v>
      </c>
      <c r="H22" s="10">
        <f t="shared" si="0"/>
        <v>39664128</v>
      </c>
      <c r="I22" s="1101">
        <v>4438434</v>
      </c>
      <c r="J22" s="1101">
        <v>4438434</v>
      </c>
      <c r="K22" s="10">
        <f>공종별내역서!M440</f>
        <v>4438434</v>
      </c>
      <c r="L22" s="10">
        <f t="shared" si="1"/>
        <v>4438434</v>
      </c>
      <c r="M22" s="1114">
        <v>0</v>
      </c>
      <c r="N22" s="1114">
        <v>0</v>
      </c>
      <c r="O22" s="517">
        <f>공종별내역서!Q440</f>
        <v>0</v>
      </c>
      <c r="P22" s="517">
        <f t="shared" si="2"/>
        <v>0</v>
      </c>
      <c r="Q22" s="1123">
        <v>45472434</v>
      </c>
      <c r="R22" s="1123">
        <v>45472434</v>
      </c>
      <c r="S22" s="10">
        <f t="shared" ref="S22" si="7">G22+K22+O22</f>
        <v>44102562</v>
      </c>
      <c r="T22" s="10">
        <f t="shared" ref="T22" si="8">H22+L22+P22</f>
        <v>44102562</v>
      </c>
      <c r="U22" s="8"/>
      <c r="V22" s="2"/>
      <c r="W22" s="2"/>
      <c r="X22" s="2"/>
      <c r="Y22" s="2"/>
      <c r="Z22" s="3"/>
      <c r="AA22" s="2"/>
      <c r="AB22" s="6"/>
      <c r="AC22" s="6"/>
      <c r="AD22" s="6"/>
      <c r="AE22" s="6"/>
    </row>
    <row r="23" spans="1:52" ht="30" customHeight="1">
      <c r="A23" s="8" t="str">
        <f>공종별내역서!A441</f>
        <v>010116  기 타 공 사</v>
      </c>
      <c r="B23" s="8"/>
      <c r="C23" s="8"/>
      <c r="D23" s="41">
        <v>1</v>
      </c>
      <c r="E23" s="1101">
        <v>30050000</v>
      </c>
      <c r="F23" s="1101">
        <v>30050000</v>
      </c>
      <c r="G23" s="10">
        <f>공종별내역서!I463</f>
        <v>30050000</v>
      </c>
      <c r="H23" s="10">
        <f t="shared" si="0"/>
        <v>30050000</v>
      </c>
      <c r="I23" s="1101">
        <v>12139876</v>
      </c>
      <c r="J23" s="1101">
        <v>12139876</v>
      </c>
      <c r="K23" s="10">
        <f>공종별내역서!M463</f>
        <v>12139876</v>
      </c>
      <c r="L23" s="10">
        <f t="shared" si="1"/>
        <v>12139876</v>
      </c>
      <c r="M23" s="1114">
        <v>0</v>
      </c>
      <c r="N23" s="1114">
        <v>0</v>
      </c>
      <c r="O23" s="517">
        <v>0</v>
      </c>
      <c r="P23" s="517">
        <v>0</v>
      </c>
      <c r="Q23" s="1123">
        <v>42189876</v>
      </c>
      <c r="R23" s="1123">
        <v>42189876</v>
      </c>
      <c r="S23" s="10">
        <f>G23+K23+O23</f>
        <v>42189876</v>
      </c>
      <c r="T23" s="10">
        <f>H23+L23+P23</f>
        <v>42189876</v>
      </c>
      <c r="U23" s="8"/>
      <c r="V23" s="2"/>
      <c r="W23" s="2"/>
      <c r="X23" s="2"/>
      <c r="Y23" s="2"/>
      <c r="Z23" s="3"/>
      <c r="AA23" s="2"/>
      <c r="AB23" s="6"/>
      <c r="AC23" s="6"/>
      <c r="AD23" s="6"/>
      <c r="AE23" s="6"/>
    </row>
    <row r="24" spans="1:52" s="46" customFormat="1" ht="30" customHeight="1">
      <c r="A24" s="40" t="s">
        <v>597</v>
      </c>
      <c r="B24" s="40" t="s">
        <v>51</v>
      </c>
      <c r="C24" s="40" t="s">
        <v>51</v>
      </c>
      <c r="D24" s="41">
        <v>1</v>
      </c>
      <c r="E24" s="1099">
        <v>304507713.76820004</v>
      </c>
      <c r="F24" s="1099">
        <v>304507713.76820004</v>
      </c>
      <c r="G24" s="47">
        <f>SUM(H25:H42)</f>
        <v>302134795.62712002</v>
      </c>
      <c r="H24" s="47">
        <f>D24*G24</f>
        <v>302134795.62712002</v>
      </c>
      <c r="I24" s="1099">
        <v>393143697.69596004</v>
      </c>
      <c r="J24" s="1099">
        <v>393143697.69596004</v>
      </c>
      <c r="K24" s="47">
        <f>SUM(L25:L42)</f>
        <v>332425936.06988007</v>
      </c>
      <c r="L24" s="47">
        <f>D24*K24</f>
        <v>332425936.06988007</v>
      </c>
      <c r="M24" s="1099">
        <v>986894.83200000017</v>
      </c>
      <c r="N24" s="1099">
        <v>986894.83200000017</v>
      </c>
      <c r="O24" s="47">
        <f>SUM(P25:P42)</f>
        <v>1351254.8320000002</v>
      </c>
      <c r="P24" s="42">
        <f>D24*O24</f>
        <v>1351254.8320000002</v>
      </c>
      <c r="Q24" s="1103">
        <v>698638306.2961601</v>
      </c>
      <c r="R24" s="1103">
        <v>698638306.2961601</v>
      </c>
      <c r="S24" s="503">
        <f>G24+K24+O24</f>
        <v>635911986.52900004</v>
      </c>
      <c r="T24" s="503">
        <f>H24+L24+P24</f>
        <v>635911986.52900004</v>
      </c>
      <c r="U24" s="40"/>
      <c r="V24" s="43" t="s">
        <v>598</v>
      </c>
      <c r="W24" s="43" t="s">
        <v>51</v>
      </c>
      <c r="X24" s="43" t="s">
        <v>52</v>
      </c>
      <c r="Y24" s="43" t="s">
        <v>51</v>
      </c>
      <c r="Z24" s="44">
        <v>2</v>
      </c>
      <c r="AA24" s="43" t="s">
        <v>51</v>
      </c>
      <c r="AB24" s="45"/>
      <c r="AC24" s="45"/>
      <c r="AD24" s="6"/>
      <c r="AE24" s="6"/>
      <c r="AF24" s="50"/>
      <c r="AG24" s="50"/>
      <c r="AH24" s="50"/>
      <c r="AI24" s="48"/>
      <c r="AJ24" s="48"/>
      <c r="AK24" s="48"/>
      <c r="AL24" s="48"/>
      <c r="AM24" s="48"/>
      <c r="AN24" s="48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</row>
    <row r="25" spans="1:52" ht="30" customHeight="1">
      <c r="A25" s="8" t="str">
        <f>공종별내역서!A465</f>
        <v>010201  가  설  공  사</v>
      </c>
      <c r="B25" s="8" t="s">
        <v>51</v>
      </c>
      <c r="C25" s="8" t="s">
        <v>51</v>
      </c>
      <c r="D25" s="41">
        <v>1</v>
      </c>
      <c r="E25" s="1101">
        <v>2790374.87</v>
      </c>
      <c r="F25" s="1101">
        <v>2790374.87</v>
      </c>
      <c r="G25" s="10">
        <f>공종별내역서!I486</f>
        <v>1575287.96</v>
      </c>
      <c r="H25" s="10">
        <f t="shared" ref="H25:H42" si="9">G25*D25</f>
        <v>1575287.96</v>
      </c>
      <c r="I25" s="1101">
        <v>31670689.072999999</v>
      </c>
      <c r="J25" s="1101">
        <v>31670689.072999999</v>
      </c>
      <c r="K25" s="10">
        <f>공종별내역서!M486</f>
        <v>28139141.572999999</v>
      </c>
      <c r="L25" s="10">
        <f t="shared" ref="L25:L42" si="10">K25*D25</f>
        <v>28139141.572999999</v>
      </c>
      <c r="M25" s="1101">
        <v>143120.25</v>
      </c>
      <c r="N25" s="1101">
        <v>143120.25</v>
      </c>
      <c r="O25" s="10">
        <f>공종별내역서!Q486</f>
        <v>143120.25</v>
      </c>
      <c r="P25" s="10">
        <f t="shared" ref="P25:P42" si="11">O25*D25</f>
        <v>143120.25</v>
      </c>
      <c r="Q25" s="1101">
        <v>34604184.192999996</v>
      </c>
      <c r="R25" s="1101">
        <v>34604184.192999996</v>
      </c>
      <c r="S25" s="10">
        <f t="shared" si="3"/>
        <v>29857549.783</v>
      </c>
      <c r="T25" s="10">
        <f t="shared" si="4"/>
        <v>29857549.783</v>
      </c>
      <c r="U25" s="8" t="s">
        <v>51</v>
      </c>
      <c r="V25" s="2" t="s">
        <v>600</v>
      </c>
      <c r="W25" s="2" t="s">
        <v>51</v>
      </c>
      <c r="X25" s="2" t="s">
        <v>598</v>
      </c>
      <c r="Y25" s="2" t="s">
        <v>51</v>
      </c>
      <c r="Z25" s="3">
        <v>3</v>
      </c>
      <c r="AA25" s="2" t="s">
        <v>51</v>
      </c>
      <c r="AB25" s="6"/>
      <c r="AC25" s="6"/>
      <c r="AD25" s="6"/>
      <c r="AE25" s="6"/>
    </row>
    <row r="26" spans="1:52" ht="30" customHeight="1">
      <c r="A26" s="8" t="str">
        <f>공종별내역서!A487</f>
        <v>010202  천 정 공 사(전실)</v>
      </c>
      <c r="B26" s="8" t="s">
        <v>51</v>
      </c>
      <c r="C26" s="8" t="s">
        <v>51</v>
      </c>
      <c r="D26" s="41">
        <v>1</v>
      </c>
      <c r="E26" s="1101">
        <v>574410</v>
      </c>
      <c r="F26" s="1101">
        <v>574410</v>
      </c>
      <c r="G26" s="10">
        <f>공종별내역서!I509</f>
        <v>361054.2</v>
      </c>
      <c r="H26" s="10">
        <f t="shared" si="9"/>
        <v>361054.2</v>
      </c>
      <c r="I26" s="1101">
        <v>1613317.2</v>
      </c>
      <c r="J26" s="1101">
        <v>1613317.2</v>
      </c>
      <c r="K26" s="10">
        <f>공종별내역서!M509</f>
        <v>821246.4</v>
      </c>
      <c r="L26" s="10">
        <f t="shared" si="10"/>
        <v>821246.4</v>
      </c>
      <c r="M26" s="1101">
        <v>2902.8</v>
      </c>
      <c r="N26" s="1101">
        <v>2902.8</v>
      </c>
      <c r="O26" s="10">
        <f>공종별내역서!Q509</f>
        <v>2902.8</v>
      </c>
      <c r="P26" s="10">
        <f t="shared" si="11"/>
        <v>2902.8</v>
      </c>
      <c r="Q26" s="1101">
        <v>2190630</v>
      </c>
      <c r="R26" s="1101">
        <v>2190630</v>
      </c>
      <c r="S26" s="10">
        <f t="shared" si="3"/>
        <v>1185203.4000000001</v>
      </c>
      <c r="T26" s="10">
        <f t="shared" si="4"/>
        <v>1185203.4000000001</v>
      </c>
      <c r="U26" s="8" t="s">
        <v>51</v>
      </c>
      <c r="V26" s="2" t="s">
        <v>628</v>
      </c>
      <c r="W26" s="2" t="s">
        <v>51</v>
      </c>
      <c r="X26" s="2" t="s">
        <v>598</v>
      </c>
      <c r="Y26" s="2" t="s">
        <v>51</v>
      </c>
      <c r="Z26" s="3">
        <v>3</v>
      </c>
      <c r="AA26" s="2" t="s">
        <v>51</v>
      </c>
      <c r="AB26" s="6"/>
      <c r="AC26" s="6"/>
      <c r="AD26" s="6"/>
      <c r="AE26" s="6"/>
    </row>
    <row r="27" spans="1:52" ht="30" customHeight="1">
      <c r="A27" s="8" t="str">
        <f>공종별내역서!A510</f>
        <v>010203  벽 체 공 사(전실)</v>
      </c>
      <c r="B27" s="8" t="s">
        <v>51</v>
      </c>
      <c r="C27" s="8" t="s">
        <v>51</v>
      </c>
      <c r="D27" s="41">
        <v>1</v>
      </c>
      <c r="E27" s="1101">
        <v>1226382.3799999999</v>
      </c>
      <c r="F27" s="1101">
        <v>1226382.3799999999</v>
      </c>
      <c r="G27" s="10">
        <f>공종별내역서!I532</f>
        <v>1186879.18</v>
      </c>
      <c r="H27" s="10">
        <f t="shared" si="9"/>
        <v>1186879.18</v>
      </c>
      <c r="I27" s="1101">
        <v>3326909.84</v>
      </c>
      <c r="J27" s="1101">
        <v>3326909.84</v>
      </c>
      <c r="K27" s="10">
        <f>공종별내역서!M532</f>
        <v>3058971.56</v>
      </c>
      <c r="L27" s="10">
        <f t="shared" si="10"/>
        <v>3058971.56</v>
      </c>
      <c r="M27" s="1114">
        <v>0</v>
      </c>
      <c r="N27" s="1114">
        <v>0</v>
      </c>
      <c r="O27" s="517">
        <f>공종별내역서!Q532</f>
        <v>0</v>
      </c>
      <c r="P27" s="517">
        <f t="shared" si="11"/>
        <v>0</v>
      </c>
      <c r="Q27" s="1123">
        <v>4553292.22</v>
      </c>
      <c r="R27" s="1123">
        <v>4553292.22</v>
      </c>
      <c r="S27" s="10">
        <f t="shared" si="3"/>
        <v>4245850.74</v>
      </c>
      <c r="T27" s="10">
        <f t="shared" si="4"/>
        <v>4245850.74</v>
      </c>
      <c r="U27" s="8" t="s">
        <v>51</v>
      </c>
      <c r="V27" s="2" t="s">
        <v>640</v>
      </c>
      <c r="W27" s="2" t="s">
        <v>51</v>
      </c>
      <c r="X27" s="2" t="s">
        <v>598</v>
      </c>
      <c r="Y27" s="2" t="s">
        <v>51</v>
      </c>
      <c r="Z27" s="3">
        <v>3</v>
      </c>
      <c r="AA27" s="2" t="s">
        <v>51</v>
      </c>
      <c r="AB27" s="6"/>
      <c r="AC27" s="6"/>
      <c r="AD27" s="6"/>
      <c r="AE27" s="6"/>
    </row>
    <row r="28" spans="1:52" ht="30" customHeight="1">
      <c r="A28" s="8" t="str">
        <f>공종별내역서!A533</f>
        <v>010204  바 닥 공 사(전실)</v>
      </c>
      <c r="B28" s="8" t="s">
        <v>51</v>
      </c>
      <c r="C28" s="8" t="s">
        <v>51</v>
      </c>
      <c r="D28" s="41">
        <v>1</v>
      </c>
      <c r="E28" s="1101">
        <v>1836880.2</v>
      </c>
      <c r="F28" s="1101">
        <v>1836880.2</v>
      </c>
      <c r="G28" s="10">
        <f>공종별내역서!I555</f>
        <v>1834343.4</v>
      </c>
      <c r="H28" s="10">
        <f t="shared" si="9"/>
        <v>1834343.4</v>
      </c>
      <c r="I28" s="1101">
        <v>2092071.0000000002</v>
      </c>
      <c r="J28" s="1101">
        <v>2092071.0000000002</v>
      </c>
      <c r="K28" s="10">
        <f>공종별내역서!M555</f>
        <v>1344772.2000000002</v>
      </c>
      <c r="L28" s="10">
        <f t="shared" si="10"/>
        <v>1344772.2000000002</v>
      </c>
      <c r="M28" s="1101">
        <v>2634</v>
      </c>
      <c r="N28" s="1101">
        <v>2634</v>
      </c>
      <c r="O28" s="10">
        <f>공종별내역서!Q555</f>
        <v>2634</v>
      </c>
      <c r="P28" s="10">
        <f t="shared" si="11"/>
        <v>2634</v>
      </c>
      <c r="Q28" s="1101">
        <v>3931585.2</v>
      </c>
      <c r="R28" s="1101">
        <v>3931585.2</v>
      </c>
      <c r="S28" s="10">
        <f t="shared" si="3"/>
        <v>3181749.6</v>
      </c>
      <c r="T28" s="10">
        <f t="shared" si="4"/>
        <v>3181749.6</v>
      </c>
      <c r="U28" s="8" t="s">
        <v>51</v>
      </c>
      <c r="V28" s="2" t="s">
        <v>650</v>
      </c>
      <c r="W28" s="2" t="s">
        <v>51</v>
      </c>
      <c r="X28" s="2" t="s">
        <v>598</v>
      </c>
      <c r="Y28" s="2" t="s">
        <v>51</v>
      </c>
      <c r="Z28" s="3">
        <v>3</v>
      </c>
      <c r="AA28" s="2" t="s">
        <v>51</v>
      </c>
      <c r="AB28" s="6"/>
      <c r="AC28" s="6"/>
      <c r="AD28" s="6"/>
      <c r="AE28" s="6"/>
    </row>
    <row r="29" spans="1:52" ht="30" customHeight="1">
      <c r="A29" s="8" t="str">
        <f>공종별내역서!A556</f>
        <v>010205  천 정 공 사(상설전시실)</v>
      </c>
      <c r="B29" s="8" t="s">
        <v>51</v>
      </c>
      <c r="C29" s="8" t="s">
        <v>51</v>
      </c>
      <c r="D29" s="41">
        <v>1</v>
      </c>
      <c r="E29" s="1101">
        <v>2095577.34</v>
      </c>
      <c r="F29" s="1101">
        <v>2095577.34</v>
      </c>
      <c r="G29" s="10">
        <f>공종별내역서!I578</f>
        <v>2095577.34</v>
      </c>
      <c r="H29" s="10">
        <f t="shared" si="9"/>
        <v>2095577.34</v>
      </c>
      <c r="I29" s="1101">
        <v>39898764.75</v>
      </c>
      <c r="J29" s="1101">
        <v>39898764.75</v>
      </c>
      <c r="K29" s="10">
        <f>공종별내역서!M578</f>
        <v>4650811.29</v>
      </c>
      <c r="L29" s="10">
        <f t="shared" si="10"/>
        <v>4650811.29</v>
      </c>
      <c r="M29" s="1114">
        <v>0</v>
      </c>
      <c r="N29" s="1114">
        <v>0</v>
      </c>
      <c r="O29" s="517">
        <f>공종별내역서!Q578</f>
        <v>348311</v>
      </c>
      <c r="P29" s="517">
        <f t="shared" si="11"/>
        <v>348311</v>
      </c>
      <c r="Q29" s="1123">
        <v>41994342.090000004</v>
      </c>
      <c r="R29" s="1123">
        <v>41994342.090000004</v>
      </c>
      <c r="S29" s="10">
        <f t="shared" ref="S29:S40" si="12">G29+K29+O29</f>
        <v>7094699.6299999999</v>
      </c>
      <c r="T29" s="10">
        <f t="shared" ref="T29:T40" si="13">H29+L29+P29</f>
        <v>7094699.6299999999</v>
      </c>
      <c r="U29" s="8" t="s">
        <v>51</v>
      </c>
      <c r="V29" s="2" t="s">
        <v>655</v>
      </c>
      <c r="W29" s="2" t="s">
        <v>51</v>
      </c>
      <c r="X29" s="2" t="s">
        <v>598</v>
      </c>
      <c r="Y29" s="2" t="s">
        <v>51</v>
      </c>
      <c r="Z29" s="3">
        <v>3</v>
      </c>
      <c r="AA29" s="2" t="s">
        <v>51</v>
      </c>
      <c r="AB29" s="6"/>
      <c r="AC29" s="6"/>
      <c r="AD29" s="6"/>
      <c r="AE29" s="6"/>
    </row>
    <row r="30" spans="1:52" ht="30" customHeight="1">
      <c r="A30" s="8" t="str">
        <f>공종별내역서!A579</f>
        <v>010206  벽 체 공 사(상설전시실)</v>
      </c>
      <c r="B30" s="8" t="s">
        <v>51</v>
      </c>
      <c r="C30" s="8" t="s">
        <v>51</v>
      </c>
      <c r="D30" s="41">
        <v>1</v>
      </c>
      <c r="E30" s="1101">
        <v>43989334.733199999</v>
      </c>
      <c r="F30" s="1101">
        <v>43989334.733199999</v>
      </c>
      <c r="G30" s="10">
        <f>공종별내역서!I601</f>
        <v>44151621.857120007</v>
      </c>
      <c r="H30" s="10">
        <f t="shared" si="9"/>
        <v>44151621.857120007</v>
      </c>
      <c r="I30" s="1101">
        <v>113019108.23296002</v>
      </c>
      <c r="J30" s="1101">
        <v>113019108.23296002</v>
      </c>
      <c r="K30" s="10">
        <f>공종별내역서!M601</f>
        <v>107834492.93688002</v>
      </c>
      <c r="L30" s="10">
        <f t="shared" si="10"/>
        <v>107834492.93688002</v>
      </c>
      <c r="M30" s="1101">
        <v>228805.60800000004</v>
      </c>
      <c r="N30" s="1101">
        <v>228805.60800000004</v>
      </c>
      <c r="O30" s="10">
        <f>공종별내역서!Q601</f>
        <v>228805.60800000004</v>
      </c>
      <c r="P30" s="10">
        <f t="shared" si="11"/>
        <v>228805.60800000004</v>
      </c>
      <c r="Q30" s="1101">
        <v>157237248.57416001</v>
      </c>
      <c r="R30" s="1101">
        <v>157237248.57416001</v>
      </c>
      <c r="S30" s="10">
        <f t="shared" si="12"/>
        <v>152214920.40200004</v>
      </c>
      <c r="T30" s="10">
        <f t="shared" si="13"/>
        <v>152214920.40200004</v>
      </c>
      <c r="U30" s="8" t="s">
        <v>51</v>
      </c>
      <c r="V30" s="2" t="s">
        <v>657</v>
      </c>
      <c r="W30" s="2" t="s">
        <v>51</v>
      </c>
      <c r="X30" s="2" t="s">
        <v>598</v>
      </c>
      <c r="Y30" s="2" t="s">
        <v>51</v>
      </c>
      <c r="Z30" s="3">
        <v>3</v>
      </c>
      <c r="AA30" s="2" t="s">
        <v>51</v>
      </c>
      <c r="AB30" s="6"/>
      <c r="AC30" s="6"/>
      <c r="AD30" s="6"/>
      <c r="AE30" s="6"/>
    </row>
    <row r="31" spans="1:52" ht="30" customHeight="1">
      <c r="A31" s="8" t="str">
        <f>공종별내역서!A602</f>
        <v>010207  바 닥 공 사(상설전시실)</v>
      </c>
      <c r="B31" s="8" t="s">
        <v>51</v>
      </c>
      <c r="C31" s="8" t="s">
        <v>51</v>
      </c>
      <c r="D31" s="41">
        <v>1</v>
      </c>
      <c r="E31" s="1101">
        <v>102067536.2</v>
      </c>
      <c r="F31" s="1101">
        <v>102067536.2</v>
      </c>
      <c r="G31" s="10">
        <f>공종별내역서!I624</f>
        <v>102063263.40000001</v>
      </c>
      <c r="H31" s="10">
        <f t="shared" si="9"/>
        <v>102063263.40000001</v>
      </c>
      <c r="I31" s="1101">
        <v>71765852.900000006</v>
      </c>
      <c r="J31" s="1101">
        <v>71765852.900000006</v>
      </c>
      <c r="K31" s="10">
        <f>공종별내역서!M624</f>
        <v>67130170.100000009</v>
      </c>
      <c r="L31" s="10">
        <f t="shared" si="10"/>
        <v>67130170.100000009</v>
      </c>
      <c r="M31" s="1114">
        <v>0</v>
      </c>
      <c r="N31" s="1114">
        <v>0</v>
      </c>
      <c r="O31" s="517">
        <f>공종별내역서!Q624</f>
        <v>0</v>
      </c>
      <c r="P31" s="517">
        <f t="shared" si="11"/>
        <v>0</v>
      </c>
      <c r="Q31" s="1123">
        <v>173833389.10000002</v>
      </c>
      <c r="R31" s="1123">
        <v>173833389.10000002</v>
      </c>
      <c r="S31" s="10">
        <f t="shared" si="12"/>
        <v>169193433.5</v>
      </c>
      <c r="T31" s="10">
        <f t="shared" si="13"/>
        <v>169193433.5</v>
      </c>
      <c r="U31" s="8" t="s">
        <v>51</v>
      </c>
      <c r="V31" s="2" t="s">
        <v>667</v>
      </c>
      <c r="W31" s="2" t="s">
        <v>51</v>
      </c>
      <c r="X31" s="2" t="s">
        <v>598</v>
      </c>
      <c r="Y31" s="2" t="s">
        <v>51</v>
      </c>
      <c r="Z31" s="3">
        <v>3</v>
      </c>
      <c r="AA31" s="2" t="s">
        <v>51</v>
      </c>
      <c r="AB31" s="6"/>
      <c r="AC31" s="6"/>
      <c r="AD31" s="6"/>
      <c r="AE31" s="6"/>
    </row>
    <row r="32" spans="1:52" ht="30" customHeight="1">
      <c r="A32" s="8" t="str">
        <f>공종별내역서!A625</f>
        <v>010208  천 정 공 사(내림경사로)</v>
      </c>
      <c r="B32" s="8" t="s">
        <v>51</v>
      </c>
      <c r="C32" s="8" t="s">
        <v>51</v>
      </c>
      <c r="D32" s="41">
        <v>1</v>
      </c>
      <c r="E32" s="1101">
        <v>1492000</v>
      </c>
      <c r="F32" s="1101">
        <v>1492000</v>
      </c>
      <c r="G32" s="10">
        <f>공종별내역서!I647</f>
        <v>1492000</v>
      </c>
      <c r="H32" s="10">
        <f t="shared" si="9"/>
        <v>1492000</v>
      </c>
      <c r="I32" s="1101">
        <v>1671189.2</v>
      </c>
      <c r="J32" s="1101">
        <v>1671189.2</v>
      </c>
      <c r="K32" s="10">
        <f>공종별내역서!M647</f>
        <v>1671189.2</v>
      </c>
      <c r="L32" s="10">
        <f t="shared" si="10"/>
        <v>1671189.2</v>
      </c>
      <c r="M32" s="1114">
        <v>0</v>
      </c>
      <c r="N32" s="1114">
        <v>0</v>
      </c>
      <c r="O32" s="517">
        <f>공종별내역서!Q647</f>
        <v>0</v>
      </c>
      <c r="P32" s="517">
        <f t="shared" si="11"/>
        <v>0</v>
      </c>
      <c r="Q32" s="1123">
        <v>3163189.2</v>
      </c>
      <c r="R32" s="1123">
        <v>3163189.2</v>
      </c>
      <c r="S32" s="10">
        <f t="shared" si="12"/>
        <v>3163189.2</v>
      </c>
      <c r="T32" s="10">
        <f t="shared" si="13"/>
        <v>3163189.2</v>
      </c>
      <c r="U32" s="8" t="s">
        <v>51</v>
      </c>
      <c r="V32" s="2" t="s">
        <v>671</v>
      </c>
      <c r="W32" s="2" t="s">
        <v>51</v>
      </c>
      <c r="X32" s="2" t="s">
        <v>598</v>
      </c>
      <c r="Y32" s="2" t="s">
        <v>51</v>
      </c>
      <c r="Z32" s="3">
        <v>3</v>
      </c>
      <c r="AA32" s="2" t="s">
        <v>51</v>
      </c>
      <c r="AB32" s="6"/>
      <c r="AC32" s="6"/>
      <c r="AD32" s="6"/>
      <c r="AE32" s="6"/>
    </row>
    <row r="33" spans="1:52" ht="30" customHeight="1">
      <c r="A33" s="8" t="str">
        <f>공종별내역서!A648</f>
        <v>010209  벽 체 공 사(내림경사로)</v>
      </c>
      <c r="B33" s="8" t="s">
        <v>51</v>
      </c>
      <c r="C33" s="8" t="s">
        <v>51</v>
      </c>
      <c r="D33" s="41">
        <v>1</v>
      </c>
      <c r="E33" s="1101">
        <v>22399555.284999993</v>
      </c>
      <c r="F33" s="1101">
        <v>22399555.284999993</v>
      </c>
      <c r="G33" s="10">
        <f>공종별내역서!I670</f>
        <v>22872635.929999996</v>
      </c>
      <c r="H33" s="10">
        <f t="shared" si="9"/>
        <v>22872635.929999996</v>
      </c>
      <c r="I33" s="1101">
        <v>56891169.899999976</v>
      </c>
      <c r="J33" s="1101">
        <v>56891169.899999976</v>
      </c>
      <c r="K33" s="10">
        <f>공종별내역서!M670</f>
        <v>56404210.369999982</v>
      </c>
      <c r="L33" s="10">
        <f t="shared" si="10"/>
        <v>56404210.369999982</v>
      </c>
      <c r="M33" s="1101">
        <v>146295.49999999997</v>
      </c>
      <c r="N33" s="1101">
        <v>146295.49999999997</v>
      </c>
      <c r="O33" s="10">
        <f>공종별내역서!Q670</f>
        <v>146295.49999999997</v>
      </c>
      <c r="P33" s="10">
        <f t="shared" si="11"/>
        <v>146295.49999999997</v>
      </c>
      <c r="Q33" s="1101">
        <v>79437020.684999973</v>
      </c>
      <c r="R33" s="1101">
        <v>79437020.684999973</v>
      </c>
      <c r="S33" s="53">
        <f t="shared" si="12"/>
        <v>79423141.799999982</v>
      </c>
      <c r="T33" s="53">
        <f t="shared" si="13"/>
        <v>79423141.799999982</v>
      </c>
      <c r="U33" s="8" t="s">
        <v>51</v>
      </c>
      <c r="V33" s="2" t="s">
        <v>676</v>
      </c>
      <c r="W33" s="2" t="s">
        <v>51</v>
      </c>
      <c r="X33" s="2" t="s">
        <v>598</v>
      </c>
      <c r="Y33" s="2" t="s">
        <v>51</v>
      </c>
      <c r="Z33" s="3">
        <v>3</v>
      </c>
      <c r="AA33" s="2" t="s">
        <v>51</v>
      </c>
      <c r="AB33" s="6"/>
      <c r="AC33" s="6"/>
      <c r="AD33" s="6"/>
      <c r="AE33" s="6"/>
    </row>
    <row r="34" spans="1:52" ht="30" customHeight="1">
      <c r="A34" s="8" t="str">
        <f>공종별내역서!A671</f>
        <v>010210  천 정 공 사(부속실)</v>
      </c>
      <c r="B34" s="8" t="s">
        <v>51</v>
      </c>
      <c r="C34" s="8" t="s">
        <v>51</v>
      </c>
      <c r="D34" s="41">
        <v>1</v>
      </c>
      <c r="E34" s="1101">
        <v>27003.86</v>
      </c>
      <c r="F34" s="1101">
        <v>27003.86</v>
      </c>
      <c r="G34" s="10">
        <f>공종별내역서!I693</f>
        <v>27003.86</v>
      </c>
      <c r="H34" s="10">
        <f t="shared" si="9"/>
        <v>27003.86</v>
      </c>
      <c r="I34" s="1101">
        <v>514140.25</v>
      </c>
      <c r="J34" s="1101">
        <v>514140.25</v>
      </c>
      <c r="K34" s="10">
        <f>공종별내역서!M693</f>
        <v>59930.909999999996</v>
      </c>
      <c r="L34" s="10">
        <f t="shared" si="10"/>
        <v>59930.909999999996</v>
      </c>
      <c r="M34" s="1114">
        <v>0</v>
      </c>
      <c r="N34" s="1114">
        <v>0</v>
      </c>
      <c r="O34" s="517">
        <f>공종별내역서!Q693</f>
        <v>4488</v>
      </c>
      <c r="P34" s="517">
        <f t="shared" si="11"/>
        <v>4488</v>
      </c>
      <c r="Q34" s="1123">
        <v>541144.11</v>
      </c>
      <c r="R34" s="1123">
        <v>541144.11</v>
      </c>
      <c r="S34" s="10">
        <f t="shared" si="12"/>
        <v>91422.76999999999</v>
      </c>
      <c r="T34" s="10">
        <f t="shared" si="13"/>
        <v>91422.76999999999</v>
      </c>
      <c r="U34" s="8" t="s">
        <v>51</v>
      </c>
      <c r="V34" s="2" t="s">
        <v>689</v>
      </c>
      <c r="W34" s="2" t="s">
        <v>51</v>
      </c>
      <c r="X34" s="2" t="s">
        <v>598</v>
      </c>
      <c r="Y34" s="2" t="s">
        <v>51</v>
      </c>
      <c r="Z34" s="3">
        <v>3</v>
      </c>
      <c r="AA34" s="2" t="s">
        <v>51</v>
      </c>
      <c r="AB34" s="6"/>
      <c r="AC34" s="6"/>
      <c r="AD34" s="6"/>
      <c r="AE34" s="6"/>
    </row>
    <row r="35" spans="1:52" ht="30" customHeight="1">
      <c r="A35" s="8" t="str">
        <f>공종별내역서!A694</f>
        <v>010211  벽 체 공 사(부속실)</v>
      </c>
      <c r="B35" s="8" t="s">
        <v>51</v>
      </c>
      <c r="C35" s="8" t="s">
        <v>51</v>
      </c>
      <c r="D35" s="41">
        <v>1</v>
      </c>
      <c r="E35" s="1101">
        <v>4046413.33</v>
      </c>
      <c r="F35" s="1101">
        <v>4046413.33</v>
      </c>
      <c r="G35" s="10">
        <f>공종별내역서!I716</f>
        <v>3819452.36</v>
      </c>
      <c r="H35" s="10">
        <f t="shared" si="9"/>
        <v>3819452.36</v>
      </c>
      <c r="I35" s="1101">
        <v>11216501.74</v>
      </c>
      <c r="J35" s="1101">
        <v>11216501.74</v>
      </c>
      <c r="K35" s="10">
        <f>공종별내역서!M716</f>
        <v>9342806.4700000007</v>
      </c>
      <c r="L35" s="10">
        <f t="shared" si="10"/>
        <v>9342806.4700000007</v>
      </c>
      <c r="M35" s="1114">
        <v>0</v>
      </c>
      <c r="N35" s="1114">
        <v>0</v>
      </c>
      <c r="O35" s="517">
        <f>공종별내역서!Q716</f>
        <v>0</v>
      </c>
      <c r="P35" s="517">
        <f t="shared" si="11"/>
        <v>0</v>
      </c>
      <c r="Q35" s="1123">
        <v>15262915.07</v>
      </c>
      <c r="R35" s="1123">
        <v>15262915.07</v>
      </c>
      <c r="S35" s="10">
        <f t="shared" si="12"/>
        <v>13162258.83</v>
      </c>
      <c r="T35" s="10">
        <f t="shared" si="13"/>
        <v>13162258.83</v>
      </c>
      <c r="U35" s="8" t="s">
        <v>51</v>
      </c>
      <c r="V35" s="2" t="s">
        <v>691</v>
      </c>
      <c r="W35" s="2" t="s">
        <v>51</v>
      </c>
      <c r="X35" s="2" t="s">
        <v>598</v>
      </c>
      <c r="Y35" s="2" t="s">
        <v>51</v>
      </c>
      <c r="Z35" s="3">
        <v>3</v>
      </c>
      <c r="AA35" s="2" t="s">
        <v>51</v>
      </c>
      <c r="AB35" s="6"/>
      <c r="AC35" s="6"/>
      <c r="AD35" s="6"/>
      <c r="AE35" s="6"/>
    </row>
    <row r="36" spans="1:52" ht="30" customHeight="1">
      <c r="A36" s="8" t="str">
        <f>공종별내역서!A717</f>
        <v>010212  바 닥 공 사(부속실)</v>
      </c>
      <c r="B36" s="8" t="s">
        <v>51</v>
      </c>
      <c r="C36" s="8" t="s">
        <v>51</v>
      </c>
      <c r="D36" s="41">
        <v>1</v>
      </c>
      <c r="E36" s="1101">
        <v>2025148</v>
      </c>
      <c r="F36" s="1101">
        <v>2025148</v>
      </c>
      <c r="G36" s="10">
        <f>공종별내역서!I739</f>
        <v>2025148</v>
      </c>
      <c r="H36" s="10">
        <f t="shared" si="9"/>
        <v>2025148</v>
      </c>
      <c r="I36" s="1101">
        <v>1322430.7</v>
      </c>
      <c r="J36" s="1101">
        <v>1322430.7</v>
      </c>
      <c r="K36" s="10">
        <f>공종별내역서!M739</f>
        <v>1322430.7</v>
      </c>
      <c r="L36" s="10">
        <f t="shared" si="10"/>
        <v>1322430.7</v>
      </c>
      <c r="M36" s="1114">
        <v>0</v>
      </c>
      <c r="N36" s="1114">
        <v>0</v>
      </c>
      <c r="O36" s="517">
        <f>공종별내역서!Q739</f>
        <v>0</v>
      </c>
      <c r="P36" s="517">
        <f t="shared" si="11"/>
        <v>0</v>
      </c>
      <c r="Q36" s="1123">
        <v>3347578.7</v>
      </c>
      <c r="R36" s="1123">
        <v>3347578.7</v>
      </c>
      <c r="S36" s="10">
        <f t="shared" si="12"/>
        <v>3347578.7</v>
      </c>
      <c r="T36" s="10">
        <f t="shared" si="13"/>
        <v>3347578.7</v>
      </c>
      <c r="U36" s="8" t="s">
        <v>51</v>
      </c>
      <c r="V36" s="2" t="s">
        <v>697</v>
      </c>
      <c r="W36" s="2" t="s">
        <v>51</v>
      </c>
      <c r="X36" s="2" t="s">
        <v>598</v>
      </c>
      <c r="Y36" s="2" t="s">
        <v>51</v>
      </c>
      <c r="Z36" s="3">
        <v>3</v>
      </c>
      <c r="AA36" s="2" t="s">
        <v>51</v>
      </c>
      <c r="AB36" s="6"/>
      <c r="AC36" s="6"/>
      <c r="AD36" s="6"/>
      <c r="AE36" s="6"/>
    </row>
    <row r="37" spans="1:52" ht="30" customHeight="1">
      <c r="A37" s="8" t="str">
        <f>공종별내역서!A740</f>
        <v>010213  천 정 공 사(휴게홀/창고4)</v>
      </c>
      <c r="B37" s="8" t="s">
        <v>51</v>
      </c>
      <c r="C37" s="8" t="s">
        <v>51</v>
      </c>
      <c r="D37" s="41">
        <v>1</v>
      </c>
      <c r="E37" s="1101">
        <v>69561.180000000008</v>
      </c>
      <c r="F37" s="1101">
        <v>69561.180000000008</v>
      </c>
      <c r="G37" s="10">
        <f>공종별내역서!I762</f>
        <v>69561.180000000008</v>
      </c>
      <c r="H37" s="10">
        <f t="shared" si="9"/>
        <v>69561.180000000008</v>
      </c>
      <c r="I37" s="1101">
        <v>1324410.7500000002</v>
      </c>
      <c r="J37" s="1101">
        <v>1324410.7500000002</v>
      </c>
      <c r="K37" s="10">
        <f>공종별내역서!M762</f>
        <v>154380.33000000002</v>
      </c>
      <c r="L37" s="10">
        <f t="shared" si="10"/>
        <v>154380.33000000002</v>
      </c>
      <c r="M37" s="1114">
        <v>0</v>
      </c>
      <c r="N37" s="1114">
        <v>0</v>
      </c>
      <c r="O37" s="517">
        <f>공종별내역서!Q762</f>
        <v>11561</v>
      </c>
      <c r="P37" s="517">
        <f t="shared" si="11"/>
        <v>11561</v>
      </c>
      <c r="Q37" s="1123">
        <v>1393971.9300000002</v>
      </c>
      <c r="R37" s="1123">
        <v>1393971.9300000002</v>
      </c>
      <c r="S37" s="10">
        <f t="shared" si="12"/>
        <v>235502.51</v>
      </c>
      <c r="T37" s="10">
        <f t="shared" si="13"/>
        <v>235502.51</v>
      </c>
      <c r="U37" s="8" t="s">
        <v>51</v>
      </c>
      <c r="V37" s="2" t="s">
        <v>700</v>
      </c>
      <c r="W37" s="2" t="s">
        <v>51</v>
      </c>
      <c r="X37" s="2" t="s">
        <v>598</v>
      </c>
      <c r="Y37" s="2" t="s">
        <v>51</v>
      </c>
      <c r="Z37" s="3">
        <v>3</v>
      </c>
      <c r="AA37" s="2" t="s">
        <v>51</v>
      </c>
      <c r="AB37" s="6"/>
      <c r="AC37" s="6"/>
      <c r="AD37" s="6"/>
      <c r="AE37" s="6"/>
    </row>
    <row r="38" spans="1:52" ht="30" customHeight="1">
      <c r="A38" s="8" t="str">
        <f>공종별내역서!A763</f>
        <v>010214  벽 체 공 사(휴게홀/창고4)</v>
      </c>
      <c r="B38" s="8" t="s">
        <v>51</v>
      </c>
      <c r="C38" s="8" t="s">
        <v>51</v>
      </c>
      <c r="D38" s="41">
        <v>1</v>
      </c>
      <c r="E38" s="1101">
        <v>6478825.3900000006</v>
      </c>
      <c r="F38" s="1101">
        <v>6478825.3900000006</v>
      </c>
      <c r="G38" s="10">
        <f>공종별내역서!I785</f>
        <v>5173401.16</v>
      </c>
      <c r="H38" s="10">
        <f t="shared" si="9"/>
        <v>5173401.16</v>
      </c>
      <c r="I38" s="1101">
        <v>14063760.540000001</v>
      </c>
      <c r="J38" s="1101">
        <v>14063760.540000001</v>
      </c>
      <c r="K38" s="10">
        <f>공종별내역서!M785</f>
        <v>13552612.039999999</v>
      </c>
      <c r="L38" s="10">
        <f t="shared" si="10"/>
        <v>13552612.039999999</v>
      </c>
      <c r="M38" s="1101">
        <v>64296.750000000007</v>
      </c>
      <c r="N38" s="1101">
        <v>64296.750000000007</v>
      </c>
      <c r="O38" s="10">
        <f>공종별내역서!Q785</f>
        <v>64296.750000000007</v>
      </c>
      <c r="P38" s="10">
        <f t="shared" si="11"/>
        <v>64296.750000000007</v>
      </c>
      <c r="Q38" s="1101">
        <v>20606882.68</v>
      </c>
      <c r="R38" s="1101">
        <v>20606882.68</v>
      </c>
      <c r="S38" s="10">
        <f t="shared" si="12"/>
        <v>18790309.949999999</v>
      </c>
      <c r="T38" s="10">
        <f t="shared" si="13"/>
        <v>18790309.949999999</v>
      </c>
      <c r="U38" s="8" t="s">
        <v>51</v>
      </c>
      <c r="V38" s="2" t="s">
        <v>702</v>
      </c>
      <c r="W38" s="2" t="s">
        <v>51</v>
      </c>
      <c r="X38" s="2" t="s">
        <v>598</v>
      </c>
      <c r="Y38" s="2" t="s">
        <v>51</v>
      </c>
      <c r="Z38" s="3">
        <v>3</v>
      </c>
      <c r="AA38" s="2" t="s">
        <v>51</v>
      </c>
      <c r="AB38" s="6"/>
      <c r="AC38" s="6"/>
      <c r="AD38" s="6"/>
      <c r="AE38" s="6"/>
    </row>
    <row r="39" spans="1:52" ht="30" customHeight="1">
      <c r="A39" s="8" t="str">
        <f>공종별내역서!A786</f>
        <v>010215  바 닥 공 사(휴게홀/창고4)</v>
      </c>
      <c r="B39" s="8" t="s">
        <v>51</v>
      </c>
      <c r="C39" s="8" t="s">
        <v>51</v>
      </c>
      <c r="D39" s="41">
        <v>1</v>
      </c>
      <c r="E39" s="1101">
        <v>5305354.3</v>
      </c>
      <c r="F39" s="1101">
        <v>5305354.3</v>
      </c>
      <c r="G39" s="10">
        <f>공종별내역서!I808</f>
        <v>5304209.0999999996</v>
      </c>
      <c r="H39" s="10">
        <f t="shared" si="9"/>
        <v>5304209.0999999996</v>
      </c>
      <c r="I39" s="1101">
        <v>4835426.5</v>
      </c>
      <c r="J39" s="1101">
        <v>4835426.5</v>
      </c>
      <c r="K39" s="10">
        <f>공종별내역서!M808</f>
        <v>3592966.3000000003</v>
      </c>
      <c r="L39" s="10">
        <f t="shared" si="10"/>
        <v>3592966.3000000003</v>
      </c>
      <c r="M39" s="1114">
        <v>0</v>
      </c>
      <c r="N39" s="1114">
        <v>0</v>
      </c>
      <c r="O39" s="517">
        <f>공종별내역서!Q808</f>
        <v>0</v>
      </c>
      <c r="P39" s="517">
        <f t="shared" si="11"/>
        <v>0</v>
      </c>
      <c r="Q39" s="1123">
        <v>10140780.800000001</v>
      </c>
      <c r="R39" s="1123">
        <v>10140780.800000001</v>
      </c>
      <c r="S39" s="10">
        <f t="shared" si="12"/>
        <v>8897175.4000000004</v>
      </c>
      <c r="T39" s="10">
        <f t="shared" si="13"/>
        <v>8897175.4000000004</v>
      </c>
      <c r="U39" s="8" t="s">
        <v>51</v>
      </c>
      <c r="V39" s="2" t="s">
        <v>712</v>
      </c>
      <c r="W39" s="2" t="s">
        <v>51</v>
      </c>
      <c r="X39" s="2" t="s">
        <v>598</v>
      </c>
      <c r="Y39" s="2" t="s">
        <v>51</v>
      </c>
      <c r="Z39" s="3">
        <v>3</v>
      </c>
      <c r="AA39" s="2" t="s">
        <v>51</v>
      </c>
      <c r="AB39" s="6"/>
      <c r="AC39" s="6"/>
      <c r="AD39" s="6"/>
      <c r="AE39" s="6"/>
    </row>
    <row r="40" spans="1:52" ht="30" customHeight="1">
      <c r="A40" s="8" t="str">
        <f>공종별내역서!A809</f>
        <v>010216  창 호 공 사</v>
      </c>
      <c r="B40" s="8" t="s">
        <v>51</v>
      </c>
      <c r="C40" s="8" t="s">
        <v>51</v>
      </c>
      <c r="D40" s="41">
        <v>1</v>
      </c>
      <c r="E40" s="1101">
        <v>36846066.299999997</v>
      </c>
      <c r="F40" s="1101">
        <v>36846066.299999997</v>
      </c>
      <c r="G40" s="10">
        <f>공종별내역서!I831</f>
        <v>36846066.299999997</v>
      </c>
      <c r="H40" s="10">
        <f t="shared" si="9"/>
        <v>36846066.299999997</v>
      </c>
      <c r="I40" s="1101">
        <v>18538197.719999999</v>
      </c>
      <c r="J40" s="1101">
        <v>18538197.719999999</v>
      </c>
      <c r="K40" s="10">
        <f>공종별내역서!M831</f>
        <v>13966046.289999999</v>
      </c>
      <c r="L40" s="10">
        <f t="shared" si="10"/>
        <v>13966046.289999999</v>
      </c>
      <c r="M40" s="1101">
        <v>85025.684000000023</v>
      </c>
      <c r="N40" s="1101">
        <v>85025.684000000023</v>
      </c>
      <c r="O40" s="10">
        <f>공종별내역서!Q831</f>
        <v>85025.684000000023</v>
      </c>
      <c r="P40" s="10">
        <f t="shared" si="11"/>
        <v>85025.684000000023</v>
      </c>
      <c r="Q40" s="1101">
        <v>55469289.703999996</v>
      </c>
      <c r="R40" s="1101">
        <v>55469289.703999996</v>
      </c>
      <c r="S40" s="10">
        <f t="shared" si="12"/>
        <v>50897138.273999996</v>
      </c>
      <c r="T40" s="10">
        <f t="shared" si="13"/>
        <v>50897138.273999996</v>
      </c>
      <c r="U40" s="8" t="s">
        <v>51</v>
      </c>
      <c r="V40" s="2" t="s">
        <v>716</v>
      </c>
      <c r="W40" s="2" t="s">
        <v>51</v>
      </c>
      <c r="X40" s="2" t="s">
        <v>598</v>
      </c>
      <c r="Y40" s="2" t="s">
        <v>51</v>
      </c>
      <c r="Z40" s="3">
        <v>3</v>
      </c>
      <c r="AA40" s="2" t="s">
        <v>51</v>
      </c>
      <c r="AB40" s="6"/>
      <c r="AC40" s="6"/>
      <c r="AD40" s="6"/>
      <c r="AE40" s="6"/>
    </row>
    <row r="41" spans="1:52" ht="30" customHeight="1">
      <c r="A41" s="8" t="str">
        <f>공종별내역서!A832</f>
        <v>010217  그 래 픽</v>
      </c>
      <c r="B41" s="8"/>
      <c r="C41" s="8"/>
      <c r="D41" s="41">
        <v>1</v>
      </c>
      <c r="E41" s="1101">
        <v>13567450</v>
      </c>
      <c r="F41" s="1101">
        <v>13567450</v>
      </c>
      <c r="G41" s="10">
        <f>공종별내역서!I946</f>
        <v>13567450</v>
      </c>
      <c r="H41" s="10">
        <f t="shared" si="9"/>
        <v>13567450</v>
      </c>
      <c r="I41" s="1101">
        <v>7584000</v>
      </c>
      <c r="J41" s="1101">
        <v>7584000</v>
      </c>
      <c r="K41" s="10">
        <f>공종별내역서!M946</f>
        <v>7584000</v>
      </c>
      <c r="L41" s="10">
        <f t="shared" si="10"/>
        <v>7584000</v>
      </c>
      <c r="M41" s="1114">
        <v>0</v>
      </c>
      <c r="N41" s="1114">
        <v>0</v>
      </c>
      <c r="O41" s="517">
        <f>공종별내역서!Q946</f>
        <v>0</v>
      </c>
      <c r="P41" s="517">
        <f t="shared" si="11"/>
        <v>0</v>
      </c>
      <c r="Q41" s="1123">
        <v>21151450</v>
      </c>
      <c r="R41" s="1123">
        <v>21151450</v>
      </c>
      <c r="S41" s="10">
        <f t="shared" ref="S41" si="14">G41+K41+O41</f>
        <v>21151450</v>
      </c>
      <c r="T41" s="10">
        <f t="shared" ref="T41" si="15">H41+L41+P41</f>
        <v>21151450</v>
      </c>
      <c r="U41" s="8"/>
      <c r="V41" s="2"/>
      <c r="W41" s="2"/>
      <c r="X41" s="2"/>
      <c r="Y41" s="2"/>
      <c r="Z41" s="3"/>
      <c r="AA41" s="2"/>
      <c r="AB41" s="6"/>
      <c r="AC41" s="6"/>
      <c r="AD41" s="6"/>
      <c r="AE41" s="6"/>
    </row>
    <row r="42" spans="1:52" ht="30" customHeight="1">
      <c r="A42" s="8" t="str">
        <f>공종별내역서!A947</f>
        <v>010218  전 시 대</v>
      </c>
      <c r="B42" s="8"/>
      <c r="C42" s="8"/>
      <c r="D42" s="41">
        <v>1</v>
      </c>
      <c r="E42" s="1101">
        <v>57669840.399999999</v>
      </c>
      <c r="F42" s="1101">
        <v>57669840.399999999</v>
      </c>
      <c r="G42" s="10">
        <f>공종별내역서!I1106</f>
        <v>57669840.399999999</v>
      </c>
      <c r="H42" s="10">
        <f t="shared" si="9"/>
        <v>57669840.399999999</v>
      </c>
      <c r="I42" s="1101">
        <v>11795757.4</v>
      </c>
      <c r="J42" s="1101">
        <v>11795757.4</v>
      </c>
      <c r="K42" s="10">
        <f>공종별내역서!M1106</f>
        <v>11795757.4</v>
      </c>
      <c r="L42" s="10">
        <f t="shared" si="10"/>
        <v>11795757.4</v>
      </c>
      <c r="M42" s="1101">
        <v>313814.24000000005</v>
      </c>
      <c r="N42" s="1101">
        <v>313814.24000000005</v>
      </c>
      <c r="O42" s="10">
        <f>공종별내역서!Q1106</f>
        <v>313814.24000000005</v>
      </c>
      <c r="P42" s="10">
        <f t="shared" si="11"/>
        <v>313814.24000000005</v>
      </c>
      <c r="Q42" s="1101">
        <v>69779412.039999992</v>
      </c>
      <c r="R42" s="1101">
        <v>69779412.039999992</v>
      </c>
      <c r="S42" s="10">
        <f t="shared" ref="S42" si="16">G42+K42+O42</f>
        <v>69779412.039999992</v>
      </c>
      <c r="T42" s="10">
        <f t="shared" ref="T42" si="17">H42+L42+P42</f>
        <v>69779412.039999992</v>
      </c>
      <c r="U42" s="8"/>
      <c r="V42" s="2"/>
      <c r="W42" s="2"/>
      <c r="X42" s="2"/>
      <c r="Y42" s="2"/>
      <c r="Z42" s="3"/>
      <c r="AA42" s="2"/>
      <c r="AB42" s="6"/>
      <c r="AC42" s="6"/>
      <c r="AD42" s="6"/>
      <c r="AE42" s="6"/>
    </row>
    <row r="43" spans="1:52" s="416" customFormat="1" ht="30" customHeight="1">
      <c r="A43" s="409" t="s">
        <v>4714</v>
      </c>
      <c r="B43" s="409"/>
      <c r="C43" s="409"/>
      <c r="D43" s="408">
        <v>1</v>
      </c>
      <c r="E43" s="1102">
        <v>5282242.66</v>
      </c>
      <c r="F43" s="1102">
        <v>5282242.66</v>
      </c>
      <c r="G43" s="410">
        <f>H44+H48</f>
        <v>2453524.46</v>
      </c>
      <c r="H43" s="410">
        <f t="shared" ref="H43:H51" si="18">D43*G43</f>
        <v>2453524.46</v>
      </c>
      <c r="I43" s="1102">
        <v>261925901.77139997</v>
      </c>
      <c r="J43" s="1102">
        <v>261925901.77139997</v>
      </c>
      <c r="K43" s="410">
        <f>L44+L48</f>
        <v>181367392.76859999</v>
      </c>
      <c r="L43" s="410">
        <f t="shared" ref="L43:L52" si="19">D43*K43</f>
        <v>181367392.76859999</v>
      </c>
      <c r="M43" s="1117">
        <v>0</v>
      </c>
      <c r="N43" s="1117">
        <v>0</v>
      </c>
      <c r="O43" s="518">
        <f>P44+P48</f>
        <v>63729</v>
      </c>
      <c r="P43" s="518">
        <f t="shared" ref="P43:P51" si="20">D43*O43</f>
        <v>63729</v>
      </c>
      <c r="Q43" s="1127">
        <v>267208144.43139997</v>
      </c>
      <c r="R43" s="1127">
        <v>267208144.43139997</v>
      </c>
      <c r="S43" s="410">
        <f>G43+K43+O43</f>
        <v>183884646.2286</v>
      </c>
      <c r="T43" s="410">
        <f>H43+L43+P43</f>
        <v>183884646.2286</v>
      </c>
      <c r="U43" s="409"/>
      <c r="V43" s="411"/>
      <c r="W43" s="411"/>
      <c r="X43" s="411"/>
      <c r="Y43" s="411"/>
      <c r="Z43" s="412"/>
      <c r="AA43" s="411"/>
      <c r="AB43" s="413"/>
      <c r="AC43" s="413"/>
      <c r="AD43" s="413"/>
      <c r="AE43" s="413"/>
      <c r="AF43" s="414"/>
      <c r="AG43" s="414"/>
      <c r="AH43" s="414"/>
      <c r="AI43" s="415"/>
      <c r="AJ43" s="415"/>
      <c r="AK43" s="415"/>
      <c r="AL43" s="415"/>
      <c r="AM43" s="415"/>
      <c r="AN43" s="415"/>
      <c r="AO43" s="415"/>
      <c r="AP43" s="415"/>
      <c r="AQ43" s="415"/>
      <c r="AR43" s="415"/>
      <c r="AS43" s="415"/>
      <c r="AT43" s="415"/>
      <c r="AU43" s="415"/>
      <c r="AV43" s="415"/>
      <c r="AW43" s="415"/>
      <c r="AX43" s="415"/>
      <c r="AY43" s="415"/>
      <c r="AZ43" s="415"/>
    </row>
    <row r="44" spans="1:52" s="46" customFormat="1" ht="30" customHeight="1">
      <c r="A44" s="40" t="str">
        <f>공종별내역서!A1107</f>
        <v>0201 1 층 철 거 공 사</v>
      </c>
      <c r="B44" s="40"/>
      <c r="C44" s="40"/>
      <c r="D44" s="41">
        <v>1</v>
      </c>
      <c r="E44" s="1103">
        <v>2833207.3739999998</v>
      </c>
      <c r="F44" s="1103">
        <v>2833207.3739999998</v>
      </c>
      <c r="G44" s="42">
        <f>SUM(H45:H47)</f>
        <v>1257978.304</v>
      </c>
      <c r="H44" s="42">
        <f t="shared" si="18"/>
        <v>1257978.304</v>
      </c>
      <c r="I44" s="1103">
        <v>139951909.9434</v>
      </c>
      <c r="J44" s="1103">
        <v>139951909.9434</v>
      </c>
      <c r="K44" s="42">
        <f>SUM(L45:L47)</f>
        <v>93186220.094999999</v>
      </c>
      <c r="L44" s="42">
        <f t="shared" si="19"/>
        <v>93186220.094999999</v>
      </c>
      <c r="M44" s="1113">
        <v>0</v>
      </c>
      <c r="N44" s="1113">
        <v>0</v>
      </c>
      <c r="O44" s="519">
        <f>SUM(P45:P47)</f>
        <v>17799</v>
      </c>
      <c r="P44" s="519">
        <f t="shared" si="20"/>
        <v>17799</v>
      </c>
      <c r="Q44" s="1128">
        <v>142785117.31740001</v>
      </c>
      <c r="R44" s="1128">
        <v>142785117.31740001</v>
      </c>
      <c r="S44" s="42">
        <f>G44+K44+O44</f>
        <v>94461997.399000004</v>
      </c>
      <c r="T44" s="42">
        <f>H44+L44+P44</f>
        <v>94461997.399000004</v>
      </c>
      <c r="U44" s="40"/>
      <c r="V44" s="43"/>
      <c r="W44" s="43"/>
      <c r="X44" s="43"/>
      <c r="Y44" s="43"/>
      <c r="Z44" s="44"/>
      <c r="AA44" s="43"/>
      <c r="AB44" s="45"/>
      <c r="AC44" s="45"/>
      <c r="AD44" s="45"/>
      <c r="AE44" s="45"/>
      <c r="AF44" s="504"/>
      <c r="AG44" s="504"/>
      <c r="AH44" s="504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</row>
    <row r="45" spans="1:52" ht="30" customHeight="1">
      <c r="A45" s="8" t="str">
        <f>공종별내역서!A1108</f>
        <v>020101  천 정 철 거 공 사</v>
      </c>
      <c r="B45" s="8"/>
      <c r="C45" s="8"/>
      <c r="D45" s="41">
        <v>1</v>
      </c>
      <c r="E45" s="1101">
        <v>844279.19</v>
      </c>
      <c r="F45" s="1101">
        <v>844279.19</v>
      </c>
      <c r="G45" s="10">
        <f>공종별내역서!I1129</f>
        <v>419002.14</v>
      </c>
      <c r="H45" s="10">
        <f t="shared" si="18"/>
        <v>419002.14</v>
      </c>
      <c r="I45" s="1101">
        <v>58356445.039999999</v>
      </c>
      <c r="J45" s="1101">
        <v>58356445.039999999</v>
      </c>
      <c r="K45" s="10">
        <f>공종별내역서!M1129</f>
        <v>22756208.759999998</v>
      </c>
      <c r="L45" s="10">
        <f t="shared" si="19"/>
        <v>22756208.759999998</v>
      </c>
      <c r="M45" s="1114">
        <v>0</v>
      </c>
      <c r="N45" s="1114">
        <v>0</v>
      </c>
      <c r="O45" s="517">
        <f>공종별내역서!Q1129</f>
        <v>0</v>
      </c>
      <c r="P45" s="517">
        <f t="shared" si="20"/>
        <v>0</v>
      </c>
      <c r="Q45" s="1123">
        <v>59200724.229999997</v>
      </c>
      <c r="R45" s="1123">
        <v>59200724.229999997</v>
      </c>
      <c r="S45" s="10">
        <f t="shared" ref="S45:S47" si="21">G45+K45+O45</f>
        <v>23175210.899999999</v>
      </c>
      <c r="T45" s="10">
        <f t="shared" ref="T45:T47" si="22">H45+L45+P45</f>
        <v>23175210.899999999</v>
      </c>
      <c r="U45" s="8"/>
      <c r="V45" s="2"/>
      <c r="W45" s="2"/>
      <c r="X45" s="2"/>
      <c r="Y45" s="2"/>
      <c r="Z45" s="3"/>
      <c r="AA45" s="2"/>
      <c r="AB45" s="6"/>
      <c r="AC45" s="6"/>
      <c r="AD45" s="6"/>
      <c r="AE45" s="6"/>
    </row>
    <row r="46" spans="1:52" ht="30" customHeight="1">
      <c r="A46" s="8" t="str">
        <f>공종별내역서!A1130</f>
        <v>020102  벽 체 철 거 공 사</v>
      </c>
      <c r="B46" s="8"/>
      <c r="C46" s="8"/>
      <c r="D46" s="41">
        <v>1</v>
      </c>
      <c r="E46" s="1101">
        <v>1192775.4039999999</v>
      </c>
      <c r="F46" s="1101">
        <v>1192775.4039999999</v>
      </c>
      <c r="G46" s="10">
        <f>공종별내역서!I1152</f>
        <v>838628.64400000009</v>
      </c>
      <c r="H46" s="10">
        <f t="shared" si="18"/>
        <v>838628.64400000009</v>
      </c>
      <c r="I46" s="1101">
        <v>66535093.153399989</v>
      </c>
      <c r="J46" s="1101">
        <v>66535093.153399989</v>
      </c>
      <c r="K46" s="10">
        <f>공종별내역서!M1152</f>
        <v>57181657.734999999</v>
      </c>
      <c r="L46" s="10">
        <f t="shared" si="19"/>
        <v>57181657.734999999</v>
      </c>
      <c r="M46" s="1114">
        <v>0</v>
      </c>
      <c r="N46" s="1114">
        <v>0</v>
      </c>
      <c r="O46" s="517">
        <f>공종별내역서!Q1152</f>
        <v>14809</v>
      </c>
      <c r="P46" s="517">
        <f t="shared" si="20"/>
        <v>14809</v>
      </c>
      <c r="Q46" s="1123">
        <v>67727868.557399988</v>
      </c>
      <c r="R46" s="1123">
        <v>67727868.557399988</v>
      </c>
      <c r="S46" s="10">
        <f t="shared" si="21"/>
        <v>58035095.379000001</v>
      </c>
      <c r="T46" s="10">
        <f t="shared" si="22"/>
        <v>58035095.379000001</v>
      </c>
      <c r="U46" s="8"/>
      <c r="V46" s="2"/>
      <c r="W46" s="2"/>
      <c r="X46" s="2"/>
      <c r="Y46" s="2"/>
      <c r="Z46" s="3"/>
      <c r="AA46" s="2"/>
      <c r="AB46" s="6"/>
      <c r="AC46" s="6"/>
      <c r="AD46" s="6"/>
      <c r="AE46" s="6"/>
    </row>
    <row r="47" spans="1:52" ht="30" customHeight="1">
      <c r="A47" s="8" t="str">
        <f>공종별내역서!A1153</f>
        <v>020103  바 닥 철 거 공 사</v>
      </c>
      <c r="B47" s="8"/>
      <c r="C47" s="8"/>
      <c r="D47" s="41">
        <v>1</v>
      </c>
      <c r="E47" s="1101">
        <v>796152.78</v>
      </c>
      <c r="F47" s="1101">
        <v>796152.78</v>
      </c>
      <c r="G47" s="10">
        <f>공종별내역서!I1175</f>
        <v>347.52</v>
      </c>
      <c r="H47" s="10">
        <f t="shared" si="18"/>
        <v>347.52</v>
      </c>
      <c r="I47" s="1101">
        <v>15060371.75</v>
      </c>
      <c r="J47" s="1101">
        <v>15060371.75</v>
      </c>
      <c r="K47" s="10">
        <f>공종별내역서!M1175</f>
        <v>13248353.599999998</v>
      </c>
      <c r="L47" s="10">
        <f t="shared" si="19"/>
        <v>13248353.599999998</v>
      </c>
      <c r="M47" s="1114">
        <v>0</v>
      </c>
      <c r="N47" s="1114">
        <v>0</v>
      </c>
      <c r="O47" s="517">
        <f>공종별내역서!Q1175</f>
        <v>2990</v>
      </c>
      <c r="P47" s="517">
        <f t="shared" si="20"/>
        <v>2990</v>
      </c>
      <c r="Q47" s="1123">
        <v>15856524.529999999</v>
      </c>
      <c r="R47" s="1123">
        <v>15856524.529999999</v>
      </c>
      <c r="S47" s="10">
        <f t="shared" si="21"/>
        <v>13251691.119999997</v>
      </c>
      <c r="T47" s="10">
        <f t="shared" si="22"/>
        <v>13251691.119999997</v>
      </c>
      <c r="U47" s="8"/>
      <c r="V47" s="2"/>
      <c r="W47" s="2"/>
      <c r="X47" s="2"/>
      <c r="Y47" s="2"/>
      <c r="Z47" s="3"/>
      <c r="AA47" s="2"/>
      <c r="AB47" s="6"/>
      <c r="AC47" s="6"/>
      <c r="AD47" s="6"/>
      <c r="AE47" s="6"/>
    </row>
    <row r="48" spans="1:52" s="46" customFormat="1" ht="30" customHeight="1">
      <c r="A48" s="40" t="str">
        <f>공종별내역서!A1176</f>
        <v>0202 2 층 철 거 공 사</v>
      </c>
      <c r="B48" s="40"/>
      <c r="C48" s="40"/>
      <c r="D48" s="41">
        <v>1</v>
      </c>
      <c r="E48" s="1103">
        <v>2449035.2859999998</v>
      </c>
      <c r="F48" s="1103">
        <v>2449035.2859999998</v>
      </c>
      <c r="G48" s="42">
        <f>SUM(H49:H51)</f>
        <v>1195546.156</v>
      </c>
      <c r="H48" s="42">
        <f t="shared" si="18"/>
        <v>1195546.156</v>
      </c>
      <c r="I48" s="1103">
        <v>121973991.82799999</v>
      </c>
      <c r="J48" s="1103">
        <v>121973991.82799999</v>
      </c>
      <c r="K48" s="42">
        <f>SUM(L49:L51)</f>
        <v>88181172.673600003</v>
      </c>
      <c r="L48" s="42">
        <f t="shared" si="19"/>
        <v>88181172.673600003</v>
      </c>
      <c r="M48" s="1113">
        <v>0</v>
      </c>
      <c r="N48" s="1113">
        <v>0</v>
      </c>
      <c r="O48" s="519">
        <f>SUM(P49:P51)</f>
        <v>45930</v>
      </c>
      <c r="P48" s="517">
        <f t="shared" si="20"/>
        <v>45930</v>
      </c>
      <c r="Q48" s="1123">
        <v>124423027.11399999</v>
      </c>
      <c r="R48" s="1123">
        <v>124423027.11399999</v>
      </c>
      <c r="S48" s="42">
        <f>G48+K48+O48</f>
        <v>89422648.829600006</v>
      </c>
      <c r="T48" s="42">
        <f>H48+L48+P48</f>
        <v>89422648.829600006</v>
      </c>
      <c r="U48" s="40"/>
      <c r="V48" s="43"/>
      <c r="W48" s="43"/>
      <c r="X48" s="43"/>
      <c r="Y48" s="43"/>
      <c r="Z48" s="44"/>
      <c r="AA48" s="43"/>
      <c r="AB48" s="45"/>
      <c r="AC48" s="45"/>
      <c r="AD48" s="45"/>
      <c r="AE48" s="45"/>
      <c r="AF48" s="504"/>
      <c r="AG48" s="504"/>
      <c r="AH48" s="504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</row>
    <row r="49" spans="1:52" ht="30" customHeight="1">
      <c r="A49" s="8" t="str">
        <f>공종별내역서!A1177</f>
        <v>020201  천 정 철 거 공 사</v>
      </c>
      <c r="B49" s="8"/>
      <c r="C49" s="8"/>
      <c r="D49" s="41">
        <v>1</v>
      </c>
      <c r="E49" s="1101">
        <v>54345.599999999999</v>
      </c>
      <c r="F49" s="1101">
        <v>54345.599999999999</v>
      </c>
      <c r="G49" s="10">
        <f>공종별내역서!I1198</f>
        <v>54345.599999999999</v>
      </c>
      <c r="H49" s="10">
        <f t="shared" si="18"/>
        <v>54345.599999999999</v>
      </c>
      <c r="I49" s="1101">
        <v>25602629.671999995</v>
      </c>
      <c r="J49" s="1101">
        <v>25602629.671999995</v>
      </c>
      <c r="K49" s="10">
        <f>공종별내역서!M1198</f>
        <v>12493513.800000001</v>
      </c>
      <c r="L49" s="10">
        <f t="shared" si="19"/>
        <v>12493513.800000001</v>
      </c>
      <c r="M49" s="1114">
        <v>0</v>
      </c>
      <c r="N49" s="1114">
        <v>0</v>
      </c>
      <c r="O49" s="517">
        <f>공종별내역서!Q1198</f>
        <v>0</v>
      </c>
      <c r="P49" s="517">
        <f t="shared" si="20"/>
        <v>0</v>
      </c>
      <c r="Q49" s="1123">
        <v>25656975.271999996</v>
      </c>
      <c r="R49" s="1123">
        <v>25656975.271999996</v>
      </c>
      <c r="S49" s="10">
        <f t="shared" ref="S49:S51" si="23">G49+K49+O49</f>
        <v>12547859.4</v>
      </c>
      <c r="T49" s="10">
        <f t="shared" ref="T49:T51" si="24">H49+L49+P49</f>
        <v>12547859.4</v>
      </c>
      <c r="U49" s="8"/>
      <c r="V49" s="2"/>
      <c r="W49" s="2"/>
      <c r="X49" s="2"/>
      <c r="Y49" s="2"/>
      <c r="Z49" s="3"/>
      <c r="AA49" s="2"/>
      <c r="AB49" s="6"/>
      <c r="AC49" s="6"/>
      <c r="AD49" s="6"/>
      <c r="AE49" s="6"/>
    </row>
    <row r="50" spans="1:52" ht="30" customHeight="1">
      <c r="A50" s="8" t="str">
        <f>공종별내역서!A1199</f>
        <v>020202  벽 체 철 거 공 사</v>
      </c>
      <c r="B50" s="8"/>
      <c r="C50" s="8"/>
      <c r="D50" s="41">
        <v>1</v>
      </c>
      <c r="E50" s="1101">
        <v>1813899.5559999999</v>
      </c>
      <c r="F50" s="1101">
        <v>1813899.5559999999</v>
      </c>
      <c r="G50" s="10">
        <f>공종별내역서!I1221</f>
        <v>1138998.1959999998</v>
      </c>
      <c r="H50" s="10">
        <f t="shared" si="18"/>
        <v>1138998.1959999998</v>
      </c>
      <c r="I50" s="1101">
        <v>81228657.736000001</v>
      </c>
      <c r="J50" s="1101">
        <v>81228657.736000001</v>
      </c>
      <c r="K50" s="10">
        <f>공종별내역서!M1221</f>
        <v>66249079.783600003</v>
      </c>
      <c r="L50" s="10">
        <f t="shared" si="19"/>
        <v>66249079.783600003</v>
      </c>
      <c r="M50" s="1114">
        <v>0</v>
      </c>
      <c r="N50" s="1114">
        <v>0</v>
      </c>
      <c r="O50" s="517">
        <f>공종별내역서!Q1221</f>
        <v>32566</v>
      </c>
      <c r="P50" s="517">
        <f t="shared" si="20"/>
        <v>32566</v>
      </c>
      <c r="Q50" s="1123">
        <v>83042557.291999996</v>
      </c>
      <c r="R50" s="1123">
        <v>83042557.291999996</v>
      </c>
      <c r="S50" s="10">
        <f t="shared" si="23"/>
        <v>67420643.979599997</v>
      </c>
      <c r="T50" s="10">
        <f t="shared" si="24"/>
        <v>67420643.979599997</v>
      </c>
      <c r="U50" s="8"/>
      <c r="V50" s="2"/>
      <c r="W50" s="2"/>
      <c r="X50" s="2"/>
      <c r="Y50" s="2"/>
      <c r="Z50" s="3"/>
      <c r="AA50" s="2"/>
      <c r="AB50" s="6"/>
      <c r="AC50" s="6"/>
      <c r="AD50" s="6"/>
      <c r="AE50" s="6"/>
    </row>
    <row r="51" spans="1:52" ht="30" customHeight="1">
      <c r="A51" s="8" t="str">
        <f>공종별내역서!A1222</f>
        <v>020203  바 닥 철 거 공 사</v>
      </c>
      <c r="B51" s="8"/>
      <c r="C51" s="8"/>
      <c r="D51" s="41">
        <v>1</v>
      </c>
      <c r="E51" s="1101">
        <v>580790.13</v>
      </c>
      <c r="F51" s="1101">
        <v>580790.13</v>
      </c>
      <c r="G51" s="10">
        <f>공종별내역서!I1244</f>
        <v>2202.3599999999997</v>
      </c>
      <c r="H51" s="10">
        <f t="shared" si="18"/>
        <v>2202.3599999999997</v>
      </c>
      <c r="I51" s="1101">
        <v>15142704.419999998</v>
      </c>
      <c r="J51" s="1101">
        <v>15142704.419999998</v>
      </c>
      <c r="K51" s="10">
        <f>공종별내역서!M1244</f>
        <v>9438579.0900000017</v>
      </c>
      <c r="L51" s="10">
        <f t="shared" si="19"/>
        <v>9438579.0900000017</v>
      </c>
      <c r="M51" s="1114">
        <v>0</v>
      </c>
      <c r="N51" s="1114">
        <v>0</v>
      </c>
      <c r="O51" s="517">
        <f>공종별내역서!Q1244</f>
        <v>13364</v>
      </c>
      <c r="P51" s="517">
        <f t="shared" si="20"/>
        <v>13364</v>
      </c>
      <c r="Q51" s="1123">
        <v>15723494.549999999</v>
      </c>
      <c r="R51" s="1123">
        <v>15723494.549999999</v>
      </c>
      <c r="S51" s="10">
        <f t="shared" si="23"/>
        <v>9454145.4500000011</v>
      </c>
      <c r="T51" s="10">
        <f t="shared" si="24"/>
        <v>9454145.4500000011</v>
      </c>
      <c r="U51" s="8"/>
      <c r="V51" s="2"/>
      <c r="W51" s="2"/>
      <c r="X51" s="2"/>
      <c r="Y51" s="2"/>
      <c r="Z51" s="3"/>
      <c r="AA51" s="2"/>
      <c r="AB51" s="6"/>
      <c r="AC51" s="6"/>
      <c r="AD51" s="6"/>
      <c r="AE51" s="6"/>
    </row>
    <row r="52" spans="1:52" s="430" customFormat="1" ht="30" customHeight="1">
      <c r="A52" s="422" t="s">
        <v>4712</v>
      </c>
      <c r="B52" s="423"/>
      <c r="C52" s="423"/>
      <c r="D52" s="422">
        <v>1</v>
      </c>
      <c r="E52" s="1104">
        <v>45915003.659999996</v>
      </c>
      <c r="F52" s="1104">
        <v>45915003.659999996</v>
      </c>
      <c r="G52" s="424">
        <f>SUM(H53:H55)</f>
        <v>30859461.640000001</v>
      </c>
      <c r="H52" s="424">
        <f>G52*D52</f>
        <v>30859461.640000001</v>
      </c>
      <c r="I52" s="1104">
        <v>171933517</v>
      </c>
      <c r="J52" s="1104">
        <v>171933517</v>
      </c>
      <c r="K52" s="424">
        <f>SUM(L53:L55)</f>
        <v>135589169</v>
      </c>
      <c r="L52" s="424">
        <f t="shared" si="19"/>
        <v>135589169</v>
      </c>
      <c r="M52" s="1118">
        <v>0</v>
      </c>
      <c r="N52" s="1118">
        <v>0</v>
      </c>
      <c r="O52" s="520">
        <f>SUM(P53:P55)</f>
        <v>0</v>
      </c>
      <c r="P52" s="520">
        <f>H52*O52</f>
        <v>0</v>
      </c>
      <c r="Q52" s="1129">
        <v>217848520.66</v>
      </c>
      <c r="R52" s="1129">
        <v>217848520.66</v>
      </c>
      <c r="S52" s="424">
        <f t="shared" ref="S52" si="25">G52+K52+O52</f>
        <v>166448630.63999999</v>
      </c>
      <c r="T52" s="424">
        <f t="shared" ref="T52" si="26">H52+L52+P52</f>
        <v>166448630.63999999</v>
      </c>
      <c r="U52" s="423"/>
      <c r="V52" s="425"/>
      <c r="W52" s="425"/>
      <c r="X52" s="425"/>
      <c r="Y52" s="425"/>
      <c r="Z52" s="426"/>
      <c r="AA52" s="425"/>
      <c r="AB52" s="427"/>
      <c r="AC52" s="427"/>
      <c r="AD52" s="427"/>
      <c r="AE52" s="427"/>
      <c r="AF52" s="428"/>
      <c r="AG52" s="428"/>
      <c r="AH52" s="428"/>
      <c r="AI52" s="429"/>
      <c r="AJ52" s="429"/>
      <c r="AK52" s="429"/>
      <c r="AL52" s="429"/>
      <c r="AM52" s="429"/>
      <c r="AN52" s="429"/>
      <c r="AO52" s="429"/>
      <c r="AP52" s="429"/>
      <c r="AQ52" s="429"/>
      <c r="AR52" s="429"/>
      <c r="AS52" s="429"/>
      <c r="AT52" s="429"/>
      <c r="AU52" s="429"/>
      <c r="AV52" s="429"/>
      <c r="AW52" s="429"/>
      <c r="AX52" s="429"/>
      <c r="AY52" s="429"/>
      <c r="AZ52" s="429"/>
    </row>
    <row r="53" spans="1:52" s="384" customFormat="1" ht="30" customHeight="1">
      <c r="A53" s="250" t="str">
        <f>공종별내역서!A1246</f>
        <v>030101  공 조 덕 트 설 치 공 사</v>
      </c>
      <c r="B53" s="250"/>
      <c r="C53" s="250"/>
      <c r="D53" s="250">
        <v>1</v>
      </c>
      <c r="E53" s="1105">
        <v>32295428</v>
      </c>
      <c r="F53" s="1101">
        <v>32295428</v>
      </c>
      <c r="G53" s="51">
        <f>공종별내역서!I1290</f>
        <v>29800793</v>
      </c>
      <c r="H53" s="10">
        <f>G53*D53</f>
        <v>29800793</v>
      </c>
      <c r="I53" s="1105">
        <v>104773491</v>
      </c>
      <c r="J53" s="1101">
        <v>104773491</v>
      </c>
      <c r="K53" s="383">
        <f>공종별내역서!M1290</f>
        <v>82655737</v>
      </c>
      <c r="L53" s="10">
        <f>K53*D53</f>
        <v>82655737</v>
      </c>
      <c r="M53" s="1114">
        <v>0</v>
      </c>
      <c r="N53" s="1114">
        <v>0</v>
      </c>
      <c r="O53" s="517">
        <f>공종별내역서!Q1290</f>
        <v>0</v>
      </c>
      <c r="P53" s="517">
        <f t="shared" ref="P53:P62" si="27">D53*O53</f>
        <v>0</v>
      </c>
      <c r="Q53" s="1123">
        <v>137068919</v>
      </c>
      <c r="R53" s="1123">
        <v>137068919</v>
      </c>
      <c r="S53" s="10">
        <f t="shared" ref="S53:S64" si="28">G53+K53+O53</f>
        <v>112456530</v>
      </c>
      <c r="T53" s="10">
        <f t="shared" ref="T53:T64" si="29">H53+L53+P53</f>
        <v>112456530</v>
      </c>
      <c r="U53" s="250"/>
      <c r="AB53" s="385"/>
      <c r="AC53" s="385"/>
      <c r="AD53" s="385"/>
      <c r="AE53" s="385"/>
      <c r="AF53" s="50"/>
      <c r="AG53" s="50"/>
      <c r="AH53" s="50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86"/>
      <c r="AU53" s="386"/>
      <c r="AV53" s="386"/>
      <c r="AW53" s="386"/>
      <c r="AX53" s="386"/>
      <c r="AY53" s="386"/>
      <c r="AZ53" s="386"/>
    </row>
    <row r="54" spans="1:52" s="384" customFormat="1" ht="30" customHeight="1">
      <c r="A54" s="250" t="str">
        <f>공종별내역서!A1291</f>
        <v>030102 공 조 덕 트 청 소</v>
      </c>
      <c r="B54" s="250"/>
      <c r="C54" s="250"/>
      <c r="D54" s="250">
        <v>1</v>
      </c>
      <c r="E54" s="1105">
        <v>12560048</v>
      </c>
      <c r="F54" s="1101">
        <v>12560048</v>
      </c>
      <c r="G54" s="51">
        <f>공종별내역서!I1336</f>
        <v>0</v>
      </c>
      <c r="H54" s="10">
        <f>G54*D54</f>
        <v>0</v>
      </c>
      <c r="I54" s="1105">
        <v>14183643</v>
      </c>
      <c r="J54" s="1101">
        <v>14183643</v>
      </c>
      <c r="K54" s="51">
        <f>공종별내역서!M1336</f>
        <v>0</v>
      </c>
      <c r="L54" s="10">
        <f>K54*D54</f>
        <v>0</v>
      </c>
      <c r="M54" s="1114">
        <v>0</v>
      </c>
      <c r="N54" s="1114">
        <v>0</v>
      </c>
      <c r="O54" s="517">
        <f>공종별내역서!Q1336</f>
        <v>0</v>
      </c>
      <c r="P54" s="517">
        <f t="shared" si="27"/>
        <v>0</v>
      </c>
      <c r="Q54" s="1123">
        <v>26743691</v>
      </c>
      <c r="R54" s="1123">
        <v>26743691</v>
      </c>
      <c r="S54" s="10">
        <f t="shared" ref="S54" si="30">G54+K54+O54</f>
        <v>0</v>
      </c>
      <c r="T54" s="10">
        <f t="shared" ref="T54" si="31">H54+L54+P54</f>
        <v>0</v>
      </c>
      <c r="U54" s="250"/>
      <c r="AB54" s="385"/>
      <c r="AC54" s="385"/>
      <c r="AD54" s="385"/>
      <c r="AE54" s="385"/>
      <c r="AF54" s="50"/>
      <c r="AG54" s="50"/>
      <c r="AH54" s="50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86"/>
      <c r="AU54" s="386"/>
      <c r="AV54" s="386"/>
      <c r="AW54" s="386"/>
      <c r="AX54" s="386"/>
      <c r="AY54" s="386"/>
      <c r="AZ54" s="386"/>
    </row>
    <row r="55" spans="1:52" s="384" customFormat="1" ht="30" customHeight="1">
      <c r="A55" s="250" t="str">
        <f>공종별내역서!A1337</f>
        <v>030103  기 계 설 비 철 거 공 사</v>
      </c>
      <c r="B55" s="250"/>
      <c r="C55" s="250"/>
      <c r="D55" s="250">
        <v>1</v>
      </c>
      <c r="E55" s="1105">
        <v>1059527.6599999999</v>
      </c>
      <c r="F55" s="1101">
        <v>1059527.6599999999</v>
      </c>
      <c r="G55" s="51">
        <f>공종별내역서!I1359</f>
        <v>1058668.6400000001</v>
      </c>
      <c r="H55" s="10">
        <f>G55*D55</f>
        <v>1058668.6400000001</v>
      </c>
      <c r="I55" s="1105">
        <v>52976383</v>
      </c>
      <c r="J55" s="1101">
        <v>52976383</v>
      </c>
      <c r="K55" s="51">
        <f>공종별내역서!M1359</f>
        <v>52933432</v>
      </c>
      <c r="L55" s="10">
        <f>K55*D55</f>
        <v>52933432</v>
      </c>
      <c r="M55" s="1114">
        <v>0</v>
      </c>
      <c r="N55" s="1114">
        <v>0</v>
      </c>
      <c r="O55" s="517">
        <f>공종별내역서!Q1359</f>
        <v>0</v>
      </c>
      <c r="P55" s="517">
        <f t="shared" si="27"/>
        <v>0</v>
      </c>
      <c r="Q55" s="1123">
        <v>54035910.659999996</v>
      </c>
      <c r="R55" s="1123">
        <v>54035910.659999996</v>
      </c>
      <c r="S55" s="10">
        <f>G55+K55+O55</f>
        <v>53992100.640000001</v>
      </c>
      <c r="T55" s="10">
        <f>H55+L55+P55</f>
        <v>53992100.640000001</v>
      </c>
      <c r="U55" s="250"/>
      <c r="AB55" s="385"/>
      <c r="AC55" s="385"/>
      <c r="AD55" s="385"/>
      <c r="AE55" s="385"/>
      <c r="AF55" s="50"/>
      <c r="AG55" s="50"/>
      <c r="AH55" s="50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86"/>
      <c r="AU55" s="386"/>
      <c r="AV55" s="386"/>
      <c r="AW55" s="386"/>
      <c r="AX55" s="386"/>
      <c r="AY55" s="386"/>
      <c r="AZ55" s="386"/>
    </row>
    <row r="56" spans="1:52" s="434" customFormat="1" ht="30" customHeight="1">
      <c r="A56" s="433" t="s">
        <v>4715</v>
      </c>
      <c r="B56" s="433"/>
      <c r="C56" s="433"/>
      <c r="D56" s="433">
        <v>1</v>
      </c>
      <c r="E56" s="1106">
        <v>58423540</v>
      </c>
      <c r="F56" s="1106">
        <v>58423540</v>
      </c>
      <c r="G56" s="508">
        <f>H57+H59+H61</f>
        <v>58423540</v>
      </c>
      <c r="H56" s="508">
        <f>D56*G56</f>
        <v>58423540</v>
      </c>
      <c r="I56" s="1106">
        <v>53212100</v>
      </c>
      <c r="J56" s="1112">
        <v>53212100</v>
      </c>
      <c r="K56" s="508">
        <f>L57+L59+L61</f>
        <v>53212100</v>
      </c>
      <c r="L56" s="509">
        <f>D56*K56</f>
        <v>53212100</v>
      </c>
      <c r="M56" s="1119">
        <v>0</v>
      </c>
      <c r="N56" s="1119">
        <v>0</v>
      </c>
      <c r="O56" s="521">
        <f ca="1">P57+P59+P61</f>
        <v>0</v>
      </c>
      <c r="P56" s="521">
        <f t="shared" ca="1" si="27"/>
        <v>0</v>
      </c>
      <c r="Q56" s="1130">
        <v>111635640</v>
      </c>
      <c r="R56" s="1130">
        <v>111635640</v>
      </c>
      <c r="S56" s="509">
        <f ca="1">G56+K56+O56</f>
        <v>111635640</v>
      </c>
      <c r="T56" s="509">
        <f ca="1">H56+L56+P56</f>
        <v>111635640</v>
      </c>
      <c r="U56" s="510"/>
      <c r="AB56" s="435"/>
      <c r="AC56" s="435"/>
      <c r="AD56" s="435"/>
      <c r="AE56" s="435"/>
      <c r="AF56" s="436"/>
      <c r="AG56" s="436"/>
      <c r="AH56" s="436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37"/>
      <c r="AW56" s="437"/>
      <c r="AX56" s="437"/>
      <c r="AY56" s="437"/>
      <c r="AZ56" s="437"/>
    </row>
    <row r="57" spans="1:52" s="46" customFormat="1" ht="30" customHeight="1">
      <c r="A57" s="41" t="str">
        <f>공종별내역서!A1361</f>
        <v>0401 1층 전시장</v>
      </c>
      <c r="B57" s="41"/>
      <c r="C57" s="41"/>
      <c r="D57" s="41">
        <v>1</v>
      </c>
      <c r="E57" s="1107">
        <v>27380000</v>
      </c>
      <c r="F57" s="1103">
        <v>27380000</v>
      </c>
      <c r="G57" s="506">
        <f>SUM(H58:H58)</f>
        <v>27380000</v>
      </c>
      <c r="H57" s="42">
        <f>G57*D57</f>
        <v>27380000</v>
      </c>
      <c r="I57" s="1113">
        <v>0</v>
      </c>
      <c r="J57" s="1113">
        <v>0</v>
      </c>
      <c r="K57" s="519">
        <f>SUM(L58:L58)</f>
        <v>0</v>
      </c>
      <c r="L57" s="519">
        <f>K57*D57</f>
        <v>0</v>
      </c>
      <c r="M57" s="1120">
        <v>0</v>
      </c>
      <c r="N57" s="1120">
        <v>0</v>
      </c>
      <c r="O57" s="519">
        <f>SUM(P58:P58)</f>
        <v>0</v>
      </c>
      <c r="P57" s="519">
        <f t="shared" si="27"/>
        <v>0</v>
      </c>
      <c r="Q57" s="1128">
        <v>27380000</v>
      </c>
      <c r="R57" s="1128">
        <v>27380000</v>
      </c>
      <c r="S57" s="42">
        <f t="shared" ref="S57:S59" si="32">G57+K57+O57</f>
        <v>27380000</v>
      </c>
      <c r="T57" s="42">
        <f t="shared" ref="T57:T59" si="33">H57+L57+P57</f>
        <v>27380000</v>
      </c>
      <c r="U57" s="41"/>
      <c r="AB57" s="507"/>
      <c r="AC57" s="507"/>
      <c r="AD57" s="507"/>
      <c r="AE57" s="507"/>
      <c r="AF57" s="504"/>
      <c r="AG57" s="504"/>
      <c r="AH57" s="504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</row>
    <row r="58" spans="1:52" s="384" customFormat="1" ht="30" customHeight="1">
      <c r="A58" s="250" t="str">
        <f>공종별내역서!A1362</f>
        <v>040101  영 상 장 비(하 드 웨 어)</v>
      </c>
      <c r="B58" s="250"/>
      <c r="C58" s="250"/>
      <c r="D58" s="250">
        <v>1</v>
      </c>
      <c r="E58" s="1105">
        <v>27380000</v>
      </c>
      <c r="F58" s="1101">
        <v>27380000</v>
      </c>
      <c r="G58" s="51">
        <f>공종별내역서!I1382</f>
        <v>27380000</v>
      </c>
      <c r="H58" s="10">
        <f>G58*D58</f>
        <v>27380000</v>
      </c>
      <c r="I58" s="1114">
        <v>0</v>
      </c>
      <c r="J58" s="1114">
        <v>0</v>
      </c>
      <c r="K58" s="517">
        <f>공종별내역서!M1382</f>
        <v>0</v>
      </c>
      <c r="L58" s="517">
        <f>K58*D58</f>
        <v>0</v>
      </c>
      <c r="M58" s="1109">
        <v>0</v>
      </c>
      <c r="N58" s="1109">
        <v>0</v>
      </c>
      <c r="O58" s="517">
        <f>공종별내역서!Q1382</f>
        <v>0</v>
      </c>
      <c r="P58" s="517">
        <f t="shared" si="27"/>
        <v>0</v>
      </c>
      <c r="Q58" s="1123">
        <v>27380000</v>
      </c>
      <c r="R58" s="1123">
        <v>27380000</v>
      </c>
      <c r="S58" s="10">
        <f t="shared" si="32"/>
        <v>27380000</v>
      </c>
      <c r="T58" s="10">
        <f t="shared" si="33"/>
        <v>27380000</v>
      </c>
      <c r="U58" s="250"/>
      <c r="AB58" s="385"/>
      <c r="AC58" s="385"/>
      <c r="AD58" s="385"/>
      <c r="AE58" s="385"/>
      <c r="AF58" s="50"/>
      <c r="AG58" s="50"/>
      <c r="AH58" s="50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386"/>
    </row>
    <row r="59" spans="1:52" s="46" customFormat="1" ht="30" customHeight="1">
      <c r="A59" s="41" t="str">
        <f>공종별내역서!A1383</f>
        <v>0402 2층 전시장</v>
      </c>
      <c r="B59" s="41"/>
      <c r="C59" s="41"/>
      <c r="D59" s="41">
        <v>1</v>
      </c>
      <c r="E59" s="1107">
        <v>17780000</v>
      </c>
      <c r="F59" s="1103">
        <v>17780000</v>
      </c>
      <c r="G59" s="506">
        <f>SUM(H60:H60)</f>
        <v>17780000</v>
      </c>
      <c r="H59" s="42">
        <f>G59*D59</f>
        <v>17780000</v>
      </c>
      <c r="I59" s="1113">
        <v>0</v>
      </c>
      <c r="J59" s="1113">
        <v>0</v>
      </c>
      <c r="K59" s="519">
        <f>SUM(L60:L60)</f>
        <v>0</v>
      </c>
      <c r="L59" s="519">
        <f>K59*D59</f>
        <v>0</v>
      </c>
      <c r="M59" s="1120">
        <v>0</v>
      </c>
      <c r="N59" s="1120">
        <v>0</v>
      </c>
      <c r="O59" s="519">
        <f>SUM(P60:P60)</f>
        <v>0</v>
      </c>
      <c r="P59" s="519">
        <f t="shared" si="27"/>
        <v>0</v>
      </c>
      <c r="Q59" s="1128">
        <v>17780000</v>
      </c>
      <c r="R59" s="1128">
        <v>17780000</v>
      </c>
      <c r="S59" s="42">
        <f t="shared" si="32"/>
        <v>17780000</v>
      </c>
      <c r="T59" s="42">
        <f t="shared" si="33"/>
        <v>17780000</v>
      </c>
      <c r="U59" s="41"/>
      <c r="AB59" s="507"/>
      <c r="AC59" s="507"/>
      <c r="AD59" s="507"/>
      <c r="AE59" s="507"/>
      <c r="AF59" s="504"/>
      <c r="AG59" s="504"/>
      <c r="AH59" s="504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</row>
    <row r="60" spans="1:52" s="384" customFormat="1" ht="30" customHeight="1">
      <c r="A60" s="440" t="str">
        <f>공종별내역서!A1384</f>
        <v>040201  영 상 장 비(하 드 웨 어)</v>
      </c>
      <c r="B60" s="440"/>
      <c r="C60" s="440"/>
      <c r="D60" s="440">
        <v>1</v>
      </c>
      <c r="E60" s="1105">
        <v>17780000</v>
      </c>
      <c r="F60" s="1101">
        <v>17780000</v>
      </c>
      <c r="G60" s="51">
        <f>공종별내역서!I1405</f>
        <v>17780000</v>
      </c>
      <c r="H60" s="10">
        <f>G60*D60</f>
        <v>17780000</v>
      </c>
      <c r="I60" s="1114">
        <v>0</v>
      </c>
      <c r="J60" s="1114">
        <v>0</v>
      </c>
      <c r="K60" s="517">
        <f>공종별내역서!M1405</f>
        <v>0</v>
      </c>
      <c r="L60" s="517">
        <f>K60*D60</f>
        <v>0</v>
      </c>
      <c r="M60" s="1109">
        <v>0</v>
      </c>
      <c r="N60" s="1109">
        <v>0</v>
      </c>
      <c r="O60" s="517">
        <f>공종별내역서!Q1408</f>
        <v>0</v>
      </c>
      <c r="P60" s="517">
        <f t="shared" si="27"/>
        <v>0</v>
      </c>
      <c r="Q60" s="1123">
        <v>17780000</v>
      </c>
      <c r="R60" s="1123">
        <v>17780000</v>
      </c>
      <c r="S60" s="10">
        <f t="shared" ref="S60:T62" si="34">G60+K60+O60</f>
        <v>17780000</v>
      </c>
      <c r="T60" s="10">
        <f t="shared" si="34"/>
        <v>17780000</v>
      </c>
      <c r="U60" s="440"/>
      <c r="AB60" s="385"/>
      <c r="AC60" s="385"/>
      <c r="AD60" s="385"/>
      <c r="AE60" s="385"/>
      <c r="AF60" s="50"/>
      <c r="AG60" s="50"/>
      <c r="AH60" s="50"/>
      <c r="AI60" s="386"/>
      <c r="AJ60" s="386"/>
      <c r="AK60" s="386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386"/>
    </row>
    <row r="61" spans="1:52" s="46" customFormat="1" ht="30" customHeight="1">
      <c r="A61" s="41" t="str">
        <f>공종별내역서!A1406</f>
        <v>0403  고 무 발 포 보 온 재(관급)</v>
      </c>
      <c r="B61" s="41"/>
      <c r="C61" s="41"/>
      <c r="D61" s="41">
        <v>1</v>
      </c>
      <c r="E61" s="1107">
        <v>13263540</v>
      </c>
      <c r="F61" s="1103">
        <v>13263540</v>
      </c>
      <c r="G61" s="506">
        <f>공종별내역서!I1428</f>
        <v>13263540</v>
      </c>
      <c r="H61" s="42">
        <f>G61*D61</f>
        <v>13263540</v>
      </c>
      <c r="I61" s="1103">
        <v>53212100</v>
      </c>
      <c r="J61" s="1103">
        <v>53212100</v>
      </c>
      <c r="K61" s="42">
        <f>공종별내역서!M1428</f>
        <v>53212100</v>
      </c>
      <c r="L61" s="42">
        <f>K61*D61</f>
        <v>53212100</v>
      </c>
      <c r="M61" s="1113">
        <v>0</v>
      </c>
      <c r="N61" s="1113">
        <v>0</v>
      </c>
      <c r="O61" s="519">
        <f ca="1">공종별내역서!Q1428</f>
        <v>0</v>
      </c>
      <c r="P61" s="519">
        <f t="shared" ca="1" si="27"/>
        <v>0</v>
      </c>
      <c r="Q61" s="1128">
        <v>66475640</v>
      </c>
      <c r="R61" s="1128">
        <v>66475640</v>
      </c>
      <c r="S61" s="42">
        <f t="shared" ca="1" si="34"/>
        <v>66475640</v>
      </c>
      <c r="T61" s="42">
        <f t="shared" ca="1" si="34"/>
        <v>66475640</v>
      </c>
      <c r="U61" s="41"/>
      <c r="AB61" s="507"/>
      <c r="AC61" s="507"/>
      <c r="AD61" s="507"/>
      <c r="AE61" s="507"/>
      <c r="AF61" s="504"/>
      <c r="AG61" s="504"/>
      <c r="AH61" s="504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</row>
    <row r="62" spans="1:52" s="421" customFormat="1" ht="30" customHeight="1">
      <c r="A62" s="417" t="s">
        <v>4716</v>
      </c>
      <c r="B62" s="417"/>
      <c r="C62" s="417"/>
      <c r="D62" s="417">
        <v>1</v>
      </c>
      <c r="E62" s="1108">
        <v>0</v>
      </c>
      <c r="F62" s="1108">
        <v>0</v>
      </c>
      <c r="G62" s="511">
        <f>SUM(H63:H64)</f>
        <v>0</v>
      </c>
      <c r="H62" s="511">
        <f>D62*G62</f>
        <v>0</v>
      </c>
      <c r="I62" s="1108">
        <v>0</v>
      </c>
      <c r="J62" s="1108">
        <v>0</v>
      </c>
      <c r="K62" s="511">
        <f>SUM(L63:L64)</f>
        <v>0</v>
      </c>
      <c r="L62" s="511">
        <f>D62*K62</f>
        <v>0</v>
      </c>
      <c r="M62" s="1121">
        <v>6734130</v>
      </c>
      <c r="N62" s="1122">
        <v>6734130</v>
      </c>
      <c r="O62" s="431">
        <f>SUM(P63:P64)</f>
        <v>6734130</v>
      </c>
      <c r="P62" s="418">
        <f t="shared" si="27"/>
        <v>6734130</v>
      </c>
      <c r="Q62" s="1131">
        <v>6734130</v>
      </c>
      <c r="R62" s="1131">
        <v>6734130</v>
      </c>
      <c r="S62" s="418">
        <f t="shared" si="34"/>
        <v>6734130</v>
      </c>
      <c r="T62" s="418">
        <f t="shared" si="34"/>
        <v>6734130</v>
      </c>
      <c r="U62" s="417"/>
      <c r="AB62" s="432"/>
      <c r="AC62" s="432"/>
      <c r="AD62" s="432"/>
      <c r="AE62" s="432"/>
      <c r="AF62" s="419"/>
      <c r="AG62" s="419"/>
      <c r="AH62" s="419"/>
      <c r="AI62" s="420"/>
      <c r="AJ62" s="420"/>
      <c r="AK62" s="420"/>
      <c r="AL62" s="420"/>
      <c r="AM62" s="420"/>
      <c r="AN62" s="420"/>
      <c r="AO62" s="420"/>
      <c r="AP62" s="420"/>
      <c r="AQ62" s="420"/>
      <c r="AR62" s="420"/>
      <c r="AS62" s="420"/>
      <c r="AT62" s="420"/>
      <c r="AU62" s="420"/>
      <c r="AV62" s="420"/>
      <c r="AW62" s="420"/>
      <c r="AX62" s="420"/>
      <c r="AY62" s="420"/>
      <c r="AZ62" s="420"/>
    </row>
    <row r="63" spans="1:52" ht="30" customHeight="1">
      <c r="A63" s="8" t="str">
        <f>공종별내역서!A1430</f>
        <v>0501 1층 방염비</v>
      </c>
      <c r="B63" s="8"/>
      <c r="C63" s="8"/>
      <c r="D63" s="41">
        <v>1</v>
      </c>
      <c r="E63" s="1109">
        <v>0</v>
      </c>
      <c r="F63" s="1109">
        <v>0</v>
      </c>
      <c r="G63" s="517">
        <f>공종별내역서!I1430</f>
        <v>0</v>
      </c>
      <c r="H63" s="517">
        <f>G63*D63</f>
        <v>0</v>
      </c>
      <c r="I63" s="1109">
        <v>0</v>
      </c>
      <c r="J63" s="1109">
        <v>0</v>
      </c>
      <c r="K63" s="517">
        <f>공종별내역서!M1430</f>
        <v>0</v>
      </c>
      <c r="L63" s="517">
        <f>K63*D63</f>
        <v>0</v>
      </c>
      <c r="M63" s="1123">
        <v>406275</v>
      </c>
      <c r="N63" s="1123">
        <v>406275</v>
      </c>
      <c r="O63" s="10">
        <f>공종별내역서!Q1430</f>
        <v>406275</v>
      </c>
      <c r="P63" s="10">
        <f>O63*D63</f>
        <v>406275</v>
      </c>
      <c r="Q63" s="1101">
        <v>406275</v>
      </c>
      <c r="R63" s="1101">
        <v>406275</v>
      </c>
      <c r="S63" s="10">
        <f t="shared" si="28"/>
        <v>406275</v>
      </c>
      <c r="T63" s="10">
        <f t="shared" si="29"/>
        <v>406275</v>
      </c>
      <c r="U63" s="8"/>
      <c r="V63" s="2"/>
      <c r="W63" s="2"/>
      <c r="X63" s="2"/>
      <c r="Y63" s="2"/>
      <c r="Z63" s="3"/>
      <c r="AA63" s="2"/>
      <c r="AB63" s="6"/>
      <c r="AC63" s="6"/>
      <c r="AD63" s="6"/>
      <c r="AE63" s="6"/>
    </row>
    <row r="64" spans="1:52" ht="30" customHeight="1">
      <c r="A64" s="8" t="str">
        <f>공종별내역서!A1431</f>
        <v>0502 2층 방염비</v>
      </c>
      <c r="B64" s="8"/>
      <c r="C64" s="8"/>
      <c r="D64" s="41">
        <v>1</v>
      </c>
      <c r="E64" s="1109">
        <v>0</v>
      </c>
      <c r="F64" s="1109">
        <v>0</v>
      </c>
      <c r="G64" s="517">
        <f>공종별내역서!I1431</f>
        <v>0</v>
      </c>
      <c r="H64" s="517">
        <f>G64*D64</f>
        <v>0</v>
      </c>
      <c r="I64" s="1109">
        <v>0</v>
      </c>
      <c r="J64" s="1109">
        <v>0</v>
      </c>
      <c r="K64" s="517">
        <f>공종별내역서!M1431</f>
        <v>0</v>
      </c>
      <c r="L64" s="517">
        <f>K64*D64</f>
        <v>0</v>
      </c>
      <c r="M64" s="1123">
        <v>6327855</v>
      </c>
      <c r="N64" s="1123">
        <v>6327855</v>
      </c>
      <c r="O64" s="10">
        <f>공종별내역서!Q1431</f>
        <v>6327855</v>
      </c>
      <c r="P64" s="10">
        <f>O64*D64</f>
        <v>6327855</v>
      </c>
      <c r="Q64" s="1101">
        <v>6327855</v>
      </c>
      <c r="R64" s="1101">
        <v>6327855</v>
      </c>
      <c r="S64" s="10">
        <f t="shared" si="28"/>
        <v>6327855</v>
      </c>
      <c r="T64" s="10">
        <f t="shared" si="29"/>
        <v>6327855</v>
      </c>
      <c r="U64" s="8"/>
      <c r="V64" s="2"/>
      <c r="W64" s="2"/>
      <c r="X64" s="2"/>
      <c r="Y64" s="2"/>
      <c r="Z64" s="3"/>
      <c r="AA64" s="2"/>
      <c r="AB64" s="6"/>
      <c r="AC64" s="6"/>
      <c r="AD64" s="6"/>
      <c r="AE64" s="6"/>
    </row>
    <row r="65" spans="1:52" ht="30" customHeight="1">
      <c r="A65" s="158"/>
      <c r="B65" s="158"/>
      <c r="C65" s="158"/>
      <c r="D65" s="158"/>
      <c r="E65" s="1105"/>
      <c r="F65" s="1101"/>
      <c r="G65" s="51"/>
      <c r="H65" s="10"/>
      <c r="I65" s="1105"/>
      <c r="J65" s="1101"/>
      <c r="K65" s="51"/>
      <c r="L65" s="10"/>
      <c r="M65" s="1124"/>
      <c r="N65" s="1101"/>
      <c r="O65" s="158"/>
      <c r="P65" s="10"/>
      <c r="Q65" s="1101"/>
      <c r="R65" s="1101"/>
      <c r="S65" s="10"/>
      <c r="T65" s="10"/>
      <c r="U65" s="158"/>
      <c r="AB65" s="5"/>
      <c r="AC65" s="5"/>
      <c r="AD65" s="5"/>
      <c r="AE65" s="5"/>
    </row>
    <row r="66" spans="1:52" s="46" customFormat="1" ht="30" customHeight="1">
      <c r="A66" s="40" t="s">
        <v>85</v>
      </c>
      <c r="B66" s="41"/>
      <c r="C66" s="41"/>
      <c r="D66" s="41"/>
      <c r="E66" s="1110"/>
      <c r="F66" s="1103">
        <v>739963183.5582</v>
      </c>
      <c r="G66" s="41"/>
      <c r="H66" s="512">
        <f>H5</f>
        <v>708991652.76712</v>
      </c>
      <c r="I66" s="1115"/>
      <c r="J66" s="1116">
        <v>1256498503.1823599</v>
      </c>
      <c r="K66" s="513"/>
      <c r="L66" s="512">
        <f>L5</f>
        <v>1004657103.81348</v>
      </c>
      <c r="M66" s="1115"/>
      <c r="N66" s="1116">
        <v>7960809.6579999998</v>
      </c>
      <c r="O66" s="513"/>
      <c r="P66" s="512">
        <f ca="1">P5</f>
        <v>8676070.6579999998</v>
      </c>
      <c r="Q66" s="1115"/>
      <c r="R66" s="1116">
        <v>2004422496.39856</v>
      </c>
      <c r="S66" s="513"/>
      <c r="T66" s="512">
        <f ca="1">T5</f>
        <v>1722324827.2386</v>
      </c>
      <c r="U66" s="41"/>
      <c r="AB66" s="507"/>
      <c r="AC66" s="507"/>
      <c r="AF66" s="504"/>
      <c r="AG66" s="504"/>
      <c r="AH66" s="504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</row>
    <row r="69" spans="1:52">
      <c r="L69" s="55"/>
      <c r="M69" s="1125"/>
      <c r="N69" s="1125"/>
      <c r="O69" s="55"/>
      <c r="P69" s="55"/>
      <c r="Q69" s="1125"/>
      <c r="R69" s="1125"/>
    </row>
  </sheetData>
  <mergeCells count="22">
    <mergeCell ref="AA3:AA4"/>
    <mergeCell ref="AB3:AB4"/>
    <mergeCell ref="U3:U4"/>
    <mergeCell ref="V3:V4"/>
    <mergeCell ref="W3:W4"/>
    <mergeCell ref="X3:X4"/>
    <mergeCell ref="Y3:Y4"/>
    <mergeCell ref="Z3:Z4"/>
    <mergeCell ref="A1:U1"/>
    <mergeCell ref="A2:U2"/>
    <mergeCell ref="A3:A4"/>
    <mergeCell ref="B3:B4"/>
    <mergeCell ref="C3:C4"/>
    <mergeCell ref="D3:D4"/>
    <mergeCell ref="G3:H3"/>
    <mergeCell ref="K3:L3"/>
    <mergeCell ref="O3:P3"/>
    <mergeCell ref="S3:T3"/>
    <mergeCell ref="E3:F3"/>
    <mergeCell ref="I3:J3"/>
    <mergeCell ref="M3:N3"/>
    <mergeCell ref="Q3:R3"/>
  </mergeCells>
  <phoneticPr fontId="1" type="noConversion"/>
  <pageMargins left="0.39370078740157483" right="0" top="0.39370078740157483" bottom="0.39370078740157483" header="0" footer="0"/>
  <pageSetup paperSize="9" scale="41" fitToHeight="0" orientation="landscape" horizontalDpi="4294967293" verticalDpi="4294967293" r:id="rId1"/>
  <headerFooter>
    <oddFooter>&amp;C&amp;P&amp;R공종별집계표</oddFooter>
  </headerFooter>
  <rowBreaks count="2" manualBreakCount="2">
    <brk id="23" max="12" man="1"/>
    <brk id="42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G1451"/>
  <sheetViews>
    <sheetView view="pageBreakPreview" zoomScale="80" zoomScaleNormal="86" zoomScaleSheetLayoutView="80" workbookViewId="0">
      <selection activeCell="A4" sqref="A4"/>
    </sheetView>
  </sheetViews>
  <sheetFormatPr defaultRowHeight="16.5"/>
  <cols>
    <col min="1" max="2" width="30.625" style="449" customWidth="1"/>
    <col min="3" max="3" width="4.625" style="449" customWidth="1"/>
    <col min="4" max="4" width="8.625" style="1144" customWidth="1"/>
    <col min="5" max="5" width="8.625" style="501" customWidth="1"/>
    <col min="6" max="7" width="13.625" style="1159" customWidth="1"/>
    <col min="8" max="9" width="13.625" style="449" customWidth="1"/>
    <col min="10" max="11" width="13.625" style="1159" customWidth="1"/>
    <col min="12" max="13" width="13.625" style="449" customWidth="1"/>
    <col min="14" max="15" width="13.625" style="1159" customWidth="1"/>
    <col min="16" max="17" width="13.625" style="449" customWidth="1"/>
    <col min="18" max="19" width="13.625" style="1159" customWidth="1"/>
    <col min="20" max="21" width="13.625" style="449" customWidth="1"/>
    <col min="22" max="22" width="12.625" style="502" customWidth="1"/>
    <col min="23" max="52" width="2.625" style="449" hidden="1" customWidth="1"/>
    <col min="53" max="53" width="10.625" style="449" hidden="1" customWidth="1"/>
    <col min="54" max="55" width="1.625" style="449" hidden="1" customWidth="1"/>
    <col min="56" max="56" width="24.625" style="449" hidden="1" customWidth="1"/>
    <col min="57" max="57" width="10.625" style="449" hidden="1" customWidth="1"/>
    <col min="58" max="16384" width="9" style="449"/>
  </cols>
  <sheetData>
    <row r="1" spans="1:58" ht="30" customHeight="1">
      <c r="A1" s="1384" t="s">
        <v>4794</v>
      </c>
      <c r="B1" s="1384"/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</row>
    <row r="2" spans="1:58" ht="30" customHeight="1">
      <c r="A2" s="1391" t="s">
        <v>1</v>
      </c>
      <c r="B2" s="1391" t="s">
        <v>2</v>
      </c>
      <c r="C2" s="1391" t="s">
        <v>3</v>
      </c>
      <c r="D2" s="1393" t="s">
        <v>6646</v>
      </c>
      <c r="E2" s="1392" t="s">
        <v>6647</v>
      </c>
      <c r="F2" s="1395" t="s">
        <v>6648</v>
      </c>
      <c r="G2" s="1396"/>
      <c r="H2" s="1391" t="s">
        <v>6649</v>
      </c>
      <c r="I2" s="1391"/>
      <c r="J2" s="1395" t="s">
        <v>6650</v>
      </c>
      <c r="K2" s="1396"/>
      <c r="L2" s="1391" t="s">
        <v>6651</v>
      </c>
      <c r="M2" s="1391"/>
      <c r="N2" s="1395" t="s">
        <v>6652</v>
      </c>
      <c r="O2" s="1396"/>
      <c r="P2" s="1391" t="s">
        <v>6653</v>
      </c>
      <c r="Q2" s="1391"/>
      <c r="R2" s="1395" t="s">
        <v>6654</v>
      </c>
      <c r="S2" s="1396"/>
      <c r="T2" s="1391" t="s">
        <v>6655</v>
      </c>
      <c r="U2" s="1391"/>
      <c r="V2" s="1391" t="s">
        <v>11</v>
      </c>
      <c r="W2" s="1390" t="s">
        <v>19</v>
      </c>
      <c r="X2" s="1390" t="s">
        <v>13</v>
      </c>
      <c r="Y2" s="1390" t="s">
        <v>20</v>
      </c>
      <c r="Z2" s="1390" t="s">
        <v>12</v>
      </c>
      <c r="AA2" s="1390" t="s">
        <v>21</v>
      </c>
      <c r="AB2" s="1390" t="s">
        <v>22</v>
      </c>
      <c r="AC2" s="1390" t="s">
        <v>23</v>
      </c>
      <c r="AD2" s="1390" t="s">
        <v>24</v>
      </c>
      <c r="AE2" s="1390" t="s">
        <v>25</v>
      </c>
      <c r="AF2" s="1390" t="s">
        <v>26</v>
      </c>
      <c r="AG2" s="1390" t="s">
        <v>27</v>
      </c>
      <c r="AH2" s="1390" t="s">
        <v>28</v>
      </c>
      <c r="AI2" s="1390" t="s">
        <v>29</v>
      </c>
      <c r="AJ2" s="1390" t="s">
        <v>30</v>
      </c>
      <c r="AK2" s="1390" t="s">
        <v>31</v>
      </c>
      <c r="AL2" s="1390" t="s">
        <v>32</v>
      </c>
      <c r="AM2" s="1390" t="s">
        <v>33</v>
      </c>
      <c r="AN2" s="1390" t="s">
        <v>34</v>
      </c>
      <c r="AO2" s="1390" t="s">
        <v>35</v>
      </c>
      <c r="AP2" s="1390" t="s">
        <v>36</v>
      </c>
      <c r="AQ2" s="1390" t="s">
        <v>37</v>
      </c>
      <c r="AR2" s="1390" t="s">
        <v>38</v>
      </c>
      <c r="AS2" s="1390" t="s">
        <v>39</v>
      </c>
      <c r="AT2" s="1390" t="s">
        <v>40</v>
      </c>
      <c r="AU2" s="1390" t="s">
        <v>41</v>
      </c>
      <c r="AV2" s="1390" t="s">
        <v>42</v>
      </c>
      <c r="AW2" s="1390" t="s">
        <v>43</v>
      </c>
      <c r="AX2" s="1390" t="s">
        <v>44</v>
      </c>
      <c r="AY2" s="1390" t="s">
        <v>45</v>
      </c>
      <c r="AZ2" s="1390" t="s">
        <v>46</v>
      </c>
      <c r="BA2" s="1390" t="s">
        <v>47</v>
      </c>
      <c r="BB2" s="1390" t="s">
        <v>15</v>
      </c>
      <c r="BC2" s="1390" t="s">
        <v>16</v>
      </c>
      <c r="BD2" s="1390" t="s">
        <v>48</v>
      </c>
      <c r="BE2" s="1390" t="s">
        <v>49</v>
      </c>
    </row>
    <row r="3" spans="1:58" ht="30" customHeight="1">
      <c r="A3" s="1391"/>
      <c r="B3" s="1391"/>
      <c r="C3" s="1391"/>
      <c r="D3" s="1394"/>
      <c r="E3" s="1392"/>
      <c r="F3" s="1145" t="s">
        <v>6</v>
      </c>
      <c r="G3" s="1145" t="s">
        <v>7</v>
      </c>
      <c r="H3" s="452" t="s">
        <v>6</v>
      </c>
      <c r="I3" s="452" t="s">
        <v>7</v>
      </c>
      <c r="J3" s="1145" t="s">
        <v>6</v>
      </c>
      <c r="K3" s="1145" t="s">
        <v>7</v>
      </c>
      <c r="L3" s="452" t="s">
        <v>6</v>
      </c>
      <c r="M3" s="452" t="s">
        <v>7</v>
      </c>
      <c r="N3" s="1145" t="s">
        <v>6</v>
      </c>
      <c r="O3" s="1145" t="s">
        <v>7</v>
      </c>
      <c r="P3" s="452" t="s">
        <v>6</v>
      </c>
      <c r="Q3" s="452" t="s">
        <v>7</v>
      </c>
      <c r="R3" s="1145" t="s">
        <v>6</v>
      </c>
      <c r="S3" s="1145" t="s">
        <v>7</v>
      </c>
      <c r="T3" s="452" t="s">
        <v>6</v>
      </c>
      <c r="U3" s="452" t="s">
        <v>7</v>
      </c>
      <c r="V3" s="1391"/>
      <c r="W3" s="1390"/>
      <c r="X3" s="1390"/>
      <c r="Y3" s="1390"/>
      <c r="Z3" s="1390"/>
      <c r="AA3" s="1390"/>
      <c r="AB3" s="1390"/>
      <c r="AC3" s="1390"/>
      <c r="AD3" s="1390"/>
      <c r="AE3" s="1390"/>
      <c r="AF3" s="1390"/>
      <c r="AG3" s="1390"/>
      <c r="AH3" s="1390"/>
      <c r="AI3" s="1390"/>
      <c r="AJ3" s="1390"/>
      <c r="AK3" s="1390"/>
      <c r="AL3" s="1390"/>
      <c r="AM3" s="1390"/>
      <c r="AN3" s="1390"/>
      <c r="AO3" s="1390"/>
      <c r="AP3" s="1390"/>
      <c r="AQ3" s="1390"/>
      <c r="AR3" s="1390"/>
      <c r="AS3" s="1390"/>
      <c r="AT3" s="1390"/>
      <c r="AU3" s="1390"/>
      <c r="AV3" s="1390"/>
      <c r="AW3" s="1390"/>
      <c r="AX3" s="1390"/>
      <c r="AY3" s="1390"/>
      <c r="AZ3" s="1390"/>
      <c r="BA3" s="1390"/>
      <c r="BB3" s="1390"/>
      <c r="BC3" s="1390"/>
      <c r="BD3" s="1390"/>
      <c r="BE3" s="1390"/>
    </row>
    <row r="4" spans="1:58" ht="30" customHeight="1">
      <c r="A4" s="404" t="s">
        <v>4797</v>
      </c>
      <c r="B4" s="404"/>
      <c r="C4" s="404"/>
      <c r="D4" s="1132"/>
      <c r="E4" s="404"/>
      <c r="F4" s="1132"/>
      <c r="G4" s="1132"/>
      <c r="H4" s="404"/>
      <c r="I4" s="404"/>
      <c r="J4" s="1132"/>
      <c r="K4" s="1132"/>
      <c r="L4" s="404"/>
      <c r="M4" s="404"/>
      <c r="N4" s="1132"/>
      <c r="O4" s="1132"/>
      <c r="P4" s="404"/>
      <c r="Q4" s="404"/>
      <c r="R4" s="1132"/>
      <c r="S4" s="1132"/>
      <c r="T4" s="404"/>
      <c r="U4" s="404"/>
      <c r="V4" s="404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</row>
    <row r="5" spans="1:58" ht="30" customHeight="1">
      <c r="A5" s="443" t="s">
        <v>55</v>
      </c>
      <c r="B5" s="444"/>
      <c r="C5" s="444"/>
      <c r="D5" s="1133"/>
      <c r="E5" s="445"/>
      <c r="F5" s="1146"/>
      <c r="G5" s="1146"/>
      <c r="H5" s="444"/>
      <c r="I5" s="444"/>
      <c r="J5" s="1146"/>
      <c r="K5" s="1146"/>
      <c r="L5" s="444"/>
      <c r="M5" s="444"/>
      <c r="N5" s="1146"/>
      <c r="O5" s="1146"/>
      <c r="P5" s="444"/>
      <c r="Q5" s="444"/>
      <c r="R5" s="1146"/>
      <c r="S5" s="1146"/>
      <c r="T5" s="444"/>
      <c r="U5" s="444"/>
      <c r="V5" s="446"/>
      <c r="W5" s="447"/>
      <c r="X5" s="447"/>
      <c r="Y5" s="447"/>
      <c r="Z5" s="448" t="s">
        <v>56</v>
      </c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447"/>
      <c r="AO5" s="447"/>
      <c r="AP5" s="447"/>
      <c r="AQ5" s="447"/>
      <c r="AR5" s="447"/>
      <c r="AS5" s="447"/>
      <c r="AT5" s="447"/>
      <c r="AU5" s="447"/>
      <c r="AV5" s="447"/>
      <c r="AW5" s="447"/>
      <c r="AX5" s="447"/>
      <c r="AY5" s="447"/>
      <c r="AZ5" s="447"/>
      <c r="BA5" s="447"/>
      <c r="BB5" s="447"/>
      <c r="BC5" s="447"/>
      <c r="BD5" s="447"/>
      <c r="BE5" s="447"/>
    </row>
    <row r="6" spans="1:58" ht="30" customHeight="1">
      <c r="A6" s="443" t="s">
        <v>57</v>
      </c>
      <c r="B6" s="443" t="s">
        <v>6743</v>
      </c>
      <c r="C6" s="443" t="s">
        <v>59</v>
      </c>
      <c r="D6" s="1133">
        <v>1601.8000000000002</v>
      </c>
      <c r="E6" s="445">
        <f>'1층전시실산출'!H5</f>
        <v>1601.8000000000002</v>
      </c>
      <c r="F6" s="1147">
        <v>0</v>
      </c>
      <c r="G6" s="1147">
        <v>0</v>
      </c>
      <c r="H6" s="450">
        <f>TRUNC(일위대가목록!F4,0)</f>
        <v>0</v>
      </c>
      <c r="I6" s="450">
        <f>E6*H6</f>
        <v>0</v>
      </c>
      <c r="J6" s="1147">
        <v>2442</v>
      </c>
      <c r="K6" s="1147">
        <v>3911595.6000000006</v>
      </c>
      <c r="L6" s="450">
        <f>TRUNC(일위대가목록!H4,0)</f>
        <v>1017</v>
      </c>
      <c r="M6" s="450">
        <f>E6*L6</f>
        <v>1629030.6</v>
      </c>
      <c r="N6" s="1147">
        <v>0</v>
      </c>
      <c r="O6" s="1147">
        <v>0</v>
      </c>
      <c r="P6" s="450">
        <f>TRUNC(일위대가목록!J4,0)</f>
        <v>0</v>
      </c>
      <c r="Q6" s="450">
        <f>TRUNC(P6*E6, 0)</f>
        <v>0</v>
      </c>
      <c r="R6" s="1147">
        <v>2442</v>
      </c>
      <c r="S6" s="1147">
        <v>3911595.6000000006</v>
      </c>
      <c r="T6" s="450">
        <f>H6+L6+P6</f>
        <v>1017</v>
      </c>
      <c r="U6" s="450">
        <f>I6+M6+Q6</f>
        <v>1629030.6</v>
      </c>
      <c r="V6" s="454" t="str">
        <f>일위대가목록!M4</f>
        <v>호표 1</v>
      </c>
      <c r="W6" s="448" t="s">
        <v>60</v>
      </c>
      <c r="X6" s="448" t="s">
        <v>51</v>
      </c>
      <c r="Y6" s="448" t="s">
        <v>51</v>
      </c>
      <c r="Z6" s="448" t="s">
        <v>56</v>
      </c>
      <c r="AA6" s="448" t="s">
        <v>61</v>
      </c>
      <c r="AB6" s="448" t="s">
        <v>62</v>
      </c>
      <c r="AC6" s="448" t="s">
        <v>62</v>
      </c>
      <c r="AD6" s="447"/>
      <c r="AE6" s="447"/>
      <c r="AF6" s="447"/>
      <c r="AG6" s="447"/>
      <c r="AH6" s="447"/>
      <c r="AI6" s="447"/>
      <c r="AJ6" s="447"/>
      <c r="AK6" s="447"/>
      <c r="AL6" s="447"/>
      <c r="AM6" s="447"/>
      <c r="AN6" s="447"/>
      <c r="AO6" s="447"/>
      <c r="AP6" s="447"/>
      <c r="AQ6" s="447"/>
      <c r="AR6" s="447"/>
      <c r="AS6" s="447"/>
      <c r="AT6" s="447"/>
      <c r="AU6" s="447"/>
      <c r="AV6" s="447"/>
      <c r="AW6" s="447"/>
      <c r="AX6" s="447"/>
      <c r="AY6" s="447"/>
      <c r="AZ6" s="447"/>
      <c r="BA6" s="448" t="s">
        <v>51</v>
      </c>
      <c r="BB6" s="448" t="s">
        <v>51</v>
      </c>
      <c r="BC6" s="447"/>
      <c r="BD6" s="448" t="s">
        <v>63</v>
      </c>
      <c r="BE6" s="447">
        <v>3</v>
      </c>
    </row>
    <row r="7" spans="1:58" ht="30" customHeight="1">
      <c r="A7" s="1178" t="s">
        <v>64</v>
      </c>
      <c r="B7" s="1178" t="s">
        <v>65</v>
      </c>
      <c r="C7" s="1178" t="s">
        <v>66</v>
      </c>
      <c r="D7" s="1194">
        <v>32</v>
      </c>
      <c r="E7" s="1222">
        <v>16</v>
      </c>
      <c r="F7" s="1200">
        <v>33280</v>
      </c>
      <c r="G7" s="1200">
        <v>1064960</v>
      </c>
      <c r="H7" s="1198">
        <f>TRUNC(일위대가목록!F5,0)</f>
        <v>33280</v>
      </c>
      <c r="I7" s="1198">
        <f>E7*H7</f>
        <v>532480</v>
      </c>
      <c r="J7" s="1200">
        <v>75352</v>
      </c>
      <c r="K7" s="1200">
        <v>2411264</v>
      </c>
      <c r="L7" s="1198">
        <f>TRUNC(일위대가목록!H5,0)</f>
        <v>75352</v>
      </c>
      <c r="M7" s="1198">
        <f>E7*L7</f>
        <v>1205632</v>
      </c>
      <c r="N7" s="1200">
        <v>0</v>
      </c>
      <c r="O7" s="1200">
        <v>0</v>
      </c>
      <c r="P7" s="1198">
        <f>TRUNC(일위대가목록!J5,0)</f>
        <v>0</v>
      </c>
      <c r="Q7" s="1198">
        <f>TRUNC(P7*E7, 0)</f>
        <v>0</v>
      </c>
      <c r="R7" s="1200">
        <v>108632</v>
      </c>
      <c r="S7" s="1200">
        <v>3476224</v>
      </c>
      <c r="T7" s="1198">
        <f t="shared" ref="T7:T10" si="0">H7+L7+P7</f>
        <v>108632</v>
      </c>
      <c r="U7" s="1198">
        <f t="shared" ref="U7:U10" si="1">I7+M7+Q7</f>
        <v>1738112</v>
      </c>
      <c r="V7" s="1223" t="str">
        <f>일위대가목록!M5</f>
        <v>호표 2</v>
      </c>
      <c r="W7" s="448" t="s">
        <v>67</v>
      </c>
      <c r="X7" s="448" t="s">
        <v>51</v>
      </c>
      <c r="Y7" s="448" t="s">
        <v>51</v>
      </c>
      <c r="Z7" s="448" t="s">
        <v>56</v>
      </c>
      <c r="AA7" s="448" t="s">
        <v>61</v>
      </c>
      <c r="AB7" s="448" t="s">
        <v>62</v>
      </c>
      <c r="AC7" s="448" t="s">
        <v>62</v>
      </c>
      <c r="AD7" s="447"/>
      <c r="AE7" s="447"/>
      <c r="AF7" s="447"/>
      <c r="AG7" s="447"/>
      <c r="AH7" s="447"/>
      <c r="AI7" s="447"/>
      <c r="AJ7" s="447"/>
      <c r="AK7" s="447"/>
      <c r="AL7" s="447"/>
      <c r="AM7" s="447"/>
      <c r="AN7" s="447"/>
      <c r="AO7" s="447"/>
      <c r="AP7" s="447"/>
      <c r="AQ7" s="447"/>
      <c r="AR7" s="447"/>
      <c r="AS7" s="447"/>
      <c r="AT7" s="447"/>
      <c r="AU7" s="447"/>
      <c r="AV7" s="447"/>
      <c r="AW7" s="447"/>
      <c r="AX7" s="447"/>
      <c r="AY7" s="447"/>
      <c r="AZ7" s="447"/>
      <c r="BA7" s="448" t="s">
        <v>51</v>
      </c>
      <c r="BB7" s="448" t="s">
        <v>51</v>
      </c>
      <c r="BC7" s="447"/>
      <c r="BD7" s="448" t="s">
        <v>68</v>
      </c>
      <c r="BE7" s="447">
        <v>446</v>
      </c>
      <c r="BF7" s="449" t="s">
        <v>6746</v>
      </c>
    </row>
    <row r="8" spans="1:58" ht="30" customHeight="1">
      <c r="A8" s="443" t="s">
        <v>69</v>
      </c>
      <c r="B8" s="443" t="s">
        <v>4471</v>
      </c>
      <c r="C8" s="443" t="s">
        <v>59</v>
      </c>
      <c r="D8" s="1133">
        <v>74.55</v>
      </c>
      <c r="E8" s="445">
        <f>'1층전시실산출'!H8</f>
        <v>74.55</v>
      </c>
      <c r="F8" s="1147">
        <v>9898</v>
      </c>
      <c r="G8" s="1147">
        <v>737895.9</v>
      </c>
      <c r="H8" s="450">
        <f>일위대가목록!F8</f>
        <v>3094</v>
      </c>
      <c r="I8" s="450">
        <f>E8*H8</f>
        <v>230657.69999999998</v>
      </c>
      <c r="J8" s="1147">
        <v>11723.7</v>
      </c>
      <c r="K8" s="1147">
        <v>874001.83499999996</v>
      </c>
      <c r="L8" s="450">
        <f>일위대가목록!H8</f>
        <v>11723.7</v>
      </c>
      <c r="M8" s="450">
        <f>E8*L8</f>
        <v>874001.83499999996</v>
      </c>
      <c r="N8" s="1147">
        <v>0</v>
      </c>
      <c r="O8" s="1147">
        <v>0</v>
      </c>
      <c r="P8" s="450">
        <f>일위대가목록!J8</f>
        <v>0</v>
      </c>
      <c r="Q8" s="450">
        <f>TRUNC(P8*E8, 0)</f>
        <v>0</v>
      </c>
      <c r="R8" s="1147">
        <v>21621.7</v>
      </c>
      <c r="S8" s="1147">
        <v>1611897.7349999999</v>
      </c>
      <c r="T8" s="450">
        <f t="shared" si="0"/>
        <v>14817.7</v>
      </c>
      <c r="U8" s="450">
        <f t="shared" si="1"/>
        <v>1104659.5349999999</v>
      </c>
      <c r="V8" s="454" t="str">
        <f>일위대가목록!M8</f>
        <v>호표 5</v>
      </c>
      <c r="W8" s="448" t="s">
        <v>70</v>
      </c>
      <c r="X8" s="448" t="s">
        <v>51</v>
      </c>
      <c r="Y8" s="448" t="s">
        <v>51</v>
      </c>
      <c r="Z8" s="448" t="s">
        <v>56</v>
      </c>
      <c r="AA8" s="448" t="s">
        <v>62</v>
      </c>
      <c r="AB8" s="448" t="s">
        <v>62</v>
      </c>
      <c r="AC8" s="448" t="s">
        <v>61</v>
      </c>
      <c r="AD8" s="447"/>
      <c r="AE8" s="447"/>
      <c r="AF8" s="447"/>
      <c r="AG8" s="447"/>
      <c r="AH8" s="447"/>
      <c r="AI8" s="447"/>
      <c r="AJ8" s="447"/>
      <c r="AK8" s="447"/>
      <c r="AL8" s="447"/>
      <c r="AM8" s="447"/>
      <c r="AN8" s="447"/>
      <c r="AO8" s="447"/>
      <c r="AP8" s="447"/>
      <c r="AQ8" s="447"/>
      <c r="AR8" s="447"/>
      <c r="AS8" s="447"/>
      <c r="AT8" s="447"/>
      <c r="AU8" s="447"/>
      <c r="AV8" s="447"/>
      <c r="AW8" s="447"/>
      <c r="AX8" s="447"/>
      <c r="AY8" s="447"/>
      <c r="AZ8" s="447"/>
      <c r="BA8" s="448" t="s">
        <v>51</v>
      </c>
      <c r="BB8" s="448" t="s">
        <v>51</v>
      </c>
      <c r="BC8" s="447"/>
      <c r="BD8" s="448" t="s">
        <v>71</v>
      </c>
      <c r="BE8" s="447">
        <v>8</v>
      </c>
    </row>
    <row r="9" spans="1:58" ht="30" customHeight="1">
      <c r="A9" s="443" t="s">
        <v>72</v>
      </c>
      <c r="B9" s="443" t="s">
        <v>73</v>
      </c>
      <c r="C9" s="443" t="s">
        <v>59</v>
      </c>
      <c r="D9" s="1133">
        <v>1601.8000000000002</v>
      </c>
      <c r="E9" s="445">
        <f>'1층전시실산출'!H9</f>
        <v>1601.8000000000002</v>
      </c>
      <c r="F9" s="1147">
        <v>532</v>
      </c>
      <c r="G9" s="1147">
        <v>852157.60000000009</v>
      </c>
      <c r="H9" s="450">
        <f>TRUNC(일위대가목록!F6,0)</f>
        <v>532</v>
      </c>
      <c r="I9" s="450">
        <f>E9*H9</f>
        <v>852157.60000000009</v>
      </c>
      <c r="J9" s="1147">
        <v>1302</v>
      </c>
      <c r="K9" s="1147">
        <v>2085543.6000000003</v>
      </c>
      <c r="L9" s="450">
        <f>TRUNC(일위대가목록!H6,0)</f>
        <v>1302</v>
      </c>
      <c r="M9" s="450">
        <f>E9*L9</f>
        <v>2085543.6000000003</v>
      </c>
      <c r="N9" s="1147">
        <v>0</v>
      </c>
      <c r="O9" s="1147">
        <v>0</v>
      </c>
      <c r="P9" s="450">
        <f>TRUNC(일위대가목록!J6,0)</f>
        <v>0</v>
      </c>
      <c r="Q9" s="450">
        <f>TRUNC(P9*E9, 0)</f>
        <v>0</v>
      </c>
      <c r="R9" s="1147">
        <v>1834</v>
      </c>
      <c r="S9" s="1147">
        <v>2937701.2</v>
      </c>
      <c r="T9" s="450">
        <f t="shared" si="0"/>
        <v>1834</v>
      </c>
      <c r="U9" s="450">
        <f t="shared" si="1"/>
        <v>2937701.2</v>
      </c>
      <c r="V9" s="454" t="str">
        <f>일위대가목록!M6</f>
        <v>호표 3</v>
      </c>
      <c r="W9" s="448" t="s">
        <v>74</v>
      </c>
      <c r="X9" s="448" t="s">
        <v>51</v>
      </c>
      <c r="Y9" s="448" t="s">
        <v>51</v>
      </c>
      <c r="Z9" s="448" t="s">
        <v>56</v>
      </c>
      <c r="AA9" s="448" t="s">
        <v>61</v>
      </c>
      <c r="AB9" s="448" t="s">
        <v>62</v>
      </c>
      <c r="AC9" s="448" t="s">
        <v>62</v>
      </c>
      <c r="AD9" s="447"/>
      <c r="AE9" s="447"/>
      <c r="AF9" s="447"/>
      <c r="AG9" s="447"/>
      <c r="AH9" s="447"/>
      <c r="AI9" s="447"/>
      <c r="AJ9" s="447"/>
      <c r="AK9" s="447"/>
      <c r="AL9" s="447"/>
      <c r="AM9" s="447"/>
      <c r="AN9" s="447"/>
      <c r="AO9" s="447"/>
      <c r="AP9" s="447"/>
      <c r="AQ9" s="447"/>
      <c r="AR9" s="447"/>
      <c r="AS9" s="447"/>
      <c r="AT9" s="447"/>
      <c r="AU9" s="447"/>
      <c r="AV9" s="447"/>
      <c r="AW9" s="447"/>
      <c r="AX9" s="447"/>
      <c r="AY9" s="447"/>
      <c r="AZ9" s="447"/>
      <c r="BA9" s="448" t="s">
        <v>51</v>
      </c>
      <c r="BB9" s="448" t="s">
        <v>51</v>
      </c>
      <c r="BC9" s="447"/>
      <c r="BD9" s="448" t="s">
        <v>75</v>
      </c>
      <c r="BE9" s="447">
        <v>9</v>
      </c>
    </row>
    <row r="10" spans="1:58" ht="30" customHeight="1">
      <c r="A10" s="443" t="s">
        <v>76</v>
      </c>
      <c r="B10" s="443" t="s">
        <v>77</v>
      </c>
      <c r="C10" s="443" t="s">
        <v>59</v>
      </c>
      <c r="D10" s="1133">
        <v>1601.8000000000002</v>
      </c>
      <c r="E10" s="445">
        <f>'1층전시실산출'!H10</f>
        <v>1601.8000000000002</v>
      </c>
      <c r="F10" s="1147">
        <v>0</v>
      </c>
      <c r="G10" s="1147">
        <v>0</v>
      </c>
      <c r="H10" s="450">
        <f>TRUNC(일위대가목록!F7,0)</f>
        <v>0</v>
      </c>
      <c r="I10" s="450">
        <f>E10*H10</f>
        <v>0</v>
      </c>
      <c r="J10" s="1147">
        <v>9118</v>
      </c>
      <c r="K10" s="1147">
        <v>14605212.400000002</v>
      </c>
      <c r="L10" s="450">
        <f>TRUNC(일위대가목록!H7,0)</f>
        <v>9118</v>
      </c>
      <c r="M10" s="450">
        <f>E10*L10</f>
        <v>14605212.400000002</v>
      </c>
      <c r="N10" s="1147">
        <v>0</v>
      </c>
      <c r="O10" s="1147">
        <v>0</v>
      </c>
      <c r="P10" s="450">
        <f>TRUNC(일위대가목록!J7,0)</f>
        <v>0</v>
      </c>
      <c r="Q10" s="450">
        <f>TRUNC(P10*E10, 0)</f>
        <v>0</v>
      </c>
      <c r="R10" s="1147">
        <v>9118</v>
      </c>
      <c r="S10" s="1147">
        <v>14605212.400000002</v>
      </c>
      <c r="T10" s="450">
        <f t="shared" si="0"/>
        <v>9118</v>
      </c>
      <c r="U10" s="450">
        <f t="shared" si="1"/>
        <v>14605212.400000002</v>
      </c>
      <c r="V10" s="454" t="str">
        <f>일위대가목록!M7</f>
        <v>호표 4</v>
      </c>
      <c r="W10" s="448" t="s">
        <v>78</v>
      </c>
      <c r="X10" s="448" t="s">
        <v>51</v>
      </c>
      <c r="Y10" s="448" t="s">
        <v>51</v>
      </c>
      <c r="Z10" s="448" t="s">
        <v>56</v>
      </c>
      <c r="AA10" s="448" t="s">
        <v>61</v>
      </c>
      <c r="AB10" s="448" t="s">
        <v>62</v>
      </c>
      <c r="AC10" s="448" t="s">
        <v>62</v>
      </c>
      <c r="AD10" s="447"/>
      <c r="AE10" s="447"/>
      <c r="AF10" s="447"/>
      <c r="AG10" s="447"/>
      <c r="AH10" s="447"/>
      <c r="AI10" s="447"/>
      <c r="AJ10" s="447"/>
      <c r="AK10" s="447"/>
      <c r="AL10" s="447"/>
      <c r="AM10" s="447"/>
      <c r="AN10" s="447"/>
      <c r="AO10" s="447"/>
      <c r="AP10" s="447"/>
      <c r="AQ10" s="447"/>
      <c r="AR10" s="447"/>
      <c r="AS10" s="447"/>
      <c r="AT10" s="447"/>
      <c r="AU10" s="447"/>
      <c r="AV10" s="447"/>
      <c r="AW10" s="447"/>
      <c r="AX10" s="447"/>
      <c r="AY10" s="447"/>
      <c r="AZ10" s="447"/>
      <c r="BA10" s="448" t="s">
        <v>51</v>
      </c>
      <c r="BB10" s="448" t="s">
        <v>51</v>
      </c>
      <c r="BC10" s="447"/>
      <c r="BD10" s="448" t="s">
        <v>79</v>
      </c>
      <c r="BE10" s="447">
        <v>56</v>
      </c>
    </row>
    <row r="11" spans="1:58" ht="30" customHeight="1">
      <c r="A11" s="444"/>
      <c r="B11" s="444"/>
      <c r="C11" s="444"/>
      <c r="D11" s="1133"/>
      <c r="E11" s="445"/>
      <c r="F11" s="1146"/>
      <c r="G11" s="1146"/>
      <c r="H11" s="444"/>
      <c r="I11" s="444"/>
      <c r="J11" s="1146"/>
      <c r="K11" s="1146"/>
      <c r="L11" s="444"/>
      <c r="M11" s="444"/>
      <c r="N11" s="1146"/>
      <c r="O11" s="1146"/>
      <c r="P11" s="444"/>
      <c r="Q11" s="444"/>
      <c r="R11" s="1146"/>
      <c r="S11" s="1146"/>
      <c r="T11" s="444"/>
      <c r="U11" s="444"/>
      <c r="V11" s="446"/>
    </row>
    <row r="12" spans="1:58" ht="30" customHeight="1">
      <c r="A12" s="444"/>
      <c r="B12" s="444"/>
      <c r="C12" s="444"/>
      <c r="D12" s="1133"/>
      <c r="E12" s="445"/>
      <c r="F12" s="1146"/>
      <c r="G12" s="1146"/>
      <c r="H12" s="444"/>
      <c r="I12" s="444"/>
      <c r="J12" s="1146"/>
      <c r="K12" s="1146"/>
      <c r="L12" s="444"/>
      <c r="M12" s="444"/>
      <c r="N12" s="1146"/>
      <c r="O12" s="1146"/>
      <c r="P12" s="444"/>
      <c r="Q12" s="444"/>
      <c r="R12" s="1146"/>
      <c r="S12" s="1146"/>
      <c r="T12" s="444"/>
      <c r="U12" s="444"/>
      <c r="V12" s="446"/>
    </row>
    <row r="13" spans="1:58" ht="30" customHeight="1">
      <c r="A13" s="444"/>
      <c r="B13" s="444"/>
      <c r="C13" s="444"/>
      <c r="D13" s="1133"/>
      <c r="E13" s="445"/>
      <c r="F13" s="1146"/>
      <c r="G13" s="1146"/>
      <c r="H13" s="444"/>
      <c r="I13" s="444"/>
      <c r="J13" s="1146"/>
      <c r="K13" s="1146"/>
      <c r="L13" s="444"/>
      <c r="M13" s="444"/>
      <c r="N13" s="1146"/>
      <c r="O13" s="1146"/>
      <c r="P13" s="444"/>
      <c r="Q13" s="444"/>
      <c r="R13" s="1146"/>
      <c r="S13" s="1146"/>
      <c r="T13" s="444"/>
      <c r="U13" s="444"/>
      <c r="V13" s="446"/>
    </row>
    <row r="14" spans="1:58" ht="30" customHeight="1">
      <c r="A14" s="444"/>
      <c r="B14" s="444"/>
      <c r="C14" s="444"/>
      <c r="D14" s="1133"/>
      <c r="E14" s="445"/>
      <c r="F14" s="1146"/>
      <c r="G14" s="1146"/>
      <c r="H14" s="444"/>
      <c r="I14" s="444"/>
      <c r="J14" s="1146"/>
      <c r="K14" s="1146"/>
      <c r="L14" s="444"/>
      <c r="M14" s="444"/>
      <c r="N14" s="1146"/>
      <c r="O14" s="1146"/>
      <c r="P14" s="444"/>
      <c r="Q14" s="444"/>
      <c r="R14" s="1146"/>
      <c r="S14" s="1146"/>
      <c r="T14" s="444"/>
      <c r="U14" s="444"/>
      <c r="V14" s="446"/>
    </row>
    <row r="15" spans="1:58" ht="30" customHeight="1">
      <c r="A15" s="444"/>
      <c r="B15" s="444"/>
      <c r="C15" s="444"/>
      <c r="D15" s="1133"/>
      <c r="E15" s="445"/>
      <c r="F15" s="1146"/>
      <c r="G15" s="1146"/>
      <c r="H15" s="444"/>
      <c r="I15" s="444"/>
      <c r="J15" s="1146"/>
      <c r="K15" s="1146"/>
      <c r="L15" s="444"/>
      <c r="M15" s="444"/>
      <c r="N15" s="1146"/>
      <c r="O15" s="1146"/>
      <c r="P15" s="444"/>
      <c r="Q15" s="444"/>
      <c r="R15" s="1146"/>
      <c r="S15" s="1146"/>
      <c r="T15" s="444"/>
      <c r="U15" s="444"/>
      <c r="V15" s="446"/>
    </row>
    <row r="16" spans="1:58" ht="30" customHeight="1">
      <c r="A16" s="444"/>
      <c r="B16" s="444"/>
      <c r="C16" s="444"/>
      <c r="D16" s="1133"/>
      <c r="E16" s="445"/>
      <c r="F16" s="1146"/>
      <c r="G16" s="1146"/>
      <c r="H16" s="444"/>
      <c r="I16" s="444"/>
      <c r="J16" s="1146"/>
      <c r="K16" s="1146"/>
      <c r="L16" s="444"/>
      <c r="M16" s="444"/>
      <c r="N16" s="1146"/>
      <c r="O16" s="1146"/>
      <c r="P16" s="444"/>
      <c r="Q16" s="444"/>
      <c r="R16" s="1146"/>
      <c r="S16" s="1146"/>
      <c r="T16" s="444"/>
      <c r="U16" s="444"/>
      <c r="V16" s="446"/>
    </row>
    <row r="17" spans="1:59" ht="30" customHeight="1">
      <c r="A17" s="444"/>
      <c r="B17" s="444"/>
      <c r="C17" s="444"/>
      <c r="D17" s="1133"/>
      <c r="E17" s="445"/>
      <c r="F17" s="1146"/>
      <c r="G17" s="1146"/>
      <c r="H17" s="444"/>
      <c r="I17" s="444"/>
      <c r="J17" s="1146"/>
      <c r="K17" s="1146"/>
      <c r="L17" s="444"/>
      <c r="M17" s="444"/>
      <c r="N17" s="1146"/>
      <c r="O17" s="1146"/>
      <c r="P17" s="444"/>
      <c r="Q17" s="444"/>
      <c r="R17" s="1146"/>
      <c r="S17" s="1146"/>
      <c r="T17" s="444"/>
      <c r="U17" s="444"/>
      <c r="V17" s="446"/>
    </row>
    <row r="18" spans="1:59" ht="30" customHeight="1">
      <c r="A18" s="444"/>
      <c r="B18" s="444"/>
      <c r="C18" s="444"/>
      <c r="D18" s="1133"/>
      <c r="E18" s="445"/>
      <c r="F18" s="1146"/>
      <c r="G18" s="1146"/>
      <c r="H18" s="444"/>
      <c r="I18" s="444"/>
      <c r="J18" s="1146"/>
      <c r="K18" s="1146"/>
      <c r="L18" s="444"/>
      <c r="M18" s="444"/>
      <c r="N18" s="1146"/>
      <c r="O18" s="1146"/>
      <c r="P18" s="444"/>
      <c r="Q18" s="444"/>
      <c r="R18" s="1146"/>
      <c r="S18" s="1146"/>
      <c r="T18" s="444"/>
      <c r="U18" s="444"/>
      <c r="V18" s="446"/>
    </row>
    <row r="19" spans="1:59" ht="30" customHeight="1">
      <c r="A19" s="444"/>
      <c r="B19" s="444"/>
      <c r="C19" s="444"/>
      <c r="D19" s="1133"/>
      <c r="E19" s="445"/>
      <c r="F19" s="1146"/>
      <c r="G19" s="1146"/>
      <c r="H19" s="444"/>
      <c r="I19" s="444"/>
      <c r="J19" s="1146"/>
      <c r="K19" s="1146"/>
      <c r="L19" s="444"/>
      <c r="M19" s="444"/>
      <c r="N19" s="1146"/>
      <c r="O19" s="1146"/>
      <c r="P19" s="444"/>
      <c r="Q19" s="444"/>
      <c r="R19" s="1146"/>
      <c r="S19" s="1146"/>
      <c r="T19" s="444"/>
      <c r="U19" s="444"/>
      <c r="V19" s="446"/>
    </row>
    <row r="20" spans="1:59" ht="30" customHeight="1">
      <c r="A20" s="444"/>
      <c r="B20" s="444"/>
      <c r="C20" s="444"/>
      <c r="D20" s="1133"/>
      <c r="E20" s="445"/>
      <c r="F20" s="1146"/>
      <c r="G20" s="1146"/>
      <c r="H20" s="444"/>
      <c r="I20" s="444"/>
      <c r="J20" s="1146"/>
      <c r="K20" s="1146"/>
      <c r="L20" s="444"/>
      <c r="M20" s="444"/>
      <c r="N20" s="1146"/>
      <c r="O20" s="1146"/>
      <c r="P20" s="444"/>
      <c r="Q20" s="444"/>
      <c r="R20" s="1146"/>
      <c r="S20" s="1146"/>
      <c r="T20" s="444"/>
      <c r="U20" s="444"/>
      <c r="V20" s="446"/>
    </row>
    <row r="21" spans="1:59" ht="30" customHeight="1">
      <c r="A21" s="444"/>
      <c r="B21" s="444"/>
      <c r="C21" s="444"/>
      <c r="D21" s="1133"/>
      <c r="E21" s="445"/>
      <c r="F21" s="1146"/>
      <c r="G21" s="1146"/>
      <c r="H21" s="444"/>
      <c r="I21" s="444"/>
      <c r="J21" s="1146"/>
      <c r="K21" s="1146"/>
      <c r="L21" s="444"/>
      <c r="M21" s="444"/>
      <c r="N21" s="1146"/>
      <c r="O21" s="1146"/>
      <c r="P21" s="444"/>
      <c r="Q21" s="444"/>
      <c r="R21" s="1146"/>
      <c r="S21" s="1146"/>
      <c r="T21" s="444"/>
      <c r="U21" s="444"/>
      <c r="V21" s="446"/>
    </row>
    <row r="22" spans="1:59" ht="30" customHeight="1">
      <c r="A22" s="444"/>
      <c r="B22" s="444"/>
      <c r="C22" s="444"/>
      <c r="D22" s="1133"/>
      <c r="E22" s="445"/>
      <c r="F22" s="1146"/>
      <c r="G22" s="1146"/>
      <c r="H22" s="444"/>
      <c r="I22" s="444"/>
      <c r="J22" s="1146"/>
      <c r="K22" s="1146"/>
      <c r="L22" s="444"/>
      <c r="M22" s="444"/>
      <c r="N22" s="1146"/>
      <c r="O22" s="1146"/>
      <c r="P22" s="444"/>
      <c r="Q22" s="444"/>
      <c r="R22" s="1146"/>
      <c r="S22" s="1146"/>
      <c r="T22" s="444"/>
      <c r="U22" s="444"/>
      <c r="V22" s="446"/>
    </row>
    <row r="23" spans="1:59" ht="30" customHeight="1">
      <c r="A23" s="444"/>
      <c r="B23" s="444"/>
      <c r="C23" s="444"/>
      <c r="D23" s="1133"/>
      <c r="E23" s="445"/>
      <c r="F23" s="1146"/>
      <c r="G23" s="1146"/>
      <c r="H23" s="444"/>
      <c r="I23" s="444"/>
      <c r="J23" s="1146"/>
      <c r="K23" s="1146"/>
      <c r="L23" s="444"/>
      <c r="M23" s="444"/>
      <c r="N23" s="1146"/>
      <c r="O23" s="1146"/>
      <c r="P23" s="444"/>
      <c r="Q23" s="444"/>
      <c r="R23" s="1146"/>
      <c r="S23" s="1146"/>
      <c r="T23" s="444"/>
      <c r="U23" s="444"/>
      <c r="V23" s="446"/>
    </row>
    <row r="24" spans="1:59" ht="30" customHeight="1">
      <c r="A24" s="444"/>
      <c r="B24" s="444"/>
      <c r="C24" s="444"/>
      <c r="D24" s="1133"/>
      <c r="E24" s="445"/>
      <c r="F24" s="1146"/>
      <c r="G24" s="1146"/>
      <c r="H24" s="444"/>
      <c r="I24" s="444"/>
      <c r="J24" s="1146"/>
      <c r="K24" s="1146"/>
      <c r="L24" s="444"/>
      <c r="M24" s="444"/>
      <c r="N24" s="1146"/>
      <c r="O24" s="1146"/>
      <c r="P24" s="444"/>
      <c r="Q24" s="444"/>
      <c r="R24" s="1146"/>
      <c r="S24" s="1146"/>
      <c r="T24" s="444"/>
      <c r="U24" s="444"/>
      <c r="V24" s="446"/>
    </row>
    <row r="25" spans="1:59" ht="30" customHeight="1">
      <c r="A25" s="444"/>
      <c r="B25" s="444"/>
      <c r="C25" s="444"/>
      <c r="D25" s="1133"/>
      <c r="E25" s="445"/>
      <c r="F25" s="1146"/>
      <c r="G25" s="1146"/>
      <c r="H25" s="444"/>
      <c r="I25" s="444"/>
      <c r="J25" s="1146"/>
      <c r="K25" s="1146"/>
      <c r="L25" s="444"/>
      <c r="M25" s="444"/>
      <c r="N25" s="1146"/>
      <c r="O25" s="1146"/>
      <c r="P25" s="444"/>
      <c r="Q25" s="444"/>
      <c r="R25" s="1146"/>
      <c r="S25" s="1146"/>
      <c r="T25" s="444"/>
      <c r="U25" s="444"/>
      <c r="V25" s="446"/>
    </row>
    <row r="26" spans="1:59" ht="30" customHeight="1">
      <c r="A26" s="443" t="s">
        <v>85</v>
      </c>
      <c r="B26" s="444"/>
      <c r="C26" s="444"/>
      <c r="D26" s="1133"/>
      <c r="E26" s="445"/>
      <c r="F26" s="1146"/>
      <c r="G26" s="1147">
        <v>2655013.5</v>
      </c>
      <c r="H26" s="444"/>
      <c r="I26" s="450">
        <f>SUM(I6:I25)</f>
        <v>1615295.3</v>
      </c>
      <c r="J26" s="1146"/>
      <c r="K26" s="1147">
        <v>23887617.435000002</v>
      </c>
      <c r="L26" s="444"/>
      <c r="M26" s="450">
        <f>SUM(M6:M25)</f>
        <v>20399420.435000002</v>
      </c>
      <c r="N26" s="1146"/>
      <c r="O26" s="1147">
        <v>0</v>
      </c>
      <c r="P26" s="444"/>
      <c r="Q26" s="450">
        <f>SUM(Q6:Q10)</f>
        <v>0</v>
      </c>
      <c r="R26" s="1146"/>
      <c r="S26" s="1147">
        <v>26542630.935000002</v>
      </c>
      <c r="T26" s="444"/>
      <c r="U26" s="450">
        <f>SUM(U6:U25)</f>
        <v>22014715.735000003</v>
      </c>
      <c r="V26" s="446"/>
      <c r="W26" s="449" t="s">
        <v>86</v>
      </c>
    </row>
    <row r="27" spans="1:59" ht="30" customHeight="1">
      <c r="A27" s="455" t="s">
        <v>4751</v>
      </c>
      <c r="B27" s="456"/>
      <c r="C27" s="456"/>
      <c r="D27" s="1134"/>
      <c r="E27" s="457"/>
      <c r="F27" s="1148"/>
      <c r="G27" s="1148"/>
      <c r="H27" s="456"/>
      <c r="I27" s="456"/>
      <c r="J27" s="1148"/>
      <c r="K27" s="1148"/>
      <c r="L27" s="456"/>
      <c r="M27" s="456"/>
      <c r="N27" s="1148"/>
      <c r="O27" s="1148"/>
      <c r="P27" s="456"/>
      <c r="Q27" s="456"/>
      <c r="R27" s="1148"/>
      <c r="S27" s="1148"/>
      <c r="T27" s="456"/>
      <c r="U27" s="456"/>
      <c r="V27" s="458"/>
      <c r="W27" s="459"/>
      <c r="X27" s="459"/>
      <c r="Y27" s="459"/>
      <c r="Z27" s="460" t="s">
        <v>169</v>
      </c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59"/>
      <c r="AR27" s="459"/>
      <c r="AS27" s="459"/>
      <c r="AT27" s="459"/>
      <c r="AU27" s="459"/>
      <c r="AV27" s="459"/>
      <c r="AW27" s="459"/>
      <c r="AX27" s="459"/>
      <c r="AY27" s="459"/>
      <c r="AZ27" s="459"/>
      <c r="BA27" s="459"/>
      <c r="BB27" s="459"/>
      <c r="BC27" s="459"/>
      <c r="BD27" s="459"/>
      <c r="BE27" s="459"/>
    </row>
    <row r="28" spans="1:59" ht="30" customHeight="1">
      <c r="A28" s="443" t="s">
        <v>629</v>
      </c>
      <c r="B28" s="443" t="s">
        <v>4463</v>
      </c>
      <c r="C28" s="461" t="s">
        <v>2365</v>
      </c>
      <c r="D28" s="1133">
        <v>251.3</v>
      </c>
      <c r="E28" s="445">
        <f>'1층전시실산출'!H129</f>
        <v>251.3</v>
      </c>
      <c r="F28" s="1149">
        <v>16769</v>
      </c>
      <c r="G28" s="1150">
        <v>4214049.7</v>
      </c>
      <c r="H28" s="462">
        <f>일위대가목록!F83</f>
        <v>5597</v>
      </c>
      <c r="I28" s="450">
        <f>E28*H28</f>
        <v>1406526.1</v>
      </c>
      <c r="J28" s="1160">
        <v>37271</v>
      </c>
      <c r="K28" s="1147">
        <v>9366202.3000000007</v>
      </c>
      <c r="L28" s="463">
        <f>일위대가목록!H83</f>
        <v>8790</v>
      </c>
      <c r="M28" s="450">
        <f>E28*L28</f>
        <v>2208927</v>
      </c>
      <c r="N28" s="1147">
        <v>0</v>
      </c>
      <c r="O28" s="1147">
        <v>0</v>
      </c>
      <c r="P28" s="450">
        <f>TRUNC(일위대가목록!J30,0)</f>
        <v>122</v>
      </c>
      <c r="Q28" s="450">
        <f>TRUNC(P28*E28, 0)</f>
        <v>30658</v>
      </c>
      <c r="R28" s="1147">
        <v>54040</v>
      </c>
      <c r="S28" s="1147">
        <v>13580252</v>
      </c>
      <c r="T28" s="450">
        <f t="shared" ref="T28:T31" si="2">H28+L28+P28</f>
        <v>14509</v>
      </c>
      <c r="U28" s="450">
        <f t="shared" ref="U28:U31" si="3">I28+M28+Q28</f>
        <v>3646111.1</v>
      </c>
      <c r="V28" s="454" t="str">
        <f>일위대가목록!M83</f>
        <v>호표 80</v>
      </c>
      <c r="W28" s="448" t="s">
        <v>172</v>
      </c>
      <c r="X28" s="448" t="s">
        <v>51</v>
      </c>
      <c r="Y28" s="448" t="s">
        <v>51</v>
      </c>
      <c r="Z28" s="448" t="s">
        <v>169</v>
      </c>
      <c r="AA28" s="448" t="s">
        <v>61</v>
      </c>
      <c r="AB28" s="448" t="s">
        <v>62</v>
      </c>
      <c r="AC28" s="448" t="s">
        <v>62</v>
      </c>
      <c r="AD28" s="447"/>
      <c r="AE28" s="447"/>
      <c r="AF28" s="447"/>
      <c r="AG28" s="447"/>
      <c r="AH28" s="447"/>
      <c r="AI28" s="447"/>
      <c r="AJ28" s="447"/>
      <c r="AK28" s="447"/>
      <c r="AL28" s="447"/>
      <c r="AM28" s="447"/>
      <c r="AN28" s="447"/>
      <c r="AO28" s="447"/>
      <c r="AP28" s="447"/>
      <c r="AQ28" s="447"/>
      <c r="AR28" s="447"/>
      <c r="AS28" s="447"/>
      <c r="AT28" s="447"/>
      <c r="AU28" s="447"/>
      <c r="AV28" s="447"/>
      <c r="AW28" s="447"/>
      <c r="AX28" s="447"/>
      <c r="AY28" s="447"/>
      <c r="AZ28" s="447"/>
      <c r="BA28" s="448" t="s">
        <v>51</v>
      </c>
      <c r="BB28" s="448" t="s">
        <v>51</v>
      </c>
      <c r="BC28" s="447"/>
      <c r="BD28" s="448" t="s">
        <v>173</v>
      </c>
      <c r="BE28" s="447">
        <v>448</v>
      </c>
    </row>
    <row r="29" spans="1:59" ht="30" customHeight="1">
      <c r="A29" s="1178" t="s">
        <v>3417</v>
      </c>
      <c r="B29" s="1192" t="s">
        <v>4717</v>
      </c>
      <c r="C29" s="1193" t="s">
        <v>2365</v>
      </c>
      <c r="D29" s="1194">
        <v>251.3</v>
      </c>
      <c r="E29" s="1195">
        <f>'1층전시실산출'!H130</f>
        <v>251.3</v>
      </c>
      <c r="F29" s="1196">
        <v>4262</v>
      </c>
      <c r="G29" s="1197">
        <v>1071040.6000000001</v>
      </c>
      <c r="H29" s="1204">
        <f>일위대가목록!F131</f>
        <v>4948</v>
      </c>
      <c r="I29" s="1198">
        <f>E29*H29</f>
        <v>1243432.4000000001</v>
      </c>
      <c r="J29" s="1199">
        <v>13537</v>
      </c>
      <c r="K29" s="1200">
        <v>3401848.1</v>
      </c>
      <c r="L29" s="1205">
        <f>일위대가목록!H131</f>
        <v>21918</v>
      </c>
      <c r="M29" s="1198">
        <f>E29*L29</f>
        <v>5507993.4000000004</v>
      </c>
      <c r="N29" s="1201"/>
      <c r="O29" s="1201"/>
      <c r="P29" s="1206">
        <f>일위대가목록!J131</f>
        <v>0</v>
      </c>
      <c r="Q29" s="1202"/>
      <c r="R29" s="1200">
        <v>17799</v>
      </c>
      <c r="S29" s="1200">
        <v>4472888.7</v>
      </c>
      <c r="T29" s="1207">
        <f t="shared" si="2"/>
        <v>26866</v>
      </c>
      <c r="U29" s="1198">
        <f t="shared" si="3"/>
        <v>6751425.8000000007</v>
      </c>
      <c r="V29" s="1203" t="str">
        <f>일위대가목록!M53</f>
        <v>호표 50</v>
      </c>
      <c r="BF29" s="449" t="s">
        <v>6683</v>
      </c>
      <c r="BG29" s="449" t="s">
        <v>6684</v>
      </c>
    </row>
    <row r="30" spans="1:59" ht="30" customHeight="1">
      <c r="A30" s="443" t="s">
        <v>3419</v>
      </c>
      <c r="B30" s="1208" t="s">
        <v>6685</v>
      </c>
      <c r="C30" s="461" t="s">
        <v>2365</v>
      </c>
      <c r="D30" s="1133">
        <v>61.36</v>
      </c>
      <c r="E30" s="445">
        <f>'1층전시실산출'!H131</f>
        <v>61.36</v>
      </c>
      <c r="F30" s="1149">
        <v>1701</v>
      </c>
      <c r="G30" s="1150">
        <v>104373.36</v>
      </c>
      <c r="H30" s="462">
        <f>일위대가목록!F85</f>
        <v>4200</v>
      </c>
      <c r="I30" s="450">
        <f>E30*H30</f>
        <v>257712</v>
      </c>
      <c r="J30" s="1160">
        <v>12917</v>
      </c>
      <c r="K30" s="1147">
        <v>792587.12</v>
      </c>
      <c r="L30" s="463">
        <f>일위대가목록!H85</f>
        <v>9200</v>
      </c>
      <c r="M30" s="450">
        <f>E30*L30</f>
        <v>564512</v>
      </c>
      <c r="N30" s="1146"/>
      <c r="O30" s="1146"/>
      <c r="P30" s="444"/>
      <c r="Q30" s="444"/>
      <c r="R30" s="1147">
        <v>14618</v>
      </c>
      <c r="S30" s="1147">
        <v>896960.48</v>
      </c>
      <c r="T30" s="450">
        <f t="shared" si="2"/>
        <v>13400</v>
      </c>
      <c r="U30" s="450">
        <f t="shared" si="3"/>
        <v>822224</v>
      </c>
      <c r="V30" s="446" t="str">
        <f>일위대가목록!M85</f>
        <v>호표 82</v>
      </c>
    </row>
    <row r="31" spans="1:59" ht="30" customHeight="1">
      <c r="A31" s="465" t="s">
        <v>3420</v>
      </c>
      <c r="B31" s="465" t="s">
        <v>3421</v>
      </c>
      <c r="C31" s="461" t="s">
        <v>3422</v>
      </c>
      <c r="D31" s="1133">
        <v>2</v>
      </c>
      <c r="E31" s="466">
        <f>'1층전시실산출'!H132</f>
        <v>2</v>
      </c>
      <c r="F31" s="1149">
        <v>9270</v>
      </c>
      <c r="G31" s="1150">
        <v>18540</v>
      </c>
      <c r="H31" s="467">
        <f>일위대가목록!F122</f>
        <v>8343</v>
      </c>
      <c r="I31" s="450">
        <f>E31*H31</f>
        <v>16686</v>
      </c>
      <c r="J31" s="1161">
        <v>68099</v>
      </c>
      <c r="K31" s="1147">
        <v>136198</v>
      </c>
      <c r="L31" s="462">
        <f>일위대가목록!H122</f>
        <v>68099</v>
      </c>
      <c r="M31" s="450">
        <f>E31*L31</f>
        <v>136198</v>
      </c>
      <c r="N31" s="1146"/>
      <c r="O31" s="1146"/>
      <c r="P31" s="444"/>
      <c r="Q31" s="444"/>
      <c r="R31" s="1147">
        <v>77369</v>
      </c>
      <c r="S31" s="1147">
        <v>154738</v>
      </c>
      <c r="T31" s="450">
        <f t="shared" si="2"/>
        <v>76442</v>
      </c>
      <c r="U31" s="450">
        <f t="shared" si="3"/>
        <v>152884</v>
      </c>
      <c r="V31" s="446" t="str">
        <f>일위대가목록!M122</f>
        <v>호표 119</v>
      </c>
    </row>
    <row r="32" spans="1:59" ht="30" customHeight="1">
      <c r="A32" s="468"/>
      <c r="B32" s="468"/>
      <c r="C32" s="468"/>
      <c r="D32" s="1133"/>
      <c r="E32" s="466"/>
      <c r="F32" s="1146"/>
      <c r="G32" s="1147">
        <v>0</v>
      </c>
      <c r="H32" s="468"/>
      <c r="I32" s="450">
        <f>TRUNC(H32*E32, 0)</f>
        <v>0</v>
      </c>
      <c r="J32" s="1146"/>
      <c r="K32" s="1147">
        <v>0</v>
      </c>
      <c r="L32" s="444"/>
      <c r="M32" s="450">
        <f>TRUNC(L32*E32, 0)</f>
        <v>0</v>
      </c>
      <c r="N32" s="1146"/>
      <c r="O32" s="1146"/>
      <c r="P32" s="444"/>
      <c r="Q32" s="444"/>
      <c r="R32" s="1147">
        <v>0</v>
      </c>
      <c r="S32" s="1147">
        <v>0</v>
      </c>
      <c r="T32" s="450">
        <f t="shared" ref="T32:T33" si="4">TRUNC(H32+L32+P32, 0)</f>
        <v>0</v>
      </c>
      <c r="U32" s="450">
        <f t="shared" ref="U32:U33" si="5">TRUNC(I32+M32+Q32, 0)</f>
        <v>0</v>
      </c>
      <c r="V32" s="446"/>
    </row>
    <row r="33" spans="1:22" ht="30" customHeight="1">
      <c r="A33" s="468"/>
      <c r="B33" s="468"/>
      <c r="C33" s="468"/>
      <c r="D33" s="1133"/>
      <c r="E33" s="466"/>
      <c r="F33" s="1146"/>
      <c r="G33" s="1147">
        <v>0</v>
      </c>
      <c r="H33" s="468"/>
      <c r="I33" s="450">
        <f>TRUNC(H33*E33, 0)</f>
        <v>0</v>
      </c>
      <c r="J33" s="1146"/>
      <c r="K33" s="1147">
        <v>0</v>
      </c>
      <c r="L33" s="444"/>
      <c r="M33" s="450">
        <f>TRUNC(L33*E33, 0)</f>
        <v>0</v>
      </c>
      <c r="N33" s="1146"/>
      <c r="O33" s="1146"/>
      <c r="P33" s="444"/>
      <c r="Q33" s="444"/>
      <c r="R33" s="1147">
        <v>0</v>
      </c>
      <c r="S33" s="1147">
        <v>0</v>
      </c>
      <c r="T33" s="450">
        <f t="shared" si="4"/>
        <v>0</v>
      </c>
      <c r="U33" s="450">
        <f t="shared" si="5"/>
        <v>0</v>
      </c>
      <c r="V33" s="446"/>
    </row>
    <row r="34" spans="1:22" ht="30" customHeight="1">
      <c r="A34" s="444"/>
      <c r="B34" s="444"/>
      <c r="C34" s="444"/>
      <c r="D34" s="1133"/>
      <c r="E34" s="445"/>
      <c r="F34" s="1146"/>
      <c r="G34" s="1147">
        <v>0</v>
      </c>
      <c r="H34" s="444"/>
      <c r="I34" s="450">
        <f>TRUNC(H34*E34, 0)</f>
        <v>0</v>
      </c>
      <c r="J34" s="1146"/>
      <c r="K34" s="1147">
        <v>0</v>
      </c>
      <c r="L34" s="444"/>
      <c r="M34" s="450">
        <f>TRUNC(L34*E34, 0)</f>
        <v>0</v>
      </c>
      <c r="N34" s="1146"/>
      <c r="O34" s="1146"/>
      <c r="P34" s="444"/>
      <c r="Q34" s="444"/>
      <c r="R34" s="1146"/>
      <c r="S34" s="1146"/>
      <c r="T34" s="444"/>
      <c r="U34" s="444"/>
      <c r="V34" s="446"/>
    </row>
    <row r="35" spans="1:22" ht="30" customHeight="1">
      <c r="A35" s="444"/>
      <c r="B35" s="444"/>
      <c r="C35" s="444"/>
      <c r="D35" s="1133"/>
      <c r="E35" s="445"/>
      <c r="F35" s="1146"/>
      <c r="G35" s="1146"/>
      <c r="H35" s="444"/>
      <c r="I35" s="444"/>
      <c r="J35" s="1146"/>
      <c r="K35" s="1146"/>
      <c r="L35" s="444"/>
      <c r="M35" s="444"/>
      <c r="N35" s="1146"/>
      <c r="O35" s="1146"/>
      <c r="P35" s="444"/>
      <c r="Q35" s="444"/>
      <c r="R35" s="1146"/>
      <c r="S35" s="1146"/>
      <c r="T35" s="444"/>
      <c r="U35" s="444"/>
      <c r="V35" s="446"/>
    </row>
    <row r="36" spans="1:22" ht="30" customHeight="1">
      <c r="A36" s="444"/>
      <c r="B36" s="444"/>
      <c r="C36" s="444"/>
      <c r="D36" s="1133"/>
      <c r="E36" s="445"/>
      <c r="F36" s="1146"/>
      <c r="G36" s="1146"/>
      <c r="H36" s="444"/>
      <c r="I36" s="444"/>
      <c r="J36" s="1146"/>
      <c r="K36" s="1146"/>
      <c r="L36" s="444"/>
      <c r="M36" s="444"/>
      <c r="N36" s="1146"/>
      <c r="O36" s="1146"/>
      <c r="P36" s="444"/>
      <c r="Q36" s="444"/>
      <c r="R36" s="1146"/>
      <c r="S36" s="1146"/>
      <c r="T36" s="444"/>
      <c r="U36" s="444"/>
      <c r="V36" s="446"/>
    </row>
    <row r="37" spans="1:22" ht="30" customHeight="1">
      <c r="A37" s="444"/>
      <c r="B37" s="444"/>
      <c r="C37" s="444"/>
      <c r="D37" s="1133"/>
      <c r="E37" s="445"/>
      <c r="F37" s="1146"/>
      <c r="G37" s="1146"/>
      <c r="H37" s="444"/>
      <c r="I37" s="444"/>
      <c r="J37" s="1146"/>
      <c r="K37" s="1146"/>
      <c r="L37" s="444"/>
      <c r="M37" s="444"/>
      <c r="N37" s="1146"/>
      <c r="O37" s="1146"/>
      <c r="P37" s="444"/>
      <c r="Q37" s="444"/>
      <c r="R37" s="1146"/>
      <c r="S37" s="1146"/>
      <c r="T37" s="444"/>
      <c r="U37" s="444"/>
      <c r="V37" s="446"/>
    </row>
    <row r="38" spans="1:22" ht="30" customHeight="1">
      <c r="A38" s="444"/>
      <c r="B38" s="444"/>
      <c r="C38" s="444"/>
      <c r="D38" s="1133"/>
      <c r="E38" s="445"/>
      <c r="F38" s="1146"/>
      <c r="G38" s="1146"/>
      <c r="H38" s="444"/>
      <c r="I38" s="444"/>
      <c r="J38" s="1146"/>
      <c r="K38" s="1146"/>
      <c r="L38" s="444"/>
      <c r="M38" s="444"/>
      <c r="N38" s="1146"/>
      <c r="O38" s="1146"/>
      <c r="P38" s="444"/>
      <c r="Q38" s="444"/>
      <c r="R38" s="1146"/>
      <c r="S38" s="1146"/>
      <c r="T38" s="444"/>
      <c r="U38" s="444"/>
      <c r="V38" s="446"/>
    </row>
    <row r="39" spans="1:22" ht="30" customHeight="1">
      <c r="A39" s="444"/>
      <c r="B39" s="444"/>
      <c r="C39" s="444"/>
      <c r="D39" s="1133"/>
      <c r="E39" s="445"/>
      <c r="F39" s="1146"/>
      <c r="G39" s="1146"/>
      <c r="H39" s="444"/>
      <c r="I39" s="444"/>
      <c r="J39" s="1146"/>
      <c r="K39" s="1146"/>
      <c r="L39" s="444"/>
      <c r="M39" s="444"/>
      <c r="N39" s="1146"/>
      <c r="O39" s="1146"/>
      <c r="P39" s="444"/>
      <c r="Q39" s="444"/>
      <c r="R39" s="1146"/>
      <c r="S39" s="1146"/>
      <c r="T39" s="444"/>
      <c r="U39" s="444"/>
      <c r="V39" s="446"/>
    </row>
    <row r="40" spans="1:22" ht="30" customHeight="1">
      <c r="A40" s="444"/>
      <c r="B40" s="444"/>
      <c r="C40" s="444"/>
      <c r="D40" s="1133"/>
      <c r="E40" s="445"/>
      <c r="F40" s="1146"/>
      <c r="G40" s="1146"/>
      <c r="H40" s="444"/>
      <c r="I40" s="444"/>
      <c r="J40" s="1146"/>
      <c r="K40" s="1146"/>
      <c r="L40" s="444"/>
      <c r="M40" s="444"/>
      <c r="N40" s="1146"/>
      <c r="O40" s="1146"/>
      <c r="P40" s="444"/>
      <c r="Q40" s="444"/>
      <c r="R40" s="1146"/>
      <c r="S40" s="1146"/>
      <c r="T40" s="444"/>
      <c r="U40" s="444"/>
      <c r="V40" s="446"/>
    </row>
    <row r="41" spans="1:22" ht="30" customHeight="1">
      <c r="A41" s="444"/>
      <c r="B41" s="444"/>
      <c r="C41" s="444"/>
      <c r="D41" s="1133"/>
      <c r="E41" s="445"/>
      <c r="F41" s="1146"/>
      <c r="G41" s="1146"/>
      <c r="H41" s="444"/>
      <c r="I41" s="444"/>
      <c r="J41" s="1146"/>
      <c r="K41" s="1146"/>
      <c r="L41" s="444"/>
      <c r="M41" s="444"/>
      <c r="N41" s="1146"/>
      <c r="O41" s="1146"/>
      <c r="P41" s="444"/>
      <c r="Q41" s="444"/>
      <c r="R41" s="1146"/>
      <c r="S41" s="1146"/>
      <c r="T41" s="444"/>
      <c r="U41" s="444"/>
      <c r="V41" s="446"/>
    </row>
    <row r="42" spans="1:22" ht="30" customHeight="1">
      <c r="A42" s="444"/>
      <c r="B42" s="444"/>
      <c r="C42" s="444"/>
      <c r="D42" s="1133"/>
      <c r="E42" s="445"/>
      <c r="F42" s="1146"/>
      <c r="G42" s="1146"/>
      <c r="H42" s="444"/>
      <c r="I42" s="444"/>
      <c r="J42" s="1146"/>
      <c r="K42" s="1146"/>
      <c r="L42" s="444"/>
      <c r="M42" s="444"/>
      <c r="N42" s="1146"/>
      <c r="O42" s="1146"/>
      <c r="P42" s="444"/>
      <c r="Q42" s="444"/>
      <c r="R42" s="1146"/>
      <c r="S42" s="1146"/>
      <c r="T42" s="444"/>
      <c r="U42" s="444"/>
      <c r="V42" s="446"/>
    </row>
    <row r="43" spans="1:22" ht="30" customHeight="1">
      <c r="A43" s="444"/>
      <c r="B43" s="444"/>
      <c r="C43" s="444"/>
      <c r="D43" s="1133"/>
      <c r="E43" s="445"/>
      <c r="F43" s="1146"/>
      <c r="G43" s="1146"/>
      <c r="H43" s="444"/>
      <c r="I43" s="444"/>
      <c r="J43" s="1146"/>
      <c r="K43" s="1146"/>
      <c r="L43" s="444"/>
      <c r="M43" s="444"/>
      <c r="N43" s="1146"/>
      <c r="O43" s="1146"/>
      <c r="P43" s="444"/>
      <c r="Q43" s="444"/>
      <c r="R43" s="1146"/>
      <c r="S43" s="1146"/>
      <c r="T43" s="444"/>
      <c r="U43" s="444"/>
      <c r="V43" s="446"/>
    </row>
    <row r="44" spans="1:22" ht="30" customHeight="1">
      <c r="A44" s="444"/>
      <c r="B44" s="444"/>
      <c r="C44" s="444"/>
      <c r="D44" s="1133"/>
      <c r="E44" s="445"/>
      <c r="F44" s="1146"/>
      <c r="G44" s="1146"/>
      <c r="H44" s="444"/>
      <c r="I44" s="444"/>
      <c r="J44" s="1146"/>
      <c r="K44" s="1146"/>
      <c r="L44" s="444"/>
      <c r="M44" s="444"/>
      <c r="N44" s="1146"/>
      <c r="O44" s="1146"/>
      <c r="P44" s="444"/>
      <c r="Q44" s="444"/>
      <c r="R44" s="1146"/>
      <c r="S44" s="1146"/>
      <c r="T44" s="444"/>
      <c r="U44" s="444"/>
      <c r="V44" s="446"/>
    </row>
    <row r="45" spans="1:22" ht="30" customHeight="1">
      <c r="A45" s="444"/>
      <c r="B45" s="444"/>
      <c r="C45" s="444"/>
      <c r="D45" s="1133"/>
      <c r="E45" s="445"/>
      <c r="F45" s="1146"/>
      <c r="G45" s="1146"/>
      <c r="H45" s="444"/>
      <c r="I45" s="444"/>
      <c r="J45" s="1146"/>
      <c r="K45" s="1146"/>
      <c r="L45" s="444"/>
      <c r="M45" s="444"/>
      <c r="N45" s="1146"/>
      <c r="O45" s="1146"/>
      <c r="P45" s="444"/>
      <c r="Q45" s="444"/>
      <c r="R45" s="1146"/>
      <c r="S45" s="1146"/>
      <c r="T45" s="444"/>
      <c r="U45" s="444"/>
      <c r="V45" s="446"/>
    </row>
    <row r="46" spans="1:22" ht="30" customHeight="1">
      <c r="A46" s="444"/>
      <c r="B46" s="444"/>
      <c r="C46" s="444"/>
      <c r="D46" s="1133"/>
      <c r="E46" s="445"/>
      <c r="F46" s="1146"/>
      <c r="G46" s="1146"/>
      <c r="H46" s="444"/>
      <c r="I46" s="444"/>
      <c r="J46" s="1146"/>
      <c r="K46" s="1146"/>
      <c r="L46" s="444"/>
      <c r="M46" s="444"/>
      <c r="N46" s="1146"/>
      <c r="O46" s="1146"/>
      <c r="P46" s="444"/>
      <c r="Q46" s="444"/>
      <c r="R46" s="1146"/>
      <c r="S46" s="1146"/>
      <c r="T46" s="444"/>
      <c r="U46" s="444"/>
      <c r="V46" s="446"/>
    </row>
    <row r="47" spans="1:22" ht="30" customHeight="1">
      <c r="A47" s="444"/>
      <c r="B47" s="444"/>
      <c r="C47" s="444"/>
      <c r="D47" s="1133"/>
      <c r="E47" s="445"/>
      <c r="F47" s="1146"/>
      <c r="G47" s="1146"/>
      <c r="H47" s="444"/>
      <c r="I47" s="444"/>
      <c r="J47" s="1146"/>
      <c r="K47" s="1146"/>
      <c r="L47" s="444"/>
      <c r="M47" s="444"/>
      <c r="N47" s="1146"/>
      <c r="O47" s="1146"/>
      <c r="P47" s="444"/>
      <c r="Q47" s="444"/>
      <c r="R47" s="1146"/>
      <c r="S47" s="1146"/>
      <c r="T47" s="444"/>
      <c r="U47" s="444"/>
      <c r="V47" s="446"/>
    </row>
    <row r="48" spans="1:22" ht="30" customHeight="1">
      <c r="A48" s="444"/>
      <c r="B48" s="444"/>
      <c r="C48" s="444"/>
      <c r="D48" s="1133"/>
      <c r="E48" s="445"/>
      <c r="F48" s="1146"/>
      <c r="G48" s="1146"/>
      <c r="H48" s="444"/>
      <c r="I48" s="444"/>
      <c r="J48" s="1146"/>
      <c r="K48" s="1146"/>
      <c r="L48" s="444"/>
      <c r="M48" s="444"/>
      <c r="N48" s="1146"/>
      <c r="O48" s="1146"/>
      <c r="P48" s="444"/>
      <c r="Q48" s="444"/>
      <c r="R48" s="1146"/>
      <c r="S48" s="1146"/>
      <c r="T48" s="444"/>
      <c r="U48" s="444"/>
      <c r="V48" s="446"/>
    </row>
    <row r="49" spans="1:57" ht="30" customHeight="1">
      <c r="A49" s="443" t="s">
        <v>85</v>
      </c>
      <c r="B49" s="444"/>
      <c r="C49" s="444"/>
      <c r="D49" s="1133"/>
      <c r="E49" s="445"/>
      <c r="F49" s="1146"/>
      <c r="G49" s="1147">
        <v>5408003.6600000011</v>
      </c>
      <c r="H49" s="444"/>
      <c r="I49" s="450">
        <f>SUM(I28:I48)</f>
        <v>2924356.5</v>
      </c>
      <c r="J49" s="1146"/>
      <c r="K49" s="1147">
        <v>13696835.52</v>
      </c>
      <c r="L49" s="444"/>
      <c r="M49" s="450">
        <f>SUM(M28:M48)</f>
        <v>8417630.4000000004</v>
      </c>
      <c r="N49" s="1146"/>
      <c r="O49" s="1147">
        <v>0</v>
      </c>
      <c r="P49" s="444"/>
      <c r="Q49" s="450">
        <f>SUM(Q28:Q48)</f>
        <v>30658</v>
      </c>
      <c r="R49" s="1146"/>
      <c r="S49" s="1147">
        <v>19104839.18</v>
      </c>
      <c r="T49" s="444"/>
      <c r="U49" s="450">
        <f>SUM(U28:U48)</f>
        <v>11372644.9</v>
      </c>
      <c r="V49" s="446"/>
      <c r="W49" s="449" t="s">
        <v>86</v>
      </c>
    </row>
    <row r="50" spans="1:57" ht="30" customHeight="1">
      <c r="A50" s="455" t="s">
        <v>4752</v>
      </c>
      <c r="B50" s="456"/>
      <c r="C50" s="456"/>
      <c r="D50" s="1134"/>
      <c r="E50" s="457"/>
      <c r="F50" s="1148"/>
      <c r="G50" s="1148"/>
      <c r="H50" s="456"/>
      <c r="I50" s="456"/>
      <c r="J50" s="1148"/>
      <c r="K50" s="1148"/>
      <c r="L50" s="456"/>
      <c r="M50" s="456"/>
      <c r="N50" s="1148"/>
      <c r="O50" s="1148"/>
      <c r="P50" s="456"/>
      <c r="Q50" s="456"/>
      <c r="R50" s="1148"/>
      <c r="S50" s="1148"/>
      <c r="T50" s="456"/>
      <c r="U50" s="456"/>
      <c r="V50" s="458"/>
      <c r="W50" s="459"/>
      <c r="X50" s="459"/>
      <c r="Y50" s="459"/>
      <c r="Z50" s="460" t="s">
        <v>174</v>
      </c>
      <c r="AA50" s="459"/>
      <c r="AB50" s="459"/>
      <c r="AC50" s="459"/>
      <c r="AD50" s="459"/>
      <c r="AE50" s="459"/>
      <c r="AF50" s="459"/>
      <c r="AG50" s="459"/>
      <c r="AH50" s="459"/>
      <c r="AI50" s="459"/>
      <c r="AJ50" s="459"/>
      <c r="AK50" s="459"/>
      <c r="AL50" s="459"/>
      <c r="AM50" s="459"/>
      <c r="AN50" s="459"/>
      <c r="AO50" s="459"/>
      <c r="AP50" s="459"/>
      <c r="AQ50" s="459"/>
      <c r="AR50" s="459"/>
      <c r="AS50" s="459"/>
      <c r="AT50" s="459"/>
      <c r="AU50" s="459"/>
      <c r="AV50" s="459"/>
      <c r="AW50" s="459"/>
      <c r="AX50" s="459"/>
      <c r="AY50" s="459"/>
      <c r="AZ50" s="459"/>
      <c r="BA50" s="459"/>
      <c r="BB50" s="459"/>
      <c r="BC50" s="459"/>
      <c r="BD50" s="459"/>
      <c r="BE50" s="459"/>
    </row>
    <row r="51" spans="1:57" ht="30" customHeight="1">
      <c r="A51" s="443" t="s">
        <v>175</v>
      </c>
      <c r="B51" s="443" t="s">
        <v>176</v>
      </c>
      <c r="C51" s="443" t="s">
        <v>59</v>
      </c>
      <c r="D51" s="1133">
        <v>152.19</v>
      </c>
      <c r="E51" s="445">
        <f>'1층전시실산출'!H137</f>
        <v>152.19</v>
      </c>
      <c r="F51" s="1147">
        <v>9977</v>
      </c>
      <c r="G51" s="1147">
        <v>1518399.63</v>
      </c>
      <c r="H51" s="450">
        <f>TRUNC(일위대가목록!F31,0)</f>
        <v>9977</v>
      </c>
      <c r="I51" s="450">
        <f t="shared" ref="I51:I63" si="6">E51*H51</f>
        <v>1518399.63</v>
      </c>
      <c r="J51" s="1147">
        <v>25424</v>
      </c>
      <c r="K51" s="1147">
        <v>3869278.56</v>
      </c>
      <c r="L51" s="450">
        <f>TRUNC(일위대가목록!H31,0)</f>
        <v>25424</v>
      </c>
      <c r="M51" s="450">
        <f t="shared" ref="M51:M63" si="7">E51*L51</f>
        <v>3869278.56</v>
      </c>
      <c r="N51" s="1147">
        <v>0</v>
      </c>
      <c r="O51" s="1147">
        <v>0</v>
      </c>
      <c r="P51" s="450">
        <f>TRUNC(일위대가목록!J31,0)</f>
        <v>0</v>
      </c>
      <c r="Q51" s="450">
        <f t="shared" ref="Q51:Q63" si="8">E51*P51</f>
        <v>0</v>
      </c>
      <c r="R51" s="1147">
        <v>35401</v>
      </c>
      <c r="S51" s="1147">
        <v>5387678.1899999995</v>
      </c>
      <c r="T51" s="450">
        <f t="shared" ref="T51:T63" si="9">H51+L51+P51</f>
        <v>35401</v>
      </c>
      <c r="U51" s="450">
        <f t="shared" ref="U51:U63" si="10">I51+M51+Q51</f>
        <v>5387678.1899999995</v>
      </c>
      <c r="V51" s="454" t="str">
        <f>일위대가목록!M31</f>
        <v>호표 28</v>
      </c>
      <c r="W51" s="448" t="s">
        <v>177</v>
      </c>
      <c r="X51" s="448" t="s">
        <v>51</v>
      </c>
      <c r="Y51" s="448" t="s">
        <v>51</v>
      </c>
      <c r="Z51" s="448" t="s">
        <v>174</v>
      </c>
      <c r="AA51" s="448" t="s">
        <v>61</v>
      </c>
      <c r="AB51" s="448" t="s">
        <v>62</v>
      </c>
      <c r="AC51" s="448" t="s">
        <v>62</v>
      </c>
      <c r="AD51" s="447"/>
      <c r="AE51" s="447"/>
      <c r="AF51" s="447"/>
      <c r="AG51" s="447"/>
      <c r="AH51" s="447"/>
      <c r="AI51" s="447"/>
      <c r="AJ51" s="447"/>
      <c r="AK51" s="447"/>
      <c r="AL51" s="447"/>
      <c r="AM51" s="447"/>
      <c r="AN51" s="447"/>
      <c r="AO51" s="447"/>
      <c r="AP51" s="447"/>
      <c r="AQ51" s="447"/>
      <c r="AR51" s="447"/>
      <c r="AS51" s="447"/>
      <c r="AT51" s="447"/>
      <c r="AU51" s="447"/>
      <c r="AV51" s="447"/>
      <c r="AW51" s="447"/>
      <c r="AX51" s="447"/>
      <c r="AY51" s="447"/>
      <c r="AZ51" s="447"/>
      <c r="BA51" s="448" t="s">
        <v>51</v>
      </c>
      <c r="BB51" s="448" t="s">
        <v>51</v>
      </c>
      <c r="BC51" s="447"/>
      <c r="BD51" s="448" t="s">
        <v>178</v>
      </c>
      <c r="BE51" s="447">
        <v>107</v>
      </c>
    </row>
    <row r="52" spans="1:57" ht="30" customHeight="1">
      <c r="A52" s="443" t="s">
        <v>185</v>
      </c>
      <c r="B52" s="443" t="s">
        <v>188</v>
      </c>
      <c r="C52" s="443" t="s">
        <v>59</v>
      </c>
      <c r="D52" s="1133">
        <v>122.66999999999999</v>
      </c>
      <c r="E52" s="445">
        <f>'1층전시실산출'!H140</f>
        <v>122.66999999999999</v>
      </c>
      <c r="F52" s="1147">
        <v>5162</v>
      </c>
      <c r="G52" s="1147">
        <v>633222.53999999992</v>
      </c>
      <c r="H52" s="450">
        <f>TRUNC(일위대가목록!F35,0)</f>
        <v>5667</v>
      </c>
      <c r="I52" s="450">
        <f t="shared" si="6"/>
        <v>695170.8899999999</v>
      </c>
      <c r="J52" s="1147">
        <v>14470</v>
      </c>
      <c r="K52" s="1147">
        <v>1775034.9</v>
      </c>
      <c r="L52" s="450">
        <f>TRUNC(일위대가목록!H35,0)</f>
        <v>16860</v>
      </c>
      <c r="M52" s="450">
        <f t="shared" si="7"/>
        <v>2068216.1999999997</v>
      </c>
      <c r="N52" s="1147">
        <v>0</v>
      </c>
      <c r="O52" s="1147">
        <v>0</v>
      </c>
      <c r="P52" s="450">
        <f>TRUNC(일위대가목록!J35,0)</f>
        <v>0</v>
      </c>
      <c r="Q52" s="450">
        <f t="shared" si="8"/>
        <v>0</v>
      </c>
      <c r="R52" s="1147">
        <v>19632</v>
      </c>
      <c r="S52" s="1147">
        <v>2408257.44</v>
      </c>
      <c r="T52" s="450">
        <f t="shared" si="9"/>
        <v>22527</v>
      </c>
      <c r="U52" s="450">
        <f t="shared" si="10"/>
        <v>2763387.09</v>
      </c>
      <c r="V52" s="454" t="str">
        <f>일위대가목록!M35</f>
        <v>호표 32</v>
      </c>
      <c r="W52" s="448" t="s">
        <v>189</v>
      </c>
      <c r="X52" s="448" t="s">
        <v>51</v>
      </c>
      <c r="Y52" s="448" t="s">
        <v>51</v>
      </c>
      <c r="Z52" s="448" t="s">
        <v>174</v>
      </c>
      <c r="AA52" s="448" t="s">
        <v>61</v>
      </c>
      <c r="AB52" s="448" t="s">
        <v>62</v>
      </c>
      <c r="AC52" s="448" t="s">
        <v>62</v>
      </c>
      <c r="AD52" s="447"/>
      <c r="AE52" s="447"/>
      <c r="AF52" s="447"/>
      <c r="AG52" s="447"/>
      <c r="AH52" s="447"/>
      <c r="AI52" s="447"/>
      <c r="AJ52" s="447"/>
      <c r="AK52" s="447"/>
      <c r="AL52" s="447"/>
      <c r="AM52" s="447"/>
      <c r="AN52" s="447"/>
      <c r="AO52" s="447"/>
      <c r="AP52" s="447"/>
      <c r="AQ52" s="447"/>
      <c r="AR52" s="447"/>
      <c r="AS52" s="447"/>
      <c r="AT52" s="447"/>
      <c r="AU52" s="447"/>
      <c r="AV52" s="447"/>
      <c r="AW52" s="447"/>
      <c r="AX52" s="447"/>
      <c r="AY52" s="447"/>
      <c r="AZ52" s="447"/>
      <c r="BA52" s="448" t="s">
        <v>51</v>
      </c>
      <c r="BB52" s="448" t="s">
        <v>51</v>
      </c>
      <c r="BC52" s="447"/>
      <c r="BD52" s="448" t="s">
        <v>190</v>
      </c>
      <c r="BE52" s="447">
        <v>100</v>
      </c>
    </row>
    <row r="53" spans="1:57" ht="30" customHeight="1">
      <c r="A53" s="443" t="s">
        <v>182</v>
      </c>
      <c r="B53" s="443" t="s">
        <v>191</v>
      </c>
      <c r="C53" s="443" t="s">
        <v>59</v>
      </c>
      <c r="D53" s="1133">
        <v>79.92</v>
      </c>
      <c r="E53" s="445">
        <f>'1층전시실산출'!H141</f>
        <v>79.92</v>
      </c>
      <c r="F53" s="1147">
        <v>9392</v>
      </c>
      <c r="G53" s="1147">
        <v>750608.64</v>
      </c>
      <c r="H53" s="450">
        <f>TRUNC(일위대가목록!F36,0)</f>
        <v>7618</v>
      </c>
      <c r="I53" s="450">
        <f t="shared" si="6"/>
        <v>608830.56000000006</v>
      </c>
      <c r="J53" s="1147">
        <v>14470</v>
      </c>
      <c r="K53" s="1147">
        <v>1156442.4000000001</v>
      </c>
      <c r="L53" s="450">
        <f>TRUNC(일위대가목록!H36,0)</f>
        <v>16860</v>
      </c>
      <c r="M53" s="450">
        <f t="shared" si="7"/>
        <v>1347451.2</v>
      </c>
      <c r="N53" s="1147">
        <v>0</v>
      </c>
      <c r="O53" s="1147">
        <v>0</v>
      </c>
      <c r="P53" s="450">
        <f>TRUNC(일위대가목록!J36,0)</f>
        <v>0</v>
      </c>
      <c r="Q53" s="450">
        <f t="shared" si="8"/>
        <v>0</v>
      </c>
      <c r="R53" s="1147">
        <v>23862</v>
      </c>
      <c r="S53" s="1147">
        <v>1907051.04</v>
      </c>
      <c r="T53" s="450">
        <f t="shared" si="9"/>
        <v>24478</v>
      </c>
      <c r="U53" s="450">
        <f t="shared" si="10"/>
        <v>1956281.76</v>
      </c>
      <c r="V53" s="454" t="str">
        <f>일위대가목록!M36</f>
        <v>호표 33</v>
      </c>
      <c r="W53" s="448" t="s">
        <v>192</v>
      </c>
      <c r="X53" s="448" t="s">
        <v>51</v>
      </c>
      <c r="Y53" s="448" t="s">
        <v>51</v>
      </c>
      <c r="Z53" s="448" t="s">
        <v>174</v>
      </c>
      <c r="AA53" s="448" t="s">
        <v>61</v>
      </c>
      <c r="AB53" s="448" t="s">
        <v>62</v>
      </c>
      <c r="AC53" s="448" t="s">
        <v>62</v>
      </c>
      <c r="AD53" s="447"/>
      <c r="AE53" s="447"/>
      <c r="AF53" s="447"/>
      <c r="AG53" s="447"/>
      <c r="AH53" s="447"/>
      <c r="AI53" s="447"/>
      <c r="AJ53" s="447"/>
      <c r="AK53" s="447"/>
      <c r="AL53" s="447"/>
      <c r="AM53" s="447"/>
      <c r="AN53" s="447"/>
      <c r="AO53" s="447"/>
      <c r="AP53" s="447"/>
      <c r="AQ53" s="447"/>
      <c r="AR53" s="447"/>
      <c r="AS53" s="447"/>
      <c r="AT53" s="447"/>
      <c r="AU53" s="447"/>
      <c r="AV53" s="447"/>
      <c r="AW53" s="447"/>
      <c r="AX53" s="447"/>
      <c r="AY53" s="447"/>
      <c r="AZ53" s="447"/>
      <c r="BA53" s="448" t="s">
        <v>51</v>
      </c>
      <c r="BB53" s="448" t="s">
        <v>51</v>
      </c>
      <c r="BC53" s="447"/>
      <c r="BD53" s="448" t="s">
        <v>193</v>
      </c>
      <c r="BE53" s="447">
        <v>451</v>
      </c>
    </row>
    <row r="54" spans="1:57" ht="30" customHeight="1">
      <c r="A54" s="443" t="s">
        <v>194</v>
      </c>
      <c r="B54" s="443" t="s">
        <v>195</v>
      </c>
      <c r="C54" s="443" t="s">
        <v>59</v>
      </c>
      <c r="D54" s="1133">
        <v>12.96</v>
      </c>
      <c r="E54" s="445">
        <f>'1층전시실산출'!H143</f>
        <v>12.96</v>
      </c>
      <c r="F54" s="1147">
        <v>4117</v>
      </c>
      <c r="G54" s="1147">
        <v>53356.320000000007</v>
      </c>
      <c r="H54" s="450">
        <f>TRUNC(일위대가목록!F37,0)</f>
        <v>4117</v>
      </c>
      <c r="I54" s="450">
        <f t="shared" si="6"/>
        <v>53356.320000000007</v>
      </c>
      <c r="J54" s="1147">
        <v>12993</v>
      </c>
      <c r="K54" s="1147">
        <v>168389.28</v>
      </c>
      <c r="L54" s="450">
        <f>TRUNC(일위대가목록!H37,0)</f>
        <v>12993</v>
      </c>
      <c r="M54" s="450">
        <f t="shared" si="7"/>
        <v>168389.28</v>
      </c>
      <c r="N54" s="1147">
        <v>259</v>
      </c>
      <c r="O54" s="1147">
        <v>3356.6400000000003</v>
      </c>
      <c r="P54" s="450">
        <f>TRUNC(일위대가목록!J37,0)</f>
        <v>259</v>
      </c>
      <c r="Q54" s="450">
        <f t="shared" si="8"/>
        <v>3356.6400000000003</v>
      </c>
      <c r="R54" s="1147">
        <v>17369</v>
      </c>
      <c r="S54" s="1147">
        <v>225102.24000000002</v>
      </c>
      <c r="T54" s="450">
        <f t="shared" si="9"/>
        <v>17369</v>
      </c>
      <c r="U54" s="450">
        <f t="shared" si="10"/>
        <v>225102.24000000002</v>
      </c>
      <c r="V54" s="454" t="str">
        <f>일위대가목록!M37</f>
        <v>호표 34</v>
      </c>
      <c r="W54" s="448" t="s">
        <v>196</v>
      </c>
      <c r="X54" s="448" t="s">
        <v>51</v>
      </c>
      <c r="Y54" s="448" t="s">
        <v>51</v>
      </c>
      <c r="Z54" s="448" t="s">
        <v>174</v>
      </c>
      <c r="AA54" s="448" t="s">
        <v>61</v>
      </c>
      <c r="AB54" s="448" t="s">
        <v>62</v>
      </c>
      <c r="AC54" s="448" t="s">
        <v>62</v>
      </c>
      <c r="AD54" s="447"/>
      <c r="AE54" s="447"/>
      <c r="AF54" s="447"/>
      <c r="AG54" s="447"/>
      <c r="AH54" s="447"/>
      <c r="AI54" s="447"/>
      <c r="AJ54" s="447"/>
      <c r="AK54" s="447"/>
      <c r="AL54" s="447"/>
      <c r="AM54" s="447"/>
      <c r="AN54" s="447"/>
      <c r="AO54" s="447"/>
      <c r="AP54" s="447"/>
      <c r="AQ54" s="447"/>
      <c r="AR54" s="447"/>
      <c r="AS54" s="447"/>
      <c r="AT54" s="447"/>
      <c r="AU54" s="447"/>
      <c r="AV54" s="447"/>
      <c r="AW54" s="447"/>
      <c r="AX54" s="447"/>
      <c r="AY54" s="447"/>
      <c r="AZ54" s="447"/>
      <c r="BA54" s="448" t="s">
        <v>51</v>
      </c>
      <c r="BB54" s="448" t="s">
        <v>51</v>
      </c>
      <c r="BC54" s="447"/>
      <c r="BD54" s="448" t="s">
        <v>197</v>
      </c>
      <c r="BE54" s="447">
        <v>452</v>
      </c>
    </row>
    <row r="55" spans="1:57" ht="30" customHeight="1">
      <c r="A55" s="443" t="s">
        <v>198</v>
      </c>
      <c r="B55" s="443" t="s">
        <v>199</v>
      </c>
      <c r="C55" s="443" t="s">
        <v>59</v>
      </c>
      <c r="D55" s="1133">
        <v>12.96</v>
      </c>
      <c r="E55" s="445">
        <f>'1층전시실산출'!H144</f>
        <v>12.96</v>
      </c>
      <c r="F55" s="1147">
        <v>3925</v>
      </c>
      <c r="G55" s="1147">
        <v>50868</v>
      </c>
      <c r="H55" s="450">
        <f>TRUNC(일위대가목록!F38,0)</f>
        <v>3925</v>
      </c>
      <c r="I55" s="450">
        <f t="shared" si="6"/>
        <v>50868</v>
      </c>
      <c r="J55" s="1147">
        <v>12993</v>
      </c>
      <c r="K55" s="1147">
        <v>168389.28</v>
      </c>
      <c r="L55" s="450">
        <f>TRUNC(일위대가목록!H38,0)</f>
        <v>12993</v>
      </c>
      <c r="M55" s="450">
        <f t="shared" si="7"/>
        <v>168389.28</v>
      </c>
      <c r="N55" s="1147">
        <v>259</v>
      </c>
      <c r="O55" s="1147">
        <v>3356.6400000000003</v>
      </c>
      <c r="P55" s="450">
        <f>TRUNC(일위대가목록!J38,0)</f>
        <v>259</v>
      </c>
      <c r="Q55" s="450">
        <f t="shared" si="8"/>
        <v>3356.6400000000003</v>
      </c>
      <c r="R55" s="1147">
        <v>17177</v>
      </c>
      <c r="S55" s="1147">
        <v>222613.92</v>
      </c>
      <c r="T55" s="450">
        <f t="shared" si="9"/>
        <v>17177</v>
      </c>
      <c r="U55" s="450">
        <f t="shared" si="10"/>
        <v>222613.92</v>
      </c>
      <c r="V55" s="454" t="str">
        <f>일위대가목록!M38</f>
        <v>호표 35</v>
      </c>
      <c r="W55" s="448" t="s">
        <v>200</v>
      </c>
      <c r="X55" s="448" t="s">
        <v>51</v>
      </c>
      <c r="Y55" s="448" t="s">
        <v>51</v>
      </c>
      <c r="Z55" s="448" t="s">
        <v>174</v>
      </c>
      <c r="AA55" s="448" t="s">
        <v>61</v>
      </c>
      <c r="AB55" s="448" t="s">
        <v>62</v>
      </c>
      <c r="AC55" s="448" t="s">
        <v>62</v>
      </c>
      <c r="AD55" s="447"/>
      <c r="AE55" s="447"/>
      <c r="AF55" s="447"/>
      <c r="AG55" s="447"/>
      <c r="AH55" s="447"/>
      <c r="AI55" s="447"/>
      <c r="AJ55" s="447"/>
      <c r="AK55" s="447"/>
      <c r="AL55" s="447"/>
      <c r="AM55" s="447"/>
      <c r="AN55" s="447"/>
      <c r="AO55" s="447"/>
      <c r="AP55" s="447"/>
      <c r="AQ55" s="447"/>
      <c r="AR55" s="447"/>
      <c r="AS55" s="447"/>
      <c r="AT55" s="447"/>
      <c r="AU55" s="447"/>
      <c r="AV55" s="447"/>
      <c r="AW55" s="447"/>
      <c r="AX55" s="447"/>
      <c r="AY55" s="447"/>
      <c r="AZ55" s="447"/>
      <c r="BA55" s="448" t="s">
        <v>51</v>
      </c>
      <c r="BB55" s="448" t="s">
        <v>51</v>
      </c>
      <c r="BC55" s="447"/>
      <c r="BD55" s="448" t="s">
        <v>201</v>
      </c>
      <c r="BE55" s="447">
        <v>453</v>
      </c>
    </row>
    <row r="56" spans="1:57" ht="30" customHeight="1">
      <c r="A56" s="443" t="s">
        <v>202</v>
      </c>
      <c r="B56" s="443" t="s">
        <v>203</v>
      </c>
      <c r="C56" s="443" t="s">
        <v>204</v>
      </c>
      <c r="D56" s="1133">
        <v>12.9</v>
      </c>
      <c r="E56" s="445">
        <f>'1층전시실산출'!H146</f>
        <v>12.9</v>
      </c>
      <c r="F56" s="1147">
        <v>2500</v>
      </c>
      <c r="G56" s="1147">
        <v>32250</v>
      </c>
      <c r="H56" s="450">
        <f>TRUNC(일위대가목록!F39,0)</f>
        <v>2500</v>
      </c>
      <c r="I56" s="450">
        <f t="shared" si="6"/>
        <v>32250</v>
      </c>
      <c r="J56" s="1147">
        <v>2568</v>
      </c>
      <c r="K56" s="1147">
        <v>33127.200000000004</v>
      </c>
      <c r="L56" s="450">
        <f>TRUNC(일위대가목록!H39,0)</f>
        <v>2568</v>
      </c>
      <c r="M56" s="450">
        <f t="shared" si="7"/>
        <v>33127.200000000004</v>
      </c>
      <c r="N56" s="1147">
        <v>51</v>
      </c>
      <c r="O56" s="1147">
        <v>657.9</v>
      </c>
      <c r="P56" s="450">
        <f>TRUNC(일위대가목록!J39,0)</f>
        <v>51</v>
      </c>
      <c r="Q56" s="450">
        <f t="shared" si="8"/>
        <v>657.9</v>
      </c>
      <c r="R56" s="1147">
        <v>5119</v>
      </c>
      <c r="S56" s="1147">
        <v>66035.100000000006</v>
      </c>
      <c r="T56" s="450">
        <f t="shared" si="9"/>
        <v>5119</v>
      </c>
      <c r="U56" s="450">
        <f t="shared" si="10"/>
        <v>66035.100000000006</v>
      </c>
      <c r="V56" s="454" t="str">
        <f>일위대가목록!M39</f>
        <v>호표 36</v>
      </c>
      <c r="W56" s="448" t="s">
        <v>205</v>
      </c>
      <c r="X56" s="448" t="s">
        <v>51</v>
      </c>
      <c r="Y56" s="448" t="s">
        <v>51</v>
      </c>
      <c r="Z56" s="448" t="s">
        <v>174</v>
      </c>
      <c r="AA56" s="448" t="s">
        <v>61</v>
      </c>
      <c r="AB56" s="448" t="s">
        <v>62</v>
      </c>
      <c r="AC56" s="448" t="s">
        <v>62</v>
      </c>
      <c r="AD56" s="447"/>
      <c r="AE56" s="447"/>
      <c r="AF56" s="447"/>
      <c r="AG56" s="447"/>
      <c r="AH56" s="447"/>
      <c r="AI56" s="447"/>
      <c r="AJ56" s="447"/>
      <c r="AK56" s="447"/>
      <c r="AL56" s="447"/>
      <c r="AM56" s="447"/>
      <c r="AN56" s="447"/>
      <c r="AO56" s="447"/>
      <c r="AP56" s="447"/>
      <c r="AQ56" s="447"/>
      <c r="AR56" s="447"/>
      <c r="AS56" s="447"/>
      <c r="AT56" s="447"/>
      <c r="AU56" s="447"/>
      <c r="AV56" s="447"/>
      <c r="AW56" s="447"/>
      <c r="AX56" s="447"/>
      <c r="AY56" s="447"/>
      <c r="AZ56" s="447"/>
      <c r="BA56" s="448" t="s">
        <v>51</v>
      </c>
      <c r="BB56" s="448" t="s">
        <v>51</v>
      </c>
      <c r="BC56" s="447"/>
      <c r="BD56" s="448" t="s">
        <v>206</v>
      </c>
      <c r="BE56" s="447">
        <v>98</v>
      </c>
    </row>
    <row r="57" spans="1:57" ht="30" customHeight="1">
      <c r="A57" s="443" t="s">
        <v>207</v>
      </c>
      <c r="B57" s="443" t="s">
        <v>208</v>
      </c>
      <c r="C57" s="443" t="s">
        <v>59</v>
      </c>
      <c r="D57" s="1133">
        <v>9.7999999999999989</v>
      </c>
      <c r="E57" s="445">
        <f>'1층전시실산출'!H148</f>
        <v>9.7999999999999989</v>
      </c>
      <c r="F57" s="1147">
        <v>4200</v>
      </c>
      <c r="G57" s="1147">
        <v>41159.999999999993</v>
      </c>
      <c r="H57" s="450">
        <f>TRUNC(일위대가목록!F40,0)</f>
        <v>4200</v>
      </c>
      <c r="I57" s="450">
        <f t="shared" si="6"/>
        <v>41159.999999999993</v>
      </c>
      <c r="J57" s="1147">
        <v>7107</v>
      </c>
      <c r="K57" s="1147">
        <v>69648.599999999991</v>
      </c>
      <c r="L57" s="450">
        <f>TRUNC(일위대가목록!H40,0)</f>
        <v>7107</v>
      </c>
      <c r="M57" s="450">
        <f t="shared" si="7"/>
        <v>69648.599999999991</v>
      </c>
      <c r="N57" s="1147">
        <v>142</v>
      </c>
      <c r="O57" s="1147">
        <v>1391.6</v>
      </c>
      <c r="P57" s="450">
        <f>TRUNC(일위대가목록!J40,0)</f>
        <v>142</v>
      </c>
      <c r="Q57" s="450">
        <f t="shared" si="8"/>
        <v>1391.6</v>
      </c>
      <c r="R57" s="1147">
        <v>11449</v>
      </c>
      <c r="S57" s="1147">
        <v>112200.19999999998</v>
      </c>
      <c r="T57" s="450">
        <f t="shared" si="9"/>
        <v>11449</v>
      </c>
      <c r="U57" s="450">
        <f t="shared" si="10"/>
        <v>112200.19999999998</v>
      </c>
      <c r="V57" s="454" t="str">
        <f>일위대가목록!M40</f>
        <v>호표 37</v>
      </c>
      <c r="W57" s="448" t="s">
        <v>209</v>
      </c>
      <c r="X57" s="448" t="s">
        <v>51</v>
      </c>
      <c r="Y57" s="448" t="s">
        <v>51</v>
      </c>
      <c r="Z57" s="448" t="s">
        <v>174</v>
      </c>
      <c r="AA57" s="448" t="s">
        <v>61</v>
      </c>
      <c r="AB57" s="448" t="s">
        <v>62</v>
      </c>
      <c r="AC57" s="448" t="s">
        <v>62</v>
      </c>
      <c r="AD57" s="447"/>
      <c r="AE57" s="447"/>
      <c r="AF57" s="447"/>
      <c r="AG57" s="447"/>
      <c r="AH57" s="447"/>
      <c r="AI57" s="447"/>
      <c r="AJ57" s="447"/>
      <c r="AK57" s="447"/>
      <c r="AL57" s="447"/>
      <c r="AM57" s="447"/>
      <c r="AN57" s="447"/>
      <c r="AO57" s="447"/>
      <c r="AP57" s="447"/>
      <c r="AQ57" s="447"/>
      <c r="AR57" s="447"/>
      <c r="AS57" s="447"/>
      <c r="AT57" s="447"/>
      <c r="AU57" s="447"/>
      <c r="AV57" s="447"/>
      <c r="AW57" s="447"/>
      <c r="AX57" s="447"/>
      <c r="AY57" s="447"/>
      <c r="AZ57" s="447"/>
      <c r="BA57" s="448" t="s">
        <v>51</v>
      </c>
      <c r="BB57" s="448" t="s">
        <v>51</v>
      </c>
      <c r="BC57" s="447"/>
      <c r="BD57" s="448" t="s">
        <v>210</v>
      </c>
      <c r="BE57" s="447">
        <v>454</v>
      </c>
    </row>
    <row r="58" spans="1:57" ht="30" customHeight="1">
      <c r="A58" s="443" t="s">
        <v>194</v>
      </c>
      <c r="B58" s="443" t="s">
        <v>211</v>
      </c>
      <c r="C58" s="443" t="s">
        <v>59</v>
      </c>
      <c r="D58" s="1133">
        <v>9.7999999999999989</v>
      </c>
      <c r="E58" s="445">
        <f>'1층전시실산출'!H149</f>
        <v>9.7999999999999989</v>
      </c>
      <c r="F58" s="1147">
        <v>8526</v>
      </c>
      <c r="G58" s="1147">
        <v>83554.799999999988</v>
      </c>
      <c r="H58" s="450">
        <f>TRUNC(일위대가목록!F41,0)</f>
        <v>8526</v>
      </c>
      <c r="I58" s="450">
        <f t="shared" si="6"/>
        <v>83554.799999999988</v>
      </c>
      <c r="J58" s="1147">
        <v>12993</v>
      </c>
      <c r="K58" s="1147">
        <v>127331.39999999998</v>
      </c>
      <c r="L58" s="450">
        <f>TRUNC(일위대가목록!H41,0)</f>
        <v>12993</v>
      </c>
      <c r="M58" s="450">
        <f t="shared" si="7"/>
        <v>127331.39999999998</v>
      </c>
      <c r="N58" s="1147">
        <v>259</v>
      </c>
      <c r="O58" s="1147">
        <v>2538.1999999999998</v>
      </c>
      <c r="P58" s="450">
        <f>TRUNC(일위대가목록!J41,0)</f>
        <v>259</v>
      </c>
      <c r="Q58" s="450">
        <f t="shared" si="8"/>
        <v>2538.1999999999998</v>
      </c>
      <c r="R58" s="1147">
        <v>21778</v>
      </c>
      <c r="S58" s="1147">
        <v>213424.39999999997</v>
      </c>
      <c r="T58" s="450">
        <f t="shared" si="9"/>
        <v>21778</v>
      </c>
      <c r="U58" s="450">
        <f t="shared" si="10"/>
        <v>213424.39999999997</v>
      </c>
      <c r="V58" s="454" t="str">
        <f>일위대가목록!M41</f>
        <v>호표 38</v>
      </c>
      <c r="W58" s="448" t="s">
        <v>212</v>
      </c>
      <c r="X58" s="448" t="s">
        <v>51</v>
      </c>
      <c r="Y58" s="448" t="s">
        <v>51</v>
      </c>
      <c r="Z58" s="448" t="s">
        <v>174</v>
      </c>
      <c r="AA58" s="448" t="s">
        <v>61</v>
      </c>
      <c r="AB58" s="448" t="s">
        <v>62</v>
      </c>
      <c r="AC58" s="448" t="s">
        <v>62</v>
      </c>
      <c r="AD58" s="447"/>
      <c r="AE58" s="447"/>
      <c r="AF58" s="447"/>
      <c r="AG58" s="447"/>
      <c r="AH58" s="447"/>
      <c r="AI58" s="447"/>
      <c r="AJ58" s="447"/>
      <c r="AK58" s="447"/>
      <c r="AL58" s="447"/>
      <c r="AM58" s="447"/>
      <c r="AN58" s="447"/>
      <c r="AO58" s="447"/>
      <c r="AP58" s="447"/>
      <c r="AQ58" s="447"/>
      <c r="AR58" s="447"/>
      <c r="AS58" s="447"/>
      <c r="AT58" s="447"/>
      <c r="AU58" s="447"/>
      <c r="AV58" s="447"/>
      <c r="AW58" s="447"/>
      <c r="AX58" s="447"/>
      <c r="AY58" s="447"/>
      <c r="AZ58" s="447"/>
      <c r="BA58" s="448" t="s">
        <v>51</v>
      </c>
      <c r="BB58" s="448" t="s">
        <v>51</v>
      </c>
      <c r="BC58" s="447"/>
      <c r="BD58" s="448" t="s">
        <v>213</v>
      </c>
      <c r="BE58" s="447">
        <v>455</v>
      </c>
    </row>
    <row r="59" spans="1:57" ht="30" customHeight="1">
      <c r="A59" s="443" t="s">
        <v>214</v>
      </c>
      <c r="B59" s="443" t="s">
        <v>215</v>
      </c>
      <c r="C59" s="443" t="s">
        <v>204</v>
      </c>
      <c r="D59" s="1133">
        <v>77</v>
      </c>
      <c r="E59" s="445">
        <f>'1층전시실산출'!H150</f>
        <v>77</v>
      </c>
      <c r="F59" s="1147">
        <v>4803</v>
      </c>
      <c r="G59" s="1147">
        <v>369831</v>
      </c>
      <c r="H59" s="450">
        <f>TRUNC(일위대가목록!F42,0)</f>
        <v>4803</v>
      </c>
      <c r="I59" s="450">
        <f t="shared" si="6"/>
        <v>369831</v>
      </c>
      <c r="J59" s="1147">
        <v>7123</v>
      </c>
      <c r="K59" s="1147">
        <v>548471</v>
      </c>
      <c r="L59" s="450">
        <f>TRUNC(일위대가목록!H42,0)</f>
        <v>7123</v>
      </c>
      <c r="M59" s="450">
        <f t="shared" si="7"/>
        <v>548471</v>
      </c>
      <c r="N59" s="1147">
        <v>0</v>
      </c>
      <c r="O59" s="1147">
        <v>0</v>
      </c>
      <c r="P59" s="450">
        <f>TRUNC(일위대가목록!J42,0)</f>
        <v>0</v>
      </c>
      <c r="Q59" s="450">
        <f t="shared" si="8"/>
        <v>0</v>
      </c>
      <c r="R59" s="1147">
        <v>11926</v>
      </c>
      <c r="S59" s="1147">
        <v>918302</v>
      </c>
      <c r="T59" s="450">
        <f t="shared" si="9"/>
        <v>11926</v>
      </c>
      <c r="U59" s="450">
        <f t="shared" si="10"/>
        <v>918302</v>
      </c>
      <c r="V59" s="454" t="str">
        <f>일위대가목록!M42</f>
        <v>호표 39</v>
      </c>
      <c r="W59" s="448" t="s">
        <v>216</v>
      </c>
      <c r="X59" s="448" t="s">
        <v>51</v>
      </c>
      <c r="Y59" s="448" t="s">
        <v>51</v>
      </c>
      <c r="Z59" s="448" t="s">
        <v>174</v>
      </c>
      <c r="AA59" s="448" t="s">
        <v>61</v>
      </c>
      <c r="AB59" s="448" t="s">
        <v>62</v>
      </c>
      <c r="AC59" s="448" t="s">
        <v>62</v>
      </c>
      <c r="AD59" s="447"/>
      <c r="AE59" s="447"/>
      <c r="AF59" s="447"/>
      <c r="AG59" s="447"/>
      <c r="AH59" s="447"/>
      <c r="AI59" s="447"/>
      <c r="AJ59" s="447"/>
      <c r="AK59" s="447"/>
      <c r="AL59" s="447"/>
      <c r="AM59" s="447"/>
      <c r="AN59" s="447"/>
      <c r="AO59" s="447"/>
      <c r="AP59" s="447"/>
      <c r="AQ59" s="447"/>
      <c r="AR59" s="447"/>
      <c r="AS59" s="447"/>
      <c r="AT59" s="447"/>
      <c r="AU59" s="447"/>
      <c r="AV59" s="447"/>
      <c r="AW59" s="447"/>
      <c r="AX59" s="447"/>
      <c r="AY59" s="447"/>
      <c r="AZ59" s="447"/>
      <c r="BA59" s="448" t="s">
        <v>51</v>
      </c>
      <c r="BB59" s="448" t="s">
        <v>51</v>
      </c>
      <c r="BC59" s="447"/>
      <c r="BD59" s="448" t="s">
        <v>217</v>
      </c>
      <c r="BE59" s="447">
        <v>456</v>
      </c>
    </row>
    <row r="60" spans="1:57" ht="30" customHeight="1">
      <c r="A60" s="443" t="s">
        <v>218</v>
      </c>
      <c r="B60" s="443" t="s">
        <v>219</v>
      </c>
      <c r="C60" s="443" t="s">
        <v>59</v>
      </c>
      <c r="D60" s="1133">
        <v>532.78</v>
      </c>
      <c r="E60" s="445">
        <f>'1층전시실산출'!H155</f>
        <v>532.78</v>
      </c>
      <c r="F60" s="1147">
        <v>1908</v>
      </c>
      <c r="G60" s="1147">
        <v>1016544.24</v>
      </c>
      <c r="H60" s="450">
        <f>TRUNC(일위대가목록!F43,0)</f>
        <v>1800</v>
      </c>
      <c r="I60" s="450">
        <f t="shared" si="6"/>
        <v>959004</v>
      </c>
      <c r="J60" s="1147">
        <v>7912</v>
      </c>
      <c r="K60" s="1147">
        <v>4215355.3599999994</v>
      </c>
      <c r="L60" s="450">
        <f>TRUNC(일위대가목록!H43,0)</f>
        <v>3300</v>
      </c>
      <c r="M60" s="450">
        <f t="shared" si="7"/>
        <v>1758174</v>
      </c>
      <c r="N60" s="1147">
        <v>0</v>
      </c>
      <c r="O60" s="1147">
        <v>0</v>
      </c>
      <c r="P60" s="450">
        <f>TRUNC(일위대가목록!J43,0)</f>
        <v>0</v>
      </c>
      <c r="Q60" s="450">
        <f t="shared" si="8"/>
        <v>0</v>
      </c>
      <c r="R60" s="1147">
        <v>9820</v>
      </c>
      <c r="S60" s="1147">
        <v>5231899.5999999996</v>
      </c>
      <c r="T60" s="450">
        <f t="shared" si="9"/>
        <v>5100</v>
      </c>
      <c r="U60" s="450">
        <f t="shared" si="10"/>
        <v>2717178</v>
      </c>
      <c r="V60" s="454" t="str">
        <f>일위대가목록!M43</f>
        <v>호표 40</v>
      </c>
      <c r="W60" s="448" t="s">
        <v>220</v>
      </c>
      <c r="X60" s="448" t="s">
        <v>51</v>
      </c>
      <c r="Y60" s="448" t="s">
        <v>51</v>
      </c>
      <c r="Z60" s="448" t="s">
        <v>174</v>
      </c>
      <c r="AA60" s="448" t="s">
        <v>61</v>
      </c>
      <c r="AB60" s="448" t="s">
        <v>62</v>
      </c>
      <c r="AC60" s="448" t="s">
        <v>62</v>
      </c>
      <c r="AD60" s="447"/>
      <c r="AE60" s="447"/>
      <c r="AF60" s="447"/>
      <c r="AG60" s="447"/>
      <c r="AH60" s="447"/>
      <c r="AI60" s="447"/>
      <c r="AJ60" s="447"/>
      <c r="AK60" s="447"/>
      <c r="AL60" s="447"/>
      <c r="AM60" s="447"/>
      <c r="AN60" s="447"/>
      <c r="AO60" s="447"/>
      <c r="AP60" s="447"/>
      <c r="AQ60" s="447"/>
      <c r="AR60" s="447"/>
      <c r="AS60" s="447"/>
      <c r="AT60" s="447"/>
      <c r="AU60" s="447"/>
      <c r="AV60" s="447"/>
      <c r="AW60" s="447"/>
      <c r="AX60" s="447"/>
      <c r="AY60" s="447"/>
      <c r="AZ60" s="447"/>
      <c r="BA60" s="448" t="s">
        <v>51</v>
      </c>
      <c r="BB60" s="448" t="s">
        <v>51</v>
      </c>
      <c r="BC60" s="447"/>
      <c r="BD60" s="448" t="s">
        <v>221</v>
      </c>
      <c r="BE60" s="447">
        <v>80</v>
      </c>
    </row>
    <row r="61" spans="1:57" ht="30" customHeight="1">
      <c r="A61" s="157" t="s">
        <v>222</v>
      </c>
      <c r="B61" s="157" t="s">
        <v>6823</v>
      </c>
      <c r="C61" s="157" t="s">
        <v>59</v>
      </c>
      <c r="D61" s="1209">
        <v>532.78</v>
      </c>
      <c r="E61" s="1210">
        <f>'1층전시실산출'!H160</f>
        <v>532.78</v>
      </c>
      <c r="F61" s="1211">
        <v>2312</v>
      </c>
      <c r="G61" s="1211">
        <v>1231787.3599999999</v>
      </c>
      <c r="H61" s="1212">
        <f>TRUNC(일위대가목록!F44,0)</f>
        <v>2097</v>
      </c>
      <c r="I61" s="1212">
        <f t="shared" si="6"/>
        <v>1117239.6599999999</v>
      </c>
      <c r="J61" s="1211">
        <v>10764</v>
      </c>
      <c r="K61" s="1211">
        <v>5734843.9199999999</v>
      </c>
      <c r="L61" s="1212">
        <f>TRUNC(일위대가목록!H44,0)</f>
        <v>5053</v>
      </c>
      <c r="M61" s="1212">
        <f t="shared" si="7"/>
        <v>2692137.34</v>
      </c>
      <c r="N61" s="1211">
        <v>0</v>
      </c>
      <c r="O61" s="1211">
        <v>0</v>
      </c>
      <c r="P61" s="1212">
        <f>TRUNC(일위대가목록!J44,0)</f>
        <v>0</v>
      </c>
      <c r="Q61" s="1212">
        <f t="shared" si="8"/>
        <v>0</v>
      </c>
      <c r="R61" s="1211">
        <v>13076</v>
      </c>
      <c r="S61" s="1211">
        <v>6966631.2799999993</v>
      </c>
      <c r="T61" s="1212">
        <f t="shared" si="9"/>
        <v>7150</v>
      </c>
      <c r="U61" s="1212">
        <f t="shared" si="10"/>
        <v>3809377</v>
      </c>
      <c r="V61" s="1213" t="str">
        <f>일위대가목록!M44</f>
        <v>호표 41</v>
      </c>
      <c r="W61" s="448" t="s">
        <v>224</v>
      </c>
      <c r="X61" s="448" t="s">
        <v>51</v>
      </c>
      <c r="Y61" s="448" t="s">
        <v>51</v>
      </c>
      <c r="Z61" s="448" t="s">
        <v>174</v>
      </c>
      <c r="AA61" s="448" t="s">
        <v>61</v>
      </c>
      <c r="AB61" s="448" t="s">
        <v>62</v>
      </c>
      <c r="AC61" s="448" t="s">
        <v>62</v>
      </c>
      <c r="AD61" s="447"/>
      <c r="AE61" s="447"/>
      <c r="AF61" s="447"/>
      <c r="AG61" s="447"/>
      <c r="AH61" s="447"/>
      <c r="AI61" s="447"/>
      <c r="AJ61" s="447"/>
      <c r="AK61" s="447"/>
      <c r="AL61" s="447"/>
      <c r="AM61" s="447"/>
      <c r="AN61" s="447"/>
      <c r="AO61" s="447"/>
      <c r="AP61" s="447"/>
      <c r="AQ61" s="447"/>
      <c r="AR61" s="447"/>
      <c r="AS61" s="447"/>
      <c r="AT61" s="447"/>
      <c r="AU61" s="447"/>
      <c r="AV61" s="447"/>
      <c r="AW61" s="447"/>
      <c r="AX61" s="447"/>
      <c r="AY61" s="447"/>
      <c r="AZ61" s="447"/>
      <c r="BA61" s="448" t="s">
        <v>51</v>
      </c>
      <c r="BB61" s="448" t="s">
        <v>51</v>
      </c>
      <c r="BC61" s="447"/>
      <c r="BD61" s="448" t="s">
        <v>225</v>
      </c>
      <c r="BE61" s="447">
        <v>37</v>
      </c>
    </row>
    <row r="62" spans="1:57" ht="30" customHeight="1">
      <c r="A62" s="443" t="s">
        <v>3720</v>
      </c>
      <c r="B62" s="443" t="s">
        <v>208</v>
      </c>
      <c r="C62" s="443" t="s">
        <v>59</v>
      </c>
      <c r="D62" s="1133">
        <v>6.93</v>
      </c>
      <c r="E62" s="445">
        <f>'1층전시실산출'!H162</f>
        <v>6.93</v>
      </c>
      <c r="F62" s="1147">
        <v>8530</v>
      </c>
      <c r="G62" s="1147">
        <v>59112.899999999994</v>
      </c>
      <c r="H62" s="450">
        <f>TRUNC(일위대가목록!F45,0)</f>
        <v>8530</v>
      </c>
      <c r="I62" s="450">
        <f t="shared" si="6"/>
        <v>59112.899999999994</v>
      </c>
      <c r="J62" s="1147">
        <v>36448</v>
      </c>
      <c r="K62" s="1147">
        <v>252584.63999999998</v>
      </c>
      <c r="L62" s="450">
        <f>TRUNC(일위대가목록!H45,0)</f>
        <v>36448</v>
      </c>
      <c r="M62" s="450">
        <f t="shared" si="7"/>
        <v>252584.63999999998</v>
      </c>
      <c r="N62" s="1147">
        <v>0</v>
      </c>
      <c r="O62" s="1147">
        <v>0</v>
      </c>
      <c r="P62" s="450">
        <f>TRUNC(일위대가목록!J45,0)</f>
        <v>0</v>
      </c>
      <c r="Q62" s="450">
        <f t="shared" si="8"/>
        <v>0</v>
      </c>
      <c r="R62" s="1147">
        <v>44978</v>
      </c>
      <c r="S62" s="1147">
        <v>311697.53999999998</v>
      </c>
      <c r="T62" s="450">
        <f t="shared" si="9"/>
        <v>44978</v>
      </c>
      <c r="U62" s="450">
        <f t="shared" si="10"/>
        <v>311697.53999999998</v>
      </c>
      <c r="V62" s="454" t="str">
        <f>일위대가목록!M45</f>
        <v>호표 42</v>
      </c>
      <c r="W62" s="448" t="s">
        <v>226</v>
      </c>
      <c r="X62" s="448" t="s">
        <v>51</v>
      </c>
      <c r="Y62" s="448" t="s">
        <v>51</v>
      </c>
      <c r="Z62" s="448" t="s">
        <v>174</v>
      </c>
      <c r="AA62" s="448" t="s">
        <v>61</v>
      </c>
      <c r="AB62" s="448" t="s">
        <v>62</v>
      </c>
      <c r="AC62" s="448" t="s">
        <v>62</v>
      </c>
      <c r="AD62" s="447"/>
      <c r="AE62" s="447"/>
      <c r="AF62" s="447"/>
      <c r="AG62" s="447"/>
      <c r="AH62" s="447"/>
      <c r="AI62" s="447"/>
      <c r="AJ62" s="447"/>
      <c r="AK62" s="447"/>
      <c r="AL62" s="447"/>
      <c r="AM62" s="447"/>
      <c r="AN62" s="447"/>
      <c r="AO62" s="447"/>
      <c r="AP62" s="447"/>
      <c r="AQ62" s="447"/>
      <c r="AR62" s="447"/>
      <c r="AS62" s="447"/>
      <c r="AT62" s="447"/>
      <c r="AU62" s="447"/>
      <c r="AV62" s="447"/>
      <c r="AW62" s="447"/>
      <c r="AX62" s="447"/>
      <c r="AY62" s="447"/>
      <c r="AZ62" s="447"/>
      <c r="BA62" s="448" t="s">
        <v>51</v>
      </c>
      <c r="BB62" s="448" t="s">
        <v>51</v>
      </c>
      <c r="BC62" s="447"/>
      <c r="BD62" s="448" t="s">
        <v>227</v>
      </c>
      <c r="BE62" s="447">
        <v>226</v>
      </c>
    </row>
    <row r="63" spans="1:57" ht="30" customHeight="1">
      <c r="A63" s="443" t="s">
        <v>228</v>
      </c>
      <c r="B63" s="443" t="s">
        <v>3803</v>
      </c>
      <c r="C63" s="443" t="s">
        <v>59</v>
      </c>
      <c r="D63" s="1133">
        <v>19.575000000000003</v>
      </c>
      <c r="E63" s="445">
        <f>'1층전시실산출'!H163</f>
        <v>19.575000000000003</v>
      </c>
      <c r="F63" s="1147">
        <v>1772</v>
      </c>
      <c r="G63" s="1147">
        <v>34686.9</v>
      </c>
      <c r="H63" s="450">
        <f>TRUNC(일위대가목록!F46,0)</f>
        <v>1749</v>
      </c>
      <c r="I63" s="450">
        <f t="shared" si="6"/>
        <v>34236.675000000003</v>
      </c>
      <c r="J63" s="1147">
        <v>8687</v>
      </c>
      <c r="K63" s="1147">
        <v>170048.02500000002</v>
      </c>
      <c r="L63" s="450">
        <f>TRUNC(일위대가목록!H46,0)</f>
        <v>8596</v>
      </c>
      <c r="M63" s="450">
        <f t="shared" si="7"/>
        <v>168266.7</v>
      </c>
      <c r="N63" s="1147">
        <v>0</v>
      </c>
      <c r="O63" s="1147">
        <v>0</v>
      </c>
      <c r="P63" s="450">
        <f>TRUNC(일위대가목록!J46,0)</f>
        <v>0</v>
      </c>
      <c r="Q63" s="450">
        <f t="shared" si="8"/>
        <v>0</v>
      </c>
      <c r="R63" s="1147">
        <v>10459</v>
      </c>
      <c r="S63" s="1147">
        <v>204734.92500000002</v>
      </c>
      <c r="T63" s="450">
        <f t="shared" si="9"/>
        <v>10345</v>
      </c>
      <c r="U63" s="450">
        <f t="shared" si="10"/>
        <v>202503.375</v>
      </c>
      <c r="V63" s="454" t="str">
        <f>일위대가목록!M46</f>
        <v>호표 43</v>
      </c>
      <c r="W63" s="448" t="s">
        <v>230</v>
      </c>
      <c r="X63" s="448" t="s">
        <v>51</v>
      </c>
      <c r="Y63" s="448" t="s">
        <v>51</v>
      </c>
      <c r="Z63" s="448" t="s">
        <v>174</v>
      </c>
      <c r="AA63" s="448" t="s">
        <v>61</v>
      </c>
      <c r="AB63" s="448" t="s">
        <v>62</v>
      </c>
      <c r="AC63" s="448" t="s">
        <v>62</v>
      </c>
      <c r="AD63" s="447"/>
      <c r="AE63" s="447"/>
      <c r="AF63" s="447"/>
      <c r="AG63" s="447"/>
      <c r="AH63" s="447"/>
      <c r="AI63" s="447"/>
      <c r="AJ63" s="447"/>
      <c r="AK63" s="447"/>
      <c r="AL63" s="447"/>
      <c r="AM63" s="447"/>
      <c r="AN63" s="447"/>
      <c r="AO63" s="447"/>
      <c r="AP63" s="447"/>
      <c r="AQ63" s="447"/>
      <c r="AR63" s="447"/>
      <c r="AS63" s="447"/>
      <c r="AT63" s="447"/>
      <c r="AU63" s="447"/>
      <c r="AV63" s="447"/>
      <c r="AW63" s="447"/>
      <c r="AX63" s="447"/>
      <c r="AY63" s="447"/>
      <c r="AZ63" s="447"/>
      <c r="BA63" s="448" t="s">
        <v>51</v>
      </c>
      <c r="BB63" s="448" t="s">
        <v>51</v>
      </c>
      <c r="BC63" s="447"/>
      <c r="BD63" s="448" t="s">
        <v>231</v>
      </c>
      <c r="BE63" s="447">
        <v>457</v>
      </c>
    </row>
    <row r="64" spans="1:57" ht="30" customHeight="1">
      <c r="A64" s="443"/>
      <c r="B64" s="443"/>
      <c r="C64" s="443"/>
      <c r="D64" s="1133"/>
      <c r="E64" s="445"/>
      <c r="F64" s="1147"/>
      <c r="G64" s="1147"/>
      <c r="H64" s="450"/>
      <c r="I64" s="450"/>
      <c r="J64" s="1147"/>
      <c r="K64" s="1147"/>
      <c r="L64" s="450"/>
      <c r="M64" s="450"/>
      <c r="N64" s="1147"/>
      <c r="O64" s="1147"/>
      <c r="P64" s="450"/>
      <c r="Q64" s="450"/>
      <c r="R64" s="1147"/>
      <c r="S64" s="1147"/>
      <c r="T64" s="450"/>
      <c r="U64" s="450"/>
      <c r="V64" s="454"/>
      <c r="W64" s="448"/>
      <c r="X64" s="448"/>
      <c r="Y64" s="448"/>
      <c r="Z64" s="448"/>
      <c r="AA64" s="448"/>
      <c r="AB64" s="448"/>
      <c r="AC64" s="448"/>
      <c r="AD64" s="447"/>
      <c r="AE64" s="447"/>
      <c r="AF64" s="447"/>
      <c r="AG64" s="447"/>
      <c r="AH64" s="447"/>
      <c r="AI64" s="447"/>
      <c r="AJ64" s="447"/>
      <c r="AK64" s="447"/>
      <c r="AL64" s="447"/>
      <c r="AM64" s="447"/>
      <c r="AN64" s="447"/>
      <c r="AO64" s="447"/>
      <c r="AP64" s="447"/>
      <c r="AQ64" s="447"/>
      <c r="AR64" s="447"/>
      <c r="AS64" s="447"/>
      <c r="AT64" s="447"/>
      <c r="AU64" s="447"/>
      <c r="AV64" s="447"/>
      <c r="AW64" s="447"/>
      <c r="AX64" s="447"/>
      <c r="AY64" s="447"/>
      <c r="AZ64" s="447"/>
      <c r="BA64" s="448"/>
      <c r="BB64" s="448"/>
      <c r="BC64" s="447"/>
      <c r="BD64" s="448"/>
      <c r="BE64" s="447"/>
    </row>
    <row r="65" spans="1:57" ht="30" customHeight="1">
      <c r="A65" s="443"/>
      <c r="B65" s="443"/>
      <c r="C65" s="443"/>
      <c r="D65" s="1133"/>
      <c r="E65" s="445"/>
      <c r="F65" s="1147"/>
      <c r="G65" s="1147"/>
      <c r="H65" s="450"/>
      <c r="I65" s="450"/>
      <c r="J65" s="1147"/>
      <c r="K65" s="1147"/>
      <c r="L65" s="450"/>
      <c r="M65" s="450"/>
      <c r="N65" s="1147"/>
      <c r="O65" s="1147"/>
      <c r="P65" s="450"/>
      <c r="Q65" s="450"/>
      <c r="R65" s="1147"/>
      <c r="S65" s="1147"/>
      <c r="T65" s="450"/>
      <c r="U65" s="450"/>
      <c r="V65" s="454"/>
      <c r="W65" s="448"/>
      <c r="X65" s="448"/>
      <c r="Y65" s="448"/>
      <c r="Z65" s="448"/>
      <c r="AA65" s="448"/>
      <c r="AB65" s="448"/>
      <c r="AC65" s="448"/>
      <c r="AD65" s="447"/>
      <c r="AE65" s="447"/>
      <c r="AF65" s="447"/>
      <c r="AG65" s="447"/>
      <c r="AH65" s="447"/>
      <c r="AI65" s="447"/>
      <c r="AJ65" s="447"/>
      <c r="AK65" s="447"/>
      <c r="AL65" s="447"/>
      <c r="AM65" s="447"/>
      <c r="AN65" s="447"/>
      <c r="AO65" s="447"/>
      <c r="AP65" s="447"/>
      <c r="AQ65" s="447"/>
      <c r="AR65" s="447"/>
      <c r="AS65" s="447"/>
      <c r="AT65" s="447"/>
      <c r="AU65" s="447"/>
      <c r="AV65" s="447"/>
      <c r="AW65" s="447"/>
      <c r="AX65" s="447"/>
      <c r="AY65" s="447"/>
      <c r="AZ65" s="447"/>
      <c r="BA65" s="448"/>
      <c r="BB65" s="448"/>
      <c r="BC65" s="447"/>
      <c r="BD65" s="448"/>
      <c r="BE65" s="447"/>
    </row>
    <row r="66" spans="1:57" ht="30" customHeight="1">
      <c r="A66" s="443"/>
      <c r="B66" s="443"/>
      <c r="C66" s="443"/>
      <c r="D66" s="1133"/>
      <c r="E66" s="445"/>
      <c r="F66" s="1147"/>
      <c r="G66" s="1147"/>
      <c r="H66" s="450"/>
      <c r="I66" s="450"/>
      <c r="J66" s="1147"/>
      <c r="K66" s="1147"/>
      <c r="L66" s="450"/>
      <c r="M66" s="450"/>
      <c r="N66" s="1147"/>
      <c r="O66" s="1147"/>
      <c r="P66" s="450"/>
      <c r="Q66" s="450"/>
      <c r="R66" s="1147"/>
      <c r="S66" s="1147"/>
      <c r="T66" s="450"/>
      <c r="U66" s="450"/>
      <c r="V66" s="454"/>
      <c r="W66" s="448"/>
      <c r="X66" s="448"/>
      <c r="Y66" s="448"/>
      <c r="Z66" s="448"/>
      <c r="AA66" s="448"/>
      <c r="AB66" s="448"/>
      <c r="AC66" s="448"/>
      <c r="AD66" s="447"/>
      <c r="AE66" s="447"/>
      <c r="AF66" s="447"/>
      <c r="AG66" s="447"/>
      <c r="AH66" s="447"/>
      <c r="AI66" s="447"/>
      <c r="AJ66" s="447"/>
      <c r="AK66" s="447"/>
      <c r="AL66" s="447"/>
      <c r="AM66" s="447"/>
      <c r="AN66" s="447"/>
      <c r="AO66" s="447"/>
      <c r="AP66" s="447"/>
      <c r="AQ66" s="447"/>
      <c r="AR66" s="447"/>
      <c r="AS66" s="447"/>
      <c r="AT66" s="447"/>
      <c r="AU66" s="447"/>
      <c r="AV66" s="447"/>
      <c r="AW66" s="447"/>
      <c r="AX66" s="447"/>
      <c r="AY66" s="447"/>
      <c r="AZ66" s="447"/>
      <c r="BA66" s="448"/>
      <c r="BB66" s="448"/>
      <c r="BC66" s="447"/>
      <c r="BD66" s="448"/>
      <c r="BE66" s="447"/>
    </row>
    <row r="67" spans="1:57" ht="30" customHeight="1">
      <c r="A67" s="443"/>
      <c r="B67" s="443"/>
      <c r="C67" s="443"/>
      <c r="D67" s="1133"/>
      <c r="E67" s="445"/>
      <c r="F67" s="1147"/>
      <c r="G67" s="1147"/>
      <c r="H67" s="450"/>
      <c r="I67" s="450"/>
      <c r="J67" s="1147"/>
      <c r="K67" s="1147"/>
      <c r="L67" s="450"/>
      <c r="M67" s="450"/>
      <c r="N67" s="1147"/>
      <c r="O67" s="1147"/>
      <c r="P67" s="450"/>
      <c r="Q67" s="450"/>
      <c r="R67" s="1147"/>
      <c r="S67" s="1147"/>
      <c r="T67" s="450"/>
      <c r="U67" s="450"/>
      <c r="V67" s="454"/>
      <c r="W67" s="448"/>
      <c r="X67" s="448"/>
      <c r="Y67" s="448"/>
      <c r="Z67" s="448"/>
      <c r="AA67" s="448"/>
      <c r="AB67" s="448"/>
      <c r="AC67" s="448"/>
      <c r="AD67" s="447"/>
      <c r="AE67" s="447"/>
      <c r="AF67" s="447"/>
      <c r="AG67" s="447"/>
      <c r="AH67" s="447"/>
      <c r="AI67" s="447"/>
      <c r="AJ67" s="447"/>
      <c r="AK67" s="447"/>
      <c r="AL67" s="447"/>
      <c r="AM67" s="447"/>
      <c r="AN67" s="447"/>
      <c r="AO67" s="447"/>
      <c r="AP67" s="447"/>
      <c r="AQ67" s="447"/>
      <c r="AR67" s="447"/>
      <c r="AS67" s="447"/>
      <c r="AT67" s="447"/>
      <c r="AU67" s="447"/>
      <c r="AV67" s="447"/>
      <c r="AW67" s="447"/>
      <c r="AX67" s="447"/>
      <c r="AY67" s="447"/>
      <c r="AZ67" s="447"/>
      <c r="BA67" s="448"/>
      <c r="BB67" s="448"/>
      <c r="BC67" s="447"/>
      <c r="BD67" s="448"/>
      <c r="BE67" s="447"/>
    </row>
    <row r="68" spans="1:57" ht="30" customHeight="1">
      <c r="A68" s="443"/>
      <c r="B68" s="443"/>
      <c r="C68" s="443"/>
      <c r="D68" s="1133"/>
      <c r="E68" s="445"/>
      <c r="F68" s="1147"/>
      <c r="G68" s="1147"/>
      <c r="H68" s="450"/>
      <c r="I68" s="450"/>
      <c r="J68" s="1147"/>
      <c r="K68" s="1147"/>
      <c r="L68" s="450"/>
      <c r="M68" s="450"/>
      <c r="N68" s="1147"/>
      <c r="O68" s="1147"/>
      <c r="P68" s="450"/>
      <c r="Q68" s="450"/>
      <c r="R68" s="1147"/>
      <c r="S68" s="1147"/>
      <c r="T68" s="450"/>
      <c r="U68" s="450"/>
      <c r="V68" s="454"/>
      <c r="W68" s="448"/>
      <c r="X68" s="448"/>
      <c r="Y68" s="448"/>
      <c r="Z68" s="448"/>
      <c r="AA68" s="448"/>
      <c r="AB68" s="448"/>
      <c r="AC68" s="448"/>
      <c r="AD68" s="447"/>
      <c r="AE68" s="447"/>
      <c r="AF68" s="447"/>
      <c r="AG68" s="447"/>
      <c r="AH68" s="447"/>
      <c r="AI68" s="447"/>
      <c r="AJ68" s="447"/>
      <c r="AK68" s="447"/>
      <c r="AL68" s="447"/>
      <c r="AM68" s="447"/>
      <c r="AN68" s="447"/>
      <c r="AO68" s="447"/>
      <c r="AP68" s="447"/>
      <c r="AQ68" s="447"/>
      <c r="AR68" s="447"/>
      <c r="AS68" s="447"/>
      <c r="AT68" s="447"/>
      <c r="AU68" s="447"/>
      <c r="AV68" s="447"/>
      <c r="AW68" s="447"/>
      <c r="AX68" s="447"/>
      <c r="AY68" s="447"/>
      <c r="AZ68" s="447"/>
      <c r="BA68" s="448"/>
      <c r="BB68" s="448"/>
      <c r="BC68" s="447"/>
      <c r="BD68" s="448"/>
      <c r="BE68" s="447"/>
    </row>
    <row r="69" spans="1:57" ht="30" customHeight="1">
      <c r="A69" s="443"/>
      <c r="B69" s="443"/>
      <c r="C69" s="443"/>
      <c r="D69" s="1133"/>
      <c r="E69" s="445"/>
      <c r="F69" s="1147"/>
      <c r="G69" s="1147"/>
      <c r="H69" s="450"/>
      <c r="I69" s="450"/>
      <c r="J69" s="1147"/>
      <c r="K69" s="1147"/>
      <c r="L69" s="450"/>
      <c r="M69" s="450"/>
      <c r="N69" s="1147"/>
      <c r="O69" s="1147"/>
      <c r="P69" s="450"/>
      <c r="Q69" s="450"/>
      <c r="R69" s="1147"/>
      <c r="S69" s="1147"/>
      <c r="T69" s="450"/>
      <c r="U69" s="450"/>
      <c r="V69" s="454"/>
      <c r="W69" s="448"/>
      <c r="X69" s="448"/>
      <c r="Y69" s="448"/>
      <c r="Z69" s="448"/>
      <c r="AA69" s="448"/>
      <c r="AB69" s="448"/>
      <c r="AC69" s="448"/>
      <c r="AD69" s="447"/>
      <c r="AE69" s="447"/>
      <c r="AF69" s="447"/>
      <c r="AG69" s="447"/>
      <c r="AH69" s="447"/>
      <c r="AI69" s="447"/>
      <c r="AJ69" s="447"/>
      <c r="AK69" s="447"/>
      <c r="AL69" s="447"/>
      <c r="AM69" s="447"/>
      <c r="AN69" s="447"/>
      <c r="AO69" s="447"/>
      <c r="AP69" s="447"/>
      <c r="AQ69" s="447"/>
      <c r="AR69" s="447"/>
      <c r="AS69" s="447"/>
      <c r="AT69" s="447"/>
      <c r="AU69" s="447"/>
      <c r="AV69" s="447"/>
      <c r="AW69" s="447"/>
      <c r="AX69" s="447"/>
      <c r="AY69" s="447"/>
      <c r="AZ69" s="447"/>
      <c r="BA69" s="448"/>
      <c r="BB69" s="448"/>
      <c r="BC69" s="447"/>
      <c r="BD69" s="448"/>
      <c r="BE69" s="447"/>
    </row>
    <row r="70" spans="1:57" ht="30" customHeight="1">
      <c r="A70" s="444"/>
      <c r="B70" s="444"/>
      <c r="C70" s="444"/>
      <c r="D70" s="1133"/>
      <c r="E70" s="445"/>
      <c r="F70" s="1146"/>
      <c r="G70" s="1146"/>
      <c r="H70" s="444"/>
      <c r="I70" s="444"/>
      <c r="J70" s="1146"/>
      <c r="K70" s="1146"/>
      <c r="L70" s="444"/>
      <c r="M70" s="444"/>
      <c r="N70" s="1146"/>
      <c r="O70" s="1146"/>
      <c r="P70" s="444"/>
      <c r="Q70" s="444"/>
      <c r="R70" s="1146"/>
      <c r="S70" s="1146"/>
      <c r="T70" s="444"/>
      <c r="U70" s="444"/>
      <c r="V70" s="446"/>
    </row>
    <row r="71" spans="1:57" ht="30" customHeight="1">
      <c r="A71" s="444"/>
      <c r="B71" s="444"/>
      <c r="C71" s="444"/>
      <c r="D71" s="1133"/>
      <c r="E71" s="445"/>
      <c r="F71" s="1146"/>
      <c r="G71" s="1146"/>
      <c r="H71" s="444"/>
      <c r="I71" s="444"/>
      <c r="J71" s="1146"/>
      <c r="K71" s="1146"/>
      <c r="L71" s="444"/>
      <c r="M71" s="444"/>
      <c r="N71" s="1146"/>
      <c r="O71" s="1146"/>
      <c r="P71" s="444"/>
      <c r="Q71" s="444"/>
      <c r="R71" s="1146"/>
      <c r="S71" s="1146"/>
      <c r="T71" s="444"/>
      <c r="U71" s="444"/>
      <c r="V71" s="446"/>
    </row>
    <row r="72" spans="1:57" ht="30" customHeight="1">
      <c r="A72" s="443" t="s">
        <v>85</v>
      </c>
      <c r="B72" s="444"/>
      <c r="C72" s="444"/>
      <c r="D72" s="1133"/>
      <c r="E72" s="445"/>
      <c r="F72" s="1146"/>
      <c r="G72" s="1147">
        <v>5875382.3300000001</v>
      </c>
      <c r="H72" s="444"/>
      <c r="I72" s="450">
        <f>SUM(I51:I71)</f>
        <v>5623014.4349999996</v>
      </c>
      <c r="J72" s="1146"/>
      <c r="K72" s="1147">
        <v>18288944.564999998</v>
      </c>
      <c r="L72" s="444"/>
      <c r="M72" s="450">
        <f>SUM(M51:M71)</f>
        <v>13271465.4</v>
      </c>
      <c r="N72" s="1146"/>
      <c r="O72" s="1147">
        <v>11300.98</v>
      </c>
      <c r="P72" s="444"/>
      <c r="Q72" s="450">
        <f>SUM(Q51:Q71)</f>
        <v>11300.98</v>
      </c>
      <c r="R72" s="1146"/>
      <c r="S72" s="1147">
        <v>24175627.874999996</v>
      </c>
      <c r="T72" s="444"/>
      <c r="U72" s="450">
        <f>SUM(U51:U71)</f>
        <v>18905780.814999998</v>
      </c>
      <c r="V72" s="446"/>
      <c r="W72" s="449" t="s">
        <v>86</v>
      </c>
    </row>
    <row r="73" spans="1:57" ht="30" customHeight="1">
      <c r="A73" s="455" t="s">
        <v>4753</v>
      </c>
      <c r="B73" s="456"/>
      <c r="C73" s="456"/>
      <c r="D73" s="1134"/>
      <c r="E73" s="457"/>
      <c r="F73" s="1148"/>
      <c r="G73" s="1148"/>
      <c r="H73" s="456"/>
      <c r="I73" s="456"/>
      <c r="J73" s="1148"/>
      <c r="K73" s="1148"/>
      <c r="L73" s="456"/>
      <c r="M73" s="456"/>
      <c r="N73" s="1148"/>
      <c r="O73" s="1148"/>
      <c r="P73" s="456"/>
      <c r="Q73" s="456"/>
      <c r="R73" s="1148"/>
      <c r="S73" s="1148"/>
      <c r="T73" s="456"/>
      <c r="U73" s="456"/>
      <c r="V73" s="458"/>
      <c r="W73" s="459"/>
      <c r="X73" s="459"/>
      <c r="Y73" s="459"/>
      <c r="Z73" s="460" t="s">
        <v>232</v>
      </c>
      <c r="AA73" s="459"/>
      <c r="AB73" s="459"/>
      <c r="AC73" s="459"/>
      <c r="AD73" s="459"/>
      <c r="AE73" s="459"/>
      <c r="AF73" s="459"/>
      <c r="AG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  <c r="AT73" s="459"/>
      <c r="AU73" s="459"/>
      <c r="AV73" s="459"/>
      <c r="AW73" s="459"/>
      <c r="AX73" s="459"/>
      <c r="AY73" s="459"/>
      <c r="AZ73" s="459"/>
      <c r="BA73" s="459"/>
      <c r="BB73" s="459"/>
      <c r="BC73" s="459"/>
      <c r="BD73" s="459"/>
      <c r="BE73" s="459"/>
    </row>
    <row r="74" spans="1:57" ht="30" customHeight="1">
      <c r="A74" s="443" t="s">
        <v>233</v>
      </c>
      <c r="B74" s="443" t="s">
        <v>153</v>
      </c>
      <c r="C74" s="443" t="s">
        <v>59</v>
      </c>
      <c r="D74" s="1133">
        <v>22.65</v>
      </c>
      <c r="E74" s="445">
        <f>'1층전시실산출'!H166</f>
        <v>22.65</v>
      </c>
      <c r="F74" s="1147">
        <v>2167</v>
      </c>
      <c r="G74" s="1147">
        <v>49082.549999999996</v>
      </c>
      <c r="H74" s="450">
        <f>TRUNC(일위대가목록!F47,0)</f>
        <v>2139</v>
      </c>
      <c r="I74" s="450">
        <f>E74*H74</f>
        <v>48448.35</v>
      </c>
      <c r="J74" s="1147">
        <v>34936</v>
      </c>
      <c r="K74" s="1147">
        <v>791300.39999999991</v>
      </c>
      <c r="L74" s="450">
        <f>TRUNC(일위대가목록!H47,0)</f>
        <v>4558</v>
      </c>
      <c r="M74" s="450">
        <f>E74*L74</f>
        <v>103238.7</v>
      </c>
      <c r="N74" s="1147">
        <v>0</v>
      </c>
      <c r="O74" s="1147">
        <v>0</v>
      </c>
      <c r="P74" s="450">
        <f>TRUNC(일위대가목록!J47,0)</f>
        <v>0</v>
      </c>
      <c r="Q74" s="450">
        <f>E74*P74</f>
        <v>0</v>
      </c>
      <c r="R74" s="1147">
        <v>37103</v>
      </c>
      <c r="S74" s="1147">
        <v>840382.95</v>
      </c>
      <c r="T74" s="450">
        <f t="shared" ref="T74:T77" si="11">H74+L74+P74</f>
        <v>6697</v>
      </c>
      <c r="U74" s="450">
        <f t="shared" ref="U74:U77" si="12">I74+M74+Q74</f>
        <v>151687.04999999999</v>
      </c>
      <c r="V74" s="454" t="str">
        <f>일위대가목록!M47</f>
        <v>호표 44</v>
      </c>
      <c r="W74" s="448" t="s">
        <v>234</v>
      </c>
      <c r="X74" s="448" t="s">
        <v>51</v>
      </c>
      <c r="Y74" s="448" t="s">
        <v>51</v>
      </c>
      <c r="Z74" s="448" t="s">
        <v>232</v>
      </c>
      <c r="AA74" s="448" t="s">
        <v>61</v>
      </c>
      <c r="AB74" s="448" t="s">
        <v>62</v>
      </c>
      <c r="AC74" s="448" t="s">
        <v>62</v>
      </c>
      <c r="AD74" s="447"/>
      <c r="AE74" s="447"/>
      <c r="AF74" s="447"/>
      <c r="AG74" s="447"/>
      <c r="AH74" s="447"/>
      <c r="AI74" s="447"/>
      <c r="AJ74" s="447"/>
      <c r="AK74" s="447"/>
      <c r="AL74" s="447"/>
      <c r="AM74" s="447"/>
      <c r="AN74" s="447"/>
      <c r="AO74" s="447"/>
      <c r="AP74" s="447"/>
      <c r="AQ74" s="447"/>
      <c r="AR74" s="447"/>
      <c r="AS74" s="447"/>
      <c r="AT74" s="447"/>
      <c r="AU74" s="447"/>
      <c r="AV74" s="447"/>
      <c r="AW74" s="447"/>
      <c r="AX74" s="447"/>
      <c r="AY74" s="447"/>
      <c r="AZ74" s="447"/>
      <c r="BA74" s="448" t="s">
        <v>51</v>
      </c>
      <c r="BB74" s="448" t="s">
        <v>51</v>
      </c>
      <c r="BC74" s="447"/>
      <c r="BD74" s="448" t="s">
        <v>235</v>
      </c>
      <c r="BE74" s="447">
        <v>229</v>
      </c>
    </row>
    <row r="75" spans="1:57" ht="30" customHeight="1">
      <c r="A75" s="157" t="s">
        <v>236</v>
      </c>
      <c r="B75" s="137" t="s">
        <v>2713</v>
      </c>
      <c r="C75" s="157" t="s">
        <v>59</v>
      </c>
      <c r="D75" s="1209">
        <v>235.1</v>
      </c>
      <c r="E75" s="1210">
        <f>'1층전시실산출'!H167</f>
        <v>235.1</v>
      </c>
      <c r="F75" s="1211">
        <v>7050</v>
      </c>
      <c r="G75" s="1211">
        <v>1657455</v>
      </c>
      <c r="H75" s="1212">
        <f>TRUNC(일위대가목록!F48,0)</f>
        <v>7050</v>
      </c>
      <c r="I75" s="1212">
        <f>E75*H75</f>
        <v>1657455</v>
      </c>
      <c r="J75" s="1211">
        <v>10986</v>
      </c>
      <c r="K75" s="1211">
        <v>2582808.6</v>
      </c>
      <c r="L75" s="1212">
        <f>TRUNC(일위대가목록!H48,0)</f>
        <v>10986</v>
      </c>
      <c r="M75" s="1212">
        <f>E75*L75</f>
        <v>2582808.6</v>
      </c>
      <c r="N75" s="1211">
        <v>0</v>
      </c>
      <c r="O75" s="1211">
        <v>0</v>
      </c>
      <c r="P75" s="1212">
        <f>TRUNC(일위대가목록!J48,0)</f>
        <v>0</v>
      </c>
      <c r="Q75" s="1212">
        <f>E75*P75</f>
        <v>0</v>
      </c>
      <c r="R75" s="1211">
        <v>18036</v>
      </c>
      <c r="S75" s="1211">
        <v>4240263.5999999996</v>
      </c>
      <c r="T75" s="1212">
        <f t="shared" si="11"/>
        <v>18036</v>
      </c>
      <c r="U75" s="1212">
        <f t="shared" si="12"/>
        <v>4240263.5999999996</v>
      </c>
      <c r="V75" s="1213" t="str">
        <f>일위대가목록!M48</f>
        <v>호표 45</v>
      </c>
      <c r="W75" s="448" t="s">
        <v>238</v>
      </c>
      <c r="X75" s="448" t="s">
        <v>51</v>
      </c>
      <c r="Y75" s="448" t="s">
        <v>51</v>
      </c>
      <c r="Z75" s="448" t="s">
        <v>232</v>
      </c>
      <c r="AA75" s="448" t="s">
        <v>61</v>
      </c>
      <c r="AB75" s="448" t="s">
        <v>62</v>
      </c>
      <c r="AC75" s="448" t="s">
        <v>62</v>
      </c>
      <c r="AD75" s="447"/>
      <c r="AE75" s="447"/>
      <c r="AF75" s="447"/>
      <c r="AG75" s="447"/>
      <c r="AH75" s="447"/>
      <c r="AI75" s="447"/>
      <c r="AJ75" s="447"/>
      <c r="AK75" s="447"/>
      <c r="AL75" s="447"/>
      <c r="AM75" s="447"/>
      <c r="AN75" s="447"/>
      <c r="AO75" s="447"/>
      <c r="AP75" s="447"/>
      <c r="AQ75" s="447"/>
      <c r="AR75" s="447"/>
      <c r="AS75" s="447"/>
      <c r="AT75" s="447"/>
      <c r="AU75" s="447"/>
      <c r="AV75" s="447"/>
      <c r="AW75" s="447"/>
      <c r="AX75" s="447"/>
      <c r="AY75" s="447"/>
      <c r="AZ75" s="447"/>
      <c r="BA75" s="448" t="s">
        <v>51</v>
      </c>
      <c r="BB75" s="448" t="s">
        <v>51</v>
      </c>
      <c r="BC75" s="447"/>
      <c r="BD75" s="448" t="s">
        <v>239</v>
      </c>
      <c r="BE75" s="447">
        <v>230</v>
      </c>
    </row>
    <row r="76" spans="1:57" ht="30" customHeight="1">
      <c r="A76" s="157" t="s">
        <v>240</v>
      </c>
      <c r="B76" s="157" t="s">
        <v>241</v>
      </c>
      <c r="C76" s="157" t="s">
        <v>59</v>
      </c>
      <c r="D76" s="1209">
        <v>235.1</v>
      </c>
      <c r="E76" s="1210">
        <f>'1층전시실산출'!H168</f>
        <v>235.1</v>
      </c>
      <c r="F76" s="1211">
        <v>64510</v>
      </c>
      <c r="G76" s="1211">
        <v>15166301</v>
      </c>
      <c r="H76" s="1212">
        <f>TRUNC(일위대가목록!F49,0)</f>
        <v>64510</v>
      </c>
      <c r="I76" s="1212">
        <f>E76*H76</f>
        <v>15166301</v>
      </c>
      <c r="J76" s="1211">
        <v>35743</v>
      </c>
      <c r="K76" s="1211">
        <v>8403179.2999999989</v>
      </c>
      <c r="L76" s="1212">
        <f>TRUNC(일위대가목록!H49,0)</f>
        <v>35743</v>
      </c>
      <c r="M76" s="1212">
        <f>E76*L76</f>
        <v>8403179.2999999989</v>
      </c>
      <c r="N76" s="1211">
        <v>0</v>
      </c>
      <c r="O76" s="1211">
        <v>0</v>
      </c>
      <c r="P76" s="1212">
        <f>TRUNC(일위대가목록!J49,0)</f>
        <v>0</v>
      </c>
      <c r="Q76" s="1212">
        <f>E76*P76</f>
        <v>0</v>
      </c>
      <c r="R76" s="1211">
        <v>100253</v>
      </c>
      <c r="S76" s="1211">
        <v>23569480.299999997</v>
      </c>
      <c r="T76" s="1212">
        <f t="shared" si="11"/>
        <v>100253</v>
      </c>
      <c r="U76" s="1212">
        <f t="shared" si="12"/>
        <v>23569480.299999997</v>
      </c>
      <c r="V76" s="1213" t="str">
        <f>일위대가목록!M49</f>
        <v>호표 46</v>
      </c>
      <c r="W76" s="448" t="s">
        <v>242</v>
      </c>
      <c r="X76" s="448" t="s">
        <v>51</v>
      </c>
      <c r="Y76" s="448" t="s">
        <v>51</v>
      </c>
      <c r="Z76" s="448" t="s">
        <v>232</v>
      </c>
      <c r="AA76" s="448" t="s">
        <v>61</v>
      </c>
      <c r="AB76" s="448" t="s">
        <v>62</v>
      </c>
      <c r="AC76" s="448" t="s">
        <v>62</v>
      </c>
      <c r="AD76" s="447"/>
      <c r="AE76" s="447"/>
      <c r="AF76" s="447"/>
      <c r="AG76" s="447"/>
      <c r="AH76" s="447"/>
      <c r="AI76" s="447"/>
      <c r="AJ76" s="447"/>
      <c r="AK76" s="447"/>
      <c r="AL76" s="447"/>
      <c r="AM76" s="447"/>
      <c r="AN76" s="447"/>
      <c r="AO76" s="447"/>
      <c r="AP76" s="447"/>
      <c r="AQ76" s="447"/>
      <c r="AR76" s="447"/>
      <c r="AS76" s="447"/>
      <c r="AT76" s="447"/>
      <c r="AU76" s="447"/>
      <c r="AV76" s="447"/>
      <c r="AW76" s="447"/>
      <c r="AX76" s="447"/>
      <c r="AY76" s="447"/>
      <c r="AZ76" s="447"/>
      <c r="BA76" s="448" t="s">
        <v>51</v>
      </c>
      <c r="BB76" s="448" t="s">
        <v>51</v>
      </c>
      <c r="BC76" s="447"/>
      <c r="BD76" s="448" t="s">
        <v>243</v>
      </c>
      <c r="BE76" s="447">
        <v>231</v>
      </c>
    </row>
    <row r="77" spans="1:57" ht="30" customHeight="1">
      <c r="A77" s="443" t="s">
        <v>244</v>
      </c>
      <c r="B77" s="443" t="s">
        <v>245</v>
      </c>
      <c r="C77" s="443" t="s">
        <v>204</v>
      </c>
      <c r="D77" s="1133">
        <v>2.9</v>
      </c>
      <c r="E77" s="445">
        <f>'1층전시실산출'!H169</f>
        <v>2.9</v>
      </c>
      <c r="F77" s="1147">
        <v>3866</v>
      </c>
      <c r="G77" s="1147">
        <v>11211.4</v>
      </c>
      <c r="H77" s="450">
        <f>TRUNC(일위대가목록!F50,0)</f>
        <v>3558</v>
      </c>
      <c r="I77" s="450">
        <f>E77*H77</f>
        <v>10318.199999999999</v>
      </c>
      <c r="J77" s="1147">
        <v>13852</v>
      </c>
      <c r="K77" s="1147">
        <v>40170.799999999996</v>
      </c>
      <c r="L77" s="450">
        <f>TRUNC(일위대가목록!H50,0)</f>
        <v>13852</v>
      </c>
      <c r="M77" s="450">
        <f>E77*L77</f>
        <v>40170.799999999996</v>
      </c>
      <c r="N77" s="1147">
        <v>439</v>
      </c>
      <c r="O77" s="1147">
        <v>1273.0999999999999</v>
      </c>
      <c r="P77" s="450">
        <f>TRUNC(일위대가목록!J50,0)</f>
        <v>439</v>
      </c>
      <c r="Q77" s="450">
        <f>E77*P77</f>
        <v>1273.0999999999999</v>
      </c>
      <c r="R77" s="1147">
        <v>18157</v>
      </c>
      <c r="S77" s="1147">
        <v>52655.299999999996</v>
      </c>
      <c r="T77" s="450">
        <f t="shared" si="11"/>
        <v>17849</v>
      </c>
      <c r="U77" s="450">
        <f t="shared" si="12"/>
        <v>51762.099999999991</v>
      </c>
      <c r="V77" s="454" t="str">
        <f>일위대가목록!M50</f>
        <v>호표 47</v>
      </c>
      <c r="W77" s="448" t="s">
        <v>246</v>
      </c>
      <c r="X77" s="448" t="s">
        <v>51</v>
      </c>
      <c r="Y77" s="448" t="s">
        <v>51</v>
      </c>
      <c r="Z77" s="448" t="s">
        <v>232</v>
      </c>
      <c r="AA77" s="448" t="s">
        <v>61</v>
      </c>
      <c r="AB77" s="448" t="s">
        <v>62</v>
      </c>
      <c r="AC77" s="448" t="s">
        <v>62</v>
      </c>
      <c r="AD77" s="447"/>
      <c r="AE77" s="447"/>
      <c r="AF77" s="447"/>
      <c r="AG77" s="447"/>
      <c r="AH77" s="447"/>
      <c r="AI77" s="447"/>
      <c r="AJ77" s="447"/>
      <c r="AK77" s="447"/>
      <c r="AL77" s="447"/>
      <c r="AM77" s="447"/>
      <c r="AN77" s="447"/>
      <c r="AO77" s="447"/>
      <c r="AP77" s="447"/>
      <c r="AQ77" s="447"/>
      <c r="AR77" s="447"/>
      <c r="AS77" s="447"/>
      <c r="AT77" s="447"/>
      <c r="AU77" s="447"/>
      <c r="AV77" s="447"/>
      <c r="AW77" s="447"/>
      <c r="AX77" s="447"/>
      <c r="AY77" s="447"/>
      <c r="AZ77" s="447"/>
      <c r="BA77" s="448" t="s">
        <v>51</v>
      </c>
      <c r="BB77" s="448" t="s">
        <v>51</v>
      </c>
      <c r="BC77" s="447"/>
      <c r="BD77" s="448" t="s">
        <v>247</v>
      </c>
      <c r="BE77" s="447">
        <v>40</v>
      </c>
    </row>
    <row r="78" spans="1:57" ht="30" customHeight="1">
      <c r="A78" s="444"/>
      <c r="B78" s="444"/>
      <c r="C78" s="444"/>
      <c r="D78" s="1133"/>
      <c r="E78" s="445"/>
      <c r="F78" s="1146"/>
      <c r="G78" s="1146"/>
      <c r="H78" s="444"/>
      <c r="I78" s="444"/>
      <c r="J78" s="1146"/>
      <c r="K78" s="1146"/>
      <c r="L78" s="444"/>
      <c r="M78" s="444"/>
      <c r="N78" s="1146"/>
      <c r="O78" s="1146"/>
      <c r="P78" s="444"/>
      <c r="Q78" s="444"/>
      <c r="R78" s="1146"/>
      <c r="S78" s="1146"/>
      <c r="T78" s="444"/>
      <c r="U78" s="444"/>
      <c r="V78" s="446"/>
    </row>
    <row r="79" spans="1:57" ht="30" customHeight="1">
      <c r="A79" s="444"/>
      <c r="B79" s="444"/>
      <c r="C79" s="444"/>
      <c r="D79" s="1133"/>
      <c r="E79" s="445"/>
      <c r="F79" s="1146"/>
      <c r="G79" s="1146"/>
      <c r="H79" s="444"/>
      <c r="I79" s="444"/>
      <c r="J79" s="1146"/>
      <c r="K79" s="1146"/>
      <c r="L79" s="444"/>
      <c r="M79" s="444"/>
      <c r="N79" s="1146"/>
      <c r="O79" s="1146"/>
      <c r="P79" s="444"/>
      <c r="Q79" s="444"/>
      <c r="R79" s="1146"/>
      <c r="S79" s="1146"/>
      <c r="T79" s="444"/>
      <c r="U79" s="444"/>
      <c r="V79" s="446"/>
    </row>
    <row r="80" spans="1:57" ht="30" customHeight="1">
      <c r="A80" s="444"/>
      <c r="B80" s="444"/>
      <c r="C80" s="444"/>
      <c r="D80" s="1133"/>
      <c r="E80" s="445"/>
      <c r="F80" s="1146"/>
      <c r="G80" s="1146"/>
      <c r="H80" s="444"/>
      <c r="I80" s="444"/>
      <c r="J80" s="1146"/>
      <c r="K80" s="1146"/>
      <c r="L80" s="444"/>
      <c r="M80" s="444"/>
      <c r="N80" s="1146"/>
      <c r="O80" s="1146"/>
      <c r="P80" s="444"/>
      <c r="Q80" s="444"/>
      <c r="R80" s="1146"/>
      <c r="S80" s="1146"/>
      <c r="T80" s="444"/>
      <c r="U80" s="444"/>
      <c r="V80" s="446"/>
    </row>
    <row r="81" spans="1:57" ht="30" customHeight="1">
      <c r="A81" s="444"/>
      <c r="B81" s="444"/>
      <c r="C81" s="444"/>
      <c r="D81" s="1133"/>
      <c r="E81" s="445"/>
      <c r="F81" s="1146"/>
      <c r="G81" s="1146"/>
      <c r="H81" s="444"/>
      <c r="I81" s="444"/>
      <c r="J81" s="1146"/>
      <c r="K81" s="1146"/>
      <c r="L81" s="444"/>
      <c r="M81" s="444"/>
      <c r="N81" s="1146"/>
      <c r="O81" s="1146"/>
      <c r="P81" s="444"/>
      <c r="Q81" s="444"/>
      <c r="R81" s="1146"/>
      <c r="S81" s="1146"/>
      <c r="T81" s="444"/>
      <c r="U81" s="444"/>
      <c r="V81" s="446"/>
    </row>
    <row r="82" spans="1:57" ht="30" customHeight="1">
      <c r="A82" s="444"/>
      <c r="B82" s="444"/>
      <c r="C82" s="444"/>
      <c r="D82" s="1133"/>
      <c r="E82" s="445"/>
      <c r="F82" s="1146"/>
      <c r="G82" s="1146"/>
      <c r="H82" s="444"/>
      <c r="I82" s="444"/>
      <c r="J82" s="1146"/>
      <c r="K82" s="1146"/>
      <c r="L82" s="444"/>
      <c r="M82" s="444"/>
      <c r="N82" s="1146"/>
      <c r="O82" s="1146"/>
      <c r="P82" s="444"/>
      <c r="Q82" s="444"/>
      <c r="R82" s="1146"/>
      <c r="S82" s="1146"/>
      <c r="T82" s="444"/>
      <c r="U82" s="444"/>
      <c r="V82" s="446"/>
    </row>
    <row r="83" spans="1:57" ht="30" customHeight="1">
      <c r="A83" s="444"/>
      <c r="B83" s="444"/>
      <c r="C83" s="444"/>
      <c r="D83" s="1133"/>
      <c r="E83" s="445"/>
      <c r="F83" s="1146"/>
      <c r="G83" s="1146"/>
      <c r="H83" s="444"/>
      <c r="I83" s="444"/>
      <c r="J83" s="1146"/>
      <c r="K83" s="1146"/>
      <c r="L83" s="444"/>
      <c r="M83" s="444"/>
      <c r="N83" s="1146"/>
      <c r="O83" s="1146"/>
      <c r="P83" s="444"/>
      <c r="Q83" s="444"/>
      <c r="R83" s="1146"/>
      <c r="S83" s="1146"/>
      <c r="T83" s="444"/>
      <c r="U83" s="444"/>
      <c r="V83" s="446"/>
    </row>
    <row r="84" spans="1:57" ht="30" customHeight="1">
      <c r="A84" s="444"/>
      <c r="B84" s="444"/>
      <c r="C84" s="444"/>
      <c r="D84" s="1133"/>
      <c r="E84" s="445"/>
      <c r="F84" s="1146"/>
      <c r="G84" s="1146"/>
      <c r="H84" s="444"/>
      <c r="I84" s="444"/>
      <c r="J84" s="1146"/>
      <c r="K84" s="1146"/>
      <c r="L84" s="444"/>
      <c r="M84" s="444"/>
      <c r="N84" s="1146"/>
      <c r="O84" s="1146"/>
      <c r="P84" s="444"/>
      <c r="Q84" s="444"/>
      <c r="R84" s="1146"/>
      <c r="S84" s="1146"/>
      <c r="T84" s="444"/>
      <c r="U84" s="444"/>
      <c r="V84" s="446"/>
    </row>
    <row r="85" spans="1:57" ht="30" customHeight="1">
      <c r="A85" s="444"/>
      <c r="B85" s="444"/>
      <c r="C85" s="444"/>
      <c r="D85" s="1133"/>
      <c r="E85" s="445"/>
      <c r="F85" s="1146"/>
      <c r="G85" s="1146"/>
      <c r="H85" s="444"/>
      <c r="I85" s="444"/>
      <c r="J85" s="1146"/>
      <c r="K85" s="1146"/>
      <c r="L85" s="444"/>
      <c r="M85" s="444"/>
      <c r="N85" s="1146"/>
      <c r="O85" s="1146"/>
      <c r="P85" s="444"/>
      <c r="Q85" s="444"/>
      <c r="R85" s="1146"/>
      <c r="S85" s="1146"/>
      <c r="T85" s="444"/>
      <c r="U85" s="444"/>
      <c r="V85" s="446"/>
    </row>
    <row r="86" spans="1:57" ht="30" customHeight="1">
      <c r="A86" s="444"/>
      <c r="B86" s="444"/>
      <c r="C86" s="444"/>
      <c r="D86" s="1133"/>
      <c r="E86" s="445"/>
      <c r="F86" s="1146"/>
      <c r="G86" s="1146"/>
      <c r="H86" s="444"/>
      <c r="I86" s="444"/>
      <c r="J86" s="1146"/>
      <c r="K86" s="1146"/>
      <c r="L86" s="444"/>
      <c r="M86" s="444"/>
      <c r="N86" s="1146"/>
      <c r="O86" s="1146"/>
      <c r="P86" s="444"/>
      <c r="Q86" s="444"/>
      <c r="R86" s="1146"/>
      <c r="S86" s="1146"/>
      <c r="T86" s="444"/>
      <c r="U86" s="444"/>
      <c r="V86" s="446"/>
    </row>
    <row r="87" spans="1:57" ht="30" customHeight="1">
      <c r="A87" s="444"/>
      <c r="B87" s="444"/>
      <c r="C87" s="444"/>
      <c r="D87" s="1133"/>
      <c r="E87" s="445"/>
      <c r="F87" s="1146"/>
      <c r="G87" s="1146"/>
      <c r="H87" s="444"/>
      <c r="I87" s="444"/>
      <c r="J87" s="1146"/>
      <c r="K87" s="1146"/>
      <c r="L87" s="444"/>
      <c r="M87" s="444"/>
      <c r="N87" s="1146"/>
      <c r="O87" s="1146"/>
      <c r="P87" s="444"/>
      <c r="Q87" s="444"/>
      <c r="R87" s="1146"/>
      <c r="S87" s="1146"/>
      <c r="T87" s="444"/>
      <c r="U87" s="444"/>
      <c r="V87" s="446"/>
    </row>
    <row r="88" spans="1:57" ht="30" customHeight="1">
      <c r="A88" s="444"/>
      <c r="B88" s="444"/>
      <c r="C88" s="444"/>
      <c r="D88" s="1133"/>
      <c r="E88" s="445"/>
      <c r="F88" s="1146"/>
      <c r="G88" s="1146"/>
      <c r="H88" s="444"/>
      <c r="I88" s="444"/>
      <c r="J88" s="1146"/>
      <c r="K88" s="1146"/>
      <c r="L88" s="444"/>
      <c r="M88" s="444"/>
      <c r="N88" s="1146"/>
      <c r="O88" s="1146"/>
      <c r="P88" s="444"/>
      <c r="Q88" s="444"/>
      <c r="R88" s="1146"/>
      <c r="S88" s="1146"/>
      <c r="T88" s="444"/>
      <c r="U88" s="444"/>
      <c r="V88" s="446"/>
    </row>
    <row r="89" spans="1:57" ht="30" customHeight="1">
      <c r="A89" s="444"/>
      <c r="B89" s="444"/>
      <c r="C89" s="444"/>
      <c r="D89" s="1133"/>
      <c r="E89" s="445"/>
      <c r="F89" s="1146"/>
      <c r="G89" s="1146"/>
      <c r="H89" s="444"/>
      <c r="I89" s="444"/>
      <c r="J89" s="1146"/>
      <c r="K89" s="1146"/>
      <c r="L89" s="444"/>
      <c r="M89" s="444"/>
      <c r="N89" s="1146"/>
      <c r="O89" s="1146"/>
      <c r="P89" s="444"/>
      <c r="Q89" s="444"/>
      <c r="R89" s="1146"/>
      <c r="S89" s="1146"/>
      <c r="T89" s="444"/>
      <c r="U89" s="444"/>
      <c r="V89" s="446"/>
    </row>
    <row r="90" spans="1:57" ht="30" customHeight="1">
      <c r="A90" s="444"/>
      <c r="B90" s="444"/>
      <c r="C90" s="444"/>
      <c r="D90" s="1133"/>
      <c r="E90" s="445"/>
      <c r="F90" s="1146"/>
      <c r="G90" s="1146"/>
      <c r="H90" s="444"/>
      <c r="I90" s="444"/>
      <c r="J90" s="1146"/>
      <c r="K90" s="1146"/>
      <c r="L90" s="444"/>
      <c r="M90" s="444"/>
      <c r="N90" s="1146"/>
      <c r="O90" s="1146"/>
      <c r="P90" s="444"/>
      <c r="Q90" s="444"/>
      <c r="R90" s="1146"/>
      <c r="S90" s="1146"/>
      <c r="T90" s="444"/>
      <c r="U90" s="444"/>
      <c r="V90" s="446"/>
    </row>
    <row r="91" spans="1:57" ht="30" customHeight="1">
      <c r="A91" s="444"/>
      <c r="B91" s="444"/>
      <c r="C91" s="444"/>
      <c r="D91" s="1133"/>
      <c r="E91" s="445"/>
      <c r="F91" s="1146"/>
      <c r="G91" s="1146"/>
      <c r="H91" s="444"/>
      <c r="I91" s="444"/>
      <c r="J91" s="1146"/>
      <c r="K91" s="1146"/>
      <c r="L91" s="444"/>
      <c r="M91" s="444"/>
      <c r="N91" s="1146"/>
      <c r="O91" s="1146"/>
      <c r="P91" s="444"/>
      <c r="Q91" s="444"/>
      <c r="R91" s="1146"/>
      <c r="S91" s="1146"/>
      <c r="T91" s="444"/>
      <c r="U91" s="444"/>
      <c r="V91" s="446"/>
    </row>
    <row r="92" spans="1:57" ht="30" customHeight="1">
      <c r="A92" s="444"/>
      <c r="B92" s="444"/>
      <c r="C92" s="444"/>
      <c r="D92" s="1133"/>
      <c r="E92" s="445"/>
      <c r="F92" s="1146"/>
      <c r="G92" s="1146"/>
      <c r="H92" s="444"/>
      <c r="I92" s="444"/>
      <c r="J92" s="1146"/>
      <c r="K92" s="1146"/>
      <c r="L92" s="444"/>
      <c r="M92" s="444"/>
      <c r="N92" s="1146"/>
      <c r="O92" s="1146"/>
      <c r="P92" s="444"/>
      <c r="Q92" s="444"/>
      <c r="R92" s="1146"/>
      <c r="S92" s="1146"/>
      <c r="T92" s="444"/>
      <c r="U92" s="444"/>
      <c r="V92" s="446"/>
    </row>
    <row r="93" spans="1:57" ht="30" customHeight="1">
      <c r="A93" s="444"/>
      <c r="B93" s="444"/>
      <c r="C93" s="444"/>
      <c r="D93" s="1133"/>
      <c r="E93" s="445"/>
      <c r="F93" s="1146"/>
      <c r="G93" s="1146"/>
      <c r="H93" s="444"/>
      <c r="I93" s="444"/>
      <c r="J93" s="1146"/>
      <c r="K93" s="1146"/>
      <c r="L93" s="444"/>
      <c r="M93" s="444"/>
      <c r="N93" s="1146"/>
      <c r="O93" s="1146"/>
      <c r="P93" s="444"/>
      <c r="Q93" s="444"/>
      <c r="R93" s="1146"/>
      <c r="S93" s="1146"/>
      <c r="T93" s="444"/>
      <c r="U93" s="444"/>
      <c r="V93" s="446"/>
    </row>
    <row r="94" spans="1:57" ht="30" customHeight="1">
      <c r="A94" s="444"/>
      <c r="B94" s="444"/>
      <c r="C94" s="444"/>
      <c r="D94" s="1133"/>
      <c r="E94" s="445"/>
      <c r="F94" s="1146"/>
      <c r="G94" s="1146"/>
      <c r="H94" s="444"/>
      <c r="I94" s="444"/>
      <c r="J94" s="1146"/>
      <c r="K94" s="1146"/>
      <c r="L94" s="444"/>
      <c r="M94" s="444"/>
      <c r="N94" s="1146"/>
      <c r="O94" s="1146"/>
      <c r="P94" s="444"/>
      <c r="Q94" s="444"/>
      <c r="R94" s="1146"/>
      <c r="S94" s="1146"/>
      <c r="T94" s="444"/>
      <c r="U94" s="444"/>
      <c r="V94" s="446"/>
    </row>
    <row r="95" spans="1:57" ht="30" customHeight="1">
      <c r="A95" s="443" t="s">
        <v>85</v>
      </c>
      <c r="B95" s="444"/>
      <c r="C95" s="444"/>
      <c r="D95" s="1133"/>
      <c r="E95" s="445"/>
      <c r="F95" s="1146"/>
      <c r="G95" s="1147">
        <v>16884049.949999999</v>
      </c>
      <c r="H95" s="444"/>
      <c r="I95" s="450">
        <f>SUM(I74:I94)</f>
        <v>16882522.550000001</v>
      </c>
      <c r="J95" s="1146"/>
      <c r="K95" s="1147">
        <v>11817459.1</v>
      </c>
      <c r="L95" s="444"/>
      <c r="M95" s="450">
        <f>SUM(M74:M94)</f>
        <v>11129397.4</v>
      </c>
      <c r="N95" s="1146"/>
      <c r="O95" s="1147">
        <v>1273.0999999999999</v>
      </c>
      <c r="P95" s="444"/>
      <c r="Q95" s="450">
        <f>SUM(Q74:Q94)</f>
        <v>1273.0999999999999</v>
      </c>
      <c r="R95" s="1146"/>
      <c r="S95" s="1147">
        <v>28702782.149999999</v>
      </c>
      <c r="T95" s="444"/>
      <c r="U95" s="450">
        <f>SUM(U74:U94)</f>
        <v>28013193.049999997</v>
      </c>
      <c r="V95" s="446"/>
      <c r="W95" s="449" t="s">
        <v>86</v>
      </c>
    </row>
    <row r="96" spans="1:57" ht="30" customHeight="1">
      <c r="A96" s="455" t="s">
        <v>4754</v>
      </c>
      <c r="B96" s="456"/>
      <c r="C96" s="456"/>
      <c r="D96" s="1134"/>
      <c r="E96" s="457"/>
      <c r="F96" s="1148"/>
      <c r="G96" s="1148"/>
      <c r="H96" s="456"/>
      <c r="I96" s="456"/>
      <c r="J96" s="1148"/>
      <c r="K96" s="1148"/>
      <c r="L96" s="456"/>
      <c r="M96" s="456"/>
      <c r="N96" s="1148"/>
      <c r="O96" s="1148"/>
      <c r="P96" s="456"/>
      <c r="Q96" s="456"/>
      <c r="R96" s="1148"/>
      <c r="S96" s="1148"/>
      <c r="T96" s="456"/>
      <c r="U96" s="456"/>
      <c r="V96" s="458"/>
      <c r="W96" s="459"/>
      <c r="X96" s="459"/>
      <c r="Y96" s="459"/>
      <c r="Z96" s="460" t="s">
        <v>248</v>
      </c>
      <c r="AA96" s="459"/>
      <c r="AB96" s="459"/>
      <c r="AC96" s="459"/>
      <c r="AD96" s="459"/>
      <c r="AE96" s="459"/>
      <c r="AF96" s="459"/>
      <c r="AG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  <c r="AT96" s="459"/>
      <c r="AU96" s="459"/>
      <c r="AV96" s="459"/>
      <c r="AW96" s="459"/>
      <c r="AX96" s="459"/>
      <c r="AY96" s="459"/>
      <c r="AZ96" s="459"/>
      <c r="BA96" s="459"/>
      <c r="BB96" s="459"/>
      <c r="BC96" s="459"/>
      <c r="BD96" s="459"/>
      <c r="BE96" s="459"/>
    </row>
    <row r="97" spans="1:57" ht="30" customHeight="1">
      <c r="A97" s="443" t="s">
        <v>170</v>
      </c>
      <c r="B97" s="443" t="s">
        <v>171</v>
      </c>
      <c r="C97" s="443" t="s">
        <v>59</v>
      </c>
      <c r="D97" s="1133">
        <v>998.44</v>
      </c>
      <c r="E97" s="445">
        <f>'1층전시실산출'!H175</f>
        <v>998.44</v>
      </c>
      <c r="F97" s="1147">
        <v>734</v>
      </c>
      <c r="G97" s="1147">
        <v>732854.96000000008</v>
      </c>
      <c r="H97" s="450">
        <f>TRUNC(일위대가목록!F30,0)</f>
        <v>734</v>
      </c>
      <c r="I97" s="450">
        <f>E97*H97</f>
        <v>732854.96000000008</v>
      </c>
      <c r="J97" s="1147">
        <v>13975</v>
      </c>
      <c r="K97" s="1147">
        <v>13953199</v>
      </c>
      <c r="L97" s="450">
        <f>TRUNC(일위대가목록!H30,0)</f>
        <v>1629</v>
      </c>
      <c r="M97" s="450">
        <f>E97*L97</f>
        <v>1626458.76</v>
      </c>
      <c r="N97" s="1147">
        <v>0</v>
      </c>
      <c r="O97" s="1147">
        <v>0</v>
      </c>
      <c r="P97" s="450">
        <f>TRUNC(일위대가목록!J30,0)</f>
        <v>122</v>
      </c>
      <c r="Q97" s="450">
        <f>TRUNC(P97*E97, 0)</f>
        <v>121809</v>
      </c>
      <c r="R97" s="1147">
        <v>14709</v>
      </c>
      <c r="S97" s="1147">
        <v>14686053.960000001</v>
      </c>
      <c r="T97" s="450">
        <f t="shared" ref="T97" si="13">H97+L97+P97</f>
        <v>2485</v>
      </c>
      <c r="U97" s="450">
        <f t="shared" ref="U97" si="14">I97+M97+Q97</f>
        <v>2481122.7200000002</v>
      </c>
      <c r="V97" s="454" t="str">
        <f>일위대가목록!M30</f>
        <v>호표 27</v>
      </c>
      <c r="W97" s="448" t="s">
        <v>172</v>
      </c>
      <c r="X97" s="448" t="s">
        <v>51</v>
      </c>
      <c r="Y97" s="448" t="s">
        <v>51</v>
      </c>
      <c r="Z97" s="448" t="s">
        <v>248</v>
      </c>
      <c r="AA97" s="448" t="s">
        <v>61</v>
      </c>
      <c r="AB97" s="448" t="s">
        <v>62</v>
      </c>
      <c r="AC97" s="448" t="s">
        <v>62</v>
      </c>
      <c r="AD97" s="447"/>
      <c r="AE97" s="447"/>
      <c r="AF97" s="447"/>
      <c r="AG97" s="447"/>
      <c r="AH97" s="447"/>
      <c r="AI97" s="447"/>
      <c r="AJ97" s="447"/>
      <c r="AK97" s="447"/>
      <c r="AL97" s="447"/>
      <c r="AM97" s="447"/>
      <c r="AN97" s="447"/>
      <c r="AO97" s="447"/>
      <c r="AP97" s="447"/>
      <c r="AQ97" s="447"/>
      <c r="AR97" s="447"/>
      <c r="AS97" s="447"/>
      <c r="AT97" s="447"/>
      <c r="AU97" s="447"/>
      <c r="AV97" s="447"/>
      <c r="AW97" s="447"/>
      <c r="AX97" s="447"/>
      <c r="AY97" s="447"/>
      <c r="AZ97" s="447"/>
      <c r="BA97" s="448" t="s">
        <v>51</v>
      </c>
      <c r="BB97" s="448" t="s">
        <v>51</v>
      </c>
      <c r="BC97" s="447"/>
      <c r="BD97" s="448" t="s">
        <v>249</v>
      </c>
      <c r="BE97" s="447">
        <v>459</v>
      </c>
    </row>
    <row r="98" spans="1:57" ht="30" customHeight="1">
      <c r="A98" s="444"/>
      <c r="B98" s="444"/>
      <c r="C98" s="444"/>
      <c r="D98" s="1133"/>
      <c r="E98" s="445"/>
      <c r="F98" s="1146"/>
      <c r="G98" s="1146"/>
      <c r="H98" s="444"/>
      <c r="I98" s="444"/>
      <c r="J98" s="1146"/>
      <c r="K98" s="1146"/>
      <c r="L98" s="444"/>
      <c r="M98" s="444"/>
      <c r="N98" s="1146"/>
      <c r="O98" s="1146"/>
      <c r="P98" s="444"/>
      <c r="Q98" s="444"/>
      <c r="R98" s="1146"/>
      <c r="S98" s="1146"/>
      <c r="T98" s="444"/>
      <c r="U98" s="444"/>
      <c r="V98" s="446"/>
    </row>
    <row r="99" spans="1:57" ht="30" customHeight="1">
      <c r="A99" s="444"/>
      <c r="B99" s="444"/>
      <c r="C99" s="444"/>
      <c r="D99" s="1133"/>
      <c r="E99" s="445"/>
      <c r="F99" s="1146"/>
      <c r="G99" s="1146"/>
      <c r="H99" s="444"/>
      <c r="I99" s="444"/>
      <c r="J99" s="1146"/>
      <c r="K99" s="1146"/>
      <c r="L99" s="444"/>
      <c r="M99" s="444"/>
      <c r="N99" s="1146"/>
      <c r="O99" s="1146"/>
      <c r="P99" s="444"/>
      <c r="Q99" s="444"/>
      <c r="R99" s="1146"/>
      <c r="S99" s="1146"/>
      <c r="T99" s="444"/>
      <c r="U99" s="444"/>
      <c r="V99" s="446"/>
    </row>
    <row r="100" spans="1:57" ht="30" customHeight="1">
      <c r="A100" s="444"/>
      <c r="B100" s="444"/>
      <c r="C100" s="444"/>
      <c r="D100" s="1133"/>
      <c r="E100" s="445"/>
      <c r="F100" s="1146"/>
      <c r="G100" s="1146"/>
      <c r="H100" s="444"/>
      <c r="I100" s="444"/>
      <c r="J100" s="1146"/>
      <c r="K100" s="1146"/>
      <c r="L100" s="444"/>
      <c r="M100" s="444"/>
      <c r="N100" s="1146"/>
      <c r="O100" s="1146"/>
      <c r="P100" s="444"/>
      <c r="Q100" s="444"/>
      <c r="R100" s="1146"/>
      <c r="S100" s="1146"/>
      <c r="T100" s="444"/>
      <c r="U100" s="444"/>
      <c r="V100" s="446"/>
    </row>
    <row r="101" spans="1:57" ht="30" customHeight="1">
      <c r="A101" s="444"/>
      <c r="B101" s="444"/>
      <c r="C101" s="444"/>
      <c r="D101" s="1133"/>
      <c r="E101" s="445"/>
      <c r="F101" s="1146"/>
      <c r="G101" s="1146"/>
      <c r="H101" s="444"/>
      <c r="I101" s="444"/>
      <c r="J101" s="1146"/>
      <c r="K101" s="1146"/>
      <c r="L101" s="444"/>
      <c r="M101" s="444"/>
      <c r="N101" s="1146"/>
      <c r="O101" s="1146"/>
      <c r="P101" s="444"/>
      <c r="Q101" s="444"/>
      <c r="R101" s="1146"/>
      <c r="S101" s="1146"/>
      <c r="T101" s="444"/>
      <c r="U101" s="444"/>
      <c r="V101" s="446"/>
    </row>
    <row r="102" spans="1:57" ht="30" customHeight="1">
      <c r="A102" s="444"/>
      <c r="B102" s="444"/>
      <c r="C102" s="444"/>
      <c r="D102" s="1133"/>
      <c r="E102" s="445"/>
      <c r="F102" s="1146"/>
      <c r="G102" s="1146"/>
      <c r="H102" s="444"/>
      <c r="I102" s="444"/>
      <c r="J102" s="1146"/>
      <c r="K102" s="1146"/>
      <c r="L102" s="444"/>
      <c r="M102" s="444"/>
      <c r="N102" s="1146"/>
      <c r="O102" s="1146"/>
      <c r="P102" s="444"/>
      <c r="Q102" s="444"/>
      <c r="R102" s="1146"/>
      <c r="S102" s="1146"/>
      <c r="T102" s="444"/>
      <c r="U102" s="444"/>
      <c r="V102" s="446"/>
    </row>
    <row r="103" spans="1:57" ht="30" customHeight="1">
      <c r="A103" s="444"/>
      <c r="B103" s="444"/>
      <c r="C103" s="444"/>
      <c r="D103" s="1133"/>
      <c r="E103" s="445"/>
      <c r="F103" s="1146"/>
      <c r="G103" s="1146"/>
      <c r="H103" s="444"/>
      <c r="I103" s="444"/>
      <c r="J103" s="1146"/>
      <c r="K103" s="1146"/>
      <c r="L103" s="444"/>
      <c r="M103" s="444"/>
      <c r="N103" s="1146"/>
      <c r="O103" s="1146"/>
      <c r="P103" s="444"/>
      <c r="Q103" s="444"/>
      <c r="R103" s="1146"/>
      <c r="S103" s="1146"/>
      <c r="T103" s="444"/>
      <c r="U103" s="444"/>
      <c r="V103" s="446"/>
    </row>
    <row r="104" spans="1:57" ht="30" customHeight="1">
      <c r="A104" s="444"/>
      <c r="B104" s="444"/>
      <c r="C104" s="444"/>
      <c r="D104" s="1133"/>
      <c r="E104" s="445"/>
      <c r="F104" s="1146"/>
      <c r="G104" s="1146"/>
      <c r="H104" s="444"/>
      <c r="I104" s="444"/>
      <c r="J104" s="1146"/>
      <c r="K104" s="1146"/>
      <c r="L104" s="444"/>
      <c r="M104" s="444"/>
      <c r="N104" s="1146"/>
      <c r="O104" s="1146"/>
      <c r="P104" s="444"/>
      <c r="Q104" s="444"/>
      <c r="R104" s="1146"/>
      <c r="S104" s="1146"/>
      <c r="T104" s="444"/>
      <c r="U104" s="444"/>
      <c r="V104" s="446"/>
    </row>
    <row r="105" spans="1:57" ht="30" customHeight="1">
      <c r="A105" s="444"/>
      <c r="B105" s="444"/>
      <c r="C105" s="444"/>
      <c r="D105" s="1133"/>
      <c r="E105" s="445"/>
      <c r="F105" s="1146"/>
      <c r="G105" s="1146"/>
      <c r="H105" s="444"/>
      <c r="I105" s="444"/>
      <c r="J105" s="1146"/>
      <c r="K105" s="1146"/>
      <c r="L105" s="444"/>
      <c r="M105" s="444"/>
      <c r="N105" s="1146"/>
      <c r="O105" s="1146"/>
      <c r="P105" s="444"/>
      <c r="Q105" s="444"/>
      <c r="R105" s="1146"/>
      <c r="S105" s="1146"/>
      <c r="T105" s="444"/>
      <c r="U105" s="444"/>
      <c r="V105" s="446"/>
    </row>
    <row r="106" spans="1:57" ht="30" customHeight="1">
      <c r="A106" s="444"/>
      <c r="B106" s="444"/>
      <c r="C106" s="444"/>
      <c r="D106" s="1133"/>
      <c r="E106" s="445"/>
      <c r="F106" s="1146"/>
      <c r="G106" s="1146"/>
      <c r="H106" s="444"/>
      <c r="I106" s="444"/>
      <c r="J106" s="1146"/>
      <c r="K106" s="1146"/>
      <c r="L106" s="444"/>
      <c r="M106" s="444"/>
      <c r="N106" s="1146"/>
      <c r="O106" s="1146"/>
      <c r="P106" s="444"/>
      <c r="Q106" s="444"/>
      <c r="R106" s="1146"/>
      <c r="S106" s="1146"/>
      <c r="T106" s="444"/>
      <c r="U106" s="444"/>
      <c r="V106" s="446"/>
    </row>
    <row r="107" spans="1:57" ht="30" customHeight="1">
      <c r="A107" s="444"/>
      <c r="B107" s="444"/>
      <c r="C107" s="444"/>
      <c r="D107" s="1133"/>
      <c r="E107" s="445"/>
      <c r="F107" s="1146"/>
      <c r="G107" s="1146"/>
      <c r="H107" s="444"/>
      <c r="I107" s="444"/>
      <c r="J107" s="1146"/>
      <c r="K107" s="1146"/>
      <c r="L107" s="444"/>
      <c r="M107" s="444"/>
      <c r="N107" s="1146"/>
      <c r="O107" s="1146"/>
      <c r="P107" s="444"/>
      <c r="Q107" s="444"/>
      <c r="R107" s="1146"/>
      <c r="S107" s="1146"/>
      <c r="T107" s="444"/>
      <c r="U107" s="444"/>
      <c r="V107" s="446"/>
    </row>
    <row r="108" spans="1:57" ht="30" customHeight="1">
      <c r="A108" s="444"/>
      <c r="B108" s="444"/>
      <c r="C108" s="444"/>
      <c r="D108" s="1133"/>
      <c r="E108" s="445"/>
      <c r="F108" s="1146"/>
      <c r="G108" s="1146"/>
      <c r="H108" s="444"/>
      <c r="I108" s="444"/>
      <c r="J108" s="1146"/>
      <c r="K108" s="1146"/>
      <c r="L108" s="444"/>
      <c r="M108" s="444"/>
      <c r="N108" s="1146"/>
      <c r="O108" s="1146"/>
      <c r="P108" s="444"/>
      <c r="Q108" s="444"/>
      <c r="R108" s="1146"/>
      <c r="S108" s="1146"/>
      <c r="T108" s="444"/>
      <c r="U108" s="444"/>
      <c r="V108" s="446"/>
    </row>
    <row r="109" spans="1:57" ht="30" customHeight="1">
      <c r="A109" s="444"/>
      <c r="B109" s="444"/>
      <c r="C109" s="444"/>
      <c r="D109" s="1133"/>
      <c r="E109" s="445"/>
      <c r="F109" s="1146"/>
      <c r="G109" s="1146"/>
      <c r="H109" s="444"/>
      <c r="I109" s="444"/>
      <c r="J109" s="1146"/>
      <c r="K109" s="1146"/>
      <c r="L109" s="444"/>
      <c r="M109" s="444"/>
      <c r="N109" s="1146"/>
      <c r="O109" s="1146"/>
      <c r="P109" s="444"/>
      <c r="Q109" s="444"/>
      <c r="R109" s="1146"/>
      <c r="S109" s="1146"/>
      <c r="T109" s="444"/>
      <c r="U109" s="444"/>
      <c r="V109" s="446"/>
    </row>
    <row r="110" spans="1:57" ht="30" customHeight="1">
      <c r="A110" s="444"/>
      <c r="B110" s="444"/>
      <c r="C110" s="444"/>
      <c r="D110" s="1133"/>
      <c r="E110" s="445"/>
      <c r="F110" s="1146"/>
      <c r="G110" s="1146"/>
      <c r="H110" s="444"/>
      <c r="I110" s="444"/>
      <c r="J110" s="1146"/>
      <c r="K110" s="1146"/>
      <c r="L110" s="444"/>
      <c r="M110" s="444"/>
      <c r="N110" s="1146"/>
      <c r="O110" s="1146"/>
      <c r="P110" s="444"/>
      <c r="Q110" s="444"/>
      <c r="R110" s="1146"/>
      <c r="S110" s="1146"/>
      <c r="T110" s="444"/>
      <c r="U110" s="444"/>
      <c r="V110" s="446"/>
    </row>
    <row r="111" spans="1:57" ht="30" customHeight="1">
      <c r="A111" s="444"/>
      <c r="B111" s="444"/>
      <c r="C111" s="444"/>
      <c r="D111" s="1133"/>
      <c r="E111" s="445"/>
      <c r="F111" s="1146"/>
      <c r="G111" s="1146"/>
      <c r="H111" s="444"/>
      <c r="I111" s="444"/>
      <c r="J111" s="1146"/>
      <c r="K111" s="1146"/>
      <c r="L111" s="444"/>
      <c r="M111" s="444"/>
      <c r="N111" s="1146"/>
      <c r="O111" s="1146"/>
      <c r="P111" s="444"/>
      <c r="Q111" s="444"/>
      <c r="R111" s="1146"/>
      <c r="S111" s="1146"/>
      <c r="T111" s="444"/>
      <c r="U111" s="444"/>
      <c r="V111" s="446"/>
    </row>
    <row r="112" spans="1:57" ht="30" customHeight="1">
      <c r="A112" s="444"/>
      <c r="B112" s="444"/>
      <c r="C112" s="444"/>
      <c r="D112" s="1133"/>
      <c r="E112" s="445"/>
      <c r="F112" s="1146"/>
      <c r="G112" s="1146"/>
      <c r="H112" s="444"/>
      <c r="I112" s="444"/>
      <c r="J112" s="1146"/>
      <c r="K112" s="1146"/>
      <c r="L112" s="444"/>
      <c r="M112" s="444"/>
      <c r="N112" s="1146"/>
      <c r="O112" s="1146"/>
      <c r="P112" s="444"/>
      <c r="Q112" s="444"/>
      <c r="R112" s="1146"/>
      <c r="S112" s="1146"/>
      <c r="T112" s="444"/>
      <c r="U112" s="444"/>
      <c r="V112" s="446"/>
    </row>
    <row r="113" spans="1:57" ht="30" customHeight="1">
      <c r="A113" s="444"/>
      <c r="B113" s="444"/>
      <c r="C113" s="444"/>
      <c r="D113" s="1133"/>
      <c r="E113" s="445"/>
      <c r="F113" s="1146"/>
      <c r="G113" s="1146"/>
      <c r="H113" s="444"/>
      <c r="I113" s="444"/>
      <c r="J113" s="1146"/>
      <c r="K113" s="1146"/>
      <c r="L113" s="444"/>
      <c r="M113" s="444"/>
      <c r="N113" s="1146"/>
      <c r="O113" s="1146"/>
      <c r="P113" s="444"/>
      <c r="Q113" s="444"/>
      <c r="R113" s="1146"/>
      <c r="S113" s="1146"/>
      <c r="T113" s="444"/>
      <c r="U113" s="444"/>
      <c r="V113" s="446"/>
    </row>
    <row r="114" spans="1:57" ht="30" customHeight="1">
      <c r="A114" s="444"/>
      <c r="B114" s="444"/>
      <c r="C114" s="444"/>
      <c r="D114" s="1133"/>
      <c r="E114" s="445"/>
      <c r="F114" s="1146"/>
      <c r="G114" s="1146"/>
      <c r="H114" s="444"/>
      <c r="I114" s="444"/>
      <c r="J114" s="1146"/>
      <c r="K114" s="1146"/>
      <c r="L114" s="444"/>
      <c r="M114" s="444"/>
      <c r="N114" s="1146"/>
      <c r="O114" s="1146"/>
      <c r="P114" s="444"/>
      <c r="Q114" s="444"/>
      <c r="R114" s="1146"/>
      <c r="S114" s="1146"/>
      <c r="T114" s="444"/>
      <c r="U114" s="444"/>
      <c r="V114" s="446"/>
    </row>
    <row r="115" spans="1:57" ht="30" customHeight="1">
      <c r="A115" s="444"/>
      <c r="B115" s="444"/>
      <c r="C115" s="444"/>
      <c r="D115" s="1133"/>
      <c r="E115" s="445"/>
      <c r="F115" s="1146"/>
      <c r="G115" s="1146"/>
      <c r="H115" s="444"/>
      <c r="I115" s="444"/>
      <c r="J115" s="1146"/>
      <c r="K115" s="1146"/>
      <c r="L115" s="444"/>
      <c r="M115" s="444"/>
      <c r="N115" s="1146"/>
      <c r="O115" s="1146"/>
      <c r="P115" s="444"/>
      <c r="Q115" s="444"/>
      <c r="R115" s="1146"/>
      <c r="S115" s="1146"/>
      <c r="T115" s="444"/>
      <c r="U115" s="444"/>
      <c r="V115" s="446"/>
    </row>
    <row r="116" spans="1:57" ht="30" customHeight="1">
      <c r="A116" s="444"/>
      <c r="B116" s="444"/>
      <c r="C116" s="444"/>
      <c r="D116" s="1133"/>
      <c r="E116" s="445"/>
      <c r="F116" s="1146"/>
      <c r="G116" s="1146"/>
      <c r="H116" s="444"/>
      <c r="I116" s="444"/>
      <c r="J116" s="1146"/>
      <c r="K116" s="1146"/>
      <c r="L116" s="444"/>
      <c r="M116" s="444"/>
      <c r="N116" s="1146"/>
      <c r="O116" s="1146"/>
      <c r="P116" s="444"/>
      <c r="Q116" s="444"/>
      <c r="R116" s="1146"/>
      <c r="S116" s="1146"/>
      <c r="T116" s="444"/>
      <c r="U116" s="444"/>
      <c r="V116" s="446"/>
    </row>
    <row r="117" spans="1:57" ht="30" customHeight="1">
      <c r="A117" s="444"/>
      <c r="B117" s="444"/>
      <c r="C117" s="444"/>
      <c r="D117" s="1133"/>
      <c r="E117" s="445"/>
      <c r="F117" s="1146"/>
      <c r="G117" s="1146"/>
      <c r="H117" s="444"/>
      <c r="I117" s="444"/>
      <c r="J117" s="1146"/>
      <c r="K117" s="1146"/>
      <c r="L117" s="444"/>
      <c r="M117" s="444"/>
      <c r="N117" s="1146"/>
      <c r="O117" s="1146"/>
      <c r="P117" s="444"/>
      <c r="Q117" s="444"/>
      <c r="R117" s="1146"/>
      <c r="S117" s="1146"/>
      <c r="T117" s="444"/>
      <c r="U117" s="444"/>
      <c r="V117" s="446"/>
    </row>
    <row r="118" spans="1:57" ht="30" customHeight="1">
      <c r="A118" s="443" t="s">
        <v>85</v>
      </c>
      <c r="B118" s="444"/>
      <c r="C118" s="444"/>
      <c r="D118" s="1133"/>
      <c r="E118" s="445"/>
      <c r="F118" s="1146"/>
      <c r="G118" s="1147">
        <v>732854.96000000008</v>
      </c>
      <c r="H118" s="444"/>
      <c r="I118" s="450">
        <f>SUM(I97:I117)</f>
        <v>732854.96000000008</v>
      </c>
      <c r="J118" s="1146"/>
      <c r="K118" s="1147">
        <v>13953199</v>
      </c>
      <c r="L118" s="444"/>
      <c r="M118" s="450">
        <f>SUM(M97:M117)</f>
        <v>1626458.76</v>
      </c>
      <c r="N118" s="1146"/>
      <c r="O118" s="1147">
        <v>0</v>
      </c>
      <c r="P118" s="444"/>
      <c r="Q118" s="450">
        <f>SUM(Q97:Q117)</f>
        <v>121809</v>
      </c>
      <c r="R118" s="1146"/>
      <c r="S118" s="1147">
        <v>14686053.960000001</v>
      </c>
      <c r="T118" s="444"/>
      <c r="U118" s="450">
        <f>SUM(U97:U117)</f>
        <v>2481122.7200000002</v>
      </c>
      <c r="V118" s="446"/>
      <c r="W118" s="449" t="s">
        <v>86</v>
      </c>
    </row>
    <row r="119" spans="1:57" ht="30" customHeight="1">
      <c r="A119" s="455" t="s">
        <v>4755</v>
      </c>
      <c r="B119" s="456"/>
      <c r="C119" s="456"/>
      <c r="D119" s="1134"/>
      <c r="E119" s="457"/>
      <c r="F119" s="1148"/>
      <c r="G119" s="1148"/>
      <c r="H119" s="456"/>
      <c r="I119" s="456"/>
      <c r="J119" s="1148"/>
      <c r="K119" s="1148"/>
      <c r="L119" s="456"/>
      <c r="M119" s="456"/>
      <c r="N119" s="1148"/>
      <c r="O119" s="1148"/>
      <c r="P119" s="456"/>
      <c r="Q119" s="456"/>
      <c r="R119" s="1148"/>
      <c r="S119" s="1148"/>
      <c r="T119" s="456"/>
      <c r="U119" s="456"/>
      <c r="V119" s="458"/>
      <c r="W119" s="459"/>
      <c r="X119" s="459"/>
      <c r="Y119" s="459"/>
      <c r="Z119" s="460" t="s">
        <v>250</v>
      </c>
      <c r="AA119" s="459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  <c r="AT119" s="459"/>
      <c r="AU119" s="459"/>
      <c r="AV119" s="459"/>
      <c r="AW119" s="459"/>
      <c r="AX119" s="459"/>
      <c r="AY119" s="459"/>
      <c r="AZ119" s="459"/>
      <c r="BA119" s="459"/>
      <c r="BB119" s="459"/>
      <c r="BC119" s="459"/>
      <c r="BD119" s="459"/>
      <c r="BE119" s="459"/>
    </row>
    <row r="120" spans="1:57" ht="30" customHeight="1">
      <c r="A120" s="443" t="s">
        <v>175</v>
      </c>
      <c r="B120" s="443" t="s">
        <v>176</v>
      </c>
      <c r="C120" s="443" t="s">
        <v>59</v>
      </c>
      <c r="D120" s="1133">
        <v>715.26</v>
      </c>
      <c r="E120" s="445">
        <f>'1층전시실산출'!H179</f>
        <v>715.26</v>
      </c>
      <c r="F120" s="1147">
        <v>9977</v>
      </c>
      <c r="G120" s="1147">
        <v>7136149.0199999996</v>
      </c>
      <c r="H120" s="450">
        <f>TRUNC(일위대가목록!F31,0)</f>
        <v>9977</v>
      </c>
      <c r="I120" s="450">
        <f t="shared" ref="I120:I127" si="15">E120*H120</f>
        <v>7136149.0199999996</v>
      </c>
      <c r="J120" s="1147">
        <v>25424</v>
      </c>
      <c r="K120" s="1147">
        <v>18184770.239999998</v>
      </c>
      <c r="L120" s="450">
        <f>TRUNC(일위대가목록!H31,0)</f>
        <v>25424</v>
      </c>
      <c r="M120" s="450">
        <f t="shared" ref="M120:M127" si="16">E120*L120</f>
        <v>18184770.239999998</v>
      </c>
      <c r="N120" s="1147">
        <v>0</v>
      </c>
      <c r="O120" s="1147">
        <v>0</v>
      </c>
      <c r="P120" s="450">
        <f>TRUNC(일위대가목록!J31,0)</f>
        <v>0</v>
      </c>
      <c r="Q120" s="450">
        <f t="shared" ref="Q120:Q127" si="17">E120*P120</f>
        <v>0</v>
      </c>
      <c r="R120" s="1147">
        <v>35401</v>
      </c>
      <c r="S120" s="1147">
        <v>25320919.259999998</v>
      </c>
      <c r="T120" s="450">
        <f>H120+L120+P120</f>
        <v>35401</v>
      </c>
      <c r="U120" s="450">
        <f>I120+M120+Q120</f>
        <v>25320919.259999998</v>
      </c>
      <c r="V120" s="454" t="str">
        <f>일위대가목록!M31</f>
        <v>호표 28</v>
      </c>
      <c r="W120" s="448" t="s">
        <v>177</v>
      </c>
      <c r="X120" s="448" t="s">
        <v>51</v>
      </c>
      <c r="Y120" s="448" t="s">
        <v>51</v>
      </c>
      <c r="Z120" s="448" t="s">
        <v>250</v>
      </c>
      <c r="AA120" s="448" t="s">
        <v>61</v>
      </c>
      <c r="AB120" s="448" t="s">
        <v>62</v>
      </c>
      <c r="AC120" s="448" t="s">
        <v>62</v>
      </c>
      <c r="AD120" s="447"/>
      <c r="AE120" s="447"/>
      <c r="AF120" s="447"/>
      <c r="AG120" s="447"/>
      <c r="AH120" s="447"/>
      <c r="AI120" s="447"/>
      <c r="AJ120" s="447"/>
      <c r="AK120" s="447"/>
      <c r="AL120" s="447"/>
      <c r="AM120" s="447"/>
      <c r="AN120" s="447"/>
      <c r="AO120" s="447"/>
      <c r="AP120" s="447"/>
      <c r="AQ120" s="447"/>
      <c r="AR120" s="447"/>
      <c r="AS120" s="447"/>
      <c r="AT120" s="447"/>
      <c r="AU120" s="447"/>
      <c r="AV120" s="447"/>
      <c r="AW120" s="447"/>
      <c r="AX120" s="447"/>
      <c r="AY120" s="447"/>
      <c r="AZ120" s="447"/>
      <c r="BA120" s="448" t="s">
        <v>51</v>
      </c>
      <c r="BB120" s="448" t="s">
        <v>51</v>
      </c>
      <c r="BC120" s="447"/>
      <c r="BD120" s="448" t="s">
        <v>251</v>
      </c>
      <c r="BE120" s="447">
        <v>461</v>
      </c>
    </row>
    <row r="121" spans="1:57" ht="30" customHeight="1">
      <c r="A121" s="443" t="s">
        <v>2803</v>
      </c>
      <c r="B121" s="443" t="s">
        <v>2699</v>
      </c>
      <c r="C121" s="443" t="s">
        <v>59</v>
      </c>
      <c r="D121" s="1133">
        <v>34.92</v>
      </c>
      <c r="E121" s="445">
        <f>'1층전시실산출'!H180</f>
        <v>34.92</v>
      </c>
      <c r="F121" s="1147">
        <v>4117</v>
      </c>
      <c r="G121" s="1147">
        <v>143765.64000000001</v>
      </c>
      <c r="H121" s="450">
        <f>일위대가목록!F37</f>
        <v>4117</v>
      </c>
      <c r="I121" s="450">
        <f t="shared" si="15"/>
        <v>143765.64000000001</v>
      </c>
      <c r="J121" s="1147">
        <v>12993</v>
      </c>
      <c r="K121" s="1147">
        <v>453715.56</v>
      </c>
      <c r="L121" s="450">
        <f>일위대가목록!H37</f>
        <v>12993</v>
      </c>
      <c r="M121" s="450">
        <f t="shared" si="16"/>
        <v>453715.56</v>
      </c>
      <c r="N121" s="1147">
        <v>259</v>
      </c>
      <c r="O121" s="1147">
        <v>9044.2800000000007</v>
      </c>
      <c r="P121" s="450">
        <f>일위대가목록!J37</f>
        <v>259</v>
      </c>
      <c r="Q121" s="450">
        <f t="shared" si="17"/>
        <v>9044.2800000000007</v>
      </c>
      <c r="R121" s="1147">
        <v>17369</v>
      </c>
      <c r="S121" s="1147">
        <v>606525.48</v>
      </c>
      <c r="T121" s="450">
        <f t="shared" ref="T121:T127" si="18">H121+L121+P121</f>
        <v>17369</v>
      </c>
      <c r="U121" s="450">
        <f t="shared" ref="U121:U127" si="19">I121+M121+Q121</f>
        <v>606525.48</v>
      </c>
      <c r="V121" s="454" t="str">
        <f>일위대가목록!M37</f>
        <v>호표 34</v>
      </c>
      <c r="W121" s="448" t="s">
        <v>258</v>
      </c>
      <c r="X121" s="448" t="s">
        <v>51</v>
      </c>
      <c r="Y121" s="448" t="s">
        <v>51</v>
      </c>
      <c r="Z121" s="448" t="s">
        <v>250</v>
      </c>
      <c r="AA121" s="448" t="s">
        <v>61</v>
      </c>
      <c r="AB121" s="448" t="s">
        <v>62</v>
      </c>
      <c r="AC121" s="448" t="s">
        <v>62</v>
      </c>
      <c r="AD121" s="447"/>
      <c r="AE121" s="447"/>
      <c r="AF121" s="447"/>
      <c r="AG121" s="447"/>
      <c r="AH121" s="447"/>
      <c r="AI121" s="447"/>
      <c r="AJ121" s="447"/>
      <c r="AK121" s="447"/>
      <c r="AL121" s="447"/>
      <c r="AM121" s="447"/>
      <c r="AN121" s="447"/>
      <c r="AO121" s="447"/>
      <c r="AP121" s="447"/>
      <c r="AQ121" s="447"/>
      <c r="AR121" s="447"/>
      <c r="AS121" s="447"/>
      <c r="AT121" s="447"/>
      <c r="AU121" s="447"/>
      <c r="AV121" s="447"/>
      <c r="AW121" s="447"/>
      <c r="AX121" s="447"/>
      <c r="AY121" s="447"/>
      <c r="AZ121" s="447"/>
      <c r="BA121" s="448" t="s">
        <v>51</v>
      </c>
      <c r="BB121" s="448" t="s">
        <v>51</v>
      </c>
      <c r="BC121" s="447"/>
      <c r="BD121" s="448" t="s">
        <v>259</v>
      </c>
      <c r="BE121" s="447">
        <v>466</v>
      </c>
    </row>
    <row r="122" spans="1:57" ht="30" customHeight="1">
      <c r="A122" s="443" t="s">
        <v>2701</v>
      </c>
      <c r="B122" s="443" t="s">
        <v>2699</v>
      </c>
      <c r="C122" s="443" t="s">
        <v>59</v>
      </c>
      <c r="D122" s="1133">
        <v>34.92</v>
      </c>
      <c r="E122" s="445">
        <f>'1층전시실산출'!H181</f>
        <v>34.92</v>
      </c>
      <c r="F122" s="1147">
        <v>2611</v>
      </c>
      <c r="G122" s="1147">
        <v>91176.12000000001</v>
      </c>
      <c r="H122" s="450">
        <f>TRUNC(일위대가목록!F34,0)</f>
        <v>2611</v>
      </c>
      <c r="I122" s="450">
        <f t="shared" si="15"/>
        <v>91176.12000000001</v>
      </c>
      <c r="J122" s="1147">
        <v>7235</v>
      </c>
      <c r="K122" s="1147">
        <v>252646.2</v>
      </c>
      <c r="L122" s="450">
        <f>TRUNC(일위대가목록!H34,0)</f>
        <v>7235</v>
      </c>
      <c r="M122" s="450">
        <f t="shared" si="16"/>
        <v>252646.2</v>
      </c>
      <c r="N122" s="1147">
        <v>0</v>
      </c>
      <c r="O122" s="1147">
        <v>0</v>
      </c>
      <c r="P122" s="450">
        <f>TRUNC(일위대가목록!J34,0)</f>
        <v>0</v>
      </c>
      <c r="Q122" s="450">
        <f t="shared" si="17"/>
        <v>0</v>
      </c>
      <c r="R122" s="1147">
        <v>9846</v>
      </c>
      <c r="S122" s="1147">
        <v>343822.32</v>
      </c>
      <c r="T122" s="450">
        <f t="shared" si="18"/>
        <v>9846</v>
      </c>
      <c r="U122" s="450">
        <f t="shared" si="19"/>
        <v>343822.32</v>
      </c>
      <c r="V122" s="454" t="str">
        <f>일위대가목록!M34</f>
        <v>호표 31</v>
      </c>
      <c r="W122" s="448" t="s">
        <v>189</v>
      </c>
      <c r="X122" s="448" t="s">
        <v>51</v>
      </c>
      <c r="Y122" s="448" t="s">
        <v>51</v>
      </c>
      <c r="Z122" s="448" t="s">
        <v>250</v>
      </c>
      <c r="AA122" s="448" t="s">
        <v>61</v>
      </c>
      <c r="AB122" s="448" t="s">
        <v>62</v>
      </c>
      <c r="AC122" s="448" t="s">
        <v>62</v>
      </c>
      <c r="AD122" s="447"/>
      <c r="AE122" s="447"/>
      <c r="AF122" s="447"/>
      <c r="AG122" s="447"/>
      <c r="AH122" s="447"/>
      <c r="AI122" s="447"/>
      <c r="AJ122" s="447"/>
      <c r="AK122" s="447"/>
      <c r="AL122" s="447"/>
      <c r="AM122" s="447"/>
      <c r="AN122" s="447"/>
      <c r="AO122" s="447"/>
      <c r="AP122" s="447"/>
      <c r="AQ122" s="447"/>
      <c r="AR122" s="447"/>
      <c r="AS122" s="447"/>
      <c r="AT122" s="447"/>
      <c r="AU122" s="447"/>
      <c r="AV122" s="447"/>
      <c r="AW122" s="447"/>
      <c r="AX122" s="447"/>
      <c r="AY122" s="447"/>
      <c r="AZ122" s="447"/>
      <c r="BA122" s="448" t="s">
        <v>51</v>
      </c>
      <c r="BB122" s="448" t="s">
        <v>51</v>
      </c>
      <c r="BC122" s="447"/>
      <c r="BD122" s="448" t="s">
        <v>260</v>
      </c>
      <c r="BE122" s="447">
        <v>467</v>
      </c>
    </row>
    <row r="123" spans="1:57" ht="30" customHeight="1">
      <c r="A123" s="443" t="s">
        <v>2701</v>
      </c>
      <c r="B123" s="443" t="s">
        <v>188</v>
      </c>
      <c r="C123" s="443" t="s">
        <v>59</v>
      </c>
      <c r="D123" s="1133">
        <v>680.33999999999992</v>
      </c>
      <c r="E123" s="445">
        <f>'1층전시실산출'!H183</f>
        <v>680.33999999999992</v>
      </c>
      <c r="F123" s="1147">
        <v>5162</v>
      </c>
      <c r="G123" s="1147">
        <v>3511915.0799999996</v>
      </c>
      <c r="H123" s="450">
        <f>TRUNC(일위대가목록!F35,0)</f>
        <v>5667</v>
      </c>
      <c r="I123" s="450">
        <f t="shared" si="15"/>
        <v>3855486.7799999993</v>
      </c>
      <c r="J123" s="1147">
        <v>14470</v>
      </c>
      <c r="K123" s="1147">
        <v>9844519.7999999989</v>
      </c>
      <c r="L123" s="450">
        <f>TRUNC(일위대가목록!H35,0)</f>
        <v>16860</v>
      </c>
      <c r="M123" s="450">
        <f t="shared" si="16"/>
        <v>11470532.399999999</v>
      </c>
      <c r="N123" s="1147">
        <v>0</v>
      </c>
      <c r="O123" s="1147">
        <v>0</v>
      </c>
      <c r="P123" s="450">
        <f>TRUNC(일위대가목록!J35,0)</f>
        <v>0</v>
      </c>
      <c r="Q123" s="450">
        <f t="shared" si="17"/>
        <v>0</v>
      </c>
      <c r="R123" s="1147">
        <v>19632</v>
      </c>
      <c r="S123" s="1147">
        <v>13356434.879999999</v>
      </c>
      <c r="T123" s="450">
        <f t="shared" si="18"/>
        <v>22527</v>
      </c>
      <c r="U123" s="450">
        <f t="shared" si="19"/>
        <v>15326019.179999998</v>
      </c>
      <c r="V123" s="454" t="str">
        <f>일위대가목록!M35</f>
        <v>호표 32</v>
      </c>
      <c r="W123" s="448" t="s">
        <v>189</v>
      </c>
      <c r="X123" s="448" t="s">
        <v>51</v>
      </c>
      <c r="Y123" s="448" t="s">
        <v>51</v>
      </c>
      <c r="Z123" s="448" t="s">
        <v>250</v>
      </c>
      <c r="AA123" s="448" t="s">
        <v>61</v>
      </c>
      <c r="AB123" s="448" t="s">
        <v>62</v>
      </c>
      <c r="AC123" s="448" t="s">
        <v>62</v>
      </c>
      <c r="AD123" s="447"/>
      <c r="AE123" s="447"/>
      <c r="AF123" s="447"/>
      <c r="AG123" s="447"/>
      <c r="AH123" s="447"/>
      <c r="AI123" s="447"/>
      <c r="AJ123" s="447"/>
      <c r="AK123" s="447"/>
      <c r="AL123" s="447"/>
      <c r="AM123" s="447"/>
      <c r="AN123" s="447"/>
      <c r="AO123" s="447"/>
      <c r="AP123" s="447"/>
      <c r="AQ123" s="447"/>
      <c r="AR123" s="447"/>
      <c r="AS123" s="447"/>
      <c r="AT123" s="447"/>
      <c r="AU123" s="447"/>
      <c r="AV123" s="447"/>
      <c r="AW123" s="447"/>
      <c r="AX123" s="447"/>
      <c r="AY123" s="447"/>
      <c r="AZ123" s="447"/>
      <c r="BA123" s="448" t="s">
        <v>51</v>
      </c>
      <c r="BB123" s="448" t="s">
        <v>51</v>
      </c>
      <c r="BC123" s="447"/>
      <c r="BD123" s="448" t="s">
        <v>260</v>
      </c>
      <c r="BE123" s="447">
        <v>467</v>
      </c>
    </row>
    <row r="124" spans="1:57" ht="30" customHeight="1">
      <c r="A124" s="443" t="s">
        <v>202</v>
      </c>
      <c r="B124" s="443" t="s">
        <v>203</v>
      </c>
      <c r="C124" s="443" t="s">
        <v>204</v>
      </c>
      <c r="D124" s="1133">
        <v>127.00000000000001</v>
      </c>
      <c r="E124" s="445">
        <f>'1층전시실산출'!H186</f>
        <v>127.00000000000001</v>
      </c>
      <c r="F124" s="1147">
        <v>2500</v>
      </c>
      <c r="G124" s="1147">
        <v>317500.00000000006</v>
      </c>
      <c r="H124" s="450">
        <f>TRUNC(일위대가목록!F39,0)</f>
        <v>2500</v>
      </c>
      <c r="I124" s="450">
        <f t="shared" si="15"/>
        <v>317500.00000000006</v>
      </c>
      <c r="J124" s="1147">
        <v>2568</v>
      </c>
      <c r="K124" s="1147">
        <v>326136.00000000006</v>
      </c>
      <c r="L124" s="450">
        <f>TRUNC(일위대가목록!H39,0)</f>
        <v>2568</v>
      </c>
      <c r="M124" s="450">
        <f t="shared" si="16"/>
        <v>326136.00000000006</v>
      </c>
      <c r="N124" s="1147">
        <v>51</v>
      </c>
      <c r="O124" s="1147">
        <v>6477.0000000000009</v>
      </c>
      <c r="P124" s="450">
        <f>TRUNC(일위대가목록!J39,0)</f>
        <v>51</v>
      </c>
      <c r="Q124" s="450">
        <f t="shared" si="17"/>
        <v>6477.0000000000009</v>
      </c>
      <c r="R124" s="1147">
        <v>5119</v>
      </c>
      <c r="S124" s="1147">
        <v>650113.00000000012</v>
      </c>
      <c r="T124" s="450">
        <f t="shared" si="18"/>
        <v>5119</v>
      </c>
      <c r="U124" s="450">
        <f t="shared" si="19"/>
        <v>650113.00000000012</v>
      </c>
      <c r="V124" s="454" t="str">
        <f>일위대가목록!M39</f>
        <v>호표 36</v>
      </c>
      <c r="W124" s="448" t="s">
        <v>205</v>
      </c>
      <c r="X124" s="448" t="s">
        <v>51</v>
      </c>
      <c r="Y124" s="448" t="s">
        <v>51</v>
      </c>
      <c r="Z124" s="448" t="s">
        <v>250</v>
      </c>
      <c r="AA124" s="448" t="s">
        <v>61</v>
      </c>
      <c r="AB124" s="448" t="s">
        <v>62</v>
      </c>
      <c r="AC124" s="448" t="s">
        <v>62</v>
      </c>
      <c r="AD124" s="447"/>
      <c r="AE124" s="447"/>
      <c r="AF124" s="447"/>
      <c r="AG124" s="447"/>
      <c r="AH124" s="447"/>
      <c r="AI124" s="447"/>
      <c r="AJ124" s="447"/>
      <c r="AK124" s="447"/>
      <c r="AL124" s="447"/>
      <c r="AM124" s="447"/>
      <c r="AN124" s="447"/>
      <c r="AO124" s="447"/>
      <c r="AP124" s="447"/>
      <c r="AQ124" s="447"/>
      <c r="AR124" s="447"/>
      <c r="AS124" s="447"/>
      <c r="AT124" s="447"/>
      <c r="AU124" s="447"/>
      <c r="AV124" s="447"/>
      <c r="AW124" s="447"/>
      <c r="AX124" s="447"/>
      <c r="AY124" s="447"/>
      <c r="AZ124" s="447"/>
      <c r="BA124" s="448" t="s">
        <v>51</v>
      </c>
      <c r="BB124" s="448" t="s">
        <v>51</v>
      </c>
      <c r="BC124" s="447"/>
      <c r="BD124" s="448" t="s">
        <v>261</v>
      </c>
      <c r="BE124" s="447">
        <v>468</v>
      </c>
    </row>
    <row r="125" spans="1:57" ht="30" customHeight="1">
      <c r="A125" s="443" t="s">
        <v>218</v>
      </c>
      <c r="B125" s="443" t="s">
        <v>219</v>
      </c>
      <c r="C125" s="443" t="s">
        <v>59</v>
      </c>
      <c r="D125" s="1133">
        <v>715.26</v>
      </c>
      <c r="E125" s="445">
        <f>'1층전시실산출'!H189</f>
        <v>715.26</v>
      </c>
      <c r="F125" s="1147">
        <v>1908</v>
      </c>
      <c r="G125" s="1147">
        <v>1364716.08</v>
      </c>
      <c r="H125" s="450">
        <f>TRUNC(일위대가목록!F43,0)</f>
        <v>1800</v>
      </c>
      <c r="I125" s="450">
        <f t="shared" si="15"/>
        <v>1287468</v>
      </c>
      <c r="J125" s="1147">
        <v>7912</v>
      </c>
      <c r="K125" s="1147">
        <v>5659137.1200000001</v>
      </c>
      <c r="L125" s="450">
        <f>TRUNC(일위대가목록!H43,0)</f>
        <v>3300</v>
      </c>
      <c r="M125" s="450">
        <f t="shared" si="16"/>
        <v>2360358</v>
      </c>
      <c r="N125" s="1147">
        <v>0</v>
      </c>
      <c r="O125" s="1147">
        <v>0</v>
      </c>
      <c r="P125" s="450">
        <f>TRUNC(일위대가목록!J43,0)</f>
        <v>0</v>
      </c>
      <c r="Q125" s="450">
        <f t="shared" si="17"/>
        <v>0</v>
      </c>
      <c r="R125" s="1147">
        <v>9820</v>
      </c>
      <c r="S125" s="1147">
        <v>7023853.2000000002</v>
      </c>
      <c r="T125" s="450">
        <f t="shared" si="18"/>
        <v>5100</v>
      </c>
      <c r="U125" s="450">
        <f t="shared" si="19"/>
        <v>3647826</v>
      </c>
      <c r="V125" s="454" t="str">
        <f>일위대가목록!M43</f>
        <v>호표 40</v>
      </c>
      <c r="W125" s="448" t="s">
        <v>220</v>
      </c>
      <c r="X125" s="448" t="s">
        <v>51</v>
      </c>
      <c r="Y125" s="448" t="s">
        <v>51</v>
      </c>
      <c r="Z125" s="448" t="s">
        <v>250</v>
      </c>
      <c r="AA125" s="448" t="s">
        <v>61</v>
      </c>
      <c r="AB125" s="448" t="s">
        <v>62</v>
      </c>
      <c r="AC125" s="448" t="s">
        <v>62</v>
      </c>
      <c r="AD125" s="447"/>
      <c r="AE125" s="447"/>
      <c r="AF125" s="447"/>
      <c r="AG125" s="447"/>
      <c r="AH125" s="447"/>
      <c r="AI125" s="447"/>
      <c r="AJ125" s="447"/>
      <c r="AK125" s="447"/>
      <c r="AL125" s="447"/>
      <c r="AM125" s="447"/>
      <c r="AN125" s="447"/>
      <c r="AO125" s="447"/>
      <c r="AP125" s="447"/>
      <c r="AQ125" s="447"/>
      <c r="AR125" s="447"/>
      <c r="AS125" s="447"/>
      <c r="AT125" s="447"/>
      <c r="AU125" s="447"/>
      <c r="AV125" s="447"/>
      <c r="AW125" s="447"/>
      <c r="AX125" s="447"/>
      <c r="AY125" s="447"/>
      <c r="AZ125" s="447"/>
      <c r="BA125" s="448" t="s">
        <v>51</v>
      </c>
      <c r="BB125" s="448" t="s">
        <v>51</v>
      </c>
      <c r="BC125" s="447"/>
      <c r="BD125" s="448" t="s">
        <v>262</v>
      </c>
      <c r="BE125" s="447">
        <v>469</v>
      </c>
    </row>
    <row r="126" spans="1:57" ht="30" customHeight="1">
      <c r="A126" s="157" t="s">
        <v>222</v>
      </c>
      <c r="B126" s="157" t="s">
        <v>6823</v>
      </c>
      <c r="C126" s="157" t="s">
        <v>59</v>
      </c>
      <c r="D126" s="1209">
        <v>715.26</v>
      </c>
      <c r="E126" s="1210">
        <f>'1층전시실산출'!H192</f>
        <v>715.26</v>
      </c>
      <c r="F126" s="1211">
        <v>2312</v>
      </c>
      <c r="G126" s="1211">
        <v>1653681.1199999999</v>
      </c>
      <c r="H126" s="1212">
        <f>TRUNC(일위대가목록!F44,0)</f>
        <v>2097</v>
      </c>
      <c r="I126" s="1212">
        <f t="shared" si="15"/>
        <v>1499900.22</v>
      </c>
      <c r="J126" s="1211">
        <v>10764</v>
      </c>
      <c r="K126" s="1211">
        <v>7699058.6399999997</v>
      </c>
      <c r="L126" s="1212">
        <f>TRUNC(일위대가목록!H44,0)</f>
        <v>5053</v>
      </c>
      <c r="M126" s="1212">
        <f t="shared" si="16"/>
        <v>3614208.78</v>
      </c>
      <c r="N126" s="1211">
        <v>0</v>
      </c>
      <c r="O126" s="1211">
        <v>0</v>
      </c>
      <c r="P126" s="1212">
        <f>TRUNC(일위대가목록!J44,0)</f>
        <v>0</v>
      </c>
      <c r="Q126" s="1212">
        <f t="shared" si="17"/>
        <v>0</v>
      </c>
      <c r="R126" s="1211">
        <v>13076</v>
      </c>
      <c r="S126" s="1211">
        <v>9352739.7599999998</v>
      </c>
      <c r="T126" s="1212">
        <f t="shared" si="18"/>
        <v>7150</v>
      </c>
      <c r="U126" s="1212">
        <f t="shared" si="19"/>
        <v>5114109</v>
      </c>
      <c r="V126" s="1213" t="str">
        <f>일위대가목록!M44</f>
        <v>호표 41</v>
      </c>
      <c r="W126" s="448" t="s">
        <v>224</v>
      </c>
      <c r="X126" s="448" t="s">
        <v>51</v>
      </c>
      <c r="Y126" s="448" t="s">
        <v>51</v>
      </c>
      <c r="Z126" s="448" t="s">
        <v>250</v>
      </c>
      <c r="AA126" s="448" t="s">
        <v>61</v>
      </c>
      <c r="AB126" s="448" t="s">
        <v>62</v>
      </c>
      <c r="AC126" s="448" t="s">
        <v>62</v>
      </c>
      <c r="AD126" s="447"/>
      <c r="AE126" s="447"/>
      <c r="AF126" s="447"/>
      <c r="AG126" s="447"/>
      <c r="AH126" s="447"/>
      <c r="AI126" s="447"/>
      <c r="AJ126" s="447"/>
      <c r="AK126" s="447"/>
      <c r="AL126" s="447"/>
      <c r="AM126" s="447"/>
      <c r="AN126" s="447"/>
      <c r="AO126" s="447"/>
      <c r="AP126" s="447"/>
      <c r="AQ126" s="447"/>
      <c r="AR126" s="447"/>
      <c r="AS126" s="447"/>
      <c r="AT126" s="447"/>
      <c r="AU126" s="447"/>
      <c r="AV126" s="447"/>
      <c r="AW126" s="447"/>
      <c r="AX126" s="447"/>
      <c r="AY126" s="447"/>
      <c r="AZ126" s="447"/>
      <c r="BA126" s="448" t="s">
        <v>51</v>
      </c>
      <c r="BB126" s="448" t="s">
        <v>51</v>
      </c>
      <c r="BC126" s="447"/>
      <c r="BD126" s="448" t="s">
        <v>263</v>
      </c>
      <c r="BE126" s="447">
        <v>470</v>
      </c>
    </row>
    <row r="127" spans="1:57" ht="30" customHeight="1">
      <c r="A127" s="443" t="s">
        <v>228</v>
      </c>
      <c r="B127" s="443" t="s">
        <v>3803</v>
      </c>
      <c r="C127" s="443" t="s">
        <v>59</v>
      </c>
      <c r="D127" s="1133">
        <v>19.575000000000003</v>
      </c>
      <c r="E127" s="445">
        <f>'1층전시실산출'!H193</f>
        <v>19.575000000000003</v>
      </c>
      <c r="F127" s="1147">
        <v>1772</v>
      </c>
      <c r="G127" s="1147">
        <v>34686.9</v>
      </c>
      <c r="H127" s="450">
        <f>일위대가목록!F46</f>
        <v>1749</v>
      </c>
      <c r="I127" s="450">
        <f t="shared" si="15"/>
        <v>34236.675000000003</v>
      </c>
      <c r="J127" s="1147">
        <v>8687</v>
      </c>
      <c r="K127" s="1147">
        <v>170048.02500000002</v>
      </c>
      <c r="L127" s="450">
        <f>일위대가목록!H46</f>
        <v>8596</v>
      </c>
      <c r="M127" s="450">
        <f t="shared" si="16"/>
        <v>168266.7</v>
      </c>
      <c r="N127" s="1147">
        <v>0</v>
      </c>
      <c r="O127" s="1147">
        <v>0</v>
      </c>
      <c r="P127" s="450">
        <f>TRUNC(일위대가목록!J109,0)</f>
        <v>0</v>
      </c>
      <c r="Q127" s="450">
        <f t="shared" si="17"/>
        <v>0</v>
      </c>
      <c r="R127" s="1147">
        <v>10459</v>
      </c>
      <c r="S127" s="1147">
        <v>204734.92500000002</v>
      </c>
      <c r="T127" s="450">
        <f t="shared" si="18"/>
        <v>10345</v>
      </c>
      <c r="U127" s="450">
        <f t="shared" si="19"/>
        <v>202503.375</v>
      </c>
      <c r="V127" s="454" t="str">
        <f>일위대가목록!M46</f>
        <v>호표 43</v>
      </c>
      <c r="W127" s="448" t="s">
        <v>230</v>
      </c>
      <c r="X127" s="448" t="s">
        <v>51</v>
      </c>
      <c r="Y127" s="448" t="s">
        <v>51</v>
      </c>
      <c r="Z127" s="448" t="s">
        <v>174</v>
      </c>
      <c r="AA127" s="448" t="s">
        <v>61</v>
      </c>
      <c r="AB127" s="448" t="s">
        <v>62</v>
      </c>
      <c r="AC127" s="448" t="s">
        <v>62</v>
      </c>
      <c r="AD127" s="447"/>
      <c r="AE127" s="447"/>
      <c r="AF127" s="447"/>
      <c r="AG127" s="447"/>
      <c r="AH127" s="447"/>
      <c r="AI127" s="447"/>
      <c r="AJ127" s="447"/>
      <c r="AK127" s="447"/>
      <c r="AL127" s="447"/>
      <c r="AM127" s="447"/>
      <c r="AN127" s="447"/>
      <c r="AO127" s="447"/>
      <c r="AP127" s="447"/>
      <c r="AQ127" s="447"/>
      <c r="AR127" s="447"/>
      <c r="AS127" s="447"/>
      <c r="AT127" s="447"/>
      <c r="AU127" s="447"/>
      <c r="AV127" s="447"/>
      <c r="AW127" s="447"/>
      <c r="AX127" s="447"/>
      <c r="AY127" s="447"/>
      <c r="AZ127" s="447"/>
      <c r="BA127" s="448" t="s">
        <v>51</v>
      </c>
      <c r="BB127" s="448" t="s">
        <v>51</v>
      </c>
      <c r="BC127" s="447"/>
      <c r="BD127" s="448" t="s">
        <v>231</v>
      </c>
      <c r="BE127" s="447">
        <v>457</v>
      </c>
    </row>
    <row r="128" spans="1:57" ht="30" customHeight="1">
      <c r="A128" s="443"/>
      <c r="B128" s="443"/>
      <c r="C128" s="443"/>
      <c r="D128" s="1133"/>
      <c r="E128" s="445"/>
      <c r="F128" s="1147"/>
      <c r="G128" s="1147"/>
      <c r="H128" s="450"/>
      <c r="I128" s="450"/>
      <c r="J128" s="1147"/>
      <c r="K128" s="1147"/>
      <c r="L128" s="450"/>
      <c r="M128" s="450"/>
      <c r="N128" s="1147"/>
      <c r="O128" s="1147"/>
      <c r="P128" s="450"/>
      <c r="Q128" s="450"/>
      <c r="R128" s="1147"/>
      <c r="S128" s="1147"/>
      <c r="T128" s="450"/>
      <c r="U128" s="450"/>
      <c r="V128" s="454"/>
      <c r="W128" s="448"/>
      <c r="X128" s="448"/>
      <c r="Y128" s="448"/>
      <c r="Z128" s="448"/>
      <c r="AA128" s="448"/>
      <c r="AB128" s="448"/>
      <c r="AC128" s="448"/>
      <c r="AD128" s="447"/>
      <c r="AE128" s="447"/>
      <c r="AF128" s="447"/>
      <c r="AG128" s="447"/>
      <c r="AH128" s="447"/>
      <c r="AI128" s="447"/>
      <c r="AJ128" s="447"/>
      <c r="AK128" s="447"/>
      <c r="AL128" s="447"/>
      <c r="AM128" s="447"/>
      <c r="AN128" s="447"/>
      <c r="AO128" s="447"/>
      <c r="AP128" s="447"/>
      <c r="AQ128" s="447"/>
      <c r="AR128" s="447"/>
      <c r="AS128" s="447"/>
      <c r="AT128" s="447"/>
      <c r="AU128" s="447"/>
      <c r="AV128" s="447"/>
      <c r="AW128" s="447"/>
      <c r="AX128" s="447"/>
      <c r="AY128" s="447"/>
      <c r="AZ128" s="447"/>
      <c r="BA128" s="448"/>
      <c r="BB128" s="448"/>
      <c r="BC128" s="447"/>
      <c r="BD128" s="448"/>
      <c r="BE128" s="447"/>
    </row>
    <row r="129" spans="1:57" ht="30" customHeight="1">
      <c r="A129" s="443"/>
      <c r="B129" s="443"/>
      <c r="C129" s="443"/>
      <c r="D129" s="1133"/>
      <c r="E129" s="445"/>
      <c r="F129" s="1147"/>
      <c r="G129" s="1147"/>
      <c r="H129" s="450"/>
      <c r="I129" s="450"/>
      <c r="J129" s="1147"/>
      <c r="K129" s="1147"/>
      <c r="L129" s="450"/>
      <c r="M129" s="450"/>
      <c r="N129" s="1147"/>
      <c r="O129" s="1147"/>
      <c r="P129" s="450"/>
      <c r="Q129" s="450"/>
      <c r="R129" s="1147"/>
      <c r="S129" s="1147"/>
      <c r="T129" s="450"/>
      <c r="U129" s="450"/>
      <c r="V129" s="454"/>
      <c r="W129" s="448"/>
      <c r="X129" s="448"/>
      <c r="Y129" s="448"/>
      <c r="Z129" s="448"/>
      <c r="AA129" s="448"/>
      <c r="AB129" s="448"/>
      <c r="AC129" s="448"/>
      <c r="AD129" s="447"/>
      <c r="AE129" s="447"/>
      <c r="AF129" s="447"/>
      <c r="AG129" s="447"/>
      <c r="AH129" s="447"/>
      <c r="AI129" s="447"/>
      <c r="AJ129" s="447"/>
      <c r="AK129" s="447"/>
      <c r="AL129" s="447"/>
      <c r="AM129" s="447"/>
      <c r="AN129" s="447"/>
      <c r="AO129" s="447"/>
      <c r="AP129" s="447"/>
      <c r="AQ129" s="447"/>
      <c r="AR129" s="447"/>
      <c r="AS129" s="447"/>
      <c r="AT129" s="447"/>
      <c r="AU129" s="447"/>
      <c r="AV129" s="447"/>
      <c r="AW129" s="447"/>
      <c r="AX129" s="447"/>
      <c r="AY129" s="447"/>
      <c r="AZ129" s="447"/>
      <c r="BA129" s="448"/>
      <c r="BB129" s="448"/>
      <c r="BC129" s="447"/>
      <c r="BD129" s="448"/>
      <c r="BE129" s="447"/>
    </row>
    <row r="130" spans="1:57" ht="30" customHeight="1">
      <c r="A130" s="469"/>
      <c r="B130" s="443"/>
      <c r="C130" s="443"/>
      <c r="D130" s="1133"/>
      <c r="E130" s="445"/>
      <c r="F130" s="1147"/>
      <c r="G130" s="1147"/>
      <c r="H130" s="450"/>
      <c r="I130" s="450"/>
      <c r="J130" s="1147"/>
      <c r="K130" s="1147"/>
      <c r="L130" s="450"/>
      <c r="M130" s="450"/>
      <c r="N130" s="1147"/>
      <c r="O130" s="1147"/>
      <c r="P130" s="450"/>
      <c r="Q130" s="450"/>
      <c r="R130" s="1147"/>
      <c r="S130" s="1147"/>
      <c r="T130" s="450"/>
      <c r="U130" s="450"/>
      <c r="V130" s="454"/>
      <c r="W130" s="448"/>
      <c r="X130" s="448"/>
      <c r="Y130" s="448"/>
      <c r="Z130" s="448"/>
      <c r="AA130" s="448"/>
      <c r="AB130" s="448"/>
      <c r="AC130" s="448"/>
      <c r="AD130" s="447"/>
      <c r="AE130" s="447"/>
      <c r="AF130" s="447"/>
      <c r="AG130" s="447"/>
      <c r="AH130" s="447"/>
      <c r="AI130" s="447"/>
      <c r="AJ130" s="447"/>
      <c r="AK130" s="447"/>
      <c r="AL130" s="447"/>
      <c r="AM130" s="447"/>
      <c r="AN130" s="447"/>
      <c r="AO130" s="447"/>
      <c r="AP130" s="447"/>
      <c r="AQ130" s="447"/>
      <c r="AR130" s="447"/>
      <c r="AS130" s="447"/>
      <c r="AT130" s="447"/>
      <c r="AU130" s="447"/>
      <c r="AV130" s="447"/>
      <c r="AW130" s="447"/>
      <c r="AX130" s="447"/>
      <c r="AY130" s="447"/>
      <c r="AZ130" s="447"/>
      <c r="BA130" s="448"/>
      <c r="BB130" s="448"/>
      <c r="BC130" s="447"/>
      <c r="BD130" s="448"/>
      <c r="BE130" s="447"/>
    </row>
    <row r="131" spans="1:57" ht="30" customHeight="1">
      <c r="A131" s="469"/>
      <c r="B131" s="464"/>
      <c r="C131" s="461"/>
      <c r="D131" s="1135"/>
      <c r="E131" s="470"/>
      <c r="F131" s="1146"/>
      <c r="G131" s="1146"/>
      <c r="H131" s="444"/>
      <c r="I131" s="444"/>
      <c r="J131" s="1146"/>
      <c r="K131" s="1146"/>
      <c r="L131" s="444"/>
      <c r="M131" s="444"/>
      <c r="N131" s="1146"/>
      <c r="O131" s="1146"/>
      <c r="P131" s="444"/>
      <c r="Q131" s="444"/>
      <c r="R131" s="1146"/>
      <c r="S131" s="1146"/>
      <c r="T131" s="444"/>
      <c r="U131" s="444"/>
      <c r="V131" s="454"/>
    </row>
    <row r="132" spans="1:57" ht="30" customHeight="1">
      <c r="A132" s="469"/>
      <c r="B132" s="464"/>
      <c r="C132" s="461"/>
      <c r="D132" s="1136"/>
      <c r="E132" s="471"/>
      <c r="F132" s="1146"/>
      <c r="G132" s="1146"/>
      <c r="H132" s="444"/>
      <c r="I132" s="444"/>
      <c r="J132" s="1146"/>
      <c r="K132" s="1146"/>
      <c r="L132" s="444"/>
      <c r="M132" s="444"/>
      <c r="N132" s="1146"/>
      <c r="O132" s="1146"/>
      <c r="P132" s="444"/>
      <c r="Q132" s="444"/>
      <c r="R132" s="1146"/>
      <c r="S132" s="1146"/>
      <c r="T132" s="444"/>
      <c r="U132" s="444"/>
      <c r="V132" s="454"/>
    </row>
    <row r="133" spans="1:57" ht="30" customHeight="1">
      <c r="A133" s="469"/>
      <c r="B133" s="464"/>
      <c r="C133" s="461"/>
      <c r="D133" s="1136"/>
      <c r="E133" s="471"/>
      <c r="F133" s="1146"/>
      <c r="G133" s="1146"/>
      <c r="H133" s="444"/>
      <c r="I133" s="444"/>
      <c r="J133" s="1146"/>
      <c r="K133" s="1146"/>
      <c r="L133" s="444"/>
      <c r="M133" s="444"/>
      <c r="N133" s="1146"/>
      <c r="O133" s="1146"/>
      <c r="P133" s="444"/>
      <c r="Q133" s="444"/>
      <c r="R133" s="1146"/>
      <c r="S133" s="1146"/>
      <c r="T133" s="444"/>
      <c r="U133" s="444"/>
      <c r="V133" s="446"/>
    </row>
    <row r="134" spans="1:57" ht="30" customHeight="1">
      <c r="A134" s="469"/>
      <c r="B134" s="464"/>
      <c r="C134" s="461"/>
      <c r="D134" s="1136"/>
      <c r="E134" s="471"/>
      <c r="F134" s="1146"/>
      <c r="G134" s="1146"/>
      <c r="H134" s="444"/>
      <c r="I134" s="444"/>
      <c r="J134" s="1146"/>
      <c r="K134" s="1146"/>
      <c r="L134" s="444"/>
      <c r="M134" s="444"/>
      <c r="N134" s="1146"/>
      <c r="O134" s="1146"/>
      <c r="P134" s="444"/>
      <c r="Q134" s="444"/>
      <c r="R134" s="1146"/>
      <c r="S134" s="1146"/>
      <c r="T134" s="444"/>
      <c r="U134" s="444"/>
      <c r="V134" s="446"/>
    </row>
    <row r="135" spans="1:57" ht="30" customHeight="1">
      <c r="A135" s="444"/>
      <c r="B135" s="444"/>
      <c r="C135" s="444"/>
      <c r="D135" s="1133"/>
      <c r="E135" s="445"/>
      <c r="F135" s="1146"/>
      <c r="G135" s="1146"/>
      <c r="H135" s="444"/>
      <c r="I135" s="444"/>
      <c r="J135" s="1146"/>
      <c r="K135" s="1146"/>
      <c r="L135" s="444"/>
      <c r="M135" s="444"/>
      <c r="N135" s="1146"/>
      <c r="O135" s="1146"/>
      <c r="P135" s="444"/>
      <c r="Q135" s="444"/>
      <c r="R135" s="1146"/>
      <c r="S135" s="1146"/>
      <c r="T135" s="444"/>
      <c r="U135" s="444"/>
      <c r="V135" s="446"/>
    </row>
    <row r="136" spans="1:57" ht="30" customHeight="1">
      <c r="A136" s="444"/>
      <c r="B136" s="444"/>
      <c r="C136" s="444"/>
      <c r="D136" s="1133"/>
      <c r="E136" s="445"/>
      <c r="F136" s="1146"/>
      <c r="G136" s="1146"/>
      <c r="H136" s="444"/>
      <c r="I136" s="444"/>
      <c r="J136" s="1146"/>
      <c r="K136" s="1146"/>
      <c r="L136" s="444"/>
      <c r="M136" s="444"/>
      <c r="N136" s="1146"/>
      <c r="O136" s="1146"/>
      <c r="P136" s="444"/>
      <c r="Q136" s="444"/>
      <c r="R136" s="1146"/>
      <c r="S136" s="1146"/>
      <c r="T136" s="444"/>
      <c r="U136" s="444"/>
      <c r="V136" s="446"/>
    </row>
    <row r="137" spans="1:57" ht="30" customHeight="1">
      <c r="A137" s="444"/>
      <c r="B137" s="444"/>
      <c r="C137" s="444"/>
      <c r="D137" s="1133"/>
      <c r="E137" s="445"/>
      <c r="F137" s="1146"/>
      <c r="G137" s="1146"/>
      <c r="H137" s="444"/>
      <c r="I137" s="444"/>
      <c r="J137" s="1146"/>
      <c r="K137" s="1146"/>
      <c r="L137" s="444"/>
      <c r="M137" s="444"/>
      <c r="N137" s="1146"/>
      <c r="O137" s="1146"/>
      <c r="P137" s="444"/>
      <c r="Q137" s="444"/>
      <c r="R137" s="1146"/>
      <c r="S137" s="1146"/>
      <c r="T137" s="444"/>
      <c r="U137" s="444"/>
      <c r="V137" s="446"/>
    </row>
    <row r="138" spans="1:57" ht="30" customHeight="1">
      <c r="A138" s="444"/>
      <c r="B138" s="444"/>
      <c r="C138" s="444"/>
      <c r="D138" s="1133"/>
      <c r="E138" s="445"/>
      <c r="F138" s="1146"/>
      <c r="G138" s="1146"/>
      <c r="H138" s="444"/>
      <c r="I138" s="444"/>
      <c r="J138" s="1146"/>
      <c r="K138" s="1146"/>
      <c r="L138" s="444"/>
      <c r="M138" s="444"/>
      <c r="N138" s="1146"/>
      <c r="O138" s="1146"/>
      <c r="P138" s="444"/>
      <c r="Q138" s="444"/>
      <c r="R138" s="1146"/>
      <c r="S138" s="1146"/>
      <c r="T138" s="444"/>
      <c r="U138" s="444"/>
      <c r="V138" s="446"/>
    </row>
    <row r="139" spans="1:57" ht="30" customHeight="1">
      <c r="A139" s="444"/>
      <c r="B139" s="444"/>
      <c r="C139" s="444"/>
      <c r="D139" s="1133"/>
      <c r="E139" s="445"/>
      <c r="F139" s="1146"/>
      <c r="G139" s="1146"/>
      <c r="H139" s="444"/>
      <c r="I139" s="444"/>
      <c r="J139" s="1146"/>
      <c r="K139" s="1146"/>
      <c r="L139" s="444"/>
      <c r="M139" s="444"/>
      <c r="N139" s="1146"/>
      <c r="O139" s="1146"/>
      <c r="P139" s="444"/>
      <c r="Q139" s="444"/>
      <c r="R139" s="1146"/>
      <c r="S139" s="1146"/>
      <c r="T139" s="444"/>
      <c r="U139" s="444"/>
      <c r="V139" s="446"/>
    </row>
    <row r="140" spans="1:57" ht="30" customHeight="1">
      <c r="A140" s="444"/>
      <c r="B140" s="444"/>
      <c r="C140" s="444"/>
      <c r="D140" s="1133"/>
      <c r="E140" s="445"/>
      <c r="F140" s="1146"/>
      <c r="G140" s="1146"/>
      <c r="H140" s="444"/>
      <c r="I140" s="444"/>
      <c r="J140" s="1146"/>
      <c r="K140" s="1146"/>
      <c r="L140" s="444"/>
      <c r="M140" s="444"/>
      <c r="N140" s="1146"/>
      <c r="O140" s="1146"/>
      <c r="P140" s="444"/>
      <c r="Q140" s="444"/>
      <c r="R140" s="1146"/>
      <c r="S140" s="1146"/>
      <c r="T140" s="444"/>
      <c r="U140" s="444"/>
      <c r="V140" s="446"/>
    </row>
    <row r="141" spans="1:57" ht="30" customHeight="1">
      <c r="A141" s="443" t="s">
        <v>85</v>
      </c>
      <c r="B141" s="444"/>
      <c r="C141" s="444"/>
      <c r="D141" s="1133"/>
      <c r="E141" s="445"/>
      <c r="F141" s="1146"/>
      <c r="G141" s="1147">
        <v>14253589.959999999</v>
      </c>
      <c r="H141" s="444"/>
      <c r="I141" s="450">
        <f>SUM(I120:I140)</f>
        <v>14365682.455</v>
      </c>
      <c r="J141" s="1146"/>
      <c r="K141" s="1147">
        <v>42590031.584999993</v>
      </c>
      <c r="L141" s="444"/>
      <c r="M141" s="450">
        <f>SUM(M120:M140)</f>
        <v>36830633.879999995</v>
      </c>
      <c r="N141" s="1146"/>
      <c r="O141" s="1147">
        <v>15521.280000000002</v>
      </c>
      <c r="P141" s="444"/>
      <c r="Q141" s="450">
        <f>SUM(Q120:Q140)</f>
        <v>15521.280000000002</v>
      </c>
      <c r="R141" s="1146"/>
      <c r="S141" s="1147">
        <v>56859142.824999996</v>
      </c>
      <c r="T141" s="444"/>
      <c r="U141" s="450">
        <f>SUM(U120:U140)</f>
        <v>51211837.614999995</v>
      </c>
      <c r="V141" s="446"/>
      <c r="W141" s="449" t="s">
        <v>86</v>
      </c>
    </row>
    <row r="142" spans="1:57" ht="30" customHeight="1">
      <c r="A142" s="455" t="s">
        <v>4756</v>
      </c>
      <c r="B142" s="456"/>
      <c r="C142" s="456"/>
      <c r="D142" s="1134"/>
      <c r="E142" s="457"/>
      <c r="F142" s="1148"/>
      <c r="G142" s="1148"/>
      <c r="H142" s="456"/>
      <c r="I142" s="456"/>
      <c r="J142" s="1148"/>
      <c r="K142" s="1148"/>
      <c r="L142" s="456"/>
      <c r="M142" s="456"/>
      <c r="N142" s="1148"/>
      <c r="O142" s="1148"/>
      <c r="P142" s="456"/>
      <c r="Q142" s="456"/>
      <c r="R142" s="1148"/>
      <c r="S142" s="1148"/>
      <c r="T142" s="456"/>
      <c r="U142" s="456"/>
      <c r="V142" s="458"/>
      <c r="W142" s="459"/>
      <c r="X142" s="459"/>
      <c r="Y142" s="459"/>
      <c r="Z142" s="460" t="s">
        <v>264</v>
      </c>
      <c r="AA142" s="459"/>
      <c r="AB142" s="459"/>
      <c r="AC142" s="459"/>
      <c r="AD142" s="459"/>
      <c r="AE142" s="459"/>
      <c r="AF142" s="459"/>
      <c r="AG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  <c r="AT142" s="459"/>
      <c r="AU142" s="459"/>
      <c r="AV142" s="459"/>
      <c r="AW142" s="459"/>
      <c r="AX142" s="459"/>
      <c r="AY142" s="459"/>
      <c r="AZ142" s="459"/>
      <c r="BA142" s="459"/>
      <c r="BB142" s="459"/>
      <c r="BC142" s="459"/>
      <c r="BD142" s="459"/>
      <c r="BE142" s="459"/>
    </row>
    <row r="143" spans="1:57" ht="30" customHeight="1">
      <c r="A143" s="443" t="s">
        <v>233</v>
      </c>
      <c r="B143" s="443" t="s">
        <v>153</v>
      </c>
      <c r="C143" s="443" t="s">
        <v>59</v>
      </c>
      <c r="D143" s="1133">
        <v>60.199999999999996</v>
      </c>
      <c r="E143" s="445">
        <f>'1층전시실산출'!H197</f>
        <v>60.199999999999996</v>
      </c>
      <c r="F143" s="1147">
        <v>2167</v>
      </c>
      <c r="G143" s="1147">
        <v>130453.4</v>
      </c>
      <c r="H143" s="450">
        <f>TRUNC(일위대가목록!F47,0)</f>
        <v>2139</v>
      </c>
      <c r="I143" s="450">
        <f>E143*H143</f>
        <v>128767.79999999999</v>
      </c>
      <c r="J143" s="1147">
        <v>34936</v>
      </c>
      <c r="K143" s="1147">
        <v>2103147.1999999997</v>
      </c>
      <c r="L143" s="450">
        <f>TRUNC(일위대가목록!H47,0)</f>
        <v>4558</v>
      </c>
      <c r="M143" s="450">
        <f>E143*L143</f>
        <v>274391.59999999998</v>
      </c>
      <c r="N143" s="1147">
        <v>0</v>
      </c>
      <c r="O143" s="1147">
        <v>0</v>
      </c>
      <c r="P143" s="450">
        <f>TRUNC(일위대가목록!J47,0)</f>
        <v>0</v>
      </c>
      <c r="Q143" s="450">
        <f>E143*P143</f>
        <v>0</v>
      </c>
      <c r="R143" s="1147">
        <v>37103</v>
      </c>
      <c r="S143" s="1147">
        <v>2233600.5999999996</v>
      </c>
      <c r="T143" s="450">
        <f t="shared" ref="T143:T146" si="20">H143+L143+P143</f>
        <v>6697</v>
      </c>
      <c r="U143" s="450">
        <f t="shared" ref="U143:U146" si="21">I143+M143+Q143</f>
        <v>403159.39999999997</v>
      </c>
      <c r="V143" s="454" t="str">
        <f>일위대가목록!M47</f>
        <v>호표 44</v>
      </c>
      <c r="W143" s="448" t="s">
        <v>234</v>
      </c>
      <c r="X143" s="448" t="s">
        <v>51</v>
      </c>
      <c r="Y143" s="448" t="s">
        <v>51</v>
      </c>
      <c r="Z143" s="448" t="s">
        <v>264</v>
      </c>
      <c r="AA143" s="448" t="s">
        <v>61</v>
      </c>
      <c r="AB143" s="448" t="s">
        <v>62</v>
      </c>
      <c r="AC143" s="448" t="s">
        <v>62</v>
      </c>
      <c r="AD143" s="447"/>
      <c r="AE143" s="447"/>
      <c r="AF143" s="447"/>
      <c r="AG143" s="447"/>
      <c r="AH143" s="447"/>
      <c r="AI143" s="447"/>
      <c r="AJ143" s="447"/>
      <c r="AK143" s="447"/>
      <c r="AL143" s="447"/>
      <c r="AM143" s="447"/>
      <c r="AN143" s="447"/>
      <c r="AO143" s="447"/>
      <c r="AP143" s="447"/>
      <c r="AQ143" s="447"/>
      <c r="AR143" s="447"/>
      <c r="AS143" s="447"/>
      <c r="AT143" s="447"/>
      <c r="AU143" s="447"/>
      <c r="AV143" s="447"/>
      <c r="AW143" s="447"/>
      <c r="AX143" s="447"/>
      <c r="AY143" s="447"/>
      <c r="AZ143" s="447"/>
      <c r="BA143" s="448" t="s">
        <v>51</v>
      </c>
      <c r="BB143" s="448" t="s">
        <v>51</v>
      </c>
      <c r="BC143" s="447"/>
      <c r="BD143" s="448" t="s">
        <v>265</v>
      </c>
      <c r="BE143" s="447">
        <v>472</v>
      </c>
    </row>
    <row r="144" spans="1:57" ht="30" customHeight="1">
      <c r="A144" s="443" t="s">
        <v>236</v>
      </c>
      <c r="B144" s="464" t="s">
        <v>2713</v>
      </c>
      <c r="C144" s="443" t="s">
        <v>59</v>
      </c>
      <c r="D144" s="1133">
        <v>562</v>
      </c>
      <c r="E144" s="445">
        <f>'1층전시실산출'!H198</f>
        <v>562</v>
      </c>
      <c r="F144" s="1147">
        <v>7050</v>
      </c>
      <c r="G144" s="1147">
        <v>3962100</v>
      </c>
      <c r="H144" s="450">
        <f>TRUNC(일위대가목록!F48,0)</f>
        <v>7050</v>
      </c>
      <c r="I144" s="450">
        <f>E144*H144</f>
        <v>3962100</v>
      </c>
      <c r="J144" s="1147">
        <v>10986</v>
      </c>
      <c r="K144" s="1147">
        <v>6174132</v>
      </c>
      <c r="L144" s="450">
        <f>TRUNC(일위대가목록!H48,0)</f>
        <v>10986</v>
      </c>
      <c r="M144" s="450">
        <f>E144*L144</f>
        <v>6174132</v>
      </c>
      <c r="N144" s="1147">
        <v>0</v>
      </c>
      <c r="O144" s="1147">
        <v>0</v>
      </c>
      <c r="P144" s="450">
        <f>TRUNC(일위대가목록!J48,0)</f>
        <v>0</v>
      </c>
      <c r="Q144" s="450">
        <f>E144*P144</f>
        <v>0</v>
      </c>
      <c r="R144" s="1147">
        <v>18036</v>
      </c>
      <c r="S144" s="1147">
        <v>10136232</v>
      </c>
      <c r="T144" s="450">
        <f t="shared" si="20"/>
        <v>18036</v>
      </c>
      <c r="U144" s="450">
        <f t="shared" si="21"/>
        <v>10136232</v>
      </c>
      <c r="V144" s="454" t="str">
        <f>일위대가목록!M48</f>
        <v>호표 45</v>
      </c>
      <c r="W144" s="448" t="s">
        <v>238</v>
      </c>
      <c r="X144" s="448" t="s">
        <v>51</v>
      </c>
      <c r="Y144" s="448" t="s">
        <v>51</v>
      </c>
      <c r="Z144" s="448" t="s">
        <v>264</v>
      </c>
      <c r="AA144" s="448" t="s">
        <v>61</v>
      </c>
      <c r="AB144" s="448" t="s">
        <v>62</v>
      </c>
      <c r="AC144" s="448" t="s">
        <v>62</v>
      </c>
      <c r="AD144" s="447"/>
      <c r="AE144" s="447"/>
      <c r="AF144" s="447"/>
      <c r="AG144" s="447"/>
      <c r="AH144" s="447"/>
      <c r="AI144" s="447"/>
      <c r="AJ144" s="447"/>
      <c r="AK144" s="447"/>
      <c r="AL144" s="447"/>
      <c r="AM144" s="447"/>
      <c r="AN144" s="447"/>
      <c r="AO144" s="447"/>
      <c r="AP144" s="447"/>
      <c r="AQ144" s="447"/>
      <c r="AR144" s="447"/>
      <c r="AS144" s="447"/>
      <c r="AT144" s="447"/>
      <c r="AU144" s="447"/>
      <c r="AV144" s="447"/>
      <c r="AW144" s="447"/>
      <c r="AX144" s="447"/>
      <c r="AY144" s="447"/>
      <c r="AZ144" s="447"/>
      <c r="BA144" s="448" t="s">
        <v>51</v>
      </c>
      <c r="BB144" s="448" t="s">
        <v>51</v>
      </c>
      <c r="BC144" s="447"/>
      <c r="BD144" s="448" t="s">
        <v>266</v>
      </c>
      <c r="BE144" s="447">
        <v>473</v>
      </c>
    </row>
    <row r="145" spans="1:57" ht="30" customHeight="1">
      <c r="A145" s="443" t="s">
        <v>240</v>
      </c>
      <c r="B145" s="443" t="s">
        <v>241</v>
      </c>
      <c r="C145" s="443" t="s">
        <v>59</v>
      </c>
      <c r="D145" s="1133">
        <v>562</v>
      </c>
      <c r="E145" s="445">
        <f>'1층전시실산출'!H199</f>
        <v>562</v>
      </c>
      <c r="F145" s="1147">
        <v>64510</v>
      </c>
      <c r="G145" s="1147">
        <v>36254620</v>
      </c>
      <c r="H145" s="450">
        <f>TRUNC(일위대가목록!F49,0)</f>
        <v>64510</v>
      </c>
      <c r="I145" s="450">
        <f>E145*H145</f>
        <v>36254620</v>
      </c>
      <c r="J145" s="1147">
        <v>35743</v>
      </c>
      <c r="K145" s="1147">
        <v>20087566</v>
      </c>
      <c r="L145" s="450">
        <f>TRUNC(일위대가목록!H49,0)</f>
        <v>35743</v>
      </c>
      <c r="M145" s="450">
        <f>E145*L145</f>
        <v>20087566</v>
      </c>
      <c r="N145" s="1147">
        <v>0</v>
      </c>
      <c r="O145" s="1147">
        <v>0</v>
      </c>
      <c r="P145" s="450">
        <f>TRUNC(일위대가목록!J49,0)</f>
        <v>0</v>
      </c>
      <c r="Q145" s="450">
        <f>E145*P145</f>
        <v>0</v>
      </c>
      <c r="R145" s="1147">
        <v>100253</v>
      </c>
      <c r="S145" s="1147">
        <v>56342186</v>
      </c>
      <c r="T145" s="450">
        <f t="shared" si="20"/>
        <v>100253</v>
      </c>
      <c r="U145" s="450">
        <f t="shared" si="21"/>
        <v>56342186</v>
      </c>
      <c r="V145" s="454" t="str">
        <f>일위대가목록!M49</f>
        <v>호표 46</v>
      </c>
      <c r="W145" s="448" t="s">
        <v>242</v>
      </c>
      <c r="X145" s="448" t="s">
        <v>51</v>
      </c>
      <c r="Y145" s="448" t="s">
        <v>51</v>
      </c>
      <c r="Z145" s="448" t="s">
        <v>264</v>
      </c>
      <c r="AA145" s="448" t="s">
        <v>61</v>
      </c>
      <c r="AB145" s="448" t="s">
        <v>62</v>
      </c>
      <c r="AC145" s="448" t="s">
        <v>62</v>
      </c>
      <c r="AD145" s="447"/>
      <c r="AE145" s="447"/>
      <c r="AF145" s="447"/>
      <c r="AG145" s="447"/>
      <c r="AH145" s="447"/>
      <c r="AI145" s="447"/>
      <c r="AJ145" s="447"/>
      <c r="AK145" s="447"/>
      <c r="AL145" s="447"/>
      <c r="AM145" s="447"/>
      <c r="AN145" s="447"/>
      <c r="AO145" s="447"/>
      <c r="AP145" s="447"/>
      <c r="AQ145" s="447"/>
      <c r="AR145" s="447"/>
      <c r="AS145" s="447"/>
      <c r="AT145" s="447"/>
      <c r="AU145" s="447"/>
      <c r="AV145" s="447"/>
      <c r="AW145" s="447"/>
      <c r="AX145" s="447"/>
      <c r="AY145" s="447"/>
      <c r="AZ145" s="447"/>
      <c r="BA145" s="448" t="s">
        <v>51</v>
      </c>
      <c r="BB145" s="448" t="s">
        <v>51</v>
      </c>
      <c r="BC145" s="447"/>
      <c r="BD145" s="448" t="s">
        <v>267</v>
      </c>
      <c r="BE145" s="447">
        <v>474</v>
      </c>
    </row>
    <row r="146" spans="1:57" ht="30" customHeight="1">
      <c r="A146" s="443" t="s">
        <v>244</v>
      </c>
      <c r="B146" s="443" t="s">
        <v>245</v>
      </c>
      <c r="C146" s="443" t="s">
        <v>204</v>
      </c>
      <c r="D146" s="1133">
        <v>3.2</v>
      </c>
      <c r="E146" s="445">
        <f>'1층전시실산출'!H200</f>
        <v>3.2</v>
      </c>
      <c r="F146" s="1147">
        <v>3866</v>
      </c>
      <c r="G146" s="1147">
        <v>12371.2</v>
      </c>
      <c r="H146" s="450">
        <f>TRUNC(일위대가목록!F50,0)</f>
        <v>3558</v>
      </c>
      <c r="I146" s="450">
        <f>E146*H146</f>
        <v>11385.6</v>
      </c>
      <c r="J146" s="1147">
        <v>13852</v>
      </c>
      <c r="K146" s="1147">
        <v>44326.400000000001</v>
      </c>
      <c r="L146" s="450">
        <f>TRUNC(일위대가목록!H50,0)</f>
        <v>13852</v>
      </c>
      <c r="M146" s="450">
        <f>E146*L146</f>
        <v>44326.400000000001</v>
      </c>
      <c r="N146" s="1147">
        <v>439</v>
      </c>
      <c r="O146" s="1147">
        <v>1404.8000000000002</v>
      </c>
      <c r="P146" s="450">
        <f>TRUNC(일위대가목록!J50,0)</f>
        <v>439</v>
      </c>
      <c r="Q146" s="450">
        <f>E146*P146</f>
        <v>1404.8000000000002</v>
      </c>
      <c r="R146" s="1147">
        <v>18157</v>
      </c>
      <c r="S146" s="1147">
        <v>58102.400000000009</v>
      </c>
      <c r="T146" s="450">
        <f t="shared" si="20"/>
        <v>17849</v>
      </c>
      <c r="U146" s="450">
        <f t="shared" si="21"/>
        <v>57116.800000000003</v>
      </c>
      <c r="V146" s="454" t="str">
        <f>일위대가목록!M50</f>
        <v>호표 47</v>
      </c>
      <c r="W146" s="448" t="s">
        <v>246</v>
      </c>
      <c r="X146" s="448" t="s">
        <v>51</v>
      </c>
      <c r="Y146" s="448" t="s">
        <v>51</v>
      </c>
      <c r="Z146" s="448" t="s">
        <v>264</v>
      </c>
      <c r="AA146" s="448" t="s">
        <v>61</v>
      </c>
      <c r="AB146" s="448" t="s">
        <v>62</v>
      </c>
      <c r="AC146" s="448" t="s">
        <v>62</v>
      </c>
      <c r="AD146" s="447"/>
      <c r="AE146" s="447"/>
      <c r="AF146" s="447"/>
      <c r="AG146" s="447"/>
      <c r="AH146" s="447"/>
      <c r="AI146" s="447"/>
      <c r="AJ146" s="447"/>
      <c r="AK146" s="447"/>
      <c r="AL146" s="447"/>
      <c r="AM146" s="447"/>
      <c r="AN146" s="447"/>
      <c r="AO146" s="447"/>
      <c r="AP146" s="447"/>
      <c r="AQ146" s="447"/>
      <c r="AR146" s="447"/>
      <c r="AS146" s="447"/>
      <c r="AT146" s="447"/>
      <c r="AU146" s="447"/>
      <c r="AV146" s="447"/>
      <c r="AW146" s="447"/>
      <c r="AX146" s="447"/>
      <c r="AY146" s="447"/>
      <c r="AZ146" s="447"/>
      <c r="BA146" s="448" t="s">
        <v>51</v>
      </c>
      <c r="BB146" s="448" t="s">
        <v>51</v>
      </c>
      <c r="BC146" s="447"/>
      <c r="BD146" s="448" t="s">
        <v>268</v>
      </c>
      <c r="BE146" s="447">
        <v>475</v>
      </c>
    </row>
    <row r="147" spans="1:57" ht="30" customHeight="1">
      <c r="A147" s="444"/>
      <c r="B147" s="444"/>
      <c r="C147" s="444"/>
      <c r="D147" s="1133"/>
      <c r="E147" s="445"/>
      <c r="F147" s="1146"/>
      <c r="G147" s="1146"/>
      <c r="H147" s="444"/>
      <c r="I147" s="444"/>
      <c r="J147" s="1146"/>
      <c r="K147" s="1146"/>
      <c r="L147" s="444"/>
      <c r="M147" s="444"/>
      <c r="N147" s="1146"/>
      <c r="O147" s="1146"/>
      <c r="P147" s="444"/>
      <c r="Q147" s="444"/>
      <c r="R147" s="1146"/>
      <c r="S147" s="1146"/>
      <c r="T147" s="444"/>
      <c r="U147" s="444"/>
      <c r="V147" s="446"/>
    </row>
    <row r="148" spans="1:57" ht="30" customHeight="1">
      <c r="A148" s="444"/>
      <c r="B148" s="444"/>
      <c r="C148" s="444"/>
      <c r="D148" s="1133"/>
      <c r="E148" s="445"/>
      <c r="F148" s="1146"/>
      <c r="G148" s="1146"/>
      <c r="H148" s="444"/>
      <c r="I148" s="444"/>
      <c r="J148" s="1146"/>
      <c r="K148" s="1146"/>
      <c r="L148" s="444"/>
      <c r="M148" s="444"/>
      <c r="N148" s="1146"/>
      <c r="O148" s="1146"/>
      <c r="P148" s="444"/>
      <c r="Q148" s="444"/>
      <c r="R148" s="1146"/>
      <c r="S148" s="1146"/>
      <c r="T148" s="444"/>
      <c r="U148" s="444"/>
      <c r="V148" s="446"/>
    </row>
    <row r="149" spans="1:57" ht="30" customHeight="1">
      <c r="A149" s="444"/>
      <c r="B149" s="444"/>
      <c r="C149" s="444"/>
      <c r="D149" s="1133"/>
      <c r="E149" s="445"/>
      <c r="F149" s="1146"/>
      <c r="G149" s="1146"/>
      <c r="H149" s="444"/>
      <c r="I149" s="444"/>
      <c r="J149" s="1146"/>
      <c r="K149" s="1146"/>
      <c r="L149" s="444"/>
      <c r="M149" s="444"/>
      <c r="N149" s="1146"/>
      <c r="O149" s="1146"/>
      <c r="P149" s="444"/>
      <c r="Q149" s="444"/>
      <c r="R149" s="1146"/>
      <c r="S149" s="1146"/>
      <c r="T149" s="444"/>
      <c r="U149" s="444"/>
      <c r="V149" s="446"/>
    </row>
    <row r="150" spans="1:57" ht="30" customHeight="1">
      <c r="A150" s="444"/>
      <c r="B150" s="444"/>
      <c r="C150" s="444"/>
      <c r="D150" s="1133"/>
      <c r="E150" s="445"/>
      <c r="F150" s="1146"/>
      <c r="G150" s="1146"/>
      <c r="H150" s="444"/>
      <c r="I150" s="444"/>
      <c r="J150" s="1146"/>
      <c r="K150" s="1146"/>
      <c r="L150" s="444"/>
      <c r="M150" s="444"/>
      <c r="N150" s="1146"/>
      <c r="O150" s="1146"/>
      <c r="P150" s="444"/>
      <c r="Q150" s="444"/>
      <c r="R150" s="1146"/>
      <c r="S150" s="1146"/>
      <c r="T150" s="444"/>
      <c r="U150" s="444"/>
      <c r="V150" s="446"/>
    </row>
    <row r="151" spans="1:57" ht="30" customHeight="1">
      <c r="A151" s="444"/>
      <c r="B151" s="444"/>
      <c r="C151" s="444"/>
      <c r="D151" s="1133"/>
      <c r="E151" s="445"/>
      <c r="F151" s="1146"/>
      <c r="G151" s="1146"/>
      <c r="H151" s="444"/>
      <c r="I151" s="444"/>
      <c r="J151" s="1146"/>
      <c r="K151" s="1146"/>
      <c r="L151" s="444"/>
      <c r="M151" s="444"/>
      <c r="N151" s="1146"/>
      <c r="O151" s="1146"/>
      <c r="P151" s="444"/>
      <c r="Q151" s="444"/>
      <c r="R151" s="1146"/>
      <c r="S151" s="1146"/>
      <c r="T151" s="444"/>
      <c r="U151" s="444"/>
      <c r="V151" s="446"/>
    </row>
    <row r="152" spans="1:57" ht="30" customHeight="1">
      <c r="A152" s="444"/>
      <c r="B152" s="444"/>
      <c r="C152" s="444"/>
      <c r="D152" s="1133"/>
      <c r="E152" s="445"/>
      <c r="F152" s="1146"/>
      <c r="G152" s="1146"/>
      <c r="H152" s="444"/>
      <c r="I152" s="444"/>
      <c r="J152" s="1146"/>
      <c r="K152" s="1146"/>
      <c r="L152" s="444"/>
      <c r="M152" s="444"/>
      <c r="N152" s="1146"/>
      <c r="O152" s="1146"/>
      <c r="P152" s="444"/>
      <c r="Q152" s="444"/>
      <c r="R152" s="1146"/>
      <c r="S152" s="1146"/>
      <c r="T152" s="444"/>
      <c r="U152" s="444"/>
      <c r="V152" s="446"/>
    </row>
    <row r="153" spans="1:57" ht="30" customHeight="1">
      <c r="A153" s="444"/>
      <c r="B153" s="444"/>
      <c r="C153" s="444"/>
      <c r="D153" s="1133"/>
      <c r="E153" s="445"/>
      <c r="F153" s="1146"/>
      <c r="G153" s="1146"/>
      <c r="H153" s="444"/>
      <c r="I153" s="444"/>
      <c r="J153" s="1146"/>
      <c r="K153" s="1146"/>
      <c r="L153" s="444"/>
      <c r="M153" s="444"/>
      <c r="N153" s="1146"/>
      <c r="O153" s="1146"/>
      <c r="P153" s="444"/>
      <c r="Q153" s="444"/>
      <c r="R153" s="1146"/>
      <c r="S153" s="1146"/>
      <c r="T153" s="444"/>
      <c r="U153" s="444"/>
      <c r="V153" s="446"/>
    </row>
    <row r="154" spans="1:57" ht="30" customHeight="1">
      <c r="A154" s="444"/>
      <c r="B154" s="444"/>
      <c r="C154" s="444"/>
      <c r="D154" s="1133"/>
      <c r="E154" s="445"/>
      <c r="F154" s="1146"/>
      <c r="G154" s="1146"/>
      <c r="H154" s="444"/>
      <c r="I154" s="444"/>
      <c r="J154" s="1146"/>
      <c r="K154" s="1146"/>
      <c r="L154" s="444"/>
      <c r="M154" s="444"/>
      <c r="N154" s="1146"/>
      <c r="O154" s="1146"/>
      <c r="P154" s="444"/>
      <c r="Q154" s="444"/>
      <c r="R154" s="1146"/>
      <c r="S154" s="1146"/>
      <c r="T154" s="444"/>
      <c r="U154" s="444"/>
      <c r="V154" s="446"/>
    </row>
    <row r="155" spans="1:57" ht="30" customHeight="1">
      <c r="A155" s="444"/>
      <c r="B155" s="444"/>
      <c r="C155" s="444"/>
      <c r="D155" s="1133"/>
      <c r="E155" s="445"/>
      <c r="F155" s="1146"/>
      <c r="G155" s="1146"/>
      <c r="H155" s="444"/>
      <c r="I155" s="444"/>
      <c r="J155" s="1146"/>
      <c r="K155" s="1146"/>
      <c r="L155" s="444"/>
      <c r="M155" s="444"/>
      <c r="N155" s="1146"/>
      <c r="O155" s="1146"/>
      <c r="P155" s="444"/>
      <c r="Q155" s="444"/>
      <c r="R155" s="1146"/>
      <c r="S155" s="1146"/>
      <c r="T155" s="444"/>
      <c r="U155" s="444"/>
      <c r="V155" s="446"/>
    </row>
    <row r="156" spans="1:57" ht="30" customHeight="1">
      <c r="A156" s="444"/>
      <c r="B156" s="444"/>
      <c r="C156" s="444"/>
      <c r="D156" s="1133"/>
      <c r="E156" s="445"/>
      <c r="F156" s="1146"/>
      <c r="G156" s="1146"/>
      <c r="H156" s="444"/>
      <c r="I156" s="444"/>
      <c r="J156" s="1146"/>
      <c r="K156" s="1146"/>
      <c r="L156" s="444"/>
      <c r="M156" s="444"/>
      <c r="N156" s="1146"/>
      <c r="O156" s="1146"/>
      <c r="P156" s="444"/>
      <c r="Q156" s="444"/>
      <c r="R156" s="1146"/>
      <c r="S156" s="1146"/>
      <c r="T156" s="444"/>
      <c r="U156" s="444"/>
      <c r="V156" s="446"/>
    </row>
    <row r="157" spans="1:57" ht="30" customHeight="1">
      <c r="A157" s="444"/>
      <c r="B157" s="444"/>
      <c r="C157" s="444"/>
      <c r="D157" s="1133"/>
      <c r="E157" s="445"/>
      <c r="F157" s="1146"/>
      <c r="G157" s="1146"/>
      <c r="H157" s="444"/>
      <c r="I157" s="444"/>
      <c r="J157" s="1146"/>
      <c r="K157" s="1146"/>
      <c r="L157" s="444"/>
      <c r="M157" s="444"/>
      <c r="N157" s="1146"/>
      <c r="O157" s="1146"/>
      <c r="P157" s="444"/>
      <c r="Q157" s="444"/>
      <c r="R157" s="1146"/>
      <c r="S157" s="1146"/>
      <c r="T157" s="444"/>
      <c r="U157" s="444"/>
      <c r="V157" s="446"/>
    </row>
    <row r="158" spans="1:57" ht="30" customHeight="1">
      <c r="A158" s="444"/>
      <c r="B158" s="444"/>
      <c r="C158" s="444"/>
      <c r="D158" s="1133"/>
      <c r="E158" s="445"/>
      <c r="F158" s="1146"/>
      <c r="G158" s="1146"/>
      <c r="H158" s="444"/>
      <c r="I158" s="444"/>
      <c r="J158" s="1146"/>
      <c r="K158" s="1146"/>
      <c r="L158" s="444"/>
      <c r="M158" s="444"/>
      <c r="N158" s="1146"/>
      <c r="O158" s="1146"/>
      <c r="P158" s="444"/>
      <c r="Q158" s="444"/>
      <c r="R158" s="1146"/>
      <c r="S158" s="1146"/>
      <c r="T158" s="444"/>
      <c r="U158" s="444"/>
      <c r="V158" s="446"/>
    </row>
    <row r="159" spans="1:57" ht="30" customHeight="1">
      <c r="A159" s="444"/>
      <c r="B159" s="444"/>
      <c r="C159" s="444"/>
      <c r="D159" s="1133"/>
      <c r="E159" s="445"/>
      <c r="F159" s="1146"/>
      <c r="G159" s="1146"/>
      <c r="H159" s="444"/>
      <c r="I159" s="444"/>
      <c r="J159" s="1146"/>
      <c r="K159" s="1146"/>
      <c r="L159" s="444"/>
      <c r="M159" s="444"/>
      <c r="N159" s="1146"/>
      <c r="O159" s="1146"/>
      <c r="P159" s="444"/>
      <c r="Q159" s="444"/>
      <c r="R159" s="1146"/>
      <c r="S159" s="1146"/>
      <c r="T159" s="444"/>
      <c r="U159" s="444"/>
      <c r="V159" s="446"/>
    </row>
    <row r="160" spans="1:57" ht="30" customHeight="1">
      <c r="A160" s="444"/>
      <c r="B160" s="444"/>
      <c r="C160" s="444"/>
      <c r="D160" s="1133"/>
      <c r="E160" s="445"/>
      <c r="F160" s="1146"/>
      <c r="G160" s="1146"/>
      <c r="H160" s="444"/>
      <c r="I160" s="444"/>
      <c r="J160" s="1146"/>
      <c r="K160" s="1146"/>
      <c r="L160" s="444"/>
      <c r="M160" s="444"/>
      <c r="N160" s="1146"/>
      <c r="O160" s="1146"/>
      <c r="P160" s="444"/>
      <c r="Q160" s="444"/>
      <c r="R160" s="1146"/>
      <c r="S160" s="1146"/>
      <c r="T160" s="444"/>
      <c r="U160" s="444"/>
      <c r="V160" s="446"/>
    </row>
    <row r="161" spans="1:58" ht="30" customHeight="1">
      <c r="A161" s="444"/>
      <c r="B161" s="444"/>
      <c r="C161" s="444"/>
      <c r="D161" s="1133"/>
      <c r="E161" s="445"/>
      <c r="F161" s="1146"/>
      <c r="G161" s="1146"/>
      <c r="H161" s="444"/>
      <c r="I161" s="444"/>
      <c r="J161" s="1146"/>
      <c r="K161" s="1146"/>
      <c r="L161" s="444"/>
      <c r="M161" s="444"/>
      <c r="N161" s="1146"/>
      <c r="O161" s="1146"/>
      <c r="P161" s="444"/>
      <c r="Q161" s="444"/>
      <c r="R161" s="1146"/>
      <c r="S161" s="1146"/>
      <c r="T161" s="444"/>
      <c r="U161" s="444"/>
      <c r="V161" s="446"/>
    </row>
    <row r="162" spans="1:58" ht="30" customHeight="1">
      <c r="A162" s="444"/>
      <c r="B162" s="444"/>
      <c r="C162" s="444"/>
      <c r="D162" s="1133"/>
      <c r="E162" s="445"/>
      <c r="F162" s="1146"/>
      <c r="G162" s="1146"/>
      <c r="H162" s="444"/>
      <c r="I162" s="444"/>
      <c r="J162" s="1146"/>
      <c r="K162" s="1146"/>
      <c r="L162" s="444"/>
      <c r="M162" s="444"/>
      <c r="N162" s="1146"/>
      <c r="O162" s="1146"/>
      <c r="P162" s="444"/>
      <c r="Q162" s="444"/>
      <c r="R162" s="1146"/>
      <c r="S162" s="1146"/>
      <c r="T162" s="444"/>
      <c r="U162" s="444"/>
      <c r="V162" s="446"/>
    </row>
    <row r="163" spans="1:58" ht="30" customHeight="1">
      <c r="A163" s="444"/>
      <c r="B163" s="444"/>
      <c r="C163" s="444"/>
      <c r="D163" s="1133"/>
      <c r="E163" s="445"/>
      <c r="F163" s="1146"/>
      <c r="G163" s="1146"/>
      <c r="H163" s="444"/>
      <c r="I163" s="444"/>
      <c r="J163" s="1146"/>
      <c r="K163" s="1146"/>
      <c r="L163" s="444"/>
      <c r="M163" s="444"/>
      <c r="N163" s="1146"/>
      <c r="O163" s="1146"/>
      <c r="P163" s="444"/>
      <c r="Q163" s="444"/>
      <c r="R163" s="1146"/>
      <c r="S163" s="1146"/>
      <c r="T163" s="444"/>
      <c r="U163" s="444"/>
      <c r="V163" s="446"/>
    </row>
    <row r="164" spans="1:58" ht="30" customHeight="1">
      <c r="A164" s="443" t="s">
        <v>85</v>
      </c>
      <c r="B164" s="444"/>
      <c r="C164" s="444"/>
      <c r="D164" s="1133"/>
      <c r="E164" s="445"/>
      <c r="F164" s="1146"/>
      <c r="G164" s="1147">
        <v>40359544.600000001</v>
      </c>
      <c r="H164" s="444"/>
      <c r="I164" s="450">
        <f>SUM(I143:I163)</f>
        <v>40356873.399999999</v>
      </c>
      <c r="J164" s="1146"/>
      <c r="K164" s="1147">
        <v>28409171.599999998</v>
      </c>
      <c r="L164" s="444"/>
      <c r="M164" s="450">
        <f>SUM(M143:M163)</f>
        <v>26580416</v>
      </c>
      <c r="N164" s="1146"/>
      <c r="O164" s="1147">
        <v>1404.8000000000002</v>
      </c>
      <c r="P164" s="444"/>
      <c r="Q164" s="450">
        <f>SUM(Q143:Q163)</f>
        <v>1404.8000000000002</v>
      </c>
      <c r="R164" s="1146"/>
      <c r="S164" s="1147">
        <v>68770121</v>
      </c>
      <c r="T164" s="444"/>
      <c r="U164" s="450">
        <f>SUM(U143:U163)</f>
        <v>66938694.199999996</v>
      </c>
      <c r="V164" s="446"/>
      <c r="W164" s="449" t="s">
        <v>86</v>
      </c>
    </row>
    <row r="165" spans="1:58" ht="30" customHeight="1">
      <c r="A165" s="455" t="s">
        <v>4757</v>
      </c>
      <c r="B165" s="456"/>
      <c r="C165" s="456"/>
      <c r="D165" s="1134"/>
      <c r="E165" s="457"/>
      <c r="F165" s="1151"/>
      <c r="G165" s="1152"/>
      <c r="H165" s="472"/>
      <c r="I165" s="456"/>
      <c r="J165" s="1148"/>
      <c r="K165" s="1148"/>
      <c r="L165" s="456"/>
      <c r="M165" s="456"/>
      <c r="N165" s="1148"/>
      <c r="O165" s="1148"/>
      <c r="P165" s="456"/>
      <c r="Q165" s="456"/>
      <c r="R165" s="1148"/>
      <c r="S165" s="1148"/>
      <c r="T165" s="456"/>
      <c r="U165" s="456"/>
      <c r="V165" s="458"/>
      <c r="W165" s="459"/>
      <c r="X165" s="459"/>
      <c r="Y165" s="459"/>
      <c r="Z165" s="460" t="s">
        <v>269</v>
      </c>
      <c r="AA165" s="459"/>
      <c r="AB165" s="459"/>
      <c r="AC165" s="459"/>
      <c r="AD165" s="459"/>
      <c r="AE165" s="459"/>
      <c r="AF165" s="459"/>
      <c r="AG165" s="459"/>
      <c r="AH165" s="459"/>
      <c r="AI165" s="459"/>
      <c r="AJ165" s="459"/>
      <c r="AK165" s="459"/>
      <c r="AL165" s="459"/>
      <c r="AM165" s="459"/>
      <c r="AN165" s="459"/>
      <c r="AO165" s="459"/>
      <c r="AP165" s="459"/>
      <c r="AQ165" s="459"/>
      <c r="AR165" s="459"/>
      <c r="AS165" s="459"/>
      <c r="AT165" s="459"/>
      <c r="AU165" s="459"/>
      <c r="AV165" s="459"/>
      <c r="AW165" s="459"/>
      <c r="AX165" s="459"/>
      <c r="AY165" s="459"/>
      <c r="AZ165" s="459"/>
      <c r="BA165" s="459"/>
      <c r="BB165" s="459"/>
      <c r="BC165" s="459"/>
      <c r="BD165" s="459"/>
      <c r="BE165" s="459"/>
    </row>
    <row r="166" spans="1:58" ht="30" customHeight="1">
      <c r="A166" s="443" t="s">
        <v>170</v>
      </c>
      <c r="B166" s="443" t="s">
        <v>171</v>
      </c>
      <c r="C166" s="443" t="s">
        <v>59</v>
      </c>
      <c r="D166" s="1133">
        <v>1104.1400000000001</v>
      </c>
      <c r="E166" s="445">
        <f>'1층전시실산출'!H206</f>
        <v>1104.1400000000001</v>
      </c>
      <c r="F166" s="1149">
        <v>734</v>
      </c>
      <c r="G166" s="1150">
        <v>810438.76000000013</v>
      </c>
      <c r="H166" s="462">
        <f>TRUNC(일위대가목록!F30,0)</f>
        <v>734</v>
      </c>
      <c r="I166" s="450">
        <f>E166*H166</f>
        <v>810438.76000000013</v>
      </c>
      <c r="J166" s="1161">
        <v>13975</v>
      </c>
      <c r="K166" s="1147">
        <v>15430356.500000002</v>
      </c>
      <c r="L166" s="462">
        <f>TRUNC(일위대가목록!H30,0)</f>
        <v>1629</v>
      </c>
      <c r="M166" s="450">
        <f>E166*L166</f>
        <v>1798644.06</v>
      </c>
      <c r="N166" s="1147">
        <v>0</v>
      </c>
      <c r="O166" s="1147">
        <v>0</v>
      </c>
      <c r="P166" s="450">
        <f>TRUNC(일위대가목록!J30,0)</f>
        <v>122</v>
      </c>
      <c r="Q166" s="450">
        <f>TRUNC(P166*E166, 0)</f>
        <v>134705</v>
      </c>
      <c r="R166" s="1147">
        <v>14709</v>
      </c>
      <c r="S166" s="1147">
        <v>16240795.260000002</v>
      </c>
      <c r="T166" s="450">
        <f t="shared" ref="T166:T169" si="22">H166+L166+P166</f>
        <v>2485</v>
      </c>
      <c r="U166" s="450">
        <f t="shared" ref="U166:U169" si="23">I166+M166+Q166</f>
        <v>2743787.8200000003</v>
      </c>
      <c r="V166" s="454" t="str">
        <f>일위대가목록!M30</f>
        <v>호표 27</v>
      </c>
      <c r="W166" s="448" t="s">
        <v>172</v>
      </c>
      <c r="X166" s="448" t="s">
        <v>51</v>
      </c>
      <c r="Y166" s="448" t="s">
        <v>51</v>
      </c>
      <c r="Z166" s="448" t="s">
        <v>269</v>
      </c>
      <c r="AA166" s="448" t="s">
        <v>61</v>
      </c>
      <c r="AB166" s="448" t="s">
        <v>62</v>
      </c>
      <c r="AC166" s="448" t="s">
        <v>62</v>
      </c>
      <c r="AD166" s="447"/>
      <c r="AE166" s="447"/>
      <c r="AF166" s="447"/>
      <c r="AG166" s="447"/>
      <c r="AH166" s="447"/>
      <c r="AI166" s="447"/>
      <c r="AJ166" s="447"/>
      <c r="AK166" s="447"/>
      <c r="AL166" s="447"/>
      <c r="AM166" s="447"/>
      <c r="AN166" s="447"/>
      <c r="AO166" s="447"/>
      <c r="AP166" s="447"/>
      <c r="AQ166" s="447"/>
      <c r="AR166" s="447"/>
      <c r="AS166" s="447"/>
      <c r="AT166" s="447"/>
      <c r="AU166" s="447"/>
      <c r="AV166" s="447"/>
      <c r="AW166" s="447"/>
      <c r="AX166" s="447"/>
      <c r="AY166" s="447"/>
      <c r="AZ166" s="447"/>
      <c r="BA166" s="448" t="s">
        <v>51</v>
      </c>
      <c r="BB166" s="448" t="s">
        <v>51</v>
      </c>
      <c r="BC166" s="447"/>
      <c r="BD166" s="448" t="s">
        <v>270</v>
      </c>
      <c r="BE166" s="447">
        <v>477</v>
      </c>
    </row>
    <row r="167" spans="1:58" ht="30" customHeight="1">
      <c r="A167" s="444" t="str">
        <f>'1층전시실산출'!B207</f>
        <v>경량철골천정틀</v>
      </c>
      <c r="B167" s="444" t="str">
        <f>'1층전시실산출'!C207</f>
        <v>M-BAR, H:1m미만. 달대유</v>
      </c>
      <c r="C167" s="443" t="s">
        <v>59</v>
      </c>
      <c r="D167" s="1133">
        <v>504</v>
      </c>
      <c r="E167" s="445">
        <f>'1층전시실산출'!H207</f>
        <v>504</v>
      </c>
      <c r="F167" s="1149">
        <v>16769</v>
      </c>
      <c r="G167" s="1150">
        <v>8451576</v>
      </c>
      <c r="H167" s="462">
        <f>일위대가목록!F83</f>
        <v>5597</v>
      </c>
      <c r="I167" s="450">
        <f>E167*H167</f>
        <v>2820888</v>
      </c>
      <c r="J167" s="1161">
        <v>37271</v>
      </c>
      <c r="K167" s="1147">
        <v>18784584</v>
      </c>
      <c r="L167" s="462">
        <f>일위대가목록!H83</f>
        <v>8790</v>
      </c>
      <c r="M167" s="450">
        <f>E167*L167</f>
        <v>4430160</v>
      </c>
      <c r="N167" s="1146"/>
      <c r="O167" s="1146"/>
      <c r="P167" s="444"/>
      <c r="Q167" s="444"/>
      <c r="R167" s="1147">
        <v>54040</v>
      </c>
      <c r="S167" s="1147">
        <v>27236160</v>
      </c>
      <c r="T167" s="450">
        <f t="shared" si="22"/>
        <v>14387</v>
      </c>
      <c r="U167" s="450">
        <f t="shared" si="23"/>
        <v>7251048</v>
      </c>
      <c r="V167" s="454" t="str">
        <f>일위대가목록!M83</f>
        <v>호표 80</v>
      </c>
      <c r="BF167" s="446" t="s">
        <v>3469</v>
      </c>
    </row>
    <row r="168" spans="1:58" ht="30" customHeight="1">
      <c r="A168" s="468" t="str">
        <f>'1층전시실산출'!B208</f>
        <v>마이텍스</v>
      </c>
      <c r="B168" s="468" t="str">
        <f>'1층전시실산출'!C208</f>
        <v>M-BAR</v>
      </c>
      <c r="C168" s="443" t="s">
        <v>59</v>
      </c>
      <c r="D168" s="1133">
        <v>504</v>
      </c>
      <c r="E168" s="445">
        <f>'1층전시실산출'!H208</f>
        <v>504</v>
      </c>
      <c r="F168" s="1149">
        <v>8200</v>
      </c>
      <c r="G168" s="1150">
        <v>4132800</v>
      </c>
      <c r="H168" s="462">
        <f>일위대가목록!F123</f>
        <v>7210</v>
      </c>
      <c r="I168" s="450">
        <f>E168*H168</f>
        <v>3633840</v>
      </c>
      <c r="J168" s="1161">
        <v>9615.9</v>
      </c>
      <c r="K168" s="1147">
        <v>4846413.5999999996</v>
      </c>
      <c r="L168" s="462">
        <f>일위대가목록!H123</f>
        <v>11506.1</v>
      </c>
      <c r="M168" s="450">
        <f>E168*L168</f>
        <v>5799074.4000000004</v>
      </c>
      <c r="N168" s="1146"/>
      <c r="O168" s="1146"/>
      <c r="P168" s="444"/>
      <c r="Q168" s="444"/>
      <c r="R168" s="1147">
        <v>17815.900000000001</v>
      </c>
      <c r="S168" s="1147">
        <v>8979213.5999999996</v>
      </c>
      <c r="T168" s="450">
        <f t="shared" si="22"/>
        <v>18716.099999999999</v>
      </c>
      <c r="U168" s="450">
        <f t="shared" si="23"/>
        <v>9432914.4000000004</v>
      </c>
      <c r="V168" s="454" t="str">
        <f>일위대가목록!M123</f>
        <v>호표 120</v>
      </c>
      <c r="BF168" s="446" t="s">
        <v>3469</v>
      </c>
    </row>
    <row r="169" spans="1:58" ht="30" customHeight="1">
      <c r="A169" s="468" t="str">
        <f>'1층전시실산출'!B209</f>
        <v>알루미늄 천정 재설치</v>
      </c>
      <c r="B169" s="468" t="str">
        <f>'1층전시실산출'!C209</f>
        <v>AL TILE</v>
      </c>
      <c r="C169" s="443" t="s">
        <v>59</v>
      </c>
      <c r="D169" s="1133">
        <v>152</v>
      </c>
      <c r="E169" s="445">
        <f>'1층전시실산출'!H209</f>
        <v>152</v>
      </c>
      <c r="F169" s="1149">
        <v>0</v>
      </c>
      <c r="G169" s="1150">
        <v>0</v>
      </c>
      <c r="H169" s="462">
        <f>일위대가목록!F124</f>
        <v>0</v>
      </c>
      <c r="I169" s="450">
        <f>E169*H169</f>
        <v>0</v>
      </c>
      <c r="J169" s="1161">
        <v>6090</v>
      </c>
      <c r="K169" s="1147">
        <v>925680</v>
      </c>
      <c r="L169" s="462">
        <f>일위대가목록!H124</f>
        <v>6090</v>
      </c>
      <c r="M169" s="450">
        <f>E169*L169</f>
        <v>925680</v>
      </c>
      <c r="N169" s="1146"/>
      <c r="O169" s="1146"/>
      <c r="P169" s="444"/>
      <c r="Q169" s="444"/>
      <c r="R169" s="1147">
        <v>6090</v>
      </c>
      <c r="S169" s="1147">
        <v>925680</v>
      </c>
      <c r="T169" s="450">
        <f t="shared" si="22"/>
        <v>6090</v>
      </c>
      <c r="U169" s="450">
        <f t="shared" si="23"/>
        <v>925680</v>
      </c>
      <c r="V169" s="454" t="str">
        <f>일위대가목록!M124</f>
        <v>호표 121</v>
      </c>
      <c r="BF169" s="446" t="s">
        <v>3470</v>
      </c>
    </row>
    <row r="170" spans="1:58" ht="30" customHeight="1">
      <c r="A170" s="468"/>
      <c r="B170" s="468"/>
      <c r="C170" s="444"/>
      <c r="D170" s="1133"/>
      <c r="E170" s="445"/>
      <c r="F170" s="1146"/>
      <c r="G170" s="1146"/>
      <c r="H170" s="444"/>
      <c r="I170" s="444"/>
      <c r="J170" s="1146"/>
      <c r="K170" s="1146"/>
      <c r="L170" s="444"/>
      <c r="M170" s="444"/>
      <c r="N170" s="1146"/>
      <c r="O170" s="1146"/>
      <c r="P170" s="444"/>
      <c r="Q170" s="444"/>
      <c r="R170" s="1146"/>
      <c r="S170" s="1146"/>
      <c r="T170" s="444"/>
      <c r="U170" s="444"/>
      <c r="V170" s="446"/>
    </row>
    <row r="171" spans="1:58" ht="30" customHeight="1">
      <c r="A171" s="444"/>
      <c r="B171" s="444"/>
      <c r="C171" s="444"/>
      <c r="D171" s="1133"/>
      <c r="E171" s="445"/>
      <c r="F171" s="1146"/>
      <c r="G171" s="1146"/>
      <c r="H171" s="444"/>
      <c r="I171" s="444"/>
      <c r="J171" s="1146"/>
      <c r="K171" s="1146"/>
      <c r="L171" s="444"/>
      <c r="M171" s="444"/>
      <c r="N171" s="1146"/>
      <c r="O171" s="1146"/>
      <c r="P171" s="444"/>
      <c r="Q171" s="444"/>
      <c r="R171" s="1146"/>
      <c r="S171" s="1146"/>
      <c r="T171" s="444"/>
      <c r="U171" s="444"/>
      <c r="V171" s="446"/>
    </row>
    <row r="172" spans="1:58" ht="30" customHeight="1">
      <c r="A172" s="444"/>
      <c r="B172" s="444"/>
      <c r="C172" s="444"/>
      <c r="D172" s="1133"/>
      <c r="E172" s="445"/>
      <c r="F172" s="1146"/>
      <c r="G172" s="1146"/>
      <c r="H172" s="444"/>
      <c r="I172" s="444"/>
      <c r="J172" s="1146"/>
      <c r="K172" s="1146"/>
      <c r="L172" s="444"/>
      <c r="M172" s="444"/>
      <c r="N172" s="1146"/>
      <c r="O172" s="1146"/>
      <c r="P172" s="444"/>
      <c r="Q172" s="444"/>
      <c r="R172" s="1146"/>
      <c r="S172" s="1146"/>
      <c r="T172" s="444"/>
      <c r="U172" s="444"/>
      <c r="V172" s="446"/>
    </row>
    <row r="173" spans="1:58" ht="30" customHeight="1">
      <c r="A173" s="444"/>
      <c r="B173" s="444"/>
      <c r="C173" s="444"/>
      <c r="D173" s="1133"/>
      <c r="E173" s="445"/>
      <c r="F173" s="1146"/>
      <c r="G173" s="1146"/>
      <c r="H173" s="444"/>
      <c r="I173" s="444"/>
      <c r="J173" s="1146"/>
      <c r="K173" s="1146"/>
      <c r="L173" s="444"/>
      <c r="M173" s="444"/>
      <c r="N173" s="1146"/>
      <c r="O173" s="1146"/>
      <c r="P173" s="444"/>
      <c r="Q173" s="444"/>
      <c r="R173" s="1146"/>
      <c r="S173" s="1146"/>
      <c r="T173" s="444"/>
      <c r="U173" s="444"/>
      <c r="V173" s="446"/>
    </row>
    <row r="174" spans="1:58" ht="30" customHeight="1">
      <c r="A174" s="444"/>
      <c r="B174" s="444"/>
      <c r="C174" s="444"/>
      <c r="D174" s="1133"/>
      <c r="E174" s="445"/>
      <c r="F174" s="1146"/>
      <c r="G174" s="1146"/>
      <c r="H174" s="444"/>
      <c r="I174" s="444"/>
      <c r="J174" s="1146"/>
      <c r="K174" s="1146"/>
      <c r="L174" s="444"/>
      <c r="M174" s="444"/>
      <c r="N174" s="1146"/>
      <c r="O174" s="1146"/>
      <c r="P174" s="444"/>
      <c r="Q174" s="444"/>
      <c r="R174" s="1146"/>
      <c r="S174" s="1146"/>
      <c r="T174" s="444"/>
      <c r="U174" s="444"/>
      <c r="V174" s="446"/>
    </row>
    <row r="175" spans="1:58" ht="30" customHeight="1">
      <c r="A175" s="444"/>
      <c r="B175" s="444"/>
      <c r="C175" s="444"/>
      <c r="D175" s="1133"/>
      <c r="E175" s="445"/>
      <c r="F175" s="1146"/>
      <c r="G175" s="1146"/>
      <c r="H175" s="444"/>
      <c r="I175" s="444"/>
      <c r="J175" s="1146"/>
      <c r="K175" s="1146"/>
      <c r="L175" s="444"/>
      <c r="M175" s="444"/>
      <c r="N175" s="1146"/>
      <c r="O175" s="1146"/>
      <c r="P175" s="444"/>
      <c r="Q175" s="444"/>
      <c r="R175" s="1146"/>
      <c r="S175" s="1146"/>
      <c r="T175" s="444"/>
      <c r="U175" s="444"/>
      <c r="V175" s="446"/>
    </row>
    <row r="176" spans="1:58" ht="30" customHeight="1">
      <c r="A176" s="444"/>
      <c r="B176" s="444"/>
      <c r="C176" s="444"/>
      <c r="D176" s="1133"/>
      <c r="E176" s="445"/>
      <c r="F176" s="1146"/>
      <c r="G176" s="1146"/>
      <c r="H176" s="444"/>
      <c r="I176" s="444"/>
      <c r="J176" s="1146"/>
      <c r="K176" s="1146"/>
      <c r="L176" s="444"/>
      <c r="M176" s="444"/>
      <c r="N176" s="1146"/>
      <c r="O176" s="1146"/>
      <c r="P176" s="444"/>
      <c r="Q176" s="444"/>
      <c r="R176" s="1146"/>
      <c r="S176" s="1146"/>
      <c r="T176" s="444"/>
      <c r="U176" s="444"/>
      <c r="V176" s="446"/>
    </row>
    <row r="177" spans="1:57" ht="30" customHeight="1">
      <c r="A177" s="444"/>
      <c r="B177" s="444"/>
      <c r="C177" s="444"/>
      <c r="D177" s="1133"/>
      <c r="E177" s="445"/>
      <c r="F177" s="1146"/>
      <c r="G177" s="1146"/>
      <c r="H177" s="444"/>
      <c r="I177" s="444"/>
      <c r="J177" s="1146"/>
      <c r="K177" s="1146"/>
      <c r="L177" s="444"/>
      <c r="M177" s="444"/>
      <c r="N177" s="1146"/>
      <c r="O177" s="1146"/>
      <c r="P177" s="444"/>
      <c r="Q177" s="444"/>
      <c r="R177" s="1146"/>
      <c r="S177" s="1146"/>
      <c r="T177" s="444"/>
      <c r="U177" s="444"/>
      <c r="V177" s="446"/>
    </row>
    <row r="178" spans="1:57" ht="30" customHeight="1">
      <c r="A178" s="444"/>
      <c r="B178" s="444"/>
      <c r="C178" s="444"/>
      <c r="D178" s="1133"/>
      <c r="E178" s="445"/>
      <c r="F178" s="1146"/>
      <c r="G178" s="1146"/>
      <c r="H178" s="444"/>
      <c r="I178" s="444"/>
      <c r="J178" s="1146"/>
      <c r="K178" s="1146"/>
      <c r="L178" s="444"/>
      <c r="M178" s="444"/>
      <c r="N178" s="1146"/>
      <c r="O178" s="1146"/>
      <c r="P178" s="444"/>
      <c r="Q178" s="444"/>
      <c r="R178" s="1146"/>
      <c r="S178" s="1146"/>
      <c r="T178" s="444"/>
      <c r="U178" s="444"/>
      <c r="V178" s="446"/>
    </row>
    <row r="179" spans="1:57" ht="30" customHeight="1">
      <c r="A179" s="444"/>
      <c r="B179" s="444"/>
      <c r="C179" s="444"/>
      <c r="D179" s="1133"/>
      <c r="E179" s="445"/>
      <c r="F179" s="1146"/>
      <c r="G179" s="1146"/>
      <c r="H179" s="444"/>
      <c r="I179" s="444"/>
      <c r="J179" s="1146"/>
      <c r="K179" s="1146"/>
      <c r="L179" s="444"/>
      <c r="M179" s="444"/>
      <c r="N179" s="1146"/>
      <c r="O179" s="1146"/>
      <c r="P179" s="444"/>
      <c r="Q179" s="444"/>
      <c r="R179" s="1146"/>
      <c r="S179" s="1146"/>
      <c r="T179" s="444"/>
      <c r="U179" s="444"/>
      <c r="V179" s="446"/>
    </row>
    <row r="180" spans="1:57" ht="30" customHeight="1">
      <c r="A180" s="444"/>
      <c r="B180" s="444"/>
      <c r="C180" s="444"/>
      <c r="D180" s="1133"/>
      <c r="E180" s="445"/>
      <c r="F180" s="1146"/>
      <c r="G180" s="1146"/>
      <c r="H180" s="444"/>
      <c r="I180" s="444"/>
      <c r="J180" s="1146"/>
      <c r="K180" s="1146"/>
      <c r="L180" s="444"/>
      <c r="M180" s="444"/>
      <c r="N180" s="1146"/>
      <c r="O180" s="1146"/>
      <c r="P180" s="444"/>
      <c r="Q180" s="444"/>
      <c r="R180" s="1146"/>
      <c r="S180" s="1146"/>
      <c r="T180" s="444"/>
      <c r="U180" s="444"/>
      <c r="V180" s="446"/>
    </row>
    <row r="181" spans="1:57" ht="30" customHeight="1">
      <c r="A181" s="444"/>
      <c r="B181" s="444"/>
      <c r="C181" s="444"/>
      <c r="D181" s="1133"/>
      <c r="E181" s="445"/>
      <c r="F181" s="1146"/>
      <c r="G181" s="1146"/>
      <c r="H181" s="444"/>
      <c r="I181" s="444"/>
      <c r="J181" s="1146"/>
      <c r="K181" s="1146"/>
      <c r="L181" s="444"/>
      <c r="M181" s="444"/>
      <c r="N181" s="1146"/>
      <c r="O181" s="1146"/>
      <c r="P181" s="444"/>
      <c r="Q181" s="444"/>
      <c r="R181" s="1146"/>
      <c r="S181" s="1146"/>
      <c r="T181" s="444"/>
      <c r="U181" s="444"/>
      <c r="V181" s="446"/>
    </row>
    <row r="182" spans="1:57" ht="30" customHeight="1">
      <c r="A182" s="444"/>
      <c r="B182" s="444"/>
      <c r="C182" s="444"/>
      <c r="D182" s="1133"/>
      <c r="E182" s="445"/>
      <c r="F182" s="1146"/>
      <c r="G182" s="1146"/>
      <c r="H182" s="444"/>
      <c r="I182" s="444"/>
      <c r="J182" s="1146"/>
      <c r="K182" s="1146"/>
      <c r="L182" s="444"/>
      <c r="M182" s="444"/>
      <c r="N182" s="1146"/>
      <c r="O182" s="1146"/>
      <c r="P182" s="444"/>
      <c r="Q182" s="444"/>
      <c r="R182" s="1146"/>
      <c r="S182" s="1146"/>
      <c r="T182" s="444"/>
      <c r="U182" s="444"/>
      <c r="V182" s="446"/>
    </row>
    <row r="183" spans="1:57" ht="30" customHeight="1">
      <c r="A183" s="444"/>
      <c r="B183" s="444"/>
      <c r="C183" s="444"/>
      <c r="D183" s="1133"/>
      <c r="E183" s="445"/>
      <c r="F183" s="1146"/>
      <c r="G183" s="1146"/>
      <c r="H183" s="444"/>
      <c r="I183" s="444"/>
      <c r="J183" s="1146"/>
      <c r="K183" s="1146"/>
      <c r="L183" s="444"/>
      <c r="M183" s="444"/>
      <c r="N183" s="1146"/>
      <c r="O183" s="1146"/>
      <c r="P183" s="444"/>
      <c r="Q183" s="444"/>
      <c r="R183" s="1146"/>
      <c r="S183" s="1146"/>
      <c r="T183" s="444"/>
      <c r="U183" s="444"/>
      <c r="V183" s="446"/>
    </row>
    <row r="184" spans="1:57" ht="30" customHeight="1">
      <c r="A184" s="444"/>
      <c r="B184" s="444"/>
      <c r="C184" s="444"/>
      <c r="D184" s="1133"/>
      <c r="E184" s="445"/>
      <c r="F184" s="1146"/>
      <c r="G184" s="1146"/>
      <c r="H184" s="444"/>
      <c r="I184" s="444"/>
      <c r="J184" s="1146"/>
      <c r="K184" s="1146"/>
      <c r="L184" s="444"/>
      <c r="M184" s="444"/>
      <c r="N184" s="1146"/>
      <c r="O184" s="1146"/>
      <c r="P184" s="444"/>
      <c r="Q184" s="444"/>
      <c r="R184" s="1146"/>
      <c r="S184" s="1146"/>
      <c r="T184" s="444"/>
      <c r="U184" s="444"/>
      <c r="V184" s="446"/>
    </row>
    <row r="185" spans="1:57" ht="30" customHeight="1">
      <c r="A185" s="444"/>
      <c r="B185" s="444"/>
      <c r="C185" s="444"/>
      <c r="D185" s="1133"/>
      <c r="E185" s="445"/>
      <c r="F185" s="1146"/>
      <c r="G185" s="1146"/>
      <c r="H185" s="444"/>
      <c r="I185" s="444"/>
      <c r="J185" s="1146"/>
      <c r="K185" s="1146"/>
      <c r="L185" s="444"/>
      <c r="M185" s="444"/>
      <c r="N185" s="1146"/>
      <c r="O185" s="1146"/>
      <c r="P185" s="444"/>
      <c r="Q185" s="444"/>
      <c r="R185" s="1146"/>
      <c r="S185" s="1146"/>
      <c r="T185" s="444"/>
      <c r="U185" s="444"/>
      <c r="V185" s="446"/>
    </row>
    <row r="186" spans="1:57" ht="30" customHeight="1">
      <c r="A186" s="444"/>
      <c r="B186" s="444"/>
      <c r="C186" s="444"/>
      <c r="D186" s="1133"/>
      <c r="E186" s="445"/>
      <c r="F186" s="1146"/>
      <c r="G186" s="1146"/>
      <c r="H186" s="444"/>
      <c r="I186" s="444"/>
      <c r="J186" s="1146"/>
      <c r="K186" s="1146"/>
      <c r="L186" s="444"/>
      <c r="M186" s="444"/>
      <c r="N186" s="1146"/>
      <c r="O186" s="1146"/>
      <c r="P186" s="444"/>
      <c r="Q186" s="444"/>
      <c r="R186" s="1146"/>
      <c r="S186" s="1146"/>
      <c r="T186" s="444"/>
      <c r="U186" s="444"/>
      <c r="V186" s="446"/>
    </row>
    <row r="187" spans="1:57" ht="30" customHeight="1">
      <c r="A187" s="443" t="s">
        <v>85</v>
      </c>
      <c r="B187" s="444"/>
      <c r="C187" s="444"/>
      <c r="D187" s="1133"/>
      <c r="E187" s="445"/>
      <c r="F187" s="1146"/>
      <c r="G187" s="1147">
        <v>13394814.76</v>
      </c>
      <c r="H187" s="444"/>
      <c r="I187" s="450">
        <f>SUM(I166:I186)</f>
        <v>7265166.7599999998</v>
      </c>
      <c r="J187" s="1146"/>
      <c r="K187" s="1147">
        <v>39987034.100000001</v>
      </c>
      <c r="L187" s="444"/>
      <c r="M187" s="450">
        <f>SUM(M166:M186)</f>
        <v>12953558.460000001</v>
      </c>
      <c r="N187" s="1146"/>
      <c r="O187" s="1147">
        <v>0</v>
      </c>
      <c r="P187" s="444"/>
      <c r="Q187" s="450">
        <f>SUM(Q166:Q186)</f>
        <v>134705</v>
      </c>
      <c r="R187" s="1146"/>
      <c r="S187" s="1147">
        <v>53381848.860000007</v>
      </c>
      <c r="T187" s="444"/>
      <c r="U187" s="450">
        <f>SUM(U166:U186)</f>
        <v>20353430.219999999</v>
      </c>
      <c r="V187" s="446"/>
      <c r="W187" s="449" t="s">
        <v>86</v>
      </c>
    </row>
    <row r="188" spans="1:57" ht="30" customHeight="1">
      <c r="A188" s="455" t="s">
        <v>4758</v>
      </c>
      <c r="B188" s="456"/>
      <c r="C188" s="456"/>
      <c r="D188" s="1134"/>
      <c r="E188" s="457"/>
      <c r="F188" s="1148"/>
      <c r="G188" s="1148"/>
      <c r="H188" s="456"/>
      <c r="I188" s="456"/>
      <c r="J188" s="1148"/>
      <c r="K188" s="1148"/>
      <c r="L188" s="456"/>
      <c r="M188" s="456"/>
      <c r="N188" s="1148"/>
      <c r="O188" s="1148"/>
      <c r="P188" s="456"/>
      <c r="Q188" s="456"/>
      <c r="R188" s="1148"/>
      <c r="S188" s="1148"/>
      <c r="T188" s="456"/>
      <c r="U188" s="456"/>
      <c r="V188" s="458"/>
      <c r="W188" s="459"/>
      <c r="X188" s="459"/>
      <c r="Y188" s="459"/>
      <c r="Z188" s="460" t="s">
        <v>271</v>
      </c>
      <c r="AA188" s="459"/>
      <c r="AB188" s="459"/>
      <c r="AC188" s="459"/>
      <c r="AD188" s="459"/>
      <c r="AE188" s="459"/>
      <c r="AF188" s="459"/>
      <c r="AG188" s="459"/>
      <c r="AH188" s="459"/>
      <c r="AI188" s="459"/>
      <c r="AJ188" s="459"/>
      <c r="AK188" s="459"/>
      <c r="AL188" s="459"/>
      <c r="AM188" s="459"/>
      <c r="AN188" s="459"/>
      <c r="AO188" s="459"/>
      <c r="AP188" s="459"/>
      <c r="AQ188" s="459"/>
      <c r="AR188" s="459"/>
      <c r="AS188" s="459"/>
      <c r="AT188" s="459"/>
      <c r="AU188" s="459"/>
      <c r="AV188" s="459"/>
      <c r="AW188" s="459"/>
      <c r="AX188" s="459"/>
      <c r="AY188" s="459"/>
      <c r="AZ188" s="459"/>
      <c r="BA188" s="459"/>
      <c r="BB188" s="459"/>
      <c r="BC188" s="459"/>
      <c r="BD188" s="459"/>
      <c r="BE188" s="459"/>
    </row>
    <row r="189" spans="1:57" ht="30" customHeight="1">
      <c r="A189" s="443" t="s">
        <v>175</v>
      </c>
      <c r="B189" s="443" t="s">
        <v>176</v>
      </c>
      <c r="C189" s="443" t="s">
        <v>59</v>
      </c>
      <c r="D189" s="1133">
        <v>455.32</v>
      </c>
      <c r="E189" s="445">
        <f>'1층전시실산출'!H214</f>
        <v>455.32</v>
      </c>
      <c r="F189" s="1147">
        <v>9977</v>
      </c>
      <c r="G189" s="1147">
        <v>4542727.6399999997</v>
      </c>
      <c r="H189" s="450">
        <f>TRUNC(일위대가목록!F31,0)</f>
        <v>9977</v>
      </c>
      <c r="I189" s="450">
        <f t="shared" ref="I189:I199" si="24">E189*H189</f>
        <v>4542727.6399999997</v>
      </c>
      <c r="J189" s="1147">
        <v>25424</v>
      </c>
      <c r="K189" s="1147">
        <v>11576055.68</v>
      </c>
      <c r="L189" s="450">
        <f>TRUNC(일위대가목록!H31,0)</f>
        <v>25424</v>
      </c>
      <c r="M189" s="450">
        <f t="shared" ref="M189:M199" si="25">E189*L189</f>
        <v>11576055.68</v>
      </c>
      <c r="N189" s="1147">
        <v>0</v>
      </c>
      <c r="O189" s="1147">
        <v>0</v>
      </c>
      <c r="P189" s="450">
        <f>TRUNC(일위대가목록!J31,0)</f>
        <v>0</v>
      </c>
      <c r="Q189" s="450">
        <f t="shared" ref="Q189:Q199" si="26">E189*P189</f>
        <v>0</v>
      </c>
      <c r="R189" s="1147">
        <v>35401</v>
      </c>
      <c r="S189" s="1147">
        <v>16118783.32</v>
      </c>
      <c r="T189" s="450">
        <f t="shared" ref="T189:T199" si="27">H189+L189+P189</f>
        <v>35401</v>
      </c>
      <c r="U189" s="450">
        <f t="shared" ref="U189:U199" si="28">I189+M189+Q189</f>
        <v>16118783.32</v>
      </c>
      <c r="V189" s="454" t="str">
        <f>일위대가목록!M31</f>
        <v>호표 28</v>
      </c>
      <c r="W189" s="448" t="s">
        <v>177</v>
      </c>
      <c r="X189" s="448" t="s">
        <v>51</v>
      </c>
      <c r="Y189" s="448" t="s">
        <v>51</v>
      </c>
      <c r="Z189" s="448" t="s">
        <v>271</v>
      </c>
      <c r="AA189" s="448" t="s">
        <v>61</v>
      </c>
      <c r="AB189" s="448" t="s">
        <v>62</v>
      </c>
      <c r="AC189" s="448" t="s">
        <v>62</v>
      </c>
      <c r="AD189" s="447"/>
      <c r="AE189" s="447"/>
      <c r="AF189" s="447"/>
      <c r="AG189" s="447"/>
      <c r="AH189" s="447"/>
      <c r="AI189" s="447"/>
      <c r="AJ189" s="447"/>
      <c r="AK189" s="447"/>
      <c r="AL189" s="447"/>
      <c r="AM189" s="447"/>
      <c r="AN189" s="447"/>
      <c r="AO189" s="447"/>
      <c r="AP189" s="447"/>
      <c r="AQ189" s="447"/>
      <c r="AR189" s="447"/>
      <c r="AS189" s="447"/>
      <c r="AT189" s="447"/>
      <c r="AU189" s="447"/>
      <c r="AV189" s="447"/>
      <c r="AW189" s="447"/>
      <c r="AX189" s="447"/>
      <c r="AY189" s="447"/>
      <c r="AZ189" s="447"/>
      <c r="BA189" s="448" t="s">
        <v>51</v>
      </c>
      <c r="BB189" s="448" t="s">
        <v>51</v>
      </c>
      <c r="BC189" s="447"/>
      <c r="BD189" s="448" t="s">
        <v>272</v>
      </c>
      <c r="BE189" s="447">
        <v>479</v>
      </c>
    </row>
    <row r="190" spans="1:57" ht="30" customHeight="1">
      <c r="A190" s="443" t="s">
        <v>273</v>
      </c>
      <c r="B190" s="443" t="s">
        <v>274</v>
      </c>
      <c r="C190" s="443" t="s">
        <v>59</v>
      </c>
      <c r="D190" s="1133">
        <v>333.49</v>
      </c>
      <c r="E190" s="445">
        <f>'1층전시실산출'!H219</f>
        <v>333.49</v>
      </c>
      <c r="F190" s="1147">
        <v>16990</v>
      </c>
      <c r="G190" s="1147">
        <v>5665995.1000000006</v>
      </c>
      <c r="H190" s="450">
        <f>TRUNC(일위대가목록!F54,0)</f>
        <v>16990</v>
      </c>
      <c r="I190" s="450">
        <f t="shared" si="24"/>
        <v>5665995.1000000006</v>
      </c>
      <c r="J190" s="1147">
        <v>81255</v>
      </c>
      <c r="K190" s="1147">
        <v>27097729.949999999</v>
      </c>
      <c r="L190" s="450">
        <f>TRUNC(일위대가목록!H54,0)</f>
        <v>81255</v>
      </c>
      <c r="M190" s="450">
        <f t="shared" si="25"/>
        <v>27097729.949999999</v>
      </c>
      <c r="N190" s="1147">
        <v>0</v>
      </c>
      <c r="O190" s="1147">
        <v>0</v>
      </c>
      <c r="P190" s="450">
        <f>TRUNC(일위대가목록!J54,0)</f>
        <v>0</v>
      </c>
      <c r="Q190" s="450">
        <f t="shared" si="26"/>
        <v>0</v>
      </c>
      <c r="R190" s="1147">
        <v>98245</v>
      </c>
      <c r="S190" s="1147">
        <v>32763725.050000001</v>
      </c>
      <c r="T190" s="450">
        <f t="shared" si="27"/>
        <v>98245</v>
      </c>
      <c r="U190" s="450">
        <f t="shared" si="28"/>
        <v>32763725.050000001</v>
      </c>
      <c r="V190" s="454" t="str">
        <f>일위대가목록!M54</f>
        <v>호표 51</v>
      </c>
      <c r="W190" s="448" t="s">
        <v>275</v>
      </c>
      <c r="X190" s="448" t="s">
        <v>51</v>
      </c>
      <c r="Y190" s="448" t="s">
        <v>51</v>
      </c>
      <c r="Z190" s="448" t="s">
        <v>271</v>
      </c>
      <c r="AA190" s="448" t="s">
        <v>61</v>
      </c>
      <c r="AB190" s="448" t="s">
        <v>62</v>
      </c>
      <c r="AC190" s="448" t="s">
        <v>62</v>
      </c>
      <c r="AD190" s="447"/>
      <c r="AE190" s="447"/>
      <c r="AF190" s="447"/>
      <c r="AG190" s="447"/>
      <c r="AH190" s="447"/>
      <c r="AI190" s="447"/>
      <c r="AJ190" s="447"/>
      <c r="AK190" s="447"/>
      <c r="AL190" s="447"/>
      <c r="AM190" s="447"/>
      <c r="AN190" s="447"/>
      <c r="AO190" s="447"/>
      <c r="AP190" s="447"/>
      <c r="AQ190" s="447"/>
      <c r="AR190" s="447"/>
      <c r="AS190" s="447"/>
      <c r="AT190" s="447"/>
      <c r="AU190" s="447"/>
      <c r="AV190" s="447"/>
      <c r="AW190" s="447"/>
      <c r="AX190" s="447"/>
      <c r="AY190" s="447"/>
      <c r="AZ190" s="447"/>
      <c r="BA190" s="448" t="s">
        <v>51</v>
      </c>
      <c r="BB190" s="448" t="s">
        <v>51</v>
      </c>
      <c r="BC190" s="447"/>
      <c r="BD190" s="448" t="s">
        <v>276</v>
      </c>
      <c r="BE190" s="447">
        <v>480</v>
      </c>
    </row>
    <row r="191" spans="1:57" ht="30" customHeight="1">
      <c r="A191" s="443" t="s">
        <v>277</v>
      </c>
      <c r="B191" s="443" t="s">
        <v>278</v>
      </c>
      <c r="C191" s="443" t="s">
        <v>59</v>
      </c>
      <c r="D191" s="1133">
        <v>93.06</v>
      </c>
      <c r="E191" s="445">
        <f>'1층전시실산출'!H222</f>
        <v>93.06</v>
      </c>
      <c r="F191" s="1147">
        <v>23127</v>
      </c>
      <c r="G191" s="1147">
        <v>2152198.62</v>
      </c>
      <c r="H191" s="450">
        <f>TRUNC(일위대가목록!F55,0)</f>
        <v>23127</v>
      </c>
      <c r="I191" s="450">
        <f t="shared" si="24"/>
        <v>2152198.62</v>
      </c>
      <c r="J191" s="1147">
        <v>88619</v>
      </c>
      <c r="K191" s="1147">
        <v>8246884.1400000006</v>
      </c>
      <c r="L191" s="450">
        <f>TRUNC(일위대가목록!H55,0)</f>
        <v>88619</v>
      </c>
      <c r="M191" s="450">
        <f t="shared" si="25"/>
        <v>8246884.1400000006</v>
      </c>
      <c r="N191" s="1147">
        <v>0</v>
      </c>
      <c r="O191" s="1147">
        <v>0</v>
      </c>
      <c r="P191" s="450">
        <f>TRUNC(일위대가목록!J55,0)</f>
        <v>0</v>
      </c>
      <c r="Q191" s="450">
        <f t="shared" si="26"/>
        <v>0</v>
      </c>
      <c r="R191" s="1147">
        <v>111746</v>
      </c>
      <c r="S191" s="1147">
        <v>10399082.760000002</v>
      </c>
      <c r="T191" s="450">
        <f t="shared" si="27"/>
        <v>111746</v>
      </c>
      <c r="U191" s="450">
        <f t="shared" si="28"/>
        <v>10399082.760000002</v>
      </c>
      <c r="V191" s="454" t="str">
        <f>일위대가목록!M55</f>
        <v>호표 52</v>
      </c>
      <c r="W191" s="448" t="s">
        <v>279</v>
      </c>
      <c r="X191" s="448" t="s">
        <v>51</v>
      </c>
      <c r="Y191" s="448" t="s">
        <v>51</v>
      </c>
      <c r="Z191" s="448" t="s">
        <v>271</v>
      </c>
      <c r="AA191" s="448" t="s">
        <v>61</v>
      </c>
      <c r="AB191" s="448" t="s">
        <v>62</v>
      </c>
      <c r="AC191" s="448" t="s">
        <v>62</v>
      </c>
      <c r="AD191" s="447"/>
      <c r="AE191" s="447"/>
      <c r="AF191" s="447"/>
      <c r="AG191" s="447"/>
      <c r="AH191" s="447"/>
      <c r="AI191" s="447"/>
      <c r="AJ191" s="447"/>
      <c r="AK191" s="447"/>
      <c r="AL191" s="447"/>
      <c r="AM191" s="447"/>
      <c r="AN191" s="447"/>
      <c r="AO191" s="447"/>
      <c r="AP191" s="447"/>
      <c r="AQ191" s="447"/>
      <c r="AR191" s="447"/>
      <c r="AS191" s="447"/>
      <c r="AT191" s="447"/>
      <c r="AU191" s="447"/>
      <c r="AV191" s="447"/>
      <c r="AW191" s="447"/>
      <c r="AX191" s="447"/>
      <c r="AY191" s="447"/>
      <c r="AZ191" s="447"/>
      <c r="BA191" s="448" t="s">
        <v>51</v>
      </c>
      <c r="BB191" s="448" t="s">
        <v>51</v>
      </c>
      <c r="BC191" s="447"/>
      <c r="BD191" s="448" t="s">
        <v>280</v>
      </c>
      <c r="BE191" s="447">
        <v>481</v>
      </c>
    </row>
    <row r="192" spans="1:57" ht="30" customHeight="1">
      <c r="A192" s="465" t="s">
        <v>194</v>
      </c>
      <c r="B192" s="465" t="s">
        <v>3472</v>
      </c>
      <c r="C192" s="443" t="s">
        <v>59</v>
      </c>
      <c r="D192" s="1133">
        <v>180.94</v>
      </c>
      <c r="E192" s="445">
        <f>'1층전시실산출'!H227</f>
        <v>180.94</v>
      </c>
      <c r="F192" s="1147">
        <v>7995.1</v>
      </c>
      <c r="G192" s="1147">
        <v>1446633.3940000001</v>
      </c>
      <c r="H192" s="450">
        <f>일위대가목록!F125</f>
        <v>7995.1</v>
      </c>
      <c r="I192" s="450">
        <f t="shared" si="24"/>
        <v>1446633.3940000001</v>
      </c>
      <c r="J192" s="1147">
        <v>13145.4</v>
      </c>
      <c r="K192" s="1147">
        <v>2378528.676</v>
      </c>
      <c r="L192" s="450">
        <f>일위대가목록!H125</f>
        <v>13145.4</v>
      </c>
      <c r="M192" s="450">
        <f t="shared" si="25"/>
        <v>2378528.676</v>
      </c>
      <c r="N192" s="1147">
        <v>262.89999999999998</v>
      </c>
      <c r="O192" s="1147">
        <v>47569.125999999997</v>
      </c>
      <c r="P192" s="450">
        <f>일위대가목록!J125</f>
        <v>262.89999999999998</v>
      </c>
      <c r="Q192" s="450">
        <f t="shared" si="26"/>
        <v>47569.125999999997</v>
      </c>
      <c r="R192" s="1147">
        <v>21403.4</v>
      </c>
      <c r="S192" s="1147">
        <v>3872731.1960000005</v>
      </c>
      <c r="T192" s="450">
        <f t="shared" si="27"/>
        <v>21403.4</v>
      </c>
      <c r="U192" s="450">
        <f t="shared" si="28"/>
        <v>3872731.1960000005</v>
      </c>
      <c r="V192" s="454" t="str">
        <f>일위대가목록!M125</f>
        <v>호표 122</v>
      </c>
      <c r="W192" s="448" t="s">
        <v>196</v>
      </c>
      <c r="X192" s="448" t="s">
        <v>51</v>
      </c>
      <c r="Y192" s="448" t="s">
        <v>51</v>
      </c>
      <c r="Z192" s="448" t="s">
        <v>271</v>
      </c>
      <c r="AA192" s="448" t="s">
        <v>61</v>
      </c>
      <c r="AB192" s="448" t="s">
        <v>62</v>
      </c>
      <c r="AC192" s="448" t="s">
        <v>62</v>
      </c>
      <c r="AD192" s="447"/>
      <c r="AE192" s="447"/>
      <c r="AF192" s="447"/>
      <c r="AG192" s="447"/>
      <c r="AH192" s="447"/>
      <c r="AI192" s="447"/>
      <c r="AJ192" s="447"/>
      <c r="AK192" s="447"/>
      <c r="AL192" s="447"/>
      <c r="AM192" s="447"/>
      <c r="AN192" s="447"/>
      <c r="AO192" s="447"/>
      <c r="AP192" s="447"/>
      <c r="AQ192" s="447"/>
      <c r="AR192" s="447"/>
      <c r="AS192" s="447"/>
      <c r="AT192" s="447"/>
      <c r="AU192" s="447"/>
      <c r="AV192" s="447"/>
      <c r="AW192" s="447"/>
      <c r="AX192" s="447"/>
      <c r="AY192" s="447"/>
      <c r="AZ192" s="447"/>
      <c r="BA192" s="448" t="s">
        <v>51</v>
      </c>
      <c r="BB192" s="448" t="s">
        <v>51</v>
      </c>
      <c r="BC192" s="447"/>
      <c r="BD192" s="448" t="s">
        <v>283</v>
      </c>
      <c r="BE192" s="447">
        <v>483</v>
      </c>
    </row>
    <row r="193" spans="1:58" ht="30" customHeight="1">
      <c r="A193" s="443" t="s">
        <v>194</v>
      </c>
      <c r="B193" s="443" t="s">
        <v>284</v>
      </c>
      <c r="C193" s="443" t="s">
        <v>59</v>
      </c>
      <c r="D193" s="1133">
        <v>103.5</v>
      </c>
      <c r="E193" s="445">
        <f>'1층전시실산출'!H229</f>
        <v>103.5</v>
      </c>
      <c r="F193" s="1147">
        <v>9674</v>
      </c>
      <c r="G193" s="1147">
        <v>1001259</v>
      </c>
      <c r="H193" s="450">
        <f>TRUNC(일위대가목록!F57,0)</f>
        <v>9674</v>
      </c>
      <c r="I193" s="450">
        <f t="shared" si="24"/>
        <v>1001259</v>
      </c>
      <c r="J193" s="1147">
        <v>12993</v>
      </c>
      <c r="K193" s="1147">
        <v>1344775.5</v>
      </c>
      <c r="L193" s="450">
        <f>TRUNC(일위대가목록!H57,0)</f>
        <v>12993</v>
      </c>
      <c r="M193" s="450">
        <f t="shared" si="25"/>
        <v>1344775.5</v>
      </c>
      <c r="N193" s="1147">
        <v>259</v>
      </c>
      <c r="O193" s="1147">
        <v>26806.5</v>
      </c>
      <c r="P193" s="450">
        <f>TRUNC(일위대가목록!J57,0)</f>
        <v>259</v>
      </c>
      <c r="Q193" s="450">
        <f t="shared" si="26"/>
        <v>26806.5</v>
      </c>
      <c r="R193" s="1147">
        <v>22926</v>
      </c>
      <c r="S193" s="1147">
        <v>2372841</v>
      </c>
      <c r="T193" s="450">
        <f t="shared" si="27"/>
        <v>22926</v>
      </c>
      <c r="U193" s="450">
        <f t="shared" si="28"/>
        <v>2372841</v>
      </c>
      <c r="V193" s="454" t="str">
        <f>일위대가목록!M57</f>
        <v>호표 54</v>
      </c>
      <c r="W193" s="448" t="s">
        <v>285</v>
      </c>
      <c r="X193" s="448" t="s">
        <v>51</v>
      </c>
      <c r="Y193" s="448" t="s">
        <v>51</v>
      </c>
      <c r="Z193" s="448" t="s">
        <v>271</v>
      </c>
      <c r="AA193" s="448" t="s">
        <v>61</v>
      </c>
      <c r="AB193" s="448" t="s">
        <v>62</v>
      </c>
      <c r="AC193" s="448" t="s">
        <v>62</v>
      </c>
      <c r="AD193" s="447"/>
      <c r="AE193" s="447"/>
      <c r="AF193" s="447"/>
      <c r="AG193" s="447"/>
      <c r="AH193" s="447"/>
      <c r="AI193" s="447"/>
      <c r="AJ193" s="447"/>
      <c r="AK193" s="447"/>
      <c r="AL193" s="447"/>
      <c r="AM193" s="447"/>
      <c r="AN193" s="447"/>
      <c r="AO193" s="447"/>
      <c r="AP193" s="447"/>
      <c r="AQ193" s="447"/>
      <c r="AR193" s="447"/>
      <c r="AS193" s="447"/>
      <c r="AT193" s="447"/>
      <c r="AU193" s="447"/>
      <c r="AV193" s="447"/>
      <c r="AW193" s="447"/>
      <c r="AX193" s="447"/>
      <c r="AY193" s="447"/>
      <c r="AZ193" s="447"/>
      <c r="BA193" s="448" t="s">
        <v>51</v>
      </c>
      <c r="BB193" s="448" t="s">
        <v>51</v>
      </c>
      <c r="BC193" s="447"/>
      <c r="BD193" s="448" t="s">
        <v>286</v>
      </c>
      <c r="BE193" s="447">
        <v>484</v>
      </c>
    </row>
    <row r="194" spans="1:58" ht="30" customHeight="1">
      <c r="A194" s="443" t="s">
        <v>182</v>
      </c>
      <c r="B194" s="443" t="s">
        <v>191</v>
      </c>
      <c r="C194" s="443" t="s">
        <v>59</v>
      </c>
      <c r="D194" s="1133">
        <v>202.44</v>
      </c>
      <c r="E194" s="445">
        <f>'1층전시실산출'!H230</f>
        <v>202.44</v>
      </c>
      <c r="F194" s="1147">
        <v>9392</v>
      </c>
      <c r="G194" s="1147">
        <v>1901316.48</v>
      </c>
      <c r="H194" s="450">
        <f>TRUNC(일위대가목록!F36,0)</f>
        <v>7618</v>
      </c>
      <c r="I194" s="450">
        <f t="shared" si="24"/>
        <v>1542187.92</v>
      </c>
      <c r="J194" s="1147">
        <v>14470</v>
      </c>
      <c r="K194" s="1147">
        <v>2929306.8</v>
      </c>
      <c r="L194" s="450">
        <f>TRUNC(일위대가목록!H36,0)</f>
        <v>16860</v>
      </c>
      <c r="M194" s="450">
        <f t="shared" si="25"/>
        <v>3413138.4</v>
      </c>
      <c r="N194" s="1147">
        <v>0</v>
      </c>
      <c r="O194" s="1147">
        <v>0</v>
      </c>
      <c r="P194" s="450">
        <f>TRUNC(일위대가목록!J36,0)</f>
        <v>0</v>
      </c>
      <c r="Q194" s="450">
        <f t="shared" si="26"/>
        <v>0</v>
      </c>
      <c r="R194" s="1147">
        <v>23862</v>
      </c>
      <c r="S194" s="1147">
        <v>4830623.2799999993</v>
      </c>
      <c r="T194" s="450">
        <f t="shared" si="27"/>
        <v>24478</v>
      </c>
      <c r="U194" s="450">
        <f t="shared" si="28"/>
        <v>4955326.32</v>
      </c>
      <c r="V194" s="454" t="str">
        <f>일위대가목록!M36</f>
        <v>호표 33</v>
      </c>
      <c r="W194" s="448" t="s">
        <v>192</v>
      </c>
      <c r="X194" s="448" t="s">
        <v>51</v>
      </c>
      <c r="Y194" s="448" t="s">
        <v>51</v>
      </c>
      <c r="Z194" s="448" t="s">
        <v>271</v>
      </c>
      <c r="AA194" s="448" t="s">
        <v>61</v>
      </c>
      <c r="AB194" s="448" t="s">
        <v>62</v>
      </c>
      <c r="AC194" s="448" t="s">
        <v>62</v>
      </c>
      <c r="AD194" s="447"/>
      <c r="AE194" s="447"/>
      <c r="AF194" s="447"/>
      <c r="AG194" s="447"/>
      <c r="AH194" s="447"/>
      <c r="AI194" s="447"/>
      <c r="AJ194" s="447"/>
      <c r="AK194" s="447"/>
      <c r="AL194" s="447"/>
      <c r="AM194" s="447"/>
      <c r="AN194" s="447"/>
      <c r="AO194" s="447"/>
      <c r="AP194" s="447"/>
      <c r="AQ194" s="447"/>
      <c r="AR194" s="447"/>
      <c r="AS194" s="447"/>
      <c r="AT194" s="447"/>
      <c r="AU194" s="447"/>
      <c r="AV194" s="447"/>
      <c r="AW194" s="447"/>
      <c r="AX194" s="447"/>
      <c r="AY194" s="447"/>
      <c r="AZ194" s="447"/>
      <c r="BA194" s="448" t="s">
        <v>51</v>
      </c>
      <c r="BB194" s="448" t="s">
        <v>51</v>
      </c>
      <c r="BC194" s="447"/>
      <c r="BD194" s="448" t="s">
        <v>287</v>
      </c>
      <c r="BE194" s="447">
        <v>488</v>
      </c>
    </row>
    <row r="195" spans="1:58" ht="30" customHeight="1">
      <c r="A195" s="443" t="s">
        <v>3471</v>
      </c>
      <c r="B195" s="443" t="s">
        <v>188</v>
      </c>
      <c r="C195" s="443" t="s">
        <v>59</v>
      </c>
      <c r="D195" s="1133">
        <v>585.86</v>
      </c>
      <c r="E195" s="445">
        <f>'1층전시실산출'!H234</f>
        <v>585.86</v>
      </c>
      <c r="F195" s="1147">
        <v>5162</v>
      </c>
      <c r="G195" s="1147">
        <v>3024209.3200000003</v>
      </c>
      <c r="H195" s="450">
        <f>TRUNC(일위대가목록!F35,0)</f>
        <v>5667</v>
      </c>
      <c r="I195" s="450">
        <f t="shared" si="24"/>
        <v>3320068.62</v>
      </c>
      <c r="J195" s="1147">
        <v>14470</v>
      </c>
      <c r="K195" s="1147">
        <v>8477394.2000000011</v>
      </c>
      <c r="L195" s="450">
        <f>TRUNC(일위대가목록!H35,0)</f>
        <v>16860</v>
      </c>
      <c r="M195" s="450">
        <f t="shared" si="25"/>
        <v>9877599.5999999996</v>
      </c>
      <c r="N195" s="1147">
        <v>0</v>
      </c>
      <c r="O195" s="1147">
        <v>0</v>
      </c>
      <c r="P195" s="450">
        <f>TRUNC(일위대가목록!J35,0)</f>
        <v>0</v>
      </c>
      <c r="Q195" s="450">
        <f t="shared" si="26"/>
        <v>0</v>
      </c>
      <c r="R195" s="1147">
        <v>19632</v>
      </c>
      <c r="S195" s="1147">
        <v>11501603.520000001</v>
      </c>
      <c r="T195" s="450">
        <f t="shared" si="27"/>
        <v>22527</v>
      </c>
      <c r="U195" s="450">
        <f t="shared" si="28"/>
        <v>13197668.219999999</v>
      </c>
      <c r="V195" s="454" t="str">
        <f>일위대가목록!M35</f>
        <v>호표 32</v>
      </c>
      <c r="W195" s="448" t="s">
        <v>189</v>
      </c>
      <c r="X195" s="448" t="s">
        <v>51</v>
      </c>
      <c r="Y195" s="448" t="s">
        <v>51</v>
      </c>
      <c r="Z195" s="448" t="s">
        <v>271</v>
      </c>
      <c r="AA195" s="448" t="s">
        <v>61</v>
      </c>
      <c r="AB195" s="448" t="s">
        <v>62</v>
      </c>
      <c r="AC195" s="448" t="s">
        <v>62</v>
      </c>
      <c r="AD195" s="447"/>
      <c r="AE195" s="447"/>
      <c r="AF195" s="447"/>
      <c r="AG195" s="447"/>
      <c r="AH195" s="447"/>
      <c r="AI195" s="447"/>
      <c r="AJ195" s="447"/>
      <c r="AK195" s="447"/>
      <c r="AL195" s="447"/>
      <c r="AM195" s="447"/>
      <c r="AN195" s="447"/>
      <c r="AO195" s="447"/>
      <c r="AP195" s="447"/>
      <c r="AQ195" s="447"/>
      <c r="AR195" s="447"/>
      <c r="AS195" s="447"/>
      <c r="AT195" s="447"/>
      <c r="AU195" s="447"/>
      <c r="AV195" s="447"/>
      <c r="AW195" s="447"/>
      <c r="AX195" s="447"/>
      <c r="AY195" s="447"/>
      <c r="AZ195" s="447"/>
      <c r="BA195" s="448" t="s">
        <v>51</v>
      </c>
      <c r="BB195" s="448" t="s">
        <v>51</v>
      </c>
      <c r="BC195" s="447"/>
      <c r="BD195" s="448" t="s">
        <v>288</v>
      </c>
      <c r="BE195" s="447">
        <v>489</v>
      </c>
    </row>
    <row r="196" spans="1:58" ht="30" customHeight="1">
      <c r="A196" s="443" t="s">
        <v>202</v>
      </c>
      <c r="B196" s="443" t="s">
        <v>203</v>
      </c>
      <c r="C196" s="443" t="s">
        <v>204</v>
      </c>
      <c r="D196" s="1133">
        <v>85.5</v>
      </c>
      <c r="E196" s="445">
        <f>'1층전시실산출'!H235</f>
        <v>85.5</v>
      </c>
      <c r="F196" s="1147">
        <v>2500</v>
      </c>
      <c r="G196" s="1147">
        <v>213750</v>
      </c>
      <c r="H196" s="450">
        <f>TRUNC(일위대가목록!F39,0)</f>
        <v>2500</v>
      </c>
      <c r="I196" s="450">
        <f t="shared" si="24"/>
        <v>213750</v>
      </c>
      <c r="J196" s="1147">
        <v>2568</v>
      </c>
      <c r="K196" s="1147">
        <v>219564</v>
      </c>
      <c r="L196" s="450">
        <f>TRUNC(일위대가목록!H39,0)</f>
        <v>2568</v>
      </c>
      <c r="M196" s="450">
        <f t="shared" si="25"/>
        <v>219564</v>
      </c>
      <c r="N196" s="1147">
        <v>51</v>
      </c>
      <c r="O196" s="1147">
        <v>4360.5</v>
      </c>
      <c r="P196" s="450">
        <f>TRUNC(일위대가목록!J39,0)</f>
        <v>51</v>
      </c>
      <c r="Q196" s="450">
        <f t="shared" si="26"/>
        <v>4360.5</v>
      </c>
      <c r="R196" s="1147">
        <v>5119</v>
      </c>
      <c r="S196" s="1147">
        <v>437674.5</v>
      </c>
      <c r="T196" s="450">
        <f t="shared" si="27"/>
        <v>5119</v>
      </c>
      <c r="U196" s="450">
        <f t="shared" si="28"/>
        <v>437674.5</v>
      </c>
      <c r="V196" s="454" t="str">
        <f>일위대가목록!M39</f>
        <v>호표 36</v>
      </c>
      <c r="W196" s="448" t="s">
        <v>205</v>
      </c>
      <c r="X196" s="448" t="s">
        <v>51</v>
      </c>
      <c r="Y196" s="448" t="s">
        <v>51</v>
      </c>
      <c r="Z196" s="448" t="s">
        <v>271</v>
      </c>
      <c r="AA196" s="448" t="s">
        <v>61</v>
      </c>
      <c r="AB196" s="448" t="s">
        <v>62</v>
      </c>
      <c r="AC196" s="448" t="s">
        <v>62</v>
      </c>
      <c r="AD196" s="447"/>
      <c r="AE196" s="447"/>
      <c r="AF196" s="447"/>
      <c r="AG196" s="447"/>
      <c r="AH196" s="447"/>
      <c r="AI196" s="447"/>
      <c r="AJ196" s="447"/>
      <c r="AK196" s="447"/>
      <c r="AL196" s="447"/>
      <c r="AM196" s="447"/>
      <c r="AN196" s="447"/>
      <c r="AO196" s="447"/>
      <c r="AP196" s="447"/>
      <c r="AQ196" s="447"/>
      <c r="AR196" s="447"/>
      <c r="AS196" s="447"/>
      <c r="AT196" s="447"/>
      <c r="AU196" s="447"/>
      <c r="AV196" s="447"/>
      <c r="AW196" s="447"/>
      <c r="AX196" s="447"/>
      <c r="AY196" s="447"/>
      <c r="AZ196" s="447"/>
      <c r="BA196" s="448" t="s">
        <v>51</v>
      </c>
      <c r="BB196" s="448" t="s">
        <v>51</v>
      </c>
      <c r="BC196" s="447"/>
      <c r="BD196" s="448" t="s">
        <v>289</v>
      </c>
      <c r="BE196" s="447">
        <v>490</v>
      </c>
    </row>
    <row r="197" spans="1:58" ht="30" customHeight="1">
      <c r="A197" s="443" t="s">
        <v>218</v>
      </c>
      <c r="B197" s="443" t="s">
        <v>219</v>
      </c>
      <c r="C197" s="443" t="s">
        <v>59</v>
      </c>
      <c r="D197" s="1133">
        <v>964.79</v>
      </c>
      <c r="E197" s="445">
        <f>'1층전시실산출'!H241</f>
        <v>964.79</v>
      </c>
      <c r="F197" s="1147">
        <v>1908</v>
      </c>
      <c r="G197" s="1147">
        <v>1840819.3199999998</v>
      </c>
      <c r="H197" s="450">
        <f>TRUNC(일위대가목록!F43,0)</f>
        <v>1800</v>
      </c>
      <c r="I197" s="450">
        <f t="shared" si="24"/>
        <v>1736622</v>
      </c>
      <c r="J197" s="1147">
        <v>7912</v>
      </c>
      <c r="K197" s="1147">
        <v>7633418.4799999995</v>
      </c>
      <c r="L197" s="450">
        <f>TRUNC(일위대가목록!H43,0)</f>
        <v>3300</v>
      </c>
      <c r="M197" s="450">
        <f t="shared" si="25"/>
        <v>3183807</v>
      </c>
      <c r="N197" s="1147">
        <v>0</v>
      </c>
      <c r="O197" s="1147">
        <v>0</v>
      </c>
      <c r="P197" s="450">
        <f>TRUNC(일위대가목록!J43,0)</f>
        <v>0</v>
      </c>
      <c r="Q197" s="450">
        <f t="shared" si="26"/>
        <v>0</v>
      </c>
      <c r="R197" s="1147">
        <v>9820</v>
      </c>
      <c r="S197" s="1147">
        <v>9474237.7999999989</v>
      </c>
      <c r="T197" s="450">
        <f t="shared" si="27"/>
        <v>5100</v>
      </c>
      <c r="U197" s="450">
        <f t="shared" si="28"/>
        <v>4920429</v>
      </c>
      <c r="V197" s="454" t="str">
        <f>일위대가목록!M43</f>
        <v>호표 40</v>
      </c>
      <c r="W197" s="448" t="s">
        <v>220</v>
      </c>
      <c r="X197" s="448" t="s">
        <v>51</v>
      </c>
      <c r="Y197" s="448" t="s">
        <v>51</v>
      </c>
      <c r="Z197" s="448" t="s">
        <v>271</v>
      </c>
      <c r="AA197" s="448" t="s">
        <v>61</v>
      </c>
      <c r="AB197" s="448" t="s">
        <v>62</v>
      </c>
      <c r="AC197" s="448" t="s">
        <v>62</v>
      </c>
      <c r="AD197" s="447"/>
      <c r="AE197" s="447"/>
      <c r="AF197" s="447"/>
      <c r="AG197" s="447"/>
      <c r="AH197" s="447"/>
      <c r="AI197" s="447"/>
      <c r="AJ197" s="447"/>
      <c r="AK197" s="447"/>
      <c r="AL197" s="447"/>
      <c r="AM197" s="447"/>
      <c r="AN197" s="447"/>
      <c r="AO197" s="447"/>
      <c r="AP197" s="447"/>
      <c r="AQ197" s="447"/>
      <c r="AR197" s="447"/>
      <c r="AS197" s="447"/>
      <c r="AT197" s="447"/>
      <c r="AU197" s="447"/>
      <c r="AV197" s="447"/>
      <c r="AW197" s="447"/>
      <c r="AX197" s="447"/>
      <c r="AY197" s="447"/>
      <c r="AZ197" s="447"/>
      <c r="BA197" s="448" t="s">
        <v>51</v>
      </c>
      <c r="BB197" s="448" t="s">
        <v>51</v>
      </c>
      <c r="BC197" s="447"/>
      <c r="BD197" s="448" t="s">
        <v>290</v>
      </c>
      <c r="BE197" s="447">
        <v>491</v>
      </c>
    </row>
    <row r="198" spans="1:58" ht="30" customHeight="1">
      <c r="A198" s="157" t="s">
        <v>222</v>
      </c>
      <c r="B198" s="157" t="s">
        <v>6823</v>
      </c>
      <c r="C198" s="157" t="s">
        <v>59</v>
      </c>
      <c r="D198" s="1209">
        <v>964.79</v>
      </c>
      <c r="E198" s="1210">
        <f>'1층전시실산출'!H248</f>
        <v>964.79</v>
      </c>
      <c r="F198" s="1211">
        <v>2312</v>
      </c>
      <c r="G198" s="1211">
        <v>2230594.48</v>
      </c>
      <c r="H198" s="1212">
        <f>TRUNC(일위대가목록!F44,0)</f>
        <v>2097</v>
      </c>
      <c r="I198" s="1212">
        <f t="shared" si="24"/>
        <v>2023164.63</v>
      </c>
      <c r="J198" s="1211">
        <v>10764</v>
      </c>
      <c r="K198" s="1211">
        <v>10384999.560000001</v>
      </c>
      <c r="L198" s="1212">
        <f>TRUNC(일위대가목록!H44,0)</f>
        <v>5053</v>
      </c>
      <c r="M198" s="1212">
        <f t="shared" si="25"/>
        <v>4875083.87</v>
      </c>
      <c r="N198" s="1211">
        <v>0</v>
      </c>
      <c r="O198" s="1211">
        <v>0</v>
      </c>
      <c r="P198" s="1212">
        <f>TRUNC(일위대가목록!J44,0)</f>
        <v>0</v>
      </c>
      <c r="Q198" s="1212">
        <f t="shared" si="26"/>
        <v>0</v>
      </c>
      <c r="R198" s="1211">
        <v>13076</v>
      </c>
      <c r="S198" s="1211">
        <v>12615594.040000001</v>
      </c>
      <c r="T198" s="1212">
        <f t="shared" si="27"/>
        <v>7150</v>
      </c>
      <c r="U198" s="1212">
        <f t="shared" si="28"/>
        <v>6898248.5</v>
      </c>
      <c r="V198" s="1213" t="str">
        <f>일위대가목록!M44</f>
        <v>호표 41</v>
      </c>
      <c r="W198" s="1293" t="s">
        <v>224</v>
      </c>
      <c r="X198" s="1293" t="s">
        <v>51</v>
      </c>
      <c r="Y198" s="1293" t="s">
        <v>51</v>
      </c>
      <c r="Z198" s="1293" t="s">
        <v>271</v>
      </c>
      <c r="AA198" s="1293" t="s">
        <v>61</v>
      </c>
      <c r="AB198" s="1293" t="s">
        <v>62</v>
      </c>
      <c r="AC198" s="1293" t="s">
        <v>62</v>
      </c>
      <c r="AD198" s="1294"/>
      <c r="AE198" s="1294"/>
      <c r="AF198" s="1294"/>
      <c r="AG198" s="1294"/>
      <c r="AH198" s="1294"/>
      <c r="AI198" s="1294"/>
      <c r="AJ198" s="1294"/>
      <c r="AK198" s="1294"/>
      <c r="AL198" s="1294"/>
      <c r="AM198" s="1294"/>
      <c r="AN198" s="1294"/>
      <c r="AO198" s="1294"/>
      <c r="AP198" s="1294"/>
      <c r="AQ198" s="1294"/>
      <c r="AR198" s="1294"/>
      <c r="AS198" s="1294"/>
      <c r="AT198" s="1294"/>
      <c r="AU198" s="1294"/>
      <c r="AV198" s="1294"/>
      <c r="AW198" s="1294"/>
      <c r="AX198" s="1294"/>
      <c r="AY198" s="1294"/>
      <c r="AZ198" s="1294"/>
      <c r="BA198" s="1293" t="s">
        <v>51</v>
      </c>
      <c r="BB198" s="1293" t="s">
        <v>51</v>
      </c>
      <c r="BC198" s="1294"/>
      <c r="BD198" s="1293" t="s">
        <v>291</v>
      </c>
      <c r="BE198" s="1294">
        <v>492</v>
      </c>
      <c r="BF198" s="17"/>
    </row>
    <row r="199" spans="1:58" ht="30" customHeight="1">
      <c r="A199" s="473" t="str">
        <f>'1층전시실산출'!B249</f>
        <v>오염방지코팅</v>
      </c>
      <c r="B199" s="473" t="str">
        <f>'1층전시실산출'!C249</f>
        <v>전시대</v>
      </c>
      <c r="C199" s="473" t="str">
        <f>'1층전시실산출'!D249</f>
        <v>㎡</v>
      </c>
      <c r="D199" s="1133">
        <v>229.98999999999998</v>
      </c>
      <c r="E199" s="445">
        <f>'1층전시실산출'!H252</f>
        <v>229.98999999999998</v>
      </c>
      <c r="F199" s="1147">
        <v>7669</v>
      </c>
      <c r="G199" s="1147">
        <v>1763793.3099999998</v>
      </c>
      <c r="H199" s="450">
        <f>일위대가목록!F58</f>
        <v>7669</v>
      </c>
      <c r="I199" s="450">
        <f t="shared" si="24"/>
        <v>1763793.3099999998</v>
      </c>
      <c r="J199" s="1147">
        <v>7554</v>
      </c>
      <c r="K199" s="1147">
        <v>1737344.46</v>
      </c>
      <c r="L199" s="450">
        <f>일위대가목록!H58</f>
        <v>7554</v>
      </c>
      <c r="M199" s="450">
        <f t="shared" si="25"/>
        <v>1737344.46</v>
      </c>
      <c r="N199" s="1147"/>
      <c r="O199" s="1147">
        <v>0</v>
      </c>
      <c r="P199" s="450"/>
      <c r="Q199" s="450">
        <f t="shared" si="26"/>
        <v>0</v>
      </c>
      <c r="R199" s="1147">
        <v>15223</v>
      </c>
      <c r="S199" s="1147">
        <v>3501137.7699999996</v>
      </c>
      <c r="T199" s="450">
        <f t="shared" si="27"/>
        <v>15223</v>
      </c>
      <c r="U199" s="450">
        <f t="shared" si="28"/>
        <v>3501137.7699999996</v>
      </c>
      <c r="V199" s="454" t="str">
        <f>일위대가목록!M58</f>
        <v>호표 55</v>
      </c>
      <c r="W199" s="448"/>
      <c r="X199" s="448"/>
      <c r="Y199" s="448"/>
      <c r="Z199" s="448"/>
      <c r="AA199" s="448"/>
      <c r="AB199" s="448"/>
      <c r="AC199" s="448"/>
      <c r="AD199" s="447"/>
      <c r="AE199" s="447"/>
      <c r="AF199" s="447"/>
      <c r="AG199" s="447"/>
      <c r="AH199" s="447"/>
      <c r="AI199" s="447"/>
      <c r="AJ199" s="447"/>
      <c r="AK199" s="447"/>
      <c r="AL199" s="447"/>
      <c r="AM199" s="447"/>
      <c r="AN199" s="447"/>
      <c r="AO199" s="447"/>
      <c r="AP199" s="447"/>
      <c r="AQ199" s="447"/>
      <c r="AR199" s="447"/>
      <c r="AS199" s="447"/>
      <c r="AT199" s="447"/>
      <c r="AU199" s="447"/>
      <c r="AV199" s="447"/>
      <c r="AW199" s="447"/>
      <c r="AX199" s="447"/>
      <c r="AY199" s="447"/>
      <c r="AZ199" s="447"/>
      <c r="BA199" s="448"/>
      <c r="BB199" s="448"/>
      <c r="BC199" s="447"/>
      <c r="BD199" s="448"/>
      <c r="BE199" s="447"/>
    </row>
    <row r="200" spans="1:58" ht="30" customHeight="1">
      <c r="A200" s="443"/>
      <c r="B200" s="443"/>
      <c r="C200" s="443"/>
      <c r="D200" s="1133"/>
      <c r="E200" s="445"/>
      <c r="F200" s="1147"/>
      <c r="G200" s="1147"/>
      <c r="H200" s="450"/>
      <c r="I200" s="450"/>
      <c r="J200" s="1147"/>
      <c r="K200" s="1147"/>
      <c r="L200" s="450"/>
      <c r="M200" s="450"/>
      <c r="N200" s="1147"/>
      <c r="O200" s="1147"/>
      <c r="P200" s="450"/>
      <c r="Q200" s="450"/>
      <c r="R200" s="1147"/>
      <c r="S200" s="1147"/>
      <c r="T200" s="450"/>
      <c r="U200" s="450"/>
      <c r="V200" s="454"/>
      <c r="W200" s="448"/>
      <c r="X200" s="448"/>
      <c r="Y200" s="448"/>
      <c r="Z200" s="448"/>
      <c r="AA200" s="448"/>
      <c r="AB200" s="448"/>
      <c r="AC200" s="448"/>
      <c r="AD200" s="447"/>
      <c r="AE200" s="447"/>
      <c r="AF200" s="447"/>
      <c r="AG200" s="447"/>
      <c r="AH200" s="447"/>
      <c r="AI200" s="447"/>
      <c r="AJ200" s="447"/>
      <c r="AK200" s="447"/>
      <c r="AL200" s="447"/>
      <c r="AM200" s="447"/>
      <c r="AN200" s="447"/>
      <c r="AO200" s="447"/>
      <c r="AP200" s="447"/>
      <c r="AQ200" s="447"/>
      <c r="AR200" s="447"/>
      <c r="AS200" s="447"/>
      <c r="AT200" s="447"/>
      <c r="AU200" s="447"/>
      <c r="AV200" s="447"/>
      <c r="AW200" s="447"/>
      <c r="AX200" s="447"/>
      <c r="AY200" s="447"/>
      <c r="AZ200" s="447"/>
      <c r="BA200" s="448"/>
      <c r="BB200" s="448"/>
      <c r="BC200" s="447"/>
      <c r="BD200" s="448"/>
      <c r="BE200" s="447"/>
    </row>
    <row r="201" spans="1:58" ht="30" customHeight="1">
      <c r="A201" s="443"/>
      <c r="B201" s="443"/>
      <c r="C201" s="443"/>
      <c r="D201" s="1133"/>
      <c r="E201" s="445"/>
      <c r="F201" s="1147"/>
      <c r="G201" s="1147"/>
      <c r="H201" s="450"/>
      <c r="I201" s="450"/>
      <c r="J201" s="1147"/>
      <c r="K201" s="1147"/>
      <c r="L201" s="450"/>
      <c r="M201" s="450"/>
      <c r="N201" s="1147"/>
      <c r="O201" s="1147"/>
      <c r="P201" s="450"/>
      <c r="Q201" s="450"/>
      <c r="R201" s="1147"/>
      <c r="S201" s="1147"/>
      <c r="T201" s="450"/>
      <c r="U201" s="450"/>
      <c r="V201" s="454"/>
      <c r="W201" s="448"/>
      <c r="X201" s="448"/>
      <c r="Y201" s="448"/>
      <c r="Z201" s="448"/>
      <c r="AA201" s="448"/>
      <c r="AB201" s="448"/>
      <c r="AC201" s="448"/>
      <c r="AD201" s="447"/>
      <c r="AE201" s="447"/>
      <c r="AF201" s="447"/>
      <c r="AG201" s="447"/>
      <c r="AH201" s="447"/>
      <c r="AI201" s="447"/>
      <c r="AJ201" s="447"/>
      <c r="AK201" s="447"/>
      <c r="AL201" s="447"/>
      <c r="AM201" s="447"/>
      <c r="AN201" s="447"/>
      <c r="AO201" s="447"/>
      <c r="AP201" s="447"/>
      <c r="AQ201" s="447"/>
      <c r="AR201" s="447"/>
      <c r="AS201" s="447"/>
      <c r="AT201" s="447"/>
      <c r="AU201" s="447"/>
      <c r="AV201" s="447"/>
      <c r="AW201" s="447"/>
      <c r="AX201" s="447"/>
      <c r="AY201" s="447"/>
      <c r="AZ201" s="447"/>
      <c r="BA201" s="448"/>
      <c r="BB201" s="448"/>
      <c r="BC201" s="447"/>
      <c r="BD201" s="448"/>
      <c r="BE201" s="447"/>
    </row>
    <row r="202" spans="1:58" ht="30" customHeight="1">
      <c r="A202" s="473"/>
      <c r="B202" s="443"/>
      <c r="C202" s="443"/>
      <c r="D202" s="1133"/>
      <c r="E202" s="445"/>
      <c r="F202" s="1147"/>
      <c r="G202" s="1147"/>
      <c r="H202" s="450"/>
      <c r="I202" s="450"/>
      <c r="J202" s="1147"/>
      <c r="K202" s="1147"/>
      <c r="L202" s="450"/>
      <c r="M202" s="450"/>
      <c r="N202" s="1147"/>
      <c r="O202" s="1147"/>
      <c r="P202" s="450"/>
      <c r="Q202" s="450"/>
      <c r="R202" s="1147"/>
      <c r="S202" s="1147"/>
      <c r="T202" s="450"/>
      <c r="U202" s="450"/>
      <c r="V202" s="454"/>
      <c r="W202" s="448"/>
      <c r="X202" s="448"/>
      <c r="Y202" s="448"/>
      <c r="Z202" s="448"/>
      <c r="AA202" s="448"/>
      <c r="AB202" s="448"/>
      <c r="AC202" s="448"/>
      <c r="AD202" s="447"/>
      <c r="AE202" s="447"/>
      <c r="AF202" s="447"/>
      <c r="AG202" s="447"/>
      <c r="AH202" s="447"/>
      <c r="AI202" s="447"/>
      <c r="AJ202" s="447"/>
      <c r="AK202" s="447"/>
      <c r="AL202" s="447"/>
      <c r="AM202" s="447"/>
      <c r="AN202" s="447"/>
      <c r="AO202" s="447"/>
      <c r="AP202" s="447"/>
      <c r="AQ202" s="447"/>
      <c r="AR202" s="447"/>
      <c r="AS202" s="447"/>
      <c r="AT202" s="447"/>
      <c r="AU202" s="447"/>
      <c r="AV202" s="447"/>
      <c r="AW202" s="447"/>
      <c r="AX202" s="447"/>
      <c r="AY202" s="447"/>
      <c r="AZ202" s="447"/>
      <c r="BA202" s="448"/>
      <c r="BB202" s="448"/>
      <c r="BC202" s="447"/>
      <c r="BD202" s="448"/>
      <c r="BE202" s="447"/>
    </row>
    <row r="203" spans="1:58" ht="30" customHeight="1">
      <c r="A203" s="444"/>
      <c r="B203" s="444"/>
      <c r="C203" s="444"/>
      <c r="D203" s="1133"/>
      <c r="E203" s="445"/>
      <c r="F203" s="1146"/>
      <c r="G203" s="1146"/>
      <c r="H203" s="444"/>
      <c r="I203" s="444"/>
      <c r="J203" s="1146"/>
      <c r="K203" s="1146"/>
      <c r="L203" s="444"/>
      <c r="M203" s="444"/>
      <c r="N203" s="1146"/>
      <c r="O203" s="1146"/>
      <c r="P203" s="444"/>
      <c r="Q203" s="444"/>
      <c r="R203" s="1146"/>
      <c r="S203" s="1146"/>
      <c r="T203" s="444"/>
      <c r="U203" s="444"/>
      <c r="V203" s="446"/>
    </row>
    <row r="204" spans="1:58" ht="30" customHeight="1">
      <c r="A204" s="444"/>
      <c r="B204" s="444"/>
      <c r="C204" s="444"/>
      <c r="D204" s="1133"/>
      <c r="E204" s="445"/>
      <c r="F204" s="1146"/>
      <c r="G204" s="1146"/>
      <c r="H204" s="444"/>
      <c r="I204" s="444"/>
      <c r="J204" s="1146"/>
      <c r="K204" s="1146"/>
      <c r="L204" s="444"/>
      <c r="M204" s="444"/>
      <c r="N204" s="1146"/>
      <c r="O204" s="1146"/>
      <c r="P204" s="444"/>
      <c r="Q204" s="444"/>
      <c r="R204" s="1146"/>
      <c r="S204" s="1146"/>
      <c r="T204" s="444"/>
      <c r="U204" s="444"/>
      <c r="V204" s="446"/>
    </row>
    <row r="205" spans="1:58" ht="30" customHeight="1">
      <c r="A205" s="444"/>
      <c r="B205" s="444"/>
      <c r="C205" s="444"/>
      <c r="D205" s="1133"/>
      <c r="E205" s="445"/>
      <c r="F205" s="1146"/>
      <c r="G205" s="1146"/>
      <c r="H205" s="444"/>
      <c r="I205" s="444"/>
      <c r="J205" s="1146"/>
      <c r="K205" s="1146"/>
      <c r="L205" s="444"/>
      <c r="M205" s="444"/>
      <c r="N205" s="1146"/>
      <c r="O205" s="1146"/>
      <c r="P205" s="444"/>
      <c r="Q205" s="444"/>
      <c r="R205" s="1146"/>
      <c r="S205" s="1146"/>
      <c r="T205" s="444"/>
      <c r="U205" s="444"/>
      <c r="V205" s="446"/>
    </row>
    <row r="206" spans="1:58" ht="30" customHeight="1">
      <c r="A206" s="444"/>
      <c r="B206" s="444"/>
      <c r="C206" s="444"/>
      <c r="D206" s="1133"/>
      <c r="E206" s="445"/>
      <c r="F206" s="1146"/>
      <c r="G206" s="1146"/>
      <c r="H206" s="444"/>
      <c r="I206" s="444"/>
      <c r="J206" s="1146"/>
      <c r="K206" s="1146"/>
      <c r="L206" s="444"/>
      <c r="M206" s="444"/>
      <c r="N206" s="1146"/>
      <c r="O206" s="1146"/>
      <c r="P206" s="444"/>
      <c r="Q206" s="444"/>
      <c r="R206" s="1146"/>
      <c r="S206" s="1146"/>
      <c r="T206" s="444"/>
      <c r="U206" s="444"/>
      <c r="V206" s="446"/>
    </row>
    <row r="207" spans="1:58" ht="30" customHeight="1">
      <c r="A207" s="444"/>
      <c r="B207" s="444"/>
      <c r="C207" s="444"/>
      <c r="D207" s="1133"/>
      <c r="E207" s="445"/>
      <c r="F207" s="1146"/>
      <c r="G207" s="1146"/>
      <c r="H207" s="444"/>
      <c r="I207" s="444"/>
      <c r="J207" s="1146"/>
      <c r="K207" s="1146"/>
      <c r="L207" s="444"/>
      <c r="M207" s="444"/>
      <c r="N207" s="1146"/>
      <c r="O207" s="1146"/>
      <c r="P207" s="444"/>
      <c r="Q207" s="444"/>
      <c r="R207" s="1146"/>
      <c r="S207" s="1146"/>
      <c r="T207" s="444"/>
      <c r="U207" s="444"/>
      <c r="V207" s="446"/>
    </row>
    <row r="208" spans="1:58" ht="30" customHeight="1">
      <c r="A208" s="444"/>
      <c r="B208" s="444"/>
      <c r="C208" s="444"/>
      <c r="D208" s="1133"/>
      <c r="E208" s="445"/>
      <c r="F208" s="1146"/>
      <c r="G208" s="1146"/>
      <c r="H208" s="444"/>
      <c r="I208" s="444"/>
      <c r="J208" s="1146"/>
      <c r="K208" s="1146"/>
      <c r="L208" s="444"/>
      <c r="M208" s="444"/>
      <c r="N208" s="1146"/>
      <c r="O208" s="1146"/>
      <c r="P208" s="444"/>
      <c r="Q208" s="444"/>
      <c r="R208" s="1146"/>
      <c r="S208" s="1146"/>
      <c r="T208" s="444"/>
      <c r="U208" s="444"/>
      <c r="V208" s="446"/>
    </row>
    <row r="209" spans="1:57" ht="30" customHeight="1">
      <c r="A209" s="444"/>
      <c r="B209" s="444"/>
      <c r="C209" s="444"/>
      <c r="D209" s="1133"/>
      <c r="E209" s="445"/>
      <c r="F209" s="1146"/>
      <c r="G209" s="1146"/>
      <c r="H209" s="444"/>
      <c r="I209" s="444"/>
      <c r="J209" s="1146"/>
      <c r="K209" s="1146"/>
      <c r="L209" s="444"/>
      <c r="M209" s="444"/>
      <c r="N209" s="1146"/>
      <c r="O209" s="1146"/>
      <c r="P209" s="444"/>
      <c r="Q209" s="444"/>
      <c r="R209" s="1146"/>
      <c r="S209" s="1146"/>
      <c r="T209" s="444"/>
      <c r="U209" s="444"/>
      <c r="V209" s="446"/>
    </row>
    <row r="210" spans="1:57" ht="30" customHeight="1">
      <c r="A210" s="443" t="s">
        <v>85</v>
      </c>
      <c r="B210" s="444"/>
      <c r="C210" s="444"/>
      <c r="D210" s="1133"/>
      <c r="E210" s="445"/>
      <c r="F210" s="1146"/>
      <c r="G210" s="1147">
        <v>25783296.663999997</v>
      </c>
      <c r="H210" s="444"/>
      <c r="I210" s="450">
        <f>SUM(I189:I209)</f>
        <v>25408400.233999997</v>
      </c>
      <c r="J210" s="1146"/>
      <c r="K210" s="1147">
        <v>82026001.445999995</v>
      </c>
      <c r="L210" s="444"/>
      <c r="M210" s="450">
        <f>SUM(M189:M209)</f>
        <v>73950511.275999993</v>
      </c>
      <c r="N210" s="1146"/>
      <c r="O210" s="1147">
        <v>78736.125999999989</v>
      </c>
      <c r="P210" s="444"/>
      <c r="Q210" s="450">
        <f>SUM(Q189:Q209)</f>
        <v>78736.125999999989</v>
      </c>
      <c r="R210" s="1146"/>
      <c r="S210" s="1147">
        <v>107888034.236</v>
      </c>
      <c r="T210" s="444"/>
      <c r="U210" s="450">
        <f>SUM(U189:U209)</f>
        <v>99437647.636000007</v>
      </c>
      <c r="V210" s="446"/>
      <c r="W210" s="449" t="s">
        <v>86</v>
      </c>
    </row>
    <row r="211" spans="1:57" ht="30" customHeight="1">
      <c r="A211" s="455" t="s">
        <v>4759</v>
      </c>
      <c r="B211" s="456"/>
      <c r="C211" s="456"/>
      <c r="D211" s="1134"/>
      <c r="E211" s="457"/>
      <c r="F211" s="1148"/>
      <c r="G211" s="1148"/>
      <c r="H211" s="456"/>
      <c r="I211" s="456"/>
      <c r="J211" s="1148"/>
      <c r="K211" s="1148"/>
      <c r="L211" s="456"/>
      <c r="M211" s="456"/>
      <c r="N211" s="1148"/>
      <c r="O211" s="1148"/>
      <c r="P211" s="456"/>
      <c r="Q211" s="456"/>
      <c r="R211" s="1148"/>
      <c r="S211" s="1148"/>
      <c r="T211" s="456"/>
      <c r="U211" s="456"/>
      <c r="V211" s="458"/>
      <c r="W211" s="459"/>
      <c r="X211" s="459"/>
      <c r="Y211" s="459"/>
      <c r="Z211" s="460" t="s">
        <v>293</v>
      </c>
      <c r="AA211" s="459"/>
      <c r="AB211" s="459"/>
      <c r="AC211" s="459"/>
      <c r="AD211" s="459"/>
      <c r="AE211" s="459"/>
      <c r="AF211" s="459"/>
      <c r="AG211" s="459"/>
      <c r="AH211" s="459"/>
      <c r="AI211" s="459"/>
      <c r="AJ211" s="459"/>
      <c r="AK211" s="459"/>
      <c r="AL211" s="459"/>
      <c r="AM211" s="459"/>
      <c r="AN211" s="459"/>
      <c r="AO211" s="459"/>
      <c r="AP211" s="459"/>
      <c r="AQ211" s="459"/>
      <c r="AR211" s="459"/>
      <c r="AS211" s="459"/>
      <c r="AT211" s="459"/>
      <c r="AU211" s="459"/>
      <c r="AV211" s="459"/>
      <c r="AW211" s="459"/>
      <c r="AX211" s="459"/>
      <c r="AY211" s="459"/>
      <c r="AZ211" s="459"/>
      <c r="BA211" s="459"/>
      <c r="BB211" s="459"/>
      <c r="BC211" s="459"/>
      <c r="BD211" s="459"/>
      <c r="BE211" s="459"/>
    </row>
    <row r="212" spans="1:57" ht="30" customHeight="1">
      <c r="A212" s="443" t="s">
        <v>233</v>
      </c>
      <c r="B212" s="443" t="s">
        <v>153</v>
      </c>
      <c r="C212" s="443" t="s">
        <v>59</v>
      </c>
      <c r="D212" s="1133">
        <v>75.819999999999993</v>
      </c>
      <c r="E212" s="445">
        <f>'1층전시실산출'!H256</f>
        <v>75.819999999999993</v>
      </c>
      <c r="F212" s="1147">
        <v>2167</v>
      </c>
      <c r="G212" s="1147">
        <v>164301.93999999997</v>
      </c>
      <c r="H212" s="450">
        <f>TRUNC(일위대가목록!F47,0)</f>
        <v>2139</v>
      </c>
      <c r="I212" s="450">
        <f>E212*H212</f>
        <v>162178.97999999998</v>
      </c>
      <c r="J212" s="1147">
        <v>34936</v>
      </c>
      <c r="K212" s="1147">
        <v>2648847.5199999996</v>
      </c>
      <c r="L212" s="450">
        <f>TRUNC(일위대가목록!H47,0)</f>
        <v>4558</v>
      </c>
      <c r="M212" s="450">
        <f>E212*L212</f>
        <v>345587.56</v>
      </c>
      <c r="N212" s="1147">
        <v>0</v>
      </c>
      <c r="O212" s="1147">
        <v>0</v>
      </c>
      <c r="P212" s="450">
        <f>TRUNC(일위대가목록!J47,0)</f>
        <v>0</v>
      </c>
      <c r="Q212" s="450">
        <f>E212*P212</f>
        <v>0</v>
      </c>
      <c r="R212" s="1147">
        <v>37103</v>
      </c>
      <c r="S212" s="1147">
        <v>2813149.4599999995</v>
      </c>
      <c r="T212" s="450">
        <f>H212+L212+P212</f>
        <v>6697</v>
      </c>
      <c r="U212" s="450">
        <f>I212+M212+Q212</f>
        <v>507766.54</v>
      </c>
      <c r="V212" s="454" t="str">
        <f>일위대가목록!M47</f>
        <v>호표 44</v>
      </c>
      <c r="W212" s="448" t="s">
        <v>234</v>
      </c>
      <c r="X212" s="448" t="s">
        <v>51</v>
      </c>
      <c r="Y212" s="448" t="s">
        <v>51</v>
      </c>
      <c r="Z212" s="448" t="s">
        <v>293</v>
      </c>
      <c r="AA212" s="448" t="s">
        <v>61</v>
      </c>
      <c r="AB212" s="448" t="s">
        <v>62</v>
      </c>
      <c r="AC212" s="448" t="s">
        <v>62</v>
      </c>
      <c r="AD212" s="447"/>
      <c r="AE212" s="447"/>
      <c r="AF212" s="447"/>
      <c r="AG212" s="447"/>
      <c r="AH212" s="447"/>
      <c r="AI212" s="447"/>
      <c r="AJ212" s="447"/>
      <c r="AK212" s="447"/>
      <c r="AL212" s="447"/>
      <c r="AM212" s="447"/>
      <c r="AN212" s="447"/>
      <c r="AO212" s="447"/>
      <c r="AP212" s="447"/>
      <c r="AQ212" s="447"/>
      <c r="AR212" s="447"/>
      <c r="AS212" s="447"/>
      <c r="AT212" s="447"/>
      <c r="AU212" s="447"/>
      <c r="AV212" s="447"/>
      <c r="AW212" s="447"/>
      <c r="AX212" s="447"/>
      <c r="AY212" s="447"/>
      <c r="AZ212" s="447"/>
      <c r="BA212" s="448" t="s">
        <v>51</v>
      </c>
      <c r="BB212" s="448" t="s">
        <v>51</v>
      </c>
      <c r="BC212" s="447"/>
      <c r="BD212" s="448" t="s">
        <v>294</v>
      </c>
      <c r="BE212" s="447">
        <v>495</v>
      </c>
    </row>
    <row r="213" spans="1:57" ht="30" customHeight="1">
      <c r="A213" s="443" t="s">
        <v>236</v>
      </c>
      <c r="B213" s="464" t="s">
        <v>2713</v>
      </c>
      <c r="C213" s="443" t="s">
        <v>59</v>
      </c>
      <c r="D213" s="1133">
        <v>647.80000000000018</v>
      </c>
      <c r="E213" s="445">
        <f>'1층전시실산출'!H257</f>
        <v>647.80000000000018</v>
      </c>
      <c r="F213" s="1147">
        <v>7050</v>
      </c>
      <c r="G213" s="1147">
        <v>4566990.0000000009</v>
      </c>
      <c r="H213" s="450">
        <f>TRUNC(일위대가목록!F48,0)</f>
        <v>7050</v>
      </c>
      <c r="I213" s="450">
        <f>E213*H213</f>
        <v>4566990.0000000009</v>
      </c>
      <c r="J213" s="1147">
        <v>10986</v>
      </c>
      <c r="K213" s="1147">
        <v>7116730.8000000017</v>
      </c>
      <c r="L213" s="450">
        <f>TRUNC(일위대가목록!H48,0)</f>
        <v>10986</v>
      </c>
      <c r="M213" s="450">
        <f>E213*L213</f>
        <v>7116730.8000000017</v>
      </c>
      <c r="N213" s="1147">
        <v>0</v>
      </c>
      <c r="O213" s="1147">
        <v>0</v>
      </c>
      <c r="P213" s="450">
        <f>TRUNC(일위대가목록!J48,0)</f>
        <v>0</v>
      </c>
      <c r="Q213" s="450">
        <f>E213*P213</f>
        <v>0</v>
      </c>
      <c r="R213" s="1147">
        <v>18036</v>
      </c>
      <c r="S213" s="1147">
        <v>11683720.800000003</v>
      </c>
      <c r="T213" s="450">
        <f t="shared" ref="T213:T215" si="29">H213+L213+P213</f>
        <v>18036</v>
      </c>
      <c r="U213" s="450">
        <f t="shared" ref="U213:U215" si="30">I213+M213+Q213</f>
        <v>11683720.800000003</v>
      </c>
      <c r="V213" s="454" t="str">
        <f>일위대가목록!M48</f>
        <v>호표 45</v>
      </c>
      <c r="W213" s="448" t="s">
        <v>238</v>
      </c>
      <c r="X213" s="448" t="s">
        <v>51</v>
      </c>
      <c r="Y213" s="448" t="s">
        <v>51</v>
      </c>
      <c r="Z213" s="448" t="s">
        <v>293</v>
      </c>
      <c r="AA213" s="448" t="s">
        <v>61</v>
      </c>
      <c r="AB213" s="448" t="s">
        <v>62</v>
      </c>
      <c r="AC213" s="448" t="s">
        <v>62</v>
      </c>
      <c r="AD213" s="447"/>
      <c r="AE213" s="447"/>
      <c r="AF213" s="447"/>
      <c r="AG213" s="447"/>
      <c r="AH213" s="447"/>
      <c r="AI213" s="447"/>
      <c r="AJ213" s="447"/>
      <c r="AK213" s="447"/>
      <c r="AL213" s="447"/>
      <c r="AM213" s="447"/>
      <c r="AN213" s="447"/>
      <c r="AO213" s="447"/>
      <c r="AP213" s="447"/>
      <c r="AQ213" s="447"/>
      <c r="AR213" s="447"/>
      <c r="AS213" s="447"/>
      <c r="AT213" s="447"/>
      <c r="AU213" s="447"/>
      <c r="AV213" s="447"/>
      <c r="AW213" s="447"/>
      <c r="AX213" s="447"/>
      <c r="AY213" s="447"/>
      <c r="AZ213" s="447"/>
      <c r="BA213" s="448" t="s">
        <v>51</v>
      </c>
      <c r="BB213" s="448" t="s">
        <v>51</v>
      </c>
      <c r="BC213" s="447"/>
      <c r="BD213" s="448" t="s">
        <v>295</v>
      </c>
      <c r="BE213" s="447">
        <v>496</v>
      </c>
    </row>
    <row r="214" spans="1:57" ht="30" customHeight="1">
      <c r="A214" s="443" t="s">
        <v>240</v>
      </c>
      <c r="B214" s="443" t="s">
        <v>241</v>
      </c>
      <c r="C214" s="443" t="s">
        <v>59</v>
      </c>
      <c r="D214" s="1133">
        <v>647.80000000000018</v>
      </c>
      <c r="E214" s="445">
        <f>'1층전시실산출'!H258</f>
        <v>647.80000000000018</v>
      </c>
      <c r="F214" s="1147">
        <v>64510</v>
      </c>
      <c r="G214" s="1147">
        <v>41789578.000000015</v>
      </c>
      <c r="H214" s="450">
        <f>TRUNC(일위대가목록!F49,0)</f>
        <v>64510</v>
      </c>
      <c r="I214" s="450">
        <f>E214*H214</f>
        <v>41789578.000000015</v>
      </c>
      <c r="J214" s="1147">
        <v>35743</v>
      </c>
      <c r="K214" s="1147">
        <v>23154315.400000006</v>
      </c>
      <c r="L214" s="450">
        <f>TRUNC(일위대가목록!H49,0)</f>
        <v>35743</v>
      </c>
      <c r="M214" s="450">
        <f>E214*L214</f>
        <v>23154315.400000006</v>
      </c>
      <c r="N214" s="1147">
        <v>0</v>
      </c>
      <c r="O214" s="1147">
        <v>0</v>
      </c>
      <c r="P214" s="450">
        <f>TRUNC(일위대가목록!J49,0)</f>
        <v>0</v>
      </c>
      <c r="Q214" s="450">
        <f>E214*P214</f>
        <v>0</v>
      </c>
      <c r="R214" s="1147">
        <v>100253</v>
      </c>
      <c r="S214" s="1147">
        <v>64943893.400000021</v>
      </c>
      <c r="T214" s="450">
        <f t="shared" si="29"/>
        <v>100253</v>
      </c>
      <c r="U214" s="450">
        <f t="shared" si="30"/>
        <v>64943893.400000021</v>
      </c>
      <c r="V214" s="454" t="str">
        <f>일위대가목록!M49</f>
        <v>호표 46</v>
      </c>
      <c r="W214" s="448" t="s">
        <v>242</v>
      </c>
      <c r="X214" s="448" t="s">
        <v>51</v>
      </c>
      <c r="Y214" s="448" t="s">
        <v>51</v>
      </c>
      <c r="Z214" s="448" t="s">
        <v>293</v>
      </c>
      <c r="AA214" s="448" t="s">
        <v>61</v>
      </c>
      <c r="AB214" s="448" t="s">
        <v>62</v>
      </c>
      <c r="AC214" s="448" t="s">
        <v>62</v>
      </c>
      <c r="AD214" s="447"/>
      <c r="AE214" s="447"/>
      <c r="AF214" s="447"/>
      <c r="AG214" s="447"/>
      <c r="AH214" s="447"/>
      <c r="AI214" s="447"/>
      <c r="AJ214" s="447"/>
      <c r="AK214" s="447"/>
      <c r="AL214" s="447"/>
      <c r="AM214" s="447"/>
      <c r="AN214" s="447"/>
      <c r="AO214" s="447"/>
      <c r="AP214" s="447"/>
      <c r="AQ214" s="447"/>
      <c r="AR214" s="447"/>
      <c r="AS214" s="447"/>
      <c r="AT214" s="447"/>
      <c r="AU214" s="447"/>
      <c r="AV214" s="447"/>
      <c r="AW214" s="447"/>
      <c r="AX214" s="447"/>
      <c r="AY214" s="447"/>
      <c r="AZ214" s="447"/>
      <c r="BA214" s="448" t="s">
        <v>51</v>
      </c>
      <c r="BB214" s="448" t="s">
        <v>51</v>
      </c>
      <c r="BC214" s="447"/>
      <c r="BD214" s="448" t="s">
        <v>296</v>
      </c>
      <c r="BE214" s="447">
        <v>497</v>
      </c>
    </row>
    <row r="215" spans="1:57" ht="30" customHeight="1">
      <c r="A215" s="443" t="s">
        <v>244</v>
      </c>
      <c r="B215" s="443" t="s">
        <v>245</v>
      </c>
      <c r="C215" s="443" t="s">
        <v>204</v>
      </c>
      <c r="D215" s="1133">
        <v>4.0999999999999996</v>
      </c>
      <c r="E215" s="445">
        <f>'1층전시실산출'!H259</f>
        <v>4.0999999999999996</v>
      </c>
      <c r="F215" s="1147">
        <v>3866</v>
      </c>
      <c r="G215" s="1147">
        <v>15850.599999999999</v>
      </c>
      <c r="H215" s="450">
        <f>TRUNC(일위대가목록!F50,0)</f>
        <v>3558</v>
      </c>
      <c r="I215" s="450">
        <f>E215*H215</f>
        <v>14587.8</v>
      </c>
      <c r="J215" s="1147">
        <v>13852</v>
      </c>
      <c r="K215" s="1147">
        <v>56793.2</v>
      </c>
      <c r="L215" s="450">
        <f>TRUNC(일위대가목록!H50,0)</f>
        <v>13852</v>
      </c>
      <c r="M215" s="450">
        <f>E215*L215</f>
        <v>56793.2</v>
      </c>
      <c r="N215" s="1147">
        <v>439</v>
      </c>
      <c r="O215" s="1147">
        <v>1799.8999999999999</v>
      </c>
      <c r="P215" s="450">
        <f>TRUNC(일위대가목록!J50,0)</f>
        <v>439</v>
      </c>
      <c r="Q215" s="450">
        <f>E215*P215</f>
        <v>1799.8999999999999</v>
      </c>
      <c r="R215" s="1147">
        <v>18157</v>
      </c>
      <c r="S215" s="1147">
        <v>74443.699999999983</v>
      </c>
      <c r="T215" s="450">
        <f t="shared" si="29"/>
        <v>17849</v>
      </c>
      <c r="U215" s="450">
        <f t="shared" si="30"/>
        <v>73180.899999999994</v>
      </c>
      <c r="V215" s="454" t="str">
        <f>일위대가목록!M50</f>
        <v>호표 47</v>
      </c>
      <c r="W215" s="448" t="s">
        <v>246</v>
      </c>
      <c r="X215" s="448" t="s">
        <v>51</v>
      </c>
      <c r="Y215" s="448" t="s">
        <v>51</v>
      </c>
      <c r="Z215" s="448" t="s">
        <v>293</v>
      </c>
      <c r="AA215" s="448" t="s">
        <v>61</v>
      </c>
      <c r="AB215" s="448" t="s">
        <v>62</v>
      </c>
      <c r="AC215" s="448" t="s">
        <v>62</v>
      </c>
      <c r="AD215" s="447"/>
      <c r="AE215" s="447"/>
      <c r="AF215" s="447"/>
      <c r="AG215" s="447"/>
      <c r="AH215" s="447"/>
      <c r="AI215" s="447"/>
      <c r="AJ215" s="447"/>
      <c r="AK215" s="447"/>
      <c r="AL215" s="447"/>
      <c r="AM215" s="447"/>
      <c r="AN215" s="447"/>
      <c r="AO215" s="447"/>
      <c r="AP215" s="447"/>
      <c r="AQ215" s="447"/>
      <c r="AR215" s="447"/>
      <c r="AS215" s="447"/>
      <c r="AT215" s="447"/>
      <c r="AU215" s="447"/>
      <c r="AV215" s="447"/>
      <c r="AW215" s="447"/>
      <c r="AX215" s="447"/>
      <c r="AY215" s="447"/>
      <c r="AZ215" s="447"/>
      <c r="BA215" s="448" t="s">
        <v>51</v>
      </c>
      <c r="BB215" s="448" t="s">
        <v>51</v>
      </c>
      <c r="BC215" s="447"/>
      <c r="BD215" s="448" t="s">
        <v>297</v>
      </c>
      <c r="BE215" s="447">
        <v>499</v>
      </c>
    </row>
    <row r="216" spans="1:57" ht="30" customHeight="1">
      <c r="A216" s="444"/>
      <c r="B216" s="444"/>
      <c r="C216" s="444"/>
      <c r="D216" s="1133"/>
      <c r="E216" s="445"/>
      <c r="F216" s="1146"/>
      <c r="G216" s="1146"/>
      <c r="H216" s="444"/>
      <c r="I216" s="444"/>
      <c r="J216" s="1146"/>
      <c r="K216" s="1146"/>
      <c r="L216" s="444"/>
      <c r="M216" s="444"/>
      <c r="N216" s="1146"/>
      <c r="O216" s="1146"/>
      <c r="P216" s="444"/>
      <c r="Q216" s="444"/>
      <c r="R216" s="1146"/>
      <c r="S216" s="1146"/>
      <c r="T216" s="444"/>
      <c r="U216" s="444"/>
      <c r="V216" s="446"/>
    </row>
    <row r="217" spans="1:57" ht="30" customHeight="1">
      <c r="A217" s="444"/>
      <c r="B217" s="444"/>
      <c r="C217" s="444"/>
      <c r="D217" s="1133"/>
      <c r="E217" s="445"/>
      <c r="F217" s="1146"/>
      <c r="G217" s="1146"/>
      <c r="H217" s="444"/>
      <c r="I217" s="444"/>
      <c r="J217" s="1146"/>
      <c r="K217" s="1146"/>
      <c r="L217" s="444"/>
      <c r="M217" s="444"/>
      <c r="N217" s="1146"/>
      <c r="O217" s="1146"/>
      <c r="P217" s="444"/>
      <c r="Q217" s="444"/>
      <c r="R217" s="1146"/>
      <c r="S217" s="1146"/>
      <c r="T217" s="444"/>
      <c r="U217" s="444"/>
      <c r="V217" s="446"/>
    </row>
    <row r="218" spans="1:57" ht="30" customHeight="1">
      <c r="A218" s="444"/>
      <c r="B218" s="444"/>
      <c r="C218" s="444"/>
      <c r="D218" s="1133"/>
      <c r="E218" s="445"/>
      <c r="F218" s="1146"/>
      <c r="G218" s="1146"/>
      <c r="H218" s="444"/>
      <c r="I218" s="444"/>
      <c r="J218" s="1146"/>
      <c r="K218" s="1146"/>
      <c r="L218" s="444"/>
      <c r="M218" s="444"/>
      <c r="N218" s="1146"/>
      <c r="O218" s="1146"/>
      <c r="P218" s="444"/>
      <c r="Q218" s="444"/>
      <c r="R218" s="1146"/>
      <c r="S218" s="1146"/>
      <c r="T218" s="444"/>
      <c r="U218" s="444"/>
      <c r="V218" s="446"/>
    </row>
    <row r="219" spans="1:57" ht="30" customHeight="1">
      <c r="A219" s="444"/>
      <c r="B219" s="444"/>
      <c r="C219" s="444"/>
      <c r="D219" s="1133"/>
      <c r="E219" s="445"/>
      <c r="F219" s="1146"/>
      <c r="G219" s="1146"/>
      <c r="H219" s="444"/>
      <c r="I219" s="444"/>
      <c r="J219" s="1146"/>
      <c r="K219" s="1146"/>
      <c r="L219" s="444"/>
      <c r="M219" s="444"/>
      <c r="N219" s="1146"/>
      <c r="O219" s="1146"/>
      <c r="P219" s="444"/>
      <c r="Q219" s="444"/>
      <c r="R219" s="1146"/>
      <c r="S219" s="1146"/>
      <c r="T219" s="444"/>
      <c r="U219" s="444"/>
      <c r="V219" s="446"/>
    </row>
    <row r="220" spans="1:57" ht="30" customHeight="1">
      <c r="A220" s="444"/>
      <c r="B220" s="444"/>
      <c r="C220" s="444"/>
      <c r="D220" s="1133"/>
      <c r="E220" s="445"/>
      <c r="F220" s="1146"/>
      <c r="G220" s="1146"/>
      <c r="H220" s="444"/>
      <c r="I220" s="444"/>
      <c r="J220" s="1146"/>
      <c r="K220" s="1146"/>
      <c r="L220" s="444"/>
      <c r="M220" s="444"/>
      <c r="N220" s="1146"/>
      <c r="O220" s="1146"/>
      <c r="P220" s="444"/>
      <c r="Q220" s="444"/>
      <c r="R220" s="1146"/>
      <c r="S220" s="1146"/>
      <c r="T220" s="444"/>
      <c r="U220" s="444"/>
      <c r="V220" s="446"/>
    </row>
    <row r="221" spans="1:57" ht="30" customHeight="1">
      <c r="A221" s="444"/>
      <c r="B221" s="444"/>
      <c r="C221" s="444"/>
      <c r="D221" s="1133"/>
      <c r="E221" s="445"/>
      <c r="F221" s="1146"/>
      <c r="G221" s="1146"/>
      <c r="H221" s="444"/>
      <c r="I221" s="444"/>
      <c r="J221" s="1146"/>
      <c r="K221" s="1146"/>
      <c r="L221" s="444"/>
      <c r="M221" s="444"/>
      <c r="N221" s="1146"/>
      <c r="O221" s="1146"/>
      <c r="P221" s="444"/>
      <c r="Q221" s="444"/>
      <c r="R221" s="1146"/>
      <c r="S221" s="1146"/>
      <c r="T221" s="444"/>
      <c r="U221" s="444"/>
      <c r="V221" s="446"/>
    </row>
    <row r="222" spans="1:57" ht="30" customHeight="1">
      <c r="A222" s="444"/>
      <c r="B222" s="444"/>
      <c r="C222" s="444"/>
      <c r="D222" s="1133"/>
      <c r="E222" s="445"/>
      <c r="F222" s="1146"/>
      <c r="G222" s="1146"/>
      <c r="H222" s="444"/>
      <c r="I222" s="444"/>
      <c r="J222" s="1146"/>
      <c r="K222" s="1146"/>
      <c r="L222" s="444"/>
      <c r="M222" s="444"/>
      <c r="N222" s="1146"/>
      <c r="O222" s="1146"/>
      <c r="P222" s="444"/>
      <c r="Q222" s="444"/>
      <c r="R222" s="1146"/>
      <c r="S222" s="1146"/>
      <c r="T222" s="444"/>
      <c r="U222" s="444"/>
      <c r="V222" s="446"/>
    </row>
    <row r="223" spans="1:57" ht="30" customHeight="1">
      <c r="A223" s="444"/>
      <c r="B223" s="444"/>
      <c r="C223" s="444"/>
      <c r="D223" s="1133"/>
      <c r="E223" s="445"/>
      <c r="F223" s="1146"/>
      <c r="G223" s="1146"/>
      <c r="H223" s="444"/>
      <c r="I223" s="444"/>
      <c r="J223" s="1146"/>
      <c r="K223" s="1146"/>
      <c r="L223" s="444"/>
      <c r="M223" s="444"/>
      <c r="N223" s="1146"/>
      <c r="O223" s="1146"/>
      <c r="P223" s="444"/>
      <c r="Q223" s="444"/>
      <c r="R223" s="1146"/>
      <c r="S223" s="1146"/>
      <c r="T223" s="444"/>
      <c r="U223" s="444"/>
      <c r="V223" s="446"/>
    </row>
    <row r="224" spans="1:57" ht="30" customHeight="1">
      <c r="A224" s="444"/>
      <c r="B224" s="444"/>
      <c r="C224" s="444"/>
      <c r="D224" s="1133"/>
      <c r="E224" s="445"/>
      <c r="F224" s="1146"/>
      <c r="G224" s="1146"/>
      <c r="H224" s="444"/>
      <c r="I224" s="444"/>
      <c r="J224" s="1146"/>
      <c r="K224" s="1146"/>
      <c r="L224" s="444"/>
      <c r="M224" s="444"/>
      <c r="N224" s="1146"/>
      <c r="O224" s="1146"/>
      <c r="P224" s="444"/>
      <c r="Q224" s="444"/>
      <c r="R224" s="1146"/>
      <c r="S224" s="1146"/>
      <c r="T224" s="444"/>
      <c r="U224" s="444"/>
      <c r="V224" s="446"/>
    </row>
    <row r="225" spans="1:57" ht="30" customHeight="1">
      <c r="A225" s="444"/>
      <c r="B225" s="444"/>
      <c r="C225" s="444"/>
      <c r="D225" s="1133"/>
      <c r="E225" s="445"/>
      <c r="F225" s="1146"/>
      <c r="G225" s="1146"/>
      <c r="H225" s="444"/>
      <c r="I225" s="444"/>
      <c r="J225" s="1146"/>
      <c r="K225" s="1146"/>
      <c r="L225" s="444"/>
      <c r="M225" s="444"/>
      <c r="N225" s="1146"/>
      <c r="O225" s="1146"/>
      <c r="P225" s="444"/>
      <c r="Q225" s="444"/>
      <c r="R225" s="1146"/>
      <c r="S225" s="1146"/>
      <c r="T225" s="444"/>
      <c r="U225" s="444"/>
      <c r="V225" s="446"/>
    </row>
    <row r="226" spans="1:57" ht="30" customHeight="1">
      <c r="A226" s="444"/>
      <c r="B226" s="444"/>
      <c r="C226" s="444"/>
      <c r="D226" s="1133"/>
      <c r="E226" s="445"/>
      <c r="F226" s="1146"/>
      <c r="G226" s="1146"/>
      <c r="H226" s="444"/>
      <c r="I226" s="444"/>
      <c r="J226" s="1146"/>
      <c r="K226" s="1146"/>
      <c r="L226" s="444"/>
      <c r="M226" s="444"/>
      <c r="N226" s="1146"/>
      <c r="O226" s="1146"/>
      <c r="P226" s="444"/>
      <c r="Q226" s="444"/>
      <c r="R226" s="1146"/>
      <c r="S226" s="1146"/>
      <c r="T226" s="444"/>
      <c r="U226" s="444"/>
      <c r="V226" s="446"/>
    </row>
    <row r="227" spans="1:57" ht="30" customHeight="1">
      <c r="A227" s="444"/>
      <c r="B227" s="444"/>
      <c r="C227" s="444"/>
      <c r="D227" s="1133"/>
      <c r="E227" s="445"/>
      <c r="F227" s="1146"/>
      <c r="G227" s="1146"/>
      <c r="H227" s="444"/>
      <c r="I227" s="444"/>
      <c r="J227" s="1146"/>
      <c r="K227" s="1146"/>
      <c r="L227" s="444"/>
      <c r="M227" s="444"/>
      <c r="N227" s="1146"/>
      <c r="O227" s="1146"/>
      <c r="P227" s="444"/>
      <c r="Q227" s="444"/>
      <c r="R227" s="1146"/>
      <c r="S227" s="1146"/>
      <c r="T227" s="444"/>
      <c r="U227" s="444"/>
      <c r="V227" s="446"/>
    </row>
    <row r="228" spans="1:57" ht="30" customHeight="1">
      <c r="A228" s="444"/>
      <c r="B228" s="444"/>
      <c r="C228" s="444"/>
      <c r="D228" s="1133"/>
      <c r="E228" s="445"/>
      <c r="F228" s="1146"/>
      <c r="G228" s="1146"/>
      <c r="H228" s="444"/>
      <c r="I228" s="444"/>
      <c r="J228" s="1146"/>
      <c r="K228" s="1146"/>
      <c r="L228" s="444"/>
      <c r="M228" s="444"/>
      <c r="N228" s="1146"/>
      <c r="O228" s="1146"/>
      <c r="P228" s="444"/>
      <c r="Q228" s="444"/>
      <c r="R228" s="1146"/>
      <c r="S228" s="1146"/>
      <c r="T228" s="444"/>
      <c r="U228" s="444"/>
      <c r="V228" s="446"/>
    </row>
    <row r="229" spans="1:57" ht="30" customHeight="1">
      <c r="A229" s="444"/>
      <c r="B229" s="444"/>
      <c r="C229" s="444"/>
      <c r="D229" s="1133"/>
      <c r="E229" s="445"/>
      <c r="F229" s="1146"/>
      <c r="G229" s="1146"/>
      <c r="H229" s="444"/>
      <c r="I229" s="444"/>
      <c r="J229" s="1146"/>
      <c r="K229" s="1146"/>
      <c r="L229" s="444"/>
      <c r="M229" s="444"/>
      <c r="N229" s="1146"/>
      <c r="O229" s="1146"/>
      <c r="P229" s="444"/>
      <c r="Q229" s="444"/>
      <c r="R229" s="1146"/>
      <c r="S229" s="1146"/>
      <c r="T229" s="444"/>
      <c r="U229" s="444"/>
      <c r="V229" s="446"/>
    </row>
    <row r="230" spans="1:57" ht="30" customHeight="1">
      <c r="A230" s="444"/>
      <c r="B230" s="444"/>
      <c r="C230" s="444"/>
      <c r="D230" s="1133"/>
      <c r="E230" s="445"/>
      <c r="F230" s="1146"/>
      <c r="G230" s="1146"/>
      <c r="H230" s="444"/>
      <c r="I230" s="444"/>
      <c r="J230" s="1146"/>
      <c r="K230" s="1146"/>
      <c r="L230" s="444"/>
      <c r="M230" s="444"/>
      <c r="N230" s="1146"/>
      <c r="O230" s="1146"/>
      <c r="P230" s="444"/>
      <c r="Q230" s="444"/>
      <c r="R230" s="1146"/>
      <c r="S230" s="1146"/>
      <c r="T230" s="444"/>
      <c r="U230" s="444"/>
      <c r="V230" s="446"/>
    </row>
    <row r="231" spans="1:57" ht="30" customHeight="1">
      <c r="A231" s="444"/>
      <c r="B231" s="444"/>
      <c r="C231" s="444"/>
      <c r="D231" s="1133"/>
      <c r="E231" s="445"/>
      <c r="F231" s="1146"/>
      <c r="G231" s="1146"/>
      <c r="H231" s="444"/>
      <c r="I231" s="444"/>
      <c r="J231" s="1146"/>
      <c r="K231" s="1146"/>
      <c r="L231" s="444"/>
      <c r="M231" s="444"/>
      <c r="N231" s="1146"/>
      <c r="O231" s="1146"/>
      <c r="P231" s="444"/>
      <c r="Q231" s="444"/>
      <c r="R231" s="1146"/>
      <c r="S231" s="1146"/>
      <c r="T231" s="444"/>
      <c r="U231" s="444"/>
      <c r="V231" s="446"/>
    </row>
    <row r="232" spans="1:57" ht="30" customHeight="1">
      <c r="A232" s="444"/>
      <c r="B232" s="444"/>
      <c r="C232" s="444"/>
      <c r="D232" s="1133"/>
      <c r="E232" s="445"/>
      <c r="F232" s="1146"/>
      <c r="G232" s="1146"/>
      <c r="H232" s="444"/>
      <c r="I232" s="444"/>
      <c r="J232" s="1146"/>
      <c r="K232" s="1146"/>
      <c r="L232" s="444"/>
      <c r="M232" s="444"/>
      <c r="N232" s="1146"/>
      <c r="O232" s="1146"/>
      <c r="P232" s="444"/>
      <c r="Q232" s="444"/>
      <c r="R232" s="1146"/>
      <c r="S232" s="1146"/>
      <c r="T232" s="444"/>
      <c r="U232" s="444"/>
      <c r="V232" s="446"/>
    </row>
    <row r="233" spans="1:57" ht="30" customHeight="1">
      <c r="A233" s="443" t="s">
        <v>85</v>
      </c>
      <c r="B233" s="444"/>
      <c r="C233" s="444"/>
      <c r="D233" s="1133"/>
      <c r="E233" s="445"/>
      <c r="F233" s="1146"/>
      <c r="G233" s="1147">
        <v>46536720.540000014</v>
      </c>
      <c r="H233" s="444"/>
      <c r="I233" s="450">
        <f>SUM(I212:I232)</f>
        <v>46533334.780000016</v>
      </c>
      <c r="J233" s="1146"/>
      <c r="K233" s="1147">
        <v>32976686.920000006</v>
      </c>
      <c r="L233" s="444"/>
      <c r="M233" s="450">
        <f>SUM(M212:M232)</f>
        <v>30673426.960000005</v>
      </c>
      <c r="N233" s="1146"/>
      <c r="O233" s="1147">
        <v>1799.8999999999999</v>
      </c>
      <c r="P233" s="444"/>
      <c r="Q233" s="450">
        <f>SUM(Q212:Q232)</f>
        <v>1799.8999999999999</v>
      </c>
      <c r="R233" s="1146"/>
      <c r="S233" s="1147">
        <v>79515207.360000029</v>
      </c>
      <c r="T233" s="444"/>
      <c r="U233" s="450">
        <f>SUM(U212:U232)</f>
        <v>77208561.64000003</v>
      </c>
      <c r="V233" s="446"/>
      <c r="W233" s="449" t="s">
        <v>86</v>
      </c>
    </row>
    <row r="234" spans="1:57" ht="30" customHeight="1">
      <c r="A234" s="443" t="s">
        <v>4760</v>
      </c>
      <c r="B234" s="444"/>
      <c r="C234" s="444"/>
      <c r="D234" s="1133"/>
      <c r="E234" s="445"/>
      <c r="F234" s="1146"/>
      <c r="G234" s="1146"/>
      <c r="H234" s="444"/>
      <c r="I234" s="444"/>
      <c r="J234" s="1146"/>
      <c r="K234" s="1146"/>
      <c r="L234" s="444"/>
      <c r="M234" s="444"/>
      <c r="N234" s="1146"/>
      <c r="O234" s="1146"/>
      <c r="P234" s="444"/>
      <c r="Q234" s="444"/>
      <c r="R234" s="1146"/>
      <c r="S234" s="1146"/>
      <c r="T234" s="444"/>
      <c r="U234" s="444"/>
      <c r="V234" s="446"/>
      <c r="W234" s="447"/>
      <c r="X234" s="447"/>
      <c r="Y234" s="447"/>
      <c r="Z234" s="448" t="s">
        <v>298</v>
      </c>
      <c r="AA234" s="447"/>
      <c r="AB234" s="447"/>
      <c r="AC234" s="447"/>
      <c r="AD234" s="447"/>
      <c r="AE234" s="447"/>
      <c r="AF234" s="447"/>
      <c r="AG234" s="447"/>
      <c r="AH234" s="447"/>
      <c r="AI234" s="447"/>
      <c r="AJ234" s="447"/>
      <c r="AK234" s="447"/>
      <c r="AL234" s="447"/>
      <c r="AM234" s="447"/>
      <c r="AN234" s="447"/>
      <c r="AO234" s="447"/>
      <c r="AP234" s="447"/>
      <c r="AQ234" s="447"/>
      <c r="AR234" s="447"/>
      <c r="AS234" s="447"/>
      <c r="AT234" s="447"/>
      <c r="AU234" s="447"/>
      <c r="AV234" s="447"/>
      <c r="AW234" s="447"/>
      <c r="AX234" s="447"/>
      <c r="AY234" s="447"/>
      <c r="AZ234" s="447"/>
      <c r="BA234" s="447"/>
      <c r="BB234" s="447"/>
      <c r="BC234" s="447"/>
      <c r="BD234" s="447"/>
      <c r="BE234" s="447"/>
    </row>
    <row r="235" spans="1:57" ht="30" customHeight="1">
      <c r="A235" s="443" t="s">
        <v>175</v>
      </c>
      <c r="B235" s="443" t="s">
        <v>176</v>
      </c>
      <c r="C235" s="443" t="s">
        <v>59</v>
      </c>
      <c r="D235" s="1133">
        <v>5</v>
      </c>
      <c r="E235" s="445">
        <f>'1층전시실산출'!H263</f>
        <v>5</v>
      </c>
      <c r="F235" s="1149">
        <v>9977</v>
      </c>
      <c r="G235" s="1150">
        <v>49885</v>
      </c>
      <c r="H235" s="462">
        <f>TRUNC(일위대가목록!F31,0)</f>
        <v>9977</v>
      </c>
      <c r="I235" s="450">
        <f t="shared" ref="I235:I246" si="31">E235*H235</f>
        <v>49885</v>
      </c>
      <c r="J235" s="1161">
        <v>25424</v>
      </c>
      <c r="K235" s="1147">
        <v>127120</v>
      </c>
      <c r="L235" s="462">
        <f>TRUNC(일위대가목록!H31,0)</f>
        <v>25424</v>
      </c>
      <c r="M235" s="450">
        <f t="shared" ref="M235:M246" si="32">E235*L235</f>
        <v>127120</v>
      </c>
      <c r="N235" s="1147">
        <v>0</v>
      </c>
      <c r="O235" s="1147">
        <v>0</v>
      </c>
      <c r="P235" s="450">
        <f>TRUNC(일위대가목록!J31,0)</f>
        <v>0</v>
      </c>
      <c r="Q235" s="450">
        <f t="shared" ref="Q235:Q246" si="33">E235*P235</f>
        <v>0</v>
      </c>
      <c r="R235" s="1147">
        <v>35401</v>
      </c>
      <c r="S235" s="1147">
        <v>177005</v>
      </c>
      <c r="T235" s="450">
        <f t="shared" ref="T235:T246" si="34">H235+L235+P235</f>
        <v>35401</v>
      </c>
      <c r="U235" s="450">
        <f t="shared" ref="U235:U246" si="35">I235+M235+Q235</f>
        <v>177005</v>
      </c>
      <c r="V235" s="454" t="str">
        <f>일위대가목록!M31</f>
        <v>호표 28</v>
      </c>
      <c r="W235" s="448" t="s">
        <v>177</v>
      </c>
      <c r="X235" s="448" t="s">
        <v>51</v>
      </c>
      <c r="Y235" s="448" t="s">
        <v>51</v>
      </c>
      <c r="Z235" s="448" t="s">
        <v>298</v>
      </c>
      <c r="AA235" s="448" t="s">
        <v>61</v>
      </c>
      <c r="AB235" s="448" t="s">
        <v>62</v>
      </c>
      <c r="AC235" s="448" t="s">
        <v>62</v>
      </c>
      <c r="AD235" s="447"/>
      <c r="AE235" s="447"/>
      <c r="AF235" s="447"/>
      <c r="AG235" s="447"/>
      <c r="AH235" s="447"/>
      <c r="AI235" s="447"/>
      <c r="AJ235" s="447"/>
      <c r="AK235" s="447"/>
      <c r="AL235" s="447"/>
      <c r="AM235" s="447"/>
      <c r="AN235" s="447"/>
      <c r="AO235" s="447"/>
      <c r="AP235" s="447"/>
      <c r="AQ235" s="447"/>
      <c r="AR235" s="447"/>
      <c r="AS235" s="447"/>
      <c r="AT235" s="447"/>
      <c r="AU235" s="447"/>
      <c r="AV235" s="447"/>
      <c r="AW235" s="447"/>
      <c r="AX235" s="447"/>
      <c r="AY235" s="447"/>
      <c r="AZ235" s="447"/>
      <c r="BA235" s="448" t="s">
        <v>51</v>
      </c>
      <c r="BB235" s="448" t="s">
        <v>51</v>
      </c>
      <c r="BC235" s="447"/>
      <c r="BD235" s="448" t="s">
        <v>299</v>
      </c>
      <c r="BE235" s="447">
        <v>501</v>
      </c>
    </row>
    <row r="236" spans="1:57" ht="30" customHeight="1">
      <c r="A236" s="443" t="s">
        <v>4565</v>
      </c>
      <c r="B236" s="443" t="s">
        <v>2755</v>
      </c>
      <c r="C236" s="461" t="s">
        <v>2365</v>
      </c>
      <c r="D236" s="1133">
        <v>22.08</v>
      </c>
      <c r="E236" s="445">
        <f>'1층전시실산출'!H264</f>
        <v>22.08</v>
      </c>
      <c r="F236" s="1149">
        <v>16990</v>
      </c>
      <c r="G236" s="1150">
        <v>375139.19999999995</v>
      </c>
      <c r="H236" s="462">
        <f>일위대가목록!F54</f>
        <v>16990</v>
      </c>
      <c r="I236" s="450">
        <f t="shared" si="31"/>
        <v>375139.19999999995</v>
      </c>
      <c r="J236" s="1161">
        <v>81255</v>
      </c>
      <c r="K236" s="1147">
        <v>1794110.4</v>
      </c>
      <c r="L236" s="462">
        <f>일위대가목록!H54</f>
        <v>81255</v>
      </c>
      <c r="M236" s="450">
        <f t="shared" si="32"/>
        <v>1794110.4</v>
      </c>
      <c r="N236" s="1146"/>
      <c r="O236" s="1147">
        <v>0</v>
      </c>
      <c r="P236" s="444"/>
      <c r="Q236" s="450">
        <f t="shared" si="33"/>
        <v>0</v>
      </c>
      <c r="R236" s="1147">
        <v>98245</v>
      </c>
      <c r="S236" s="1147">
        <v>2169249.5999999996</v>
      </c>
      <c r="T236" s="450">
        <f t="shared" si="34"/>
        <v>98245</v>
      </c>
      <c r="U236" s="450">
        <f t="shared" si="35"/>
        <v>2169249.5999999996</v>
      </c>
      <c r="V236" s="454" t="str">
        <f>일위대가목록!M54</f>
        <v>호표 51</v>
      </c>
    </row>
    <row r="237" spans="1:57" ht="30" customHeight="1">
      <c r="A237" s="443" t="s">
        <v>2689</v>
      </c>
      <c r="B237" s="443" t="s">
        <v>3447</v>
      </c>
      <c r="C237" s="461" t="s">
        <v>2365</v>
      </c>
      <c r="D237" s="1133">
        <v>11.52</v>
      </c>
      <c r="E237" s="445">
        <f>'1층전시실산출'!H265</f>
        <v>11.52</v>
      </c>
      <c r="F237" s="1149">
        <v>4117</v>
      </c>
      <c r="G237" s="1150">
        <v>47427.839999999997</v>
      </c>
      <c r="H237" s="462">
        <f>일위대가목록!F37</f>
        <v>4117</v>
      </c>
      <c r="I237" s="450">
        <f t="shared" si="31"/>
        <v>47427.839999999997</v>
      </c>
      <c r="J237" s="1161">
        <v>12993</v>
      </c>
      <c r="K237" s="1147">
        <v>149679.35999999999</v>
      </c>
      <c r="L237" s="462">
        <f>일위대가목록!H37</f>
        <v>12993</v>
      </c>
      <c r="M237" s="450">
        <f t="shared" si="32"/>
        <v>149679.35999999999</v>
      </c>
      <c r="N237" s="1146">
        <v>259</v>
      </c>
      <c r="O237" s="1147">
        <v>2983.68</v>
      </c>
      <c r="P237" s="444">
        <f>일위대가목록!J37</f>
        <v>259</v>
      </c>
      <c r="Q237" s="450">
        <f t="shared" si="33"/>
        <v>2983.68</v>
      </c>
      <c r="R237" s="1147">
        <v>17369</v>
      </c>
      <c r="S237" s="1147">
        <v>200090.87999999998</v>
      </c>
      <c r="T237" s="450">
        <f t="shared" si="34"/>
        <v>17369</v>
      </c>
      <c r="U237" s="450">
        <f t="shared" si="35"/>
        <v>200090.87999999998</v>
      </c>
      <c r="V237" s="454" t="str">
        <f>일위대가목록!M37</f>
        <v>호표 34</v>
      </c>
    </row>
    <row r="238" spans="1:57" ht="30" customHeight="1">
      <c r="A238" s="443" t="s">
        <v>2701</v>
      </c>
      <c r="B238" s="443" t="s">
        <v>188</v>
      </c>
      <c r="C238" s="443" t="s">
        <v>59</v>
      </c>
      <c r="D238" s="1133">
        <v>5</v>
      </c>
      <c r="E238" s="445">
        <f>'1층전시실산출'!H266</f>
        <v>5</v>
      </c>
      <c r="F238" s="1149">
        <v>5162</v>
      </c>
      <c r="G238" s="1150">
        <v>25810</v>
      </c>
      <c r="H238" s="462">
        <f>TRUNC(일위대가목록!F35,0)</f>
        <v>5667</v>
      </c>
      <c r="I238" s="450">
        <f t="shared" si="31"/>
        <v>28335</v>
      </c>
      <c r="J238" s="1161">
        <v>14470</v>
      </c>
      <c r="K238" s="1147">
        <v>72350</v>
      </c>
      <c r="L238" s="462">
        <f>TRUNC(일위대가목록!H35,0)</f>
        <v>16860</v>
      </c>
      <c r="M238" s="450">
        <f t="shared" si="32"/>
        <v>84300</v>
      </c>
      <c r="N238" s="1147">
        <v>0</v>
      </c>
      <c r="O238" s="1147">
        <v>0</v>
      </c>
      <c r="P238" s="450">
        <f>TRUNC(일위대가목록!J35,0)</f>
        <v>0</v>
      </c>
      <c r="Q238" s="450">
        <f t="shared" si="33"/>
        <v>0</v>
      </c>
      <c r="R238" s="1147">
        <v>19632</v>
      </c>
      <c r="S238" s="1147">
        <v>98160</v>
      </c>
      <c r="T238" s="450">
        <f t="shared" si="34"/>
        <v>22527</v>
      </c>
      <c r="U238" s="450">
        <f t="shared" si="35"/>
        <v>112635</v>
      </c>
      <c r="V238" s="454" t="str">
        <f>일위대가목록!M35</f>
        <v>호표 32</v>
      </c>
      <c r="W238" s="448" t="s">
        <v>189</v>
      </c>
      <c r="X238" s="448" t="s">
        <v>51</v>
      </c>
      <c r="Y238" s="448" t="s">
        <v>51</v>
      </c>
      <c r="Z238" s="448" t="s">
        <v>298</v>
      </c>
      <c r="AA238" s="448" t="s">
        <v>61</v>
      </c>
      <c r="AB238" s="448" t="s">
        <v>62</v>
      </c>
      <c r="AC238" s="448" t="s">
        <v>62</v>
      </c>
      <c r="AD238" s="447"/>
      <c r="AE238" s="447"/>
      <c r="AF238" s="447"/>
      <c r="AG238" s="447"/>
      <c r="AH238" s="447"/>
      <c r="AI238" s="447"/>
      <c r="AJ238" s="447"/>
      <c r="AK238" s="447"/>
      <c r="AL238" s="447"/>
      <c r="AM238" s="447"/>
      <c r="AN238" s="447"/>
      <c r="AO238" s="447"/>
      <c r="AP238" s="447"/>
      <c r="AQ238" s="447"/>
      <c r="AR238" s="447"/>
      <c r="AS238" s="447"/>
      <c r="AT238" s="447"/>
      <c r="AU238" s="447"/>
      <c r="AV238" s="447"/>
      <c r="AW238" s="447"/>
      <c r="AX238" s="447"/>
      <c r="AY238" s="447"/>
      <c r="AZ238" s="447"/>
      <c r="BA238" s="448" t="s">
        <v>51</v>
      </c>
      <c r="BB238" s="448" t="s">
        <v>51</v>
      </c>
      <c r="BC238" s="447"/>
      <c r="BD238" s="448" t="s">
        <v>300</v>
      </c>
      <c r="BE238" s="447">
        <v>502</v>
      </c>
    </row>
    <row r="239" spans="1:57" ht="30" customHeight="1">
      <c r="A239" s="443" t="s">
        <v>301</v>
      </c>
      <c r="B239" s="443" t="s">
        <v>195</v>
      </c>
      <c r="C239" s="443" t="s">
        <v>59</v>
      </c>
      <c r="D239" s="1133">
        <v>5</v>
      </c>
      <c r="E239" s="445">
        <f>'1층전시실산출'!H267</f>
        <v>5</v>
      </c>
      <c r="F239" s="1149">
        <v>18228</v>
      </c>
      <c r="G239" s="1150">
        <v>91140</v>
      </c>
      <c r="H239" s="462">
        <f>TRUNC(일위대가목록!F59,0)</f>
        <v>18228</v>
      </c>
      <c r="I239" s="450">
        <f t="shared" si="31"/>
        <v>91140</v>
      </c>
      <c r="J239" s="1161">
        <v>12993</v>
      </c>
      <c r="K239" s="1147">
        <v>64965</v>
      </c>
      <c r="L239" s="462">
        <f>TRUNC(일위대가목록!H59,0)</f>
        <v>12993</v>
      </c>
      <c r="M239" s="450">
        <f t="shared" si="32"/>
        <v>64965</v>
      </c>
      <c r="N239" s="1147">
        <v>259</v>
      </c>
      <c r="O239" s="1147">
        <v>1295</v>
      </c>
      <c r="P239" s="450">
        <f>TRUNC(일위대가목록!J59,0)</f>
        <v>259</v>
      </c>
      <c r="Q239" s="450">
        <f t="shared" si="33"/>
        <v>1295</v>
      </c>
      <c r="R239" s="1147">
        <v>31480</v>
      </c>
      <c r="S239" s="1147">
        <v>157400</v>
      </c>
      <c r="T239" s="450">
        <f t="shared" si="34"/>
        <v>31480</v>
      </c>
      <c r="U239" s="450">
        <f t="shared" si="35"/>
        <v>157400</v>
      </c>
      <c r="V239" s="454" t="str">
        <f>일위대가목록!M59</f>
        <v>호표 56</v>
      </c>
      <c r="W239" s="448" t="s">
        <v>302</v>
      </c>
      <c r="X239" s="448" t="s">
        <v>51</v>
      </c>
      <c r="Y239" s="448" t="s">
        <v>51</v>
      </c>
      <c r="Z239" s="448" t="s">
        <v>298</v>
      </c>
      <c r="AA239" s="448" t="s">
        <v>61</v>
      </c>
      <c r="AB239" s="448" t="s">
        <v>62</v>
      </c>
      <c r="AC239" s="448" t="s">
        <v>62</v>
      </c>
      <c r="AD239" s="447"/>
      <c r="AE239" s="447"/>
      <c r="AF239" s="447"/>
      <c r="AG239" s="447"/>
      <c r="AH239" s="447"/>
      <c r="AI239" s="447"/>
      <c r="AJ239" s="447"/>
      <c r="AK239" s="447"/>
      <c r="AL239" s="447"/>
      <c r="AM239" s="447"/>
      <c r="AN239" s="447"/>
      <c r="AO239" s="447"/>
      <c r="AP239" s="447"/>
      <c r="AQ239" s="447"/>
      <c r="AR239" s="447"/>
      <c r="AS239" s="447"/>
      <c r="AT239" s="447"/>
      <c r="AU239" s="447"/>
      <c r="AV239" s="447"/>
      <c r="AW239" s="447"/>
      <c r="AX239" s="447"/>
      <c r="AY239" s="447"/>
      <c r="AZ239" s="447"/>
      <c r="BA239" s="448" t="s">
        <v>51</v>
      </c>
      <c r="BB239" s="448" t="s">
        <v>51</v>
      </c>
      <c r="BC239" s="447"/>
      <c r="BD239" s="448" t="s">
        <v>303</v>
      </c>
      <c r="BE239" s="447">
        <v>503</v>
      </c>
    </row>
    <row r="240" spans="1:57" ht="30" customHeight="1">
      <c r="A240" s="157" t="s">
        <v>2733</v>
      </c>
      <c r="B240" s="157" t="s">
        <v>6824</v>
      </c>
      <c r="C240" s="1295" t="s">
        <v>2365</v>
      </c>
      <c r="D240" s="1209">
        <v>11.04</v>
      </c>
      <c r="E240" s="1210">
        <f>'1층전시실산출'!H268</f>
        <v>11.04</v>
      </c>
      <c r="F240" s="1296">
        <v>2312</v>
      </c>
      <c r="G240" s="1297">
        <v>25524.48</v>
      </c>
      <c r="H240" s="1298">
        <f>일위대가목록!F44</f>
        <v>2097</v>
      </c>
      <c r="I240" s="1212">
        <f t="shared" si="31"/>
        <v>23150.879999999997</v>
      </c>
      <c r="J240" s="1299">
        <v>10764</v>
      </c>
      <c r="K240" s="1211">
        <v>118834.56</v>
      </c>
      <c r="L240" s="1298">
        <f>일위대가목록!H44</f>
        <v>5053</v>
      </c>
      <c r="M240" s="1212">
        <f t="shared" si="32"/>
        <v>55785.119999999995</v>
      </c>
      <c r="N240" s="1224"/>
      <c r="O240" s="1211">
        <v>0</v>
      </c>
      <c r="P240" s="1227"/>
      <c r="Q240" s="1212">
        <f t="shared" si="33"/>
        <v>0</v>
      </c>
      <c r="R240" s="1211">
        <v>13076</v>
      </c>
      <c r="S240" s="1211">
        <v>144359.04000000001</v>
      </c>
      <c r="T240" s="1212">
        <f t="shared" si="34"/>
        <v>7150</v>
      </c>
      <c r="U240" s="1212">
        <f t="shared" si="35"/>
        <v>78936</v>
      </c>
      <c r="V240" s="1213" t="str">
        <f>일위대가목록!M44</f>
        <v>호표 41</v>
      </c>
    </row>
    <row r="241" spans="1:57" ht="30" customHeight="1">
      <c r="A241" s="443" t="s">
        <v>3721</v>
      </c>
      <c r="B241" s="443" t="s">
        <v>208</v>
      </c>
      <c r="C241" s="443" t="s">
        <v>59</v>
      </c>
      <c r="D241" s="1133">
        <v>54.17</v>
      </c>
      <c r="E241" s="445">
        <f>'1층전시실산출'!H269</f>
        <v>54.17</v>
      </c>
      <c r="F241" s="1149">
        <v>8530</v>
      </c>
      <c r="G241" s="1150">
        <v>462070.10000000003</v>
      </c>
      <c r="H241" s="462">
        <f>TRUNC(일위대가목록!F45,0)</f>
        <v>8530</v>
      </c>
      <c r="I241" s="450">
        <f t="shared" si="31"/>
        <v>462070.10000000003</v>
      </c>
      <c r="J241" s="1161">
        <v>36448</v>
      </c>
      <c r="K241" s="1147">
        <v>1974388.1600000001</v>
      </c>
      <c r="L241" s="462">
        <f>TRUNC(일위대가목록!H45,0)</f>
        <v>36448</v>
      </c>
      <c r="M241" s="450">
        <f t="shared" si="32"/>
        <v>1974388.1600000001</v>
      </c>
      <c r="N241" s="1147"/>
      <c r="O241" s="1147">
        <v>0</v>
      </c>
      <c r="P241" s="450"/>
      <c r="Q241" s="450">
        <f t="shared" si="33"/>
        <v>0</v>
      </c>
      <c r="R241" s="1147">
        <v>44978</v>
      </c>
      <c r="S241" s="1147">
        <v>2436458.2600000002</v>
      </c>
      <c r="T241" s="450">
        <f t="shared" si="34"/>
        <v>44978</v>
      </c>
      <c r="U241" s="450">
        <f t="shared" si="35"/>
        <v>2436458.2600000002</v>
      </c>
      <c r="V241" s="454" t="str">
        <f>일위대가목록!M45</f>
        <v>호표 42</v>
      </c>
      <c r="W241" s="448" t="s">
        <v>226</v>
      </c>
      <c r="X241" s="448" t="s">
        <v>51</v>
      </c>
      <c r="Y241" s="448" t="s">
        <v>51</v>
      </c>
      <c r="Z241" s="448" t="s">
        <v>298</v>
      </c>
      <c r="AA241" s="448" t="s">
        <v>61</v>
      </c>
      <c r="AB241" s="448" t="s">
        <v>62</v>
      </c>
      <c r="AC241" s="448" t="s">
        <v>62</v>
      </c>
      <c r="AD241" s="447"/>
      <c r="AE241" s="447"/>
      <c r="AF241" s="447"/>
      <c r="AG241" s="447"/>
      <c r="AH241" s="447"/>
      <c r="AI241" s="447"/>
      <c r="AJ241" s="447"/>
      <c r="AK241" s="447"/>
      <c r="AL241" s="447"/>
      <c r="AM241" s="447"/>
      <c r="AN241" s="447"/>
      <c r="AO241" s="447"/>
      <c r="AP241" s="447"/>
      <c r="AQ241" s="447"/>
      <c r="AR241" s="447"/>
      <c r="AS241" s="447"/>
      <c r="AT241" s="447"/>
      <c r="AU241" s="447"/>
      <c r="AV241" s="447"/>
      <c r="AW241" s="447"/>
      <c r="AX241" s="447"/>
      <c r="AY241" s="447"/>
      <c r="AZ241" s="447"/>
      <c r="BA241" s="448" t="s">
        <v>51</v>
      </c>
      <c r="BB241" s="448" t="s">
        <v>51</v>
      </c>
      <c r="BC241" s="447"/>
      <c r="BD241" s="448" t="s">
        <v>304</v>
      </c>
      <c r="BE241" s="447">
        <v>504</v>
      </c>
    </row>
    <row r="242" spans="1:57" ht="30" customHeight="1">
      <c r="A242" s="443" t="s">
        <v>3038</v>
      </c>
      <c r="B242" s="443" t="s">
        <v>3037</v>
      </c>
      <c r="C242" s="461" t="s">
        <v>2344</v>
      </c>
      <c r="D242" s="1133">
        <v>240</v>
      </c>
      <c r="E242" s="445">
        <f>'1층전시실산출'!H270</f>
        <v>240</v>
      </c>
      <c r="F242" s="1149">
        <v>4500</v>
      </c>
      <c r="G242" s="1150">
        <v>1080000</v>
      </c>
      <c r="H242" s="462">
        <f>일위대가목록!F89</f>
        <v>4500</v>
      </c>
      <c r="I242" s="450">
        <f t="shared" si="31"/>
        <v>1080000</v>
      </c>
      <c r="J242" s="1161">
        <v>7123</v>
      </c>
      <c r="K242" s="1147">
        <v>1709520</v>
      </c>
      <c r="L242" s="462">
        <f>일위대가목록!H89</f>
        <v>7123</v>
      </c>
      <c r="M242" s="450">
        <f t="shared" si="32"/>
        <v>1709520</v>
      </c>
      <c r="N242" s="1146">
        <v>284</v>
      </c>
      <c r="O242" s="1147">
        <v>68160</v>
      </c>
      <c r="P242" s="444">
        <f>일위대가목록!J89</f>
        <v>284</v>
      </c>
      <c r="Q242" s="450">
        <f t="shared" si="33"/>
        <v>68160</v>
      </c>
      <c r="R242" s="1147">
        <v>11907</v>
      </c>
      <c r="S242" s="1147">
        <v>2857680</v>
      </c>
      <c r="T242" s="450">
        <f t="shared" si="34"/>
        <v>11907</v>
      </c>
      <c r="U242" s="450">
        <f t="shared" si="35"/>
        <v>2857680</v>
      </c>
      <c r="V242" s="454" t="str">
        <f>일위대가목록!M89</f>
        <v>호표 86</v>
      </c>
    </row>
    <row r="243" spans="1:57" ht="30" customHeight="1">
      <c r="A243" s="443" t="s">
        <v>3013</v>
      </c>
      <c r="B243" s="443" t="s">
        <v>3012</v>
      </c>
      <c r="C243" s="461" t="s">
        <v>2365</v>
      </c>
      <c r="D243" s="1133">
        <v>11.04</v>
      </c>
      <c r="E243" s="445">
        <f>'1층전시실산출'!H271</f>
        <v>11.04</v>
      </c>
      <c r="F243" s="1149">
        <v>52635</v>
      </c>
      <c r="G243" s="1150">
        <v>581090.39999999991</v>
      </c>
      <c r="H243" s="462">
        <f>일위대가목록!F90</f>
        <v>35200</v>
      </c>
      <c r="I243" s="450">
        <f t="shared" si="31"/>
        <v>388607.99999999994</v>
      </c>
      <c r="J243" s="1161">
        <v>95162</v>
      </c>
      <c r="K243" s="1147">
        <v>1050588.48</v>
      </c>
      <c r="L243" s="462">
        <f>일위대가목록!H90</f>
        <v>95162</v>
      </c>
      <c r="M243" s="450">
        <f t="shared" si="32"/>
        <v>1050588.48</v>
      </c>
      <c r="N243" s="1146">
        <v>925</v>
      </c>
      <c r="O243" s="1147">
        <v>10212</v>
      </c>
      <c r="P243" s="444">
        <f>일위대가목록!J90</f>
        <v>925</v>
      </c>
      <c r="Q243" s="450">
        <f t="shared" si="33"/>
        <v>10212</v>
      </c>
      <c r="R243" s="1147">
        <v>148722</v>
      </c>
      <c r="S243" s="1147">
        <v>1641890.88</v>
      </c>
      <c r="T243" s="450">
        <f t="shared" si="34"/>
        <v>131287</v>
      </c>
      <c r="U243" s="450">
        <f t="shared" si="35"/>
        <v>1449408.48</v>
      </c>
      <c r="V243" s="454" t="str">
        <f>일위대가목록!M90</f>
        <v>호표 87</v>
      </c>
    </row>
    <row r="244" spans="1:57" ht="30" customHeight="1">
      <c r="A244" s="443" t="s">
        <v>3454</v>
      </c>
      <c r="B244" s="443" t="s">
        <v>3542</v>
      </c>
      <c r="C244" s="461" t="s">
        <v>2344</v>
      </c>
      <c r="D244" s="1133">
        <v>4.2</v>
      </c>
      <c r="E244" s="445">
        <f>'1층전시실산출'!H272</f>
        <v>4.2</v>
      </c>
      <c r="F244" s="1149">
        <v>7781.8</v>
      </c>
      <c r="G244" s="1150">
        <v>32683.56</v>
      </c>
      <c r="H244" s="462">
        <f>일위대가목록!F126</f>
        <v>7770.4000000000005</v>
      </c>
      <c r="I244" s="450">
        <f t="shared" si="31"/>
        <v>32635.680000000004</v>
      </c>
      <c r="J244" s="1161">
        <v>26632.899999999998</v>
      </c>
      <c r="K244" s="1147">
        <v>111858.18</v>
      </c>
      <c r="L244" s="462">
        <f>일위대가목록!H126</f>
        <v>26632.899999999998</v>
      </c>
      <c r="M244" s="450">
        <f t="shared" si="32"/>
        <v>111858.18</v>
      </c>
      <c r="N244" s="1146"/>
      <c r="O244" s="1147">
        <v>0</v>
      </c>
      <c r="P244" s="444"/>
      <c r="Q244" s="450">
        <f t="shared" si="33"/>
        <v>0</v>
      </c>
      <c r="R244" s="1147">
        <v>34414.699999999997</v>
      </c>
      <c r="S244" s="1147">
        <v>144541.74</v>
      </c>
      <c r="T244" s="450">
        <f t="shared" si="34"/>
        <v>34403.299999999996</v>
      </c>
      <c r="U244" s="450">
        <f t="shared" si="35"/>
        <v>144493.85999999999</v>
      </c>
      <c r="V244" s="454" t="str">
        <f>일위대가목록!M126</f>
        <v>호표 123</v>
      </c>
    </row>
    <row r="245" spans="1:57" ht="30" customHeight="1">
      <c r="A245" s="443" t="s">
        <v>3457</v>
      </c>
      <c r="B245" s="443" t="s">
        <v>3581</v>
      </c>
      <c r="C245" s="461" t="s">
        <v>2344</v>
      </c>
      <c r="D245" s="1133">
        <v>9.1999999999999993</v>
      </c>
      <c r="E245" s="445">
        <f>'1층전시실산출'!H273</f>
        <v>9.1999999999999993</v>
      </c>
      <c r="F245" s="1149">
        <v>15403</v>
      </c>
      <c r="G245" s="1150">
        <v>141707.59999999998</v>
      </c>
      <c r="H245" s="462">
        <f>일위대가목록!F127</f>
        <v>13193</v>
      </c>
      <c r="I245" s="450">
        <f t="shared" si="31"/>
        <v>121375.59999999999</v>
      </c>
      <c r="J245" s="1161">
        <v>87157</v>
      </c>
      <c r="K245" s="1147">
        <v>801844.39999999991</v>
      </c>
      <c r="L245" s="462">
        <f>일위대가목록!H127</f>
        <v>87157</v>
      </c>
      <c r="M245" s="450">
        <f t="shared" si="32"/>
        <v>801844.39999999991</v>
      </c>
      <c r="N245" s="1146"/>
      <c r="O245" s="1147">
        <v>0</v>
      </c>
      <c r="P245" s="444"/>
      <c r="Q245" s="450">
        <f t="shared" si="33"/>
        <v>0</v>
      </c>
      <c r="R245" s="1147">
        <v>102560</v>
      </c>
      <c r="S245" s="1147">
        <v>943551.99999999988</v>
      </c>
      <c r="T245" s="450">
        <f t="shared" si="34"/>
        <v>100350</v>
      </c>
      <c r="U245" s="450">
        <f t="shared" si="35"/>
        <v>923219.99999999988</v>
      </c>
      <c r="V245" s="454" t="str">
        <f>일위대가목록!M127</f>
        <v>호표 124</v>
      </c>
    </row>
    <row r="246" spans="1:57" ht="30" customHeight="1">
      <c r="A246" s="443" t="s">
        <v>305</v>
      </c>
      <c r="B246" s="443" t="s">
        <v>208</v>
      </c>
      <c r="C246" s="443" t="s">
        <v>59</v>
      </c>
      <c r="D246" s="1133">
        <v>261</v>
      </c>
      <c r="E246" s="445">
        <f>'1층전시실산출'!H274</f>
        <v>261</v>
      </c>
      <c r="F246" s="1149">
        <v>42000</v>
      </c>
      <c r="G246" s="1150">
        <v>10962000</v>
      </c>
      <c r="H246" s="462">
        <f>TRUNC(일위대가목록!F60,0)</f>
        <v>46000</v>
      </c>
      <c r="I246" s="450">
        <f t="shared" si="31"/>
        <v>12006000</v>
      </c>
      <c r="J246" s="1161">
        <v>10580</v>
      </c>
      <c r="K246" s="1147">
        <v>2761380</v>
      </c>
      <c r="L246" s="462">
        <f>TRUNC(일위대가목록!H60,0)</f>
        <v>1501</v>
      </c>
      <c r="M246" s="450">
        <f t="shared" si="32"/>
        <v>391761</v>
      </c>
      <c r="N246" s="1147">
        <v>0</v>
      </c>
      <c r="O246" s="1147">
        <v>0</v>
      </c>
      <c r="P246" s="450">
        <f>TRUNC(일위대가목록!J60,0)</f>
        <v>0</v>
      </c>
      <c r="Q246" s="450">
        <f t="shared" si="33"/>
        <v>0</v>
      </c>
      <c r="R246" s="1147">
        <v>52580</v>
      </c>
      <c r="S246" s="1147">
        <v>13723380</v>
      </c>
      <c r="T246" s="450">
        <f t="shared" si="34"/>
        <v>47501</v>
      </c>
      <c r="U246" s="450">
        <f t="shared" si="35"/>
        <v>12397761</v>
      </c>
      <c r="V246" s="454" t="str">
        <f>일위대가목록!M60</f>
        <v>호표 57</v>
      </c>
      <c r="W246" s="448" t="s">
        <v>306</v>
      </c>
      <c r="X246" s="448" t="s">
        <v>51</v>
      </c>
      <c r="Y246" s="448" t="s">
        <v>51</v>
      </c>
      <c r="Z246" s="448" t="s">
        <v>298</v>
      </c>
      <c r="AA246" s="448" t="s">
        <v>61</v>
      </c>
      <c r="AB246" s="448" t="s">
        <v>62</v>
      </c>
      <c r="AC246" s="448" t="s">
        <v>62</v>
      </c>
      <c r="AD246" s="447"/>
      <c r="AE246" s="447"/>
      <c r="AF246" s="447"/>
      <c r="AG246" s="447"/>
      <c r="AH246" s="447"/>
      <c r="AI246" s="447"/>
      <c r="AJ246" s="447"/>
      <c r="AK246" s="447"/>
      <c r="AL246" s="447"/>
      <c r="AM246" s="447"/>
      <c r="AN246" s="447"/>
      <c r="AO246" s="447"/>
      <c r="AP246" s="447"/>
      <c r="AQ246" s="447"/>
      <c r="AR246" s="447"/>
      <c r="AS246" s="447"/>
      <c r="AT246" s="447"/>
      <c r="AU246" s="447"/>
      <c r="AV246" s="447"/>
      <c r="AW246" s="447"/>
      <c r="AX246" s="447"/>
      <c r="AY246" s="447"/>
      <c r="AZ246" s="447"/>
      <c r="BA246" s="448" t="s">
        <v>51</v>
      </c>
      <c r="BB246" s="448" t="s">
        <v>51</v>
      </c>
      <c r="BC246" s="447"/>
      <c r="BD246" s="448" t="s">
        <v>307</v>
      </c>
      <c r="BE246" s="447">
        <v>505</v>
      </c>
    </row>
    <row r="247" spans="1:57" ht="30" customHeight="1">
      <c r="A247" s="444"/>
      <c r="B247" s="444"/>
      <c r="C247" s="444"/>
      <c r="D247" s="1133"/>
      <c r="E247" s="445"/>
      <c r="F247" s="1146"/>
      <c r="G247" s="1146"/>
      <c r="H247" s="444"/>
      <c r="I247" s="444"/>
      <c r="J247" s="1146"/>
      <c r="K247" s="1146"/>
      <c r="L247" s="444"/>
      <c r="M247" s="444"/>
      <c r="N247" s="1146"/>
      <c r="O247" s="1147">
        <v>0</v>
      </c>
      <c r="P247" s="444"/>
      <c r="Q247" s="450">
        <f>TRUNC(P247*E247, 0)</f>
        <v>0</v>
      </c>
      <c r="R247" s="1147">
        <v>0</v>
      </c>
      <c r="S247" s="1147">
        <v>0</v>
      </c>
      <c r="T247" s="450">
        <f t="shared" ref="T247" si="36">TRUNC(H247+L247+P247, 0)</f>
        <v>0</v>
      </c>
      <c r="U247" s="450">
        <f t="shared" ref="U247" si="37">TRUNC(I247+M247+Q247, 0)</f>
        <v>0</v>
      </c>
      <c r="V247" s="446"/>
    </row>
    <row r="248" spans="1:57" ht="30" customHeight="1">
      <c r="A248" s="469"/>
      <c r="B248" s="464"/>
      <c r="C248" s="461"/>
      <c r="D248" s="1133"/>
      <c r="E248" s="445"/>
      <c r="F248" s="1146"/>
      <c r="G248" s="1146"/>
      <c r="H248" s="444"/>
      <c r="I248" s="444"/>
      <c r="J248" s="1146"/>
      <c r="K248" s="1146"/>
      <c r="L248" s="444"/>
      <c r="M248" s="444"/>
      <c r="N248" s="1146"/>
      <c r="O248" s="1146"/>
      <c r="P248" s="444"/>
      <c r="Q248" s="444"/>
      <c r="R248" s="1146"/>
      <c r="S248" s="1146"/>
      <c r="T248" s="444"/>
      <c r="U248" s="444"/>
      <c r="V248" s="446"/>
    </row>
    <row r="249" spans="1:57" ht="30" customHeight="1">
      <c r="A249" s="469"/>
      <c r="B249" s="464"/>
      <c r="C249" s="461"/>
      <c r="D249" s="1133"/>
      <c r="E249" s="445"/>
      <c r="F249" s="1146"/>
      <c r="G249" s="1146"/>
      <c r="H249" s="444"/>
      <c r="I249" s="444"/>
      <c r="J249" s="1146"/>
      <c r="K249" s="1146"/>
      <c r="L249" s="444"/>
      <c r="M249" s="444"/>
      <c r="N249" s="1146"/>
      <c r="O249" s="1146"/>
      <c r="P249" s="444"/>
      <c r="Q249" s="444"/>
      <c r="R249" s="1146"/>
      <c r="S249" s="1146"/>
      <c r="T249" s="444"/>
      <c r="U249" s="444"/>
      <c r="V249" s="446"/>
    </row>
    <row r="250" spans="1:57" ht="30" customHeight="1">
      <c r="A250" s="469"/>
      <c r="B250" s="464"/>
      <c r="C250" s="461"/>
      <c r="D250" s="1133"/>
      <c r="E250" s="445"/>
      <c r="F250" s="1146"/>
      <c r="G250" s="1146"/>
      <c r="H250" s="444"/>
      <c r="I250" s="444"/>
      <c r="J250" s="1146"/>
      <c r="K250" s="1146"/>
      <c r="L250" s="444"/>
      <c r="M250" s="444"/>
      <c r="N250" s="1146"/>
      <c r="O250" s="1146"/>
      <c r="P250" s="444"/>
      <c r="Q250" s="444"/>
      <c r="R250" s="1146"/>
      <c r="S250" s="1146"/>
      <c r="T250" s="444"/>
      <c r="U250" s="444"/>
      <c r="V250" s="446"/>
    </row>
    <row r="251" spans="1:57" ht="30" customHeight="1">
      <c r="A251" s="469"/>
      <c r="B251" s="464"/>
      <c r="C251" s="461"/>
      <c r="D251" s="1133"/>
      <c r="E251" s="445"/>
      <c r="F251" s="1146"/>
      <c r="G251" s="1146"/>
      <c r="H251" s="444"/>
      <c r="I251" s="444"/>
      <c r="J251" s="1146"/>
      <c r="K251" s="1146"/>
      <c r="L251" s="444"/>
      <c r="M251" s="444"/>
      <c r="N251" s="1146"/>
      <c r="O251" s="1146"/>
      <c r="P251" s="444"/>
      <c r="Q251" s="444"/>
      <c r="R251" s="1146"/>
      <c r="S251" s="1146"/>
      <c r="T251" s="444"/>
      <c r="U251" s="444"/>
      <c r="V251" s="446"/>
    </row>
    <row r="252" spans="1:57" ht="30" customHeight="1">
      <c r="A252" s="469"/>
      <c r="B252" s="464"/>
      <c r="C252" s="461"/>
      <c r="D252" s="1133"/>
      <c r="E252" s="445"/>
      <c r="F252" s="1146"/>
      <c r="G252" s="1146"/>
      <c r="H252" s="444"/>
      <c r="I252" s="444"/>
      <c r="J252" s="1146"/>
      <c r="K252" s="1146"/>
      <c r="L252" s="444"/>
      <c r="M252" s="444"/>
      <c r="N252" s="1146"/>
      <c r="O252" s="1146"/>
      <c r="P252" s="444"/>
      <c r="Q252" s="444"/>
      <c r="R252" s="1146"/>
      <c r="S252" s="1146"/>
      <c r="T252" s="444"/>
      <c r="U252" s="444"/>
      <c r="V252" s="446"/>
    </row>
    <row r="253" spans="1:57" ht="30" customHeight="1">
      <c r="A253" s="444"/>
      <c r="B253" s="444"/>
      <c r="C253" s="444"/>
      <c r="D253" s="1133"/>
      <c r="E253" s="445"/>
      <c r="F253" s="1146"/>
      <c r="G253" s="1146"/>
      <c r="H253" s="444"/>
      <c r="I253" s="444"/>
      <c r="J253" s="1146"/>
      <c r="K253" s="1146"/>
      <c r="L253" s="444"/>
      <c r="M253" s="444"/>
      <c r="N253" s="1146"/>
      <c r="O253" s="1146"/>
      <c r="P253" s="444"/>
      <c r="Q253" s="444"/>
      <c r="R253" s="1146"/>
      <c r="S253" s="1146"/>
      <c r="T253" s="444"/>
      <c r="U253" s="444"/>
      <c r="V253" s="446"/>
    </row>
    <row r="254" spans="1:57" ht="30" customHeight="1">
      <c r="A254" s="444"/>
      <c r="B254" s="444"/>
      <c r="C254" s="444"/>
      <c r="D254" s="1133"/>
      <c r="E254" s="445"/>
      <c r="F254" s="1146"/>
      <c r="G254" s="1146"/>
      <c r="H254" s="444"/>
      <c r="I254" s="444"/>
      <c r="J254" s="1146"/>
      <c r="K254" s="1146"/>
      <c r="L254" s="444"/>
      <c r="M254" s="444"/>
      <c r="N254" s="1146"/>
      <c r="O254" s="1146"/>
      <c r="P254" s="444"/>
      <c r="Q254" s="444"/>
      <c r="R254" s="1146"/>
      <c r="S254" s="1146"/>
      <c r="T254" s="444"/>
      <c r="U254" s="444"/>
      <c r="V254" s="446"/>
    </row>
    <row r="255" spans="1:57" ht="30" customHeight="1">
      <c r="A255" s="444"/>
      <c r="B255" s="444"/>
      <c r="C255" s="444"/>
      <c r="D255" s="1133"/>
      <c r="E255" s="445"/>
      <c r="F255" s="1146"/>
      <c r="G255" s="1146"/>
      <c r="H255" s="444"/>
      <c r="I255" s="444"/>
      <c r="J255" s="1146"/>
      <c r="K255" s="1146"/>
      <c r="L255" s="444"/>
      <c r="M255" s="444"/>
      <c r="N255" s="1146"/>
      <c r="O255" s="1146"/>
      <c r="P255" s="444"/>
      <c r="Q255" s="444"/>
      <c r="R255" s="1146"/>
      <c r="S255" s="1146"/>
      <c r="T255" s="444"/>
      <c r="U255" s="444"/>
      <c r="V255" s="446"/>
    </row>
    <row r="256" spans="1:57" ht="30" customHeight="1">
      <c r="A256" s="443" t="s">
        <v>85</v>
      </c>
      <c r="B256" s="444"/>
      <c r="C256" s="444"/>
      <c r="D256" s="1133"/>
      <c r="E256" s="445"/>
      <c r="F256" s="1146"/>
      <c r="G256" s="1147">
        <v>13874478.18</v>
      </c>
      <c r="H256" s="444"/>
      <c r="I256" s="450">
        <f>SUM(I235:I255)</f>
        <v>14705767.300000001</v>
      </c>
      <c r="J256" s="1146"/>
      <c r="K256" s="1147">
        <v>10736638.540000001</v>
      </c>
      <c r="L256" s="444"/>
      <c r="M256" s="450">
        <f>SUM(M235:M255)</f>
        <v>8315920.0999999996</v>
      </c>
      <c r="N256" s="1146"/>
      <c r="O256" s="1147">
        <v>82650.679999999993</v>
      </c>
      <c r="P256" s="444"/>
      <c r="Q256" s="450">
        <f>SUM(Q235:Q255)</f>
        <v>82650.679999999993</v>
      </c>
      <c r="R256" s="1146"/>
      <c r="S256" s="1147">
        <v>24693767.399999999</v>
      </c>
      <c r="T256" s="444"/>
      <c r="U256" s="450">
        <f>SUM(U235:U255)</f>
        <v>23104338.079999998</v>
      </c>
      <c r="V256" s="446"/>
      <c r="W256" s="449" t="s">
        <v>86</v>
      </c>
    </row>
    <row r="257" spans="1:57" ht="30" customHeight="1">
      <c r="A257" s="443" t="s">
        <v>4761</v>
      </c>
      <c r="B257" s="444"/>
      <c r="C257" s="444"/>
      <c r="D257" s="1133"/>
      <c r="E257" s="445"/>
      <c r="F257" s="1146"/>
      <c r="G257" s="1146"/>
      <c r="H257" s="444"/>
      <c r="I257" s="444"/>
      <c r="J257" s="1146"/>
      <c r="K257" s="1146"/>
      <c r="L257" s="444"/>
      <c r="M257" s="444"/>
      <c r="N257" s="1146"/>
      <c r="O257" s="1146"/>
      <c r="P257" s="444"/>
      <c r="Q257" s="444"/>
      <c r="R257" s="1146"/>
      <c r="S257" s="1146"/>
      <c r="T257" s="444"/>
      <c r="U257" s="444"/>
      <c r="V257" s="446"/>
      <c r="W257" s="447"/>
      <c r="X257" s="447"/>
      <c r="Y257" s="447"/>
      <c r="Z257" s="448" t="s">
        <v>308</v>
      </c>
      <c r="AA257" s="447"/>
      <c r="AB257" s="447"/>
      <c r="AC257" s="447"/>
      <c r="AD257" s="447"/>
      <c r="AE257" s="447"/>
      <c r="AF257" s="447"/>
      <c r="AG257" s="447"/>
      <c r="AH257" s="447"/>
      <c r="AI257" s="447"/>
      <c r="AJ257" s="447"/>
      <c r="AK257" s="447"/>
      <c r="AL257" s="447"/>
      <c r="AM257" s="447"/>
      <c r="AN257" s="447"/>
      <c r="AO257" s="447"/>
      <c r="AP257" s="447"/>
      <c r="AQ257" s="447"/>
      <c r="AR257" s="447"/>
      <c r="AS257" s="447"/>
      <c r="AT257" s="447"/>
      <c r="AU257" s="447"/>
      <c r="AV257" s="447"/>
      <c r="AW257" s="447"/>
      <c r="AX257" s="447"/>
      <c r="AY257" s="447"/>
      <c r="AZ257" s="447"/>
      <c r="BA257" s="447"/>
      <c r="BB257" s="447"/>
      <c r="BC257" s="447"/>
      <c r="BD257" s="447"/>
      <c r="BE257" s="447"/>
    </row>
    <row r="258" spans="1:57" ht="30" customHeight="1">
      <c r="A258" s="443" t="s">
        <v>309</v>
      </c>
      <c r="B258" s="443" t="s">
        <v>310</v>
      </c>
      <c r="C258" s="443" t="s">
        <v>59</v>
      </c>
      <c r="D258" s="1133">
        <v>88.53</v>
      </c>
      <c r="E258" s="445">
        <f>'1층전시실산출'!H277</f>
        <v>88.53</v>
      </c>
      <c r="F258" s="1147">
        <v>17332</v>
      </c>
      <c r="G258" s="1147">
        <v>1534401.96</v>
      </c>
      <c r="H258" s="450">
        <f>TRUNC(일위대가목록!F61,0)</f>
        <v>17332</v>
      </c>
      <c r="I258" s="450">
        <f>E258*H258</f>
        <v>1534401.96</v>
      </c>
      <c r="J258" s="1147">
        <v>81255</v>
      </c>
      <c r="K258" s="1147">
        <v>7193505.1500000004</v>
      </c>
      <c r="L258" s="450">
        <f>TRUNC(일위대가목록!H61,0)</f>
        <v>81255</v>
      </c>
      <c r="M258" s="450">
        <f>E258*L258</f>
        <v>7193505.1500000004</v>
      </c>
      <c r="N258" s="1147">
        <v>0</v>
      </c>
      <c r="O258" s="1147">
        <v>0</v>
      </c>
      <c r="P258" s="450">
        <f>TRUNC(일위대가목록!J61,0)</f>
        <v>0</v>
      </c>
      <c r="Q258" s="450">
        <f>E258*P258</f>
        <v>0</v>
      </c>
      <c r="R258" s="1147">
        <v>98587</v>
      </c>
      <c r="S258" s="1147">
        <v>8727907.1099999994</v>
      </c>
      <c r="T258" s="450">
        <f t="shared" ref="T258:T261" si="38">H258+L258+P258</f>
        <v>98587</v>
      </c>
      <c r="U258" s="450">
        <f t="shared" ref="U258:U261" si="39">I258+M258+Q258</f>
        <v>8727907.1099999994</v>
      </c>
      <c r="V258" s="454" t="str">
        <f>일위대가목록!M61</f>
        <v>호표 58</v>
      </c>
      <c r="W258" s="448" t="s">
        <v>311</v>
      </c>
      <c r="X258" s="448" t="s">
        <v>51</v>
      </c>
      <c r="Y258" s="448" t="s">
        <v>51</v>
      </c>
      <c r="Z258" s="448" t="s">
        <v>308</v>
      </c>
      <c r="AA258" s="448" t="s">
        <v>61</v>
      </c>
      <c r="AB258" s="448" t="s">
        <v>62</v>
      </c>
      <c r="AC258" s="448" t="s">
        <v>62</v>
      </c>
      <c r="AD258" s="447"/>
      <c r="AE258" s="447"/>
      <c r="AF258" s="447"/>
      <c r="AG258" s="447"/>
      <c r="AH258" s="447"/>
      <c r="AI258" s="447"/>
      <c r="AJ258" s="447"/>
      <c r="AK258" s="447"/>
      <c r="AL258" s="447"/>
      <c r="AM258" s="447"/>
      <c r="AN258" s="447"/>
      <c r="AO258" s="447"/>
      <c r="AP258" s="447"/>
      <c r="AQ258" s="447"/>
      <c r="AR258" s="447"/>
      <c r="AS258" s="447"/>
      <c r="AT258" s="447"/>
      <c r="AU258" s="447"/>
      <c r="AV258" s="447"/>
      <c r="AW258" s="447"/>
      <c r="AX258" s="447"/>
      <c r="AY258" s="447"/>
      <c r="AZ258" s="447"/>
      <c r="BA258" s="448" t="s">
        <v>51</v>
      </c>
      <c r="BB258" s="448" t="s">
        <v>51</v>
      </c>
      <c r="BC258" s="447"/>
      <c r="BD258" s="448" t="s">
        <v>312</v>
      </c>
      <c r="BE258" s="447">
        <v>507</v>
      </c>
    </row>
    <row r="259" spans="1:57" ht="30" customHeight="1">
      <c r="A259" s="443" t="s">
        <v>2689</v>
      </c>
      <c r="B259" s="443" t="s">
        <v>2750</v>
      </c>
      <c r="C259" s="443" t="s">
        <v>59</v>
      </c>
      <c r="D259" s="1133">
        <v>88.53</v>
      </c>
      <c r="E259" s="445">
        <f>'1층전시실산출'!H278</f>
        <v>88.53</v>
      </c>
      <c r="F259" s="1147">
        <v>8120</v>
      </c>
      <c r="G259" s="1147">
        <v>718863.6</v>
      </c>
      <c r="H259" s="450">
        <f>TRUNC(일위대가목록!F62,0)</f>
        <v>8120</v>
      </c>
      <c r="I259" s="450">
        <f>E259*H259</f>
        <v>718863.6</v>
      </c>
      <c r="J259" s="1147">
        <v>26630</v>
      </c>
      <c r="K259" s="1147">
        <v>2357553.9</v>
      </c>
      <c r="L259" s="450">
        <f>TRUNC(일위대가목록!H62,0)</f>
        <v>26630</v>
      </c>
      <c r="M259" s="450">
        <f>E259*L259</f>
        <v>2357553.9</v>
      </c>
      <c r="N259" s="1147">
        <v>532</v>
      </c>
      <c r="O259" s="1147">
        <v>47097.96</v>
      </c>
      <c r="P259" s="450">
        <f>TRUNC(일위대가목록!J62,0)</f>
        <v>532</v>
      </c>
      <c r="Q259" s="450">
        <f>E259*P259</f>
        <v>47097.96</v>
      </c>
      <c r="R259" s="1147">
        <v>35282</v>
      </c>
      <c r="S259" s="1147">
        <v>3123515.46</v>
      </c>
      <c r="T259" s="450">
        <f t="shared" si="38"/>
        <v>35282</v>
      </c>
      <c r="U259" s="450">
        <f t="shared" si="39"/>
        <v>3123515.46</v>
      </c>
      <c r="V259" s="454" t="str">
        <f>일위대가목록!M62</f>
        <v>호표 59</v>
      </c>
      <c r="W259" s="448" t="s">
        <v>314</v>
      </c>
      <c r="X259" s="448" t="s">
        <v>51</v>
      </c>
      <c r="Y259" s="448" t="s">
        <v>51</v>
      </c>
      <c r="Z259" s="448" t="s">
        <v>308</v>
      </c>
      <c r="AA259" s="448" t="s">
        <v>61</v>
      </c>
      <c r="AB259" s="448" t="s">
        <v>62</v>
      </c>
      <c r="AC259" s="448" t="s">
        <v>62</v>
      </c>
      <c r="AD259" s="447"/>
      <c r="AE259" s="447"/>
      <c r="AF259" s="447"/>
      <c r="AG259" s="447"/>
      <c r="AH259" s="447"/>
      <c r="AI259" s="447"/>
      <c r="AJ259" s="447"/>
      <c r="AK259" s="447"/>
      <c r="AL259" s="447"/>
      <c r="AM259" s="447"/>
      <c r="AN259" s="447"/>
      <c r="AO259" s="447"/>
      <c r="AP259" s="447"/>
      <c r="AQ259" s="447"/>
      <c r="AR259" s="447"/>
      <c r="AS259" s="447"/>
      <c r="AT259" s="447"/>
      <c r="AU259" s="447"/>
      <c r="AV259" s="447"/>
      <c r="AW259" s="447"/>
      <c r="AX259" s="447"/>
      <c r="AY259" s="447"/>
      <c r="AZ259" s="447"/>
      <c r="BA259" s="448" t="s">
        <v>51</v>
      </c>
      <c r="BB259" s="448" t="s">
        <v>51</v>
      </c>
      <c r="BC259" s="447"/>
      <c r="BD259" s="448" t="s">
        <v>315</v>
      </c>
      <c r="BE259" s="447">
        <v>508</v>
      </c>
    </row>
    <row r="260" spans="1:57" s="475" customFormat="1" ht="30" customHeight="1">
      <c r="A260" s="443" t="s">
        <v>2689</v>
      </c>
      <c r="B260" s="443" t="s">
        <v>3444</v>
      </c>
      <c r="C260" s="443" t="s">
        <v>59</v>
      </c>
      <c r="D260" s="1133">
        <v>88.53</v>
      </c>
      <c r="E260" s="445">
        <f>'1층전시실산출'!H279</f>
        <v>88.53</v>
      </c>
      <c r="F260" s="1147">
        <v>46860</v>
      </c>
      <c r="G260" s="1147">
        <v>4148515.8000000003</v>
      </c>
      <c r="H260" s="450">
        <f>TRUNC(일위대가목록!F63,0)</f>
        <v>46860</v>
      </c>
      <c r="I260" s="450">
        <f>E260*H260</f>
        <v>4148515.8000000003</v>
      </c>
      <c r="J260" s="1147">
        <v>50003</v>
      </c>
      <c r="K260" s="1147">
        <v>4426765.59</v>
      </c>
      <c r="L260" s="450">
        <f>TRUNC(일위대가목록!H63,0)</f>
        <v>50003</v>
      </c>
      <c r="M260" s="450">
        <f>E260*L260</f>
        <v>4426765.59</v>
      </c>
      <c r="N260" s="1147">
        <v>0</v>
      </c>
      <c r="O260" s="1147">
        <v>0</v>
      </c>
      <c r="P260" s="450">
        <f>TRUNC(일위대가목록!J63,0)</f>
        <v>0</v>
      </c>
      <c r="Q260" s="450">
        <f>E260*P260</f>
        <v>0</v>
      </c>
      <c r="R260" s="1147">
        <v>96863</v>
      </c>
      <c r="S260" s="1147">
        <v>8575281.3900000006</v>
      </c>
      <c r="T260" s="450">
        <f t="shared" si="38"/>
        <v>96863</v>
      </c>
      <c r="U260" s="450">
        <f t="shared" si="39"/>
        <v>8575281.3900000006</v>
      </c>
      <c r="V260" s="454" t="str">
        <f>일위대가목록!M63</f>
        <v>호표 60</v>
      </c>
      <c r="W260" s="451" t="s">
        <v>316</v>
      </c>
      <c r="X260" s="451" t="s">
        <v>51</v>
      </c>
      <c r="Y260" s="451" t="s">
        <v>51</v>
      </c>
      <c r="Z260" s="451" t="s">
        <v>308</v>
      </c>
      <c r="AA260" s="451" t="s">
        <v>61</v>
      </c>
      <c r="AB260" s="451" t="s">
        <v>62</v>
      </c>
      <c r="AC260" s="451" t="s">
        <v>62</v>
      </c>
      <c r="AD260" s="474"/>
      <c r="AE260" s="474"/>
      <c r="AF260" s="474"/>
      <c r="AG260" s="474"/>
      <c r="AH260" s="474"/>
      <c r="AI260" s="474"/>
      <c r="AJ260" s="474"/>
      <c r="AK260" s="474"/>
      <c r="AL260" s="474"/>
      <c r="AM260" s="474"/>
      <c r="AN260" s="474"/>
      <c r="AO260" s="474"/>
      <c r="AP260" s="474"/>
      <c r="AQ260" s="474"/>
      <c r="AR260" s="474"/>
      <c r="AS260" s="474"/>
      <c r="AT260" s="474"/>
      <c r="AU260" s="474"/>
      <c r="AV260" s="474"/>
      <c r="AW260" s="474"/>
      <c r="AX260" s="474"/>
      <c r="AY260" s="474"/>
      <c r="AZ260" s="474"/>
      <c r="BA260" s="451" t="s">
        <v>51</v>
      </c>
      <c r="BB260" s="451" t="s">
        <v>51</v>
      </c>
      <c r="BC260" s="474"/>
      <c r="BD260" s="451" t="s">
        <v>317</v>
      </c>
      <c r="BE260" s="474">
        <v>509</v>
      </c>
    </row>
    <row r="261" spans="1:57" ht="30" customHeight="1">
      <c r="A261" s="443" t="s">
        <v>3722</v>
      </c>
      <c r="B261" s="443"/>
      <c r="C261" s="443" t="s">
        <v>59</v>
      </c>
      <c r="D261" s="1133">
        <v>88.53</v>
      </c>
      <c r="E261" s="445">
        <f>'1층전시실산출'!H280</f>
        <v>88.53</v>
      </c>
      <c r="F261" s="1147">
        <v>8530.1999999999989</v>
      </c>
      <c r="G261" s="1147">
        <v>755178.60599999991</v>
      </c>
      <c r="H261" s="450">
        <f>일위대가목록!F45</f>
        <v>8530.1999999999989</v>
      </c>
      <c r="I261" s="450">
        <f>E261*H261</f>
        <v>755178.60599999991</v>
      </c>
      <c r="J261" s="1147">
        <v>36448.800000000003</v>
      </c>
      <c r="K261" s="1147">
        <v>3226812.2640000004</v>
      </c>
      <c r="L261" s="450">
        <f>일위대가목록!H45</f>
        <v>36448.800000000003</v>
      </c>
      <c r="M261" s="450">
        <f>E261*L261</f>
        <v>3226812.2640000004</v>
      </c>
      <c r="N261" s="1146"/>
      <c r="O261" s="1147">
        <v>0</v>
      </c>
      <c r="P261" s="444"/>
      <c r="Q261" s="450">
        <f>E261*P261</f>
        <v>0</v>
      </c>
      <c r="R261" s="1147">
        <v>44979</v>
      </c>
      <c r="S261" s="1147">
        <v>3981990.87</v>
      </c>
      <c r="T261" s="450">
        <f t="shared" si="38"/>
        <v>44979</v>
      </c>
      <c r="U261" s="450">
        <f t="shared" si="39"/>
        <v>3981990.87</v>
      </c>
      <c r="V261" s="446" t="str">
        <f>일위대가목록!M45</f>
        <v>호표 42</v>
      </c>
    </row>
    <row r="262" spans="1:57" ht="30" customHeight="1">
      <c r="A262" s="444"/>
      <c r="B262" s="444"/>
      <c r="C262" s="444"/>
      <c r="D262" s="1133"/>
      <c r="E262" s="445"/>
      <c r="F262" s="1146"/>
      <c r="G262" s="1146"/>
      <c r="H262" s="444"/>
      <c r="I262" s="444"/>
      <c r="J262" s="1146"/>
      <c r="K262" s="1146"/>
      <c r="L262" s="444"/>
      <c r="M262" s="444"/>
      <c r="N262" s="1146"/>
      <c r="O262" s="1146"/>
      <c r="P262" s="444"/>
      <c r="Q262" s="444"/>
      <c r="R262" s="1146"/>
      <c r="S262" s="1146"/>
      <c r="T262" s="444"/>
      <c r="U262" s="444"/>
      <c r="V262" s="446"/>
    </row>
    <row r="263" spans="1:57" ht="30" customHeight="1">
      <c r="A263" s="469"/>
      <c r="B263" s="464"/>
      <c r="C263" s="461"/>
      <c r="D263" s="1133"/>
      <c r="E263" s="445"/>
      <c r="F263" s="1146"/>
      <c r="G263" s="1146"/>
      <c r="H263" s="444"/>
      <c r="I263" s="444"/>
      <c r="J263" s="1146"/>
      <c r="K263" s="1146"/>
      <c r="L263" s="444"/>
      <c r="M263" s="444"/>
      <c r="N263" s="1146"/>
      <c r="O263" s="1146"/>
      <c r="P263" s="444"/>
      <c r="Q263" s="444"/>
      <c r="R263" s="1146"/>
      <c r="S263" s="1146"/>
      <c r="T263" s="444"/>
      <c r="U263" s="444"/>
      <c r="V263" s="446"/>
    </row>
    <row r="264" spans="1:57" ht="30" customHeight="1">
      <c r="A264" s="469"/>
      <c r="B264" s="464"/>
      <c r="C264" s="461"/>
      <c r="D264" s="1133"/>
      <c r="E264" s="445"/>
      <c r="F264" s="1146"/>
      <c r="G264" s="1146"/>
      <c r="H264" s="444"/>
      <c r="I264" s="444"/>
      <c r="J264" s="1146"/>
      <c r="K264" s="1146"/>
      <c r="L264" s="444"/>
      <c r="M264" s="444"/>
      <c r="N264" s="1146"/>
      <c r="O264" s="1146"/>
      <c r="P264" s="444"/>
      <c r="Q264" s="444"/>
      <c r="R264" s="1146"/>
      <c r="S264" s="1146"/>
      <c r="T264" s="444"/>
      <c r="U264" s="444"/>
      <c r="V264" s="446"/>
    </row>
    <row r="265" spans="1:57" ht="30" customHeight="1">
      <c r="A265" s="469"/>
      <c r="B265" s="464"/>
      <c r="C265" s="461"/>
      <c r="D265" s="1133"/>
      <c r="E265" s="445"/>
      <c r="F265" s="1146"/>
      <c r="G265" s="1146"/>
      <c r="H265" s="444"/>
      <c r="I265" s="444"/>
      <c r="J265" s="1146"/>
      <c r="K265" s="1146"/>
      <c r="L265" s="444"/>
      <c r="M265" s="444"/>
      <c r="N265" s="1146"/>
      <c r="O265" s="1146"/>
      <c r="P265" s="444"/>
      <c r="Q265" s="444"/>
      <c r="R265" s="1146"/>
      <c r="S265" s="1146"/>
      <c r="T265" s="444"/>
      <c r="U265" s="444"/>
      <c r="V265" s="446"/>
    </row>
    <row r="266" spans="1:57" ht="30" customHeight="1">
      <c r="A266" s="469"/>
      <c r="B266" s="464"/>
      <c r="C266" s="461"/>
      <c r="D266" s="1133"/>
      <c r="E266" s="445"/>
      <c r="F266" s="1146"/>
      <c r="G266" s="1146"/>
      <c r="H266" s="444"/>
      <c r="I266" s="444"/>
      <c r="J266" s="1146"/>
      <c r="K266" s="1146"/>
      <c r="L266" s="444"/>
      <c r="M266" s="444"/>
      <c r="N266" s="1146"/>
      <c r="O266" s="1146"/>
      <c r="P266" s="444"/>
      <c r="Q266" s="444"/>
      <c r="R266" s="1146"/>
      <c r="S266" s="1146"/>
      <c r="T266" s="444"/>
      <c r="U266" s="444"/>
      <c r="V266" s="446"/>
    </row>
    <row r="267" spans="1:57" ht="30" customHeight="1">
      <c r="A267" s="444"/>
      <c r="B267" s="444"/>
      <c r="C267" s="444"/>
      <c r="D267" s="1133"/>
      <c r="E267" s="445"/>
      <c r="F267" s="1146"/>
      <c r="G267" s="1146"/>
      <c r="H267" s="444"/>
      <c r="I267" s="444"/>
      <c r="J267" s="1146"/>
      <c r="K267" s="1146"/>
      <c r="L267" s="444"/>
      <c r="M267" s="444"/>
      <c r="N267" s="1146"/>
      <c r="O267" s="1146"/>
      <c r="P267" s="444"/>
      <c r="Q267" s="444"/>
      <c r="R267" s="1146"/>
      <c r="S267" s="1146"/>
      <c r="T267" s="444"/>
      <c r="U267" s="444"/>
      <c r="V267" s="446"/>
    </row>
    <row r="268" spans="1:57" ht="30" customHeight="1">
      <c r="A268" s="444"/>
      <c r="B268" s="444"/>
      <c r="C268" s="444"/>
      <c r="D268" s="1133"/>
      <c r="E268" s="445"/>
      <c r="F268" s="1146"/>
      <c r="G268" s="1146"/>
      <c r="H268" s="444"/>
      <c r="I268" s="444"/>
      <c r="J268" s="1146"/>
      <c r="K268" s="1146"/>
      <c r="L268" s="444"/>
      <c r="M268" s="444"/>
      <c r="N268" s="1146"/>
      <c r="O268" s="1146"/>
      <c r="P268" s="444"/>
      <c r="Q268" s="444"/>
      <c r="R268" s="1146"/>
      <c r="S268" s="1146"/>
      <c r="T268" s="444"/>
      <c r="U268" s="444"/>
      <c r="V268" s="446"/>
    </row>
    <row r="269" spans="1:57" ht="30" customHeight="1">
      <c r="A269" s="444"/>
      <c r="B269" s="444"/>
      <c r="C269" s="444"/>
      <c r="D269" s="1133"/>
      <c r="E269" s="445"/>
      <c r="F269" s="1146"/>
      <c r="G269" s="1146"/>
      <c r="H269" s="444"/>
      <c r="I269" s="444"/>
      <c r="J269" s="1146"/>
      <c r="K269" s="1146"/>
      <c r="L269" s="444"/>
      <c r="M269" s="444"/>
      <c r="N269" s="1146"/>
      <c r="O269" s="1146"/>
      <c r="P269" s="444"/>
      <c r="Q269" s="444"/>
      <c r="R269" s="1146"/>
      <c r="S269" s="1146"/>
      <c r="T269" s="444"/>
      <c r="U269" s="444"/>
      <c r="V269" s="446"/>
    </row>
    <row r="270" spans="1:57" ht="30" customHeight="1">
      <c r="A270" s="444"/>
      <c r="B270" s="444"/>
      <c r="C270" s="444"/>
      <c r="D270" s="1133"/>
      <c r="E270" s="445"/>
      <c r="F270" s="1146"/>
      <c r="G270" s="1146"/>
      <c r="H270" s="444"/>
      <c r="I270" s="444"/>
      <c r="J270" s="1146"/>
      <c r="K270" s="1146"/>
      <c r="L270" s="444"/>
      <c r="M270" s="444"/>
      <c r="N270" s="1146"/>
      <c r="O270" s="1146"/>
      <c r="P270" s="444"/>
      <c r="Q270" s="444"/>
      <c r="R270" s="1146"/>
      <c r="S270" s="1146"/>
      <c r="T270" s="444"/>
      <c r="U270" s="444"/>
      <c r="V270" s="446"/>
    </row>
    <row r="271" spans="1:57" ht="30" customHeight="1">
      <c r="A271" s="444"/>
      <c r="B271" s="444"/>
      <c r="C271" s="444"/>
      <c r="D271" s="1133"/>
      <c r="E271" s="445"/>
      <c r="F271" s="1146"/>
      <c r="G271" s="1146"/>
      <c r="H271" s="444"/>
      <c r="I271" s="444"/>
      <c r="J271" s="1146"/>
      <c r="K271" s="1146"/>
      <c r="L271" s="444"/>
      <c r="M271" s="444"/>
      <c r="N271" s="1146"/>
      <c r="O271" s="1146"/>
      <c r="P271" s="444"/>
      <c r="Q271" s="444"/>
      <c r="R271" s="1146"/>
      <c r="S271" s="1146"/>
      <c r="T271" s="444"/>
      <c r="U271" s="444"/>
      <c r="V271" s="446"/>
    </row>
    <row r="272" spans="1:57" ht="30" customHeight="1">
      <c r="A272" s="444"/>
      <c r="B272" s="444"/>
      <c r="C272" s="444"/>
      <c r="D272" s="1133"/>
      <c r="E272" s="445"/>
      <c r="F272" s="1146"/>
      <c r="G272" s="1146"/>
      <c r="H272" s="444"/>
      <c r="I272" s="444"/>
      <c r="J272" s="1146"/>
      <c r="K272" s="1146"/>
      <c r="L272" s="444"/>
      <c r="M272" s="444"/>
      <c r="N272" s="1146"/>
      <c r="O272" s="1146"/>
      <c r="P272" s="444"/>
      <c r="Q272" s="444"/>
      <c r="R272" s="1146"/>
      <c r="S272" s="1146"/>
      <c r="T272" s="444"/>
      <c r="U272" s="444"/>
      <c r="V272" s="446"/>
    </row>
    <row r="273" spans="1:57" ht="30" customHeight="1">
      <c r="A273" s="444"/>
      <c r="B273" s="444"/>
      <c r="C273" s="444"/>
      <c r="D273" s="1133"/>
      <c r="E273" s="445"/>
      <c r="F273" s="1146"/>
      <c r="G273" s="1146"/>
      <c r="H273" s="444"/>
      <c r="I273" s="444"/>
      <c r="J273" s="1146"/>
      <c r="K273" s="1146"/>
      <c r="L273" s="444"/>
      <c r="M273" s="444"/>
      <c r="N273" s="1146"/>
      <c r="O273" s="1146"/>
      <c r="P273" s="444"/>
      <c r="Q273" s="444"/>
      <c r="R273" s="1146"/>
      <c r="S273" s="1146"/>
      <c r="T273" s="444"/>
      <c r="U273" s="444"/>
      <c r="V273" s="446"/>
    </row>
    <row r="274" spans="1:57" ht="30" customHeight="1">
      <c r="A274" s="444"/>
      <c r="B274" s="444"/>
      <c r="C274" s="444"/>
      <c r="D274" s="1133"/>
      <c r="E274" s="445"/>
      <c r="F274" s="1146"/>
      <c r="G274" s="1146"/>
      <c r="H274" s="444"/>
      <c r="I274" s="444"/>
      <c r="J274" s="1146"/>
      <c r="K274" s="1146"/>
      <c r="L274" s="444"/>
      <c r="M274" s="444"/>
      <c r="N274" s="1146"/>
      <c r="O274" s="1146"/>
      <c r="P274" s="444"/>
      <c r="Q274" s="444"/>
      <c r="R274" s="1146"/>
      <c r="S274" s="1146"/>
      <c r="T274" s="444"/>
      <c r="U274" s="444"/>
      <c r="V274" s="446"/>
    </row>
    <row r="275" spans="1:57" ht="30" customHeight="1">
      <c r="A275" s="444"/>
      <c r="B275" s="444"/>
      <c r="C275" s="444"/>
      <c r="D275" s="1133"/>
      <c r="E275" s="445"/>
      <c r="F275" s="1146"/>
      <c r="G275" s="1146"/>
      <c r="H275" s="444"/>
      <c r="I275" s="444"/>
      <c r="J275" s="1146"/>
      <c r="K275" s="1146"/>
      <c r="L275" s="444"/>
      <c r="M275" s="444"/>
      <c r="N275" s="1146"/>
      <c r="O275" s="1146"/>
      <c r="P275" s="444"/>
      <c r="Q275" s="444"/>
      <c r="R275" s="1146"/>
      <c r="S275" s="1146"/>
      <c r="T275" s="444"/>
      <c r="U275" s="444"/>
      <c r="V275" s="446"/>
    </row>
    <row r="276" spans="1:57" ht="30" customHeight="1">
      <c r="A276" s="444"/>
      <c r="B276" s="444"/>
      <c r="C276" s="444"/>
      <c r="D276" s="1133"/>
      <c r="E276" s="445"/>
      <c r="F276" s="1146"/>
      <c r="G276" s="1146"/>
      <c r="H276" s="444"/>
      <c r="I276" s="444"/>
      <c r="J276" s="1146"/>
      <c r="K276" s="1146"/>
      <c r="L276" s="444"/>
      <c r="M276" s="444"/>
      <c r="N276" s="1146"/>
      <c r="O276" s="1146"/>
      <c r="P276" s="444"/>
      <c r="Q276" s="444"/>
      <c r="R276" s="1146"/>
      <c r="S276" s="1146"/>
      <c r="T276" s="444"/>
      <c r="U276" s="444"/>
      <c r="V276" s="446"/>
    </row>
    <row r="277" spans="1:57" ht="30" customHeight="1">
      <c r="A277" s="444"/>
      <c r="B277" s="444"/>
      <c r="C277" s="444"/>
      <c r="D277" s="1133"/>
      <c r="E277" s="445"/>
      <c r="F277" s="1146"/>
      <c r="G277" s="1146"/>
      <c r="H277" s="444"/>
      <c r="I277" s="444"/>
      <c r="J277" s="1146"/>
      <c r="K277" s="1146"/>
      <c r="L277" s="444"/>
      <c r="M277" s="444"/>
      <c r="N277" s="1146"/>
      <c r="O277" s="1146"/>
      <c r="P277" s="444"/>
      <c r="Q277" s="444"/>
      <c r="R277" s="1146"/>
      <c r="S277" s="1146"/>
      <c r="T277" s="444"/>
      <c r="U277" s="444"/>
      <c r="V277" s="446"/>
    </row>
    <row r="278" spans="1:57" ht="30" customHeight="1">
      <c r="A278" s="444"/>
      <c r="B278" s="444"/>
      <c r="C278" s="444"/>
      <c r="D278" s="1133"/>
      <c r="E278" s="445"/>
      <c r="F278" s="1146"/>
      <c r="G278" s="1146"/>
      <c r="H278" s="444"/>
      <c r="I278" s="444"/>
      <c r="J278" s="1146"/>
      <c r="K278" s="1146"/>
      <c r="L278" s="444"/>
      <c r="M278" s="444"/>
      <c r="N278" s="1146"/>
      <c r="O278" s="1146"/>
      <c r="P278" s="444"/>
      <c r="Q278" s="444"/>
      <c r="R278" s="1146"/>
      <c r="S278" s="1146"/>
      <c r="T278" s="444"/>
      <c r="U278" s="444"/>
      <c r="V278" s="446"/>
    </row>
    <row r="279" spans="1:57" ht="30" customHeight="1">
      <c r="A279" s="443" t="s">
        <v>85</v>
      </c>
      <c r="B279" s="444"/>
      <c r="C279" s="444"/>
      <c r="D279" s="1133"/>
      <c r="E279" s="445"/>
      <c r="F279" s="1146"/>
      <c r="G279" s="1147">
        <v>7156959.966</v>
      </c>
      <c r="H279" s="444"/>
      <c r="I279" s="450">
        <f>SUM(I258:I278)</f>
        <v>7156959.966</v>
      </c>
      <c r="J279" s="1146"/>
      <c r="K279" s="1147">
        <v>17204636.903999999</v>
      </c>
      <c r="L279" s="444"/>
      <c r="M279" s="450">
        <f>SUM(M258:M278)</f>
        <v>17204636.903999999</v>
      </c>
      <c r="N279" s="1146"/>
      <c r="O279" s="1147">
        <v>47097.96</v>
      </c>
      <c r="P279" s="444"/>
      <c r="Q279" s="450">
        <f>SUM(Q258:Q278)</f>
        <v>47097.96</v>
      </c>
      <c r="R279" s="1146"/>
      <c r="S279" s="1147">
        <v>24408694.830000002</v>
      </c>
      <c r="T279" s="444"/>
      <c r="U279" s="450">
        <f>SUM(U258:U278)</f>
        <v>24408694.830000002</v>
      </c>
      <c r="V279" s="446"/>
      <c r="W279" s="449" t="s">
        <v>86</v>
      </c>
    </row>
    <row r="280" spans="1:57" ht="30" customHeight="1">
      <c r="A280" s="443" t="s">
        <v>4762</v>
      </c>
      <c r="B280" s="444"/>
      <c r="C280" s="444"/>
      <c r="D280" s="1133"/>
      <c r="E280" s="445"/>
      <c r="F280" s="1146"/>
      <c r="G280" s="1146"/>
      <c r="H280" s="444"/>
      <c r="I280" s="444"/>
      <c r="J280" s="1146"/>
      <c r="K280" s="1146"/>
      <c r="L280" s="444"/>
      <c r="M280" s="444"/>
      <c r="N280" s="1146"/>
      <c r="O280" s="1146"/>
      <c r="P280" s="444"/>
      <c r="Q280" s="444"/>
      <c r="R280" s="1146"/>
      <c r="S280" s="1146"/>
      <c r="T280" s="444"/>
      <c r="U280" s="444"/>
      <c r="V280" s="446"/>
      <c r="W280" s="447"/>
      <c r="X280" s="447"/>
      <c r="Y280" s="447"/>
      <c r="Z280" s="448" t="s">
        <v>318</v>
      </c>
      <c r="AA280" s="447"/>
      <c r="AB280" s="447"/>
      <c r="AC280" s="447"/>
      <c r="AD280" s="447"/>
      <c r="AE280" s="447"/>
      <c r="AF280" s="447"/>
      <c r="AG280" s="447"/>
      <c r="AH280" s="447"/>
      <c r="AI280" s="447"/>
      <c r="AJ280" s="447"/>
      <c r="AK280" s="447"/>
      <c r="AL280" s="447"/>
      <c r="AM280" s="447"/>
      <c r="AN280" s="447"/>
      <c r="AO280" s="447"/>
      <c r="AP280" s="447"/>
      <c r="AQ280" s="447"/>
      <c r="AR280" s="447"/>
      <c r="AS280" s="447"/>
      <c r="AT280" s="447"/>
      <c r="AU280" s="447"/>
      <c r="AV280" s="447"/>
      <c r="AW280" s="447"/>
      <c r="AX280" s="447"/>
      <c r="AY280" s="447"/>
      <c r="AZ280" s="447"/>
      <c r="BA280" s="447"/>
      <c r="BB280" s="447"/>
      <c r="BC280" s="447"/>
      <c r="BD280" s="447"/>
      <c r="BE280" s="447"/>
    </row>
    <row r="281" spans="1:57" ht="30" customHeight="1">
      <c r="A281" s="443" t="s">
        <v>319</v>
      </c>
      <c r="B281" s="443" t="s">
        <v>320</v>
      </c>
      <c r="C281" s="443" t="s">
        <v>321</v>
      </c>
      <c r="D281" s="1133">
        <v>1</v>
      </c>
      <c r="E281" s="445">
        <f>'1층전시실산출'!H283</f>
        <v>1</v>
      </c>
      <c r="F281" s="1147">
        <v>3600000</v>
      </c>
      <c r="G281" s="1147">
        <v>3600000</v>
      </c>
      <c r="H281" s="450">
        <f>TRUNC(일위대가목록!F64,0)</f>
        <v>3600000</v>
      </c>
      <c r="I281" s="450">
        <f t="shared" ref="I281:I300" si="40">E281*H281</f>
        <v>3600000</v>
      </c>
      <c r="J281" s="1147">
        <v>1593540</v>
      </c>
      <c r="K281" s="1147">
        <v>1593540</v>
      </c>
      <c r="L281" s="450">
        <f>TRUNC(일위대가목록!H64,0)</f>
        <v>1593540</v>
      </c>
      <c r="M281" s="450">
        <f t="shared" ref="M281:M300" si="41">E281*L281</f>
        <v>1593540</v>
      </c>
      <c r="N281" s="1147">
        <v>0</v>
      </c>
      <c r="O281" s="1147">
        <v>0</v>
      </c>
      <c r="P281" s="450">
        <f>TRUNC(일위대가목록!J64,0)</f>
        <v>0</v>
      </c>
      <c r="Q281" s="450">
        <f t="shared" ref="Q281:Q300" si="42">E281*P281</f>
        <v>0</v>
      </c>
      <c r="R281" s="1147">
        <v>5193540</v>
      </c>
      <c r="S281" s="1147">
        <v>5193540</v>
      </c>
      <c r="T281" s="450">
        <f t="shared" ref="T281:T300" si="43">H281+L281+P281</f>
        <v>5193540</v>
      </c>
      <c r="U281" s="450">
        <f t="shared" ref="U281:U300" si="44">I281+M281+Q281</f>
        <v>5193540</v>
      </c>
      <c r="V281" s="454" t="str">
        <f>일위대가목록!M64</f>
        <v>호표 61</v>
      </c>
      <c r="W281" s="448" t="s">
        <v>322</v>
      </c>
      <c r="X281" s="448" t="s">
        <v>51</v>
      </c>
      <c r="Y281" s="448" t="s">
        <v>51</v>
      </c>
      <c r="Z281" s="448" t="s">
        <v>318</v>
      </c>
      <c r="AA281" s="448" t="s">
        <v>61</v>
      </c>
      <c r="AB281" s="448" t="s">
        <v>62</v>
      </c>
      <c r="AC281" s="448" t="s">
        <v>62</v>
      </c>
      <c r="AD281" s="447"/>
      <c r="AE281" s="447"/>
      <c r="AF281" s="447"/>
      <c r="AG281" s="447"/>
      <c r="AH281" s="447"/>
      <c r="AI281" s="447"/>
      <c r="AJ281" s="447"/>
      <c r="AK281" s="447"/>
      <c r="AL281" s="447"/>
      <c r="AM281" s="447"/>
      <c r="AN281" s="447"/>
      <c r="AO281" s="447"/>
      <c r="AP281" s="447"/>
      <c r="AQ281" s="447"/>
      <c r="AR281" s="447"/>
      <c r="AS281" s="447"/>
      <c r="AT281" s="447"/>
      <c r="AU281" s="447"/>
      <c r="AV281" s="447"/>
      <c r="AW281" s="447"/>
      <c r="AX281" s="447"/>
      <c r="AY281" s="447"/>
      <c r="AZ281" s="447"/>
      <c r="BA281" s="448" t="s">
        <v>51</v>
      </c>
      <c r="BB281" s="448" t="s">
        <v>51</v>
      </c>
      <c r="BC281" s="447"/>
      <c r="BD281" s="448" t="s">
        <v>323</v>
      </c>
      <c r="BE281" s="447">
        <v>236</v>
      </c>
    </row>
    <row r="282" spans="1:57" ht="30" customHeight="1">
      <c r="A282" s="443" t="s">
        <v>324</v>
      </c>
      <c r="B282" s="443" t="s">
        <v>325</v>
      </c>
      <c r="C282" s="443" t="s">
        <v>321</v>
      </c>
      <c r="D282" s="1133">
        <v>1</v>
      </c>
      <c r="E282" s="445">
        <f>'1층전시실산출'!H284</f>
        <v>1</v>
      </c>
      <c r="F282" s="1147">
        <v>3037500</v>
      </c>
      <c r="G282" s="1147">
        <v>3037500</v>
      </c>
      <c r="H282" s="450">
        <f>TRUNC(일위대가목록!F65,0)</f>
        <v>3037500</v>
      </c>
      <c r="I282" s="450">
        <f t="shared" si="40"/>
        <v>3037500</v>
      </c>
      <c r="J282" s="1147">
        <v>1266660</v>
      </c>
      <c r="K282" s="1147">
        <v>1266660</v>
      </c>
      <c r="L282" s="450">
        <f>TRUNC(일위대가목록!H65,0)</f>
        <v>1266660</v>
      </c>
      <c r="M282" s="450">
        <f t="shared" si="41"/>
        <v>1266660</v>
      </c>
      <c r="N282" s="1147">
        <v>0</v>
      </c>
      <c r="O282" s="1147">
        <v>0</v>
      </c>
      <c r="P282" s="450">
        <f>TRUNC(일위대가목록!J65,0)</f>
        <v>0</v>
      </c>
      <c r="Q282" s="450">
        <f t="shared" si="42"/>
        <v>0</v>
      </c>
      <c r="R282" s="1147">
        <v>4304160</v>
      </c>
      <c r="S282" s="1147">
        <v>4304160</v>
      </c>
      <c r="T282" s="450">
        <f t="shared" si="43"/>
        <v>4304160</v>
      </c>
      <c r="U282" s="450">
        <f t="shared" si="44"/>
        <v>4304160</v>
      </c>
      <c r="V282" s="454" t="str">
        <f>일위대가목록!M65</f>
        <v>호표 62</v>
      </c>
      <c r="W282" s="448" t="s">
        <v>326</v>
      </c>
      <c r="X282" s="448" t="s">
        <v>51</v>
      </c>
      <c r="Y282" s="448" t="s">
        <v>51</v>
      </c>
      <c r="Z282" s="448" t="s">
        <v>318</v>
      </c>
      <c r="AA282" s="448" t="s">
        <v>61</v>
      </c>
      <c r="AB282" s="448" t="s">
        <v>62</v>
      </c>
      <c r="AC282" s="448" t="s">
        <v>62</v>
      </c>
      <c r="AD282" s="447"/>
      <c r="AE282" s="447"/>
      <c r="AF282" s="447"/>
      <c r="AG282" s="447"/>
      <c r="AH282" s="447"/>
      <c r="AI282" s="447"/>
      <c r="AJ282" s="447"/>
      <c r="AK282" s="447"/>
      <c r="AL282" s="447"/>
      <c r="AM282" s="447"/>
      <c r="AN282" s="447"/>
      <c r="AO282" s="447"/>
      <c r="AP282" s="447"/>
      <c r="AQ282" s="447"/>
      <c r="AR282" s="447"/>
      <c r="AS282" s="447"/>
      <c r="AT282" s="447"/>
      <c r="AU282" s="447"/>
      <c r="AV282" s="447"/>
      <c r="AW282" s="447"/>
      <c r="AX282" s="447"/>
      <c r="AY282" s="447"/>
      <c r="AZ282" s="447"/>
      <c r="BA282" s="448" t="s">
        <v>51</v>
      </c>
      <c r="BB282" s="448" t="s">
        <v>51</v>
      </c>
      <c r="BC282" s="447"/>
      <c r="BD282" s="448" t="s">
        <v>327</v>
      </c>
      <c r="BE282" s="447">
        <v>237</v>
      </c>
    </row>
    <row r="283" spans="1:57" ht="30" customHeight="1">
      <c r="A283" s="443" t="s">
        <v>328</v>
      </c>
      <c r="B283" s="443" t="s">
        <v>329</v>
      </c>
      <c r="C283" s="443" t="s">
        <v>321</v>
      </c>
      <c r="D283" s="1133">
        <v>1</v>
      </c>
      <c r="E283" s="445">
        <f>'1층전시실산출'!H285</f>
        <v>1</v>
      </c>
      <c r="F283" s="1147">
        <v>1350000</v>
      </c>
      <c r="G283" s="1147">
        <v>1350000</v>
      </c>
      <c r="H283" s="450">
        <f>TRUNC(일위대가목록!F66,0)</f>
        <v>1350000</v>
      </c>
      <c r="I283" s="450">
        <f t="shared" si="40"/>
        <v>1350000</v>
      </c>
      <c r="J283" s="1147">
        <v>1012500</v>
      </c>
      <c r="K283" s="1147">
        <v>1012500</v>
      </c>
      <c r="L283" s="450">
        <f>TRUNC(일위대가목록!H66,0)</f>
        <v>1012500</v>
      </c>
      <c r="M283" s="450">
        <f t="shared" si="41"/>
        <v>1012500</v>
      </c>
      <c r="N283" s="1147">
        <v>0</v>
      </c>
      <c r="O283" s="1147">
        <v>0</v>
      </c>
      <c r="P283" s="450">
        <f>TRUNC(일위대가목록!J66,0)</f>
        <v>0</v>
      </c>
      <c r="Q283" s="450">
        <f t="shared" si="42"/>
        <v>0</v>
      </c>
      <c r="R283" s="1147">
        <v>2362500</v>
      </c>
      <c r="S283" s="1147">
        <v>2362500</v>
      </c>
      <c r="T283" s="450">
        <f t="shared" si="43"/>
        <v>2362500</v>
      </c>
      <c r="U283" s="450">
        <f t="shared" si="44"/>
        <v>2362500</v>
      </c>
      <c r="V283" s="454" t="str">
        <f>일위대가목록!M66</f>
        <v>호표 63</v>
      </c>
      <c r="W283" s="448" t="s">
        <v>330</v>
      </c>
      <c r="X283" s="448" t="s">
        <v>51</v>
      </c>
      <c r="Y283" s="448" t="s">
        <v>51</v>
      </c>
      <c r="Z283" s="448" t="s">
        <v>318</v>
      </c>
      <c r="AA283" s="448" t="s">
        <v>61</v>
      </c>
      <c r="AB283" s="448" t="s">
        <v>62</v>
      </c>
      <c r="AC283" s="448" t="s">
        <v>62</v>
      </c>
      <c r="AD283" s="447"/>
      <c r="AE283" s="447"/>
      <c r="AF283" s="447"/>
      <c r="AG283" s="447"/>
      <c r="AH283" s="447"/>
      <c r="AI283" s="447"/>
      <c r="AJ283" s="447"/>
      <c r="AK283" s="447"/>
      <c r="AL283" s="447"/>
      <c r="AM283" s="447"/>
      <c r="AN283" s="447"/>
      <c r="AO283" s="447"/>
      <c r="AP283" s="447"/>
      <c r="AQ283" s="447"/>
      <c r="AR283" s="447"/>
      <c r="AS283" s="447"/>
      <c r="AT283" s="447"/>
      <c r="AU283" s="447"/>
      <c r="AV283" s="447"/>
      <c r="AW283" s="447"/>
      <c r="AX283" s="447"/>
      <c r="AY283" s="447"/>
      <c r="AZ283" s="447"/>
      <c r="BA283" s="448" t="s">
        <v>51</v>
      </c>
      <c r="BB283" s="448" t="s">
        <v>51</v>
      </c>
      <c r="BC283" s="447"/>
      <c r="BD283" s="448" t="s">
        <v>331</v>
      </c>
      <c r="BE283" s="447">
        <v>238</v>
      </c>
    </row>
    <row r="284" spans="1:57" ht="30" customHeight="1">
      <c r="A284" s="443" t="s">
        <v>332</v>
      </c>
      <c r="B284" s="443" t="s">
        <v>333</v>
      </c>
      <c r="C284" s="443" t="s">
        <v>321</v>
      </c>
      <c r="D284" s="1133">
        <v>1</v>
      </c>
      <c r="E284" s="445">
        <f>'1층전시실산출'!H286</f>
        <v>1</v>
      </c>
      <c r="F284" s="1147">
        <v>4612500</v>
      </c>
      <c r="G284" s="1147">
        <v>4612500</v>
      </c>
      <c r="H284" s="450">
        <f>TRUNC(일위대가목록!F67,0)</f>
        <v>4612500</v>
      </c>
      <c r="I284" s="450">
        <f t="shared" si="40"/>
        <v>4612500</v>
      </c>
      <c r="J284" s="1147">
        <v>449460</v>
      </c>
      <c r="K284" s="1147">
        <v>449460</v>
      </c>
      <c r="L284" s="450">
        <f>TRUNC(일위대가목록!H67,0)</f>
        <v>449460</v>
      </c>
      <c r="M284" s="450">
        <f t="shared" si="41"/>
        <v>449460</v>
      </c>
      <c r="N284" s="1147">
        <v>0</v>
      </c>
      <c r="O284" s="1147">
        <v>0</v>
      </c>
      <c r="P284" s="450">
        <f>TRUNC(일위대가목록!J67,0)</f>
        <v>0</v>
      </c>
      <c r="Q284" s="450">
        <f t="shared" si="42"/>
        <v>0</v>
      </c>
      <c r="R284" s="1147">
        <v>5061960</v>
      </c>
      <c r="S284" s="1147">
        <v>5061960</v>
      </c>
      <c r="T284" s="450">
        <f t="shared" si="43"/>
        <v>5061960</v>
      </c>
      <c r="U284" s="450">
        <f t="shared" si="44"/>
        <v>5061960</v>
      </c>
      <c r="V284" s="454" t="str">
        <f>일위대가목록!M67</f>
        <v>호표 64</v>
      </c>
      <c r="W284" s="448" t="s">
        <v>334</v>
      </c>
      <c r="X284" s="448" t="s">
        <v>51</v>
      </c>
      <c r="Y284" s="448" t="s">
        <v>51</v>
      </c>
      <c r="Z284" s="448" t="s">
        <v>318</v>
      </c>
      <c r="AA284" s="448" t="s">
        <v>61</v>
      </c>
      <c r="AB284" s="448" t="s">
        <v>62</v>
      </c>
      <c r="AC284" s="448" t="s">
        <v>62</v>
      </c>
      <c r="AD284" s="447"/>
      <c r="AE284" s="447"/>
      <c r="AF284" s="447"/>
      <c r="AG284" s="447"/>
      <c r="AH284" s="447"/>
      <c r="AI284" s="447"/>
      <c r="AJ284" s="447"/>
      <c r="AK284" s="447"/>
      <c r="AL284" s="447"/>
      <c r="AM284" s="447"/>
      <c r="AN284" s="447"/>
      <c r="AO284" s="447"/>
      <c r="AP284" s="447"/>
      <c r="AQ284" s="447"/>
      <c r="AR284" s="447"/>
      <c r="AS284" s="447"/>
      <c r="AT284" s="447"/>
      <c r="AU284" s="447"/>
      <c r="AV284" s="447"/>
      <c r="AW284" s="447"/>
      <c r="AX284" s="447"/>
      <c r="AY284" s="447"/>
      <c r="AZ284" s="447"/>
      <c r="BA284" s="448" t="s">
        <v>51</v>
      </c>
      <c r="BB284" s="448" t="s">
        <v>51</v>
      </c>
      <c r="BC284" s="447"/>
      <c r="BD284" s="448" t="s">
        <v>335</v>
      </c>
      <c r="BE284" s="447">
        <v>239</v>
      </c>
    </row>
    <row r="285" spans="1:57" ht="30" customHeight="1">
      <c r="A285" s="443" t="s">
        <v>336</v>
      </c>
      <c r="B285" s="443" t="s">
        <v>320</v>
      </c>
      <c r="C285" s="443" t="s">
        <v>321</v>
      </c>
      <c r="D285" s="1133">
        <v>1</v>
      </c>
      <c r="E285" s="445">
        <f>'1층전시실산출'!H287</f>
        <v>1</v>
      </c>
      <c r="F285" s="1147">
        <v>3268800</v>
      </c>
      <c r="G285" s="1147">
        <v>3268800</v>
      </c>
      <c r="H285" s="450">
        <f>TRUNC(일위대가목록!F68,0)</f>
        <v>3268800</v>
      </c>
      <c r="I285" s="450">
        <f t="shared" si="40"/>
        <v>3268800</v>
      </c>
      <c r="J285" s="1147">
        <v>1676700</v>
      </c>
      <c r="K285" s="1147">
        <v>1676700</v>
      </c>
      <c r="L285" s="450">
        <f>TRUNC(일위대가목록!H68,0)</f>
        <v>1676700</v>
      </c>
      <c r="M285" s="450">
        <f t="shared" si="41"/>
        <v>1676700</v>
      </c>
      <c r="N285" s="1147">
        <v>0</v>
      </c>
      <c r="O285" s="1147">
        <v>0</v>
      </c>
      <c r="P285" s="450">
        <f>TRUNC(일위대가목록!J68,0)</f>
        <v>0</v>
      </c>
      <c r="Q285" s="450">
        <f t="shared" si="42"/>
        <v>0</v>
      </c>
      <c r="R285" s="1147">
        <v>4945500</v>
      </c>
      <c r="S285" s="1147">
        <v>4945500</v>
      </c>
      <c r="T285" s="450">
        <f t="shared" si="43"/>
        <v>4945500</v>
      </c>
      <c r="U285" s="450">
        <f t="shared" si="44"/>
        <v>4945500</v>
      </c>
      <c r="V285" s="454" t="str">
        <f>일위대가목록!M68</f>
        <v>호표 65</v>
      </c>
      <c r="W285" s="448" t="s">
        <v>337</v>
      </c>
      <c r="X285" s="448" t="s">
        <v>51</v>
      </c>
      <c r="Y285" s="448" t="s">
        <v>51</v>
      </c>
      <c r="Z285" s="448" t="s">
        <v>318</v>
      </c>
      <c r="AA285" s="448" t="s">
        <v>61</v>
      </c>
      <c r="AB285" s="448" t="s">
        <v>62</v>
      </c>
      <c r="AC285" s="448" t="s">
        <v>62</v>
      </c>
      <c r="AD285" s="447"/>
      <c r="AE285" s="447"/>
      <c r="AF285" s="447"/>
      <c r="AG285" s="447"/>
      <c r="AH285" s="447"/>
      <c r="AI285" s="447"/>
      <c r="AJ285" s="447"/>
      <c r="AK285" s="447"/>
      <c r="AL285" s="447"/>
      <c r="AM285" s="447"/>
      <c r="AN285" s="447"/>
      <c r="AO285" s="447"/>
      <c r="AP285" s="447"/>
      <c r="AQ285" s="447"/>
      <c r="AR285" s="447"/>
      <c r="AS285" s="447"/>
      <c r="AT285" s="447"/>
      <c r="AU285" s="447"/>
      <c r="AV285" s="447"/>
      <c r="AW285" s="447"/>
      <c r="AX285" s="447"/>
      <c r="AY285" s="447"/>
      <c r="AZ285" s="447"/>
      <c r="BA285" s="448" t="s">
        <v>51</v>
      </c>
      <c r="BB285" s="448" t="s">
        <v>51</v>
      </c>
      <c r="BC285" s="447"/>
      <c r="BD285" s="448" t="s">
        <v>338</v>
      </c>
      <c r="BE285" s="447">
        <v>241</v>
      </c>
    </row>
    <row r="286" spans="1:57" ht="30" customHeight="1">
      <c r="A286" s="443" t="s">
        <v>339</v>
      </c>
      <c r="B286" s="443" t="s">
        <v>333</v>
      </c>
      <c r="C286" s="443" t="s">
        <v>321</v>
      </c>
      <c r="D286" s="1133">
        <v>1</v>
      </c>
      <c r="E286" s="445">
        <f>'1층전시실산출'!H288</f>
        <v>1</v>
      </c>
      <c r="F286" s="1147">
        <v>4188150</v>
      </c>
      <c r="G286" s="1147">
        <v>4188150</v>
      </c>
      <c r="H286" s="450">
        <f>TRUNC(일위대가목록!F69,0)</f>
        <v>4188150</v>
      </c>
      <c r="I286" s="450">
        <f t="shared" si="40"/>
        <v>4188150</v>
      </c>
      <c r="J286" s="1147">
        <v>1341360</v>
      </c>
      <c r="K286" s="1147">
        <v>1341360</v>
      </c>
      <c r="L286" s="450">
        <f>TRUNC(일위대가목록!H69,0)</f>
        <v>1341360</v>
      </c>
      <c r="M286" s="450">
        <f t="shared" si="41"/>
        <v>1341360</v>
      </c>
      <c r="N286" s="1147">
        <v>0</v>
      </c>
      <c r="O286" s="1147">
        <v>0</v>
      </c>
      <c r="P286" s="450">
        <f>TRUNC(일위대가목록!J69,0)</f>
        <v>0</v>
      </c>
      <c r="Q286" s="450">
        <f t="shared" si="42"/>
        <v>0</v>
      </c>
      <c r="R286" s="1147">
        <v>5529510</v>
      </c>
      <c r="S286" s="1147">
        <v>5529510</v>
      </c>
      <c r="T286" s="450">
        <f t="shared" si="43"/>
        <v>5529510</v>
      </c>
      <c r="U286" s="450">
        <f t="shared" si="44"/>
        <v>5529510</v>
      </c>
      <c r="V286" s="454" t="str">
        <f>일위대가목록!M69</f>
        <v>호표 66</v>
      </c>
      <c r="W286" s="448" t="s">
        <v>340</v>
      </c>
      <c r="X286" s="448" t="s">
        <v>51</v>
      </c>
      <c r="Y286" s="448" t="s">
        <v>51</v>
      </c>
      <c r="Z286" s="448" t="s">
        <v>318</v>
      </c>
      <c r="AA286" s="448" t="s">
        <v>61</v>
      </c>
      <c r="AB286" s="448" t="s">
        <v>62</v>
      </c>
      <c r="AC286" s="448" t="s">
        <v>62</v>
      </c>
      <c r="AD286" s="447"/>
      <c r="AE286" s="447"/>
      <c r="AF286" s="447"/>
      <c r="AG286" s="447"/>
      <c r="AH286" s="447"/>
      <c r="AI286" s="447"/>
      <c r="AJ286" s="447"/>
      <c r="AK286" s="447"/>
      <c r="AL286" s="447"/>
      <c r="AM286" s="447"/>
      <c r="AN286" s="447"/>
      <c r="AO286" s="447"/>
      <c r="AP286" s="447"/>
      <c r="AQ286" s="447"/>
      <c r="AR286" s="447"/>
      <c r="AS286" s="447"/>
      <c r="AT286" s="447"/>
      <c r="AU286" s="447"/>
      <c r="AV286" s="447"/>
      <c r="AW286" s="447"/>
      <c r="AX286" s="447"/>
      <c r="AY286" s="447"/>
      <c r="AZ286" s="447"/>
      <c r="BA286" s="448" t="s">
        <v>51</v>
      </c>
      <c r="BB286" s="448" t="s">
        <v>51</v>
      </c>
      <c r="BC286" s="447"/>
      <c r="BD286" s="448" t="s">
        <v>341</v>
      </c>
      <c r="BE286" s="447">
        <v>242</v>
      </c>
    </row>
    <row r="287" spans="1:57" ht="30" customHeight="1">
      <c r="A287" s="443" t="s">
        <v>342</v>
      </c>
      <c r="B287" s="443" t="s">
        <v>343</v>
      </c>
      <c r="C287" s="443" t="s">
        <v>321</v>
      </c>
      <c r="D287" s="1133">
        <v>3</v>
      </c>
      <c r="E287" s="445">
        <f>'1층전시실산출'!H289</f>
        <v>3</v>
      </c>
      <c r="F287" s="1147">
        <v>550000</v>
      </c>
      <c r="G287" s="1147">
        <v>1650000</v>
      </c>
      <c r="H287" s="450">
        <f>TRUNC(일위대가목록!F70,0)</f>
        <v>550000</v>
      </c>
      <c r="I287" s="450">
        <f t="shared" si="40"/>
        <v>1650000</v>
      </c>
      <c r="J287" s="1147">
        <v>180000</v>
      </c>
      <c r="K287" s="1147">
        <v>540000</v>
      </c>
      <c r="L287" s="450">
        <f>TRUNC(일위대가목록!H70,0)</f>
        <v>180000</v>
      </c>
      <c r="M287" s="450">
        <f t="shared" si="41"/>
        <v>540000</v>
      </c>
      <c r="N287" s="1147">
        <v>0</v>
      </c>
      <c r="O287" s="1147">
        <v>0</v>
      </c>
      <c r="P287" s="450">
        <f>TRUNC(일위대가목록!J70,0)</f>
        <v>0</v>
      </c>
      <c r="Q287" s="450">
        <f t="shared" si="42"/>
        <v>0</v>
      </c>
      <c r="R287" s="1147">
        <v>730000</v>
      </c>
      <c r="S287" s="1147">
        <v>2190000</v>
      </c>
      <c r="T287" s="450">
        <f t="shared" si="43"/>
        <v>730000</v>
      </c>
      <c r="U287" s="450">
        <f t="shared" si="44"/>
        <v>2190000</v>
      </c>
      <c r="V287" s="454" t="str">
        <f>일위대가목록!M70</f>
        <v>호표 67</v>
      </c>
      <c r="W287" s="448" t="s">
        <v>344</v>
      </c>
      <c r="X287" s="448" t="s">
        <v>51</v>
      </c>
      <c r="Y287" s="448" t="s">
        <v>51</v>
      </c>
      <c r="Z287" s="448" t="s">
        <v>318</v>
      </c>
      <c r="AA287" s="448" t="s">
        <v>61</v>
      </c>
      <c r="AB287" s="448" t="s">
        <v>62</v>
      </c>
      <c r="AC287" s="448" t="s">
        <v>62</v>
      </c>
      <c r="AD287" s="447"/>
      <c r="AE287" s="447"/>
      <c r="AF287" s="447"/>
      <c r="AG287" s="447"/>
      <c r="AH287" s="447"/>
      <c r="AI287" s="447"/>
      <c r="AJ287" s="447"/>
      <c r="AK287" s="447"/>
      <c r="AL287" s="447"/>
      <c r="AM287" s="447"/>
      <c r="AN287" s="447"/>
      <c r="AO287" s="447"/>
      <c r="AP287" s="447"/>
      <c r="AQ287" s="447"/>
      <c r="AR287" s="447"/>
      <c r="AS287" s="447"/>
      <c r="AT287" s="447"/>
      <c r="AU287" s="447"/>
      <c r="AV287" s="447"/>
      <c r="AW287" s="447"/>
      <c r="AX287" s="447"/>
      <c r="AY287" s="447"/>
      <c r="AZ287" s="447"/>
      <c r="BA287" s="448" t="s">
        <v>51</v>
      </c>
      <c r="BB287" s="448" t="s">
        <v>51</v>
      </c>
      <c r="BC287" s="447"/>
      <c r="BD287" s="448" t="s">
        <v>345</v>
      </c>
      <c r="BE287" s="447">
        <v>244</v>
      </c>
    </row>
    <row r="288" spans="1:57" ht="30" customHeight="1">
      <c r="A288" s="443" t="s">
        <v>346</v>
      </c>
      <c r="B288" s="443" t="s">
        <v>343</v>
      </c>
      <c r="C288" s="443" t="s">
        <v>321</v>
      </c>
      <c r="D288" s="1133">
        <v>2</v>
      </c>
      <c r="E288" s="445">
        <f>'1층전시실산출'!H290</f>
        <v>2</v>
      </c>
      <c r="F288" s="1147">
        <v>495000</v>
      </c>
      <c r="G288" s="1147">
        <v>990000</v>
      </c>
      <c r="H288" s="450">
        <f>TRUNC(일위대가목록!F71,0)</f>
        <v>495000</v>
      </c>
      <c r="I288" s="450">
        <f t="shared" si="40"/>
        <v>990000</v>
      </c>
      <c r="J288" s="1147">
        <v>162000</v>
      </c>
      <c r="K288" s="1147">
        <v>324000</v>
      </c>
      <c r="L288" s="450">
        <f>TRUNC(일위대가목록!H71,0)</f>
        <v>162000</v>
      </c>
      <c r="M288" s="450">
        <f t="shared" si="41"/>
        <v>324000</v>
      </c>
      <c r="N288" s="1147">
        <v>0</v>
      </c>
      <c r="O288" s="1147">
        <v>0</v>
      </c>
      <c r="P288" s="450">
        <f>TRUNC(일위대가목록!J71,0)</f>
        <v>0</v>
      </c>
      <c r="Q288" s="450">
        <f t="shared" si="42"/>
        <v>0</v>
      </c>
      <c r="R288" s="1147">
        <v>657000</v>
      </c>
      <c r="S288" s="1147">
        <v>1314000</v>
      </c>
      <c r="T288" s="450">
        <f t="shared" si="43"/>
        <v>657000</v>
      </c>
      <c r="U288" s="450">
        <f t="shared" si="44"/>
        <v>1314000</v>
      </c>
      <c r="V288" s="454" t="str">
        <f>일위대가목록!M71</f>
        <v>호표 68</v>
      </c>
      <c r="W288" s="448" t="s">
        <v>347</v>
      </c>
      <c r="X288" s="448" t="s">
        <v>51</v>
      </c>
      <c r="Y288" s="448" t="s">
        <v>51</v>
      </c>
      <c r="Z288" s="448" t="s">
        <v>318</v>
      </c>
      <c r="AA288" s="448" t="s">
        <v>61</v>
      </c>
      <c r="AB288" s="448" t="s">
        <v>62</v>
      </c>
      <c r="AC288" s="448" t="s">
        <v>62</v>
      </c>
      <c r="AD288" s="447"/>
      <c r="AE288" s="447"/>
      <c r="AF288" s="447"/>
      <c r="AG288" s="447"/>
      <c r="AH288" s="447"/>
      <c r="AI288" s="447"/>
      <c r="AJ288" s="447"/>
      <c r="AK288" s="447"/>
      <c r="AL288" s="447"/>
      <c r="AM288" s="447"/>
      <c r="AN288" s="447"/>
      <c r="AO288" s="447"/>
      <c r="AP288" s="447"/>
      <c r="AQ288" s="447"/>
      <c r="AR288" s="447"/>
      <c r="AS288" s="447"/>
      <c r="AT288" s="447"/>
      <c r="AU288" s="447"/>
      <c r="AV288" s="447"/>
      <c r="AW288" s="447"/>
      <c r="AX288" s="447"/>
      <c r="AY288" s="447"/>
      <c r="AZ288" s="447"/>
      <c r="BA288" s="448" t="s">
        <v>51</v>
      </c>
      <c r="BB288" s="448" t="s">
        <v>51</v>
      </c>
      <c r="BC288" s="447"/>
      <c r="BD288" s="448" t="s">
        <v>348</v>
      </c>
      <c r="BE288" s="447">
        <v>246</v>
      </c>
    </row>
    <row r="289" spans="1:57" ht="30" customHeight="1">
      <c r="A289" s="443" t="s">
        <v>349</v>
      </c>
      <c r="B289" s="443" t="s">
        <v>350</v>
      </c>
      <c r="C289" s="443" t="s">
        <v>321</v>
      </c>
      <c r="D289" s="1133">
        <v>1</v>
      </c>
      <c r="E289" s="445">
        <f>'1층전시실산출'!H291</f>
        <v>1</v>
      </c>
      <c r="F289" s="1147">
        <v>453600</v>
      </c>
      <c r="G289" s="1147">
        <v>453600</v>
      </c>
      <c r="H289" s="450">
        <f>TRUNC(일위대가목록!F72,0)</f>
        <v>453600</v>
      </c>
      <c r="I289" s="450">
        <f t="shared" si="40"/>
        <v>453600</v>
      </c>
      <c r="J289" s="1147">
        <v>194400</v>
      </c>
      <c r="K289" s="1147">
        <v>194400</v>
      </c>
      <c r="L289" s="450">
        <f>TRUNC(일위대가목록!H72,0)</f>
        <v>194400</v>
      </c>
      <c r="M289" s="450">
        <f t="shared" si="41"/>
        <v>194400</v>
      </c>
      <c r="N289" s="1147">
        <v>0</v>
      </c>
      <c r="O289" s="1147">
        <v>0</v>
      </c>
      <c r="P289" s="450">
        <f>TRUNC(일위대가목록!J72,0)</f>
        <v>0</v>
      </c>
      <c r="Q289" s="450">
        <f t="shared" si="42"/>
        <v>0</v>
      </c>
      <c r="R289" s="1147">
        <v>648000</v>
      </c>
      <c r="S289" s="1147">
        <v>648000</v>
      </c>
      <c r="T289" s="450">
        <f t="shared" si="43"/>
        <v>648000</v>
      </c>
      <c r="U289" s="450">
        <f t="shared" si="44"/>
        <v>648000</v>
      </c>
      <c r="V289" s="454" t="str">
        <f>일위대가목록!M72</f>
        <v>호표 69</v>
      </c>
      <c r="W289" s="448" t="s">
        <v>351</v>
      </c>
      <c r="X289" s="448" t="s">
        <v>51</v>
      </c>
      <c r="Y289" s="448" t="s">
        <v>51</v>
      </c>
      <c r="Z289" s="448" t="s">
        <v>318</v>
      </c>
      <c r="AA289" s="448" t="s">
        <v>61</v>
      </c>
      <c r="AB289" s="448" t="s">
        <v>62</v>
      </c>
      <c r="AC289" s="448" t="s">
        <v>62</v>
      </c>
      <c r="AD289" s="447"/>
      <c r="AE289" s="447"/>
      <c r="AF289" s="447"/>
      <c r="AG289" s="447"/>
      <c r="AH289" s="447"/>
      <c r="AI289" s="447"/>
      <c r="AJ289" s="447"/>
      <c r="AK289" s="447"/>
      <c r="AL289" s="447"/>
      <c r="AM289" s="447"/>
      <c r="AN289" s="447"/>
      <c r="AO289" s="447"/>
      <c r="AP289" s="447"/>
      <c r="AQ289" s="447"/>
      <c r="AR289" s="447"/>
      <c r="AS289" s="447"/>
      <c r="AT289" s="447"/>
      <c r="AU289" s="447"/>
      <c r="AV289" s="447"/>
      <c r="AW289" s="447"/>
      <c r="AX289" s="447"/>
      <c r="AY289" s="447"/>
      <c r="AZ289" s="447"/>
      <c r="BA289" s="448" t="s">
        <v>51</v>
      </c>
      <c r="BB289" s="448" t="s">
        <v>51</v>
      </c>
      <c r="BC289" s="447"/>
      <c r="BD289" s="448" t="s">
        <v>352</v>
      </c>
      <c r="BE289" s="447">
        <v>510</v>
      </c>
    </row>
    <row r="290" spans="1:57" ht="30" customHeight="1">
      <c r="A290" s="443" t="s">
        <v>3583</v>
      </c>
      <c r="B290" s="443" t="s">
        <v>3585</v>
      </c>
      <c r="C290" s="443" t="s">
        <v>321</v>
      </c>
      <c r="D290" s="1133">
        <v>1</v>
      </c>
      <c r="E290" s="445">
        <f>'1층전시실산출'!H292</f>
        <v>1</v>
      </c>
      <c r="F290" s="1147">
        <v>475380</v>
      </c>
      <c r="G290" s="1147">
        <v>475380</v>
      </c>
      <c r="H290" s="450">
        <f>단가대비표!O552</f>
        <v>475380</v>
      </c>
      <c r="I290" s="450">
        <f t="shared" si="40"/>
        <v>475380</v>
      </c>
      <c r="J290" s="1147"/>
      <c r="K290" s="1147">
        <v>0</v>
      </c>
      <c r="L290" s="450"/>
      <c r="M290" s="450">
        <f t="shared" si="41"/>
        <v>0</v>
      </c>
      <c r="N290" s="1147"/>
      <c r="O290" s="1147">
        <v>0</v>
      </c>
      <c r="P290" s="450"/>
      <c r="Q290" s="450">
        <f t="shared" si="42"/>
        <v>0</v>
      </c>
      <c r="R290" s="1147">
        <v>475380</v>
      </c>
      <c r="S290" s="1147">
        <v>475380</v>
      </c>
      <c r="T290" s="450">
        <f t="shared" si="43"/>
        <v>475380</v>
      </c>
      <c r="U290" s="450">
        <f t="shared" si="44"/>
        <v>475380</v>
      </c>
      <c r="V290" s="454"/>
      <c r="W290" s="448" t="s">
        <v>354</v>
      </c>
      <c r="X290" s="448" t="s">
        <v>51</v>
      </c>
      <c r="Y290" s="448" t="s">
        <v>51</v>
      </c>
      <c r="Z290" s="448" t="s">
        <v>318</v>
      </c>
      <c r="AA290" s="448" t="s">
        <v>61</v>
      </c>
      <c r="AB290" s="448" t="s">
        <v>62</v>
      </c>
      <c r="AC290" s="448" t="s">
        <v>62</v>
      </c>
      <c r="AD290" s="447"/>
      <c r="AE290" s="447"/>
      <c r="AF290" s="447"/>
      <c r="AG290" s="447"/>
      <c r="AH290" s="447"/>
      <c r="AI290" s="447"/>
      <c r="AJ290" s="447"/>
      <c r="AK290" s="447"/>
      <c r="AL290" s="447"/>
      <c r="AM290" s="447"/>
      <c r="AN290" s="447"/>
      <c r="AO290" s="447"/>
      <c r="AP290" s="447"/>
      <c r="AQ290" s="447"/>
      <c r="AR290" s="447"/>
      <c r="AS290" s="447"/>
      <c r="AT290" s="447"/>
      <c r="AU290" s="447"/>
      <c r="AV290" s="447"/>
      <c r="AW290" s="447"/>
      <c r="AX290" s="447"/>
      <c r="AY290" s="447"/>
      <c r="AZ290" s="447"/>
      <c r="BA290" s="448" t="s">
        <v>51</v>
      </c>
      <c r="BB290" s="448" t="s">
        <v>51</v>
      </c>
      <c r="BC290" s="447"/>
      <c r="BD290" s="448" t="s">
        <v>355</v>
      </c>
      <c r="BE290" s="447">
        <v>247</v>
      </c>
    </row>
    <row r="291" spans="1:57" ht="30" customHeight="1">
      <c r="A291" s="443" t="s">
        <v>3584</v>
      </c>
      <c r="B291" s="443" t="s">
        <v>3683</v>
      </c>
      <c r="C291" s="443" t="s">
        <v>321</v>
      </c>
      <c r="D291" s="1133">
        <v>2</v>
      </c>
      <c r="E291" s="445">
        <f>'1층전시실산출'!H293</f>
        <v>2</v>
      </c>
      <c r="F291" s="1147">
        <v>1165500</v>
      </c>
      <c r="G291" s="1147">
        <v>2331000</v>
      </c>
      <c r="H291" s="450">
        <f>단가대비표!O553</f>
        <v>1165500</v>
      </c>
      <c r="I291" s="450">
        <f t="shared" si="40"/>
        <v>2331000</v>
      </c>
      <c r="J291" s="1147"/>
      <c r="K291" s="1147">
        <v>0</v>
      </c>
      <c r="L291" s="450"/>
      <c r="M291" s="450">
        <f t="shared" si="41"/>
        <v>0</v>
      </c>
      <c r="N291" s="1147"/>
      <c r="O291" s="1147">
        <v>0</v>
      </c>
      <c r="P291" s="450"/>
      <c r="Q291" s="450">
        <f t="shared" si="42"/>
        <v>0</v>
      </c>
      <c r="R291" s="1147">
        <v>1165500</v>
      </c>
      <c r="S291" s="1147">
        <v>2331000</v>
      </c>
      <c r="T291" s="450">
        <f t="shared" si="43"/>
        <v>1165500</v>
      </c>
      <c r="U291" s="450">
        <f t="shared" si="44"/>
        <v>2331000</v>
      </c>
      <c r="V291" s="454"/>
      <c r="W291" s="448" t="s">
        <v>357</v>
      </c>
      <c r="X291" s="448" t="s">
        <v>51</v>
      </c>
      <c r="Y291" s="448" t="s">
        <v>51</v>
      </c>
      <c r="Z291" s="448" t="s">
        <v>318</v>
      </c>
      <c r="AA291" s="448" t="s">
        <v>61</v>
      </c>
      <c r="AB291" s="448" t="s">
        <v>62</v>
      </c>
      <c r="AC291" s="448" t="s">
        <v>62</v>
      </c>
      <c r="AD291" s="447"/>
      <c r="AE291" s="447"/>
      <c r="AF291" s="447"/>
      <c r="AG291" s="447"/>
      <c r="AH291" s="447"/>
      <c r="AI291" s="447"/>
      <c r="AJ291" s="447"/>
      <c r="AK291" s="447"/>
      <c r="AL291" s="447"/>
      <c r="AM291" s="447"/>
      <c r="AN291" s="447"/>
      <c r="AO291" s="447"/>
      <c r="AP291" s="447"/>
      <c r="AQ291" s="447"/>
      <c r="AR291" s="447"/>
      <c r="AS291" s="447"/>
      <c r="AT291" s="447"/>
      <c r="AU291" s="447"/>
      <c r="AV291" s="447"/>
      <c r="AW291" s="447"/>
      <c r="AX291" s="447"/>
      <c r="AY291" s="447"/>
      <c r="AZ291" s="447"/>
      <c r="BA291" s="448" t="s">
        <v>51</v>
      </c>
      <c r="BB291" s="448" t="s">
        <v>51</v>
      </c>
      <c r="BC291" s="447"/>
      <c r="BD291" s="448" t="s">
        <v>358</v>
      </c>
      <c r="BE291" s="447">
        <v>248</v>
      </c>
    </row>
    <row r="292" spans="1:57" ht="30" customHeight="1">
      <c r="A292" s="443" t="s">
        <v>3473</v>
      </c>
      <c r="B292" s="443" t="s">
        <v>3475</v>
      </c>
      <c r="C292" s="443" t="s">
        <v>321</v>
      </c>
      <c r="D292" s="1133">
        <v>2</v>
      </c>
      <c r="E292" s="445">
        <f>'1층전시실산출'!H294</f>
        <v>2</v>
      </c>
      <c r="F292" s="1147">
        <v>2366400</v>
      </c>
      <c r="G292" s="1147">
        <v>4732800</v>
      </c>
      <c r="H292" s="450">
        <f>TRUNC(일위대가목록!F74,0)</f>
        <v>2366400</v>
      </c>
      <c r="I292" s="450">
        <f t="shared" si="40"/>
        <v>4732800</v>
      </c>
      <c r="J292" s="1147">
        <v>1555200</v>
      </c>
      <c r="K292" s="1147">
        <v>3110400</v>
      </c>
      <c r="L292" s="450">
        <f>TRUNC(일위대가목록!H74,0)</f>
        <v>1555200</v>
      </c>
      <c r="M292" s="450">
        <f t="shared" si="41"/>
        <v>3110400</v>
      </c>
      <c r="N292" s="1147">
        <v>0</v>
      </c>
      <c r="O292" s="1147">
        <v>0</v>
      </c>
      <c r="P292" s="450">
        <f>TRUNC(일위대가목록!J74,0)</f>
        <v>0</v>
      </c>
      <c r="Q292" s="450">
        <f t="shared" si="42"/>
        <v>0</v>
      </c>
      <c r="R292" s="1147">
        <v>3921600</v>
      </c>
      <c r="S292" s="1147">
        <v>7843200</v>
      </c>
      <c r="T292" s="450">
        <f t="shared" si="43"/>
        <v>3921600</v>
      </c>
      <c r="U292" s="450">
        <f t="shared" si="44"/>
        <v>7843200</v>
      </c>
      <c r="V292" s="454" t="str">
        <f>일위대가목록!M73</f>
        <v>호표 70</v>
      </c>
      <c r="W292" s="448" t="s">
        <v>360</v>
      </c>
      <c r="X292" s="448" t="s">
        <v>51</v>
      </c>
      <c r="Y292" s="448" t="s">
        <v>51</v>
      </c>
      <c r="Z292" s="448" t="s">
        <v>318</v>
      </c>
      <c r="AA292" s="448" t="s">
        <v>61</v>
      </c>
      <c r="AB292" s="448" t="s">
        <v>62</v>
      </c>
      <c r="AC292" s="448" t="s">
        <v>62</v>
      </c>
      <c r="AD292" s="447"/>
      <c r="AE292" s="447"/>
      <c r="AF292" s="447"/>
      <c r="AG292" s="447"/>
      <c r="AH292" s="447"/>
      <c r="AI292" s="447"/>
      <c r="AJ292" s="447"/>
      <c r="AK292" s="447"/>
      <c r="AL292" s="447"/>
      <c r="AM292" s="447"/>
      <c r="AN292" s="447"/>
      <c r="AO292" s="447"/>
      <c r="AP292" s="447"/>
      <c r="AQ292" s="447"/>
      <c r="AR292" s="447"/>
      <c r="AS292" s="447"/>
      <c r="AT292" s="447"/>
      <c r="AU292" s="447"/>
      <c r="AV292" s="447"/>
      <c r="AW292" s="447"/>
      <c r="AX292" s="447"/>
      <c r="AY292" s="447"/>
      <c r="AZ292" s="447"/>
      <c r="BA292" s="448" t="s">
        <v>51</v>
      </c>
      <c r="BB292" s="448" t="s">
        <v>51</v>
      </c>
      <c r="BC292" s="447"/>
      <c r="BD292" s="448" t="s">
        <v>361</v>
      </c>
      <c r="BE292" s="447">
        <v>249</v>
      </c>
    </row>
    <row r="293" spans="1:57" ht="30" customHeight="1">
      <c r="A293" s="443" t="s">
        <v>356</v>
      </c>
      <c r="B293" s="443" t="s">
        <v>3474</v>
      </c>
      <c r="C293" s="443" t="s">
        <v>321</v>
      </c>
      <c r="D293" s="1133">
        <v>1</v>
      </c>
      <c r="E293" s="445">
        <f>'1층전시실산출'!H295</f>
        <v>1</v>
      </c>
      <c r="F293" s="1147">
        <v>5875200</v>
      </c>
      <c r="G293" s="1147">
        <v>5875200</v>
      </c>
      <c r="H293" s="450">
        <f>TRUNC(일위대가목록!F75,0)</f>
        <v>5875200</v>
      </c>
      <c r="I293" s="450">
        <f t="shared" si="40"/>
        <v>5875200</v>
      </c>
      <c r="J293" s="1147">
        <v>1832500</v>
      </c>
      <c r="K293" s="1147">
        <v>1832500</v>
      </c>
      <c r="L293" s="450">
        <f>TRUNC(일위대가목록!H75,0)</f>
        <v>1832500</v>
      </c>
      <c r="M293" s="450">
        <f t="shared" si="41"/>
        <v>1832500</v>
      </c>
      <c r="N293" s="1147">
        <v>0</v>
      </c>
      <c r="O293" s="1147">
        <v>0</v>
      </c>
      <c r="P293" s="450">
        <f>TRUNC(일위대가목록!J75,0)</f>
        <v>0</v>
      </c>
      <c r="Q293" s="450">
        <f t="shared" si="42"/>
        <v>0</v>
      </c>
      <c r="R293" s="1147">
        <v>7707700</v>
      </c>
      <c r="S293" s="1147">
        <v>7707700</v>
      </c>
      <c r="T293" s="450">
        <f t="shared" si="43"/>
        <v>7707700</v>
      </c>
      <c r="U293" s="450">
        <f t="shared" si="44"/>
        <v>7707700</v>
      </c>
      <c r="V293" s="454" t="str">
        <f>일위대가목록!M74</f>
        <v>호표 71</v>
      </c>
      <c r="W293" s="448" t="s">
        <v>364</v>
      </c>
      <c r="X293" s="448" t="s">
        <v>51</v>
      </c>
      <c r="Y293" s="448" t="s">
        <v>51</v>
      </c>
      <c r="Z293" s="448" t="s">
        <v>318</v>
      </c>
      <c r="AA293" s="448" t="s">
        <v>61</v>
      </c>
      <c r="AB293" s="448" t="s">
        <v>62</v>
      </c>
      <c r="AC293" s="448" t="s">
        <v>62</v>
      </c>
      <c r="AD293" s="447"/>
      <c r="AE293" s="447"/>
      <c r="AF293" s="447"/>
      <c r="AG293" s="447"/>
      <c r="AH293" s="447"/>
      <c r="AI293" s="447"/>
      <c r="AJ293" s="447"/>
      <c r="AK293" s="447"/>
      <c r="AL293" s="447"/>
      <c r="AM293" s="447"/>
      <c r="AN293" s="447"/>
      <c r="AO293" s="447"/>
      <c r="AP293" s="447"/>
      <c r="AQ293" s="447"/>
      <c r="AR293" s="447"/>
      <c r="AS293" s="447"/>
      <c r="AT293" s="447"/>
      <c r="AU293" s="447"/>
      <c r="AV293" s="447"/>
      <c r="AW293" s="447"/>
      <c r="AX293" s="447"/>
      <c r="AY293" s="447"/>
      <c r="AZ293" s="447"/>
      <c r="BA293" s="448" t="s">
        <v>51</v>
      </c>
      <c r="BB293" s="448" t="s">
        <v>51</v>
      </c>
      <c r="BC293" s="447"/>
      <c r="BD293" s="448" t="s">
        <v>365</v>
      </c>
      <c r="BE293" s="447">
        <v>511</v>
      </c>
    </row>
    <row r="294" spans="1:57" ht="30" customHeight="1">
      <c r="A294" s="443" t="s">
        <v>359</v>
      </c>
      <c r="B294" s="443" t="s">
        <v>363</v>
      </c>
      <c r="C294" s="443" t="s">
        <v>321</v>
      </c>
      <c r="D294" s="1133">
        <v>4</v>
      </c>
      <c r="E294" s="445">
        <f>'1층전시실산출'!H296</f>
        <v>4</v>
      </c>
      <c r="F294" s="1147">
        <v>153000</v>
      </c>
      <c r="G294" s="1147">
        <v>612000</v>
      </c>
      <c r="H294" s="450">
        <f>TRUNC(일위대가목록!F76,0)</f>
        <v>153000</v>
      </c>
      <c r="I294" s="450">
        <f t="shared" si="40"/>
        <v>612000</v>
      </c>
      <c r="J294" s="1147">
        <v>162000</v>
      </c>
      <c r="K294" s="1147">
        <v>648000</v>
      </c>
      <c r="L294" s="450">
        <f>TRUNC(일위대가목록!H76,0)</f>
        <v>162000</v>
      </c>
      <c r="M294" s="450">
        <f t="shared" si="41"/>
        <v>648000</v>
      </c>
      <c r="N294" s="1147">
        <v>0</v>
      </c>
      <c r="O294" s="1147">
        <v>0</v>
      </c>
      <c r="P294" s="450">
        <f>TRUNC(일위대가목록!J76,0)</f>
        <v>0</v>
      </c>
      <c r="Q294" s="450">
        <f t="shared" si="42"/>
        <v>0</v>
      </c>
      <c r="R294" s="1147">
        <v>315000</v>
      </c>
      <c r="S294" s="1147">
        <v>1260000</v>
      </c>
      <c r="T294" s="450">
        <f t="shared" si="43"/>
        <v>315000</v>
      </c>
      <c r="U294" s="450">
        <f t="shared" si="44"/>
        <v>1260000</v>
      </c>
      <c r="V294" s="454" t="str">
        <f>일위대가목록!M75</f>
        <v>호표 72</v>
      </c>
      <c r="W294" s="448" t="s">
        <v>368</v>
      </c>
      <c r="X294" s="448" t="s">
        <v>51</v>
      </c>
      <c r="Y294" s="448" t="s">
        <v>51</v>
      </c>
      <c r="Z294" s="448" t="s">
        <v>318</v>
      </c>
      <c r="AA294" s="448" t="s">
        <v>61</v>
      </c>
      <c r="AB294" s="448" t="s">
        <v>62</v>
      </c>
      <c r="AC294" s="448" t="s">
        <v>62</v>
      </c>
      <c r="AD294" s="447"/>
      <c r="AE294" s="447"/>
      <c r="AF294" s="447"/>
      <c r="AG294" s="447"/>
      <c r="AH294" s="447"/>
      <c r="AI294" s="447"/>
      <c r="AJ294" s="447"/>
      <c r="AK294" s="447"/>
      <c r="AL294" s="447"/>
      <c r="AM294" s="447"/>
      <c r="AN294" s="447"/>
      <c r="AO294" s="447"/>
      <c r="AP294" s="447"/>
      <c r="AQ294" s="447"/>
      <c r="AR294" s="447"/>
      <c r="AS294" s="447"/>
      <c r="AT294" s="447"/>
      <c r="AU294" s="447"/>
      <c r="AV294" s="447"/>
      <c r="AW294" s="447"/>
      <c r="AX294" s="447"/>
      <c r="AY294" s="447"/>
      <c r="AZ294" s="447"/>
      <c r="BA294" s="448" t="s">
        <v>51</v>
      </c>
      <c r="BB294" s="448" t="s">
        <v>51</v>
      </c>
      <c r="BC294" s="447"/>
      <c r="BD294" s="448" t="s">
        <v>369</v>
      </c>
      <c r="BE294" s="447">
        <v>250</v>
      </c>
    </row>
    <row r="295" spans="1:57" ht="30" customHeight="1">
      <c r="A295" s="443" t="s">
        <v>366</v>
      </c>
      <c r="B295" s="443" t="s">
        <v>367</v>
      </c>
      <c r="C295" s="443" t="s">
        <v>321</v>
      </c>
      <c r="D295" s="1133">
        <v>1</v>
      </c>
      <c r="E295" s="445">
        <f>'1층전시실산출'!H297</f>
        <v>1</v>
      </c>
      <c r="F295" s="1147">
        <v>2692800</v>
      </c>
      <c r="G295" s="1147">
        <v>2692800</v>
      </c>
      <c r="H295" s="450">
        <f>TRUNC(일위대가목록!F77,0)</f>
        <v>2692800</v>
      </c>
      <c r="I295" s="450">
        <f t="shared" si="40"/>
        <v>2692800</v>
      </c>
      <c r="J295" s="1147">
        <v>1609200</v>
      </c>
      <c r="K295" s="1147">
        <v>1609200</v>
      </c>
      <c r="L295" s="450">
        <f>TRUNC(일위대가목록!H77,0)</f>
        <v>1609200</v>
      </c>
      <c r="M295" s="450">
        <f t="shared" si="41"/>
        <v>1609200</v>
      </c>
      <c r="N295" s="1147">
        <v>0</v>
      </c>
      <c r="O295" s="1147">
        <v>0</v>
      </c>
      <c r="P295" s="450">
        <f>TRUNC(일위대가목록!J77,0)</f>
        <v>0</v>
      </c>
      <c r="Q295" s="450">
        <f t="shared" si="42"/>
        <v>0</v>
      </c>
      <c r="R295" s="1147">
        <v>4302000</v>
      </c>
      <c r="S295" s="1147">
        <v>4302000</v>
      </c>
      <c r="T295" s="450">
        <f t="shared" si="43"/>
        <v>4302000</v>
      </c>
      <c r="U295" s="450">
        <f t="shared" si="44"/>
        <v>4302000</v>
      </c>
      <c r="V295" s="454" t="str">
        <f>일위대가목록!M77</f>
        <v>호표 74</v>
      </c>
      <c r="W295" s="448" t="s">
        <v>373</v>
      </c>
      <c r="X295" s="448" t="s">
        <v>51</v>
      </c>
      <c r="Y295" s="448" t="s">
        <v>51</v>
      </c>
      <c r="Z295" s="448" t="s">
        <v>318</v>
      </c>
      <c r="AA295" s="448" t="s">
        <v>62</v>
      </c>
      <c r="AB295" s="448" t="s">
        <v>62</v>
      </c>
      <c r="AC295" s="448" t="s">
        <v>61</v>
      </c>
      <c r="AD295" s="447"/>
      <c r="AE295" s="447"/>
      <c r="AF295" s="447"/>
      <c r="AG295" s="447"/>
      <c r="AH295" s="447"/>
      <c r="AI295" s="447"/>
      <c r="AJ295" s="447"/>
      <c r="AK295" s="447"/>
      <c r="AL295" s="447"/>
      <c r="AM295" s="447"/>
      <c r="AN295" s="447"/>
      <c r="AO295" s="447"/>
      <c r="AP295" s="447"/>
      <c r="AQ295" s="447"/>
      <c r="AR295" s="447"/>
      <c r="AS295" s="447"/>
      <c r="AT295" s="447"/>
      <c r="AU295" s="447"/>
      <c r="AV295" s="447"/>
      <c r="AW295" s="447"/>
      <c r="AX295" s="447"/>
      <c r="AY295" s="447"/>
      <c r="AZ295" s="447"/>
      <c r="BA295" s="448" t="s">
        <v>51</v>
      </c>
      <c r="BB295" s="448" t="s">
        <v>51</v>
      </c>
      <c r="BC295" s="447"/>
      <c r="BD295" s="448" t="s">
        <v>374</v>
      </c>
      <c r="BE295" s="447">
        <v>512</v>
      </c>
    </row>
    <row r="296" spans="1:57" ht="30" customHeight="1">
      <c r="A296" s="443" t="s">
        <v>370</v>
      </c>
      <c r="B296" s="443" t="s">
        <v>371</v>
      </c>
      <c r="C296" s="443" t="s">
        <v>321</v>
      </c>
      <c r="D296" s="1133">
        <v>3</v>
      </c>
      <c r="E296" s="445">
        <f>'1층전시실산출'!H298</f>
        <v>3</v>
      </c>
      <c r="F296" s="1147">
        <v>489020</v>
      </c>
      <c r="G296" s="1147">
        <v>1467060</v>
      </c>
      <c r="H296" s="450">
        <f>TRUNC(단가대비표!O429,0)</f>
        <v>489020</v>
      </c>
      <c r="I296" s="450">
        <f t="shared" si="40"/>
        <v>1467060</v>
      </c>
      <c r="J296" s="1147">
        <v>0</v>
      </c>
      <c r="K296" s="1147">
        <v>0</v>
      </c>
      <c r="L296" s="450">
        <f>TRUNC(단가대비표!P429,0)</f>
        <v>0</v>
      </c>
      <c r="M296" s="450">
        <f t="shared" si="41"/>
        <v>0</v>
      </c>
      <c r="N296" s="1147">
        <v>0</v>
      </c>
      <c r="O296" s="1147">
        <v>0</v>
      </c>
      <c r="P296" s="450">
        <f>TRUNC(단가대비표!V429,0)</f>
        <v>0</v>
      </c>
      <c r="Q296" s="450">
        <f t="shared" si="42"/>
        <v>0</v>
      </c>
      <c r="R296" s="1147">
        <v>489020</v>
      </c>
      <c r="S296" s="1147">
        <v>1467060</v>
      </c>
      <c r="T296" s="450">
        <f t="shared" si="43"/>
        <v>489020</v>
      </c>
      <c r="U296" s="450">
        <f t="shared" si="44"/>
        <v>1467060</v>
      </c>
      <c r="V296" s="454"/>
      <c r="W296" s="448" t="s">
        <v>378</v>
      </c>
      <c r="X296" s="448" t="s">
        <v>51</v>
      </c>
      <c r="Y296" s="448" t="s">
        <v>51</v>
      </c>
      <c r="Z296" s="448" t="s">
        <v>318</v>
      </c>
      <c r="AA296" s="448" t="s">
        <v>62</v>
      </c>
      <c r="AB296" s="448" t="s">
        <v>62</v>
      </c>
      <c r="AC296" s="448" t="s">
        <v>61</v>
      </c>
      <c r="AD296" s="447"/>
      <c r="AE296" s="447"/>
      <c r="AF296" s="447"/>
      <c r="AG296" s="447"/>
      <c r="AH296" s="447"/>
      <c r="AI296" s="447"/>
      <c r="AJ296" s="447"/>
      <c r="AK296" s="447"/>
      <c r="AL296" s="447"/>
      <c r="AM296" s="447"/>
      <c r="AN296" s="447"/>
      <c r="AO296" s="447"/>
      <c r="AP296" s="447"/>
      <c r="AQ296" s="447"/>
      <c r="AR296" s="447"/>
      <c r="AS296" s="447"/>
      <c r="AT296" s="447"/>
      <c r="AU296" s="447"/>
      <c r="AV296" s="447"/>
      <c r="AW296" s="447"/>
      <c r="AX296" s="447"/>
      <c r="AY296" s="447"/>
      <c r="AZ296" s="447"/>
      <c r="BA296" s="448" t="s">
        <v>51</v>
      </c>
      <c r="BB296" s="448" t="s">
        <v>51</v>
      </c>
      <c r="BC296" s="447"/>
      <c r="BD296" s="448" t="s">
        <v>379</v>
      </c>
      <c r="BE296" s="447">
        <v>438</v>
      </c>
    </row>
    <row r="297" spans="1:57" ht="30" customHeight="1">
      <c r="A297" s="443" t="s">
        <v>380</v>
      </c>
      <c r="B297" s="443" t="s">
        <v>208</v>
      </c>
      <c r="C297" s="443" t="s">
        <v>321</v>
      </c>
      <c r="D297" s="1133">
        <v>1</v>
      </c>
      <c r="E297" s="445">
        <f>'1층전시실산출'!H299</f>
        <v>1</v>
      </c>
      <c r="F297" s="1147">
        <v>120000</v>
      </c>
      <c r="G297" s="1147">
        <v>120000</v>
      </c>
      <c r="H297" s="450">
        <f>TRUNC(단가대비표!O482,0)</f>
        <v>120000</v>
      </c>
      <c r="I297" s="450">
        <f t="shared" si="40"/>
        <v>120000</v>
      </c>
      <c r="J297" s="1147">
        <v>0</v>
      </c>
      <c r="K297" s="1147">
        <v>0</v>
      </c>
      <c r="L297" s="450">
        <f>TRUNC(단가대비표!P482,0)</f>
        <v>0</v>
      </c>
      <c r="M297" s="450">
        <f t="shared" si="41"/>
        <v>0</v>
      </c>
      <c r="N297" s="1147">
        <v>0</v>
      </c>
      <c r="O297" s="1147">
        <v>0</v>
      </c>
      <c r="P297" s="450">
        <f>TRUNC(단가대비표!V482,0)</f>
        <v>0</v>
      </c>
      <c r="Q297" s="450">
        <f t="shared" si="42"/>
        <v>0</v>
      </c>
      <c r="R297" s="1147">
        <v>120000</v>
      </c>
      <c r="S297" s="1147">
        <v>120000</v>
      </c>
      <c r="T297" s="450">
        <f t="shared" si="43"/>
        <v>120000</v>
      </c>
      <c r="U297" s="450">
        <f t="shared" si="44"/>
        <v>120000</v>
      </c>
      <c r="V297" s="454" t="s">
        <v>51</v>
      </c>
      <c r="W297" s="448" t="s">
        <v>381</v>
      </c>
      <c r="X297" s="448" t="s">
        <v>51</v>
      </c>
      <c r="Y297" s="448" t="s">
        <v>51</v>
      </c>
      <c r="Z297" s="448" t="s">
        <v>318</v>
      </c>
      <c r="AA297" s="448" t="s">
        <v>62</v>
      </c>
      <c r="AB297" s="448" t="s">
        <v>62</v>
      </c>
      <c r="AC297" s="448" t="s">
        <v>61</v>
      </c>
      <c r="AD297" s="447"/>
      <c r="AE297" s="447"/>
      <c r="AF297" s="447"/>
      <c r="AG297" s="447"/>
      <c r="AH297" s="447"/>
      <c r="AI297" s="447"/>
      <c r="AJ297" s="447"/>
      <c r="AK297" s="447"/>
      <c r="AL297" s="447"/>
      <c r="AM297" s="447"/>
      <c r="AN297" s="447"/>
      <c r="AO297" s="447"/>
      <c r="AP297" s="447"/>
      <c r="AQ297" s="447"/>
      <c r="AR297" s="447"/>
      <c r="AS297" s="447"/>
      <c r="AT297" s="447"/>
      <c r="AU297" s="447"/>
      <c r="AV297" s="447"/>
      <c r="AW297" s="447"/>
      <c r="AX297" s="447"/>
      <c r="AY297" s="447"/>
      <c r="AZ297" s="447"/>
      <c r="BA297" s="448" t="s">
        <v>51</v>
      </c>
      <c r="BB297" s="448" t="s">
        <v>51</v>
      </c>
      <c r="BC297" s="447"/>
      <c r="BD297" s="448" t="s">
        <v>382</v>
      </c>
      <c r="BE297" s="447">
        <v>437</v>
      </c>
    </row>
    <row r="298" spans="1:57" ht="30" customHeight="1">
      <c r="A298" s="443" t="s">
        <v>383</v>
      </c>
      <c r="B298" s="443" t="s">
        <v>3476</v>
      </c>
      <c r="C298" s="443" t="s">
        <v>321</v>
      </c>
      <c r="D298" s="1133">
        <v>5</v>
      </c>
      <c r="E298" s="445">
        <f>'1층전시실산출'!H300</f>
        <v>5</v>
      </c>
      <c r="F298" s="1147">
        <v>12000</v>
      </c>
      <c r="G298" s="1147">
        <v>60000</v>
      </c>
      <c r="H298" s="450">
        <f>TRUNC(단가대비표!O483,0)</f>
        <v>12000</v>
      </c>
      <c r="I298" s="450">
        <f t="shared" si="40"/>
        <v>60000</v>
      </c>
      <c r="J298" s="1147">
        <v>0</v>
      </c>
      <c r="K298" s="1147">
        <v>0</v>
      </c>
      <c r="L298" s="450">
        <f>TRUNC(단가대비표!P483,0)</f>
        <v>0</v>
      </c>
      <c r="M298" s="450">
        <f t="shared" si="41"/>
        <v>0</v>
      </c>
      <c r="N298" s="1147">
        <v>0</v>
      </c>
      <c r="O298" s="1147">
        <v>0</v>
      </c>
      <c r="P298" s="450">
        <f>TRUNC(단가대비표!V483,0)</f>
        <v>0</v>
      </c>
      <c r="Q298" s="450">
        <f t="shared" si="42"/>
        <v>0</v>
      </c>
      <c r="R298" s="1147">
        <v>12000</v>
      </c>
      <c r="S298" s="1147">
        <v>60000</v>
      </c>
      <c r="T298" s="450">
        <f t="shared" si="43"/>
        <v>12000</v>
      </c>
      <c r="U298" s="450">
        <f t="shared" si="44"/>
        <v>60000</v>
      </c>
      <c r="V298" s="454" t="s">
        <v>51</v>
      </c>
      <c r="W298" s="448" t="s">
        <v>384</v>
      </c>
      <c r="X298" s="448" t="s">
        <v>51</v>
      </c>
      <c r="Y298" s="448" t="s">
        <v>51</v>
      </c>
      <c r="Z298" s="448" t="s">
        <v>318</v>
      </c>
      <c r="AA298" s="448" t="s">
        <v>62</v>
      </c>
      <c r="AB298" s="448" t="s">
        <v>62</v>
      </c>
      <c r="AC298" s="448" t="s">
        <v>61</v>
      </c>
      <c r="AD298" s="447"/>
      <c r="AE298" s="447"/>
      <c r="AF298" s="447"/>
      <c r="AG298" s="447"/>
      <c r="AH298" s="447"/>
      <c r="AI298" s="447"/>
      <c r="AJ298" s="447"/>
      <c r="AK298" s="447"/>
      <c r="AL298" s="447"/>
      <c r="AM298" s="447"/>
      <c r="AN298" s="447"/>
      <c r="AO298" s="447"/>
      <c r="AP298" s="447"/>
      <c r="AQ298" s="447"/>
      <c r="AR298" s="447"/>
      <c r="AS298" s="447"/>
      <c r="AT298" s="447"/>
      <c r="AU298" s="447"/>
      <c r="AV298" s="447"/>
      <c r="AW298" s="447"/>
      <c r="AX298" s="447"/>
      <c r="AY298" s="447"/>
      <c r="AZ298" s="447"/>
      <c r="BA298" s="448" t="s">
        <v>51</v>
      </c>
      <c r="BB298" s="448" t="s">
        <v>51</v>
      </c>
      <c r="BC298" s="447"/>
      <c r="BD298" s="448" t="s">
        <v>385</v>
      </c>
      <c r="BE298" s="447">
        <v>439</v>
      </c>
    </row>
    <row r="299" spans="1:57" ht="30" customHeight="1">
      <c r="A299" s="443" t="s">
        <v>383</v>
      </c>
      <c r="B299" s="443" t="s">
        <v>3477</v>
      </c>
      <c r="C299" s="443" t="s">
        <v>377</v>
      </c>
      <c r="D299" s="1133">
        <v>3</v>
      </c>
      <c r="E299" s="445">
        <f>'1층전시실산출'!H301</f>
        <v>3</v>
      </c>
      <c r="F299" s="1147">
        <v>12000</v>
      </c>
      <c r="G299" s="1147">
        <v>36000</v>
      </c>
      <c r="H299" s="450">
        <f>단가대비표!O483</f>
        <v>12000</v>
      </c>
      <c r="I299" s="450">
        <f t="shared" si="40"/>
        <v>36000</v>
      </c>
      <c r="J299" s="1147">
        <v>0</v>
      </c>
      <c r="K299" s="1147">
        <v>0</v>
      </c>
      <c r="L299" s="450">
        <f>TRUNC(단가대비표!P478,0)</f>
        <v>0</v>
      </c>
      <c r="M299" s="450">
        <f t="shared" si="41"/>
        <v>0</v>
      </c>
      <c r="N299" s="1147">
        <v>0</v>
      </c>
      <c r="O299" s="1147">
        <v>0</v>
      </c>
      <c r="P299" s="450">
        <f>TRUNC(단가대비표!V478,0)</f>
        <v>0</v>
      </c>
      <c r="Q299" s="450">
        <f t="shared" si="42"/>
        <v>0</v>
      </c>
      <c r="R299" s="1147">
        <v>12000</v>
      </c>
      <c r="S299" s="1147">
        <v>36000</v>
      </c>
      <c r="T299" s="450">
        <f t="shared" si="43"/>
        <v>12000</v>
      </c>
      <c r="U299" s="450">
        <f t="shared" si="44"/>
        <v>36000</v>
      </c>
      <c r="V299" s="454" t="s">
        <v>51</v>
      </c>
      <c r="W299" s="448" t="s">
        <v>388</v>
      </c>
      <c r="X299" s="448" t="s">
        <v>51</v>
      </c>
      <c r="Y299" s="448" t="s">
        <v>51</v>
      </c>
      <c r="Z299" s="448" t="s">
        <v>318</v>
      </c>
      <c r="AA299" s="448" t="s">
        <v>62</v>
      </c>
      <c r="AB299" s="448" t="s">
        <v>62</v>
      </c>
      <c r="AC299" s="448" t="s">
        <v>61</v>
      </c>
      <c r="AD299" s="447"/>
      <c r="AE299" s="447"/>
      <c r="AF299" s="447"/>
      <c r="AG299" s="447"/>
      <c r="AH299" s="447"/>
      <c r="AI299" s="447"/>
      <c r="AJ299" s="447"/>
      <c r="AK299" s="447"/>
      <c r="AL299" s="447"/>
      <c r="AM299" s="447"/>
      <c r="AN299" s="447"/>
      <c r="AO299" s="447"/>
      <c r="AP299" s="447"/>
      <c r="AQ299" s="447"/>
      <c r="AR299" s="447"/>
      <c r="AS299" s="447"/>
      <c r="AT299" s="447"/>
      <c r="AU299" s="447"/>
      <c r="AV299" s="447"/>
      <c r="AW299" s="447"/>
      <c r="AX299" s="447"/>
      <c r="AY299" s="447"/>
      <c r="AZ299" s="447"/>
      <c r="BA299" s="448" t="s">
        <v>51</v>
      </c>
      <c r="BB299" s="448" t="s">
        <v>51</v>
      </c>
      <c r="BC299" s="447"/>
      <c r="BD299" s="448" t="s">
        <v>389</v>
      </c>
      <c r="BE299" s="447">
        <v>513</v>
      </c>
    </row>
    <row r="300" spans="1:57" ht="30" customHeight="1">
      <c r="A300" s="443" t="s">
        <v>386</v>
      </c>
      <c r="B300" s="443" t="s">
        <v>387</v>
      </c>
      <c r="C300" s="443" t="s">
        <v>59</v>
      </c>
      <c r="D300" s="1133">
        <v>72.84</v>
      </c>
      <c r="E300" s="445">
        <f>'1층전시실산출'!H305</f>
        <v>72.84</v>
      </c>
      <c r="F300" s="1147">
        <v>35910</v>
      </c>
      <c r="G300" s="1147">
        <v>2615684.4</v>
      </c>
      <c r="H300" s="450">
        <f>TRUNC(단가대비표!O430,0)</f>
        <v>35910</v>
      </c>
      <c r="I300" s="450">
        <f t="shared" si="40"/>
        <v>2615684.4</v>
      </c>
      <c r="J300" s="1147">
        <v>0</v>
      </c>
      <c r="K300" s="1147">
        <v>0</v>
      </c>
      <c r="L300" s="450">
        <f>TRUNC(단가대비표!P430,0)</f>
        <v>0</v>
      </c>
      <c r="M300" s="450">
        <f t="shared" si="41"/>
        <v>0</v>
      </c>
      <c r="N300" s="1147">
        <v>0</v>
      </c>
      <c r="O300" s="1147">
        <v>0</v>
      </c>
      <c r="P300" s="450">
        <f>TRUNC(단가대비표!V430,0)</f>
        <v>0</v>
      </c>
      <c r="Q300" s="450">
        <f t="shared" si="42"/>
        <v>0</v>
      </c>
      <c r="R300" s="1147">
        <v>35910</v>
      </c>
      <c r="S300" s="1147">
        <v>2615684.4</v>
      </c>
      <c r="T300" s="450">
        <f t="shared" si="43"/>
        <v>35910</v>
      </c>
      <c r="U300" s="450">
        <f t="shared" si="44"/>
        <v>2615684.4</v>
      </c>
      <c r="V300" s="454" t="s">
        <v>51</v>
      </c>
      <c r="W300" s="448" t="s">
        <v>392</v>
      </c>
      <c r="X300" s="448" t="s">
        <v>51</v>
      </c>
      <c r="Y300" s="448" t="s">
        <v>51</v>
      </c>
      <c r="Z300" s="448" t="s">
        <v>318</v>
      </c>
      <c r="AA300" s="448" t="s">
        <v>61</v>
      </c>
      <c r="AB300" s="448" t="s">
        <v>62</v>
      </c>
      <c r="AC300" s="448" t="s">
        <v>62</v>
      </c>
      <c r="AD300" s="447"/>
      <c r="AE300" s="447"/>
      <c r="AF300" s="447"/>
      <c r="AG300" s="447"/>
      <c r="AH300" s="447"/>
      <c r="AI300" s="447"/>
      <c r="AJ300" s="447"/>
      <c r="AK300" s="447"/>
      <c r="AL300" s="447"/>
      <c r="AM300" s="447"/>
      <c r="AN300" s="447"/>
      <c r="AO300" s="447"/>
      <c r="AP300" s="447"/>
      <c r="AQ300" s="447"/>
      <c r="AR300" s="447"/>
      <c r="AS300" s="447"/>
      <c r="AT300" s="447"/>
      <c r="AU300" s="447"/>
      <c r="AV300" s="447"/>
      <c r="AW300" s="447"/>
      <c r="AX300" s="447"/>
      <c r="AY300" s="447"/>
      <c r="AZ300" s="447"/>
      <c r="BA300" s="448" t="s">
        <v>51</v>
      </c>
      <c r="BB300" s="448" t="s">
        <v>51</v>
      </c>
      <c r="BC300" s="447"/>
      <c r="BD300" s="448" t="s">
        <v>393</v>
      </c>
      <c r="BE300" s="447">
        <v>514</v>
      </c>
    </row>
    <row r="301" spans="1:57" ht="30" customHeight="1">
      <c r="A301" s="444"/>
      <c r="B301" s="444"/>
      <c r="C301" s="444"/>
      <c r="D301" s="1133"/>
      <c r="E301" s="445"/>
      <c r="F301" s="1146"/>
      <c r="G301" s="1146"/>
      <c r="H301" s="444"/>
      <c r="I301" s="444"/>
      <c r="J301" s="1146"/>
      <c r="K301" s="1146"/>
      <c r="L301" s="444"/>
      <c r="M301" s="444"/>
      <c r="N301" s="1146"/>
      <c r="O301" s="1146"/>
      <c r="P301" s="444"/>
      <c r="Q301" s="444"/>
      <c r="R301" s="1146"/>
      <c r="S301" s="1146"/>
      <c r="T301" s="444"/>
      <c r="U301" s="444"/>
      <c r="V301" s="446"/>
      <c r="W301" s="449" t="s">
        <v>86</v>
      </c>
    </row>
    <row r="302" spans="1:57" ht="30" customHeight="1">
      <c r="A302" s="443" t="s">
        <v>85</v>
      </c>
      <c r="B302" s="444"/>
      <c r="C302" s="444"/>
      <c r="D302" s="1133"/>
      <c r="E302" s="445"/>
      <c r="F302" s="1146"/>
      <c r="G302" s="1147">
        <v>44168474.399999999</v>
      </c>
      <c r="H302" s="444"/>
      <c r="I302" s="450">
        <f>SUM(I281:I301)</f>
        <v>44168474.399999999</v>
      </c>
      <c r="J302" s="1146"/>
      <c r="K302" s="1147">
        <v>15598720</v>
      </c>
      <c r="L302" s="444"/>
      <c r="M302" s="450">
        <f>SUM(M281:M301)</f>
        <v>15598720</v>
      </c>
      <c r="N302" s="1146"/>
      <c r="O302" s="1147">
        <v>0</v>
      </c>
      <c r="P302" s="444"/>
      <c r="Q302" s="450">
        <f>SUM(Q281:Q301)</f>
        <v>0</v>
      </c>
      <c r="R302" s="1146"/>
      <c r="S302" s="1147">
        <v>59767194.399999999</v>
      </c>
      <c r="T302" s="444"/>
      <c r="U302" s="450">
        <f>SUM(U281:U301)</f>
        <v>59767194.399999999</v>
      </c>
      <c r="V302" s="446"/>
      <c r="W302" s="447"/>
      <c r="X302" s="447"/>
      <c r="Y302" s="447"/>
      <c r="Z302" s="448" t="s">
        <v>394</v>
      </c>
      <c r="AA302" s="447"/>
      <c r="AB302" s="447"/>
      <c r="AC302" s="447"/>
      <c r="AD302" s="447"/>
      <c r="AE302" s="447"/>
      <c r="AF302" s="447"/>
      <c r="AG302" s="447"/>
      <c r="AH302" s="447"/>
      <c r="AI302" s="447"/>
      <c r="AJ302" s="447"/>
      <c r="AK302" s="447"/>
      <c r="AL302" s="447"/>
      <c r="AM302" s="447"/>
      <c r="AN302" s="447"/>
      <c r="AO302" s="447"/>
      <c r="AP302" s="447"/>
      <c r="AQ302" s="447"/>
      <c r="AR302" s="447"/>
      <c r="AS302" s="447"/>
      <c r="AT302" s="447"/>
      <c r="AU302" s="447"/>
      <c r="AV302" s="447"/>
      <c r="AW302" s="447"/>
      <c r="AX302" s="447"/>
      <c r="AY302" s="447"/>
      <c r="AZ302" s="447"/>
      <c r="BA302" s="447"/>
      <c r="BB302" s="447"/>
      <c r="BC302" s="447"/>
      <c r="BD302" s="447"/>
      <c r="BE302" s="447"/>
    </row>
    <row r="303" spans="1:57" ht="30" customHeight="1">
      <c r="A303" s="443" t="s">
        <v>4827</v>
      </c>
      <c r="B303" s="444"/>
      <c r="C303" s="444"/>
      <c r="D303" s="1133"/>
      <c r="E303" s="445"/>
      <c r="F303" s="1146"/>
      <c r="G303" s="1146"/>
      <c r="H303" s="444"/>
      <c r="I303" s="444"/>
      <c r="J303" s="1146"/>
      <c r="K303" s="1146"/>
      <c r="L303" s="444"/>
      <c r="M303" s="444"/>
      <c r="N303" s="1146"/>
      <c r="O303" s="1146"/>
      <c r="P303" s="444"/>
      <c r="Q303" s="444"/>
      <c r="R303" s="1146"/>
      <c r="S303" s="1146"/>
      <c r="T303" s="444"/>
      <c r="U303" s="444"/>
      <c r="V303" s="446"/>
      <c r="W303" s="448" t="s">
        <v>425</v>
      </c>
      <c r="X303" s="448" t="s">
        <v>51</v>
      </c>
      <c r="Y303" s="448" t="s">
        <v>51</v>
      </c>
      <c r="Z303" s="448" t="s">
        <v>422</v>
      </c>
      <c r="AA303" s="448" t="s">
        <v>62</v>
      </c>
      <c r="AB303" s="448" t="s">
        <v>62</v>
      </c>
      <c r="AC303" s="448" t="s">
        <v>61</v>
      </c>
      <c r="AD303" s="447"/>
      <c r="AE303" s="447"/>
      <c r="AF303" s="447"/>
      <c r="AG303" s="447"/>
      <c r="AH303" s="447"/>
      <c r="AI303" s="447"/>
      <c r="AJ303" s="447"/>
      <c r="AK303" s="447"/>
      <c r="AL303" s="447"/>
      <c r="AM303" s="447"/>
      <c r="AN303" s="447"/>
      <c r="AO303" s="447"/>
      <c r="AP303" s="447"/>
      <c r="AQ303" s="447"/>
      <c r="AR303" s="447"/>
      <c r="AS303" s="447"/>
      <c r="AT303" s="447"/>
      <c r="AU303" s="447"/>
      <c r="AV303" s="447"/>
      <c r="AW303" s="447"/>
      <c r="AX303" s="447"/>
      <c r="AY303" s="447"/>
      <c r="AZ303" s="447"/>
      <c r="BA303" s="448" t="s">
        <v>51</v>
      </c>
      <c r="BB303" s="448" t="s">
        <v>51</v>
      </c>
      <c r="BC303" s="447"/>
      <c r="BD303" s="448" t="s">
        <v>426</v>
      </c>
      <c r="BE303" s="447">
        <v>433</v>
      </c>
    </row>
    <row r="304" spans="1:57" ht="30" customHeight="1">
      <c r="A304" s="443" t="s">
        <v>423</v>
      </c>
      <c r="B304" s="443" t="s">
        <v>424</v>
      </c>
      <c r="C304" s="443" t="s">
        <v>321</v>
      </c>
      <c r="D304" s="1133">
        <v>800</v>
      </c>
      <c r="E304" s="445">
        <f>'1층전시실산출'!H320</f>
        <v>800</v>
      </c>
      <c r="F304" s="1147">
        <v>15000</v>
      </c>
      <c r="G304" s="1147">
        <v>12000000</v>
      </c>
      <c r="H304" s="450">
        <f>TRUNC(단가대비표!O419,0)</f>
        <v>15000</v>
      </c>
      <c r="I304" s="450">
        <f t="shared" ref="I304:I340" si="45">E304*H304</f>
        <v>12000000</v>
      </c>
      <c r="J304" s="1147">
        <v>0</v>
      </c>
      <c r="K304" s="1147">
        <v>0</v>
      </c>
      <c r="L304" s="450">
        <f>TRUNC(단가대비표!P419,0)</f>
        <v>0</v>
      </c>
      <c r="M304" s="450">
        <f>TRUNC(L304*E304, 0)</f>
        <v>0</v>
      </c>
      <c r="N304" s="1147">
        <v>0</v>
      </c>
      <c r="O304" s="1147">
        <v>0</v>
      </c>
      <c r="P304" s="450">
        <f>TRUNC(단가대비표!V419,0)</f>
        <v>0</v>
      </c>
      <c r="Q304" s="450">
        <f>TRUNC(P304*E304, 0)</f>
        <v>0</v>
      </c>
      <c r="R304" s="1147">
        <v>15000</v>
      </c>
      <c r="S304" s="1147">
        <v>12000000</v>
      </c>
      <c r="T304" s="450">
        <f t="shared" ref="T304:T340" si="46">H304+L304+P304</f>
        <v>15000</v>
      </c>
      <c r="U304" s="450">
        <f t="shared" ref="U304:U340" si="47">I304+M304+Q304</f>
        <v>12000000</v>
      </c>
      <c r="V304" s="454" t="s">
        <v>51</v>
      </c>
      <c r="W304" s="448" t="s">
        <v>429</v>
      </c>
      <c r="X304" s="448" t="s">
        <v>51</v>
      </c>
      <c r="Y304" s="448" t="s">
        <v>51</v>
      </c>
      <c r="Z304" s="448" t="s">
        <v>422</v>
      </c>
      <c r="AA304" s="448" t="s">
        <v>62</v>
      </c>
      <c r="AB304" s="448" t="s">
        <v>62</v>
      </c>
      <c r="AC304" s="448" t="s">
        <v>61</v>
      </c>
      <c r="AD304" s="447"/>
      <c r="AE304" s="447"/>
      <c r="AF304" s="447"/>
      <c r="AG304" s="447"/>
      <c r="AH304" s="447"/>
      <c r="AI304" s="447"/>
      <c r="AJ304" s="447"/>
      <c r="AK304" s="447"/>
      <c r="AL304" s="447"/>
      <c r="AM304" s="447"/>
      <c r="AN304" s="447"/>
      <c r="AO304" s="447"/>
      <c r="AP304" s="447"/>
      <c r="AQ304" s="447"/>
      <c r="AR304" s="447"/>
      <c r="AS304" s="447"/>
      <c r="AT304" s="447"/>
      <c r="AU304" s="447"/>
      <c r="AV304" s="447"/>
      <c r="AW304" s="447"/>
      <c r="AX304" s="447"/>
      <c r="AY304" s="447"/>
      <c r="AZ304" s="447"/>
      <c r="BA304" s="448" t="s">
        <v>51</v>
      </c>
      <c r="BB304" s="448" t="s">
        <v>51</v>
      </c>
      <c r="BC304" s="447"/>
      <c r="BD304" s="448" t="s">
        <v>430</v>
      </c>
      <c r="BE304" s="447">
        <v>281</v>
      </c>
    </row>
    <row r="305" spans="1:57" ht="30" customHeight="1">
      <c r="A305" s="443" t="s">
        <v>427</v>
      </c>
      <c r="B305" s="443" t="s">
        <v>428</v>
      </c>
      <c r="C305" s="443" t="s">
        <v>321</v>
      </c>
      <c r="D305" s="1133">
        <v>159</v>
      </c>
      <c r="E305" s="445">
        <v>159</v>
      </c>
      <c r="F305" s="1147">
        <v>12000</v>
      </c>
      <c r="G305" s="1147">
        <v>1908000</v>
      </c>
      <c r="H305" s="450">
        <f>TRUNC(단가대비표!O101,0)</f>
        <v>12000</v>
      </c>
      <c r="I305" s="450">
        <f t="shared" si="45"/>
        <v>1908000</v>
      </c>
      <c r="J305" s="1147">
        <v>0</v>
      </c>
      <c r="K305" s="1147">
        <v>0</v>
      </c>
      <c r="L305" s="450">
        <f>TRUNC(단가대비표!P101,0)</f>
        <v>0</v>
      </c>
      <c r="M305" s="450">
        <f>TRUNC(L305*E305, 0)</f>
        <v>0</v>
      </c>
      <c r="N305" s="1147">
        <v>0</v>
      </c>
      <c r="O305" s="1147">
        <v>0</v>
      </c>
      <c r="P305" s="450">
        <f>TRUNC(단가대비표!V101,0)</f>
        <v>0</v>
      </c>
      <c r="Q305" s="450">
        <f>TRUNC(P305*E305, 0)</f>
        <v>0</v>
      </c>
      <c r="R305" s="1147">
        <v>12000</v>
      </c>
      <c r="S305" s="1147">
        <v>1908000</v>
      </c>
      <c r="T305" s="450">
        <f t="shared" si="46"/>
        <v>12000</v>
      </c>
      <c r="U305" s="450">
        <f t="shared" si="47"/>
        <v>1908000</v>
      </c>
      <c r="V305" s="454" t="s">
        <v>51</v>
      </c>
      <c r="W305" s="448" t="s">
        <v>433</v>
      </c>
      <c r="X305" s="448" t="s">
        <v>51</v>
      </c>
      <c r="Y305" s="448" t="s">
        <v>51</v>
      </c>
      <c r="Z305" s="448" t="s">
        <v>422</v>
      </c>
      <c r="AA305" s="448" t="s">
        <v>62</v>
      </c>
      <c r="AB305" s="448" t="s">
        <v>62</v>
      </c>
      <c r="AC305" s="448" t="s">
        <v>61</v>
      </c>
      <c r="AD305" s="447"/>
      <c r="AE305" s="447"/>
      <c r="AF305" s="447"/>
      <c r="AG305" s="447"/>
      <c r="AH305" s="447"/>
      <c r="AI305" s="447"/>
      <c r="AJ305" s="447"/>
      <c r="AK305" s="447"/>
      <c r="AL305" s="447"/>
      <c r="AM305" s="447"/>
      <c r="AN305" s="447"/>
      <c r="AO305" s="447"/>
      <c r="AP305" s="447"/>
      <c r="AQ305" s="447"/>
      <c r="AR305" s="447"/>
      <c r="AS305" s="447"/>
      <c r="AT305" s="447"/>
      <c r="AU305" s="447"/>
      <c r="AV305" s="447"/>
      <c r="AW305" s="447"/>
      <c r="AX305" s="447"/>
      <c r="AY305" s="447"/>
      <c r="AZ305" s="447"/>
      <c r="BA305" s="448" t="s">
        <v>51</v>
      </c>
      <c r="BB305" s="448" t="s">
        <v>51</v>
      </c>
      <c r="BC305" s="447"/>
      <c r="BD305" s="448" t="s">
        <v>434</v>
      </c>
      <c r="BE305" s="447">
        <v>282</v>
      </c>
    </row>
    <row r="306" spans="1:57" ht="30" customHeight="1">
      <c r="A306" s="443" t="str">
        <f>'1층전시실산출'!B322</f>
        <v>아크릴 문자(5mm)</v>
      </c>
      <c r="B306" s="443" t="str">
        <f>'1층전시실산출'!C322</f>
        <v>기증 모두의..</v>
      </c>
      <c r="C306" s="473" t="str">
        <f>'1층전시실산출'!D322</f>
        <v>set</v>
      </c>
      <c r="D306" s="1133">
        <v>1</v>
      </c>
      <c r="E306" s="445">
        <f>'1층전시실산출'!H322</f>
        <v>1</v>
      </c>
      <c r="F306" s="1147">
        <v>144000</v>
      </c>
      <c r="G306" s="1147">
        <v>144000</v>
      </c>
      <c r="H306" s="450">
        <f>단가대비표!O102</f>
        <v>144000</v>
      </c>
      <c r="I306" s="450">
        <f t="shared" si="45"/>
        <v>144000</v>
      </c>
      <c r="J306" s="1147"/>
      <c r="K306" s="1147"/>
      <c r="L306" s="450"/>
      <c r="M306" s="450"/>
      <c r="N306" s="1147"/>
      <c r="O306" s="1147"/>
      <c r="P306" s="450"/>
      <c r="Q306" s="450"/>
      <c r="R306" s="1147">
        <v>144000</v>
      </c>
      <c r="S306" s="1147">
        <v>144000</v>
      </c>
      <c r="T306" s="450">
        <f t="shared" si="46"/>
        <v>144000</v>
      </c>
      <c r="U306" s="450">
        <f t="shared" si="47"/>
        <v>144000</v>
      </c>
      <c r="V306" s="454"/>
      <c r="W306" s="448"/>
      <c r="X306" s="448"/>
      <c r="Y306" s="448"/>
      <c r="Z306" s="448"/>
      <c r="AA306" s="448"/>
      <c r="AB306" s="448"/>
      <c r="AC306" s="448"/>
      <c r="AD306" s="447"/>
      <c r="AE306" s="447"/>
      <c r="AF306" s="447"/>
      <c r="AG306" s="447"/>
      <c r="AH306" s="447"/>
      <c r="AI306" s="447"/>
      <c r="AJ306" s="447"/>
      <c r="AK306" s="447"/>
      <c r="AL306" s="447"/>
      <c r="AM306" s="447"/>
      <c r="AN306" s="447"/>
      <c r="AO306" s="447"/>
      <c r="AP306" s="447"/>
      <c r="AQ306" s="447"/>
      <c r="AR306" s="447"/>
      <c r="AS306" s="447"/>
      <c r="AT306" s="447"/>
      <c r="AU306" s="447"/>
      <c r="AV306" s="447"/>
      <c r="AW306" s="447"/>
      <c r="AX306" s="447"/>
      <c r="AY306" s="447"/>
      <c r="AZ306" s="447"/>
      <c r="BA306" s="448"/>
      <c r="BB306" s="448"/>
      <c r="BC306" s="447"/>
      <c r="BD306" s="448"/>
      <c r="BE306" s="447"/>
    </row>
    <row r="307" spans="1:57" ht="30" customHeight="1">
      <c r="A307" s="443" t="str">
        <f>'1층전시실산출'!B323</f>
        <v>아크릴 문자(5mm)</v>
      </c>
      <c r="B307" s="443" t="str">
        <f>'1층전시실산출'!C323</f>
        <v>소중한 문화..</v>
      </c>
      <c r="C307" s="473" t="str">
        <f>'1층전시실산출'!D323</f>
        <v>set</v>
      </c>
      <c r="D307" s="1133">
        <v>1</v>
      </c>
      <c r="E307" s="445">
        <f>'1층전시실산출'!H323</f>
        <v>1</v>
      </c>
      <c r="F307" s="1147">
        <v>273600</v>
      </c>
      <c r="G307" s="1147">
        <v>273600</v>
      </c>
      <c r="H307" s="450">
        <f>단가대비표!O103</f>
        <v>273600</v>
      </c>
      <c r="I307" s="450">
        <f t="shared" si="45"/>
        <v>273600</v>
      </c>
      <c r="J307" s="1147"/>
      <c r="K307" s="1147"/>
      <c r="L307" s="450"/>
      <c r="M307" s="450"/>
      <c r="N307" s="1147"/>
      <c r="O307" s="1147"/>
      <c r="P307" s="450"/>
      <c r="Q307" s="450"/>
      <c r="R307" s="1147">
        <v>273600</v>
      </c>
      <c r="S307" s="1147">
        <v>273600</v>
      </c>
      <c r="T307" s="450">
        <f t="shared" si="46"/>
        <v>273600</v>
      </c>
      <c r="U307" s="450">
        <f t="shared" si="47"/>
        <v>273600</v>
      </c>
      <c r="V307" s="454"/>
      <c r="W307" s="448"/>
      <c r="X307" s="448"/>
      <c r="Y307" s="448"/>
      <c r="Z307" s="448"/>
      <c r="AA307" s="448"/>
      <c r="AB307" s="448"/>
      <c r="AC307" s="448"/>
      <c r="AD307" s="447"/>
      <c r="AE307" s="447"/>
      <c r="AF307" s="447"/>
      <c r="AG307" s="447"/>
      <c r="AH307" s="447"/>
      <c r="AI307" s="447"/>
      <c r="AJ307" s="447"/>
      <c r="AK307" s="447"/>
      <c r="AL307" s="447"/>
      <c r="AM307" s="447"/>
      <c r="AN307" s="447"/>
      <c r="AO307" s="447"/>
      <c r="AP307" s="447"/>
      <c r="AQ307" s="447"/>
      <c r="AR307" s="447"/>
      <c r="AS307" s="447"/>
      <c r="AT307" s="447"/>
      <c r="AU307" s="447"/>
      <c r="AV307" s="447"/>
      <c r="AW307" s="447"/>
      <c r="AX307" s="447"/>
      <c r="AY307" s="447"/>
      <c r="AZ307" s="447"/>
      <c r="BA307" s="448"/>
      <c r="BB307" s="448"/>
      <c r="BC307" s="447"/>
      <c r="BD307" s="448"/>
      <c r="BE307" s="447"/>
    </row>
    <row r="308" spans="1:57" ht="30" customHeight="1">
      <c r="A308" s="443" t="str">
        <f>'1층전시실산출'!B324</f>
        <v>아크릴 문자(5mm)</v>
      </c>
      <c r="B308" s="443" t="str">
        <f>'1층전시실산출'!C324</f>
        <v>PROL..</v>
      </c>
      <c r="C308" s="473" t="str">
        <f>'1층전시실산출'!D324</f>
        <v>set</v>
      </c>
      <c r="D308" s="1133">
        <v>1</v>
      </c>
      <c r="E308" s="445">
        <f>'1층전시실산출'!H324</f>
        <v>1</v>
      </c>
      <c r="F308" s="1147">
        <v>115200</v>
      </c>
      <c r="G308" s="1147">
        <v>115200</v>
      </c>
      <c r="H308" s="450">
        <f>단가대비표!O104</f>
        <v>115200</v>
      </c>
      <c r="I308" s="450">
        <f t="shared" si="45"/>
        <v>115200</v>
      </c>
      <c r="J308" s="1147"/>
      <c r="K308" s="1147"/>
      <c r="L308" s="450"/>
      <c r="M308" s="450"/>
      <c r="N308" s="1147"/>
      <c r="O308" s="1147"/>
      <c r="P308" s="450"/>
      <c r="Q308" s="450"/>
      <c r="R308" s="1147">
        <v>115200</v>
      </c>
      <c r="S308" s="1147">
        <v>115200</v>
      </c>
      <c r="T308" s="450">
        <f t="shared" si="46"/>
        <v>115200</v>
      </c>
      <c r="U308" s="450">
        <f t="shared" si="47"/>
        <v>115200</v>
      </c>
      <c r="V308" s="454"/>
      <c r="W308" s="448"/>
      <c r="X308" s="448"/>
      <c r="Y308" s="448"/>
      <c r="Z308" s="448"/>
      <c r="AA308" s="448"/>
      <c r="AB308" s="448"/>
      <c r="AC308" s="448"/>
      <c r="AD308" s="447"/>
      <c r="AE308" s="447"/>
      <c r="AF308" s="447"/>
      <c r="AG308" s="447"/>
      <c r="AH308" s="447"/>
      <c r="AI308" s="447"/>
      <c r="AJ308" s="447"/>
      <c r="AK308" s="447"/>
      <c r="AL308" s="447"/>
      <c r="AM308" s="447"/>
      <c r="AN308" s="447"/>
      <c r="AO308" s="447"/>
      <c r="AP308" s="447"/>
      <c r="AQ308" s="447"/>
      <c r="AR308" s="447"/>
      <c r="AS308" s="447"/>
      <c r="AT308" s="447"/>
      <c r="AU308" s="447"/>
      <c r="AV308" s="447"/>
      <c r="AW308" s="447"/>
      <c r="AX308" s="447"/>
      <c r="AY308" s="447"/>
      <c r="AZ308" s="447"/>
      <c r="BA308" s="448"/>
      <c r="BB308" s="448"/>
      <c r="BC308" s="447"/>
      <c r="BD308" s="448"/>
      <c r="BE308" s="447"/>
    </row>
    <row r="309" spans="1:57" ht="30" customHeight="1">
      <c r="A309" s="443" t="str">
        <f>'1층전시실산출'!B325</f>
        <v>아크릴 문자(5mm)</v>
      </c>
      <c r="B309" s="443" t="str">
        <f>'1층전시실산출'!C325</f>
        <v>선사 고대</v>
      </c>
      <c r="C309" s="473" t="str">
        <f>'1층전시실산출'!D325</f>
        <v>set</v>
      </c>
      <c r="D309" s="1133">
        <v>1</v>
      </c>
      <c r="E309" s="445">
        <f>'1층전시실산출'!H325</f>
        <v>1</v>
      </c>
      <c r="F309" s="1147">
        <v>108000</v>
      </c>
      <c r="G309" s="1147">
        <v>108000</v>
      </c>
      <c r="H309" s="450">
        <f>단가대비표!O105</f>
        <v>108000</v>
      </c>
      <c r="I309" s="450">
        <f t="shared" si="45"/>
        <v>108000</v>
      </c>
      <c r="J309" s="1147"/>
      <c r="K309" s="1147"/>
      <c r="L309" s="450"/>
      <c r="M309" s="450"/>
      <c r="N309" s="1147"/>
      <c r="O309" s="1147"/>
      <c r="P309" s="450"/>
      <c r="Q309" s="450"/>
      <c r="R309" s="1147">
        <v>108000</v>
      </c>
      <c r="S309" s="1147">
        <v>108000</v>
      </c>
      <c r="T309" s="450">
        <f t="shared" si="46"/>
        <v>108000</v>
      </c>
      <c r="U309" s="450">
        <f t="shared" si="47"/>
        <v>108000</v>
      </c>
      <c r="V309" s="454"/>
      <c r="W309" s="448"/>
      <c r="X309" s="448"/>
      <c r="Y309" s="448"/>
      <c r="Z309" s="448"/>
      <c r="AA309" s="448"/>
      <c r="AB309" s="448"/>
      <c r="AC309" s="448"/>
      <c r="AD309" s="447"/>
      <c r="AE309" s="447"/>
      <c r="AF309" s="447"/>
      <c r="AG309" s="447"/>
      <c r="AH309" s="447"/>
      <c r="AI309" s="447"/>
      <c r="AJ309" s="447"/>
      <c r="AK309" s="447"/>
      <c r="AL309" s="447"/>
      <c r="AM309" s="447"/>
      <c r="AN309" s="447"/>
      <c r="AO309" s="447"/>
      <c r="AP309" s="447"/>
      <c r="AQ309" s="447"/>
      <c r="AR309" s="447"/>
      <c r="AS309" s="447"/>
      <c r="AT309" s="447"/>
      <c r="AU309" s="447"/>
      <c r="AV309" s="447"/>
      <c r="AW309" s="447"/>
      <c r="AX309" s="447"/>
      <c r="AY309" s="447"/>
      <c r="AZ309" s="447"/>
      <c r="BA309" s="448"/>
      <c r="BB309" s="448"/>
      <c r="BC309" s="447"/>
      <c r="BD309" s="448"/>
      <c r="BE309" s="447"/>
    </row>
    <row r="310" spans="1:57" ht="30" customHeight="1">
      <c r="A310" s="443" t="str">
        <f>'1층전시실산출'!B326</f>
        <v>아크릴 문자(5mm)</v>
      </c>
      <c r="B310" s="443" t="str">
        <f>'1층전시실산출'!C326</f>
        <v>한성백제..</v>
      </c>
      <c r="C310" s="473" t="str">
        <f>'1층전시실산출'!D326</f>
        <v>set</v>
      </c>
      <c r="D310" s="1133">
        <v>1</v>
      </c>
      <c r="E310" s="445">
        <f>'1층전시실산출'!H326</f>
        <v>1</v>
      </c>
      <c r="F310" s="1147">
        <v>86400</v>
      </c>
      <c r="G310" s="1147">
        <v>86400</v>
      </c>
      <c r="H310" s="450">
        <f>단가대비표!O106</f>
        <v>86400</v>
      </c>
      <c r="I310" s="450">
        <f t="shared" si="45"/>
        <v>86400</v>
      </c>
      <c r="J310" s="1147"/>
      <c r="K310" s="1147"/>
      <c r="L310" s="450"/>
      <c r="M310" s="450"/>
      <c r="N310" s="1147"/>
      <c r="O310" s="1147"/>
      <c r="P310" s="450"/>
      <c r="Q310" s="450"/>
      <c r="R310" s="1147">
        <v>86400</v>
      </c>
      <c r="S310" s="1147">
        <v>86400</v>
      </c>
      <c r="T310" s="450">
        <f t="shared" si="46"/>
        <v>86400</v>
      </c>
      <c r="U310" s="450">
        <f t="shared" si="47"/>
        <v>86400</v>
      </c>
      <c r="V310" s="454"/>
      <c r="W310" s="448"/>
      <c r="X310" s="448"/>
      <c r="Y310" s="448"/>
      <c r="Z310" s="448"/>
      <c r="AA310" s="448"/>
      <c r="AB310" s="448"/>
      <c r="AC310" s="448"/>
      <c r="AD310" s="447"/>
      <c r="AE310" s="447"/>
      <c r="AF310" s="447"/>
      <c r="AG310" s="447"/>
      <c r="AH310" s="447"/>
      <c r="AI310" s="447"/>
      <c r="AJ310" s="447"/>
      <c r="AK310" s="447"/>
      <c r="AL310" s="447"/>
      <c r="AM310" s="447"/>
      <c r="AN310" s="447"/>
      <c r="AO310" s="447"/>
      <c r="AP310" s="447"/>
      <c r="AQ310" s="447"/>
      <c r="AR310" s="447"/>
      <c r="AS310" s="447"/>
      <c r="AT310" s="447"/>
      <c r="AU310" s="447"/>
      <c r="AV310" s="447"/>
      <c r="AW310" s="447"/>
      <c r="AX310" s="447"/>
      <c r="AY310" s="447"/>
      <c r="AZ310" s="447"/>
      <c r="BA310" s="448"/>
      <c r="BB310" s="448"/>
      <c r="BC310" s="447"/>
      <c r="BD310" s="448"/>
      <c r="BE310" s="447"/>
    </row>
    <row r="311" spans="1:57" ht="30" customHeight="1">
      <c r="A311" s="443" t="str">
        <f>'1층전시실산출'!B327</f>
        <v>아크릴 문자(5mm)</v>
      </c>
      <c r="B311" s="443" t="str">
        <f>'1층전시실산출'!C327</f>
        <v>삼국 그리고..</v>
      </c>
      <c r="C311" s="473" t="str">
        <f>'1층전시실산출'!D327</f>
        <v>set</v>
      </c>
      <c r="D311" s="1133">
        <v>1</v>
      </c>
      <c r="E311" s="445">
        <f>'1층전시실산출'!H327</f>
        <v>1</v>
      </c>
      <c r="F311" s="1147">
        <v>97200</v>
      </c>
      <c r="G311" s="1147">
        <v>97200</v>
      </c>
      <c r="H311" s="450">
        <f>단가대비표!O107</f>
        <v>97200</v>
      </c>
      <c r="I311" s="450">
        <f t="shared" si="45"/>
        <v>97200</v>
      </c>
      <c r="J311" s="1147"/>
      <c r="K311" s="1147"/>
      <c r="L311" s="450"/>
      <c r="M311" s="450"/>
      <c r="N311" s="1147"/>
      <c r="O311" s="1147"/>
      <c r="P311" s="450"/>
      <c r="Q311" s="450"/>
      <c r="R311" s="1147">
        <v>97200</v>
      </c>
      <c r="S311" s="1147">
        <v>97200</v>
      </c>
      <c r="T311" s="450">
        <f t="shared" si="46"/>
        <v>97200</v>
      </c>
      <c r="U311" s="450">
        <f t="shared" si="47"/>
        <v>97200</v>
      </c>
      <c r="V311" s="454"/>
      <c r="W311" s="448"/>
      <c r="X311" s="448"/>
      <c r="Y311" s="448"/>
      <c r="Z311" s="448"/>
      <c r="AA311" s="448"/>
      <c r="AB311" s="448"/>
      <c r="AC311" s="448"/>
      <c r="AD311" s="447"/>
      <c r="AE311" s="447"/>
      <c r="AF311" s="447"/>
      <c r="AG311" s="447"/>
      <c r="AH311" s="447"/>
      <c r="AI311" s="447"/>
      <c r="AJ311" s="447"/>
      <c r="AK311" s="447"/>
      <c r="AL311" s="447"/>
      <c r="AM311" s="447"/>
      <c r="AN311" s="447"/>
      <c r="AO311" s="447"/>
      <c r="AP311" s="447"/>
      <c r="AQ311" s="447"/>
      <c r="AR311" s="447"/>
      <c r="AS311" s="447"/>
      <c r="AT311" s="447"/>
      <c r="AU311" s="447"/>
      <c r="AV311" s="447"/>
      <c r="AW311" s="447"/>
      <c r="AX311" s="447"/>
      <c r="AY311" s="447"/>
      <c r="AZ311" s="447"/>
      <c r="BA311" s="448"/>
      <c r="BB311" s="448"/>
      <c r="BC311" s="447"/>
      <c r="BD311" s="448"/>
      <c r="BE311" s="447"/>
    </row>
    <row r="312" spans="1:57" ht="30" customHeight="1">
      <c r="A312" s="443" t="str">
        <f>'1층전시실산출'!B328</f>
        <v>아크릴 문자(5mm)</v>
      </c>
      <c r="B312" s="443" t="str">
        <f>'1층전시실산출'!C328</f>
        <v>EPIL..</v>
      </c>
      <c r="C312" s="473" t="str">
        <f>'1층전시실산출'!D328</f>
        <v>set</v>
      </c>
      <c r="D312" s="1133">
        <v>1</v>
      </c>
      <c r="E312" s="445">
        <f>'1층전시실산출'!H328</f>
        <v>1</v>
      </c>
      <c r="F312" s="1147">
        <v>115200</v>
      </c>
      <c r="G312" s="1147">
        <v>115200</v>
      </c>
      <c r="H312" s="450">
        <f>단가대비표!O108</f>
        <v>115200</v>
      </c>
      <c r="I312" s="450">
        <f t="shared" si="45"/>
        <v>115200</v>
      </c>
      <c r="J312" s="1147"/>
      <c r="K312" s="1147"/>
      <c r="L312" s="450"/>
      <c r="M312" s="450"/>
      <c r="N312" s="1147"/>
      <c r="O312" s="1147"/>
      <c r="P312" s="450"/>
      <c r="Q312" s="450"/>
      <c r="R312" s="1147">
        <v>115200</v>
      </c>
      <c r="S312" s="1147">
        <v>115200</v>
      </c>
      <c r="T312" s="450">
        <f t="shared" si="46"/>
        <v>115200</v>
      </c>
      <c r="U312" s="450">
        <f t="shared" si="47"/>
        <v>115200</v>
      </c>
      <c r="V312" s="454"/>
      <c r="W312" s="448"/>
      <c r="X312" s="448"/>
      <c r="Y312" s="448"/>
      <c r="Z312" s="448"/>
      <c r="AA312" s="448"/>
      <c r="AB312" s="448"/>
      <c r="AC312" s="448"/>
      <c r="AD312" s="447"/>
      <c r="AE312" s="447"/>
      <c r="AF312" s="447"/>
      <c r="AG312" s="447"/>
      <c r="AH312" s="447"/>
      <c r="AI312" s="447"/>
      <c r="AJ312" s="447"/>
      <c r="AK312" s="447"/>
      <c r="AL312" s="447"/>
      <c r="AM312" s="447"/>
      <c r="AN312" s="447"/>
      <c r="AO312" s="447"/>
      <c r="AP312" s="447"/>
      <c r="AQ312" s="447"/>
      <c r="AR312" s="447"/>
      <c r="AS312" s="447"/>
      <c r="AT312" s="447"/>
      <c r="AU312" s="447"/>
      <c r="AV312" s="447"/>
      <c r="AW312" s="447"/>
      <c r="AX312" s="447"/>
      <c r="AY312" s="447"/>
      <c r="AZ312" s="447"/>
      <c r="BA312" s="448"/>
      <c r="BB312" s="448"/>
      <c r="BC312" s="447"/>
      <c r="BD312" s="448"/>
      <c r="BE312" s="447"/>
    </row>
    <row r="313" spans="1:57" ht="30" customHeight="1">
      <c r="A313" s="443" t="str">
        <f>'1층전시실산출'!B329</f>
        <v>아크릴 문자(5mm)</v>
      </c>
      <c r="B313" s="443" t="str">
        <f>'1층전시실산출'!C329</f>
        <v xml:space="preserve">남한산성 </v>
      </c>
      <c r="C313" s="473" t="str">
        <f>'1층전시실산출'!D329</f>
        <v>set</v>
      </c>
      <c r="D313" s="1133">
        <v>1</v>
      </c>
      <c r="E313" s="445">
        <f>'1층전시실산출'!H329</f>
        <v>1</v>
      </c>
      <c r="F313" s="1147">
        <v>56000</v>
      </c>
      <c r="G313" s="1147">
        <v>56000</v>
      </c>
      <c r="H313" s="450">
        <f>단가대비표!O109</f>
        <v>56000</v>
      </c>
      <c r="I313" s="450">
        <f t="shared" si="45"/>
        <v>56000</v>
      </c>
      <c r="J313" s="1147"/>
      <c r="K313" s="1147"/>
      <c r="L313" s="450"/>
      <c r="M313" s="450"/>
      <c r="N313" s="1147"/>
      <c r="O313" s="1147"/>
      <c r="P313" s="450"/>
      <c r="Q313" s="450"/>
      <c r="R313" s="1147">
        <v>56000</v>
      </c>
      <c r="S313" s="1147">
        <v>56000</v>
      </c>
      <c r="T313" s="450">
        <f t="shared" si="46"/>
        <v>56000</v>
      </c>
      <c r="U313" s="450">
        <f t="shared" si="47"/>
        <v>56000</v>
      </c>
      <c r="V313" s="454"/>
      <c r="W313" s="448"/>
      <c r="X313" s="448"/>
      <c r="Y313" s="448"/>
      <c r="Z313" s="448"/>
      <c r="AA313" s="448"/>
      <c r="AB313" s="448"/>
      <c r="AC313" s="448"/>
      <c r="AD313" s="447"/>
      <c r="AE313" s="447"/>
      <c r="AF313" s="447"/>
      <c r="AG313" s="447"/>
      <c r="AH313" s="447"/>
      <c r="AI313" s="447"/>
      <c r="AJ313" s="447"/>
      <c r="AK313" s="447"/>
      <c r="AL313" s="447"/>
      <c r="AM313" s="447"/>
      <c r="AN313" s="447"/>
      <c r="AO313" s="447"/>
      <c r="AP313" s="447"/>
      <c r="AQ313" s="447"/>
      <c r="AR313" s="447"/>
      <c r="AS313" s="447"/>
      <c r="AT313" s="447"/>
      <c r="AU313" s="447"/>
      <c r="AV313" s="447"/>
      <c r="AW313" s="447"/>
      <c r="AX313" s="447"/>
      <c r="AY313" s="447"/>
      <c r="AZ313" s="447"/>
      <c r="BA313" s="448"/>
      <c r="BB313" s="448"/>
      <c r="BC313" s="447"/>
      <c r="BD313" s="448"/>
      <c r="BE313" s="447"/>
    </row>
    <row r="314" spans="1:57" ht="30" customHeight="1">
      <c r="A314" s="443" t="str">
        <f>'1층전시실산출'!B330</f>
        <v>아크릴 문자(5mm)</v>
      </c>
      <c r="B314" s="443" t="str">
        <f>'1층전시실산출'!C330</f>
        <v>고구려의</v>
      </c>
      <c r="C314" s="473" t="str">
        <f>'1층전시실산출'!D330</f>
        <v>set</v>
      </c>
      <c r="D314" s="1133">
        <v>1</v>
      </c>
      <c r="E314" s="445">
        <f>'1층전시실산출'!H330</f>
        <v>1</v>
      </c>
      <c r="F314" s="1147">
        <v>56000</v>
      </c>
      <c r="G314" s="1147">
        <v>56000</v>
      </c>
      <c r="H314" s="450">
        <f>단가대비표!O110</f>
        <v>56000</v>
      </c>
      <c r="I314" s="450">
        <f t="shared" si="45"/>
        <v>56000</v>
      </c>
      <c r="J314" s="1147"/>
      <c r="K314" s="1147"/>
      <c r="L314" s="450"/>
      <c r="M314" s="450"/>
      <c r="N314" s="1147"/>
      <c r="O314" s="1147"/>
      <c r="P314" s="450"/>
      <c r="Q314" s="450"/>
      <c r="R314" s="1147">
        <v>56000</v>
      </c>
      <c r="S314" s="1147">
        <v>56000</v>
      </c>
      <c r="T314" s="450">
        <f t="shared" si="46"/>
        <v>56000</v>
      </c>
      <c r="U314" s="450">
        <f t="shared" si="47"/>
        <v>56000</v>
      </c>
      <c r="V314" s="454"/>
      <c r="W314" s="448"/>
      <c r="X314" s="448"/>
      <c r="Y314" s="448"/>
      <c r="Z314" s="448"/>
      <c r="AA314" s="448"/>
      <c r="AB314" s="448"/>
      <c r="AC314" s="448"/>
      <c r="AD314" s="447"/>
      <c r="AE314" s="447"/>
      <c r="AF314" s="447"/>
      <c r="AG314" s="447"/>
      <c r="AH314" s="447"/>
      <c r="AI314" s="447"/>
      <c r="AJ314" s="447"/>
      <c r="AK314" s="447"/>
      <c r="AL314" s="447"/>
      <c r="AM314" s="447"/>
      <c r="AN314" s="447"/>
      <c r="AO314" s="447"/>
      <c r="AP314" s="447"/>
      <c r="AQ314" s="447"/>
      <c r="AR314" s="447"/>
      <c r="AS314" s="447"/>
      <c r="AT314" s="447"/>
      <c r="AU314" s="447"/>
      <c r="AV314" s="447"/>
      <c r="AW314" s="447"/>
      <c r="AX314" s="447"/>
      <c r="AY314" s="447"/>
      <c r="AZ314" s="447"/>
      <c r="BA314" s="448"/>
      <c r="BB314" s="448"/>
      <c r="BC314" s="447"/>
      <c r="BD314" s="448"/>
      <c r="BE314" s="447"/>
    </row>
    <row r="315" spans="1:57" ht="30" customHeight="1">
      <c r="A315" s="443" t="str">
        <f>'1층전시실산출'!B331</f>
        <v>아크릴 문자(5mm)</v>
      </c>
      <c r="B315" s="443" t="str">
        <f>'1층전시실산출'!C331</f>
        <v>한성백제의</v>
      </c>
      <c r="C315" s="473" t="str">
        <f>'1층전시실산출'!D331</f>
        <v>set</v>
      </c>
      <c r="D315" s="1133">
        <v>1</v>
      </c>
      <c r="E315" s="445">
        <f>'1층전시실산출'!H331</f>
        <v>1</v>
      </c>
      <c r="F315" s="1147">
        <v>144000</v>
      </c>
      <c r="G315" s="1147">
        <v>144000</v>
      </c>
      <c r="H315" s="450">
        <f>단가대비표!O111</f>
        <v>144000</v>
      </c>
      <c r="I315" s="450">
        <f t="shared" si="45"/>
        <v>144000</v>
      </c>
      <c r="J315" s="1147"/>
      <c r="K315" s="1147"/>
      <c r="L315" s="450"/>
      <c r="M315" s="450"/>
      <c r="N315" s="1147"/>
      <c r="O315" s="1147"/>
      <c r="P315" s="450"/>
      <c r="Q315" s="450"/>
      <c r="R315" s="1147">
        <v>144000</v>
      </c>
      <c r="S315" s="1147">
        <v>144000</v>
      </c>
      <c r="T315" s="450">
        <f t="shared" si="46"/>
        <v>144000</v>
      </c>
      <c r="U315" s="450">
        <f t="shared" si="47"/>
        <v>144000</v>
      </c>
      <c r="V315" s="454"/>
      <c r="W315" s="448"/>
      <c r="X315" s="448"/>
      <c r="Y315" s="448"/>
      <c r="Z315" s="448"/>
      <c r="AA315" s="448"/>
      <c r="AB315" s="448"/>
      <c r="AC315" s="448"/>
      <c r="AD315" s="447"/>
      <c r="AE315" s="447"/>
      <c r="AF315" s="447"/>
      <c r="AG315" s="447"/>
      <c r="AH315" s="447"/>
      <c r="AI315" s="447"/>
      <c r="AJ315" s="447"/>
      <c r="AK315" s="447"/>
      <c r="AL315" s="447"/>
      <c r="AM315" s="447"/>
      <c r="AN315" s="447"/>
      <c r="AO315" s="447"/>
      <c r="AP315" s="447"/>
      <c r="AQ315" s="447"/>
      <c r="AR315" s="447"/>
      <c r="AS315" s="447"/>
      <c r="AT315" s="447"/>
      <c r="AU315" s="447"/>
      <c r="AV315" s="447"/>
      <c r="AW315" s="447"/>
      <c r="AX315" s="447"/>
      <c r="AY315" s="447"/>
      <c r="AZ315" s="447"/>
      <c r="BA315" s="448"/>
      <c r="BB315" s="448"/>
      <c r="BC315" s="447"/>
      <c r="BD315" s="448"/>
      <c r="BE315" s="447"/>
    </row>
    <row r="316" spans="1:57" ht="30" customHeight="1">
      <c r="A316" s="443" t="str">
        <f>'1층전시실산출'!B332</f>
        <v>아크릴 문자(5mm)</v>
      </c>
      <c r="B316" s="443" t="str">
        <f>'1층전시실산출'!C332</f>
        <v>간석기</v>
      </c>
      <c r="C316" s="473" t="str">
        <f>'1층전시실산출'!D332</f>
        <v>set</v>
      </c>
      <c r="D316" s="1133">
        <v>1</v>
      </c>
      <c r="E316" s="445">
        <f>'1층전시실산출'!H332</f>
        <v>1</v>
      </c>
      <c r="F316" s="1147">
        <v>45000</v>
      </c>
      <c r="G316" s="1147">
        <v>45000</v>
      </c>
      <c r="H316" s="450">
        <f>단가대비표!O112</f>
        <v>45000</v>
      </c>
      <c r="I316" s="450">
        <f t="shared" si="45"/>
        <v>45000</v>
      </c>
      <c r="J316" s="1147"/>
      <c r="K316" s="1147"/>
      <c r="L316" s="450"/>
      <c r="M316" s="450"/>
      <c r="N316" s="1147"/>
      <c r="O316" s="1147"/>
      <c r="P316" s="450"/>
      <c r="Q316" s="450"/>
      <c r="R316" s="1147">
        <v>45000</v>
      </c>
      <c r="S316" s="1147">
        <v>45000</v>
      </c>
      <c r="T316" s="450">
        <f t="shared" si="46"/>
        <v>45000</v>
      </c>
      <c r="U316" s="450">
        <f t="shared" si="47"/>
        <v>45000</v>
      </c>
      <c r="V316" s="454"/>
      <c r="W316" s="448"/>
      <c r="X316" s="448"/>
      <c r="Y316" s="448"/>
      <c r="Z316" s="448"/>
      <c r="AA316" s="448"/>
      <c r="AB316" s="448"/>
      <c r="AC316" s="448"/>
      <c r="AD316" s="447"/>
      <c r="AE316" s="447"/>
      <c r="AF316" s="447"/>
      <c r="AG316" s="447"/>
      <c r="AH316" s="447"/>
      <c r="AI316" s="447"/>
      <c r="AJ316" s="447"/>
      <c r="AK316" s="447"/>
      <c r="AL316" s="447"/>
      <c r="AM316" s="447"/>
      <c r="AN316" s="447"/>
      <c r="AO316" s="447"/>
      <c r="AP316" s="447"/>
      <c r="AQ316" s="447"/>
      <c r="AR316" s="447"/>
      <c r="AS316" s="447"/>
      <c r="AT316" s="447"/>
      <c r="AU316" s="447"/>
      <c r="AV316" s="447"/>
      <c r="AW316" s="447"/>
      <c r="AX316" s="447"/>
      <c r="AY316" s="447"/>
      <c r="AZ316" s="447"/>
      <c r="BA316" s="448"/>
      <c r="BB316" s="448"/>
      <c r="BC316" s="447"/>
      <c r="BD316" s="448"/>
      <c r="BE316" s="447"/>
    </row>
    <row r="317" spans="1:57" ht="30" customHeight="1">
      <c r="A317" s="443" t="str">
        <f>'1층전시실산출'!B333</f>
        <v>아크릴 문자(5mm)</v>
      </c>
      <c r="B317" s="443" t="str">
        <f>'1층전시실산출'!C333</f>
        <v>뗀석기</v>
      </c>
      <c r="C317" s="473" t="str">
        <f>'1층전시실산출'!D333</f>
        <v>set</v>
      </c>
      <c r="D317" s="1133">
        <v>1</v>
      </c>
      <c r="E317" s="445">
        <f>'1층전시실산출'!H333</f>
        <v>1</v>
      </c>
      <c r="F317" s="1147">
        <v>45000</v>
      </c>
      <c r="G317" s="1147">
        <v>45000</v>
      </c>
      <c r="H317" s="450">
        <f>단가대비표!O113</f>
        <v>45000</v>
      </c>
      <c r="I317" s="450">
        <f t="shared" si="45"/>
        <v>45000</v>
      </c>
      <c r="J317" s="1147"/>
      <c r="K317" s="1147"/>
      <c r="L317" s="450"/>
      <c r="M317" s="450"/>
      <c r="N317" s="1147"/>
      <c r="O317" s="1147"/>
      <c r="P317" s="450"/>
      <c r="Q317" s="450"/>
      <c r="R317" s="1147">
        <v>45000</v>
      </c>
      <c r="S317" s="1147">
        <v>45000</v>
      </c>
      <c r="T317" s="450">
        <f t="shared" si="46"/>
        <v>45000</v>
      </c>
      <c r="U317" s="450">
        <f t="shared" si="47"/>
        <v>45000</v>
      </c>
      <c r="V317" s="454"/>
      <c r="W317" s="448"/>
      <c r="X317" s="448"/>
      <c r="Y317" s="448"/>
      <c r="Z317" s="448"/>
      <c r="AA317" s="448"/>
      <c r="AB317" s="448"/>
      <c r="AC317" s="448"/>
      <c r="AD317" s="447"/>
      <c r="AE317" s="447"/>
      <c r="AF317" s="447"/>
      <c r="AG317" s="447"/>
      <c r="AH317" s="447"/>
      <c r="AI317" s="447"/>
      <c r="AJ317" s="447"/>
      <c r="AK317" s="447"/>
      <c r="AL317" s="447"/>
      <c r="AM317" s="447"/>
      <c r="AN317" s="447"/>
      <c r="AO317" s="447"/>
      <c r="AP317" s="447"/>
      <c r="AQ317" s="447"/>
      <c r="AR317" s="447"/>
      <c r="AS317" s="447"/>
      <c r="AT317" s="447"/>
      <c r="AU317" s="447"/>
      <c r="AV317" s="447"/>
      <c r="AW317" s="447"/>
      <c r="AX317" s="447"/>
      <c r="AY317" s="447"/>
      <c r="AZ317" s="447"/>
      <c r="BA317" s="448"/>
      <c r="BB317" s="448"/>
      <c r="BC317" s="447"/>
      <c r="BD317" s="448"/>
      <c r="BE317" s="447"/>
    </row>
    <row r="318" spans="1:57" ht="30" customHeight="1">
      <c r="A318" s="443" t="str">
        <f>'1층전시실산출'!B334</f>
        <v>아크릴 문자(5mm)</v>
      </c>
      <c r="B318" s="443" t="str">
        <f>'1층전시실산출'!C334</f>
        <v>선사, 고대</v>
      </c>
      <c r="C318" s="473" t="str">
        <f>'1층전시실산출'!D334</f>
        <v>set</v>
      </c>
      <c r="D318" s="1133">
        <v>1</v>
      </c>
      <c r="E318" s="445">
        <f>'1층전시실산출'!H334</f>
        <v>1</v>
      </c>
      <c r="F318" s="1147">
        <v>180000</v>
      </c>
      <c r="G318" s="1147">
        <v>180000</v>
      </c>
      <c r="H318" s="450">
        <f>단가대비표!O114</f>
        <v>180000</v>
      </c>
      <c r="I318" s="450">
        <f t="shared" si="45"/>
        <v>180000</v>
      </c>
      <c r="J318" s="1147"/>
      <c r="K318" s="1147"/>
      <c r="L318" s="450"/>
      <c r="M318" s="450"/>
      <c r="N318" s="1147"/>
      <c r="O318" s="1147"/>
      <c r="P318" s="450"/>
      <c r="Q318" s="450"/>
      <c r="R318" s="1147">
        <v>180000</v>
      </c>
      <c r="S318" s="1147">
        <v>180000</v>
      </c>
      <c r="T318" s="450">
        <f t="shared" si="46"/>
        <v>180000</v>
      </c>
      <c r="U318" s="450">
        <f t="shared" si="47"/>
        <v>180000</v>
      </c>
      <c r="V318" s="454"/>
      <c r="W318" s="448"/>
      <c r="X318" s="448"/>
      <c r="Y318" s="448"/>
      <c r="Z318" s="448"/>
      <c r="AA318" s="448"/>
      <c r="AB318" s="448"/>
      <c r="AC318" s="448"/>
      <c r="AD318" s="447"/>
      <c r="AE318" s="447"/>
      <c r="AF318" s="447"/>
      <c r="AG318" s="447"/>
      <c r="AH318" s="447"/>
      <c r="AI318" s="447"/>
      <c r="AJ318" s="447"/>
      <c r="AK318" s="447"/>
      <c r="AL318" s="447"/>
      <c r="AM318" s="447"/>
      <c r="AN318" s="447"/>
      <c r="AO318" s="447"/>
      <c r="AP318" s="447"/>
      <c r="AQ318" s="447"/>
      <c r="AR318" s="447"/>
      <c r="AS318" s="447"/>
      <c r="AT318" s="447"/>
      <c r="AU318" s="447"/>
      <c r="AV318" s="447"/>
      <c r="AW318" s="447"/>
      <c r="AX318" s="447"/>
      <c r="AY318" s="447"/>
      <c r="AZ318" s="447"/>
      <c r="BA318" s="448"/>
      <c r="BB318" s="448"/>
      <c r="BC318" s="447"/>
      <c r="BD318" s="448"/>
      <c r="BE318" s="447"/>
    </row>
    <row r="319" spans="1:57" ht="30" customHeight="1">
      <c r="A319" s="443" t="str">
        <f>'1층전시실산출'!B335</f>
        <v>아크릴 문자(5mm)</v>
      </c>
      <c r="B319" s="443" t="str">
        <f>'1층전시실산출'!C335</f>
        <v>선사,고대 경기</v>
      </c>
      <c r="C319" s="473" t="str">
        <f>'1층전시실산출'!D335</f>
        <v>set</v>
      </c>
      <c r="D319" s="1133">
        <v>1</v>
      </c>
      <c r="E319" s="445">
        <f>'1층전시실산출'!H335</f>
        <v>1</v>
      </c>
      <c r="F319" s="1147">
        <v>162000</v>
      </c>
      <c r="G319" s="1147">
        <v>162000</v>
      </c>
      <c r="H319" s="450">
        <f>단가대비표!O115</f>
        <v>162000</v>
      </c>
      <c r="I319" s="450">
        <f t="shared" si="45"/>
        <v>162000</v>
      </c>
      <c r="J319" s="1147"/>
      <c r="K319" s="1147"/>
      <c r="L319" s="450"/>
      <c r="M319" s="450"/>
      <c r="N319" s="1147"/>
      <c r="O319" s="1147"/>
      <c r="P319" s="450"/>
      <c r="Q319" s="450"/>
      <c r="R319" s="1147">
        <v>162000</v>
      </c>
      <c r="S319" s="1147">
        <v>162000</v>
      </c>
      <c r="T319" s="450">
        <f t="shared" si="46"/>
        <v>162000</v>
      </c>
      <c r="U319" s="450">
        <f t="shared" si="47"/>
        <v>162000</v>
      </c>
      <c r="V319" s="454"/>
      <c r="W319" s="448"/>
      <c r="X319" s="448"/>
      <c r="Y319" s="448"/>
      <c r="Z319" s="448"/>
      <c r="AA319" s="448"/>
      <c r="AB319" s="448"/>
      <c r="AC319" s="448"/>
      <c r="AD319" s="447"/>
      <c r="AE319" s="447"/>
      <c r="AF319" s="447"/>
      <c r="AG319" s="447"/>
      <c r="AH319" s="447"/>
      <c r="AI319" s="447"/>
      <c r="AJ319" s="447"/>
      <c r="AK319" s="447"/>
      <c r="AL319" s="447"/>
      <c r="AM319" s="447"/>
      <c r="AN319" s="447"/>
      <c r="AO319" s="447"/>
      <c r="AP319" s="447"/>
      <c r="AQ319" s="447"/>
      <c r="AR319" s="447"/>
      <c r="AS319" s="447"/>
      <c r="AT319" s="447"/>
      <c r="AU319" s="447"/>
      <c r="AV319" s="447"/>
      <c r="AW319" s="447"/>
      <c r="AX319" s="447"/>
      <c r="AY319" s="447"/>
      <c r="AZ319" s="447"/>
      <c r="BA319" s="448"/>
      <c r="BB319" s="448"/>
      <c r="BC319" s="447"/>
      <c r="BD319" s="448"/>
      <c r="BE319" s="447"/>
    </row>
    <row r="320" spans="1:57" ht="30" customHeight="1">
      <c r="A320" s="443" t="str">
        <f>'1층전시실산출'!B336</f>
        <v>아크릴 문자(5mm)</v>
      </c>
      <c r="B320" s="443" t="str">
        <f>'1층전시실산출'!C336</f>
        <v>A</v>
      </c>
      <c r="C320" s="473" t="str">
        <f>'1층전시실산출'!D336</f>
        <v>set</v>
      </c>
      <c r="D320" s="1133">
        <v>1</v>
      </c>
      <c r="E320" s="445">
        <f>'1층전시실산출'!H336</f>
        <v>1</v>
      </c>
      <c r="F320" s="1147">
        <v>15000</v>
      </c>
      <c r="G320" s="1147">
        <v>15000</v>
      </c>
      <c r="H320" s="450">
        <f>단가대비표!O116</f>
        <v>15000</v>
      </c>
      <c r="I320" s="450">
        <f t="shared" si="45"/>
        <v>15000</v>
      </c>
      <c r="J320" s="1147"/>
      <c r="K320" s="1147"/>
      <c r="L320" s="450"/>
      <c r="M320" s="450"/>
      <c r="N320" s="1147"/>
      <c r="O320" s="1147"/>
      <c r="P320" s="450"/>
      <c r="Q320" s="450"/>
      <c r="R320" s="1147">
        <v>15000</v>
      </c>
      <c r="S320" s="1147">
        <v>15000</v>
      </c>
      <c r="T320" s="450">
        <f t="shared" si="46"/>
        <v>15000</v>
      </c>
      <c r="U320" s="450">
        <f t="shared" si="47"/>
        <v>15000</v>
      </c>
      <c r="V320" s="454"/>
      <c r="W320" s="448"/>
      <c r="X320" s="448"/>
      <c r="Y320" s="448"/>
      <c r="Z320" s="448"/>
      <c r="AA320" s="448"/>
      <c r="AB320" s="448"/>
      <c r="AC320" s="448"/>
      <c r="AD320" s="447"/>
      <c r="AE320" s="447"/>
      <c r="AF320" s="447"/>
      <c r="AG320" s="447"/>
      <c r="AH320" s="447"/>
      <c r="AI320" s="447"/>
      <c r="AJ320" s="447"/>
      <c r="AK320" s="447"/>
      <c r="AL320" s="447"/>
      <c r="AM320" s="447"/>
      <c r="AN320" s="447"/>
      <c r="AO320" s="447"/>
      <c r="AP320" s="447"/>
      <c r="AQ320" s="447"/>
      <c r="AR320" s="447"/>
      <c r="AS320" s="447"/>
      <c r="AT320" s="447"/>
      <c r="AU320" s="447"/>
      <c r="AV320" s="447"/>
      <c r="AW320" s="447"/>
      <c r="AX320" s="447"/>
      <c r="AY320" s="447"/>
      <c r="AZ320" s="447"/>
      <c r="BA320" s="448"/>
      <c r="BB320" s="448"/>
      <c r="BC320" s="447"/>
      <c r="BD320" s="448"/>
      <c r="BE320" s="447"/>
    </row>
    <row r="321" spans="1:57" ht="30" customHeight="1">
      <c r="A321" s="443" t="str">
        <f>'1층전시실산출'!B337</f>
        <v>아크릴 문자(5mm)</v>
      </c>
      <c r="B321" s="443" t="str">
        <f>'1층전시실산출'!C337</f>
        <v>C</v>
      </c>
      <c r="C321" s="473" t="str">
        <f>'1층전시실산출'!D337</f>
        <v>set</v>
      </c>
      <c r="D321" s="1133">
        <v>2</v>
      </c>
      <c r="E321" s="445">
        <f>'1층전시실산출'!H337</f>
        <v>2</v>
      </c>
      <c r="F321" s="1147">
        <v>15000</v>
      </c>
      <c r="G321" s="1147">
        <v>30000</v>
      </c>
      <c r="H321" s="450">
        <f>단가대비표!O117</f>
        <v>15000</v>
      </c>
      <c r="I321" s="450">
        <f t="shared" si="45"/>
        <v>30000</v>
      </c>
      <c r="J321" s="1147"/>
      <c r="K321" s="1147"/>
      <c r="L321" s="450"/>
      <c r="M321" s="450"/>
      <c r="N321" s="1147"/>
      <c r="O321" s="1147"/>
      <c r="P321" s="450"/>
      <c r="Q321" s="450"/>
      <c r="R321" s="1147">
        <v>15000</v>
      </c>
      <c r="S321" s="1147">
        <v>30000</v>
      </c>
      <c r="T321" s="450">
        <f t="shared" si="46"/>
        <v>15000</v>
      </c>
      <c r="U321" s="450">
        <f t="shared" si="47"/>
        <v>30000</v>
      </c>
      <c r="V321" s="454"/>
      <c r="W321" s="448"/>
      <c r="X321" s="448"/>
      <c r="Y321" s="448"/>
      <c r="Z321" s="448"/>
      <c r="AA321" s="448"/>
      <c r="AB321" s="448"/>
      <c r="AC321" s="448"/>
      <c r="AD321" s="447"/>
      <c r="AE321" s="447"/>
      <c r="AF321" s="447"/>
      <c r="AG321" s="447"/>
      <c r="AH321" s="447"/>
      <c r="AI321" s="447"/>
      <c r="AJ321" s="447"/>
      <c r="AK321" s="447"/>
      <c r="AL321" s="447"/>
      <c r="AM321" s="447"/>
      <c r="AN321" s="447"/>
      <c r="AO321" s="447"/>
      <c r="AP321" s="447"/>
      <c r="AQ321" s="447"/>
      <c r="AR321" s="447"/>
      <c r="AS321" s="447"/>
      <c r="AT321" s="447"/>
      <c r="AU321" s="447"/>
      <c r="AV321" s="447"/>
      <c r="AW321" s="447"/>
      <c r="AX321" s="447"/>
      <c r="AY321" s="447"/>
      <c r="AZ321" s="447"/>
      <c r="BA321" s="448"/>
      <c r="BB321" s="448"/>
      <c r="BC321" s="447"/>
      <c r="BD321" s="448"/>
      <c r="BE321" s="447"/>
    </row>
    <row r="322" spans="1:57" ht="30" customHeight="1">
      <c r="A322" s="443" t="str">
        <f>'1층전시실산출'!B338</f>
        <v>아크릴 문자(5mm)</v>
      </c>
      <c r="B322" s="443" t="str">
        <f>'1층전시실산출'!C338</f>
        <v>D</v>
      </c>
      <c r="C322" s="473" t="str">
        <f>'1층전시실산출'!D338</f>
        <v>set</v>
      </c>
      <c r="D322" s="1133">
        <v>1</v>
      </c>
      <c r="E322" s="445">
        <f>'1층전시실산출'!H338</f>
        <v>1</v>
      </c>
      <c r="F322" s="1147">
        <v>15000</v>
      </c>
      <c r="G322" s="1147">
        <v>15000</v>
      </c>
      <c r="H322" s="450">
        <f>단가대비표!O118</f>
        <v>15000</v>
      </c>
      <c r="I322" s="450">
        <f t="shared" si="45"/>
        <v>15000</v>
      </c>
      <c r="J322" s="1147"/>
      <c r="K322" s="1147"/>
      <c r="L322" s="450"/>
      <c r="M322" s="450"/>
      <c r="N322" s="1147"/>
      <c r="O322" s="1147"/>
      <c r="P322" s="450"/>
      <c r="Q322" s="450"/>
      <c r="R322" s="1147">
        <v>15000</v>
      </c>
      <c r="S322" s="1147">
        <v>15000</v>
      </c>
      <c r="T322" s="450">
        <f t="shared" si="46"/>
        <v>15000</v>
      </c>
      <c r="U322" s="450">
        <f t="shared" si="47"/>
        <v>15000</v>
      </c>
      <c r="V322" s="454"/>
      <c r="W322" s="448"/>
      <c r="X322" s="448"/>
      <c r="Y322" s="448"/>
      <c r="Z322" s="448"/>
      <c r="AA322" s="448"/>
      <c r="AB322" s="448"/>
      <c r="AC322" s="448"/>
      <c r="AD322" s="447"/>
      <c r="AE322" s="447"/>
      <c r="AF322" s="447"/>
      <c r="AG322" s="447"/>
      <c r="AH322" s="447"/>
      <c r="AI322" s="447"/>
      <c r="AJ322" s="447"/>
      <c r="AK322" s="447"/>
      <c r="AL322" s="447"/>
      <c r="AM322" s="447"/>
      <c r="AN322" s="447"/>
      <c r="AO322" s="447"/>
      <c r="AP322" s="447"/>
      <c r="AQ322" s="447"/>
      <c r="AR322" s="447"/>
      <c r="AS322" s="447"/>
      <c r="AT322" s="447"/>
      <c r="AU322" s="447"/>
      <c r="AV322" s="447"/>
      <c r="AW322" s="447"/>
      <c r="AX322" s="447"/>
      <c r="AY322" s="447"/>
      <c r="AZ322" s="447"/>
      <c r="BA322" s="448"/>
      <c r="BB322" s="448"/>
      <c r="BC322" s="447"/>
      <c r="BD322" s="448"/>
      <c r="BE322" s="447"/>
    </row>
    <row r="323" spans="1:57" ht="30" customHeight="1">
      <c r="A323" s="443" t="s">
        <v>431</v>
      </c>
      <c r="B323" s="443" t="s">
        <v>442</v>
      </c>
      <c r="C323" s="443" t="s">
        <v>321</v>
      </c>
      <c r="D323" s="1133">
        <v>1</v>
      </c>
      <c r="E323" s="445">
        <f>'1층전시실산출'!H339</f>
        <v>1</v>
      </c>
      <c r="F323" s="1147">
        <v>29500</v>
      </c>
      <c r="G323" s="1147">
        <v>29500</v>
      </c>
      <c r="H323" s="450">
        <f>단가대비표!O119</f>
        <v>29500</v>
      </c>
      <c r="I323" s="450">
        <f t="shared" si="45"/>
        <v>29500</v>
      </c>
      <c r="J323" s="1147"/>
      <c r="K323" s="1147">
        <v>0</v>
      </c>
      <c r="L323" s="450"/>
      <c r="M323" s="450">
        <f t="shared" ref="M323:M339" si="48">TRUNC(L323*E323, 0)</f>
        <v>0</v>
      </c>
      <c r="N323" s="1147"/>
      <c r="O323" s="1147">
        <v>0</v>
      </c>
      <c r="P323" s="450"/>
      <c r="Q323" s="450">
        <f t="shared" ref="Q323:Q340" si="49">TRUNC(P323*E323, 0)</f>
        <v>0</v>
      </c>
      <c r="R323" s="1147">
        <v>29500</v>
      </c>
      <c r="S323" s="1147">
        <v>29500</v>
      </c>
      <c r="T323" s="450">
        <f t="shared" si="46"/>
        <v>29500</v>
      </c>
      <c r="U323" s="450">
        <f t="shared" si="47"/>
        <v>29500</v>
      </c>
      <c r="V323" s="454" t="s">
        <v>51</v>
      </c>
      <c r="W323" s="448" t="s">
        <v>435</v>
      </c>
      <c r="X323" s="448" t="s">
        <v>51</v>
      </c>
      <c r="Y323" s="448" t="s">
        <v>51</v>
      </c>
      <c r="Z323" s="448" t="s">
        <v>422</v>
      </c>
      <c r="AA323" s="448" t="s">
        <v>62</v>
      </c>
      <c r="AB323" s="448" t="s">
        <v>62</v>
      </c>
      <c r="AC323" s="448" t="s">
        <v>61</v>
      </c>
      <c r="AD323" s="447"/>
      <c r="AE323" s="447"/>
      <c r="AF323" s="447"/>
      <c r="AG323" s="447"/>
      <c r="AH323" s="447"/>
      <c r="AI323" s="447"/>
      <c r="AJ323" s="447"/>
      <c r="AK323" s="447"/>
      <c r="AL323" s="447"/>
      <c r="AM323" s="447"/>
      <c r="AN323" s="447"/>
      <c r="AO323" s="447"/>
      <c r="AP323" s="447"/>
      <c r="AQ323" s="447"/>
      <c r="AR323" s="447"/>
      <c r="AS323" s="447"/>
      <c r="AT323" s="447"/>
      <c r="AU323" s="447"/>
      <c r="AV323" s="447"/>
      <c r="AW323" s="447"/>
      <c r="AX323" s="447"/>
      <c r="AY323" s="447"/>
      <c r="AZ323" s="447"/>
      <c r="BA323" s="448" t="s">
        <v>51</v>
      </c>
      <c r="BB323" s="448" t="s">
        <v>51</v>
      </c>
      <c r="BC323" s="447"/>
      <c r="BD323" s="448" t="s">
        <v>436</v>
      </c>
      <c r="BE323" s="447">
        <v>283</v>
      </c>
    </row>
    <row r="324" spans="1:57" ht="30" customHeight="1">
      <c r="A324" s="443" t="s">
        <v>431</v>
      </c>
      <c r="B324" s="443" t="s">
        <v>438</v>
      </c>
      <c r="C324" s="443" t="s">
        <v>321</v>
      </c>
      <c r="D324" s="1133">
        <v>3</v>
      </c>
      <c r="E324" s="445">
        <f>'1층전시실산출'!H340</f>
        <v>3</v>
      </c>
      <c r="F324" s="1147">
        <v>18500</v>
      </c>
      <c r="G324" s="1147">
        <v>55500</v>
      </c>
      <c r="H324" s="450">
        <f>단가대비표!O120</f>
        <v>18500</v>
      </c>
      <c r="I324" s="450">
        <f t="shared" si="45"/>
        <v>55500</v>
      </c>
      <c r="J324" s="1147"/>
      <c r="K324" s="1147">
        <v>0</v>
      </c>
      <c r="L324" s="450"/>
      <c r="M324" s="450">
        <f t="shared" si="48"/>
        <v>0</v>
      </c>
      <c r="N324" s="1147"/>
      <c r="O324" s="1147">
        <v>0</v>
      </c>
      <c r="P324" s="450"/>
      <c r="Q324" s="450">
        <f t="shared" si="49"/>
        <v>0</v>
      </c>
      <c r="R324" s="1147">
        <v>18500</v>
      </c>
      <c r="S324" s="1147">
        <v>55500</v>
      </c>
      <c r="T324" s="450">
        <f t="shared" si="46"/>
        <v>18500</v>
      </c>
      <c r="U324" s="450">
        <f t="shared" si="47"/>
        <v>55500</v>
      </c>
      <c r="V324" s="454" t="s">
        <v>51</v>
      </c>
      <c r="W324" s="448" t="s">
        <v>445</v>
      </c>
      <c r="X324" s="448" t="s">
        <v>51</v>
      </c>
      <c r="Y324" s="448" t="s">
        <v>51</v>
      </c>
      <c r="Z324" s="448" t="s">
        <v>422</v>
      </c>
      <c r="AA324" s="448" t="s">
        <v>62</v>
      </c>
      <c r="AB324" s="448" t="s">
        <v>62</v>
      </c>
      <c r="AC324" s="448" t="s">
        <v>61</v>
      </c>
      <c r="AD324" s="447"/>
      <c r="AE324" s="447"/>
      <c r="AF324" s="447"/>
      <c r="AG324" s="447"/>
      <c r="AH324" s="447"/>
      <c r="AI324" s="447"/>
      <c r="AJ324" s="447"/>
      <c r="AK324" s="447"/>
      <c r="AL324" s="447"/>
      <c r="AM324" s="447"/>
      <c r="AN324" s="447"/>
      <c r="AO324" s="447"/>
      <c r="AP324" s="447"/>
      <c r="AQ324" s="447"/>
      <c r="AR324" s="447"/>
      <c r="AS324" s="447"/>
      <c r="AT324" s="447"/>
      <c r="AU324" s="447"/>
      <c r="AV324" s="447"/>
      <c r="AW324" s="447"/>
      <c r="AX324" s="447"/>
      <c r="AY324" s="447"/>
      <c r="AZ324" s="447"/>
      <c r="BA324" s="448" t="s">
        <v>51</v>
      </c>
      <c r="BB324" s="448" t="s">
        <v>51</v>
      </c>
      <c r="BC324" s="447"/>
      <c r="BD324" s="448" t="s">
        <v>446</v>
      </c>
      <c r="BE324" s="447">
        <v>293</v>
      </c>
    </row>
    <row r="325" spans="1:57" ht="30" customHeight="1">
      <c r="A325" s="443" t="s">
        <v>431</v>
      </c>
      <c r="B325" s="443" t="s">
        <v>439</v>
      </c>
      <c r="C325" s="443" t="s">
        <v>321</v>
      </c>
      <c r="D325" s="1133">
        <v>6</v>
      </c>
      <c r="E325" s="445">
        <f>'1층전시실산출'!H341</f>
        <v>6</v>
      </c>
      <c r="F325" s="1147">
        <v>5250</v>
      </c>
      <c r="G325" s="1147">
        <v>31500</v>
      </c>
      <c r="H325" s="450">
        <f>단가대비표!O121</f>
        <v>5250</v>
      </c>
      <c r="I325" s="450">
        <f t="shared" si="45"/>
        <v>31500</v>
      </c>
      <c r="J325" s="1147"/>
      <c r="K325" s="1147">
        <v>0</v>
      </c>
      <c r="L325" s="450"/>
      <c r="M325" s="450">
        <f t="shared" si="48"/>
        <v>0</v>
      </c>
      <c r="N325" s="1147"/>
      <c r="O325" s="1147">
        <v>0</v>
      </c>
      <c r="P325" s="450"/>
      <c r="Q325" s="450">
        <f t="shared" si="49"/>
        <v>0</v>
      </c>
      <c r="R325" s="1147">
        <v>5250</v>
      </c>
      <c r="S325" s="1147">
        <v>31500</v>
      </c>
      <c r="T325" s="450">
        <f t="shared" si="46"/>
        <v>5250</v>
      </c>
      <c r="U325" s="450">
        <f t="shared" si="47"/>
        <v>31500</v>
      </c>
      <c r="V325" s="454" t="s">
        <v>51</v>
      </c>
      <c r="W325" s="448" t="s">
        <v>447</v>
      </c>
      <c r="X325" s="448" t="s">
        <v>51</v>
      </c>
      <c r="Y325" s="448" t="s">
        <v>51</v>
      </c>
      <c r="Z325" s="448" t="s">
        <v>422</v>
      </c>
      <c r="AA325" s="448" t="s">
        <v>62</v>
      </c>
      <c r="AB325" s="448" t="s">
        <v>62</v>
      </c>
      <c r="AC325" s="448" t="s">
        <v>61</v>
      </c>
      <c r="AD325" s="447"/>
      <c r="AE325" s="447"/>
      <c r="AF325" s="447"/>
      <c r="AG325" s="447"/>
      <c r="AH325" s="447"/>
      <c r="AI325" s="447"/>
      <c r="AJ325" s="447"/>
      <c r="AK325" s="447"/>
      <c r="AL325" s="447"/>
      <c r="AM325" s="447"/>
      <c r="AN325" s="447"/>
      <c r="AO325" s="447"/>
      <c r="AP325" s="447"/>
      <c r="AQ325" s="447"/>
      <c r="AR325" s="447"/>
      <c r="AS325" s="447"/>
      <c r="AT325" s="447"/>
      <c r="AU325" s="447"/>
      <c r="AV325" s="447"/>
      <c r="AW325" s="447"/>
      <c r="AX325" s="447"/>
      <c r="AY325" s="447"/>
      <c r="AZ325" s="447"/>
      <c r="BA325" s="448" t="s">
        <v>51</v>
      </c>
      <c r="BB325" s="448" t="s">
        <v>51</v>
      </c>
      <c r="BC325" s="447"/>
      <c r="BD325" s="448" t="s">
        <v>448</v>
      </c>
      <c r="BE325" s="447">
        <v>294</v>
      </c>
    </row>
    <row r="326" spans="1:57" ht="30" customHeight="1">
      <c r="A326" s="443" t="s">
        <v>431</v>
      </c>
      <c r="B326" s="443" t="s">
        <v>440</v>
      </c>
      <c r="C326" s="443" t="s">
        <v>321</v>
      </c>
      <c r="D326" s="1133">
        <v>8</v>
      </c>
      <c r="E326" s="445">
        <f>'1층전시실산출'!H342</f>
        <v>8</v>
      </c>
      <c r="F326" s="1147">
        <v>5250</v>
      </c>
      <c r="G326" s="1147">
        <v>42000</v>
      </c>
      <c r="H326" s="450">
        <f>단가대비표!O122</f>
        <v>5250</v>
      </c>
      <c r="I326" s="450">
        <f t="shared" si="45"/>
        <v>42000</v>
      </c>
      <c r="J326" s="1147"/>
      <c r="K326" s="1147">
        <v>0</v>
      </c>
      <c r="L326" s="450"/>
      <c r="M326" s="450">
        <f t="shared" si="48"/>
        <v>0</v>
      </c>
      <c r="N326" s="1147"/>
      <c r="O326" s="1147">
        <v>0</v>
      </c>
      <c r="P326" s="450"/>
      <c r="Q326" s="450">
        <f t="shared" si="49"/>
        <v>0</v>
      </c>
      <c r="R326" s="1147">
        <v>5250</v>
      </c>
      <c r="S326" s="1147">
        <v>42000</v>
      </c>
      <c r="T326" s="450">
        <f t="shared" si="46"/>
        <v>5250</v>
      </c>
      <c r="U326" s="450">
        <f t="shared" si="47"/>
        <v>42000</v>
      </c>
      <c r="V326" s="454" t="s">
        <v>51</v>
      </c>
      <c r="W326" s="448" t="s">
        <v>450</v>
      </c>
      <c r="X326" s="448" t="s">
        <v>51</v>
      </c>
      <c r="Y326" s="448" t="s">
        <v>51</v>
      </c>
      <c r="Z326" s="448" t="s">
        <v>422</v>
      </c>
      <c r="AA326" s="448" t="s">
        <v>62</v>
      </c>
      <c r="AB326" s="448" t="s">
        <v>62</v>
      </c>
      <c r="AC326" s="448" t="s">
        <v>61</v>
      </c>
      <c r="AD326" s="447"/>
      <c r="AE326" s="447"/>
      <c r="AF326" s="447"/>
      <c r="AG326" s="447"/>
      <c r="AH326" s="447"/>
      <c r="AI326" s="447"/>
      <c r="AJ326" s="447"/>
      <c r="AK326" s="447"/>
      <c r="AL326" s="447"/>
      <c r="AM326" s="447"/>
      <c r="AN326" s="447"/>
      <c r="AO326" s="447"/>
      <c r="AP326" s="447"/>
      <c r="AQ326" s="447"/>
      <c r="AR326" s="447"/>
      <c r="AS326" s="447"/>
      <c r="AT326" s="447"/>
      <c r="AU326" s="447"/>
      <c r="AV326" s="447"/>
      <c r="AW326" s="447"/>
      <c r="AX326" s="447"/>
      <c r="AY326" s="447"/>
      <c r="AZ326" s="447"/>
      <c r="BA326" s="448" t="s">
        <v>51</v>
      </c>
      <c r="BB326" s="448" t="s">
        <v>51</v>
      </c>
      <c r="BC326" s="447"/>
      <c r="BD326" s="448" t="s">
        <v>451</v>
      </c>
      <c r="BE326" s="447">
        <v>295</v>
      </c>
    </row>
    <row r="327" spans="1:57" ht="30" customHeight="1">
      <c r="A327" s="443" t="s">
        <v>431</v>
      </c>
      <c r="B327" s="443" t="s">
        <v>441</v>
      </c>
      <c r="C327" s="443" t="s">
        <v>321</v>
      </c>
      <c r="D327" s="1133">
        <v>8</v>
      </c>
      <c r="E327" s="445">
        <f>'1층전시실산출'!H343</f>
        <v>8</v>
      </c>
      <c r="F327" s="1147">
        <v>15750</v>
      </c>
      <c r="G327" s="1147">
        <v>126000</v>
      </c>
      <c r="H327" s="450">
        <f>단가대비표!O123</f>
        <v>15750</v>
      </c>
      <c r="I327" s="450">
        <f t="shared" si="45"/>
        <v>126000</v>
      </c>
      <c r="J327" s="1147"/>
      <c r="K327" s="1147">
        <v>0</v>
      </c>
      <c r="L327" s="450"/>
      <c r="M327" s="450">
        <f t="shared" si="48"/>
        <v>0</v>
      </c>
      <c r="N327" s="1147"/>
      <c r="O327" s="1147">
        <v>0</v>
      </c>
      <c r="P327" s="450"/>
      <c r="Q327" s="450">
        <f t="shared" si="49"/>
        <v>0</v>
      </c>
      <c r="R327" s="1147">
        <v>15750</v>
      </c>
      <c r="S327" s="1147">
        <v>126000</v>
      </c>
      <c r="T327" s="450">
        <f t="shared" si="46"/>
        <v>15750</v>
      </c>
      <c r="U327" s="450">
        <f t="shared" si="47"/>
        <v>126000</v>
      </c>
      <c r="V327" s="454" t="s">
        <v>51</v>
      </c>
      <c r="W327" s="448" t="s">
        <v>453</v>
      </c>
      <c r="X327" s="448" t="s">
        <v>51</v>
      </c>
      <c r="Y327" s="448" t="s">
        <v>51</v>
      </c>
      <c r="Z327" s="448" t="s">
        <v>422</v>
      </c>
      <c r="AA327" s="448" t="s">
        <v>62</v>
      </c>
      <c r="AB327" s="448" t="s">
        <v>62</v>
      </c>
      <c r="AC327" s="448" t="s">
        <v>61</v>
      </c>
      <c r="AD327" s="447"/>
      <c r="AE327" s="447"/>
      <c r="AF327" s="447"/>
      <c r="AG327" s="447"/>
      <c r="AH327" s="447"/>
      <c r="AI327" s="447"/>
      <c r="AJ327" s="447"/>
      <c r="AK327" s="447"/>
      <c r="AL327" s="447"/>
      <c r="AM327" s="447"/>
      <c r="AN327" s="447"/>
      <c r="AO327" s="447"/>
      <c r="AP327" s="447"/>
      <c r="AQ327" s="447"/>
      <c r="AR327" s="447"/>
      <c r="AS327" s="447"/>
      <c r="AT327" s="447"/>
      <c r="AU327" s="447"/>
      <c r="AV327" s="447"/>
      <c r="AW327" s="447"/>
      <c r="AX327" s="447"/>
      <c r="AY327" s="447"/>
      <c r="AZ327" s="447"/>
      <c r="BA327" s="448" t="s">
        <v>51</v>
      </c>
      <c r="BB327" s="448" t="s">
        <v>51</v>
      </c>
      <c r="BC327" s="447"/>
      <c r="BD327" s="448" t="s">
        <v>454</v>
      </c>
      <c r="BE327" s="447">
        <v>296</v>
      </c>
    </row>
    <row r="328" spans="1:57" ht="30" customHeight="1">
      <c r="A328" s="443" t="s">
        <v>449</v>
      </c>
      <c r="B328" s="443" t="s">
        <v>477</v>
      </c>
      <c r="C328" s="443" t="s">
        <v>321</v>
      </c>
      <c r="D328" s="1133">
        <v>1</v>
      </c>
      <c r="E328" s="445">
        <f>'1층전시실산출'!H344</f>
        <v>1</v>
      </c>
      <c r="F328" s="1147">
        <v>72000</v>
      </c>
      <c r="G328" s="1147">
        <v>72000</v>
      </c>
      <c r="H328" s="450">
        <f>단가대비표!O124</f>
        <v>72000</v>
      </c>
      <c r="I328" s="450">
        <f t="shared" si="45"/>
        <v>72000</v>
      </c>
      <c r="J328" s="1147">
        <v>0</v>
      </c>
      <c r="K328" s="1147">
        <v>0</v>
      </c>
      <c r="L328" s="450">
        <f>TRUNC(단가대비표!P134,0)</f>
        <v>0</v>
      </c>
      <c r="M328" s="450">
        <f t="shared" si="48"/>
        <v>0</v>
      </c>
      <c r="N328" s="1147"/>
      <c r="O328" s="1147">
        <v>0</v>
      </c>
      <c r="P328" s="450"/>
      <c r="Q328" s="450">
        <f t="shared" si="49"/>
        <v>0</v>
      </c>
      <c r="R328" s="1147">
        <v>72000</v>
      </c>
      <c r="S328" s="1147">
        <v>72000</v>
      </c>
      <c r="T328" s="450">
        <f t="shared" si="46"/>
        <v>72000</v>
      </c>
      <c r="U328" s="450">
        <f t="shared" si="47"/>
        <v>72000</v>
      </c>
      <c r="V328" s="454" t="s">
        <v>51</v>
      </c>
      <c r="W328" s="448" t="s">
        <v>456</v>
      </c>
      <c r="X328" s="448" t="s">
        <v>51</v>
      </c>
      <c r="Y328" s="448" t="s">
        <v>51</v>
      </c>
      <c r="Z328" s="448" t="s">
        <v>422</v>
      </c>
      <c r="AA328" s="448" t="s">
        <v>62</v>
      </c>
      <c r="AB328" s="448" t="s">
        <v>62</v>
      </c>
      <c r="AC328" s="448" t="s">
        <v>61</v>
      </c>
      <c r="AD328" s="447"/>
      <c r="AE328" s="447"/>
      <c r="AF328" s="447"/>
      <c r="AG328" s="447"/>
      <c r="AH328" s="447"/>
      <c r="AI328" s="447"/>
      <c r="AJ328" s="447"/>
      <c r="AK328" s="447"/>
      <c r="AL328" s="447"/>
      <c r="AM328" s="447"/>
      <c r="AN328" s="447"/>
      <c r="AO328" s="447"/>
      <c r="AP328" s="447"/>
      <c r="AQ328" s="447"/>
      <c r="AR328" s="447"/>
      <c r="AS328" s="447"/>
      <c r="AT328" s="447"/>
      <c r="AU328" s="447"/>
      <c r="AV328" s="447"/>
      <c r="AW328" s="447"/>
      <c r="AX328" s="447"/>
      <c r="AY328" s="447"/>
      <c r="AZ328" s="447"/>
      <c r="BA328" s="448" t="s">
        <v>51</v>
      </c>
      <c r="BB328" s="448" t="s">
        <v>51</v>
      </c>
      <c r="BC328" s="447"/>
      <c r="BD328" s="448" t="s">
        <v>457</v>
      </c>
      <c r="BE328" s="447">
        <v>297</v>
      </c>
    </row>
    <row r="329" spans="1:57" ht="30" customHeight="1">
      <c r="A329" s="443" t="s">
        <v>449</v>
      </c>
      <c r="B329" s="443" t="s">
        <v>480</v>
      </c>
      <c r="C329" s="443" t="s">
        <v>321</v>
      </c>
      <c r="D329" s="1133">
        <v>3</v>
      </c>
      <c r="E329" s="445">
        <f>'1층전시실산출'!H345</f>
        <v>3</v>
      </c>
      <c r="F329" s="1147">
        <v>432000</v>
      </c>
      <c r="G329" s="1147">
        <v>1296000</v>
      </c>
      <c r="H329" s="450">
        <f>단가대비표!O125</f>
        <v>432000</v>
      </c>
      <c r="I329" s="450">
        <f t="shared" si="45"/>
        <v>1296000</v>
      </c>
      <c r="J329" s="1147">
        <v>0</v>
      </c>
      <c r="K329" s="1147">
        <v>0</v>
      </c>
      <c r="L329" s="450">
        <f>TRUNC(단가대비표!P135,0)</f>
        <v>0</v>
      </c>
      <c r="M329" s="450">
        <f t="shared" si="48"/>
        <v>0</v>
      </c>
      <c r="N329" s="1147">
        <v>0</v>
      </c>
      <c r="O329" s="1147">
        <v>0</v>
      </c>
      <c r="P329" s="450">
        <f>TRUNC(단가대비표!V135,0)</f>
        <v>0</v>
      </c>
      <c r="Q329" s="450">
        <f t="shared" si="49"/>
        <v>0</v>
      </c>
      <c r="R329" s="1147">
        <v>432000</v>
      </c>
      <c r="S329" s="1147">
        <v>1296000</v>
      </c>
      <c r="T329" s="450">
        <f t="shared" si="46"/>
        <v>432000</v>
      </c>
      <c r="U329" s="450">
        <f t="shared" si="47"/>
        <v>1296000</v>
      </c>
      <c r="V329" s="454" t="s">
        <v>51</v>
      </c>
      <c r="W329" s="448" t="s">
        <v>458</v>
      </c>
      <c r="X329" s="448" t="s">
        <v>51</v>
      </c>
      <c r="Y329" s="448" t="s">
        <v>51</v>
      </c>
      <c r="Z329" s="448" t="s">
        <v>422</v>
      </c>
      <c r="AA329" s="448" t="s">
        <v>62</v>
      </c>
      <c r="AB329" s="448" t="s">
        <v>62</v>
      </c>
      <c r="AC329" s="448" t="s">
        <v>61</v>
      </c>
      <c r="AD329" s="447"/>
      <c r="AE329" s="447"/>
      <c r="AF329" s="447"/>
      <c r="AG329" s="447"/>
      <c r="AH329" s="447"/>
      <c r="AI329" s="447"/>
      <c r="AJ329" s="447"/>
      <c r="AK329" s="447"/>
      <c r="AL329" s="447"/>
      <c r="AM329" s="447"/>
      <c r="AN329" s="447"/>
      <c r="AO329" s="447"/>
      <c r="AP329" s="447"/>
      <c r="AQ329" s="447"/>
      <c r="AR329" s="447"/>
      <c r="AS329" s="447"/>
      <c r="AT329" s="447"/>
      <c r="AU329" s="447"/>
      <c r="AV329" s="447"/>
      <c r="AW329" s="447"/>
      <c r="AX329" s="447"/>
      <c r="AY329" s="447"/>
      <c r="AZ329" s="447"/>
      <c r="BA329" s="448" t="s">
        <v>51</v>
      </c>
      <c r="BB329" s="448" t="s">
        <v>51</v>
      </c>
      <c r="BC329" s="447"/>
      <c r="BD329" s="448" t="s">
        <v>459</v>
      </c>
      <c r="BE329" s="447">
        <v>298</v>
      </c>
    </row>
    <row r="330" spans="1:57" ht="30" customHeight="1">
      <c r="A330" s="443" t="s">
        <v>449</v>
      </c>
      <c r="B330" s="443" t="s">
        <v>432</v>
      </c>
      <c r="C330" s="443" t="s">
        <v>321</v>
      </c>
      <c r="D330" s="1133">
        <v>4</v>
      </c>
      <c r="E330" s="445">
        <f>'1층전시실산출'!H346</f>
        <v>4</v>
      </c>
      <c r="F330" s="1147">
        <v>3600</v>
      </c>
      <c r="G330" s="1147">
        <v>14400</v>
      </c>
      <c r="H330" s="450">
        <f>단가대비표!O126</f>
        <v>3600</v>
      </c>
      <c r="I330" s="450">
        <f t="shared" si="45"/>
        <v>14400</v>
      </c>
      <c r="J330" s="1147">
        <v>0</v>
      </c>
      <c r="K330" s="1147">
        <v>0</v>
      </c>
      <c r="L330" s="450">
        <f>TRUNC(단가대비표!P124,0)</f>
        <v>0</v>
      </c>
      <c r="M330" s="450">
        <f t="shared" si="48"/>
        <v>0</v>
      </c>
      <c r="N330" s="1147">
        <v>0</v>
      </c>
      <c r="O330" s="1147">
        <v>0</v>
      </c>
      <c r="P330" s="450">
        <f>TRUNC(단가대비표!V124,0)</f>
        <v>0</v>
      </c>
      <c r="Q330" s="450">
        <f t="shared" si="49"/>
        <v>0</v>
      </c>
      <c r="R330" s="1147">
        <v>3600</v>
      </c>
      <c r="S330" s="1147">
        <v>14400</v>
      </c>
      <c r="T330" s="450">
        <f t="shared" si="46"/>
        <v>3600</v>
      </c>
      <c r="U330" s="450">
        <f t="shared" si="47"/>
        <v>14400</v>
      </c>
      <c r="V330" s="454" t="s">
        <v>51</v>
      </c>
      <c r="W330" s="448" t="s">
        <v>461</v>
      </c>
      <c r="X330" s="448" t="s">
        <v>51</v>
      </c>
      <c r="Y330" s="448" t="s">
        <v>51</v>
      </c>
      <c r="Z330" s="448" t="s">
        <v>422</v>
      </c>
      <c r="AA330" s="448" t="s">
        <v>62</v>
      </c>
      <c r="AB330" s="448" t="s">
        <v>62</v>
      </c>
      <c r="AC330" s="448" t="s">
        <v>61</v>
      </c>
      <c r="AD330" s="447"/>
      <c r="AE330" s="447"/>
      <c r="AF330" s="447"/>
      <c r="AG330" s="447"/>
      <c r="AH330" s="447"/>
      <c r="AI330" s="447"/>
      <c r="AJ330" s="447"/>
      <c r="AK330" s="447"/>
      <c r="AL330" s="447"/>
      <c r="AM330" s="447"/>
      <c r="AN330" s="447"/>
      <c r="AO330" s="447"/>
      <c r="AP330" s="447"/>
      <c r="AQ330" s="447"/>
      <c r="AR330" s="447"/>
      <c r="AS330" s="447"/>
      <c r="AT330" s="447"/>
      <c r="AU330" s="447"/>
      <c r="AV330" s="447"/>
      <c r="AW330" s="447"/>
      <c r="AX330" s="447"/>
      <c r="AY330" s="447"/>
      <c r="AZ330" s="447"/>
      <c r="BA330" s="448" t="s">
        <v>51</v>
      </c>
      <c r="BB330" s="448" t="s">
        <v>51</v>
      </c>
      <c r="BC330" s="447"/>
      <c r="BD330" s="448" t="s">
        <v>462</v>
      </c>
      <c r="BE330" s="447">
        <v>299</v>
      </c>
    </row>
    <row r="331" spans="1:57" ht="30" customHeight="1">
      <c r="A331" s="443" t="s">
        <v>449</v>
      </c>
      <c r="B331" s="443" t="s">
        <v>452</v>
      </c>
      <c r="C331" s="443" t="s">
        <v>321</v>
      </c>
      <c r="D331" s="1133">
        <v>1</v>
      </c>
      <c r="E331" s="445">
        <f>'1층전시실산출'!H347</f>
        <v>1</v>
      </c>
      <c r="F331" s="1147">
        <v>3600</v>
      </c>
      <c r="G331" s="1147">
        <v>3600</v>
      </c>
      <c r="H331" s="450">
        <f>단가대비표!O127</f>
        <v>3600</v>
      </c>
      <c r="I331" s="450">
        <f t="shared" si="45"/>
        <v>3600</v>
      </c>
      <c r="J331" s="1147">
        <v>0</v>
      </c>
      <c r="K331" s="1147">
        <v>0</v>
      </c>
      <c r="L331" s="450">
        <f>TRUNC(단가대비표!P125,0)</f>
        <v>0</v>
      </c>
      <c r="M331" s="450">
        <f t="shared" si="48"/>
        <v>0</v>
      </c>
      <c r="N331" s="1147">
        <v>0</v>
      </c>
      <c r="O331" s="1147">
        <v>0</v>
      </c>
      <c r="P331" s="450">
        <f>TRUNC(단가대비표!V125,0)</f>
        <v>0</v>
      </c>
      <c r="Q331" s="450">
        <f t="shared" si="49"/>
        <v>0</v>
      </c>
      <c r="R331" s="1147">
        <v>3600</v>
      </c>
      <c r="S331" s="1147">
        <v>3600</v>
      </c>
      <c r="T331" s="450">
        <f t="shared" si="46"/>
        <v>3600</v>
      </c>
      <c r="U331" s="450">
        <f t="shared" si="47"/>
        <v>3600</v>
      </c>
      <c r="V331" s="454" t="s">
        <v>51</v>
      </c>
      <c r="W331" s="448" t="s">
        <v>464</v>
      </c>
      <c r="X331" s="448" t="s">
        <v>51</v>
      </c>
      <c r="Y331" s="448" t="s">
        <v>51</v>
      </c>
      <c r="Z331" s="448" t="s">
        <v>422</v>
      </c>
      <c r="AA331" s="448" t="s">
        <v>62</v>
      </c>
      <c r="AB331" s="448" t="s">
        <v>62</v>
      </c>
      <c r="AC331" s="448" t="s">
        <v>61</v>
      </c>
      <c r="AD331" s="447"/>
      <c r="AE331" s="447"/>
      <c r="AF331" s="447"/>
      <c r="AG331" s="447"/>
      <c r="AH331" s="447"/>
      <c r="AI331" s="447"/>
      <c r="AJ331" s="447"/>
      <c r="AK331" s="447"/>
      <c r="AL331" s="447"/>
      <c r="AM331" s="447"/>
      <c r="AN331" s="447"/>
      <c r="AO331" s="447"/>
      <c r="AP331" s="447"/>
      <c r="AQ331" s="447"/>
      <c r="AR331" s="447"/>
      <c r="AS331" s="447"/>
      <c r="AT331" s="447"/>
      <c r="AU331" s="447"/>
      <c r="AV331" s="447"/>
      <c r="AW331" s="447"/>
      <c r="AX331" s="447"/>
      <c r="AY331" s="447"/>
      <c r="AZ331" s="447"/>
      <c r="BA331" s="448" t="s">
        <v>51</v>
      </c>
      <c r="BB331" s="448" t="s">
        <v>51</v>
      </c>
      <c r="BC331" s="447"/>
      <c r="BD331" s="448" t="s">
        <v>465</v>
      </c>
      <c r="BE331" s="447">
        <v>300</v>
      </c>
    </row>
    <row r="332" spans="1:57" ht="30" customHeight="1">
      <c r="A332" s="443" t="s">
        <v>449</v>
      </c>
      <c r="B332" s="443" t="s">
        <v>455</v>
      </c>
      <c r="C332" s="443" t="s">
        <v>321</v>
      </c>
      <c r="D332" s="1133">
        <v>8</v>
      </c>
      <c r="E332" s="445">
        <f>'1층전시실산출'!H348</f>
        <v>8</v>
      </c>
      <c r="F332" s="1147">
        <v>10800</v>
      </c>
      <c r="G332" s="1147">
        <v>86400</v>
      </c>
      <c r="H332" s="450">
        <f>단가대비표!O128</f>
        <v>10800</v>
      </c>
      <c r="I332" s="450">
        <f t="shared" si="45"/>
        <v>86400</v>
      </c>
      <c r="J332" s="1147">
        <v>0</v>
      </c>
      <c r="K332" s="1147">
        <v>0</v>
      </c>
      <c r="L332" s="450">
        <f>TRUNC(단가대비표!P126,0)</f>
        <v>0</v>
      </c>
      <c r="M332" s="450">
        <f t="shared" si="48"/>
        <v>0</v>
      </c>
      <c r="N332" s="1147">
        <v>0</v>
      </c>
      <c r="O332" s="1147">
        <v>0</v>
      </c>
      <c r="P332" s="450">
        <f>TRUNC(단가대비표!V126,0)</f>
        <v>0</v>
      </c>
      <c r="Q332" s="450">
        <f t="shared" si="49"/>
        <v>0</v>
      </c>
      <c r="R332" s="1147">
        <v>10800</v>
      </c>
      <c r="S332" s="1147">
        <v>86400</v>
      </c>
      <c r="T332" s="450">
        <f t="shared" si="46"/>
        <v>10800</v>
      </c>
      <c r="U332" s="450">
        <f t="shared" si="47"/>
        <v>86400</v>
      </c>
      <c r="V332" s="454" t="s">
        <v>51</v>
      </c>
      <c r="W332" s="448" t="s">
        <v>467</v>
      </c>
      <c r="X332" s="448" t="s">
        <v>51</v>
      </c>
      <c r="Y332" s="448" t="s">
        <v>51</v>
      </c>
      <c r="Z332" s="448" t="s">
        <v>422</v>
      </c>
      <c r="AA332" s="448" t="s">
        <v>62</v>
      </c>
      <c r="AB332" s="448" t="s">
        <v>62</v>
      </c>
      <c r="AC332" s="448" t="s">
        <v>61</v>
      </c>
      <c r="AD332" s="447"/>
      <c r="AE332" s="447"/>
      <c r="AF332" s="447"/>
      <c r="AG332" s="447"/>
      <c r="AH332" s="447"/>
      <c r="AI332" s="447"/>
      <c r="AJ332" s="447"/>
      <c r="AK332" s="447"/>
      <c r="AL332" s="447"/>
      <c r="AM332" s="447"/>
      <c r="AN332" s="447"/>
      <c r="AO332" s="447"/>
      <c r="AP332" s="447"/>
      <c r="AQ332" s="447"/>
      <c r="AR332" s="447"/>
      <c r="AS332" s="447"/>
      <c r="AT332" s="447"/>
      <c r="AU332" s="447"/>
      <c r="AV332" s="447"/>
      <c r="AW332" s="447"/>
      <c r="AX332" s="447"/>
      <c r="AY332" s="447"/>
      <c r="AZ332" s="447"/>
      <c r="BA332" s="448" t="s">
        <v>51</v>
      </c>
      <c r="BB332" s="448" t="s">
        <v>51</v>
      </c>
      <c r="BC332" s="447"/>
      <c r="BD332" s="448" t="s">
        <v>468</v>
      </c>
      <c r="BE332" s="447">
        <v>301</v>
      </c>
    </row>
    <row r="333" spans="1:57" ht="30" customHeight="1">
      <c r="A333" s="443" t="s">
        <v>449</v>
      </c>
      <c r="B333" s="443" t="s">
        <v>437</v>
      </c>
      <c r="C333" s="443" t="s">
        <v>321</v>
      </c>
      <c r="D333" s="1133">
        <v>1</v>
      </c>
      <c r="E333" s="445">
        <f>'1층전시실산출'!H349</f>
        <v>1</v>
      </c>
      <c r="F333" s="1147">
        <v>7200</v>
      </c>
      <c r="G333" s="1147">
        <v>7200</v>
      </c>
      <c r="H333" s="450">
        <f>단가대비표!O129</f>
        <v>7200</v>
      </c>
      <c r="I333" s="450">
        <f t="shared" si="45"/>
        <v>7200</v>
      </c>
      <c r="J333" s="1147">
        <v>0</v>
      </c>
      <c r="K333" s="1147">
        <v>0</v>
      </c>
      <c r="L333" s="450">
        <f>TRUNC(단가대비표!P127,0)</f>
        <v>0</v>
      </c>
      <c r="M333" s="450">
        <f t="shared" si="48"/>
        <v>0</v>
      </c>
      <c r="N333" s="1147">
        <v>0</v>
      </c>
      <c r="O333" s="1147">
        <v>0</v>
      </c>
      <c r="P333" s="450">
        <f>TRUNC(단가대비표!V127,0)</f>
        <v>0</v>
      </c>
      <c r="Q333" s="450">
        <f t="shared" si="49"/>
        <v>0</v>
      </c>
      <c r="R333" s="1147">
        <v>7200</v>
      </c>
      <c r="S333" s="1147">
        <v>7200</v>
      </c>
      <c r="T333" s="450">
        <f t="shared" si="46"/>
        <v>7200</v>
      </c>
      <c r="U333" s="450">
        <f t="shared" si="47"/>
        <v>7200</v>
      </c>
      <c r="V333" s="454" t="s">
        <v>51</v>
      </c>
      <c r="W333" s="448" t="s">
        <v>469</v>
      </c>
      <c r="X333" s="448" t="s">
        <v>51</v>
      </c>
      <c r="Y333" s="448" t="s">
        <v>51</v>
      </c>
      <c r="Z333" s="448" t="s">
        <v>422</v>
      </c>
      <c r="AA333" s="448" t="s">
        <v>62</v>
      </c>
      <c r="AB333" s="448" t="s">
        <v>62</v>
      </c>
      <c r="AC333" s="448" t="s">
        <v>61</v>
      </c>
      <c r="AD333" s="447"/>
      <c r="AE333" s="447"/>
      <c r="AF333" s="447"/>
      <c r="AG333" s="447"/>
      <c r="AH333" s="447"/>
      <c r="AI333" s="447"/>
      <c r="AJ333" s="447"/>
      <c r="AK333" s="447"/>
      <c r="AL333" s="447"/>
      <c r="AM333" s="447"/>
      <c r="AN333" s="447"/>
      <c r="AO333" s="447"/>
      <c r="AP333" s="447"/>
      <c r="AQ333" s="447"/>
      <c r="AR333" s="447"/>
      <c r="AS333" s="447"/>
      <c r="AT333" s="447"/>
      <c r="AU333" s="447"/>
      <c r="AV333" s="447"/>
      <c r="AW333" s="447"/>
      <c r="AX333" s="447"/>
      <c r="AY333" s="447"/>
      <c r="AZ333" s="447"/>
      <c r="BA333" s="448" t="s">
        <v>51</v>
      </c>
      <c r="BB333" s="448" t="s">
        <v>51</v>
      </c>
      <c r="BC333" s="447"/>
      <c r="BD333" s="448" t="s">
        <v>470</v>
      </c>
      <c r="BE333" s="447">
        <v>302</v>
      </c>
    </row>
    <row r="334" spans="1:57" ht="30" customHeight="1">
      <c r="A334" s="443" t="s">
        <v>449</v>
      </c>
      <c r="B334" s="443" t="s">
        <v>460</v>
      </c>
      <c r="C334" s="443" t="s">
        <v>321</v>
      </c>
      <c r="D334" s="1133">
        <v>1</v>
      </c>
      <c r="E334" s="445">
        <f>'1층전시실산출'!H350</f>
        <v>1</v>
      </c>
      <c r="F334" s="1147">
        <v>19200</v>
      </c>
      <c r="G334" s="1147">
        <v>19200</v>
      </c>
      <c r="H334" s="450">
        <f>단가대비표!O130</f>
        <v>19200</v>
      </c>
      <c r="I334" s="450">
        <f t="shared" si="45"/>
        <v>19200</v>
      </c>
      <c r="J334" s="1147">
        <v>0</v>
      </c>
      <c r="K334" s="1147">
        <v>0</v>
      </c>
      <c r="L334" s="450">
        <f>TRUNC(단가대비표!P128,0)</f>
        <v>0</v>
      </c>
      <c r="M334" s="450">
        <f t="shared" si="48"/>
        <v>0</v>
      </c>
      <c r="N334" s="1147">
        <v>0</v>
      </c>
      <c r="O334" s="1147">
        <v>0</v>
      </c>
      <c r="P334" s="450">
        <f>TRUNC(단가대비표!V128,0)</f>
        <v>0</v>
      </c>
      <c r="Q334" s="450">
        <f t="shared" si="49"/>
        <v>0</v>
      </c>
      <c r="R334" s="1147">
        <v>19200</v>
      </c>
      <c r="S334" s="1147">
        <v>19200</v>
      </c>
      <c r="T334" s="450">
        <f t="shared" si="46"/>
        <v>19200</v>
      </c>
      <c r="U334" s="450">
        <f t="shared" si="47"/>
        <v>19200</v>
      </c>
      <c r="V334" s="454" t="s">
        <v>51</v>
      </c>
      <c r="W334" s="448" t="s">
        <v>472</v>
      </c>
      <c r="X334" s="448" t="s">
        <v>51</v>
      </c>
      <c r="Y334" s="448" t="s">
        <v>51</v>
      </c>
      <c r="Z334" s="448" t="s">
        <v>422</v>
      </c>
      <c r="AA334" s="448" t="s">
        <v>62</v>
      </c>
      <c r="AB334" s="448" t="s">
        <v>62</v>
      </c>
      <c r="AC334" s="448" t="s">
        <v>61</v>
      </c>
      <c r="AD334" s="447"/>
      <c r="AE334" s="447"/>
      <c r="AF334" s="447"/>
      <c r="AG334" s="447"/>
      <c r="AH334" s="447"/>
      <c r="AI334" s="447"/>
      <c r="AJ334" s="447"/>
      <c r="AK334" s="447"/>
      <c r="AL334" s="447"/>
      <c r="AM334" s="447"/>
      <c r="AN334" s="447"/>
      <c r="AO334" s="447"/>
      <c r="AP334" s="447"/>
      <c r="AQ334" s="447"/>
      <c r="AR334" s="447"/>
      <c r="AS334" s="447"/>
      <c r="AT334" s="447"/>
      <c r="AU334" s="447"/>
      <c r="AV334" s="447"/>
      <c r="AW334" s="447"/>
      <c r="AX334" s="447"/>
      <c r="AY334" s="447"/>
      <c r="AZ334" s="447"/>
      <c r="BA334" s="448" t="s">
        <v>51</v>
      </c>
      <c r="BB334" s="448" t="s">
        <v>51</v>
      </c>
      <c r="BC334" s="447"/>
      <c r="BD334" s="448" t="s">
        <v>473</v>
      </c>
      <c r="BE334" s="447">
        <v>303</v>
      </c>
    </row>
    <row r="335" spans="1:57" ht="30" customHeight="1">
      <c r="A335" s="443" t="s">
        <v>449</v>
      </c>
      <c r="B335" s="443" t="s">
        <v>463</v>
      </c>
      <c r="C335" s="443" t="s">
        <v>321</v>
      </c>
      <c r="D335" s="1133">
        <v>1</v>
      </c>
      <c r="E335" s="445">
        <f>'1층전시실산출'!H351</f>
        <v>1</v>
      </c>
      <c r="F335" s="1147">
        <v>12000</v>
      </c>
      <c r="G335" s="1147">
        <v>12000</v>
      </c>
      <c r="H335" s="450">
        <f>단가대비표!O131</f>
        <v>12000</v>
      </c>
      <c r="I335" s="450">
        <f t="shared" si="45"/>
        <v>12000</v>
      </c>
      <c r="J335" s="1147">
        <v>0</v>
      </c>
      <c r="K335" s="1147">
        <v>0</v>
      </c>
      <c r="L335" s="450">
        <f>TRUNC(단가대비표!P129,0)</f>
        <v>0</v>
      </c>
      <c r="M335" s="450">
        <f t="shared" si="48"/>
        <v>0</v>
      </c>
      <c r="N335" s="1147">
        <v>0</v>
      </c>
      <c r="O335" s="1147">
        <v>0</v>
      </c>
      <c r="P335" s="450">
        <f>TRUNC(단가대비표!V129,0)</f>
        <v>0</v>
      </c>
      <c r="Q335" s="450">
        <f t="shared" si="49"/>
        <v>0</v>
      </c>
      <c r="R335" s="1147">
        <v>12000</v>
      </c>
      <c r="S335" s="1147">
        <v>12000</v>
      </c>
      <c r="T335" s="450">
        <f t="shared" si="46"/>
        <v>12000</v>
      </c>
      <c r="U335" s="450">
        <f t="shared" si="47"/>
        <v>12000</v>
      </c>
      <c r="V335" s="454" t="s">
        <v>51</v>
      </c>
      <c r="W335" s="448" t="s">
        <v>475</v>
      </c>
      <c r="X335" s="448" t="s">
        <v>51</v>
      </c>
      <c r="Y335" s="448" t="s">
        <v>51</v>
      </c>
      <c r="Z335" s="448" t="s">
        <v>422</v>
      </c>
      <c r="AA335" s="448" t="s">
        <v>62</v>
      </c>
      <c r="AB335" s="448" t="s">
        <v>62</v>
      </c>
      <c r="AC335" s="448" t="s">
        <v>61</v>
      </c>
      <c r="AD335" s="447"/>
      <c r="AE335" s="447"/>
      <c r="AF335" s="447"/>
      <c r="AG335" s="447"/>
      <c r="AH335" s="447"/>
      <c r="AI335" s="447"/>
      <c r="AJ335" s="447"/>
      <c r="AK335" s="447"/>
      <c r="AL335" s="447"/>
      <c r="AM335" s="447"/>
      <c r="AN335" s="447"/>
      <c r="AO335" s="447"/>
      <c r="AP335" s="447"/>
      <c r="AQ335" s="447"/>
      <c r="AR335" s="447"/>
      <c r="AS335" s="447"/>
      <c r="AT335" s="447"/>
      <c r="AU335" s="447"/>
      <c r="AV335" s="447"/>
      <c r="AW335" s="447"/>
      <c r="AX335" s="447"/>
      <c r="AY335" s="447"/>
      <c r="AZ335" s="447"/>
      <c r="BA335" s="448" t="s">
        <v>51</v>
      </c>
      <c r="BB335" s="448" t="s">
        <v>51</v>
      </c>
      <c r="BC335" s="447"/>
      <c r="BD335" s="448" t="s">
        <v>476</v>
      </c>
      <c r="BE335" s="447">
        <v>304</v>
      </c>
    </row>
    <row r="336" spans="1:57" ht="30" customHeight="1">
      <c r="A336" s="443" t="s">
        <v>449</v>
      </c>
      <c r="B336" s="443" t="s">
        <v>466</v>
      </c>
      <c r="C336" s="443" t="s">
        <v>321</v>
      </c>
      <c r="D336" s="1133">
        <v>7</v>
      </c>
      <c r="E336" s="445">
        <f>'1층전시실산출'!H352</f>
        <v>7</v>
      </c>
      <c r="F336" s="1147">
        <v>16800</v>
      </c>
      <c r="G336" s="1147">
        <v>117600</v>
      </c>
      <c r="H336" s="450">
        <f>단가대비표!O132</f>
        <v>16800</v>
      </c>
      <c r="I336" s="450">
        <f t="shared" si="45"/>
        <v>117600</v>
      </c>
      <c r="J336" s="1147">
        <v>0</v>
      </c>
      <c r="K336" s="1147">
        <v>0</v>
      </c>
      <c r="L336" s="450">
        <f>TRUNC(단가대비표!P130,0)</f>
        <v>0</v>
      </c>
      <c r="M336" s="450">
        <f t="shared" si="48"/>
        <v>0</v>
      </c>
      <c r="N336" s="1147">
        <v>0</v>
      </c>
      <c r="O336" s="1147">
        <v>0</v>
      </c>
      <c r="P336" s="450">
        <f>TRUNC(단가대비표!V130,0)</f>
        <v>0</v>
      </c>
      <c r="Q336" s="450">
        <f t="shared" si="49"/>
        <v>0</v>
      </c>
      <c r="R336" s="1147">
        <v>16800</v>
      </c>
      <c r="S336" s="1147">
        <v>117600</v>
      </c>
      <c r="T336" s="450">
        <f t="shared" si="46"/>
        <v>16800</v>
      </c>
      <c r="U336" s="450">
        <f t="shared" si="47"/>
        <v>117600</v>
      </c>
      <c r="V336" s="454" t="s">
        <v>51</v>
      </c>
      <c r="W336" s="448" t="s">
        <v>478</v>
      </c>
      <c r="X336" s="448" t="s">
        <v>51</v>
      </c>
      <c r="Y336" s="448" t="s">
        <v>51</v>
      </c>
      <c r="Z336" s="448" t="s">
        <v>422</v>
      </c>
      <c r="AA336" s="448" t="s">
        <v>62</v>
      </c>
      <c r="AB336" s="448" t="s">
        <v>62</v>
      </c>
      <c r="AC336" s="448" t="s">
        <v>61</v>
      </c>
      <c r="AD336" s="447"/>
      <c r="AE336" s="447"/>
      <c r="AF336" s="447"/>
      <c r="AG336" s="447"/>
      <c r="AH336" s="447"/>
      <c r="AI336" s="447"/>
      <c r="AJ336" s="447"/>
      <c r="AK336" s="447"/>
      <c r="AL336" s="447"/>
      <c r="AM336" s="447"/>
      <c r="AN336" s="447"/>
      <c r="AO336" s="447"/>
      <c r="AP336" s="447"/>
      <c r="AQ336" s="447"/>
      <c r="AR336" s="447"/>
      <c r="AS336" s="447"/>
      <c r="AT336" s="447"/>
      <c r="AU336" s="447"/>
      <c r="AV336" s="447"/>
      <c r="AW336" s="447"/>
      <c r="AX336" s="447"/>
      <c r="AY336" s="447"/>
      <c r="AZ336" s="447"/>
      <c r="BA336" s="448" t="s">
        <v>51</v>
      </c>
      <c r="BB336" s="448" t="s">
        <v>51</v>
      </c>
      <c r="BC336" s="447"/>
      <c r="BD336" s="448" t="s">
        <v>479</v>
      </c>
      <c r="BE336" s="447">
        <v>305</v>
      </c>
    </row>
    <row r="337" spans="1:57" ht="30" customHeight="1">
      <c r="A337" s="443" t="s">
        <v>449</v>
      </c>
      <c r="B337" s="443" t="s">
        <v>440</v>
      </c>
      <c r="C337" s="443" t="s">
        <v>321</v>
      </c>
      <c r="D337" s="1133">
        <v>3</v>
      </c>
      <c r="E337" s="445">
        <f>'1층전시실산출'!H353</f>
        <v>3</v>
      </c>
      <c r="F337" s="1147">
        <v>9000</v>
      </c>
      <c r="G337" s="1147">
        <v>27000</v>
      </c>
      <c r="H337" s="450">
        <f>단가대비표!O133</f>
        <v>9000</v>
      </c>
      <c r="I337" s="450">
        <f t="shared" si="45"/>
        <v>27000</v>
      </c>
      <c r="J337" s="1147">
        <v>0</v>
      </c>
      <c r="K337" s="1147">
        <v>0</v>
      </c>
      <c r="L337" s="450">
        <f>TRUNC(단가대비표!P131,0)</f>
        <v>0</v>
      </c>
      <c r="M337" s="450">
        <f t="shared" si="48"/>
        <v>0</v>
      </c>
      <c r="N337" s="1147">
        <v>0</v>
      </c>
      <c r="O337" s="1147">
        <v>0</v>
      </c>
      <c r="P337" s="450">
        <f>TRUNC(단가대비표!V131,0)</f>
        <v>0</v>
      </c>
      <c r="Q337" s="450">
        <f t="shared" si="49"/>
        <v>0</v>
      </c>
      <c r="R337" s="1147">
        <v>9000</v>
      </c>
      <c r="S337" s="1147">
        <v>27000</v>
      </c>
      <c r="T337" s="450">
        <f t="shared" si="46"/>
        <v>9000</v>
      </c>
      <c r="U337" s="450">
        <f t="shared" si="47"/>
        <v>27000</v>
      </c>
      <c r="V337" s="454" t="s">
        <v>51</v>
      </c>
      <c r="W337" s="448" t="s">
        <v>481</v>
      </c>
      <c r="X337" s="448" t="s">
        <v>51</v>
      </c>
      <c r="Y337" s="448" t="s">
        <v>51</v>
      </c>
      <c r="Z337" s="448" t="s">
        <v>422</v>
      </c>
      <c r="AA337" s="448" t="s">
        <v>62</v>
      </c>
      <c r="AB337" s="448" t="s">
        <v>62</v>
      </c>
      <c r="AC337" s="448" t="s">
        <v>61</v>
      </c>
      <c r="AD337" s="447"/>
      <c r="AE337" s="447"/>
      <c r="AF337" s="447"/>
      <c r="AG337" s="447"/>
      <c r="AH337" s="447"/>
      <c r="AI337" s="447"/>
      <c r="AJ337" s="447"/>
      <c r="AK337" s="447"/>
      <c r="AL337" s="447"/>
      <c r="AM337" s="447"/>
      <c r="AN337" s="447"/>
      <c r="AO337" s="447"/>
      <c r="AP337" s="447"/>
      <c r="AQ337" s="447"/>
      <c r="AR337" s="447"/>
      <c r="AS337" s="447"/>
      <c r="AT337" s="447"/>
      <c r="AU337" s="447"/>
      <c r="AV337" s="447"/>
      <c r="AW337" s="447"/>
      <c r="AX337" s="447"/>
      <c r="AY337" s="447"/>
      <c r="AZ337" s="447"/>
      <c r="BA337" s="448" t="s">
        <v>51</v>
      </c>
      <c r="BB337" s="448" t="s">
        <v>51</v>
      </c>
      <c r="BC337" s="447"/>
      <c r="BD337" s="448" t="s">
        <v>482</v>
      </c>
      <c r="BE337" s="447">
        <v>306</v>
      </c>
    </row>
    <row r="338" spans="1:57" ht="30" customHeight="1">
      <c r="A338" s="443" t="s">
        <v>449</v>
      </c>
      <c r="B338" s="443" t="s">
        <v>471</v>
      </c>
      <c r="C338" s="443" t="s">
        <v>321</v>
      </c>
      <c r="D338" s="1133">
        <v>6</v>
      </c>
      <c r="E338" s="445">
        <f>'1층전시실산출'!H354</f>
        <v>6</v>
      </c>
      <c r="F338" s="1147">
        <v>18000</v>
      </c>
      <c r="G338" s="1147">
        <v>108000</v>
      </c>
      <c r="H338" s="450">
        <f>단가대비표!O134</f>
        <v>18000</v>
      </c>
      <c r="I338" s="450">
        <f t="shared" si="45"/>
        <v>108000</v>
      </c>
      <c r="J338" s="1147">
        <v>0</v>
      </c>
      <c r="K338" s="1147">
        <v>0</v>
      </c>
      <c r="L338" s="450">
        <f>TRUNC(단가대비표!P132,0)</f>
        <v>0</v>
      </c>
      <c r="M338" s="450">
        <f t="shared" si="48"/>
        <v>0</v>
      </c>
      <c r="N338" s="1147">
        <v>0</v>
      </c>
      <c r="O338" s="1147">
        <v>0</v>
      </c>
      <c r="P338" s="450">
        <f>TRUNC(단가대비표!V132,0)</f>
        <v>0</v>
      </c>
      <c r="Q338" s="450">
        <f t="shared" si="49"/>
        <v>0</v>
      </c>
      <c r="R338" s="1147">
        <v>18000</v>
      </c>
      <c r="S338" s="1147">
        <v>108000</v>
      </c>
      <c r="T338" s="450">
        <f t="shared" si="46"/>
        <v>18000</v>
      </c>
      <c r="U338" s="450">
        <f t="shared" si="47"/>
        <v>108000</v>
      </c>
      <c r="V338" s="454" t="s">
        <v>51</v>
      </c>
      <c r="W338" s="448" t="s">
        <v>485</v>
      </c>
      <c r="X338" s="448" t="s">
        <v>51</v>
      </c>
      <c r="Y338" s="448" t="s">
        <v>51</v>
      </c>
      <c r="Z338" s="448" t="s">
        <v>422</v>
      </c>
      <c r="AA338" s="448" t="s">
        <v>62</v>
      </c>
      <c r="AB338" s="448" t="s">
        <v>62</v>
      </c>
      <c r="AC338" s="448" t="s">
        <v>61</v>
      </c>
      <c r="AD338" s="447"/>
      <c r="AE338" s="447"/>
      <c r="AF338" s="447"/>
      <c r="AG338" s="447"/>
      <c r="AH338" s="447"/>
      <c r="AI338" s="447"/>
      <c r="AJ338" s="447"/>
      <c r="AK338" s="447"/>
      <c r="AL338" s="447"/>
      <c r="AM338" s="447"/>
      <c r="AN338" s="447"/>
      <c r="AO338" s="447"/>
      <c r="AP338" s="447"/>
      <c r="AQ338" s="447"/>
      <c r="AR338" s="447"/>
      <c r="AS338" s="447"/>
      <c r="AT338" s="447"/>
      <c r="AU338" s="447"/>
      <c r="AV338" s="447"/>
      <c r="AW338" s="447"/>
      <c r="AX338" s="447"/>
      <c r="AY338" s="447"/>
      <c r="AZ338" s="447"/>
      <c r="BA338" s="448" t="s">
        <v>51</v>
      </c>
      <c r="BB338" s="448" t="s">
        <v>51</v>
      </c>
      <c r="BC338" s="447"/>
      <c r="BD338" s="448" t="s">
        <v>486</v>
      </c>
      <c r="BE338" s="447">
        <v>307</v>
      </c>
    </row>
    <row r="339" spans="1:57" ht="30" customHeight="1">
      <c r="A339" s="443" t="s">
        <v>449</v>
      </c>
      <c r="B339" s="443" t="s">
        <v>474</v>
      </c>
      <c r="C339" s="443" t="s">
        <v>321</v>
      </c>
      <c r="D339" s="1133">
        <v>1</v>
      </c>
      <c r="E339" s="445">
        <f>'1층전시실산출'!H355</f>
        <v>1</v>
      </c>
      <c r="F339" s="1147">
        <v>24000</v>
      </c>
      <c r="G339" s="1147">
        <v>24000</v>
      </c>
      <c r="H339" s="450">
        <f>단가대비표!O135</f>
        <v>24000</v>
      </c>
      <c r="I339" s="450">
        <f t="shared" si="45"/>
        <v>24000</v>
      </c>
      <c r="J339" s="1147">
        <v>0</v>
      </c>
      <c r="K339" s="1147">
        <v>0</v>
      </c>
      <c r="L339" s="450">
        <f>TRUNC(단가대비표!P133,0)</f>
        <v>0</v>
      </c>
      <c r="M339" s="450">
        <f t="shared" si="48"/>
        <v>0</v>
      </c>
      <c r="N339" s="1147">
        <v>0</v>
      </c>
      <c r="O339" s="1147">
        <v>0</v>
      </c>
      <c r="P339" s="450">
        <f>TRUNC(단가대비표!V133,0)</f>
        <v>0</v>
      </c>
      <c r="Q339" s="450">
        <f t="shared" si="49"/>
        <v>0</v>
      </c>
      <c r="R339" s="1147">
        <v>24000</v>
      </c>
      <c r="S339" s="1147">
        <v>24000</v>
      </c>
      <c r="T339" s="450">
        <f t="shared" si="46"/>
        <v>24000</v>
      </c>
      <c r="U339" s="450">
        <f t="shared" si="47"/>
        <v>24000</v>
      </c>
      <c r="V339" s="454" t="s">
        <v>51</v>
      </c>
    </row>
    <row r="340" spans="1:57" ht="30" customHeight="1">
      <c r="A340" s="443" t="s">
        <v>483</v>
      </c>
      <c r="B340" s="443" t="s">
        <v>484</v>
      </c>
      <c r="C340" s="443" t="s">
        <v>419</v>
      </c>
      <c r="D340" s="1133">
        <v>45</v>
      </c>
      <c r="E340" s="445">
        <v>45</v>
      </c>
      <c r="F340" s="1147"/>
      <c r="G340" s="1147">
        <v>0</v>
      </c>
      <c r="H340" s="450"/>
      <c r="I340" s="450">
        <f t="shared" si="45"/>
        <v>0</v>
      </c>
      <c r="J340" s="1147">
        <v>189600</v>
      </c>
      <c r="K340" s="1147">
        <v>8532000</v>
      </c>
      <c r="L340" s="450">
        <f>TRUNC(단가대비표!P136,0)</f>
        <v>189600</v>
      </c>
      <c r="M340" s="450">
        <f>E340*L340</f>
        <v>8532000</v>
      </c>
      <c r="N340" s="1147">
        <v>0</v>
      </c>
      <c r="O340" s="1147">
        <v>0</v>
      </c>
      <c r="P340" s="450">
        <f>TRUNC(단가대비표!V136,0)</f>
        <v>0</v>
      </c>
      <c r="Q340" s="450">
        <f t="shared" si="49"/>
        <v>0</v>
      </c>
      <c r="R340" s="1147">
        <v>189600</v>
      </c>
      <c r="S340" s="1147">
        <v>8532000</v>
      </c>
      <c r="T340" s="450">
        <f t="shared" si="46"/>
        <v>189600</v>
      </c>
      <c r="U340" s="450">
        <f t="shared" si="47"/>
        <v>8532000</v>
      </c>
      <c r="V340" s="454" t="s">
        <v>51</v>
      </c>
    </row>
    <row r="341" spans="1:57" ht="30" customHeight="1">
      <c r="A341" s="444"/>
      <c r="B341" s="444"/>
      <c r="C341" s="444"/>
      <c r="D341" s="1133"/>
      <c r="E341" s="445"/>
      <c r="F341" s="1146"/>
      <c r="G341" s="1146"/>
      <c r="H341" s="444"/>
      <c r="I341" s="444"/>
      <c r="J341" s="1146"/>
      <c r="K341" s="1146"/>
      <c r="L341" s="444"/>
      <c r="M341" s="444"/>
      <c r="N341" s="1146"/>
      <c r="O341" s="1146"/>
      <c r="P341" s="444"/>
      <c r="Q341" s="444"/>
      <c r="R341" s="1146"/>
      <c r="S341" s="1146"/>
      <c r="T341" s="444"/>
      <c r="U341" s="444"/>
      <c r="V341" s="446"/>
    </row>
    <row r="342" spans="1:57" ht="30" customHeight="1">
      <c r="A342" s="444"/>
      <c r="B342" s="444"/>
      <c r="C342" s="444"/>
      <c r="D342" s="1133"/>
      <c r="E342" s="445"/>
      <c r="F342" s="1146"/>
      <c r="G342" s="1146"/>
      <c r="H342" s="444"/>
      <c r="I342" s="444"/>
      <c r="J342" s="1146"/>
      <c r="K342" s="1146"/>
      <c r="L342" s="444"/>
      <c r="M342" s="444"/>
      <c r="N342" s="1146"/>
      <c r="O342" s="1146"/>
      <c r="P342" s="444"/>
      <c r="Q342" s="444"/>
      <c r="R342" s="1146"/>
      <c r="S342" s="1146"/>
      <c r="T342" s="444"/>
      <c r="U342" s="444"/>
      <c r="V342" s="446"/>
    </row>
    <row r="343" spans="1:57" ht="30" customHeight="1">
      <c r="A343" s="444"/>
      <c r="B343" s="444"/>
      <c r="C343" s="444"/>
      <c r="D343" s="1133"/>
      <c r="E343" s="445"/>
      <c r="F343" s="1146"/>
      <c r="G343" s="1146"/>
      <c r="H343" s="444"/>
      <c r="I343" s="444"/>
      <c r="J343" s="1146"/>
      <c r="K343" s="1146"/>
      <c r="L343" s="444"/>
      <c r="M343" s="444"/>
      <c r="N343" s="1146"/>
      <c r="O343" s="1146"/>
      <c r="P343" s="444"/>
      <c r="Q343" s="444"/>
      <c r="R343" s="1146"/>
      <c r="S343" s="1146"/>
      <c r="T343" s="444"/>
      <c r="U343" s="444"/>
      <c r="V343" s="446"/>
    </row>
    <row r="344" spans="1:57" ht="30" customHeight="1">
      <c r="A344" s="444"/>
      <c r="B344" s="444"/>
      <c r="C344" s="444"/>
      <c r="D344" s="1133"/>
      <c r="E344" s="445"/>
      <c r="F344" s="1146"/>
      <c r="G344" s="1146"/>
      <c r="H344" s="444"/>
      <c r="I344" s="444"/>
      <c r="J344" s="1146"/>
      <c r="K344" s="1146"/>
      <c r="L344" s="444"/>
      <c r="M344" s="444"/>
      <c r="N344" s="1146"/>
      <c r="O344" s="1146"/>
      <c r="P344" s="444"/>
      <c r="Q344" s="444"/>
      <c r="R344" s="1146"/>
      <c r="S344" s="1146"/>
      <c r="T344" s="444"/>
      <c r="U344" s="444"/>
      <c r="V344" s="446"/>
    </row>
    <row r="345" spans="1:57" ht="30" customHeight="1">
      <c r="A345" s="444"/>
      <c r="B345" s="444"/>
      <c r="C345" s="444"/>
      <c r="D345" s="1133"/>
      <c r="E345" s="445"/>
      <c r="F345" s="1146"/>
      <c r="G345" s="1146"/>
      <c r="H345" s="444"/>
      <c r="I345" s="444"/>
      <c r="J345" s="1146"/>
      <c r="K345" s="1146"/>
      <c r="L345" s="444"/>
      <c r="M345" s="444"/>
      <c r="N345" s="1146"/>
      <c r="O345" s="1146"/>
      <c r="P345" s="444"/>
      <c r="Q345" s="444"/>
      <c r="R345" s="1146"/>
      <c r="S345" s="1146"/>
      <c r="T345" s="444"/>
      <c r="U345" s="444"/>
      <c r="V345" s="446"/>
    </row>
    <row r="346" spans="1:57" ht="30" customHeight="1">
      <c r="A346" s="444"/>
      <c r="B346" s="444"/>
      <c r="C346" s="444"/>
      <c r="D346" s="1133"/>
      <c r="E346" s="445"/>
      <c r="F346" s="1146"/>
      <c r="G346" s="1146"/>
      <c r="H346" s="444"/>
      <c r="I346" s="444"/>
      <c r="J346" s="1146"/>
      <c r="K346" s="1146"/>
      <c r="L346" s="444"/>
      <c r="M346" s="444"/>
      <c r="N346" s="1146"/>
      <c r="O346" s="1146"/>
      <c r="P346" s="444"/>
      <c r="Q346" s="444"/>
      <c r="R346" s="1146"/>
      <c r="S346" s="1146"/>
      <c r="T346" s="444"/>
      <c r="U346" s="444"/>
      <c r="V346" s="446"/>
    </row>
    <row r="347" spans="1:57" ht="30" customHeight="1">
      <c r="A347" s="444"/>
      <c r="B347" s="444"/>
      <c r="C347" s="444"/>
      <c r="D347" s="1133"/>
      <c r="E347" s="445"/>
      <c r="F347" s="1146"/>
      <c r="G347" s="1146"/>
      <c r="H347" s="444"/>
      <c r="I347" s="444"/>
      <c r="J347" s="1146"/>
      <c r="K347" s="1146"/>
      <c r="L347" s="444"/>
      <c r="M347" s="444"/>
      <c r="N347" s="1146"/>
      <c r="O347" s="1146"/>
      <c r="P347" s="444"/>
      <c r="Q347" s="444"/>
      <c r="R347" s="1146"/>
      <c r="S347" s="1146"/>
      <c r="T347" s="444"/>
      <c r="U347" s="444"/>
      <c r="V347" s="446"/>
      <c r="W347" s="447"/>
      <c r="X347" s="447"/>
      <c r="Y347" s="447"/>
      <c r="Z347" s="448" t="s">
        <v>487</v>
      </c>
      <c r="AA347" s="447"/>
      <c r="AB347" s="447"/>
      <c r="AC347" s="447"/>
      <c r="AD347" s="447"/>
      <c r="AE347" s="447"/>
      <c r="AF347" s="447"/>
      <c r="AG347" s="447"/>
      <c r="AH347" s="447"/>
      <c r="AI347" s="447"/>
      <c r="AJ347" s="447"/>
      <c r="AK347" s="447"/>
      <c r="AL347" s="447"/>
      <c r="AM347" s="447"/>
      <c r="AN347" s="447"/>
      <c r="AO347" s="447"/>
      <c r="AP347" s="447"/>
      <c r="AQ347" s="447"/>
      <c r="AR347" s="447"/>
      <c r="AS347" s="447"/>
      <c r="AT347" s="447"/>
      <c r="AU347" s="447"/>
      <c r="AV347" s="447"/>
      <c r="AW347" s="447"/>
      <c r="AX347" s="447"/>
      <c r="AY347" s="447"/>
      <c r="AZ347" s="447"/>
      <c r="BA347" s="447"/>
      <c r="BB347" s="447"/>
      <c r="BC347" s="447"/>
      <c r="BD347" s="447"/>
      <c r="BE347" s="447"/>
    </row>
    <row r="348" spans="1:57" ht="30" customHeight="1">
      <c r="A348" s="443" t="s">
        <v>85</v>
      </c>
      <c r="B348" s="444"/>
      <c r="C348" s="444"/>
      <c r="D348" s="1133"/>
      <c r="E348" s="445"/>
      <c r="F348" s="1146"/>
      <c r="G348" s="1147">
        <v>17667500</v>
      </c>
      <c r="H348" s="444"/>
      <c r="I348" s="450">
        <f>SUM(I304:I347)</f>
        <v>17667500</v>
      </c>
      <c r="J348" s="1146"/>
      <c r="K348" s="1147">
        <v>8532000</v>
      </c>
      <c r="L348" s="444"/>
      <c r="M348" s="450">
        <f>SUM(M304:M347)</f>
        <v>8532000</v>
      </c>
      <c r="N348" s="1146"/>
      <c r="O348" s="1147">
        <v>0</v>
      </c>
      <c r="P348" s="444"/>
      <c r="Q348" s="450">
        <f>SUM(Q304:Q347)</f>
        <v>0</v>
      </c>
      <c r="R348" s="1146"/>
      <c r="S348" s="1147">
        <v>26199500</v>
      </c>
      <c r="T348" s="444"/>
      <c r="U348" s="450">
        <f>SUM(U304:U347)</f>
        <v>26199500</v>
      </c>
      <c r="V348" s="446"/>
      <c r="W348" s="448" t="s">
        <v>490</v>
      </c>
      <c r="X348" s="448" t="s">
        <v>51</v>
      </c>
      <c r="Y348" s="448" t="s">
        <v>51</v>
      </c>
      <c r="Z348" s="448" t="s">
        <v>487</v>
      </c>
      <c r="AA348" s="448" t="s">
        <v>61</v>
      </c>
      <c r="AB348" s="448" t="s">
        <v>62</v>
      </c>
      <c r="AC348" s="448" t="s">
        <v>62</v>
      </c>
      <c r="AD348" s="447"/>
      <c r="AE348" s="447"/>
      <c r="AF348" s="447"/>
      <c r="AG348" s="447"/>
      <c r="AH348" s="447"/>
      <c r="AI348" s="447"/>
      <c r="AJ348" s="447"/>
      <c r="AK348" s="447"/>
      <c r="AL348" s="447"/>
      <c r="AM348" s="447"/>
      <c r="AN348" s="447"/>
      <c r="AO348" s="447"/>
      <c r="AP348" s="447"/>
      <c r="AQ348" s="447"/>
      <c r="AR348" s="447"/>
      <c r="AS348" s="447"/>
      <c r="AT348" s="447"/>
      <c r="AU348" s="447"/>
      <c r="AV348" s="447"/>
      <c r="AW348" s="447"/>
      <c r="AX348" s="447"/>
      <c r="AY348" s="447"/>
      <c r="AZ348" s="447"/>
      <c r="BA348" s="448" t="s">
        <v>51</v>
      </c>
      <c r="BB348" s="448" t="s">
        <v>51</v>
      </c>
      <c r="BC348" s="447"/>
      <c r="BD348" s="448" t="s">
        <v>491</v>
      </c>
      <c r="BE348" s="447">
        <v>270</v>
      </c>
    </row>
    <row r="349" spans="1:57" ht="30" customHeight="1">
      <c r="A349" s="443" t="s">
        <v>4828</v>
      </c>
      <c r="B349" s="444"/>
      <c r="C349" s="444"/>
      <c r="D349" s="1133"/>
      <c r="E349" s="445"/>
      <c r="F349" s="1146"/>
      <c r="G349" s="1146"/>
      <c r="H349" s="444"/>
      <c r="I349" s="444"/>
      <c r="J349" s="1146"/>
      <c r="K349" s="1146"/>
      <c r="L349" s="444"/>
      <c r="M349" s="444"/>
      <c r="N349" s="1146"/>
      <c r="O349" s="1146"/>
      <c r="P349" s="444"/>
      <c r="Q349" s="444"/>
      <c r="R349" s="1146"/>
      <c r="S349" s="1146"/>
      <c r="T349" s="444"/>
      <c r="U349" s="444"/>
      <c r="V349" s="446"/>
      <c r="W349" s="448" t="s">
        <v>492</v>
      </c>
      <c r="X349" s="448" t="s">
        <v>51</v>
      </c>
      <c r="Y349" s="448" t="s">
        <v>51</v>
      </c>
      <c r="Z349" s="448" t="s">
        <v>487</v>
      </c>
      <c r="AA349" s="448" t="s">
        <v>61</v>
      </c>
      <c r="AB349" s="448" t="s">
        <v>62</v>
      </c>
      <c r="AC349" s="448" t="s">
        <v>62</v>
      </c>
      <c r="AD349" s="447"/>
      <c r="AE349" s="447"/>
      <c r="AF349" s="447"/>
      <c r="AG349" s="447"/>
      <c r="AH349" s="447"/>
      <c r="AI349" s="447"/>
      <c r="AJ349" s="447"/>
      <c r="AK349" s="447"/>
      <c r="AL349" s="447"/>
      <c r="AM349" s="447"/>
      <c r="AN349" s="447"/>
      <c r="AO349" s="447"/>
      <c r="AP349" s="447"/>
      <c r="AQ349" s="447"/>
      <c r="AR349" s="447"/>
      <c r="AS349" s="447"/>
      <c r="AT349" s="447"/>
      <c r="AU349" s="447"/>
      <c r="AV349" s="447"/>
      <c r="AW349" s="447"/>
      <c r="AX349" s="447"/>
      <c r="AY349" s="447"/>
      <c r="AZ349" s="447"/>
      <c r="BA349" s="448" t="s">
        <v>51</v>
      </c>
      <c r="BB349" s="448" t="s">
        <v>51</v>
      </c>
      <c r="BC349" s="447"/>
      <c r="BD349" s="448" t="s">
        <v>493</v>
      </c>
      <c r="BE349" s="447">
        <v>271</v>
      </c>
    </row>
    <row r="350" spans="1:57" ht="30" customHeight="1">
      <c r="A350" s="443" t="s">
        <v>488</v>
      </c>
      <c r="B350" s="444" t="s">
        <v>2347</v>
      </c>
      <c r="C350" s="443" t="s">
        <v>419</v>
      </c>
      <c r="D350" s="1133">
        <v>18</v>
      </c>
      <c r="E350" s="445">
        <f>'1층전시실산출'!H359</f>
        <v>18</v>
      </c>
      <c r="F350" s="1147"/>
      <c r="G350" s="1147">
        <v>0</v>
      </c>
      <c r="H350" s="450"/>
      <c r="I350" s="450">
        <f t="shared" ref="I350:I381" si="50">E350*H350</f>
        <v>0</v>
      </c>
      <c r="J350" s="1147">
        <v>192305</v>
      </c>
      <c r="K350" s="1147">
        <v>3461490</v>
      </c>
      <c r="L350" s="450">
        <f>일위대가목록!H79</f>
        <v>192305</v>
      </c>
      <c r="M350" s="450">
        <f t="shared" ref="M350:M381" si="51">E350*L350</f>
        <v>3461490</v>
      </c>
      <c r="N350" s="1147">
        <v>0</v>
      </c>
      <c r="O350" s="1147">
        <v>0</v>
      </c>
      <c r="P350" s="450">
        <f>TRUNC(일위대가목록!J80,0)</f>
        <v>0</v>
      </c>
      <c r="Q350" s="450">
        <f t="shared" ref="Q350:Q357" si="52">TRUNC(P350*E350, 0)</f>
        <v>0</v>
      </c>
      <c r="R350" s="1147">
        <v>192305</v>
      </c>
      <c r="S350" s="1147">
        <v>3461490</v>
      </c>
      <c r="T350" s="450">
        <f t="shared" ref="T350:T413" si="53">H350+L350+P350</f>
        <v>192305</v>
      </c>
      <c r="U350" s="450">
        <f t="shared" ref="U350:U413" si="54">I350+M350+Q350</f>
        <v>3461490</v>
      </c>
      <c r="V350" s="454" t="str">
        <f>일위대가목록!M79</f>
        <v>호표 76</v>
      </c>
      <c r="W350" s="448" t="s">
        <v>494</v>
      </c>
      <c r="X350" s="448" t="s">
        <v>51</v>
      </c>
      <c r="Y350" s="448" t="s">
        <v>51</v>
      </c>
      <c r="Z350" s="448" t="s">
        <v>487</v>
      </c>
      <c r="AA350" s="448" t="s">
        <v>62</v>
      </c>
      <c r="AB350" s="448" t="s">
        <v>62</v>
      </c>
      <c r="AC350" s="448" t="s">
        <v>61</v>
      </c>
      <c r="AD350" s="447"/>
      <c r="AE350" s="447"/>
      <c r="AF350" s="447"/>
      <c r="AG350" s="447"/>
      <c r="AH350" s="447"/>
      <c r="AI350" s="447"/>
      <c r="AJ350" s="447"/>
      <c r="AK350" s="447"/>
      <c r="AL350" s="447"/>
      <c r="AM350" s="447"/>
      <c r="AN350" s="447"/>
      <c r="AO350" s="447"/>
      <c r="AP350" s="447"/>
      <c r="AQ350" s="447"/>
      <c r="AR350" s="447"/>
      <c r="AS350" s="447"/>
      <c r="AT350" s="447"/>
      <c r="AU350" s="447"/>
      <c r="AV350" s="447"/>
      <c r="AW350" s="447"/>
      <c r="AX350" s="447"/>
      <c r="AY350" s="447"/>
      <c r="AZ350" s="447"/>
      <c r="BA350" s="448" t="s">
        <v>51</v>
      </c>
      <c r="BB350" s="448" t="s">
        <v>51</v>
      </c>
      <c r="BC350" s="447"/>
      <c r="BD350" s="448" t="s">
        <v>495</v>
      </c>
      <c r="BE350" s="447">
        <v>272</v>
      </c>
    </row>
    <row r="351" spans="1:57" ht="30" customHeight="1">
      <c r="A351" s="443" t="s">
        <v>4747</v>
      </c>
      <c r="B351" s="444" t="s">
        <v>4566</v>
      </c>
      <c r="C351" s="443" t="s">
        <v>321</v>
      </c>
      <c r="D351" s="1133">
        <v>48</v>
      </c>
      <c r="E351" s="445">
        <f>'1층전시실산출'!H360</f>
        <v>48</v>
      </c>
      <c r="F351" s="1147">
        <v>45000</v>
      </c>
      <c r="G351" s="1147">
        <v>2160000</v>
      </c>
      <c r="H351" s="450">
        <f>일위대가목록!F80</f>
        <v>16461</v>
      </c>
      <c r="I351" s="450">
        <f t="shared" si="50"/>
        <v>790128</v>
      </c>
      <c r="J351" s="1147">
        <v>20353</v>
      </c>
      <c r="K351" s="1147">
        <v>976944</v>
      </c>
      <c r="L351" s="450">
        <f>일위대가목록!H80</f>
        <v>20353</v>
      </c>
      <c r="M351" s="450">
        <f t="shared" si="51"/>
        <v>976944</v>
      </c>
      <c r="N351" s="1147"/>
      <c r="O351" s="1147">
        <v>0</v>
      </c>
      <c r="P351" s="450"/>
      <c r="Q351" s="450">
        <f t="shared" si="52"/>
        <v>0</v>
      </c>
      <c r="R351" s="1147">
        <v>65353</v>
      </c>
      <c r="S351" s="1147">
        <v>3136944</v>
      </c>
      <c r="T351" s="450">
        <f t="shared" si="53"/>
        <v>36814</v>
      </c>
      <c r="U351" s="450">
        <f t="shared" si="54"/>
        <v>1767072</v>
      </c>
      <c r="V351" s="454" t="str">
        <f>일위대가목록!M80</f>
        <v>호표 77</v>
      </c>
      <c r="W351" s="448" t="s">
        <v>497</v>
      </c>
      <c r="X351" s="448" t="s">
        <v>51</v>
      </c>
      <c r="Y351" s="448" t="s">
        <v>51</v>
      </c>
      <c r="Z351" s="448" t="s">
        <v>487</v>
      </c>
      <c r="AA351" s="448" t="s">
        <v>62</v>
      </c>
      <c r="AB351" s="448" t="s">
        <v>62</v>
      </c>
      <c r="AC351" s="448" t="s">
        <v>61</v>
      </c>
      <c r="AD351" s="447"/>
      <c r="AE351" s="447"/>
      <c r="AF351" s="447"/>
      <c r="AG351" s="447"/>
      <c r="AH351" s="447"/>
      <c r="AI351" s="447"/>
      <c r="AJ351" s="447"/>
      <c r="AK351" s="447"/>
      <c r="AL351" s="447"/>
      <c r="AM351" s="447"/>
      <c r="AN351" s="447"/>
      <c r="AO351" s="447"/>
      <c r="AP351" s="447"/>
      <c r="AQ351" s="447"/>
      <c r="AR351" s="447"/>
      <c r="AS351" s="447"/>
      <c r="AT351" s="447"/>
      <c r="AU351" s="447"/>
      <c r="AV351" s="447"/>
      <c r="AW351" s="447"/>
      <c r="AX351" s="447"/>
      <c r="AY351" s="447"/>
      <c r="AZ351" s="447"/>
      <c r="BA351" s="448" t="s">
        <v>51</v>
      </c>
      <c r="BB351" s="448" t="s">
        <v>51</v>
      </c>
      <c r="BC351" s="447"/>
      <c r="BD351" s="448" t="s">
        <v>498</v>
      </c>
      <c r="BE351" s="447">
        <v>273</v>
      </c>
    </row>
    <row r="352" spans="1:57" ht="30" customHeight="1">
      <c r="A352" s="443" t="s">
        <v>2635</v>
      </c>
      <c r="B352" s="444" t="s">
        <v>4567</v>
      </c>
      <c r="C352" s="464" t="s">
        <v>2568</v>
      </c>
      <c r="D352" s="1133">
        <v>1</v>
      </c>
      <c r="E352" s="445">
        <f>'1층전시실산출'!H361</f>
        <v>1</v>
      </c>
      <c r="F352" s="1147">
        <v>3200000</v>
      </c>
      <c r="G352" s="1147">
        <v>3200000</v>
      </c>
      <c r="H352" s="450">
        <f>단가대비표!O85</f>
        <v>3200000</v>
      </c>
      <c r="I352" s="450">
        <f t="shared" si="50"/>
        <v>3200000</v>
      </c>
      <c r="J352" s="1147">
        <v>0</v>
      </c>
      <c r="K352" s="1147">
        <v>0</v>
      </c>
      <c r="L352" s="450">
        <f>TRUNC(단가대비표!P85,0)</f>
        <v>0</v>
      </c>
      <c r="M352" s="450">
        <f t="shared" si="51"/>
        <v>0</v>
      </c>
      <c r="N352" s="1147">
        <v>0</v>
      </c>
      <c r="O352" s="1147">
        <v>0</v>
      </c>
      <c r="P352" s="450">
        <f>TRUNC(단가대비표!V85,0)</f>
        <v>0</v>
      </c>
      <c r="Q352" s="450">
        <f t="shared" si="52"/>
        <v>0</v>
      </c>
      <c r="R352" s="1147">
        <v>3200000</v>
      </c>
      <c r="S352" s="1147">
        <v>3200000</v>
      </c>
      <c r="T352" s="450">
        <f t="shared" si="53"/>
        <v>3200000</v>
      </c>
      <c r="U352" s="450">
        <f t="shared" si="54"/>
        <v>3200000</v>
      </c>
      <c r="V352" s="454" t="s">
        <v>51</v>
      </c>
      <c r="W352" s="448" t="s">
        <v>500</v>
      </c>
      <c r="X352" s="448" t="s">
        <v>51</v>
      </c>
      <c r="Y352" s="448" t="s">
        <v>51</v>
      </c>
      <c r="Z352" s="448" t="s">
        <v>487</v>
      </c>
      <c r="AA352" s="448" t="s">
        <v>62</v>
      </c>
      <c r="AB352" s="448" t="s">
        <v>62</v>
      </c>
      <c r="AC352" s="448" t="s">
        <v>61</v>
      </c>
      <c r="AD352" s="447"/>
      <c r="AE352" s="447"/>
      <c r="AF352" s="447"/>
      <c r="AG352" s="447"/>
      <c r="AH352" s="447"/>
      <c r="AI352" s="447"/>
      <c r="AJ352" s="447"/>
      <c r="AK352" s="447"/>
      <c r="AL352" s="447"/>
      <c r="AM352" s="447"/>
      <c r="AN352" s="447"/>
      <c r="AO352" s="447"/>
      <c r="AP352" s="447"/>
      <c r="AQ352" s="447"/>
      <c r="AR352" s="447"/>
      <c r="AS352" s="447"/>
      <c r="AT352" s="447"/>
      <c r="AU352" s="447"/>
      <c r="AV352" s="447"/>
      <c r="AW352" s="447"/>
      <c r="AX352" s="447"/>
      <c r="AY352" s="447"/>
      <c r="AZ352" s="447"/>
      <c r="BA352" s="448" t="s">
        <v>51</v>
      </c>
      <c r="BB352" s="448" t="s">
        <v>51</v>
      </c>
      <c r="BC352" s="447"/>
      <c r="BD352" s="448" t="s">
        <v>501</v>
      </c>
      <c r="BE352" s="447">
        <v>274</v>
      </c>
    </row>
    <row r="353" spans="1:57" ht="30" customHeight="1">
      <c r="A353" s="443" t="s">
        <v>496</v>
      </c>
      <c r="B353" s="444" t="s">
        <v>4568</v>
      </c>
      <c r="C353" s="464" t="s">
        <v>2568</v>
      </c>
      <c r="D353" s="1133">
        <v>1</v>
      </c>
      <c r="E353" s="445">
        <f>'1층전시실산출'!H362</f>
        <v>1</v>
      </c>
      <c r="F353" s="1147">
        <v>950000</v>
      </c>
      <c r="G353" s="1147">
        <v>950000</v>
      </c>
      <c r="H353" s="450">
        <f>단가대비표!O86</f>
        <v>950000</v>
      </c>
      <c r="I353" s="450">
        <f t="shared" si="50"/>
        <v>950000</v>
      </c>
      <c r="J353" s="1147">
        <v>0</v>
      </c>
      <c r="K353" s="1147">
        <v>0</v>
      </c>
      <c r="L353" s="450">
        <f>TRUNC(단가대비표!P86,0)</f>
        <v>0</v>
      </c>
      <c r="M353" s="450">
        <f t="shared" si="51"/>
        <v>0</v>
      </c>
      <c r="N353" s="1147">
        <v>0</v>
      </c>
      <c r="O353" s="1147">
        <v>0</v>
      </c>
      <c r="P353" s="450">
        <f>TRUNC(단가대비표!V86,0)</f>
        <v>0</v>
      </c>
      <c r="Q353" s="450">
        <f t="shared" si="52"/>
        <v>0</v>
      </c>
      <c r="R353" s="1147">
        <v>950000</v>
      </c>
      <c r="S353" s="1147">
        <v>950000</v>
      </c>
      <c r="T353" s="450">
        <f t="shared" si="53"/>
        <v>950000</v>
      </c>
      <c r="U353" s="450">
        <f t="shared" si="54"/>
        <v>950000</v>
      </c>
      <c r="V353" s="454" t="s">
        <v>51</v>
      </c>
      <c r="W353" s="448" t="s">
        <v>503</v>
      </c>
      <c r="X353" s="448" t="s">
        <v>51</v>
      </c>
      <c r="Y353" s="448" t="s">
        <v>51</v>
      </c>
      <c r="Z353" s="448" t="s">
        <v>487</v>
      </c>
      <c r="AA353" s="448" t="s">
        <v>62</v>
      </c>
      <c r="AB353" s="448" t="s">
        <v>62</v>
      </c>
      <c r="AC353" s="448" t="s">
        <v>61</v>
      </c>
      <c r="AD353" s="447"/>
      <c r="AE353" s="447"/>
      <c r="AF353" s="447"/>
      <c r="AG353" s="447"/>
      <c r="AH353" s="447"/>
      <c r="AI353" s="447"/>
      <c r="AJ353" s="447"/>
      <c r="AK353" s="447"/>
      <c r="AL353" s="447"/>
      <c r="AM353" s="447"/>
      <c r="AN353" s="447"/>
      <c r="AO353" s="447"/>
      <c r="AP353" s="447"/>
      <c r="AQ353" s="447"/>
      <c r="AR353" s="447"/>
      <c r="AS353" s="447"/>
      <c r="AT353" s="447"/>
      <c r="AU353" s="447"/>
      <c r="AV353" s="447"/>
      <c r="AW353" s="447"/>
      <c r="AX353" s="447"/>
      <c r="AY353" s="447"/>
      <c r="AZ353" s="447"/>
      <c r="BA353" s="448" t="s">
        <v>51</v>
      </c>
      <c r="BB353" s="448" t="s">
        <v>51</v>
      </c>
      <c r="BC353" s="447"/>
      <c r="BD353" s="448" t="s">
        <v>504</v>
      </c>
      <c r="BE353" s="447">
        <v>275</v>
      </c>
    </row>
    <row r="354" spans="1:57" ht="30" customHeight="1">
      <c r="A354" s="443" t="s">
        <v>499</v>
      </c>
      <c r="B354" s="444" t="s">
        <v>4569</v>
      </c>
      <c r="C354" s="464" t="s">
        <v>2568</v>
      </c>
      <c r="D354" s="1133">
        <v>1</v>
      </c>
      <c r="E354" s="445">
        <f>'1층전시실산출'!H363</f>
        <v>1</v>
      </c>
      <c r="F354" s="1147">
        <v>1100000</v>
      </c>
      <c r="G354" s="1147">
        <v>1100000</v>
      </c>
      <c r="H354" s="450">
        <f>단가대비표!O87</f>
        <v>1100000</v>
      </c>
      <c r="I354" s="450">
        <f t="shared" si="50"/>
        <v>1100000</v>
      </c>
      <c r="J354" s="1147">
        <v>0</v>
      </c>
      <c r="K354" s="1147">
        <v>0</v>
      </c>
      <c r="L354" s="450">
        <f>TRUNC(단가대비표!P87,0)</f>
        <v>0</v>
      </c>
      <c r="M354" s="450">
        <f t="shared" si="51"/>
        <v>0</v>
      </c>
      <c r="N354" s="1147">
        <v>0</v>
      </c>
      <c r="O354" s="1147">
        <v>0</v>
      </c>
      <c r="P354" s="450">
        <f>TRUNC(단가대비표!V87,0)</f>
        <v>0</v>
      </c>
      <c r="Q354" s="450">
        <f t="shared" si="52"/>
        <v>0</v>
      </c>
      <c r="R354" s="1147">
        <v>1100000</v>
      </c>
      <c r="S354" s="1147">
        <v>1100000</v>
      </c>
      <c r="T354" s="450">
        <f t="shared" si="53"/>
        <v>1100000</v>
      </c>
      <c r="U354" s="450">
        <f t="shared" si="54"/>
        <v>1100000</v>
      </c>
      <c r="V354" s="454" t="s">
        <v>51</v>
      </c>
      <c r="W354" s="448" t="s">
        <v>503</v>
      </c>
      <c r="X354" s="448" t="s">
        <v>51</v>
      </c>
      <c r="Y354" s="448" t="s">
        <v>51</v>
      </c>
      <c r="Z354" s="448" t="s">
        <v>487</v>
      </c>
      <c r="AA354" s="448" t="s">
        <v>62</v>
      </c>
      <c r="AB354" s="448" t="s">
        <v>62</v>
      </c>
      <c r="AC354" s="448" t="s">
        <v>61</v>
      </c>
      <c r="AD354" s="447"/>
      <c r="AE354" s="447"/>
      <c r="AF354" s="447"/>
      <c r="AG354" s="447"/>
      <c r="AH354" s="447"/>
      <c r="AI354" s="447"/>
      <c r="AJ354" s="447"/>
      <c r="AK354" s="447"/>
      <c r="AL354" s="447"/>
      <c r="AM354" s="447"/>
      <c r="AN354" s="447"/>
      <c r="AO354" s="447"/>
      <c r="AP354" s="447"/>
      <c r="AQ354" s="447"/>
      <c r="AR354" s="447"/>
      <c r="AS354" s="447"/>
      <c r="AT354" s="447"/>
      <c r="AU354" s="447"/>
      <c r="AV354" s="447"/>
      <c r="AW354" s="447"/>
      <c r="AX354" s="447"/>
      <c r="AY354" s="447"/>
      <c r="AZ354" s="447"/>
      <c r="BA354" s="448" t="s">
        <v>51</v>
      </c>
      <c r="BB354" s="448" t="s">
        <v>51</v>
      </c>
      <c r="BC354" s="447"/>
      <c r="BD354" s="448" t="s">
        <v>504</v>
      </c>
      <c r="BE354" s="447">
        <v>275</v>
      </c>
    </row>
    <row r="355" spans="1:57" ht="30" customHeight="1">
      <c r="A355" s="443" t="s">
        <v>502</v>
      </c>
      <c r="B355" s="444" t="s">
        <v>4570</v>
      </c>
      <c r="C355" s="464" t="s">
        <v>2568</v>
      </c>
      <c r="D355" s="1133">
        <v>2</v>
      </c>
      <c r="E355" s="445">
        <f>'1층전시실산출'!H364</f>
        <v>2</v>
      </c>
      <c r="F355" s="1147">
        <v>850000</v>
      </c>
      <c r="G355" s="1147">
        <v>1700000</v>
      </c>
      <c r="H355" s="450">
        <f>단가대비표!O88</f>
        <v>850000</v>
      </c>
      <c r="I355" s="450">
        <f t="shared" si="50"/>
        <v>1700000</v>
      </c>
      <c r="J355" s="1147">
        <v>0</v>
      </c>
      <c r="K355" s="1147">
        <v>0</v>
      </c>
      <c r="L355" s="450">
        <f>TRUNC(단가대비표!P88,0)</f>
        <v>0</v>
      </c>
      <c r="M355" s="450">
        <f t="shared" si="51"/>
        <v>0</v>
      </c>
      <c r="N355" s="1147">
        <v>0</v>
      </c>
      <c r="O355" s="1147">
        <v>0</v>
      </c>
      <c r="P355" s="450">
        <f>TRUNC(단가대비표!V88,0)</f>
        <v>0</v>
      </c>
      <c r="Q355" s="450">
        <f t="shared" si="52"/>
        <v>0</v>
      </c>
      <c r="R355" s="1147">
        <v>850000</v>
      </c>
      <c r="S355" s="1147">
        <v>1700000</v>
      </c>
      <c r="T355" s="450">
        <f t="shared" si="53"/>
        <v>850000</v>
      </c>
      <c r="U355" s="450">
        <f t="shared" si="54"/>
        <v>1700000</v>
      </c>
      <c r="V355" s="454" t="s">
        <v>51</v>
      </c>
      <c r="W355" s="448" t="s">
        <v>503</v>
      </c>
      <c r="X355" s="448" t="s">
        <v>51</v>
      </c>
      <c r="Y355" s="448" t="s">
        <v>51</v>
      </c>
      <c r="Z355" s="448" t="s">
        <v>487</v>
      </c>
      <c r="AA355" s="448" t="s">
        <v>62</v>
      </c>
      <c r="AB355" s="448" t="s">
        <v>62</v>
      </c>
      <c r="AC355" s="448" t="s">
        <v>61</v>
      </c>
      <c r="AD355" s="447"/>
      <c r="AE355" s="447"/>
      <c r="AF355" s="447"/>
      <c r="AG355" s="447"/>
      <c r="AH355" s="447"/>
      <c r="AI355" s="447"/>
      <c r="AJ355" s="447"/>
      <c r="AK355" s="447"/>
      <c r="AL355" s="447"/>
      <c r="AM355" s="447"/>
      <c r="AN355" s="447"/>
      <c r="AO355" s="447"/>
      <c r="AP355" s="447"/>
      <c r="AQ355" s="447"/>
      <c r="AR355" s="447"/>
      <c r="AS355" s="447"/>
      <c r="AT355" s="447"/>
      <c r="AU355" s="447"/>
      <c r="AV355" s="447"/>
      <c r="AW355" s="447"/>
      <c r="AX355" s="447"/>
      <c r="AY355" s="447"/>
      <c r="AZ355" s="447"/>
      <c r="BA355" s="448" t="s">
        <v>51</v>
      </c>
      <c r="BB355" s="448" t="s">
        <v>51</v>
      </c>
      <c r="BC355" s="447"/>
      <c r="BD355" s="448" t="s">
        <v>504</v>
      </c>
      <c r="BE355" s="447">
        <v>275</v>
      </c>
    </row>
    <row r="356" spans="1:57" ht="30" customHeight="1">
      <c r="A356" s="443" t="s">
        <v>2345</v>
      </c>
      <c r="B356" s="444" t="s">
        <v>4571</v>
      </c>
      <c r="C356" s="464" t="s">
        <v>2568</v>
      </c>
      <c r="D356" s="1133">
        <v>1</v>
      </c>
      <c r="E356" s="445">
        <f>'1층전시실산출'!H365</f>
        <v>1</v>
      </c>
      <c r="F356" s="1147">
        <v>720000</v>
      </c>
      <c r="G356" s="1147">
        <v>720000</v>
      </c>
      <c r="H356" s="450">
        <f>단가대비표!O89</f>
        <v>720000</v>
      </c>
      <c r="I356" s="450">
        <f t="shared" si="50"/>
        <v>720000</v>
      </c>
      <c r="J356" s="1147">
        <v>0</v>
      </c>
      <c r="K356" s="1147">
        <v>0</v>
      </c>
      <c r="L356" s="450">
        <f>TRUNC(단가대비표!P89,0)</f>
        <v>0</v>
      </c>
      <c r="M356" s="450">
        <f t="shared" si="51"/>
        <v>0</v>
      </c>
      <c r="N356" s="1147">
        <v>0</v>
      </c>
      <c r="O356" s="1147">
        <v>0</v>
      </c>
      <c r="P356" s="450">
        <f>TRUNC(단가대비표!V89,0)</f>
        <v>0</v>
      </c>
      <c r="Q356" s="450">
        <f t="shared" si="52"/>
        <v>0</v>
      </c>
      <c r="R356" s="1147">
        <v>720000</v>
      </c>
      <c r="S356" s="1147">
        <v>720000</v>
      </c>
      <c r="T356" s="450">
        <f t="shared" si="53"/>
        <v>720000</v>
      </c>
      <c r="U356" s="450">
        <f t="shared" si="54"/>
        <v>720000</v>
      </c>
      <c r="V356" s="454" t="s">
        <v>51</v>
      </c>
      <c r="W356" s="448"/>
      <c r="X356" s="448"/>
      <c r="Y356" s="448"/>
      <c r="Z356" s="448"/>
      <c r="AA356" s="448"/>
      <c r="AB356" s="448"/>
      <c r="AC356" s="448"/>
      <c r="AD356" s="447"/>
      <c r="AE356" s="447"/>
      <c r="AF356" s="447"/>
      <c r="AG356" s="447"/>
      <c r="AH356" s="447"/>
      <c r="AI356" s="447"/>
      <c r="AJ356" s="447"/>
      <c r="AK356" s="447"/>
      <c r="AL356" s="447"/>
      <c r="AM356" s="447"/>
      <c r="AN356" s="447"/>
      <c r="AO356" s="447"/>
      <c r="AP356" s="447"/>
      <c r="AQ356" s="447"/>
      <c r="AR356" s="447"/>
      <c r="AS356" s="447"/>
      <c r="AT356" s="447"/>
      <c r="AU356" s="447"/>
      <c r="AV356" s="447"/>
      <c r="AW356" s="447"/>
      <c r="AX356" s="447"/>
      <c r="AY356" s="447"/>
      <c r="AZ356" s="447"/>
      <c r="BA356" s="448"/>
      <c r="BB356" s="448"/>
      <c r="BC356" s="447"/>
      <c r="BD356" s="448"/>
      <c r="BE356" s="447"/>
    </row>
    <row r="357" spans="1:57" ht="30" customHeight="1">
      <c r="A357" s="443" t="s">
        <v>2346</v>
      </c>
      <c r="B357" s="444" t="s">
        <v>4572</v>
      </c>
      <c r="C357" s="464" t="s">
        <v>2568</v>
      </c>
      <c r="D357" s="1133">
        <v>1</v>
      </c>
      <c r="E357" s="445">
        <f>'1층전시실산출'!H366</f>
        <v>1</v>
      </c>
      <c r="F357" s="1147">
        <v>1100000</v>
      </c>
      <c r="G357" s="1147">
        <v>1100000</v>
      </c>
      <c r="H357" s="450">
        <f>단가대비표!O90</f>
        <v>1100000</v>
      </c>
      <c r="I357" s="450">
        <f t="shared" si="50"/>
        <v>1100000</v>
      </c>
      <c r="J357" s="1147">
        <v>0</v>
      </c>
      <c r="K357" s="1147">
        <v>0</v>
      </c>
      <c r="L357" s="450">
        <f>TRUNC(단가대비표!P90,0)</f>
        <v>0</v>
      </c>
      <c r="M357" s="450">
        <f t="shared" si="51"/>
        <v>0</v>
      </c>
      <c r="N357" s="1147">
        <v>0</v>
      </c>
      <c r="O357" s="1147">
        <v>0</v>
      </c>
      <c r="P357" s="450">
        <f>TRUNC(단가대비표!V90,0)</f>
        <v>0</v>
      </c>
      <c r="Q357" s="450">
        <f t="shared" si="52"/>
        <v>0</v>
      </c>
      <c r="R357" s="1147">
        <v>1100000</v>
      </c>
      <c r="S357" s="1147">
        <v>1100000</v>
      </c>
      <c r="T357" s="450">
        <f t="shared" si="53"/>
        <v>1100000</v>
      </c>
      <c r="U357" s="450">
        <f t="shared" si="54"/>
        <v>1100000</v>
      </c>
      <c r="V357" s="454" t="s">
        <v>51</v>
      </c>
      <c r="W357" s="448"/>
      <c r="X357" s="448"/>
      <c r="Y357" s="448"/>
      <c r="Z357" s="448"/>
      <c r="AA357" s="448"/>
      <c r="AB357" s="448"/>
      <c r="AC357" s="448"/>
      <c r="AD357" s="447"/>
      <c r="AE357" s="447"/>
      <c r="AF357" s="447"/>
      <c r="AG357" s="447"/>
      <c r="AH357" s="447"/>
      <c r="AI357" s="447"/>
      <c r="AJ357" s="447"/>
      <c r="AK357" s="447"/>
      <c r="AL357" s="447"/>
      <c r="AM357" s="447"/>
      <c r="AN357" s="447"/>
      <c r="AO357" s="447"/>
      <c r="AP357" s="447"/>
      <c r="AQ357" s="447"/>
      <c r="AR357" s="447"/>
      <c r="AS357" s="447"/>
      <c r="AT357" s="447"/>
      <c r="AU357" s="447"/>
      <c r="AV357" s="447"/>
      <c r="AW357" s="447"/>
      <c r="AX357" s="447"/>
      <c r="AY357" s="447"/>
      <c r="AZ357" s="447"/>
      <c r="BA357" s="448"/>
      <c r="BB357" s="448"/>
      <c r="BC357" s="447"/>
      <c r="BD357" s="448"/>
      <c r="BE357" s="447"/>
    </row>
    <row r="358" spans="1:57" ht="30" customHeight="1">
      <c r="A358" s="443" t="s">
        <v>3222</v>
      </c>
      <c r="B358" s="444" t="s">
        <v>4573</v>
      </c>
      <c r="C358" s="464" t="s">
        <v>2568</v>
      </c>
      <c r="D358" s="1133">
        <v>1</v>
      </c>
      <c r="E358" s="445">
        <f>'1층전시실산출'!H367</f>
        <v>1</v>
      </c>
      <c r="F358" s="1147">
        <v>880000</v>
      </c>
      <c r="G358" s="1147">
        <v>880000</v>
      </c>
      <c r="H358" s="450">
        <f>단가대비표!O91</f>
        <v>880000</v>
      </c>
      <c r="I358" s="450">
        <f t="shared" si="50"/>
        <v>880000</v>
      </c>
      <c r="J358" s="1147">
        <v>0</v>
      </c>
      <c r="K358" s="1147">
        <v>0</v>
      </c>
      <c r="L358" s="450">
        <f>TRUNC(단가대비표!P91,0)</f>
        <v>0</v>
      </c>
      <c r="M358" s="450">
        <f t="shared" si="51"/>
        <v>0</v>
      </c>
      <c r="N358" s="1147">
        <v>0</v>
      </c>
      <c r="O358" s="1147"/>
      <c r="P358" s="450">
        <f>TRUNC(단가대비표!V91,0)</f>
        <v>0</v>
      </c>
      <c r="Q358" s="450"/>
      <c r="R358" s="1147">
        <v>880000</v>
      </c>
      <c r="S358" s="1147">
        <v>880000</v>
      </c>
      <c r="T358" s="450">
        <f t="shared" si="53"/>
        <v>880000</v>
      </c>
      <c r="U358" s="450">
        <f t="shared" si="54"/>
        <v>880000</v>
      </c>
      <c r="V358" s="454"/>
      <c r="W358" s="448"/>
      <c r="X358" s="448"/>
      <c r="Y358" s="448"/>
      <c r="Z358" s="448"/>
      <c r="AA358" s="448"/>
      <c r="AB358" s="448"/>
      <c r="AC358" s="448"/>
      <c r="AD358" s="447"/>
      <c r="AE358" s="447"/>
      <c r="AF358" s="447"/>
      <c r="AG358" s="447"/>
      <c r="AH358" s="447"/>
      <c r="AI358" s="447"/>
      <c r="AJ358" s="447"/>
      <c r="AK358" s="447"/>
      <c r="AL358" s="447"/>
      <c r="AM358" s="447"/>
      <c r="AN358" s="447"/>
      <c r="AO358" s="447"/>
      <c r="AP358" s="447"/>
      <c r="AQ358" s="447"/>
      <c r="AR358" s="447"/>
      <c r="AS358" s="447"/>
      <c r="AT358" s="447"/>
      <c r="AU358" s="447"/>
      <c r="AV358" s="447"/>
      <c r="AW358" s="447"/>
      <c r="AX358" s="447"/>
      <c r="AY358" s="447"/>
      <c r="AZ358" s="447"/>
      <c r="BA358" s="448"/>
      <c r="BB358" s="448"/>
      <c r="BC358" s="447"/>
      <c r="BD358" s="448"/>
      <c r="BE358" s="447"/>
    </row>
    <row r="359" spans="1:57" ht="30" customHeight="1">
      <c r="A359" s="443" t="s">
        <v>3223</v>
      </c>
      <c r="B359" s="444" t="s">
        <v>4574</v>
      </c>
      <c r="C359" s="464" t="s">
        <v>2568</v>
      </c>
      <c r="D359" s="1133">
        <v>1</v>
      </c>
      <c r="E359" s="445">
        <f>'1층전시실산출'!H368</f>
        <v>1</v>
      </c>
      <c r="F359" s="1147">
        <v>450000</v>
      </c>
      <c r="G359" s="1147">
        <v>450000</v>
      </c>
      <c r="H359" s="450">
        <f>단가대비표!O92</f>
        <v>450000</v>
      </c>
      <c r="I359" s="450">
        <f t="shared" si="50"/>
        <v>450000</v>
      </c>
      <c r="J359" s="1147"/>
      <c r="K359" s="1147">
        <v>0</v>
      </c>
      <c r="L359" s="450"/>
      <c r="M359" s="450">
        <f t="shared" si="51"/>
        <v>0</v>
      </c>
      <c r="N359" s="1147">
        <v>0</v>
      </c>
      <c r="O359" s="1147"/>
      <c r="P359" s="450">
        <f>TRUNC(단가대비표!V92,0)</f>
        <v>0</v>
      </c>
      <c r="Q359" s="450"/>
      <c r="R359" s="1147">
        <v>450000</v>
      </c>
      <c r="S359" s="1147">
        <v>450000</v>
      </c>
      <c r="T359" s="450">
        <f t="shared" si="53"/>
        <v>450000</v>
      </c>
      <c r="U359" s="450">
        <f t="shared" si="54"/>
        <v>450000</v>
      </c>
      <c r="V359" s="454"/>
      <c r="W359" s="448"/>
      <c r="X359" s="448"/>
      <c r="Y359" s="448"/>
      <c r="Z359" s="448"/>
      <c r="AA359" s="448"/>
      <c r="AB359" s="448"/>
      <c r="AC359" s="448"/>
      <c r="AD359" s="447"/>
      <c r="AE359" s="447"/>
      <c r="AF359" s="447"/>
      <c r="AG359" s="447"/>
      <c r="AH359" s="447"/>
      <c r="AI359" s="447"/>
      <c r="AJ359" s="447"/>
      <c r="AK359" s="447"/>
      <c r="AL359" s="447"/>
      <c r="AM359" s="447"/>
      <c r="AN359" s="447"/>
      <c r="AO359" s="447"/>
      <c r="AP359" s="447"/>
      <c r="AQ359" s="447"/>
      <c r="AR359" s="447"/>
      <c r="AS359" s="447"/>
      <c r="AT359" s="447"/>
      <c r="AU359" s="447"/>
      <c r="AV359" s="447"/>
      <c r="AW359" s="447"/>
      <c r="AX359" s="447"/>
      <c r="AY359" s="447"/>
      <c r="AZ359" s="447"/>
      <c r="BA359" s="448"/>
      <c r="BB359" s="448"/>
      <c r="BC359" s="447"/>
      <c r="BD359" s="448"/>
      <c r="BE359" s="447"/>
    </row>
    <row r="360" spans="1:57" ht="30" customHeight="1">
      <c r="A360" s="443" t="s">
        <v>2348</v>
      </c>
      <c r="B360" s="444" t="s">
        <v>4575</v>
      </c>
      <c r="C360" s="464" t="s">
        <v>2568</v>
      </c>
      <c r="D360" s="1133">
        <v>2</v>
      </c>
      <c r="E360" s="445">
        <f>'1층전시실산출'!H369</f>
        <v>2</v>
      </c>
      <c r="F360" s="1147">
        <v>300000</v>
      </c>
      <c r="G360" s="1147">
        <v>600000</v>
      </c>
      <c r="H360" s="450">
        <f>단가대비표!O93</f>
        <v>300000</v>
      </c>
      <c r="I360" s="450">
        <f t="shared" si="50"/>
        <v>600000</v>
      </c>
      <c r="J360" s="1147"/>
      <c r="K360" s="1147">
        <v>0</v>
      </c>
      <c r="L360" s="450"/>
      <c r="M360" s="450">
        <f t="shared" si="51"/>
        <v>0</v>
      </c>
      <c r="N360" s="1147"/>
      <c r="O360" s="1147"/>
      <c r="P360" s="450"/>
      <c r="Q360" s="450"/>
      <c r="R360" s="1147">
        <v>300000</v>
      </c>
      <c r="S360" s="1147">
        <v>600000</v>
      </c>
      <c r="T360" s="450">
        <f t="shared" si="53"/>
        <v>300000</v>
      </c>
      <c r="U360" s="450">
        <f t="shared" si="54"/>
        <v>600000</v>
      </c>
      <c r="V360" s="454"/>
      <c r="W360" s="448"/>
      <c r="X360" s="448"/>
      <c r="Y360" s="448"/>
      <c r="Z360" s="448"/>
      <c r="AA360" s="448"/>
      <c r="AB360" s="448"/>
      <c r="AC360" s="448"/>
      <c r="AD360" s="447"/>
      <c r="AE360" s="447"/>
      <c r="AF360" s="447"/>
      <c r="AG360" s="447"/>
      <c r="AH360" s="447"/>
      <c r="AI360" s="447"/>
      <c r="AJ360" s="447"/>
      <c r="AK360" s="447"/>
      <c r="AL360" s="447"/>
      <c r="AM360" s="447"/>
      <c r="AN360" s="447"/>
      <c r="AO360" s="447"/>
      <c r="AP360" s="447"/>
      <c r="AQ360" s="447"/>
      <c r="AR360" s="447"/>
      <c r="AS360" s="447"/>
      <c r="AT360" s="447"/>
      <c r="AU360" s="447"/>
      <c r="AV360" s="447"/>
      <c r="AW360" s="447"/>
      <c r="AX360" s="447"/>
      <c r="AY360" s="447"/>
      <c r="AZ360" s="447"/>
      <c r="BA360" s="448"/>
      <c r="BB360" s="448"/>
      <c r="BC360" s="447"/>
      <c r="BD360" s="448"/>
      <c r="BE360" s="447"/>
    </row>
    <row r="361" spans="1:57" ht="30" customHeight="1">
      <c r="A361" s="443" t="s">
        <v>3236</v>
      </c>
      <c r="B361" s="444" t="s">
        <v>4576</v>
      </c>
      <c r="C361" s="464" t="s">
        <v>2568</v>
      </c>
      <c r="D361" s="1133">
        <v>4</v>
      </c>
      <c r="E361" s="445">
        <f>'1층전시실산출'!H370</f>
        <v>4</v>
      </c>
      <c r="F361" s="1147">
        <v>400000</v>
      </c>
      <c r="G361" s="1147">
        <v>1600000</v>
      </c>
      <c r="H361" s="450">
        <f>단가대비표!O94</f>
        <v>400000</v>
      </c>
      <c r="I361" s="450">
        <f t="shared" si="50"/>
        <v>1600000</v>
      </c>
      <c r="J361" s="1147"/>
      <c r="K361" s="1147">
        <v>0</v>
      </c>
      <c r="L361" s="450"/>
      <c r="M361" s="450">
        <f t="shared" si="51"/>
        <v>0</v>
      </c>
      <c r="N361" s="1147"/>
      <c r="O361" s="1147"/>
      <c r="P361" s="450"/>
      <c r="Q361" s="450"/>
      <c r="R361" s="1147">
        <v>400000</v>
      </c>
      <c r="S361" s="1147">
        <v>1600000</v>
      </c>
      <c r="T361" s="450">
        <f t="shared" si="53"/>
        <v>400000</v>
      </c>
      <c r="U361" s="450">
        <f t="shared" si="54"/>
        <v>1600000</v>
      </c>
      <c r="V361" s="454"/>
      <c r="W361" s="448"/>
      <c r="X361" s="448"/>
      <c r="Y361" s="448"/>
      <c r="Z361" s="448"/>
      <c r="AA361" s="448"/>
      <c r="AB361" s="448"/>
      <c r="AC361" s="448"/>
      <c r="AD361" s="447"/>
      <c r="AE361" s="447"/>
      <c r="AF361" s="447"/>
      <c r="AG361" s="447"/>
      <c r="AH361" s="447"/>
      <c r="AI361" s="447"/>
      <c r="AJ361" s="447"/>
      <c r="AK361" s="447"/>
      <c r="AL361" s="447"/>
      <c r="AM361" s="447"/>
      <c r="AN361" s="447"/>
      <c r="AO361" s="447"/>
      <c r="AP361" s="447"/>
      <c r="AQ361" s="447"/>
      <c r="AR361" s="447"/>
      <c r="AS361" s="447"/>
      <c r="AT361" s="447"/>
      <c r="AU361" s="447"/>
      <c r="AV361" s="447"/>
      <c r="AW361" s="447"/>
      <c r="AX361" s="447"/>
      <c r="AY361" s="447"/>
      <c r="AZ361" s="447"/>
      <c r="BA361" s="448"/>
      <c r="BB361" s="448"/>
      <c r="BC361" s="447"/>
      <c r="BD361" s="448"/>
      <c r="BE361" s="447"/>
    </row>
    <row r="362" spans="1:57" ht="30" customHeight="1">
      <c r="A362" s="443" t="s">
        <v>3234</v>
      </c>
      <c r="B362" s="444" t="s">
        <v>4577</v>
      </c>
      <c r="C362" s="464" t="s">
        <v>2568</v>
      </c>
      <c r="D362" s="1133">
        <v>5</v>
      </c>
      <c r="E362" s="445">
        <f>'1층전시실산출'!H371</f>
        <v>5</v>
      </c>
      <c r="F362" s="1147">
        <v>400000</v>
      </c>
      <c r="G362" s="1147">
        <v>2000000</v>
      </c>
      <c r="H362" s="450">
        <f>단가대비표!O95</f>
        <v>400000</v>
      </c>
      <c r="I362" s="450">
        <f t="shared" si="50"/>
        <v>2000000</v>
      </c>
      <c r="J362" s="1147"/>
      <c r="K362" s="1147">
        <v>0</v>
      </c>
      <c r="L362" s="450"/>
      <c r="M362" s="450">
        <f t="shared" si="51"/>
        <v>0</v>
      </c>
      <c r="N362" s="1147"/>
      <c r="O362" s="1147"/>
      <c r="P362" s="450"/>
      <c r="Q362" s="450"/>
      <c r="R362" s="1147">
        <v>400000</v>
      </c>
      <c r="S362" s="1147">
        <v>2000000</v>
      </c>
      <c r="T362" s="450">
        <f t="shared" si="53"/>
        <v>400000</v>
      </c>
      <c r="U362" s="450">
        <f t="shared" si="54"/>
        <v>2000000</v>
      </c>
      <c r="V362" s="454"/>
      <c r="W362" s="448"/>
      <c r="X362" s="448"/>
      <c r="Y362" s="448"/>
      <c r="Z362" s="448"/>
      <c r="AA362" s="448"/>
      <c r="AB362" s="448"/>
      <c r="AC362" s="448"/>
      <c r="AD362" s="447"/>
      <c r="AE362" s="447"/>
      <c r="AF362" s="447"/>
      <c r="AG362" s="447"/>
      <c r="AH362" s="447"/>
      <c r="AI362" s="447"/>
      <c r="AJ362" s="447"/>
      <c r="AK362" s="447"/>
      <c r="AL362" s="447"/>
      <c r="AM362" s="447"/>
      <c r="AN362" s="447"/>
      <c r="AO362" s="447"/>
      <c r="AP362" s="447"/>
      <c r="AQ362" s="447"/>
      <c r="AR362" s="447"/>
      <c r="AS362" s="447"/>
      <c r="AT362" s="447"/>
      <c r="AU362" s="447"/>
      <c r="AV362" s="447"/>
      <c r="AW362" s="447"/>
      <c r="AX362" s="447"/>
      <c r="AY362" s="447"/>
      <c r="AZ362" s="447"/>
      <c r="BA362" s="448"/>
      <c r="BB362" s="448"/>
      <c r="BC362" s="447"/>
      <c r="BD362" s="448"/>
      <c r="BE362" s="447"/>
    </row>
    <row r="363" spans="1:57" ht="30" customHeight="1">
      <c r="A363" s="443" t="s">
        <v>2350</v>
      </c>
      <c r="B363" s="444" t="s">
        <v>4578</v>
      </c>
      <c r="C363" s="464" t="s">
        <v>2568</v>
      </c>
      <c r="D363" s="1133">
        <v>1</v>
      </c>
      <c r="E363" s="445">
        <f>'1층전시실산출'!H372</f>
        <v>1</v>
      </c>
      <c r="F363" s="1147">
        <v>780000</v>
      </c>
      <c r="G363" s="1147">
        <v>780000</v>
      </c>
      <c r="H363" s="450">
        <f>단가대비표!O96</f>
        <v>780000</v>
      </c>
      <c r="I363" s="450">
        <f t="shared" si="50"/>
        <v>780000</v>
      </c>
      <c r="J363" s="1147"/>
      <c r="K363" s="1147">
        <v>0</v>
      </c>
      <c r="L363" s="450"/>
      <c r="M363" s="450">
        <f t="shared" si="51"/>
        <v>0</v>
      </c>
      <c r="N363" s="1147"/>
      <c r="O363" s="1147"/>
      <c r="P363" s="450"/>
      <c r="Q363" s="450"/>
      <c r="R363" s="1147">
        <v>780000</v>
      </c>
      <c r="S363" s="1147">
        <v>780000</v>
      </c>
      <c r="T363" s="450">
        <f t="shared" si="53"/>
        <v>780000</v>
      </c>
      <c r="U363" s="450">
        <f t="shared" si="54"/>
        <v>780000</v>
      </c>
      <c r="V363" s="454"/>
      <c r="W363" s="448" t="s">
        <v>505</v>
      </c>
      <c r="X363" s="448" t="s">
        <v>51</v>
      </c>
      <c r="Y363" s="448" t="s">
        <v>51</v>
      </c>
      <c r="Z363" s="448" t="s">
        <v>487</v>
      </c>
      <c r="AA363" s="448" t="s">
        <v>62</v>
      </c>
      <c r="AB363" s="448" t="s">
        <v>62</v>
      </c>
      <c r="AC363" s="448" t="s">
        <v>61</v>
      </c>
      <c r="AD363" s="447"/>
      <c r="AE363" s="447"/>
      <c r="AF363" s="447"/>
      <c r="AG363" s="447"/>
      <c r="AH363" s="447"/>
      <c r="AI363" s="447"/>
      <c r="AJ363" s="447"/>
      <c r="AK363" s="447"/>
      <c r="AL363" s="447"/>
      <c r="AM363" s="447"/>
      <c r="AN363" s="447"/>
      <c r="AO363" s="447"/>
      <c r="AP363" s="447"/>
      <c r="AQ363" s="447"/>
      <c r="AR363" s="447"/>
      <c r="AS363" s="447"/>
      <c r="AT363" s="447"/>
      <c r="AU363" s="447"/>
      <c r="AV363" s="447"/>
      <c r="AW363" s="447"/>
      <c r="AX363" s="447"/>
      <c r="AY363" s="447"/>
      <c r="AZ363" s="447"/>
      <c r="BA363" s="448" t="s">
        <v>51</v>
      </c>
      <c r="BB363" s="448" t="s">
        <v>51</v>
      </c>
      <c r="BC363" s="447"/>
      <c r="BD363" s="448" t="s">
        <v>506</v>
      </c>
      <c r="BE363" s="447">
        <v>276</v>
      </c>
    </row>
    <row r="364" spans="1:57" ht="30" customHeight="1">
      <c r="A364" s="443" t="s">
        <v>2630</v>
      </c>
      <c r="B364" s="444" t="s">
        <v>4579</v>
      </c>
      <c r="C364" s="464" t="s">
        <v>2568</v>
      </c>
      <c r="D364" s="1133">
        <v>1</v>
      </c>
      <c r="E364" s="445">
        <f>'1층전시실산출'!H373</f>
        <v>1</v>
      </c>
      <c r="F364" s="1147">
        <v>850000</v>
      </c>
      <c r="G364" s="1147">
        <v>850000</v>
      </c>
      <c r="H364" s="450">
        <f>단가대비표!O97</f>
        <v>850000</v>
      </c>
      <c r="I364" s="450">
        <f t="shared" si="50"/>
        <v>850000</v>
      </c>
      <c r="J364" s="1147"/>
      <c r="K364" s="1147">
        <v>0</v>
      </c>
      <c r="L364" s="450"/>
      <c r="M364" s="450">
        <f t="shared" si="51"/>
        <v>0</v>
      </c>
      <c r="N364" s="1147"/>
      <c r="O364" s="1147"/>
      <c r="P364" s="450"/>
      <c r="Q364" s="450"/>
      <c r="R364" s="1147">
        <v>850000</v>
      </c>
      <c r="S364" s="1147">
        <v>850000</v>
      </c>
      <c r="T364" s="450">
        <f t="shared" si="53"/>
        <v>850000</v>
      </c>
      <c r="U364" s="450">
        <f t="shared" si="54"/>
        <v>850000</v>
      </c>
      <c r="V364" s="454"/>
      <c r="W364" s="448"/>
      <c r="X364" s="448"/>
      <c r="Y364" s="448"/>
      <c r="Z364" s="448"/>
      <c r="AA364" s="448"/>
      <c r="AB364" s="448"/>
      <c r="AC364" s="448"/>
      <c r="AD364" s="447"/>
      <c r="AE364" s="447"/>
      <c r="AF364" s="447"/>
      <c r="AG364" s="447"/>
      <c r="AH364" s="447"/>
      <c r="AI364" s="447"/>
      <c r="AJ364" s="447"/>
      <c r="AK364" s="447"/>
      <c r="AL364" s="447"/>
      <c r="AM364" s="447"/>
      <c r="AN364" s="447"/>
      <c r="AO364" s="447"/>
      <c r="AP364" s="447"/>
      <c r="AQ364" s="447"/>
      <c r="AR364" s="447"/>
      <c r="AS364" s="447"/>
      <c r="AT364" s="447"/>
      <c r="AU364" s="447"/>
      <c r="AV364" s="447"/>
      <c r="AW364" s="447"/>
      <c r="AX364" s="447"/>
      <c r="AY364" s="447"/>
      <c r="AZ364" s="447"/>
      <c r="BA364" s="448"/>
      <c r="BB364" s="448"/>
      <c r="BC364" s="447"/>
      <c r="BD364" s="448"/>
      <c r="BE364" s="447"/>
    </row>
    <row r="365" spans="1:57" ht="30" customHeight="1">
      <c r="A365" s="443" t="s">
        <v>2629</v>
      </c>
      <c r="B365" s="444" t="s">
        <v>4580</v>
      </c>
      <c r="C365" s="464" t="s">
        <v>2568</v>
      </c>
      <c r="D365" s="1133">
        <v>1</v>
      </c>
      <c r="E365" s="445">
        <f>'1층전시실산출'!H374</f>
        <v>1</v>
      </c>
      <c r="F365" s="1147">
        <v>1200000</v>
      </c>
      <c r="G365" s="1147">
        <v>1200000</v>
      </c>
      <c r="H365" s="450">
        <f>단가대비표!O98</f>
        <v>1200000</v>
      </c>
      <c r="I365" s="450">
        <f t="shared" si="50"/>
        <v>1200000</v>
      </c>
      <c r="J365" s="1147"/>
      <c r="K365" s="1147">
        <v>0</v>
      </c>
      <c r="L365" s="450"/>
      <c r="M365" s="450">
        <f t="shared" si="51"/>
        <v>0</v>
      </c>
      <c r="N365" s="1147"/>
      <c r="O365" s="1147">
        <v>0</v>
      </c>
      <c r="P365" s="450"/>
      <c r="Q365" s="450">
        <f>TRUNC(P365*E365, 0)</f>
        <v>0</v>
      </c>
      <c r="R365" s="1147">
        <v>1200000</v>
      </c>
      <c r="S365" s="1147">
        <v>1200000</v>
      </c>
      <c r="T365" s="450">
        <f t="shared" si="53"/>
        <v>1200000</v>
      </c>
      <c r="U365" s="450">
        <f t="shared" si="54"/>
        <v>1200000</v>
      </c>
      <c r="V365" s="454" t="s">
        <v>51</v>
      </c>
      <c r="W365" s="448" t="s">
        <v>508</v>
      </c>
      <c r="X365" s="448" t="s">
        <v>51</v>
      </c>
      <c r="Y365" s="448" t="s">
        <v>51</v>
      </c>
      <c r="Z365" s="448" t="s">
        <v>487</v>
      </c>
      <c r="AA365" s="448" t="s">
        <v>62</v>
      </c>
      <c r="AB365" s="448" t="s">
        <v>62</v>
      </c>
      <c r="AC365" s="448" t="s">
        <v>61</v>
      </c>
      <c r="AD365" s="447"/>
      <c r="AE365" s="447"/>
      <c r="AF365" s="447"/>
      <c r="AG365" s="447"/>
      <c r="AH365" s="447"/>
      <c r="AI365" s="447"/>
      <c r="AJ365" s="447"/>
      <c r="AK365" s="447"/>
      <c r="AL365" s="447"/>
      <c r="AM365" s="447"/>
      <c r="AN365" s="447"/>
      <c r="AO365" s="447"/>
      <c r="AP365" s="447"/>
      <c r="AQ365" s="447"/>
      <c r="AR365" s="447"/>
      <c r="AS365" s="447"/>
      <c r="AT365" s="447"/>
      <c r="AU365" s="447"/>
      <c r="AV365" s="447"/>
      <c r="AW365" s="447"/>
      <c r="AX365" s="447"/>
      <c r="AY365" s="447"/>
      <c r="AZ365" s="447"/>
      <c r="BA365" s="448" t="s">
        <v>51</v>
      </c>
      <c r="BB365" s="448" t="s">
        <v>51</v>
      </c>
      <c r="BC365" s="447"/>
      <c r="BD365" s="448" t="s">
        <v>509</v>
      </c>
      <c r="BE365" s="447">
        <v>431</v>
      </c>
    </row>
    <row r="366" spans="1:57" ht="30" customHeight="1">
      <c r="A366" s="443" t="s">
        <v>2351</v>
      </c>
      <c r="B366" s="444" t="s">
        <v>4581</v>
      </c>
      <c r="C366" s="464" t="s">
        <v>2568</v>
      </c>
      <c r="D366" s="1133">
        <v>1</v>
      </c>
      <c r="E366" s="445">
        <f>'1층전시실산출'!H375</f>
        <v>1</v>
      </c>
      <c r="F366" s="1147">
        <v>1250000</v>
      </c>
      <c r="G366" s="1147">
        <v>1250000</v>
      </c>
      <c r="H366" s="450">
        <f>단가대비표!O99</f>
        <v>1250000</v>
      </c>
      <c r="I366" s="450">
        <f t="shared" si="50"/>
        <v>1250000</v>
      </c>
      <c r="J366" s="1147"/>
      <c r="K366" s="1147">
        <v>0</v>
      </c>
      <c r="L366" s="450"/>
      <c r="M366" s="450">
        <f t="shared" si="51"/>
        <v>0</v>
      </c>
      <c r="N366" s="1147"/>
      <c r="O366" s="1147"/>
      <c r="P366" s="450"/>
      <c r="Q366" s="450"/>
      <c r="R366" s="1147">
        <v>1250000</v>
      </c>
      <c r="S366" s="1147">
        <v>1250000</v>
      </c>
      <c r="T366" s="450">
        <f t="shared" si="53"/>
        <v>1250000</v>
      </c>
      <c r="U366" s="450">
        <f t="shared" si="54"/>
        <v>1250000</v>
      </c>
      <c r="V366" s="454"/>
      <c r="W366" s="448" t="s">
        <v>512</v>
      </c>
      <c r="X366" s="448" t="s">
        <v>51</v>
      </c>
      <c r="Y366" s="448" t="s">
        <v>51</v>
      </c>
      <c r="Z366" s="448" t="s">
        <v>487</v>
      </c>
      <c r="AA366" s="448" t="s">
        <v>62</v>
      </c>
      <c r="AB366" s="448" t="s">
        <v>62</v>
      </c>
      <c r="AC366" s="448" t="s">
        <v>61</v>
      </c>
      <c r="AD366" s="447"/>
      <c r="AE366" s="447"/>
      <c r="AF366" s="447"/>
      <c r="AG366" s="447"/>
      <c r="AH366" s="447"/>
      <c r="AI366" s="447"/>
      <c r="AJ366" s="447"/>
      <c r="AK366" s="447"/>
      <c r="AL366" s="447"/>
      <c r="AM366" s="447"/>
      <c r="AN366" s="447"/>
      <c r="AO366" s="447"/>
      <c r="AP366" s="447"/>
      <c r="AQ366" s="447"/>
      <c r="AR366" s="447"/>
      <c r="AS366" s="447"/>
      <c r="AT366" s="447"/>
      <c r="AU366" s="447"/>
      <c r="AV366" s="447"/>
      <c r="AW366" s="447"/>
      <c r="AX366" s="447"/>
      <c r="AY366" s="447"/>
      <c r="AZ366" s="447"/>
      <c r="BA366" s="448" t="s">
        <v>51</v>
      </c>
      <c r="BB366" s="448" t="s">
        <v>51</v>
      </c>
      <c r="BC366" s="447"/>
      <c r="BD366" s="448" t="s">
        <v>513</v>
      </c>
      <c r="BE366" s="447">
        <v>432</v>
      </c>
    </row>
    <row r="367" spans="1:57" ht="30" customHeight="1">
      <c r="A367" s="443" t="s">
        <v>2624</v>
      </c>
      <c r="B367" s="444" t="str">
        <f>'1층전시실산출'!C376</f>
        <v>0.8*0.6*2.1</v>
      </c>
      <c r="C367" s="464" t="s">
        <v>2568</v>
      </c>
      <c r="D367" s="1133">
        <v>1</v>
      </c>
      <c r="E367" s="445">
        <f>'1층전시실산출'!H376</f>
        <v>1</v>
      </c>
      <c r="F367" s="1147">
        <v>450000</v>
      </c>
      <c r="G367" s="1147">
        <v>450000</v>
      </c>
      <c r="H367" s="450">
        <f>TRUNC(단가대비표!O420,0)</f>
        <v>450000</v>
      </c>
      <c r="I367" s="450">
        <f t="shared" si="50"/>
        <v>450000</v>
      </c>
      <c r="J367" s="1147">
        <v>0</v>
      </c>
      <c r="K367" s="1147">
        <v>0</v>
      </c>
      <c r="L367" s="450">
        <f>TRUNC(단가대비표!P420,0)</f>
        <v>0</v>
      </c>
      <c r="M367" s="450">
        <f t="shared" si="51"/>
        <v>0</v>
      </c>
      <c r="N367" s="1147">
        <v>0</v>
      </c>
      <c r="O367" s="1147">
        <v>0</v>
      </c>
      <c r="P367" s="450">
        <f>TRUNC(단가대비표!V420,0)</f>
        <v>0</v>
      </c>
      <c r="Q367" s="450">
        <f>TRUNC(P367*E367, 0)</f>
        <v>0</v>
      </c>
      <c r="R367" s="1147">
        <v>450000</v>
      </c>
      <c r="S367" s="1147">
        <v>450000</v>
      </c>
      <c r="T367" s="450">
        <f t="shared" si="53"/>
        <v>450000</v>
      </c>
      <c r="U367" s="450">
        <f t="shared" si="54"/>
        <v>450000</v>
      </c>
      <c r="V367" s="454" t="s">
        <v>51</v>
      </c>
      <c r="W367" s="448"/>
      <c r="X367" s="448"/>
      <c r="Y367" s="448"/>
      <c r="Z367" s="448"/>
      <c r="AA367" s="448"/>
      <c r="AB367" s="448"/>
      <c r="AC367" s="448"/>
      <c r="AD367" s="447"/>
      <c r="AE367" s="447"/>
      <c r="AF367" s="447"/>
      <c r="AG367" s="447"/>
      <c r="AH367" s="447"/>
      <c r="AI367" s="447"/>
      <c r="AJ367" s="447"/>
      <c r="AK367" s="447"/>
      <c r="AL367" s="447"/>
      <c r="AM367" s="447"/>
      <c r="AN367" s="447"/>
      <c r="AO367" s="447"/>
      <c r="AP367" s="447"/>
      <c r="AQ367" s="447"/>
      <c r="AR367" s="447"/>
      <c r="AS367" s="447"/>
      <c r="AT367" s="447"/>
      <c r="AU367" s="447"/>
      <c r="AV367" s="447"/>
      <c r="AW367" s="447"/>
      <c r="AX367" s="447"/>
      <c r="AY367" s="447"/>
      <c r="AZ367" s="447"/>
      <c r="BA367" s="448"/>
      <c r="BB367" s="448"/>
      <c r="BC367" s="447"/>
      <c r="BD367" s="448"/>
      <c r="BE367" s="447"/>
    </row>
    <row r="368" spans="1:57" ht="30" customHeight="1">
      <c r="A368" s="443" t="s">
        <v>2623</v>
      </c>
      <c r="B368" s="444" t="s">
        <v>4582</v>
      </c>
      <c r="C368" s="464" t="s">
        <v>2568</v>
      </c>
      <c r="D368" s="1133">
        <v>5</v>
      </c>
      <c r="E368" s="445">
        <f>'1층전시실산출'!H377</f>
        <v>5</v>
      </c>
      <c r="F368" s="1147">
        <v>950000</v>
      </c>
      <c r="G368" s="1147">
        <v>4750000</v>
      </c>
      <c r="H368" s="450">
        <f>단가대비표!O421</f>
        <v>950000</v>
      </c>
      <c r="I368" s="450">
        <f t="shared" si="50"/>
        <v>4750000</v>
      </c>
      <c r="J368" s="1147">
        <v>0</v>
      </c>
      <c r="K368" s="1147">
        <v>0</v>
      </c>
      <c r="L368" s="450">
        <f>TRUNC(단가대비표!P422,0)</f>
        <v>0</v>
      </c>
      <c r="M368" s="450">
        <f t="shared" si="51"/>
        <v>0</v>
      </c>
      <c r="N368" s="1147">
        <v>0</v>
      </c>
      <c r="O368" s="1147">
        <v>0</v>
      </c>
      <c r="P368" s="450">
        <f>TRUNC(단가대비표!V422,0)</f>
        <v>0</v>
      </c>
      <c r="Q368" s="450">
        <f>TRUNC(P368*E368, 0)</f>
        <v>0</v>
      </c>
      <c r="R368" s="1147">
        <v>950000</v>
      </c>
      <c r="S368" s="1147">
        <v>4750000</v>
      </c>
      <c r="T368" s="450">
        <f t="shared" si="53"/>
        <v>950000</v>
      </c>
      <c r="U368" s="450">
        <f t="shared" si="54"/>
        <v>4750000</v>
      </c>
      <c r="V368" s="454" t="s">
        <v>51</v>
      </c>
      <c r="W368" s="448" t="s">
        <v>518</v>
      </c>
      <c r="X368" s="448" t="s">
        <v>51</v>
      </c>
      <c r="Y368" s="448" t="s">
        <v>51</v>
      </c>
      <c r="Z368" s="448" t="s">
        <v>487</v>
      </c>
      <c r="AA368" s="448" t="s">
        <v>62</v>
      </c>
      <c r="AB368" s="448" t="s">
        <v>62</v>
      </c>
      <c r="AC368" s="448" t="s">
        <v>61</v>
      </c>
      <c r="AD368" s="447"/>
      <c r="AE368" s="447"/>
      <c r="AF368" s="447"/>
      <c r="AG368" s="447"/>
      <c r="AH368" s="447"/>
      <c r="AI368" s="447"/>
      <c r="AJ368" s="447"/>
      <c r="AK368" s="447"/>
      <c r="AL368" s="447"/>
      <c r="AM368" s="447"/>
      <c r="AN368" s="447"/>
      <c r="AO368" s="447"/>
      <c r="AP368" s="447"/>
      <c r="AQ368" s="447"/>
      <c r="AR368" s="447"/>
      <c r="AS368" s="447"/>
      <c r="AT368" s="447"/>
      <c r="AU368" s="447"/>
      <c r="AV368" s="447"/>
      <c r="AW368" s="447"/>
      <c r="AX368" s="447"/>
      <c r="AY368" s="447"/>
      <c r="AZ368" s="447"/>
      <c r="BA368" s="448" t="s">
        <v>51</v>
      </c>
      <c r="BB368" s="448" t="s">
        <v>51</v>
      </c>
      <c r="BC368" s="447"/>
      <c r="BD368" s="448" t="s">
        <v>519</v>
      </c>
      <c r="BE368" s="447">
        <v>315</v>
      </c>
    </row>
    <row r="369" spans="1:57" ht="30" customHeight="1">
      <c r="A369" s="443" t="s">
        <v>2621</v>
      </c>
      <c r="B369" s="444"/>
      <c r="C369" s="464" t="s">
        <v>2568</v>
      </c>
      <c r="D369" s="1133">
        <v>24</v>
      </c>
      <c r="E369" s="445">
        <f>'1층전시실산출'!H378</f>
        <v>24</v>
      </c>
      <c r="F369" s="1147">
        <v>150000</v>
      </c>
      <c r="G369" s="1147">
        <v>3600000</v>
      </c>
      <c r="H369" s="450">
        <f>단가대비표!O422</f>
        <v>150000</v>
      </c>
      <c r="I369" s="450">
        <f t="shared" si="50"/>
        <v>3600000</v>
      </c>
      <c r="J369" s="1147"/>
      <c r="K369" s="1147">
        <v>0</v>
      </c>
      <c r="L369" s="450"/>
      <c r="M369" s="450">
        <f t="shared" si="51"/>
        <v>0</v>
      </c>
      <c r="N369" s="1147"/>
      <c r="O369" s="1147"/>
      <c r="P369" s="450"/>
      <c r="Q369" s="450"/>
      <c r="R369" s="1147">
        <v>150000</v>
      </c>
      <c r="S369" s="1147">
        <v>3600000</v>
      </c>
      <c r="T369" s="450">
        <f t="shared" si="53"/>
        <v>150000</v>
      </c>
      <c r="U369" s="450">
        <f t="shared" si="54"/>
        <v>3600000</v>
      </c>
      <c r="V369" s="454"/>
      <c r="W369" s="448"/>
      <c r="X369" s="448"/>
      <c r="Y369" s="448"/>
      <c r="Z369" s="448"/>
      <c r="AA369" s="448"/>
      <c r="AB369" s="448"/>
      <c r="AC369" s="448"/>
      <c r="AD369" s="447"/>
      <c r="AE369" s="447"/>
      <c r="AF369" s="447"/>
      <c r="AG369" s="447"/>
      <c r="AH369" s="447"/>
      <c r="AI369" s="447"/>
      <c r="AJ369" s="447"/>
      <c r="AK369" s="447"/>
      <c r="AL369" s="447"/>
      <c r="AM369" s="447"/>
      <c r="AN369" s="447"/>
      <c r="AO369" s="447"/>
      <c r="AP369" s="447"/>
      <c r="AQ369" s="447"/>
      <c r="AR369" s="447"/>
      <c r="AS369" s="447"/>
      <c r="AT369" s="447"/>
      <c r="AU369" s="447"/>
      <c r="AV369" s="447"/>
      <c r="AW369" s="447"/>
      <c r="AX369" s="447"/>
      <c r="AY369" s="447"/>
      <c r="AZ369" s="447"/>
      <c r="BA369" s="448"/>
      <c r="BB369" s="448"/>
      <c r="BC369" s="447"/>
      <c r="BD369" s="448"/>
      <c r="BE369" s="447"/>
    </row>
    <row r="370" spans="1:57" ht="30" customHeight="1">
      <c r="A370" s="443" t="s">
        <v>514</v>
      </c>
      <c r="B370" s="444" t="s">
        <v>4583</v>
      </c>
      <c r="C370" s="443" t="s">
        <v>321</v>
      </c>
      <c r="D370" s="1133">
        <v>4</v>
      </c>
      <c r="E370" s="445">
        <f>'1층전시실산출'!H379</f>
        <v>4</v>
      </c>
      <c r="F370" s="1147">
        <v>30000</v>
      </c>
      <c r="G370" s="1147">
        <v>120000</v>
      </c>
      <c r="H370" s="450">
        <f>단가대비표!O143</f>
        <v>30000</v>
      </c>
      <c r="I370" s="450">
        <f t="shared" si="50"/>
        <v>120000</v>
      </c>
      <c r="J370" s="1147">
        <v>0</v>
      </c>
      <c r="K370" s="1147">
        <v>0</v>
      </c>
      <c r="L370" s="450">
        <f>TRUNC(단가대비표!P150,0)</f>
        <v>0</v>
      </c>
      <c r="M370" s="450">
        <f t="shared" si="51"/>
        <v>0</v>
      </c>
      <c r="N370" s="1147">
        <v>0</v>
      </c>
      <c r="O370" s="1147">
        <v>0</v>
      </c>
      <c r="P370" s="450">
        <f>TRUNC(단가대비표!V150,0)</f>
        <v>0</v>
      </c>
      <c r="Q370" s="450">
        <f t="shared" ref="Q370:Q401" si="55">TRUNC(P370*E370, 0)</f>
        <v>0</v>
      </c>
      <c r="R370" s="1147">
        <v>30000</v>
      </c>
      <c r="S370" s="1147">
        <v>120000</v>
      </c>
      <c r="T370" s="450">
        <f t="shared" si="53"/>
        <v>30000</v>
      </c>
      <c r="U370" s="450">
        <f t="shared" si="54"/>
        <v>120000</v>
      </c>
      <c r="V370" s="454" t="s">
        <v>51</v>
      </c>
      <c r="W370" s="448" t="s">
        <v>521</v>
      </c>
      <c r="X370" s="448" t="s">
        <v>51</v>
      </c>
      <c r="Y370" s="448" t="s">
        <v>51</v>
      </c>
      <c r="Z370" s="448" t="s">
        <v>487</v>
      </c>
      <c r="AA370" s="448" t="s">
        <v>62</v>
      </c>
      <c r="AB370" s="448" t="s">
        <v>62</v>
      </c>
      <c r="AC370" s="448" t="s">
        <v>61</v>
      </c>
      <c r="AD370" s="447"/>
      <c r="AE370" s="447"/>
      <c r="AF370" s="447"/>
      <c r="AG370" s="447"/>
      <c r="AH370" s="447"/>
      <c r="AI370" s="447"/>
      <c r="AJ370" s="447"/>
      <c r="AK370" s="447"/>
      <c r="AL370" s="447"/>
      <c r="AM370" s="447"/>
      <c r="AN370" s="447"/>
      <c r="AO370" s="447"/>
      <c r="AP370" s="447"/>
      <c r="AQ370" s="447"/>
      <c r="AR370" s="447"/>
      <c r="AS370" s="447"/>
      <c r="AT370" s="447"/>
      <c r="AU370" s="447"/>
      <c r="AV370" s="447"/>
      <c r="AW370" s="447"/>
      <c r="AX370" s="447"/>
      <c r="AY370" s="447"/>
      <c r="AZ370" s="447"/>
      <c r="BA370" s="448" t="s">
        <v>51</v>
      </c>
      <c r="BB370" s="448" t="s">
        <v>51</v>
      </c>
      <c r="BC370" s="447"/>
      <c r="BD370" s="448" t="s">
        <v>522</v>
      </c>
      <c r="BE370" s="447">
        <v>316</v>
      </c>
    </row>
    <row r="371" spans="1:57" ht="30" customHeight="1">
      <c r="A371" s="443" t="s">
        <v>514</v>
      </c>
      <c r="B371" s="444" t="s">
        <v>4584</v>
      </c>
      <c r="C371" s="443" t="s">
        <v>321</v>
      </c>
      <c r="D371" s="1133">
        <v>3</v>
      </c>
      <c r="E371" s="445">
        <f>'1층전시실산출'!H380</f>
        <v>3</v>
      </c>
      <c r="F371" s="1147">
        <v>35000</v>
      </c>
      <c r="G371" s="1147">
        <v>105000</v>
      </c>
      <c r="H371" s="450">
        <f>단가대비표!O144</f>
        <v>35000</v>
      </c>
      <c r="I371" s="450">
        <f t="shared" si="50"/>
        <v>105000</v>
      </c>
      <c r="J371" s="1147">
        <v>0</v>
      </c>
      <c r="K371" s="1147">
        <v>0</v>
      </c>
      <c r="L371" s="450">
        <f>TRUNC(단가대비표!P152,0)</f>
        <v>0</v>
      </c>
      <c r="M371" s="450">
        <f t="shared" si="51"/>
        <v>0</v>
      </c>
      <c r="N371" s="1147">
        <v>0</v>
      </c>
      <c r="O371" s="1147">
        <v>0</v>
      </c>
      <c r="P371" s="450">
        <f>TRUNC(단가대비표!V152,0)</f>
        <v>0</v>
      </c>
      <c r="Q371" s="450">
        <f t="shared" si="55"/>
        <v>0</v>
      </c>
      <c r="R371" s="1147">
        <v>35000</v>
      </c>
      <c r="S371" s="1147">
        <v>105000</v>
      </c>
      <c r="T371" s="450">
        <f t="shared" si="53"/>
        <v>35000</v>
      </c>
      <c r="U371" s="450">
        <f t="shared" si="54"/>
        <v>105000</v>
      </c>
      <c r="V371" s="454" t="s">
        <v>51</v>
      </c>
      <c r="W371" s="448" t="s">
        <v>524</v>
      </c>
      <c r="X371" s="448" t="s">
        <v>51</v>
      </c>
      <c r="Y371" s="448" t="s">
        <v>51</v>
      </c>
      <c r="Z371" s="448" t="s">
        <v>487</v>
      </c>
      <c r="AA371" s="448" t="s">
        <v>62</v>
      </c>
      <c r="AB371" s="448" t="s">
        <v>62</v>
      </c>
      <c r="AC371" s="448" t="s">
        <v>61</v>
      </c>
      <c r="AD371" s="447"/>
      <c r="AE371" s="447"/>
      <c r="AF371" s="447"/>
      <c r="AG371" s="447"/>
      <c r="AH371" s="447"/>
      <c r="AI371" s="447"/>
      <c r="AJ371" s="447"/>
      <c r="AK371" s="447"/>
      <c r="AL371" s="447"/>
      <c r="AM371" s="447"/>
      <c r="AN371" s="447"/>
      <c r="AO371" s="447"/>
      <c r="AP371" s="447"/>
      <c r="AQ371" s="447"/>
      <c r="AR371" s="447"/>
      <c r="AS371" s="447"/>
      <c r="AT371" s="447"/>
      <c r="AU371" s="447"/>
      <c r="AV371" s="447"/>
      <c r="AW371" s="447"/>
      <c r="AX371" s="447"/>
      <c r="AY371" s="447"/>
      <c r="AZ371" s="447"/>
      <c r="BA371" s="448" t="s">
        <v>51</v>
      </c>
      <c r="BB371" s="448" t="s">
        <v>51</v>
      </c>
      <c r="BC371" s="447"/>
      <c r="BD371" s="448" t="s">
        <v>525</v>
      </c>
      <c r="BE371" s="447">
        <v>317</v>
      </c>
    </row>
    <row r="372" spans="1:57" ht="30" customHeight="1">
      <c r="A372" s="443" t="s">
        <v>514</v>
      </c>
      <c r="B372" s="444" t="s">
        <v>4585</v>
      </c>
      <c r="C372" s="443" t="s">
        <v>321</v>
      </c>
      <c r="D372" s="1133">
        <v>2</v>
      </c>
      <c r="E372" s="445">
        <f>'1층전시실산출'!H381</f>
        <v>2</v>
      </c>
      <c r="F372" s="1147">
        <v>45000</v>
      </c>
      <c r="G372" s="1147">
        <v>90000</v>
      </c>
      <c r="H372" s="450">
        <f>단가대비표!O145</f>
        <v>45000</v>
      </c>
      <c r="I372" s="450">
        <f t="shared" si="50"/>
        <v>90000</v>
      </c>
      <c r="J372" s="1147">
        <v>0</v>
      </c>
      <c r="K372" s="1147">
        <v>0</v>
      </c>
      <c r="L372" s="450">
        <f>TRUNC(단가대비표!P149,0)</f>
        <v>0</v>
      </c>
      <c r="M372" s="450">
        <f t="shared" si="51"/>
        <v>0</v>
      </c>
      <c r="N372" s="1147">
        <v>0</v>
      </c>
      <c r="O372" s="1147">
        <v>0</v>
      </c>
      <c r="P372" s="450">
        <f>TRUNC(단가대비표!V149,0)</f>
        <v>0</v>
      </c>
      <c r="Q372" s="450">
        <f t="shared" si="55"/>
        <v>0</v>
      </c>
      <c r="R372" s="1147">
        <v>45000</v>
      </c>
      <c r="S372" s="1147">
        <v>90000</v>
      </c>
      <c r="T372" s="450">
        <f t="shared" si="53"/>
        <v>45000</v>
      </c>
      <c r="U372" s="450">
        <f t="shared" si="54"/>
        <v>90000</v>
      </c>
      <c r="V372" s="454" t="s">
        <v>51</v>
      </c>
      <c r="W372" s="448" t="s">
        <v>527</v>
      </c>
      <c r="X372" s="448" t="s">
        <v>51</v>
      </c>
      <c r="Y372" s="448" t="s">
        <v>51</v>
      </c>
      <c r="Z372" s="448" t="s">
        <v>487</v>
      </c>
      <c r="AA372" s="448" t="s">
        <v>62</v>
      </c>
      <c r="AB372" s="448" t="s">
        <v>62</v>
      </c>
      <c r="AC372" s="448" t="s">
        <v>61</v>
      </c>
      <c r="AD372" s="447"/>
      <c r="AE372" s="447"/>
      <c r="AF372" s="447"/>
      <c r="AG372" s="447"/>
      <c r="AH372" s="447"/>
      <c r="AI372" s="447"/>
      <c r="AJ372" s="447"/>
      <c r="AK372" s="447"/>
      <c r="AL372" s="447"/>
      <c r="AM372" s="447"/>
      <c r="AN372" s="447"/>
      <c r="AO372" s="447"/>
      <c r="AP372" s="447"/>
      <c r="AQ372" s="447"/>
      <c r="AR372" s="447"/>
      <c r="AS372" s="447"/>
      <c r="AT372" s="447"/>
      <c r="AU372" s="447"/>
      <c r="AV372" s="447"/>
      <c r="AW372" s="447"/>
      <c r="AX372" s="447"/>
      <c r="AY372" s="447"/>
      <c r="AZ372" s="447"/>
      <c r="BA372" s="448" t="s">
        <v>51</v>
      </c>
      <c r="BB372" s="448" t="s">
        <v>51</v>
      </c>
      <c r="BC372" s="447"/>
      <c r="BD372" s="448" t="s">
        <v>528</v>
      </c>
      <c r="BE372" s="447">
        <v>318</v>
      </c>
    </row>
    <row r="373" spans="1:57" ht="30" customHeight="1">
      <c r="A373" s="443" t="s">
        <v>514</v>
      </c>
      <c r="B373" s="444" t="s">
        <v>4586</v>
      </c>
      <c r="C373" s="443" t="s">
        <v>321</v>
      </c>
      <c r="D373" s="1133">
        <v>1</v>
      </c>
      <c r="E373" s="445">
        <f>'1층전시실산출'!H382</f>
        <v>1</v>
      </c>
      <c r="F373" s="1147">
        <v>50000</v>
      </c>
      <c r="G373" s="1147">
        <v>50000</v>
      </c>
      <c r="H373" s="450">
        <f>단가대비표!O146</f>
        <v>50000</v>
      </c>
      <c r="I373" s="450">
        <f t="shared" si="50"/>
        <v>50000</v>
      </c>
      <c r="J373" s="1147">
        <v>0</v>
      </c>
      <c r="K373" s="1147">
        <v>0</v>
      </c>
      <c r="L373" s="450">
        <f>TRUNC(단가대비표!P144,0)</f>
        <v>0</v>
      </c>
      <c r="M373" s="450">
        <f t="shared" si="51"/>
        <v>0</v>
      </c>
      <c r="N373" s="1147">
        <v>0</v>
      </c>
      <c r="O373" s="1147">
        <v>0</v>
      </c>
      <c r="P373" s="450">
        <f>TRUNC(단가대비표!V144,0)</f>
        <v>0</v>
      </c>
      <c r="Q373" s="450">
        <f t="shared" si="55"/>
        <v>0</v>
      </c>
      <c r="R373" s="1147">
        <v>50000</v>
      </c>
      <c r="S373" s="1147">
        <v>50000</v>
      </c>
      <c r="T373" s="450">
        <f t="shared" si="53"/>
        <v>50000</v>
      </c>
      <c r="U373" s="450">
        <f t="shared" si="54"/>
        <v>50000</v>
      </c>
      <c r="V373" s="454" t="s">
        <v>51</v>
      </c>
      <c r="W373" s="448" t="s">
        <v>530</v>
      </c>
      <c r="X373" s="448" t="s">
        <v>51</v>
      </c>
      <c r="Y373" s="448" t="s">
        <v>51</v>
      </c>
      <c r="Z373" s="448" t="s">
        <v>487</v>
      </c>
      <c r="AA373" s="448" t="s">
        <v>62</v>
      </c>
      <c r="AB373" s="448" t="s">
        <v>62</v>
      </c>
      <c r="AC373" s="448" t="s">
        <v>61</v>
      </c>
      <c r="AD373" s="447"/>
      <c r="AE373" s="447"/>
      <c r="AF373" s="447"/>
      <c r="AG373" s="447"/>
      <c r="AH373" s="447"/>
      <c r="AI373" s="447"/>
      <c r="AJ373" s="447"/>
      <c r="AK373" s="447"/>
      <c r="AL373" s="447"/>
      <c r="AM373" s="447"/>
      <c r="AN373" s="447"/>
      <c r="AO373" s="447"/>
      <c r="AP373" s="447"/>
      <c r="AQ373" s="447"/>
      <c r="AR373" s="447"/>
      <c r="AS373" s="447"/>
      <c r="AT373" s="447"/>
      <c r="AU373" s="447"/>
      <c r="AV373" s="447"/>
      <c r="AW373" s="447"/>
      <c r="AX373" s="447"/>
      <c r="AY373" s="447"/>
      <c r="AZ373" s="447"/>
      <c r="BA373" s="448" t="s">
        <v>51</v>
      </c>
      <c r="BB373" s="448" t="s">
        <v>51</v>
      </c>
      <c r="BC373" s="447"/>
      <c r="BD373" s="448" t="s">
        <v>531</v>
      </c>
      <c r="BE373" s="447">
        <v>319</v>
      </c>
    </row>
    <row r="374" spans="1:57" ht="30" customHeight="1">
      <c r="A374" s="443" t="s">
        <v>514</v>
      </c>
      <c r="B374" s="444" t="s">
        <v>4587</v>
      </c>
      <c r="C374" s="443" t="s">
        <v>321</v>
      </c>
      <c r="D374" s="1133">
        <v>1</v>
      </c>
      <c r="E374" s="445">
        <v>1</v>
      </c>
      <c r="F374" s="1147">
        <v>50000</v>
      </c>
      <c r="G374" s="1147">
        <v>50000</v>
      </c>
      <c r="H374" s="450">
        <f>단가대비표!O147</f>
        <v>50000</v>
      </c>
      <c r="I374" s="450">
        <f t="shared" si="50"/>
        <v>50000</v>
      </c>
      <c r="J374" s="1147">
        <v>0</v>
      </c>
      <c r="K374" s="1147">
        <v>0</v>
      </c>
      <c r="L374" s="450">
        <f>TRUNC(단가대비표!P147,0)</f>
        <v>0</v>
      </c>
      <c r="M374" s="450">
        <f t="shared" si="51"/>
        <v>0</v>
      </c>
      <c r="N374" s="1147">
        <v>0</v>
      </c>
      <c r="O374" s="1147">
        <v>0</v>
      </c>
      <c r="P374" s="450">
        <f>TRUNC(단가대비표!V147,0)</f>
        <v>0</v>
      </c>
      <c r="Q374" s="450">
        <f t="shared" si="55"/>
        <v>0</v>
      </c>
      <c r="R374" s="1147">
        <v>50000</v>
      </c>
      <c r="S374" s="1147">
        <v>50000</v>
      </c>
      <c r="T374" s="450">
        <f t="shared" si="53"/>
        <v>50000</v>
      </c>
      <c r="U374" s="450">
        <f t="shared" si="54"/>
        <v>50000</v>
      </c>
      <c r="V374" s="454" t="s">
        <v>51</v>
      </c>
      <c r="W374" s="448" t="s">
        <v>533</v>
      </c>
      <c r="X374" s="448" t="s">
        <v>51</v>
      </c>
      <c r="Y374" s="448" t="s">
        <v>51</v>
      </c>
      <c r="Z374" s="448" t="s">
        <v>487</v>
      </c>
      <c r="AA374" s="448" t="s">
        <v>62</v>
      </c>
      <c r="AB374" s="448" t="s">
        <v>62</v>
      </c>
      <c r="AC374" s="448" t="s">
        <v>61</v>
      </c>
      <c r="AD374" s="447"/>
      <c r="AE374" s="447"/>
      <c r="AF374" s="447"/>
      <c r="AG374" s="447"/>
      <c r="AH374" s="447"/>
      <c r="AI374" s="447"/>
      <c r="AJ374" s="447"/>
      <c r="AK374" s="447"/>
      <c r="AL374" s="447"/>
      <c r="AM374" s="447"/>
      <c r="AN374" s="447"/>
      <c r="AO374" s="447"/>
      <c r="AP374" s="447"/>
      <c r="AQ374" s="447"/>
      <c r="AR374" s="447"/>
      <c r="AS374" s="447"/>
      <c r="AT374" s="447"/>
      <c r="AU374" s="447"/>
      <c r="AV374" s="447"/>
      <c r="AW374" s="447"/>
      <c r="AX374" s="447"/>
      <c r="AY374" s="447"/>
      <c r="AZ374" s="447"/>
      <c r="BA374" s="448" t="s">
        <v>51</v>
      </c>
      <c r="BB374" s="448" t="s">
        <v>51</v>
      </c>
      <c r="BC374" s="447"/>
      <c r="BD374" s="448" t="s">
        <v>534</v>
      </c>
      <c r="BE374" s="447">
        <v>320</v>
      </c>
    </row>
    <row r="375" spans="1:57" ht="30" customHeight="1">
      <c r="A375" s="443" t="s">
        <v>514</v>
      </c>
      <c r="B375" s="444" t="s">
        <v>4588</v>
      </c>
      <c r="C375" s="443" t="s">
        <v>321</v>
      </c>
      <c r="D375" s="1133">
        <v>1</v>
      </c>
      <c r="E375" s="445">
        <f>'1층전시실산출'!H384</f>
        <v>1</v>
      </c>
      <c r="F375" s="1147">
        <v>35000</v>
      </c>
      <c r="G375" s="1147">
        <v>35000</v>
      </c>
      <c r="H375" s="450">
        <f>단가대비표!O148</f>
        <v>35000</v>
      </c>
      <c r="I375" s="450">
        <f t="shared" si="50"/>
        <v>35000</v>
      </c>
      <c r="J375" s="1147">
        <v>0</v>
      </c>
      <c r="K375" s="1147">
        <v>0</v>
      </c>
      <c r="L375" s="450">
        <f>TRUNC(단가대비표!P151,0)</f>
        <v>0</v>
      </c>
      <c r="M375" s="450">
        <f t="shared" si="51"/>
        <v>0</v>
      </c>
      <c r="N375" s="1147">
        <v>0</v>
      </c>
      <c r="O375" s="1147">
        <v>0</v>
      </c>
      <c r="P375" s="450">
        <f>TRUNC(단가대비표!V151,0)</f>
        <v>0</v>
      </c>
      <c r="Q375" s="450">
        <f t="shared" si="55"/>
        <v>0</v>
      </c>
      <c r="R375" s="1147">
        <v>35000</v>
      </c>
      <c r="S375" s="1147">
        <v>35000</v>
      </c>
      <c r="T375" s="450">
        <f t="shared" si="53"/>
        <v>35000</v>
      </c>
      <c r="U375" s="450">
        <f t="shared" si="54"/>
        <v>35000</v>
      </c>
      <c r="V375" s="454" t="s">
        <v>51</v>
      </c>
      <c r="W375" s="448" t="s">
        <v>536</v>
      </c>
      <c r="X375" s="448" t="s">
        <v>51</v>
      </c>
      <c r="Y375" s="448" t="s">
        <v>51</v>
      </c>
      <c r="Z375" s="448" t="s">
        <v>487</v>
      </c>
      <c r="AA375" s="448" t="s">
        <v>62</v>
      </c>
      <c r="AB375" s="448" t="s">
        <v>62</v>
      </c>
      <c r="AC375" s="448" t="s">
        <v>61</v>
      </c>
      <c r="AD375" s="447"/>
      <c r="AE375" s="447"/>
      <c r="AF375" s="447"/>
      <c r="AG375" s="447"/>
      <c r="AH375" s="447"/>
      <c r="AI375" s="447"/>
      <c r="AJ375" s="447"/>
      <c r="AK375" s="447"/>
      <c r="AL375" s="447"/>
      <c r="AM375" s="447"/>
      <c r="AN375" s="447"/>
      <c r="AO375" s="447"/>
      <c r="AP375" s="447"/>
      <c r="AQ375" s="447"/>
      <c r="AR375" s="447"/>
      <c r="AS375" s="447"/>
      <c r="AT375" s="447"/>
      <c r="AU375" s="447"/>
      <c r="AV375" s="447"/>
      <c r="AW375" s="447"/>
      <c r="AX375" s="447"/>
      <c r="AY375" s="447"/>
      <c r="AZ375" s="447"/>
      <c r="BA375" s="448" t="s">
        <v>51</v>
      </c>
      <c r="BB375" s="448" t="s">
        <v>51</v>
      </c>
      <c r="BC375" s="447"/>
      <c r="BD375" s="448" t="s">
        <v>537</v>
      </c>
      <c r="BE375" s="447">
        <v>321</v>
      </c>
    </row>
    <row r="376" spans="1:57" ht="30" customHeight="1">
      <c r="A376" s="443" t="s">
        <v>514</v>
      </c>
      <c r="B376" s="444" t="s">
        <v>4589</v>
      </c>
      <c r="C376" s="443" t="s">
        <v>321</v>
      </c>
      <c r="D376" s="1133">
        <v>1</v>
      </c>
      <c r="E376" s="445">
        <f>'1층전시실산출'!H385</f>
        <v>1</v>
      </c>
      <c r="F376" s="1147">
        <v>50000</v>
      </c>
      <c r="G376" s="1147">
        <v>50000</v>
      </c>
      <c r="H376" s="450">
        <f>단가대비표!O149</f>
        <v>50000</v>
      </c>
      <c r="I376" s="450">
        <f t="shared" si="50"/>
        <v>50000</v>
      </c>
      <c r="J376" s="1147">
        <v>0</v>
      </c>
      <c r="K376" s="1147">
        <v>0</v>
      </c>
      <c r="L376" s="450">
        <f>TRUNC(단가대비표!P148,0)</f>
        <v>0</v>
      </c>
      <c r="M376" s="450">
        <f t="shared" si="51"/>
        <v>0</v>
      </c>
      <c r="N376" s="1147">
        <v>0</v>
      </c>
      <c r="O376" s="1147">
        <v>0</v>
      </c>
      <c r="P376" s="450">
        <f>TRUNC(단가대비표!V148,0)</f>
        <v>0</v>
      </c>
      <c r="Q376" s="450">
        <f t="shared" si="55"/>
        <v>0</v>
      </c>
      <c r="R376" s="1147">
        <v>50000</v>
      </c>
      <c r="S376" s="1147">
        <v>50000</v>
      </c>
      <c r="T376" s="450">
        <f t="shared" si="53"/>
        <v>50000</v>
      </c>
      <c r="U376" s="450">
        <f t="shared" si="54"/>
        <v>50000</v>
      </c>
      <c r="V376" s="454" t="s">
        <v>51</v>
      </c>
      <c r="W376" s="448" t="s">
        <v>539</v>
      </c>
      <c r="X376" s="448" t="s">
        <v>51</v>
      </c>
      <c r="Y376" s="448" t="s">
        <v>51</v>
      </c>
      <c r="Z376" s="448" t="s">
        <v>487</v>
      </c>
      <c r="AA376" s="448" t="s">
        <v>62</v>
      </c>
      <c r="AB376" s="448" t="s">
        <v>62</v>
      </c>
      <c r="AC376" s="448" t="s">
        <v>61</v>
      </c>
      <c r="AD376" s="447"/>
      <c r="AE376" s="447"/>
      <c r="AF376" s="447"/>
      <c r="AG376" s="447"/>
      <c r="AH376" s="447"/>
      <c r="AI376" s="447"/>
      <c r="AJ376" s="447"/>
      <c r="AK376" s="447"/>
      <c r="AL376" s="447"/>
      <c r="AM376" s="447"/>
      <c r="AN376" s="447"/>
      <c r="AO376" s="447"/>
      <c r="AP376" s="447"/>
      <c r="AQ376" s="447"/>
      <c r="AR376" s="447"/>
      <c r="AS376" s="447"/>
      <c r="AT376" s="447"/>
      <c r="AU376" s="447"/>
      <c r="AV376" s="447"/>
      <c r="AW376" s="447"/>
      <c r="AX376" s="447"/>
      <c r="AY376" s="447"/>
      <c r="AZ376" s="447"/>
      <c r="BA376" s="448" t="s">
        <v>51</v>
      </c>
      <c r="BB376" s="448" t="s">
        <v>51</v>
      </c>
      <c r="BC376" s="447"/>
      <c r="BD376" s="448" t="s">
        <v>540</v>
      </c>
      <c r="BE376" s="447">
        <v>322</v>
      </c>
    </row>
    <row r="377" spans="1:57" ht="30" customHeight="1">
      <c r="A377" s="443" t="s">
        <v>514</v>
      </c>
      <c r="B377" s="444" t="s">
        <v>4590</v>
      </c>
      <c r="C377" s="443" t="s">
        <v>321</v>
      </c>
      <c r="D377" s="1133">
        <v>2</v>
      </c>
      <c r="E377" s="445">
        <f>'1층전시실산출'!H386</f>
        <v>2</v>
      </c>
      <c r="F377" s="1147">
        <v>58000</v>
      </c>
      <c r="G377" s="1147">
        <v>116000</v>
      </c>
      <c r="H377" s="450">
        <f>단가대비표!O150</f>
        <v>58000</v>
      </c>
      <c r="I377" s="450">
        <f t="shared" si="50"/>
        <v>116000</v>
      </c>
      <c r="J377" s="1147">
        <v>0</v>
      </c>
      <c r="K377" s="1147">
        <v>0</v>
      </c>
      <c r="L377" s="450">
        <f>TRUNC(단가대비표!P146,0)</f>
        <v>0</v>
      </c>
      <c r="M377" s="450">
        <f t="shared" si="51"/>
        <v>0</v>
      </c>
      <c r="N377" s="1147">
        <v>0</v>
      </c>
      <c r="O377" s="1147">
        <v>0</v>
      </c>
      <c r="P377" s="450">
        <f>TRUNC(단가대비표!V146,0)</f>
        <v>0</v>
      </c>
      <c r="Q377" s="450">
        <f t="shared" si="55"/>
        <v>0</v>
      </c>
      <c r="R377" s="1147">
        <v>58000</v>
      </c>
      <c r="S377" s="1147">
        <v>116000</v>
      </c>
      <c r="T377" s="450">
        <f t="shared" si="53"/>
        <v>58000</v>
      </c>
      <c r="U377" s="450">
        <f t="shared" si="54"/>
        <v>116000</v>
      </c>
      <c r="V377" s="454" t="s">
        <v>51</v>
      </c>
      <c r="W377" s="448" t="s">
        <v>542</v>
      </c>
      <c r="X377" s="448" t="s">
        <v>51</v>
      </c>
      <c r="Y377" s="448" t="s">
        <v>51</v>
      </c>
      <c r="Z377" s="448" t="s">
        <v>487</v>
      </c>
      <c r="AA377" s="448" t="s">
        <v>62</v>
      </c>
      <c r="AB377" s="448" t="s">
        <v>62</v>
      </c>
      <c r="AC377" s="448" t="s">
        <v>61</v>
      </c>
      <c r="AD377" s="447"/>
      <c r="AE377" s="447"/>
      <c r="AF377" s="447"/>
      <c r="AG377" s="447"/>
      <c r="AH377" s="447"/>
      <c r="AI377" s="447"/>
      <c r="AJ377" s="447"/>
      <c r="AK377" s="447"/>
      <c r="AL377" s="447"/>
      <c r="AM377" s="447"/>
      <c r="AN377" s="447"/>
      <c r="AO377" s="447"/>
      <c r="AP377" s="447"/>
      <c r="AQ377" s="447"/>
      <c r="AR377" s="447"/>
      <c r="AS377" s="447"/>
      <c r="AT377" s="447"/>
      <c r="AU377" s="447"/>
      <c r="AV377" s="447"/>
      <c r="AW377" s="447"/>
      <c r="AX377" s="447"/>
      <c r="AY377" s="447"/>
      <c r="AZ377" s="447"/>
      <c r="BA377" s="448" t="s">
        <v>51</v>
      </c>
      <c r="BB377" s="448" t="s">
        <v>51</v>
      </c>
      <c r="BC377" s="447"/>
      <c r="BD377" s="448" t="s">
        <v>543</v>
      </c>
      <c r="BE377" s="447">
        <v>323</v>
      </c>
    </row>
    <row r="378" spans="1:57" ht="30" customHeight="1">
      <c r="A378" s="443" t="s">
        <v>514</v>
      </c>
      <c r="B378" s="444" t="s">
        <v>4591</v>
      </c>
      <c r="C378" s="443" t="s">
        <v>321</v>
      </c>
      <c r="D378" s="1133">
        <v>1</v>
      </c>
      <c r="E378" s="445">
        <f>'1층전시실산출'!H387</f>
        <v>1</v>
      </c>
      <c r="F378" s="1147">
        <v>55000</v>
      </c>
      <c r="G378" s="1147">
        <v>55000</v>
      </c>
      <c r="H378" s="450">
        <f>단가대비표!O151</f>
        <v>55000</v>
      </c>
      <c r="I378" s="450">
        <f t="shared" si="50"/>
        <v>55000</v>
      </c>
      <c r="J378" s="1147">
        <v>0</v>
      </c>
      <c r="K378" s="1147">
        <v>0</v>
      </c>
      <c r="L378" s="450">
        <f>TRUNC(단가대비표!P145,0)</f>
        <v>0</v>
      </c>
      <c r="M378" s="450">
        <f t="shared" si="51"/>
        <v>0</v>
      </c>
      <c r="N378" s="1147">
        <v>0</v>
      </c>
      <c r="O378" s="1147">
        <v>0</v>
      </c>
      <c r="P378" s="450">
        <f>TRUNC(단가대비표!V145,0)</f>
        <v>0</v>
      </c>
      <c r="Q378" s="450">
        <f t="shared" si="55"/>
        <v>0</v>
      </c>
      <c r="R378" s="1147">
        <v>55000</v>
      </c>
      <c r="S378" s="1147">
        <v>55000</v>
      </c>
      <c r="T378" s="450">
        <f t="shared" si="53"/>
        <v>55000</v>
      </c>
      <c r="U378" s="450">
        <f t="shared" si="54"/>
        <v>55000</v>
      </c>
      <c r="V378" s="454" t="s">
        <v>51</v>
      </c>
      <c r="W378" s="448" t="s">
        <v>545</v>
      </c>
      <c r="X378" s="448" t="s">
        <v>51</v>
      </c>
      <c r="Y378" s="448" t="s">
        <v>51</v>
      </c>
      <c r="Z378" s="448" t="s">
        <v>487</v>
      </c>
      <c r="AA378" s="448" t="s">
        <v>62</v>
      </c>
      <c r="AB378" s="448" t="s">
        <v>62</v>
      </c>
      <c r="AC378" s="448" t="s">
        <v>61</v>
      </c>
      <c r="AD378" s="447"/>
      <c r="AE378" s="447"/>
      <c r="AF378" s="447"/>
      <c r="AG378" s="447"/>
      <c r="AH378" s="447"/>
      <c r="AI378" s="447"/>
      <c r="AJ378" s="447"/>
      <c r="AK378" s="447"/>
      <c r="AL378" s="447"/>
      <c r="AM378" s="447"/>
      <c r="AN378" s="447"/>
      <c r="AO378" s="447"/>
      <c r="AP378" s="447"/>
      <c r="AQ378" s="447"/>
      <c r="AR378" s="447"/>
      <c r="AS378" s="447"/>
      <c r="AT378" s="447"/>
      <c r="AU378" s="447"/>
      <c r="AV378" s="447"/>
      <c r="AW378" s="447"/>
      <c r="AX378" s="447"/>
      <c r="AY378" s="447"/>
      <c r="AZ378" s="447"/>
      <c r="BA378" s="448" t="s">
        <v>51</v>
      </c>
      <c r="BB378" s="448" t="s">
        <v>51</v>
      </c>
      <c r="BC378" s="447"/>
      <c r="BD378" s="448" t="s">
        <v>546</v>
      </c>
      <c r="BE378" s="447">
        <v>324</v>
      </c>
    </row>
    <row r="379" spans="1:57" ht="30" customHeight="1">
      <c r="A379" s="443" t="s">
        <v>514</v>
      </c>
      <c r="B379" s="444" t="s">
        <v>4592</v>
      </c>
      <c r="C379" s="443" t="s">
        <v>321</v>
      </c>
      <c r="D379" s="1133">
        <v>1</v>
      </c>
      <c r="E379" s="445">
        <f>'1층전시실산출'!H388</f>
        <v>1</v>
      </c>
      <c r="F379" s="1147">
        <v>80000</v>
      </c>
      <c r="G379" s="1147">
        <v>80000</v>
      </c>
      <c r="H379" s="450">
        <f>단가대비표!O152</f>
        <v>80000</v>
      </c>
      <c r="I379" s="450">
        <f t="shared" si="50"/>
        <v>80000</v>
      </c>
      <c r="J379" s="1147">
        <v>0</v>
      </c>
      <c r="K379" s="1147">
        <v>0</v>
      </c>
      <c r="L379" s="450">
        <f>TRUNC(단가대비표!P143,0)</f>
        <v>0</v>
      </c>
      <c r="M379" s="450">
        <f t="shared" si="51"/>
        <v>0</v>
      </c>
      <c r="N379" s="1147">
        <v>0</v>
      </c>
      <c r="O379" s="1147">
        <v>0</v>
      </c>
      <c r="P379" s="450">
        <f>TRUNC(단가대비표!V143,0)</f>
        <v>0</v>
      </c>
      <c r="Q379" s="450">
        <f t="shared" si="55"/>
        <v>0</v>
      </c>
      <c r="R379" s="1147">
        <v>80000</v>
      </c>
      <c r="S379" s="1147">
        <v>80000</v>
      </c>
      <c r="T379" s="450">
        <f t="shared" si="53"/>
        <v>80000</v>
      </c>
      <c r="U379" s="450">
        <f t="shared" si="54"/>
        <v>80000</v>
      </c>
      <c r="V379" s="454" t="s">
        <v>51</v>
      </c>
      <c r="W379" s="448" t="s">
        <v>548</v>
      </c>
      <c r="X379" s="448" t="s">
        <v>51</v>
      </c>
      <c r="Y379" s="448" t="s">
        <v>51</v>
      </c>
      <c r="Z379" s="448" t="s">
        <v>487</v>
      </c>
      <c r="AA379" s="448" t="s">
        <v>62</v>
      </c>
      <c r="AB379" s="448" t="s">
        <v>62</v>
      </c>
      <c r="AC379" s="448" t="s">
        <v>61</v>
      </c>
      <c r="AD379" s="447"/>
      <c r="AE379" s="447"/>
      <c r="AF379" s="447"/>
      <c r="AG379" s="447"/>
      <c r="AH379" s="447"/>
      <c r="AI379" s="447"/>
      <c r="AJ379" s="447"/>
      <c r="AK379" s="447"/>
      <c r="AL379" s="447"/>
      <c r="AM379" s="447"/>
      <c r="AN379" s="447"/>
      <c r="AO379" s="447"/>
      <c r="AP379" s="447"/>
      <c r="AQ379" s="447"/>
      <c r="AR379" s="447"/>
      <c r="AS379" s="447"/>
      <c r="AT379" s="447"/>
      <c r="AU379" s="447"/>
      <c r="AV379" s="447"/>
      <c r="AW379" s="447"/>
      <c r="AX379" s="447"/>
      <c r="AY379" s="447"/>
      <c r="AZ379" s="447"/>
      <c r="BA379" s="448" t="s">
        <v>51</v>
      </c>
      <c r="BB379" s="448" t="s">
        <v>51</v>
      </c>
      <c r="BC379" s="447"/>
      <c r="BD379" s="448" t="s">
        <v>549</v>
      </c>
      <c r="BE379" s="447">
        <v>325</v>
      </c>
    </row>
    <row r="380" spans="1:57" ht="30" customHeight="1">
      <c r="A380" s="443" t="s">
        <v>544</v>
      </c>
      <c r="B380" s="444" t="s">
        <v>4593</v>
      </c>
      <c r="C380" s="464" t="s">
        <v>2568</v>
      </c>
      <c r="D380" s="1133">
        <v>1</v>
      </c>
      <c r="E380" s="445">
        <f>'1층전시실산출'!H389</f>
        <v>1</v>
      </c>
      <c r="F380" s="1147">
        <v>280000</v>
      </c>
      <c r="G380" s="1147">
        <v>280000</v>
      </c>
      <c r="H380" s="450">
        <f>단가대비표!O153</f>
        <v>280000</v>
      </c>
      <c r="I380" s="450">
        <f t="shared" si="50"/>
        <v>280000</v>
      </c>
      <c r="J380" s="1147"/>
      <c r="K380" s="1147">
        <v>0</v>
      </c>
      <c r="L380" s="450"/>
      <c r="M380" s="450">
        <f t="shared" si="51"/>
        <v>0</v>
      </c>
      <c r="N380" s="1147">
        <v>0</v>
      </c>
      <c r="O380" s="1147">
        <v>0</v>
      </c>
      <c r="P380" s="450">
        <f>TRUNC(단가대비표!V153,0)</f>
        <v>0</v>
      </c>
      <c r="Q380" s="450">
        <f t="shared" si="55"/>
        <v>0</v>
      </c>
      <c r="R380" s="1147">
        <v>280000</v>
      </c>
      <c r="S380" s="1147">
        <v>280000</v>
      </c>
      <c r="T380" s="450">
        <f t="shared" si="53"/>
        <v>280000</v>
      </c>
      <c r="U380" s="450">
        <f t="shared" si="54"/>
        <v>280000</v>
      </c>
      <c r="V380" s="454" t="s">
        <v>51</v>
      </c>
      <c r="W380" s="448" t="s">
        <v>550</v>
      </c>
      <c r="X380" s="448" t="s">
        <v>51</v>
      </c>
      <c r="Y380" s="448" t="s">
        <v>51</v>
      </c>
      <c r="Z380" s="448" t="s">
        <v>487</v>
      </c>
      <c r="AA380" s="448" t="s">
        <v>62</v>
      </c>
      <c r="AB380" s="448" t="s">
        <v>62</v>
      </c>
      <c r="AC380" s="448" t="s">
        <v>61</v>
      </c>
      <c r="AD380" s="447"/>
      <c r="AE380" s="447"/>
      <c r="AF380" s="447"/>
      <c r="AG380" s="447"/>
      <c r="AH380" s="447"/>
      <c r="AI380" s="447"/>
      <c r="AJ380" s="447"/>
      <c r="AK380" s="447"/>
      <c r="AL380" s="447"/>
      <c r="AM380" s="447"/>
      <c r="AN380" s="447"/>
      <c r="AO380" s="447"/>
      <c r="AP380" s="447"/>
      <c r="AQ380" s="447"/>
      <c r="AR380" s="447"/>
      <c r="AS380" s="447"/>
      <c r="AT380" s="447"/>
      <c r="AU380" s="447"/>
      <c r="AV380" s="447"/>
      <c r="AW380" s="447"/>
      <c r="AX380" s="447"/>
      <c r="AY380" s="447"/>
      <c r="AZ380" s="447"/>
      <c r="BA380" s="448" t="s">
        <v>51</v>
      </c>
      <c r="BB380" s="448" t="s">
        <v>51</v>
      </c>
      <c r="BC380" s="447"/>
      <c r="BD380" s="448" t="s">
        <v>551</v>
      </c>
      <c r="BE380" s="447">
        <v>326</v>
      </c>
    </row>
    <row r="381" spans="1:57" ht="30" customHeight="1">
      <c r="A381" s="443" t="s">
        <v>544</v>
      </c>
      <c r="B381" s="444" t="s">
        <v>4594</v>
      </c>
      <c r="C381" s="464" t="s">
        <v>2568</v>
      </c>
      <c r="D381" s="1133">
        <v>1</v>
      </c>
      <c r="E381" s="445">
        <f>'1층전시실산출'!H390</f>
        <v>1</v>
      </c>
      <c r="F381" s="1147">
        <v>320000</v>
      </c>
      <c r="G381" s="1147">
        <v>320000</v>
      </c>
      <c r="H381" s="450">
        <f>단가대비표!O154</f>
        <v>320000</v>
      </c>
      <c r="I381" s="450">
        <f t="shared" si="50"/>
        <v>320000</v>
      </c>
      <c r="J381" s="1147"/>
      <c r="K381" s="1147">
        <v>0</v>
      </c>
      <c r="L381" s="450"/>
      <c r="M381" s="450">
        <f t="shared" si="51"/>
        <v>0</v>
      </c>
      <c r="N381" s="1147"/>
      <c r="O381" s="1147">
        <v>0</v>
      </c>
      <c r="P381" s="450"/>
      <c r="Q381" s="450">
        <f t="shared" si="55"/>
        <v>0</v>
      </c>
      <c r="R381" s="1147">
        <v>320000</v>
      </c>
      <c r="S381" s="1147">
        <v>320000</v>
      </c>
      <c r="T381" s="450">
        <f t="shared" si="53"/>
        <v>320000</v>
      </c>
      <c r="U381" s="450">
        <f t="shared" si="54"/>
        <v>320000</v>
      </c>
      <c r="V381" s="454" t="s">
        <v>51</v>
      </c>
      <c r="W381" s="448" t="s">
        <v>552</v>
      </c>
      <c r="X381" s="448" t="s">
        <v>51</v>
      </c>
      <c r="Y381" s="448" t="s">
        <v>51</v>
      </c>
      <c r="Z381" s="448" t="s">
        <v>487</v>
      </c>
      <c r="AA381" s="448" t="s">
        <v>62</v>
      </c>
      <c r="AB381" s="448" t="s">
        <v>62</v>
      </c>
      <c r="AC381" s="448" t="s">
        <v>61</v>
      </c>
      <c r="AD381" s="447"/>
      <c r="AE381" s="447"/>
      <c r="AF381" s="447"/>
      <c r="AG381" s="447"/>
      <c r="AH381" s="447"/>
      <c r="AI381" s="447"/>
      <c r="AJ381" s="447"/>
      <c r="AK381" s="447"/>
      <c r="AL381" s="447"/>
      <c r="AM381" s="447"/>
      <c r="AN381" s="447"/>
      <c r="AO381" s="447"/>
      <c r="AP381" s="447"/>
      <c r="AQ381" s="447"/>
      <c r="AR381" s="447"/>
      <c r="AS381" s="447"/>
      <c r="AT381" s="447"/>
      <c r="AU381" s="447"/>
      <c r="AV381" s="447"/>
      <c r="AW381" s="447"/>
      <c r="AX381" s="447"/>
      <c r="AY381" s="447"/>
      <c r="AZ381" s="447"/>
      <c r="BA381" s="448" t="s">
        <v>51</v>
      </c>
      <c r="BB381" s="448" t="s">
        <v>51</v>
      </c>
      <c r="BC381" s="447"/>
      <c r="BD381" s="448" t="s">
        <v>553</v>
      </c>
      <c r="BE381" s="447">
        <v>327</v>
      </c>
    </row>
    <row r="382" spans="1:57" ht="30" customHeight="1">
      <c r="A382" s="443" t="s">
        <v>544</v>
      </c>
      <c r="B382" s="444" t="s">
        <v>4595</v>
      </c>
      <c r="C382" s="464" t="s">
        <v>2568</v>
      </c>
      <c r="D382" s="1133">
        <v>1</v>
      </c>
      <c r="E382" s="445">
        <f>'1층전시실산출'!H391</f>
        <v>1</v>
      </c>
      <c r="F382" s="1147">
        <v>280000</v>
      </c>
      <c r="G382" s="1147">
        <v>280000</v>
      </c>
      <c r="H382" s="450">
        <f>단가대비표!O155</f>
        <v>280000</v>
      </c>
      <c r="I382" s="450">
        <f t="shared" ref="I382:I413" si="56">E382*H382</f>
        <v>280000</v>
      </c>
      <c r="J382" s="1147"/>
      <c r="K382" s="1147">
        <v>0</v>
      </c>
      <c r="L382" s="450"/>
      <c r="M382" s="450">
        <f t="shared" ref="M382:M413" si="57">E382*L382</f>
        <v>0</v>
      </c>
      <c r="N382" s="1147"/>
      <c r="O382" s="1147">
        <v>0</v>
      </c>
      <c r="P382" s="450"/>
      <c r="Q382" s="450">
        <f t="shared" si="55"/>
        <v>0</v>
      </c>
      <c r="R382" s="1147">
        <v>280000</v>
      </c>
      <c r="S382" s="1147">
        <v>280000</v>
      </c>
      <c r="T382" s="450">
        <f t="shared" si="53"/>
        <v>280000</v>
      </c>
      <c r="U382" s="450">
        <f t="shared" si="54"/>
        <v>280000</v>
      </c>
      <c r="V382" s="454" t="s">
        <v>51</v>
      </c>
      <c r="W382" s="448" t="s">
        <v>554</v>
      </c>
      <c r="X382" s="448" t="s">
        <v>51</v>
      </c>
      <c r="Y382" s="448" t="s">
        <v>51</v>
      </c>
      <c r="Z382" s="448" t="s">
        <v>487</v>
      </c>
      <c r="AA382" s="448" t="s">
        <v>62</v>
      </c>
      <c r="AB382" s="448" t="s">
        <v>62</v>
      </c>
      <c r="AC382" s="448" t="s">
        <v>61</v>
      </c>
      <c r="AD382" s="447"/>
      <c r="AE382" s="447"/>
      <c r="AF382" s="447"/>
      <c r="AG382" s="447"/>
      <c r="AH382" s="447"/>
      <c r="AI382" s="447"/>
      <c r="AJ382" s="447"/>
      <c r="AK382" s="447"/>
      <c r="AL382" s="447"/>
      <c r="AM382" s="447"/>
      <c r="AN382" s="447"/>
      <c r="AO382" s="447"/>
      <c r="AP382" s="447"/>
      <c r="AQ382" s="447"/>
      <c r="AR382" s="447"/>
      <c r="AS382" s="447"/>
      <c r="AT382" s="447"/>
      <c r="AU382" s="447"/>
      <c r="AV382" s="447"/>
      <c r="AW382" s="447"/>
      <c r="AX382" s="447"/>
      <c r="AY382" s="447"/>
      <c r="AZ382" s="447"/>
      <c r="BA382" s="448" t="s">
        <v>51</v>
      </c>
      <c r="BB382" s="448" t="s">
        <v>51</v>
      </c>
      <c r="BC382" s="447"/>
      <c r="BD382" s="448" t="s">
        <v>555</v>
      </c>
      <c r="BE382" s="447">
        <v>328</v>
      </c>
    </row>
    <row r="383" spans="1:57" ht="30" customHeight="1">
      <c r="A383" s="443" t="s">
        <v>544</v>
      </c>
      <c r="B383" s="444" t="s">
        <v>4596</v>
      </c>
      <c r="C383" s="464" t="s">
        <v>2568</v>
      </c>
      <c r="D383" s="1133">
        <v>1</v>
      </c>
      <c r="E383" s="445">
        <f>'1층전시실산출'!H392</f>
        <v>1</v>
      </c>
      <c r="F383" s="1147">
        <v>300000</v>
      </c>
      <c r="G383" s="1147">
        <v>300000</v>
      </c>
      <c r="H383" s="450">
        <f>단가대비표!O156</f>
        <v>300000</v>
      </c>
      <c r="I383" s="450">
        <f t="shared" si="56"/>
        <v>300000</v>
      </c>
      <c r="J383" s="1147"/>
      <c r="K383" s="1147">
        <v>0</v>
      </c>
      <c r="L383" s="450"/>
      <c r="M383" s="450">
        <f t="shared" si="57"/>
        <v>0</v>
      </c>
      <c r="N383" s="1147"/>
      <c r="O383" s="1147">
        <v>0</v>
      </c>
      <c r="P383" s="450"/>
      <c r="Q383" s="450">
        <f t="shared" si="55"/>
        <v>0</v>
      </c>
      <c r="R383" s="1147">
        <v>300000</v>
      </c>
      <c r="S383" s="1147">
        <v>300000</v>
      </c>
      <c r="T383" s="450">
        <f t="shared" si="53"/>
        <v>300000</v>
      </c>
      <c r="U383" s="450">
        <f t="shared" si="54"/>
        <v>300000</v>
      </c>
      <c r="V383" s="454" t="s">
        <v>51</v>
      </c>
      <c r="W383" s="448" t="s">
        <v>556</v>
      </c>
      <c r="X383" s="448" t="s">
        <v>51</v>
      </c>
      <c r="Y383" s="448" t="s">
        <v>51</v>
      </c>
      <c r="Z383" s="448" t="s">
        <v>487</v>
      </c>
      <c r="AA383" s="448" t="s">
        <v>62</v>
      </c>
      <c r="AB383" s="448" t="s">
        <v>62</v>
      </c>
      <c r="AC383" s="448" t="s">
        <v>61</v>
      </c>
      <c r="AD383" s="447"/>
      <c r="AE383" s="447"/>
      <c r="AF383" s="447"/>
      <c r="AG383" s="447"/>
      <c r="AH383" s="447"/>
      <c r="AI383" s="447"/>
      <c r="AJ383" s="447"/>
      <c r="AK383" s="447"/>
      <c r="AL383" s="447"/>
      <c r="AM383" s="447"/>
      <c r="AN383" s="447"/>
      <c r="AO383" s="447"/>
      <c r="AP383" s="447"/>
      <c r="AQ383" s="447"/>
      <c r="AR383" s="447"/>
      <c r="AS383" s="447"/>
      <c r="AT383" s="447"/>
      <c r="AU383" s="447"/>
      <c r="AV383" s="447"/>
      <c r="AW383" s="447"/>
      <c r="AX383" s="447"/>
      <c r="AY383" s="447"/>
      <c r="AZ383" s="447"/>
      <c r="BA383" s="448" t="s">
        <v>51</v>
      </c>
      <c r="BB383" s="448" t="s">
        <v>51</v>
      </c>
      <c r="BC383" s="447"/>
      <c r="BD383" s="448" t="s">
        <v>557</v>
      </c>
      <c r="BE383" s="447">
        <v>329</v>
      </c>
    </row>
    <row r="384" spans="1:57" ht="30" customHeight="1">
      <c r="A384" s="443" t="s">
        <v>544</v>
      </c>
      <c r="B384" s="444" t="s">
        <v>4597</v>
      </c>
      <c r="C384" s="464" t="s">
        <v>2568</v>
      </c>
      <c r="D384" s="1133">
        <v>1</v>
      </c>
      <c r="E384" s="445">
        <f>'1층전시실산출'!H393</f>
        <v>1</v>
      </c>
      <c r="F384" s="1147">
        <v>250000</v>
      </c>
      <c r="G384" s="1147">
        <v>250000</v>
      </c>
      <c r="H384" s="450">
        <f>단가대비표!O157</f>
        <v>250000</v>
      </c>
      <c r="I384" s="450">
        <f t="shared" si="56"/>
        <v>250000</v>
      </c>
      <c r="J384" s="1147"/>
      <c r="K384" s="1147">
        <v>0</v>
      </c>
      <c r="L384" s="450"/>
      <c r="M384" s="450">
        <f t="shared" si="57"/>
        <v>0</v>
      </c>
      <c r="N384" s="1147"/>
      <c r="O384" s="1147">
        <v>0</v>
      </c>
      <c r="P384" s="450"/>
      <c r="Q384" s="450">
        <f t="shared" si="55"/>
        <v>0</v>
      </c>
      <c r="R384" s="1147">
        <v>250000</v>
      </c>
      <c r="S384" s="1147">
        <v>250000</v>
      </c>
      <c r="T384" s="450">
        <f t="shared" si="53"/>
        <v>250000</v>
      </c>
      <c r="U384" s="450">
        <f t="shared" si="54"/>
        <v>250000</v>
      </c>
      <c r="V384" s="454" t="s">
        <v>51</v>
      </c>
      <c r="W384" s="448" t="s">
        <v>558</v>
      </c>
      <c r="X384" s="448" t="s">
        <v>51</v>
      </c>
      <c r="Y384" s="448" t="s">
        <v>51</v>
      </c>
      <c r="Z384" s="448" t="s">
        <v>487</v>
      </c>
      <c r="AA384" s="448" t="s">
        <v>62</v>
      </c>
      <c r="AB384" s="448" t="s">
        <v>62</v>
      </c>
      <c r="AC384" s="448" t="s">
        <v>61</v>
      </c>
      <c r="AD384" s="447"/>
      <c r="AE384" s="447"/>
      <c r="AF384" s="447"/>
      <c r="AG384" s="447"/>
      <c r="AH384" s="447"/>
      <c r="AI384" s="447"/>
      <c r="AJ384" s="447"/>
      <c r="AK384" s="447"/>
      <c r="AL384" s="447"/>
      <c r="AM384" s="447"/>
      <c r="AN384" s="447"/>
      <c r="AO384" s="447"/>
      <c r="AP384" s="447"/>
      <c r="AQ384" s="447"/>
      <c r="AR384" s="447"/>
      <c r="AS384" s="447"/>
      <c r="AT384" s="447"/>
      <c r="AU384" s="447"/>
      <c r="AV384" s="447"/>
      <c r="AW384" s="447"/>
      <c r="AX384" s="447"/>
      <c r="AY384" s="447"/>
      <c r="AZ384" s="447"/>
      <c r="BA384" s="448" t="s">
        <v>51</v>
      </c>
      <c r="BB384" s="448" t="s">
        <v>51</v>
      </c>
      <c r="BC384" s="447"/>
      <c r="BD384" s="448" t="s">
        <v>559</v>
      </c>
      <c r="BE384" s="447">
        <v>330</v>
      </c>
    </row>
    <row r="385" spans="1:57" ht="30" customHeight="1">
      <c r="A385" s="443" t="s">
        <v>544</v>
      </c>
      <c r="B385" s="444" t="s">
        <v>4598</v>
      </c>
      <c r="C385" s="464" t="s">
        <v>2568</v>
      </c>
      <c r="D385" s="1133">
        <v>1</v>
      </c>
      <c r="E385" s="445">
        <f>'1층전시실산출'!H394</f>
        <v>1</v>
      </c>
      <c r="F385" s="1147">
        <v>220000</v>
      </c>
      <c r="G385" s="1147">
        <v>220000</v>
      </c>
      <c r="H385" s="450">
        <f>단가대비표!O158</f>
        <v>220000</v>
      </c>
      <c r="I385" s="450">
        <f t="shared" si="56"/>
        <v>220000</v>
      </c>
      <c r="J385" s="1147"/>
      <c r="K385" s="1147">
        <v>0</v>
      </c>
      <c r="L385" s="450"/>
      <c r="M385" s="450">
        <f t="shared" si="57"/>
        <v>0</v>
      </c>
      <c r="N385" s="1147"/>
      <c r="O385" s="1147">
        <v>0</v>
      </c>
      <c r="P385" s="450"/>
      <c r="Q385" s="450">
        <f t="shared" si="55"/>
        <v>0</v>
      </c>
      <c r="R385" s="1147">
        <v>220000</v>
      </c>
      <c r="S385" s="1147">
        <v>220000</v>
      </c>
      <c r="T385" s="450">
        <f t="shared" si="53"/>
        <v>220000</v>
      </c>
      <c r="U385" s="450">
        <f t="shared" si="54"/>
        <v>220000</v>
      </c>
      <c r="V385" s="454" t="s">
        <v>51</v>
      </c>
      <c r="W385" s="448" t="s">
        <v>560</v>
      </c>
      <c r="X385" s="448" t="s">
        <v>51</v>
      </c>
      <c r="Y385" s="448" t="s">
        <v>51</v>
      </c>
      <c r="Z385" s="448" t="s">
        <v>487</v>
      </c>
      <c r="AA385" s="448" t="s">
        <v>62</v>
      </c>
      <c r="AB385" s="448" t="s">
        <v>62</v>
      </c>
      <c r="AC385" s="448" t="s">
        <v>61</v>
      </c>
      <c r="AD385" s="447"/>
      <c r="AE385" s="447"/>
      <c r="AF385" s="447"/>
      <c r="AG385" s="447"/>
      <c r="AH385" s="447"/>
      <c r="AI385" s="447"/>
      <c r="AJ385" s="447"/>
      <c r="AK385" s="447"/>
      <c r="AL385" s="447"/>
      <c r="AM385" s="447"/>
      <c r="AN385" s="447"/>
      <c r="AO385" s="447"/>
      <c r="AP385" s="447"/>
      <c r="AQ385" s="447"/>
      <c r="AR385" s="447"/>
      <c r="AS385" s="447"/>
      <c r="AT385" s="447"/>
      <c r="AU385" s="447"/>
      <c r="AV385" s="447"/>
      <c r="AW385" s="447"/>
      <c r="AX385" s="447"/>
      <c r="AY385" s="447"/>
      <c r="AZ385" s="447"/>
      <c r="BA385" s="448" t="s">
        <v>51</v>
      </c>
      <c r="BB385" s="448" t="s">
        <v>51</v>
      </c>
      <c r="BC385" s="447"/>
      <c r="BD385" s="448" t="s">
        <v>561</v>
      </c>
      <c r="BE385" s="447">
        <v>331</v>
      </c>
    </row>
    <row r="386" spans="1:57" ht="30" customHeight="1">
      <c r="A386" s="443" t="s">
        <v>544</v>
      </c>
      <c r="B386" s="444" t="s">
        <v>4599</v>
      </c>
      <c r="C386" s="464" t="s">
        <v>2568</v>
      </c>
      <c r="D386" s="1133">
        <v>1</v>
      </c>
      <c r="E386" s="445">
        <f>'1층전시실산출'!H395</f>
        <v>1</v>
      </c>
      <c r="F386" s="1147">
        <v>80000</v>
      </c>
      <c r="G386" s="1147">
        <v>80000</v>
      </c>
      <c r="H386" s="450">
        <f>단가대비표!O159</f>
        <v>80000</v>
      </c>
      <c r="I386" s="450">
        <f t="shared" si="56"/>
        <v>80000</v>
      </c>
      <c r="J386" s="1147"/>
      <c r="K386" s="1147">
        <v>0</v>
      </c>
      <c r="L386" s="450"/>
      <c r="M386" s="450">
        <f t="shared" si="57"/>
        <v>0</v>
      </c>
      <c r="N386" s="1147"/>
      <c r="O386" s="1147">
        <v>0</v>
      </c>
      <c r="P386" s="450"/>
      <c r="Q386" s="450">
        <f t="shared" si="55"/>
        <v>0</v>
      </c>
      <c r="R386" s="1147">
        <v>80000</v>
      </c>
      <c r="S386" s="1147">
        <v>80000</v>
      </c>
      <c r="T386" s="450">
        <f t="shared" si="53"/>
        <v>80000</v>
      </c>
      <c r="U386" s="450">
        <f t="shared" si="54"/>
        <v>80000</v>
      </c>
      <c r="V386" s="454" t="s">
        <v>51</v>
      </c>
      <c r="W386" s="448" t="s">
        <v>562</v>
      </c>
      <c r="X386" s="448" t="s">
        <v>51</v>
      </c>
      <c r="Y386" s="448" t="s">
        <v>51</v>
      </c>
      <c r="Z386" s="448" t="s">
        <v>487</v>
      </c>
      <c r="AA386" s="448" t="s">
        <v>62</v>
      </c>
      <c r="AB386" s="448" t="s">
        <v>62</v>
      </c>
      <c r="AC386" s="448" t="s">
        <v>61</v>
      </c>
      <c r="AD386" s="447"/>
      <c r="AE386" s="447"/>
      <c r="AF386" s="447"/>
      <c r="AG386" s="447"/>
      <c r="AH386" s="447"/>
      <c r="AI386" s="447"/>
      <c r="AJ386" s="447"/>
      <c r="AK386" s="447"/>
      <c r="AL386" s="447"/>
      <c r="AM386" s="447"/>
      <c r="AN386" s="447"/>
      <c r="AO386" s="447"/>
      <c r="AP386" s="447"/>
      <c r="AQ386" s="447"/>
      <c r="AR386" s="447"/>
      <c r="AS386" s="447"/>
      <c r="AT386" s="447"/>
      <c r="AU386" s="447"/>
      <c r="AV386" s="447"/>
      <c r="AW386" s="447"/>
      <c r="AX386" s="447"/>
      <c r="AY386" s="447"/>
      <c r="AZ386" s="447"/>
      <c r="BA386" s="448" t="s">
        <v>51</v>
      </c>
      <c r="BB386" s="448" t="s">
        <v>51</v>
      </c>
      <c r="BC386" s="447"/>
      <c r="BD386" s="448" t="s">
        <v>563</v>
      </c>
      <c r="BE386" s="447">
        <v>332</v>
      </c>
    </row>
    <row r="387" spans="1:57" ht="30" customHeight="1">
      <c r="A387" s="443" t="s">
        <v>544</v>
      </c>
      <c r="B387" s="444" t="s">
        <v>4600</v>
      </c>
      <c r="C387" s="464" t="s">
        <v>2568</v>
      </c>
      <c r="D387" s="1133">
        <v>1</v>
      </c>
      <c r="E387" s="445">
        <f>'1층전시실산출'!H396</f>
        <v>1</v>
      </c>
      <c r="F387" s="1147">
        <v>280000</v>
      </c>
      <c r="G387" s="1147">
        <v>280000</v>
      </c>
      <c r="H387" s="450">
        <f>단가대비표!O160</f>
        <v>280000</v>
      </c>
      <c r="I387" s="450">
        <f t="shared" si="56"/>
        <v>280000</v>
      </c>
      <c r="J387" s="1147"/>
      <c r="K387" s="1147">
        <v>0</v>
      </c>
      <c r="L387" s="450"/>
      <c r="M387" s="450">
        <f t="shared" si="57"/>
        <v>0</v>
      </c>
      <c r="N387" s="1147"/>
      <c r="O387" s="1147">
        <v>0</v>
      </c>
      <c r="P387" s="450"/>
      <c r="Q387" s="450">
        <f t="shared" si="55"/>
        <v>0</v>
      </c>
      <c r="R387" s="1147">
        <v>280000</v>
      </c>
      <c r="S387" s="1147">
        <v>280000</v>
      </c>
      <c r="T387" s="450">
        <f t="shared" si="53"/>
        <v>280000</v>
      </c>
      <c r="U387" s="450">
        <f t="shared" si="54"/>
        <v>280000</v>
      </c>
      <c r="V387" s="454" t="s">
        <v>51</v>
      </c>
      <c r="W387" s="448" t="s">
        <v>564</v>
      </c>
      <c r="X387" s="448" t="s">
        <v>51</v>
      </c>
      <c r="Y387" s="448" t="s">
        <v>51</v>
      </c>
      <c r="Z387" s="448" t="s">
        <v>487</v>
      </c>
      <c r="AA387" s="448" t="s">
        <v>62</v>
      </c>
      <c r="AB387" s="448" t="s">
        <v>62</v>
      </c>
      <c r="AC387" s="448" t="s">
        <v>61</v>
      </c>
      <c r="AD387" s="447"/>
      <c r="AE387" s="447"/>
      <c r="AF387" s="447"/>
      <c r="AG387" s="447"/>
      <c r="AH387" s="447"/>
      <c r="AI387" s="447"/>
      <c r="AJ387" s="447"/>
      <c r="AK387" s="447"/>
      <c r="AL387" s="447"/>
      <c r="AM387" s="447"/>
      <c r="AN387" s="447"/>
      <c r="AO387" s="447"/>
      <c r="AP387" s="447"/>
      <c r="AQ387" s="447"/>
      <c r="AR387" s="447"/>
      <c r="AS387" s="447"/>
      <c r="AT387" s="447"/>
      <c r="AU387" s="447"/>
      <c r="AV387" s="447"/>
      <c r="AW387" s="447"/>
      <c r="AX387" s="447"/>
      <c r="AY387" s="447"/>
      <c r="AZ387" s="447"/>
      <c r="BA387" s="448" t="s">
        <v>51</v>
      </c>
      <c r="BB387" s="448" t="s">
        <v>51</v>
      </c>
      <c r="BC387" s="447"/>
      <c r="BD387" s="448" t="s">
        <v>565</v>
      </c>
      <c r="BE387" s="447">
        <v>333</v>
      </c>
    </row>
    <row r="388" spans="1:57" ht="30" customHeight="1">
      <c r="A388" s="443" t="s">
        <v>544</v>
      </c>
      <c r="B388" s="444" t="s">
        <v>4601</v>
      </c>
      <c r="C388" s="464" t="s">
        <v>2568</v>
      </c>
      <c r="D388" s="1133">
        <v>6</v>
      </c>
      <c r="E388" s="445">
        <f>'1층전시실산출'!H397</f>
        <v>6</v>
      </c>
      <c r="F388" s="1147">
        <v>60000</v>
      </c>
      <c r="G388" s="1147">
        <v>360000</v>
      </c>
      <c r="H388" s="450">
        <f>단가대비표!O161</f>
        <v>60000</v>
      </c>
      <c r="I388" s="450">
        <f t="shared" si="56"/>
        <v>360000</v>
      </c>
      <c r="J388" s="1147"/>
      <c r="K388" s="1147">
        <v>0</v>
      </c>
      <c r="L388" s="450"/>
      <c r="M388" s="450">
        <f t="shared" si="57"/>
        <v>0</v>
      </c>
      <c r="N388" s="1147"/>
      <c r="O388" s="1147">
        <v>0</v>
      </c>
      <c r="P388" s="450"/>
      <c r="Q388" s="450">
        <f t="shared" si="55"/>
        <v>0</v>
      </c>
      <c r="R388" s="1147">
        <v>60000</v>
      </c>
      <c r="S388" s="1147">
        <v>360000</v>
      </c>
      <c r="T388" s="450">
        <f t="shared" si="53"/>
        <v>60000</v>
      </c>
      <c r="U388" s="450">
        <f t="shared" si="54"/>
        <v>360000</v>
      </c>
      <c r="V388" s="454" t="s">
        <v>51</v>
      </c>
      <c r="W388" s="448" t="s">
        <v>566</v>
      </c>
      <c r="X388" s="448" t="s">
        <v>51</v>
      </c>
      <c r="Y388" s="448" t="s">
        <v>51</v>
      </c>
      <c r="Z388" s="448" t="s">
        <v>487</v>
      </c>
      <c r="AA388" s="448" t="s">
        <v>62</v>
      </c>
      <c r="AB388" s="448" t="s">
        <v>62</v>
      </c>
      <c r="AC388" s="448" t="s">
        <v>61</v>
      </c>
      <c r="AD388" s="447"/>
      <c r="AE388" s="447"/>
      <c r="AF388" s="447"/>
      <c r="AG388" s="447"/>
      <c r="AH388" s="447"/>
      <c r="AI388" s="447"/>
      <c r="AJ388" s="447"/>
      <c r="AK388" s="447"/>
      <c r="AL388" s="447"/>
      <c r="AM388" s="447"/>
      <c r="AN388" s="447"/>
      <c r="AO388" s="447"/>
      <c r="AP388" s="447"/>
      <c r="AQ388" s="447"/>
      <c r="AR388" s="447"/>
      <c r="AS388" s="447"/>
      <c r="AT388" s="447"/>
      <c r="AU388" s="447"/>
      <c r="AV388" s="447"/>
      <c r="AW388" s="447"/>
      <c r="AX388" s="447"/>
      <c r="AY388" s="447"/>
      <c r="AZ388" s="447"/>
      <c r="BA388" s="448" t="s">
        <v>51</v>
      </c>
      <c r="BB388" s="448" t="s">
        <v>51</v>
      </c>
      <c r="BC388" s="447"/>
      <c r="BD388" s="448" t="s">
        <v>567</v>
      </c>
      <c r="BE388" s="447">
        <v>334</v>
      </c>
    </row>
    <row r="389" spans="1:57" ht="30" customHeight="1">
      <c r="A389" s="443" t="s">
        <v>544</v>
      </c>
      <c r="B389" s="444" t="s">
        <v>4602</v>
      </c>
      <c r="C389" s="464" t="s">
        <v>2568</v>
      </c>
      <c r="D389" s="1133">
        <v>1</v>
      </c>
      <c r="E389" s="445">
        <f>'1층전시실산출'!H398</f>
        <v>1</v>
      </c>
      <c r="F389" s="1147">
        <v>70000</v>
      </c>
      <c r="G389" s="1147">
        <v>70000</v>
      </c>
      <c r="H389" s="450">
        <f>단가대비표!O162</f>
        <v>70000</v>
      </c>
      <c r="I389" s="450">
        <f t="shared" si="56"/>
        <v>70000</v>
      </c>
      <c r="J389" s="1147"/>
      <c r="K389" s="1147">
        <v>0</v>
      </c>
      <c r="L389" s="450"/>
      <c r="M389" s="450">
        <f t="shared" si="57"/>
        <v>0</v>
      </c>
      <c r="N389" s="1147"/>
      <c r="O389" s="1147">
        <v>0</v>
      </c>
      <c r="P389" s="450"/>
      <c r="Q389" s="450">
        <f t="shared" si="55"/>
        <v>0</v>
      </c>
      <c r="R389" s="1147">
        <v>70000</v>
      </c>
      <c r="S389" s="1147">
        <v>70000</v>
      </c>
      <c r="T389" s="450">
        <f t="shared" si="53"/>
        <v>70000</v>
      </c>
      <c r="U389" s="450">
        <f t="shared" si="54"/>
        <v>70000</v>
      </c>
      <c r="V389" s="454" t="s">
        <v>51</v>
      </c>
      <c r="W389" s="448" t="s">
        <v>568</v>
      </c>
      <c r="X389" s="448" t="s">
        <v>51</v>
      </c>
      <c r="Y389" s="448" t="s">
        <v>51</v>
      </c>
      <c r="Z389" s="448" t="s">
        <v>487</v>
      </c>
      <c r="AA389" s="448" t="s">
        <v>62</v>
      </c>
      <c r="AB389" s="448" t="s">
        <v>62</v>
      </c>
      <c r="AC389" s="448" t="s">
        <v>61</v>
      </c>
      <c r="AD389" s="447"/>
      <c r="AE389" s="447"/>
      <c r="AF389" s="447"/>
      <c r="AG389" s="447"/>
      <c r="AH389" s="447"/>
      <c r="AI389" s="447"/>
      <c r="AJ389" s="447"/>
      <c r="AK389" s="447"/>
      <c r="AL389" s="447"/>
      <c r="AM389" s="447"/>
      <c r="AN389" s="447"/>
      <c r="AO389" s="447"/>
      <c r="AP389" s="447"/>
      <c r="AQ389" s="447"/>
      <c r="AR389" s="447"/>
      <c r="AS389" s="447"/>
      <c r="AT389" s="447"/>
      <c r="AU389" s="447"/>
      <c r="AV389" s="447"/>
      <c r="AW389" s="447"/>
      <c r="AX389" s="447"/>
      <c r="AY389" s="447"/>
      <c r="AZ389" s="447"/>
      <c r="BA389" s="448" t="s">
        <v>51</v>
      </c>
      <c r="BB389" s="448" t="s">
        <v>51</v>
      </c>
      <c r="BC389" s="447"/>
      <c r="BD389" s="448" t="s">
        <v>569</v>
      </c>
      <c r="BE389" s="447">
        <v>335</v>
      </c>
    </row>
    <row r="390" spans="1:57" ht="30" customHeight="1">
      <c r="A390" s="443" t="s">
        <v>544</v>
      </c>
      <c r="B390" s="444" t="s">
        <v>4603</v>
      </c>
      <c r="C390" s="464" t="s">
        <v>2568</v>
      </c>
      <c r="D390" s="1133">
        <v>1</v>
      </c>
      <c r="E390" s="445">
        <f>'1층전시실산출'!H399</f>
        <v>1</v>
      </c>
      <c r="F390" s="1147">
        <v>450000</v>
      </c>
      <c r="G390" s="1147">
        <v>450000</v>
      </c>
      <c r="H390" s="450">
        <f>단가대비표!O163</f>
        <v>450000</v>
      </c>
      <c r="I390" s="450">
        <f t="shared" si="56"/>
        <v>450000</v>
      </c>
      <c r="J390" s="1147"/>
      <c r="K390" s="1147">
        <v>0</v>
      </c>
      <c r="L390" s="450"/>
      <c r="M390" s="450">
        <f t="shared" si="57"/>
        <v>0</v>
      </c>
      <c r="N390" s="1147"/>
      <c r="O390" s="1147">
        <v>0</v>
      </c>
      <c r="P390" s="450"/>
      <c r="Q390" s="450">
        <f t="shared" si="55"/>
        <v>0</v>
      </c>
      <c r="R390" s="1147">
        <v>450000</v>
      </c>
      <c r="S390" s="1147">
        <v>450000</v>
      </c>
      <c r="T390" s="450">
        <f t="shared" si="53"/>
        <v>450000</v>
      </c>
      <c r="U390" s="450">
        <f t="shared" si="54"/>
        <v>450000</v>
      </c>
      <c r="V390" s="454" t="s">
        <v>51</v>
      </c>
      <c r="W390" s="448" t="s">
        <v>570</v>
      </c>
      <c r="X390" s="448" t="s">
        <v>51</v>
      </c>
      <c r="Y390" s="448" t="s">
        <v>51</v>
      </c>
      <c r="Z390" s="448" t="s">
        <v>487</v>
      </c>
      <c r="AA390" s="448" t="s">
        <v>62</v>
      </c>
      <c r="AB390" s="448" t="s">
        <v>62</v>
      </c>
      <c r="AC390" s="448" t="s">
        <v>61</v>
      </c>
      <c r="AD390" s="447"/>
      <c r="AE390" s="447"/>
      <c r="AF390" s="447"/>
      <c r="AG390" s="447"/>
      <c r="AH390" s="447"/>
      <c r="AI390" s="447"/>
      <c r="AJ390" s="447"/>
      <c r="AK390" s="447"/>
      <c r="AL390" s="447"/>
      <c r="AM390" s="447"/>
      <c r="AN390" s="447"/>
      <c r="AO390" s="447"/>
      <c r="AP390" s="447"/>
      <c r="AQ390" s="447"/>
      <c r="AR390" s="447"/>
      <c r="AS390" s="447"/>
      <c r="AT390" s="447"/>
      <c r="AU390" s="447"/>
      <c r="AV390" s="447"/>
      <c r="AW390" s="447"/>
      <c r="AX390" s="447"/>
      <c r="AY390" s="447"/>
      <c r="AZ390" s="447"/>
      <c r="BA390" s="448" t="s">
        <v>51</v>
      </c>
      <c r="BB390" s="448" t="s">
        <v>51</v>
      </c>
      <c r="BC390" s="447"/>
      <c r="BD390" s="448" t="s">
        <v>571</v>
      </c>
      <c r="BE390" s="447">
        <v>336</v>
      </c>
    </row>
    <row r="391" spans="1:57" ht="30" customHeight="1">
      <c r="A391" s="443" t="s">
        <v>544</v>
      </c>
      <c r="B391" s="444" t="s">
        <v>4604</v>
      </c>
      <c r="C391" s="464" t="s">
        <v>2568</v>
      </c>
      <c r="D391" s="1133">
        <v>2</v>
      </c>
      <c r="E391" s="445">
        <f>'1층전시실산출'!H400</f>
        <v>2</v>
      </c>
      <c r="F391" s="1147">
        <v>10000</v>
      </c>
      <c r="G391" s="1147">
        <v>20000</v>
      </c>
      <c r="H391" s="450">
        <f>단가대비표!O164</f>
        <v>10000</v>
      </c>
      <c r="I391" s="450">
        <f t="shared" si="56"/>
        <v>20000</v>
      </c>
      <c r="J391" s="1147"/>
      <c r="K391" s="1147">
        <v>0</v>
      </c>
      <c r="L391" s="450"/>
      <c r="M391" s="450">
        <f t="shared" si="57"/>
        <v>0</v>
      </c>
      <c r="N391" s="1147"/>
      <c r="O391" s="1147">
        <v>0</v>
      </c>
      <c r="P391" s="450"/>
      <c r="Q391" s="450">
        <f t="shared" si="55"/>
        <v>0</v>
      </c>
      <c r="R391" s="1147">
        <v>10000</v>
      </c>
      <c r="S391" s="1147">
        <v>20000</v>
      </c>
      <c r="T391" s="450">
        <f t="shared" si="53"/>
        <v>10000</v>
      </c>
      <c r="U391" s="450">
        <f t="shared" si="54"/>
        <v>20000</v>
      </c>
      <c r="V391" s="454" t="s">
        <v>51</v>
      </c>
      <c r="W391" s="448" t="s">
        <v>572</v>
      </c>
      <c r="X391" s="448" t="s">
        <v>51</v>
      </c>
      <c r="Y391" s="448" t="s">
        <v>51</v>
      </c>
      <c r="Z391" s="448" t="s">
        <v>487</v>
      </c>
      <c r="AA391" s="448" t="s">
        <v>62</v>
      </c>
      <c r="AB391" s="448" t="s">
        <v>62</v>
      </c>
      <c r="AC391" s="448" t="s">
        <v>61</v>
      </c>
      <c r="AD391" s="447"/>
      <c r="AE391" s="447"/>
      <c r="AF391" s="447"/>
      <c r="AG391" s="447"/>
      <c r="AH391" s="447"/>
      <c r="AI391" s="447"/>
      <c r="AJ391" s="447"/>
      <c r="AK391" s="447"/>
      <c r="AL391" s="447"/>
      <c r="AM391" s="447"/>
      <c r="AN391" s="447"/>
      <c r="AO391" s="447"/>
      <c r="AP391" s="447"/>
      <c r="AQ391" s="447"/>
      <c r="AR391" s="447"/>
      <c r="AS391" s="447"/>
      <c r="AT391" s="447"/>
      <c r="AU391" s="447"/>
      <c r="AV391" s="447"/>
      <c r="AW391" s="447"/>
      <c r="AX391" s="447"/>
      <c r="AY391" s="447"/>
      <c r="AZ391" s="447"/>
      <c r="BA391" s="448" t="s">
        <v>51</v>
      </c>
      <c r="BB391" s="448" t="s">
        <v>51</v>
      </c>
      <c r="BC391" s="447"/>
      <c r="BD391" s="448" t="s">
        <v>573</v>
      </c>
      <c r="BE391" s="447">
        <v>337</v>
      </c>
    </row>
    <row r="392" spans="1:57" ht="30" customHeight="1">
      <c r="A392" s="443" t="s">
        <v>547</v>
      </c>
      <c r="B392" s="444" t="s">
        <v>4605</v>
      </c>
      <c r="C392" s="464" t="s">
        <v>2568</v>
      </c>
      <c r="D392" s="1133">
        <v>1</v>
      </c>
      <c r="E392" s="445">
        <f>'1층전시실산출'!H401</f>
        <v>1</v>
      </c>
      <c r="F392" s="1147">
        <v>20000</v>
      </c>
      <c r="G392" s="1147">
        <v>20000</v>
      </c>
      <c r="H392" s="450">
        <f>단가대비표!O165</f>
        <v>20000</v>
      </c>
      <c r="I392" s="450">
        <f t="shared" si="56"/>
        <v>20000</v>
      </c>
      <c r="J392" s="1147"/>
      <c r="K392" s="1147">
        <v>0</v>
      </c>
      <c r="L392" s="450"/>
      <c r="M392" s="450">
        <f t="shared" si="57"/>
        <v>0</v>
      </c>
      <c r="N392" s="1147"/>
      <c r="O392" s="1147">
        <v>0</v>
      </c>
      <c r="P392" s="450"/>
      <c r="Q392" s="450">
        <f t="shared" si="55"/>
        <v>0</v>
      </c>
      <c r="R392" s="1147">
        <v>20000</v>
      </c>
      <c r="S392" s="1147">
        <v>20000</v>
      </c>
      <c r="T392" s="450">
        <f t="shared" si="53"/>
        <v>20000</v>
      </c>
      <c r="U392" s="450">
        <f t="shared" si="54"/>
        <v>20000</v>
      </c>
      <c r="V392" s="454" t="s">
        <v>51</v>
      </c>
      <c r="W392" s="448" t="s">
        <v>574</v>
      </c>
      <c r="X392" s="448" t="s">
        <v>51</v>
      </c>
      <c r="Y392" s="448" t="s">
        <v>51</v>
      </c>
      <c r="Z392" s="448" t="s">
        <v>487</v>
      </c>
      <c r="AA392" s="448" t="s">
        <v>62</v>
      </c>
      <c r="AB392" s="448" t="s">
        <v>62</v>
      </c>
      <c r="AC392" s="448" t="s">
        <v>61</v>
      </c>
      <c r="AD392" s="447"/>
      <c r="AE392" s="447"/>
      <c r="AF392" s="447"/>
      <c r="AG392" s="447"/>
      <c r="AH392" s="447"/>
      <c r="AI392" s="447"/>
      <c r="AJ392" s="447"/>
      <c r="AK392" s="447"/>
      <c r="AL392" s="447"/>
      <c r="AM392" s="447"/>
      <c r="AN392" s="447"/>
      <c r="AO392" s="447"/>
      <c r="AP392" s="447"/>
      <c r="AQ392" s="447"/>
      <c r="AR392" s="447"/>
      <c r="AS392" s="447"/>
      <c r="AT392" s="447"/>
      <c r="AU392" s="447"/>
      <c r="AV392" s="447"/>
      <c r="AW392" s="447"/>
      <c r="AX392" s="447"/>
      <c r="AY392" s="447"/>
      <c r="AZ392" s="447"/>
      <c r="BA392" s="448" t="s">
        <v>51</v>
      </c>
      <c r="BB392" s="448" t="s">
        <v>51</v>
      </c>
      <c r="BC392" s="447"/>
      <c r="BD392" s="448" t="s">
        <v>575</v>
      </c>
      <c r="BE392" s="447">
        <v>338</v>
      </c>
    </row>
    <row r="393" spans="1:57" ht="30" customHeight="1">
      <c r="A393" s="443" t="s">
        <v>547</v>
      </c>
      <c r="B393" s="444" t="s">
        <v>4606</v>
      </c>
      <c r="C393" s="464" t="s">
        <v>2568</v>
      </c>
      <c r="D393" s="1133">
        <v>2</v>
      </c>
      <c r="E393" s="445">
        <f>'1층전시실산출'!H402</f>
        <v>2</v>
      </c>
      <c r="F393" s="1147">
        <v>60000</v>
      </c>
      <c r="G393" s="1147">
        <v>120000</v>
      </c>
      <c r="H393" s="450">
        <f>단가대비표!O166</f>
        <v>60000</v>
      </c>
      <c r="I393" s="450">
        <f t="shared" si="56"/>
        <v>120000</v>
      </c>
      <c r="J393" s="1147"/>
      <c r="K393" s="1147">
        <v>0</v>
      </c>
      <c r="L393" s="450"/>
      <c r="M393" s="450">
        <f t="shared" si="57"/>
        <v>0</v>
      </c>
      <c r="N393" s="1147"/>
      <c r="O393" s="1147">
        <v>0</v>
      </c>
      <c r="P393" s="450"/>
      <c r="Q393" s="450">
        <f t="shared" si="55"/>
        <v>0</v>
      </c>
      <c r="R393" s="1147">
        <v>60000</v>
      </c>
      <c r="S393" s="1147">
        <v>120000</v>
      </c>
      <c r="T393" s="450">
        <f t="shared" si="53"/>
        <v>60000</v>
      </c>
      <c r="U393" s="450">
        <f t="shared" si="54"/>
        <v>120000</v>
      </c>
      <c r="V393" s="454" t="s">
        <v>51</v>
      </c>
      <c r="W393" s="448" t="s">
        <v>574</v>
      </c>
      <c r="X393" s="448" t="s">
        <v>51</v>
      </c>
      <c r="Y393" s="448" t="s">
        <v>51</v>
      </c>
      <c r="Z393" s="448" t="s">
        <v>487</v>
      </c>
      <c r="AA393" s="448" t="s">
        <v>62</v>
      </c>
      <c r="AB393" s="448" t="s">
        <v>62</v>
      </c>
      <c r="AC393" s="448" t="s">
        <v>61</v>
      </c>
      <c r="AD393" s="447"/>
      <c r="AE393" s="447"/>
      <c r="AF393" s="447"/>
      <c r="AG393" s="447"/>
      <c r="AH393" s="447"/>
      <c r="AI393" s="447"/>
      <c r="AJ393" s="447"/>
      <c r="AK393" s="447"/>
      <c r="AL393" s="447"/>
      <c r="AM393" s="447"/>
      <c r="AN393" s="447"/>
      <c r="AO393" s="447"/>
      <c r="AP393" s="447"/>
      <c r="AQ393" s="447"/>
      <c r="AR393" s="447"/>
      <c r="AS393" s="447"/>
      <c r="AT393" s="447"/>
      <c r="AU393" s="447"/>
      <c r="AV393" s="447"/>
      <c r="AW393" s="447"/>
      <c r="AX393" s="447"/>
      <c r="AY393" s="447"/>
      <c r="AZ393" s="447"/>
      <c r="BA393" s="448" t="s">
        <v>51</v>
      </c>
      <c r="BB393" s="448" t="s">
        <v>51</v>
      </c>
      <c r="BC393" s="447"/>
      <c r="BD393" s="448" t="s">
        <v>575</v>
      </c>
      <c r="BE393" s="447">
        <v>338</v>
      </c>
    </row>
    <row r="394" spans="1:57" ht="30" customHeight="1">
      <c r="A394" s="443" t="s">
        <v>547</v>
      </c>
      <c r="B394" s="444" t="s">
        <v>4607</v>
      </c>
      <c r="C394" s="464" t="s">
        <v>2568</v>
      </c>
      <c r="D394" s="1133">
        <v>2</v>
      </c>
      <c r="E394" s="445">
        <f>'1층전시실산출'!H403</f>
        <v>2</v>
      </c>
      <c r="F394" s="1147">
        <v>40000</v>
      </c>
      <c r="G394" s="1147">
        <v>80000</v>
      </c>
      <c r="H394" s="450">
        <f>단가대비표!O167</f>
        <v>40000</v>
      </c>
      <c r="I394" s="450">
        <f t="shared" si="56"/>
        <v>80000</v>
      </c>
      <c r="J394" s="1147"/>
      <c r="K394" s="1147">
        <v>0</v>
      </c>
      <c r="L394" s="450"/>
      <c r="M394" s="450">
        <f t="shared" si="57"/>
        <v>0</v>
      </c>
      <c r="N394" s="1147"/>
      <c r="O394" s="1147">
        <v>0</v>
      </c>
      <c r="P394" s="450"/>
      <c r="Q394" s="450">
        <f t="shared" si="55"/>
        <v>0</v>
      </c>
      <c r="R394" s="1147">
        <v>40000</v>
      </c>
      <c r="S394" s="1147">
        <v>80000</v>
      </c>
      <c r="T394" s="450">
        <f t="shared" si="53"/>
        <v>40000</v>
      </c>
      <c r="U394" s="450">
        <f t="shared" si="54"/>
        <v>80000</v>
      </c>
      <c r="V394" s="454" t="s">
        <v>51</v>
      </c>
      <c r="W394" s="448" t="s">
        <v>574</v>
      </c>
      <c r="X394" s="448" t="s">
        <v>51</v>
      </c>
      <c r="Y394" s="448" t="s">
        <v>51</v>
      </c>
      <c r="Z394" s="448" t="s">
        <v>487</v>
      </c>
      <c r="AA394" s="448" t="s">
        <v>62</v>
      </c>
      <c r="AB394" s="448" t="s">
        <v>62</v>
      </c>
      <c r="AC394" s="448" t="s">
        <v>61</v>
      </c>
      <c r="AD394" s="447"/>
      <c r="AE394" s="447"/>
      <c r="AF394" s="447"/>
      <c r="AG394" s="447"/>
      <c r="AH394" s="447"/>
      <c r="AI394" s="447"/>
      <c r="AJ394" s="447"/>
      <c r="AK394" s="447"/>
      <c r="AL394" s="447"/>
      <c r="AM394" s="447"/>
      <c r="AN394" s="447"/>
      <c r="AO394" s="447"/>
      <c r="AP394" s="447"/>
      <c r="AQ394" s="447"/>
      <c r="AR394" s="447"/>
      <c r="AS394" s="447"/>
      <c r="AT394" s="447"/>
      <c r="AU394" s="447"/>
      <c r="AV394" s="447"/>
      <c r="AW394" s="447"/>
      <c r="AX394" s="447"/>
      <c r="AY394" s="447"/>
      <c r="AZ394" s="447"/>
      <c r="BA394" s="448" t="s">
        <v>51</v>
      </c>
      <c r="BB394" s="448" t="s">
        <v>51</v>
      </c>
      <c r="BC394" s="447"/>
      <c r="BD394" s="448" t="s">
        <v>575</v>
      </c>
      <c r="BE394" s="447">
        <v>338</v>
      </c>
    </row>
    <row r="395" spans="1:57" ht="30" customHeight="1">
      <c r="A395" s="443" t="s">
        <v>547</v>
      </c>
      <c r="B395" s="444" t="s">
        <v>4608</v>
      </c>
      <c r="C395" s="464" t="s">
        <v>2568</v>
      </c>
      <c r="D395" s="1133">
        <v>1</v>
      </c>
      <c r="E395" s="445">
        <f>'1층전시실산출'!H404</f>
        <v>1</v>
      </c>
      <c r="F395" s="1147">
        <v>10000</v>
      </c>
      <c r="G395" s="1147">
        <v>10000</v>
      </c>
      <c r="H395" s="450">
        <f>단가대비표!O168</f>
        <v>10000</v>
      </c>
      <c r="I395" s="450">
        <f t="shared" si="56"/>
        <v>10000</v>
      </c>
      <c r="J395" s="1147"/>
      <c r="K395" s="1147">
        <v>0</v>
      </c>
      <c r="L395" s="450"/>
      <c r="M395" s="450">
        <f t="shared" si="57"/>
        <v>0</v>
      </c>
      <c r="N395" s="1147"/>
      <c r="O395" s="1147">
        <v>0</v>
      </c>
      <c r="P395" s="450"/>
      <c r="Q395" s="450">
        <f t="shared" si="55"/>
        <v>0</v>
      </c>
      <c r="R395" s="1147">
        <v>10000</v>
      </c>
      <c r="S395" s="1147">
        <v>10000</v>
      </c>
      <c r="T395" s="450">
        <f t="shared" si="53"/>
        <v>10000</v>
      </c>
      <c r="U395" s="450">
        <f t="shared" si="54"/>
        <v>10000</v>
      </c>
      <c r="V395" s="454" t="s">
        <v>51</v>
      </c>
      <c r="W395" s="448" t="s">
        <v>574</v>
      </c>
      <c r="X395" s="448" t="s">
        <v>51</v>
      </c>
      <c r="Y395" s="448" t="s">
        <v>51</v>
      </c>
      <c r="Z395" s="448" t="s">
        <v>487</v>
      </c>
      <c r="AA395" s="448" t="s">
        <v>62</v>
      </c>
      <c r="AB395" s="448" t="s">
        <v>62</v>
      </c>
      <c r="AC395" s="448" t="s">
        <v>61</v>
      </c>
      <c r="AD395" s="447"/>
      <c r="AE395" s="447"/>
      <c r="AF395" s="447"/>
      <c r="AG395" s="447"/>
      <c r="AH395" s="447"/>
      <c r="AI395" s="447"/>
      <c r="AJ395" s="447"/>
      <c r="AK395" s="447"/>
      <c r="AL395" s="447"/>
      <c r="AM395" s="447"/>
      <c r="AN395" s="447"/>
      <c r="AO395" s="447"/>
      <c r="AP395" s="447"/>
      <c r="AQ395" s="447"/>
      <c r="AR395" s="447"/>
      <c r="AS395" s="447"/>
      <c r="AT395" s="447"/>
      <c r="AU395" s="447"/>
      <c r="AV395" s="447"/>
      <c r="AW395" s="447"/>
      <c r="AX395" s="447"/>
      <c r="AY395" s="447"/>
      <c r="AZ395" s="447"/>
      <c r="BA395" s="448" t="s">
        <v>51</v>
      </c>
      <c r="BB395" s="448" t="s">
        <v>51</v>
      </c>
      <c r="BC395" s="447"/>
      <c r="BD395" s="448" t="s">
        <v>575</v>
      </c>
      <c r="BE395" s="447">
        <v>338</v>
      </c>
    </row>
    <row r="396" spans="1:57" ht="30" customHeight="1">
      <c r="A396" s="443" t="s">
        <v>547</v>
      </c>
      <c r="B396" s="444" t="s">
        <v>4609</v>
      </c>
      <c r="C396" s="464" t="s">
        <v>2568</v>
      </c>
      <c r="D396" s="1133">
        <v>4</v>
      </c>
      <c r="E396" s="445">
        <f>'1층전시실산출'!H405</f>
        <v>4</v>
      </c>
      <c r="F396" s="1147">
        <v>18000</v>
      </c>
      <c r="G396" s="1147">
        <v>72000</v>
      </c>
      <c r="H396" s="450">
        <f>단가대비표!O169</f>
        <v>18000</v>
      </c>
      <c r="I396" s="450">
        <f t="shared" si="56"/>
        <v>72000</v>
      </c>
      <c r="J396" s="1147"/>
      <c r="K396" s="1147">
        <v>0</v>
      </c>
      <c r="L396" s="450"/>
      <c r="M396" s="450">
        <f t="shared" si="57"/>
        <v>0</v>
      </c>
      <c r="N396" s="1147"/>
      <c r="O396" s="1147">
        <v>0</v>
      </c>
      <c r="P396" s="450"/>
      <c r="Q396" s="450">
        <f t="shared" si="55"/>
        <v>0</v>
      </c>
      <c r="R396" s="1147">
        <v>18000</v>
      </c>
      <c r="S396" s="1147">
        <v>72000</v>
      </c>
      <c r="T396" s="450">
        <f t="shared" si="53"/>
        <v>18000</v>
      </c>
      <c r="U396" s="450">
        <f t="shared" si="54"/>
        <v>72000</v>
      </c>
      <c r="V396" s="454" t="s">
        <v>51</v>
      </c>
      <c r="W396" s="448" t="s">
        <v>574</v>
      </c>
      <c r="X396" s="448" t="s">
        <v>51</v>
      </c>
      <c r="Y396" s="448" t="s">
        <v>51</v>
      </c>
      <c r="Z396" s="448" t="s">
        <v>487</v>
      </c>
      <c r="AA396" s="448" t="s">
        <v>62</v>
      </c>
      <c r="AB396" s="448" t="s">
        <v>62</v>
      </c>
      <c r="AC396" s="448" t="s">
        <v>61</v>
      </c>
      <c r="AD396" s="447"/>
      <c r="AE396" s="447"/>
      <c r="AF396" s="447"/>
      <c r="AG396" s="447"/>
      <c r="AH396" s="447"/>
      <c r="AI396" s="447"/>
      <c r="AJ396" s="447"/>
      <c r="AK396" s="447"/>
      <c r="AL396" s="447"/>
      <c r="AM396" s="447"/>
      <c r="AN396" s="447"/>
      <c r="AO396" s="447"/>
      <c r="AP396" s="447"/>
      <c r="AQ396" s="447"/>
      <c r="AR396" s="447"/>
      <c r="AS396" s="447"/>
      <c r="AT396" s="447"/>
      <c r="AU396" s="447"/>
      <c r="AV396" s="447"/>
      <c r="AW396" s="447"/>
      <c r="AX396" s="447"/>
      <c r="AY396" s="447"/>
      <c r="AZ396" s="447"/>
      <c r="BA396" s="448" t="s">
        <v>51</v>
      </c>
      <c r="BB396" s="448" t="s">
        <v>51</v>
      </c>
      <c r="BC396" s="447"/>
      <c r="BD396" s="448" t="s">
        <v>575</v>
      </c>
      <c r="BE396" s="447">
        <v>338</v>
      </c>
    </row>
    <row r="397" spans="1:57" ht="30" customHeight="1">
      <c r="A397" s="443" t="s">
        <v>547</v>
      </c>
      <c r="B397" s="444" t="s">
        <v>4610</v>
      </c>
      <c r="C397" s="464" t="s">
        <v>2568</v>
      </c>
      <c r="D397" s="1133">
        <v>1</v>
      </c>
      <c r="E397" s="445">
        <f>'1층전시실산출'!H406</f>
        <v>1</v>
      </c>
      <c r="F397" s="1147">
        <v>80000</v>
      </c>
      <c r="G397" s="1147">
        <v>80000</v>
      </c>
      <c r="H397" s="450">
        <f>단가대비표!O170</f>
        <v>80000</v>
      </c>
      <c r="I397" s="450">
        <f t="shared" si="56"/>
        <v>80000</v>
      </c>
      <c r="J397" s="1147"/>
      <c r="K397" s="1147">
        <v>0</v>
      </c>
      <c r="L397" s="450"/>
      <c r="M397" s="450">
        <f t="shared" si="57"/>
        <v>0</v>
      </c>
      <c r="N397" s="1147"/>
      <c r="O397" s="1147">
        <v>0</v>
      </c>
      <c r="P397" s="450"/>
      <c r="Q397" s="450">
        <f t="shared" si="55"/>
        <v>0</v>
      </c>
      <c r="R397" s="1147">
        <v>80000</v>
      </c>
      <c r="S397" s="1147">
        <v>80000</v>
      </c>
      <c r="T397" s="450">
        <f t="shared" si="53"/>
        <v>80000</v>
      </c>
      <c r="U397" s="450">
        <f t="shared" si="54"/>
        <v>80000</v>
      </c>
      <c r="V397" s="454" t="s">
        <v>51</v>
      </c>
      <c r="W397" s="448" t="s">
        <v>574</v>
      </c>
      <c r="X397" s="448" t="s">
        <v>51</v>
      </c>
      <c r="Y397" s="448" t="s">
        <v>51</v>
      </c>
      <c r="Z397" s="448" t="s">
        <v>487</v>
      </c>
      <c r="AA397" s="448" t="s">
        <v>62</v>
      </c>
      <c r="AB397" s="448" t="s">
        <v>62</v>
      </c>
      <c r="AC397" s="448" t="s">
        <v>61</v>
      </c>
      <c r="AD397" s="447"/>
      <c r="AE397" s="447"/>
      <c r="AF397" s="447"/>
      <c r="AG397" s="447"/>
      <c r="AH397" s="447"/>
      <c r="AI397" s="447"/>
      <c r="AJ397" s="447"/>
      <c r="AK397" s="447"/>
      <c r="AL397" s="447"/>
      <c r="AM397" s="447"/>
      <c r="AN397" s="447"/>
      <c r="AO397" s="447"/>
      <c r="AP397" s="447"/>
      <c r="AQ397" s="447"/>
      <c r="AR397" s="447"/>
      <c r="AS397" s="447"/>
      <c r="AT397" s="447"/>
      <c r="AU397" s="447"/>
      <c r="AV397" s="447"/>
      <c r="AW397" s="447"/>
      <c r="AX397" s="447"/>
      <c r="AY397" s="447"/>
      <c r="AZ397" s="447"/>
      <c r="BA397" s="448" t="s">
        <v>51</v>
      </c>
      <c r="BB397" s="448" t="s">
        <v>51</v>
      </c>
      <c r="BC397" s="447"/>
      <c r="BD397" s="448" t="s">
        <v>575</v>
      </c>
      <c r="BE397" s="447">
        <v>338</v>
      </c>
    </row>
    <row r="398" spans="1:57" ht="30" customHeight="1">
      <c r="A398" s="443" t="s">
        <v>547</v>
      </c>
      <c r="B398" s="444" t="s">
        <v>4611</v>
      </c>
      <c r="C398" s="464" t="s">
        <v>2568</v>
      </c>
      <c r="D398" s="1133">
        <v>5</v>
      </c>
      <c r="E398" s="445">
        <f>'1층전시실산출'!H407</f>
        <v>5</v>
      </c>
      <c r="F398" s="1147">
        <v>24000</v>
      </c>
      <c r="G398" s="1147">
        <v>120000</v>
      </c>
      <c r="H398" s="450">
        <f>단가대비표!O171</f>
        <v>24000</v>
      </c>
      <c r="I398" s="450">
        <f t="shared" si="56"/>
        <v>120000</v>
      </c>
      <c r="J398" s="1147"/>
      <c r="K398" s="1147">
        <v>0</v>
      </c>
      <c r="L398" s="450"/>
      <c r="M398" s="450">
        <f t="shared" si="57"/>
        <v>0</v>
      </c>
      <c r="N398" s="1147"/>
      <c r="O398" s="1147">
        <v>0</v>
      </c>
      <c r="P398" s="450"/>
      <c r="Q398" s="450">
        <f t="shared" si="55"/>
        <v>0</v>
      </c>
      <c r="R398" s="1147">
        <v>24000</v>
      </c>
      <c r="S398" s="1147">
        <v>120000</v>
      </c>
      <c r="T398" s="450">
        <f t="shared" si="53"/>
        <v>24000</v>
      </c>
      <c r="U398" s="450">
        <f t="shared" si="54"/>
        <v>120000</v>
      </c>
      <c r="V398" s="454" t="s">
        <v>51</v>
      </c>
      <c r="W398" s="448" t="s">
        <v>574</v>
      </c>
      <c r="X398" s="448" t="s">
        <v>51</v>
      </c>
      <c r="Y398" s="448" t="s">
        <v>51</v>
      </c>
      <c r="Z398" s="448" t="s">
        <v>487</v>
      </c>
      <c r="AA398" s="448" t="s">
        <v>62</v>
      </c>
      <c r="AB398" s="448" t="s">
        <v>62</v>
      </c>
      <c r="AC398" s="448" t="s">
        <v>61</v>
      </c>
      <c r="AD398" s="447"/>
      <c r="AE398" s="447"/>
      <c r="AF398" s="447"/>
      <c r="AG398" s="447"/>
      <c r="AH398" s="447"/>
      <c r="AI398" s="447"/>
      <c r="AJ398" s="447"/>
      <c r="AK398" s="447"/>
      <c r="AL398" s="447"/>
      <c r="AM398" s="447"/>
      <c r="AN398" s="447"/>
      <c r="AO398" s="447"/>
      <c r="AP398" s="447"/>
      <c r="AQ398" s="447"/>
      <c r="AR398" s="447"/>
      <c r="AS398" s="447"/>
      <c r="AT398" s="447"/>
      <c r="AU398" s="447"/>
      <c r="AV398" s="447"/>
      <c r="AW398" s="447"/>
      <c r="AX398" s="447"/>
      <c r="AY398" s="447"/>
      <c r="AZ398" s="447"/>
      <c r="BA398" s="448" t="s">
        <v>51</v>
      </c>
      <c r="BB398" s="448" t="s">
        <v>51</v>
      </c>
      <c r="BC398" s="447"/>
      <c r="BD398" s="448" t="s">
        <v>575</v>
      </c>
      <c r="BE398" s="447">
        <v>338</v>
      </c>
    </row>
    <row r="399" spans="1:57" ht="30" customHeight="1">
      <c r="A399" s="443" t="s">
        <v>547</v>
      </c>
      <c r="B399" s="444" t="s">
        <v>4612</v>
      </c>
      <c r="C399" s="464" t="s">
        <v>2568</v>
      </c>
      <c r="D399" s="1133">
        <v>2</v>
      </c>
      <c r="E399" s="445">
        <f>'1층전시실산출'!H408</f>
        <v>2</v>
      </c>
      <c r="F399" s="1147">
        <v>18000</v>
      </c>
      <c r="G399" s="1147">
        <v>36000</v>
      </c>
      <c r="H399" s="450">
        <f>단가대비표!O172</f>
        <v>18000</v>
      </c>
      <c r="I399" s="450">
        <f t="shared" si="56"/>
        <v>36000</v>
      </c>
      <c r="J399" s="1147"/>
      <c r="K399" s="1147">
        <v>0</v>
      </c>
      <c r="L399" s="450"/>
      <c r="M399" s="450">
        <f t="shared" si="57"/>
        <v>0</v>
      </c>
      <c r="N399" s="1147"/>
      <c r="O399" s="1147">
        <v>0</v>
      </c>
      <c r="P399" s="450"/>
      <c r="Q399" s="450">
        <f t="shared" si="55"/>
        <v>0</v>
      </c>
      <c r="R399" s="1147">
        <v>18000</v>
      </c>
      <c r="S399" s="1147">
        <v>36000</v>
      </c>
      <c r="T399" s="450">
        <f t="shared" si="53"/>
        <v>18000</v>
      </c>
      <c r="U399" s="450">
        <f t="shared" si="54"/>
        <v>36000</v>
      </c>
      <c r="V399" s="454" t="s">
        <v>51</v>
      </c>
      <c r="W399" s="448" t="s">
        <v>574</v>
      </c>
      <c r="X399" s="448" t="s">
        <v>51</v>
      </c>
      <c r="Y399" s="448" t="s">
        <v>51</v>
      </c>
      <c r="Z399" s="448" t="s">
        <v>487</v>
      </c>
      <c r="AA399" s="448" t="s">
        <v>62</v>
      </c>
      <c r="AB399" s="448" t="s">
        <v>62</v>
      </c>
      <c r="AC399" s="448" t="s">
        <v>61</v>
      </c>
      <c r="AD399" s="447"/>
      <c r="AE399" s="447"/>
      <c r="AF399" s="447"/>
      <c r="AG399" s="447"/>
      <c r="AH399" s="447"/>
      <c r="AI399" s="447"/>
      <c r="AJ399" s="447"/>
      <c r="AK399" s="447"/>
      <c r="AL399" s="447"/>
      <c r="AM399" s="447"/>
      <c r="AN399" s="447"/>
      <c r="AO399" s="447"/>
      <c r="AP399" s="447"/>
      <c r="AQ399" s="447"/>
      <c r="AR399" s="447"/>
      <c r="AS399" s="447"/>
      <c r="AT399" s="447"/>
      <c r="AU399" s="447"/>
      <c r="AV399" s="447"/>
      <c r="AW399" s="447"/>
      <c r="AX399" s="447"/>
      <c r="AY399" s="447"/>
      <c r="AZ399" s="447"/>
      <c r="BA399" s="448" t="s">
        <v>51</v>
      </c>
      <c r="BB399" s="448" t="s">
        <v>51</v>
      </c>
      <c r="BC399" s="447"/>
      <c r="BD399" s="448" t="s">
        <v>575</v>
      </c>
      <c r="BE399" s="447">
        <v>338</v>
      </c>
    </row>
    <row r="400" spans="1:57" ht="30" customHeight="1">
      <c r="A400" s="443" t="s">
        <v>547</v>
      </c>
      <c r="B400" s="444" t="s">
        <v>4588</v>
      </c>
      <c r="C400" s="464" t="s">
        <v>2568</v>
      </c>
      <c r="D400" s="1133">
        <v>6</v>
      </c>
      <c r="E400" s="445">
        <f>'1층전시실산출'!H409</f>
        <v>6</v>
      </c>
      <c r="F400" s="1147">
        <v>20000</v>
      </c>
      <c r="G400" s="1147">
        <v>120000</v>
      </c>
      <c r="H400" s="450">
        <f>단가대비표!O173</f>
        <v>20000</v>
      </c>
      <c r="I400" s="450">
        <f t="shared" si="56"/>
        <v>120000</v>
      </c>
      <c r="J400" s="1147"/>
      <c r="K400" s="1147">
        <v>0</v>
      </c>
      <c r="L400" s="450"/>
      <c r="M400" s="450">
        <f t="shared" si="57"/>
        <v>0</v>
      </c>
      <c r="N400" s="1147"/>
      <c r="O400" s="1147">
        <v>0</v>
      </c>
      <c r="P400" s="450"/>
      <c r="Q400" s="450">
        <f t="shared" si="55"/>
        <v>0</v>
      </c>
      <c r="R400" s="1147">
        <v>20000</v>
      </c>
      <c r="S400" s="1147">
        <v>120000</v>
      </c>
      <c r="T400" s="450">
        <f t="shared" si="53"/>
        <v>20000</v>
      </c>
      <c r="U400" s="450">
        <f t="shared" si="54"/>
        <v>120000</v>
      </c>
      <c r="V400" s="454" t="s">
        <v>51</v>
      </c>
      <c r="W400" s="448" t="s">
        <v>574</v>
      </c>
      <c r="X400" s="448" t="s">
        <v>51</v>
      </c>
      <c r="Y400" s="448" t="s">
        <v>51</v>
      </c>
      <c r="Z400" s="448" t="s">
        <v>487</v>
      </c>
      <c r="AA400" s="448" t="s">
        <v>62</v>
      </c>
      <c r="AB400" s="448" t="s">
        <v>62</v>
      </c>
      <c r="AC400" s="448" t="s">
        <v>61</v>
      </c>
      <c r="AD400" s="447"/>
      <c r="AE400" s="447"/>
      <c r="AF400" s="447"/>
      <c r="AG400" s="447"/>
      <c r="AH400" s="447"/>
      <c r="AI400" s="447"/>
      <c r="AJ400" s="447"/>
      <c r="AK400" s="447"/>
      <c r="AL400" s="447"/>
      <c r="AM400" s="447"/>
      <c r="AN400" s="447"/>
      <c r="AO400" s="447"/>
      <c r="AP400" s="447"/>
      <c r="AQ400" s="447"/>
      <c r="AR400" s="447"/>
      <c r="AS400" s="447"/>
      <c r="AT400" s="447"/>
      <c r="AU400" s="447"/>
      <c r="AV400" s="447"/>
      <c r="AW400" s="447"/>
      <c r="AX400" s="447"/>
      <c r="AY400" s="447"/>
      <c r="AZ400" s="447"/>
      <c r="BA400" s="448" t="s">
        <v>51</v>
      </c>
      <c r="BB400" s="448" t="s">
        <v>51</v>
      </c>
      <c r="BC400" s="447"/>
      <c r="BD400" s="448" t="s">
        <v>575</v>
      </c>
      <c r="BE400" s="447">
        <v>338</v>
      </c>
    </row>
    <row r="401" spans="1:57" ht="30" customHeight="1">
      <c r="A401" s="443" t="s">
        <v>3259</v>
      </c>
      <c r="B401" s="444" t="s">
        <v>4613</v>
      </c>
      <c r="C401" s="464" t="s">
        <v>2568</v>
      </c>
      <c r="D401" s="1133">
        <v>2</v>
      </c>
      <c r="E401" s="445">
        <f>'1층전시실산출'!H410</f>
        <v>2</v>
      </c>
      <c r="F401" s="1147">
        <v>150000</v>
      </c>
      <c r="G401" s="1147">
        <v>300000</v>
      </c>
      <c r="H401" s="450">
        <f>단가대비표!O174</f>
        <v>150000</v>
      </c>
      <c r="I401" s="450">
        <f t="shared" si="56"/>
        <v>300000</v>
      </c>
      <c r="J401" s="1147"/>
      <c r="K401" s="1147">
        <v>0</v>
      </c>
      <c r="L401" s="450"/>
      <c r="M401" s="450">
        <f t="shared" si="57"/>
        <v>0</v>
      </c>
      <c r="N401" s="1147"/>
      <c r="O401" s="1147">
        <v>0</v>
      </c>
      <c r="P401" s="450"/>
      <c r="Q401" s="450">
        <f t="shared" si="55"/>
        <v>0</v>
      </c>
      <c r="R401" s="1147">
        <v>150000</v>
      </c>
      <c r="S401" s="1147">
        <v>300000</v>
      </c>
      <c r="T401" s="450">
        <f t="shared" si="53"/>
        <v>150000</v>
      </c>
      <c r="U401" s="450">
        <f t="shared" si="54"/>
        <v>300000</v>
      </c>
      <c r="V401" s="454" t="s">
        <v>51</v>
      </c>
      <c r="W401" s="448" t="s">
        <v>574</v>
      </c>
      <c r="X401" s="448" t="s">
        <v>51</v>
      </c>
      <c r="Y401" s="448" t="s">
        <v>51</v>
      </c>
      <c r="Z401" s="448" t="s">
        <v>487</v>
      </c>
      <c r="AA401" s="448" t="s">
        <v>62</v>
      </c>
      <c r="AB401" s="448" t="s">
        <v>62</v>
      </c>
      <c r="AC401" s="448" t="s">
        <v>61</v>
      </c>
      <c r="AD401" s="447"/>
      <c r="AE401" s="447"/>
      <c r="AF401" s="447"/>
      <c r="AG401" s="447"/>
      <c r="AH401" s="447"/>
      <c r="AI401" s="447"/>
      <c r="AJ401" s="447"/>
      <c r="AK401" s="447"/>
      <c r="AL401" s="447"/>
      <c r="AM401" s="447"/>
      <c r="AN401" s="447"/>
      <c r="AO401" s="447"/>
      <c r="AP401" s="447"/>
      <c r="AQ401" s="447"/>
      <c r="AR401" s="447"/>
      <c r="AS401" s="447"/>
      <c r="AT401" s="447"/>
      <c r="AU401" s="447"/>
      <c r="AV401" s="447"/>
      <c r="AW401" s="447"/>
      <c r="AX401" s="447"/>
      <c r="AY401" s="447"/>
      <c r="AZ401" s="447"/>
      <c r="BA401" s="448" t="s">
        <v>51</v>
      </c>
      <c r="BB401" s="448" t="s">
        <v>51</v>
      </c>
      <c r="BC401" s="447"/>
      <c r="BD401" s="448" t="s">
        <v>575</v>
      </c>
      <c r="BE401" s="447">
        <v>338</v>
      </c>
    </row>
    <row r="402" spans="1:57" ht="30" customHeight="1">
      <c r="A402" s="443" t="s">
        <v>3259</v>
      </c>
      <c r="B402" s="444" t="s">
        <v>4614</v>
      </c>
      <c r="C402" s="464" t="s">
        <v>2568</v>
      </c>
      <c r="D402" s="1133">
        <v>1</v>
      </c>
      <c r="E402" s="445">
        <f>'1층전시실산출'!H411</f>
        <v>1</v>
      </c>
      <c r="F402" s="1147">
        <v>340000</v>
      </c>
      <c r="G402" s="1147">
        <v>340000</v>
      </c>
      <c r="H402" s="450">
        <f>단가대비표!O175</f>
        <v>340000</v>
      </c>
      <c r="I402" s="450">
        <f t="shared" si="56"/>
        <v>340000</v>
      </c>
      <c r="J402" s="1147"/>
      <c r="K402" s="1147">
        <v>0</v>
      </c>
      <c r="L402" s="450"/>
      <c r="M402" s="450">
        <f t="shared" si="57"/>
        <v>0</v>
      </c>
      <c r="N402" s="1147"/>
      <c r="O402" s="1147">
        <v>0</v>
      </c>
      <c r="P402" s="450"/>
      <c r="Q402" s="450">
        <f t="shared" ref="Q402:Q418" si="58">TRUNC(P402*E402, 0)</f>
        <v>0</v>
      </c>
      <c r="R402" s="1147">
        <v>340000</v>
      </c>
      <c r="S402" s="1147">
        <v>340000</v>
      </c>
      <c r="T402" s="450">
        <f t="shared" si="53"/>
        <v>340000</v>
      </c>
      <c r="U402" s="450">
        <f t="shared" si="54"/>
        <v>340000</v>
      </c>
      <c r="V402" s="454" t="s">
        <v>51</v>
      </c>
      <c r="W402" s="448" t="s">
        <v>574</v>
      </c>
      <c r="X402" s="448" t="s">
        <v>51</v>
      </c>
      <c r="Y402" s="448" t="s">
        <v>51</v>
      </c>
      <c r="Z402" s="448" t="s">
        <v>487</v>
      </c>
      <c r="AA402" s="448" t="s">
        <v>62</v>
      </c>
      <c r="AB402" s="448" t="s">
        <v>62</v>
      </c>
      <c r="AC402" s="448" t="s">
        <v>61</v>
      </c>
      <c r="AD402" s="447"/>
      <c r="AE402" s="447"/>
      <c r="AF402" s="447"/>
      <c r="AG402" s="447"/>
      <c r="AH402" s="447"/>
      <c r="AI402" s="447"/>
      <c r="AJ402" s="447"/>
      <c r="AK402" s="447"/>
      <c r="AL402" s="447"/>
      <c r="AM402" s="447"/>
      <c r="AN402" s="447"/>
      <c r="AO402" s="447"/>
      <c r="AP402" s="447"/>
      <c r="AQ402" s="447"/>
      <c r="AR402" s="447"/>
      <c r="AS402" s="447"/>
      <c r="AT402" s="447"/>
      <c r="AU402" s="447"/>
      <c r="AV402" s="447"/>
      <c r="AW402" s="447"/>
      <c r="AX402" s="447"/>
      <c r="AY402" s="447"/>
      <c r="AZ402" s="447"/>
      <c r="BA402" s="448" t="s">
        <v>51</v>
      </c>
      <c r="BB402" s="448" t="s">
        <v>51</v>
      </c>
      <c r="BC402" s="447"/>
      <c r="BD402" s="448" t="s">
        <v>575</v>
      </c>
      <c r="BE402" s="447">
        <v>338</v>
      </c>
    </row>
    <row r="403" spans="1:57" ht="30" customHeight="1">
      <c r="A403" s="443" t="s">
        <v>3262</v>
      </c>
      <c r="B403" s="444" t="s">
        <v>4615</v>
      </c>
      <c r="C403" s="464" t="s">
        <v>2568</v>
      </c>
      <c r="D403" s="1133">
        <v>1</v>
      </c>
      <c r="E403" s="445">
        <f>'1층전시실산출'!H412</f>
        <v>1</v>
      </c>
      <c r="F403" s="1147">
        <v>25000</v>
      </c>
      <c r="G403" s="1147">
        <v>25000</v>
      </c>
      <c r="H403" s="450">
        <f>단가대비표!O176</f>
        <v>25000</v>
      </c>
      <c r="I403" s="450">
        <f t="shared" si="56"/>
        <v>25000</v>
      </c>
      <c r="J403" s="1147"/>
      <c r="K403" s="1147">
        <v>0</v>
      </c>
      <c r="L403" s="450"/>
      <c r="M403" s="450">
        <f t="shared" si="57"/>
        <v>0</v>
      </c>
      <c r="N403" s="1147"/>
      <c r="O403" s="1147">
        <v>0</v>
      </c>
      <c r="P403" s="450"/>
      <c r="Q403" s="450">
        <f t="shared" si="58"/>
        <v>0</v>
      </c>
      <c r="R403" s="1147">
        <v>25000</v>
      </c>
      <c r="S403" s="1147">
        <v>25000</v>
      </c>
      <c r="T403" s="450">
        <f t="shared" si="53"/>
        <v>25000</v>
      </c>
      <c r="U403" s="450">
        <f t="shared" si="54"/>
        <v>25000</v>
      </c>
      <c r="V403" s="454" t="s">
        <v>51</v>
      </c>
      <c r="W403" s="448" t="s">
        <v>574</v>
      </c>
      <c r="X403" s="448" t="s">
        <v>51</v>
      </c>
      <c r="Y403" s="448" t="s">
        <v>51</v>
      </c>
      <c r="Z403" s="448" t="s">
        <v>487</v>
      </c>
      <c r="AA403" s="448" t="s">
        <v>62</v>
      </c>
      <c r="AB403" s="448" t="s">
        <v>62</v>
      </c>
      <c r="AC403" s="448" t="s">
        <v>61</v>
      </c>
      <c r="AD403" s="447"/>
      <c r="AE403" s="447"/>
      <c r="AF403" s="447"/>
      <c r="AG403" s="447"/>
      <c r="AH403" s="447"/>
      <c r="AI403" s="447"/>
      <c r="AJ403" s="447"/>
      <c r="AK403" s="447"/>
      <c r="AL403" s="447"/>
      <c r="AM403" s="447"/>
      <c r="AN403" s="447"/>
      <c r="AO403" s="447"/>
      <c r="AP403" s="447"/>
      <c r="AQ403" s="447"/>
      <c r="AR403" s="447"/>
      <c r="AS403" s="447"/>
      <c r="AT403" s="447"/>
      <c r="AU403" s="447"/>
      <c r="AV403" s="447"/>
      <c r="AW403" s="447"/>
      <c r="AX403" s="447"/>
      <c r="AY403" s="447"/>
      <c r="AZ403" s="447"/>
      <c r="BA403" s="448" t="s">
        <v>51</v>
      </c>
      <c r="BB403" s="448" t="s">
        <v>51</v>
      </c>
      <c r="BC403" s="447"/>
      <c r="BD403" s="448" t="s">
        <v>575</v>
      </c>
      <c r="BE403" s="447">
        <v>338</v>
      </c>
    </row>
    <row r="404" spans="1:57" ht="30" customHeight="1">
      <c r="A404" s="443" t="s">
        <v>3262</v>
      </c>
      <c r="B404" s="444" t="s">
        <v>4616</v>
      </c>
      <c r="C404" s="464" t="s">
        <v>2568</v>
      </c>
      <c r="D404" s="1133">
        <v>1</v>
      </c>
      <c r="E404" s="445">
        <f>'1층전시실산출'!H413</f>
        <v>1</v>
      </c>
      <c r="F404" s="1147">
        <v>20000</v>
      </c>
      <c r="G404" s="1147">
        <v>20000</v>
      </c>
      <c r="H404" s="450">
        <f>단가대비표!O177</f>
        <v>20000</v>
      </c>
      <c r="I404" s="450">
        <f t="shared" si="56"/>
        <v>20000</v>
      </c>
      <c r="J404" s="1147"/>
      <c r="K404" s="1147">
        <v>0</v>
      </c>
      <c r="L404" s="450"/>
      <c r="M404" s="450">
        <f t="shared" si="57"/>
        <v>0</v>
      </c>
      <c r="N404" s="1147"/>
      <c r="O404" s="1147">
        <v>0</v>
      </c>
      <c r="P404" s="450"/>
      <c r="Q404" s="450">
        <f t="shared" si="58"/>
        <v>0</v>
      </c>
      <c r="R404" s="1147">
        <v>20000</v>
      </c>
      <c r="S404" s="1147">
        <v>20000</v>
      </c>
      <c r="T404" s="450">
        <f t="shared" si="53"/>
        <v>20000</v>
      </c>
      <c r="U404" s="450">
        <f t="shared" si="54"/>
        <v>20000</v>
      </c>
      <c r="V404" s="454" t="s">
        <v>51</v>
      </c>
      <c r="W404" s="448" t="s">
        <v>574</v>
      </c>
      <c r="X404" s="448" t="s">
        <v>51</v>
      </c>
      <c r="Y404" s="448" t="s">
        <v>51</v>
      </c>
      <c r="Z404" s="448" t="s">
        <v>487</v>
      </c>
      <c r="AA404" s="448" t="s">
        <v>62</v>
      </c>
      <c r="AB404" s="448" t="s">
        <v>62</v>
      </c>
      <c r="AC404" s="448" t="s">
        <v>61</v>
      </c>
      <c r="AD404" s="447"/>
      <c r="AE404" s="447"/>
      <c r="AF404" s="447"/>
      <c r="AG404" s="447"/>
      <c r="AH404" s="447"/>
      <c r="AI404" s="447"/>
      <c r="AJ404" s="447"/>
      <c r="AK404" s="447"/>
      <c r="AL404" s="447"/>
      <c r="AM404" s="447"/>
      <c r="AN404" s="447"/>
      <c r="AO404" s="447"/>
      <c r="AP404" s="447"/>
      <c r="AQ404" s="447"/>
      <c r="AR404" s="447"/>
      <c r="AS404" s="447"/>
      <c r="AT404" s="447"/>
      <c r="AU404" s="447"/>
      <c r="AV404" s="447"/>
      <c r="AW404" s="447"/>
      <c r="AX404" s="447"/>
      <c r="AY404" s="447"/>
      <c r="AZ404" s="447"/>
      <c r="BA404" s="448" t="s">
        <v>51</v>
      </c>
      <c r="BB404" s="448" t="s">
        <v>51</v>
      </c>
      <c r="BC404" s="447"/>
      <c r="BD404" s="448" t="s">
        <v>575</v>
      </c>
      <c r="BE404" s="447">
        <v>338</v>
      </c>
    </row>
    <row r="405" spans="1:57" ht="30" customHeight="1">
      <c r="A405" s="443" t="s">
        <v>3262</v>
      </c>
      <c r="B405" s="444" t="s">
        <v>4617</v>
      </c>
      <c r="C405" s="464" t="s">
        <v>2568</v>
      </c>
      <c r="D405" s="1133">
        <v>1</v>
      </c>
      <c r="E405" s="445">
        <f>'1층전시실산출'!H414</f>
        <v>1</v>
      </c>
      <c r="F405" s="1147">
        <v>120000</v>
      </c>
      <c r="G405" s="1147">
        <v>120000</v>
      </c>
      <c r="H405" s="450">
        <f>단가대비표!O178</f>
        <v>120000</v>
      </c>
      <c r="I405" s="450">
        <f t="shared" si="56"/>
        <v>120000</v>
      </c>
      <c r="J405" s="1147"/>
      <c r="K405" s="1147">
        <v>0</v>
      </c>
      <c r="L405" s="450"/>
      <c r="M405" s="450">
        <f t="shared" si="57"/>
        <v>0</v>
      </c>
      <c r="N405" s="1147"/>
      <c r="O405" s="1147">
        <v>0</v>
      </c>
      <c r="P405" s="450"/>
      <c r="Q405" s="450">
        <f t="shared" si="58"/>
        <v>0</v>
      </c>
      <c r="R405" s="1147">
        <v>120000</v>
      </c>
      <c r="S405" s="1147">
        <v>120000</v>
      </c>
      <c r="T405" s="450">
        <f t="shared" si="53"/>
        <v>120000</v>
      </c>
      <c r="U405" s="450">
        <f t="shared" si="54"/>
        <v>120000</v>
      </c>
      <c r="V405" s="454" t="s">
        <v>51</v>
      </c>
      <c r="W405" s="448" t="s">
        <v>574</v>
      </c>
      <c r="X405" s="448" t="s">
        <v>51</v>
      </c>
      <c r="Y405" s="448" t="s">
        <v>51</v>
      </c>
      <c r="Z405" s="448" t="s">
        <v>487</v>
      </c>
      <c r="AA405" s="448" t="s">
        <v>62</v>
      </c>
      <c r="AB405" s="448" t="s">
        <v>62</v>
      </c>
      <c r="AC405" s="448" t="s">
        <v>61</v>
      </c>
      <c r="AD405" s="447"/>
      <c r="AE405" s="447"/>
      <c r="AF405" s="447"/>
      <c r="AG405" s="447"/>
      <c r="AH405" s="447"/>
      <c r="AI405" s="447"/>
      <c r="AJ405" s="447"/>
      <c r="AK405" s="447"/>
      <c r="AL405" s="447"/>
      <c r="AM405" s="447"/>
      <c r="AN405" s="447"/>
      <c r="AO405" s="447"/>
      <c r="AP405" s="447"/>
      <c r="AQ405" s="447"/>
      <c r="AR405" s="447"/>
      <c r="AS405" s="447"/>
      <c r="AT405" s="447"/>
      <c r="AU405" s="447"/>
      <c r="AV405" s="447"/>
      <c r="AW405" s="447"/>
      <c r="AX405" s="447"/>
      <c r="AY405" s="447"/>
      <c r="AZ405" s="447"/>
      <c r="BA405" s="448" t="s">
        <v>51</v>
      </c>
      <c r="BB405" s="448" t="s">
        <v>51</v>
      </c>
      <c r="BC405" s="447"/>
      <c r="BD405" s="448" t="s">
        <v>575</v>
      </c>
      <c r="BE405" s="447">
        <v>338</v>
      </c>
    </row>
    <row r="406" spans="1:57" ht="30" customHeight="1">
      <c r="A406" s="443" t="s">
        <v>3262</v>
      </c>
      <c r="B406" s="444" t="s">
        <v>4618</v>
      </c>
      <c r="C406" s="464" t="s">
        <v>2568</v>
      </c>
      <c r="D406" s="1133">
        <v>1</v>
      </c>
      <c r="E406" s="445">
        <f>'1층전시실산출'!H415</f>
        <v>1</v>
      </c>
      <c r="F406" s="1147">
        <v>100000</v>
      </c>
      <c r="G406" s="1147">
        <v>100000</v>
      </c>
      <c r="H406" s="450">
        <f>단가대비표!O179</f>
        <v>100000</v>
      </c>
      <c r="I406" s="450">
        <f t="shared" si="56"/>
        <v>100000</v>
      </c>
      <c r="J406" s="1147"/>
      <c r="K406" s="1147">
        <v>0</v>
      </c>
      <c r="L406" s="450"/>
      <c r="M406" s="450">
        <f t="shared" si="57"/>
        <v>0</v>
      </c>
      <c r="N406" s="1147"/>
      <c r="O406" s="1147">
        <v>0</v>
      </c>
      <c r="P406" s="450"/>
      <c r="Q406" s="450">
        <f t="shared" si="58"/>
        <v>0</v>
      </c>
      <c r="R406" s="1147">
        <v>100000</v>
      </c>
      <c r="S406" s="1147">
        <v>100000</v>
      </c>
      <c r="T406" s="450">
        <f t="shared" si="53"/>
        <v>100000</v>
      </c>
      <c r="U406" s="450">
        <f t="shared" si="54"/>
        <v>100000</v>
      </c>
      <c r="V406" s="454" t="s">
        <v>51</v>
      </c>
      <c r="W406" s="448" t="s">
        <v>574</v>
      </c>
      <c r="X406" s="448" t="s">
        <v>51</v>
      </c>
      <c r="Y406" s="448" t="s">
        <v>51</v>
      </c>
      <c r="Z406" s="448" t="s">
        <v>487</v>
      </c>
      <c r="AA406" s="448" t="s">
        <v>62</v>
      </c>
      <c r="AB406" s="448" t="s">
        <v>62</v>
      </c>
      <c r="AC406" s="448" t="s">
        <v>61</v>
      </c>
      <c r="AD406" s="447"/>
      <c r="AE406" s="447"/>
      <c r="AF406" s="447"/>
      <c r="AG406" s="447"/>
      <c r="AH406" s="447"/>
      <c r="AI406" s="447"/>
      <c r="AJ406" s="447"/>
      <c r="AK406" s="447"/>
      <c r="AL406" s="447"/>
      <c r="AM406" s="447"/>
      <c r="AN406" s="447"/>
      <c r="AO406" s="447"/>
      <c r="AP406" s="447"/>
      <c r="AQ406" s="447"/>
      <c r="AR406" s="447"/>
      <c r="AS406" s="447"/>
      <c r="AT406" s="447"/>
      <c r="AU406" s="447"/>
      <c r="AV406" s="447"/>
      <c r="AW406" s="447"/>
      <c r="AX406" s="447"/>
      <c r="AY406" s="447"/>
      <c r="AZ406" s="447"/>
      <c r="BA406" s="448" t="s">
        <v>51</v>
      </c>
      <c r="BB406" s="448" t="s">
        <v>51</v>
      </c>
      <c r="BC406" s="447"/>
      <c r="BD406" s="448" t="s">
        <v>575</v>
      </c>
      <c r="BE406" s="447">
        <v>338</v>
      </c>
    </row>
    <row r="407" spans="1:57" ht="30" customHeight="1">
      <c r="A407" s="443" t="s">
        <v>3262</v>
      </c>
      <c r="B407" s="444" t="s">
        <v>4619</v>
      </c>
      <c r="C407" s="464" t="s">
        <v>2568</v>
      </c>
      <c r="D407" s="1133">
        <v>1</v>
      </c>
      <c r="E407" s="445">
        <f>'1층전시실산출'!H416</f>
        <v>1</v>
      </c>
      <c r="F407" s="1147">
        <v>80000</v>
      </c>
      <c r="G407" s="1147">
        <v>80000</v>
      </c>
      <c r="H407" s="450">
        <f>단가대비표!O180</f>
        <v>80000</v>
      </c>
      <c r="I407" s="450">
        <f t="shared" si="56"/>
        <v>80000</v>
      </c>
      <c r="J407" s="1147"/>
      <c r="K407" s="1147">
        <v>0</v>
      </c>
      <c r="L407" s="450"/>
      <c r="M407" s="450">
        <f t="shared" si="57"/>
        <v>0</v>
      </c>
      <c r="N407" s="1147"/>
      <c r="O407" s="1147">
        <v>0</v>
      </c>
      <c r="P407" s="450"/>
      <c r="Q407" s="450">
        <f t="shared" si="58"/>
        <v>0</v>
      </c>
      <c r="R407" s="1147">
        <v>80000</v>
      </c>
      <c r="S407" s="1147">
        <v>80000</v>
      </c>
      <c r="T407" s="450">
        <f t="shared" si="53"/>
        <v>80000</v>
      </c>
      <c r="U407" s="450">
        <f t="shared" si="54"/>
        <v>80000</v>
      </c>
      <c r="V407" s="454" t="s">
        <v>51</v>
      </c>
      <c r="W407" s="448" t="s">
        <v>574</v>
      </c>
      <c r="X407" s="448" t="s">
        <v>51</v>
      </c>
      <c r="Y407" s="448" t="s">
        <v>51</v>
      </c>
      <c r="Z407" s="448" t="s">
        <v>487</v>
      </c>
      <c r="AA407" s="448" t="s">
        <v>62</v>
      </c>
      <c r="AB407" s="448" t="s">
        <v>62</v>
      </c>
      <c r="AC407" s="448" t="s">
        <v>61</v>
      </c>
      <c r="AD407" s="447"/>
      <c r="AE407" s="447"/>
      <c r="AF407" s="447"/>
      <c r="AG407" s="447"/>
      <c r="AH407" s="447"/>
      <c r="AI407" s="447"/>
      <c r="AJ407" s="447"/>
      <c r="AK407" s="447"/>
      <c r="AL407" s="447"/>
      <c r="AM407" s="447"/>
      <c r="AN407" s="447"/>
      <c r="AO407" s="447"/>
      <c r="AP407" s="447"/>
      <c r="AQ407" s="447"/>
      <c r="AR407" s="447"/>
      <c r="AS407" s="447"/>
      <c r="AT407" s="447"/>
      <c r="AU407" s="447"/>
      <c r="AV407" s="447"/>
      <c r="AW407" s="447"/>
      <c r="AX407" s="447"/>
      <c r="AY407" s="447"/>
      <c r="AZ407" s="447"/>
      <c r="BA407" s="448" t="s">
        <v>51</v>
      </c>
      <c r="BB407" s="448" t="s">
        <v>51</v>
      </c>
      <c r="BC407" s="447"/>
      <c r="BD407" s="448" t="s">
        <v>575</v>
      </c>
      <c r="BE407" s="447">
        <v>338</v>
      </c>
    </row>
    <row r="408" spans="1:57" ht="30" customHeight="1">
      <c r="A408" s="443" t="s">
        <v>3262</v>
      </c>
      <c r="B408" s="444" t="s">
        <v>4620</v>
      </c>
      <c r="C408" s="464" t="s">
        <v>2568</v>
      </c>
      <c r="D408" s="1133">
        <v>4</v>
      </c>
      <c r="E408" s="445">
        <f>'1층전시실산출'!H417</f>
        <v>4</v>
      </c>
      <c r="F408" s="1147">
        <v>110000</v>
      </c>
      <c r="G408" s="1147">
        <v>440000</v>
      </c>
      <c r="H408" s="450">
        <f>단가대비표!O181</f>
        <v>110000</v>
      </c>
      <c r="I408" s="450">
        <f t="shared" si="56"/>
        <v>440000</v>
      </c>
      <c r="J408" s="1147"/>
      <c r="K408" s="1147">
        <v>0</v>
      </c>
      <c r="L408" s="450"/>
      <c r="M408" s="450">
        <f t="shared" si="57"/>
        <v>0</v>
      </c>
      <c r="N408" s="1147"/>
      <c r="O408" s="1147">
        <v>0</v>
      </c>
      <c r="P408" s="450"/>
      <c r="Q408" s="450">
        <f t="shared" si="58"/>
        <v>0</v>
      </c>
      <c r="R408" s="1147">
        <v>110000</v>
      </c>
      <c r="S408" s="1147">
        <v>440000</v>
      </c>
      <c r="T408" s="450">
        <f t="shared" si="53"/>
        <v>110000</v>
      </c>
      <c r="U408" s="450">
        <f t="shared" si="54"/>
        <v>440000</v>
      </c>
      <c r="V408" s="454" t="s">
        <v>51</v>
      </c>
      <c r="W408" s="448" t="s">
        <v>574</v>
      </c>
      <c r="X408" s="448" t="s">
        <v>51</v>
      </c>
      <c r="Y408" s="448" t="s">
        <v>51</v>
      </c>
      <c r="Z408" s="448" t="s">
        <v>487</v>
      </c>
      <c r="AA408" s="448" t="s">
        <v>62</v>
      </c>
      <c r="AB408" s="448" t="s">
        <v>62</v>
      </c>
      <c r="AC408" s="448" t="s">
        <v>61</v>
      </c>
      <c r="AD408" s="447"/>
      <c r="AE408" s="447"/>
      <c r="AF408" s="447"/>
      <c r="AG408" s="447"/>
      <c r="AH408" s="447"/>
      <c r="AI408" s="447"/>
      <c r="AJ408" s="447"/>
      <c r="AK408" s="447"/>
      <c r="AL408" s="447"/>
      <c r="AM408" s="447"/>
      <c r="AN408" s="447"/>
      <c r="AO408" s="447"/>
      <c r="AP408" s="447"/>
      <c r="AQ408" s="447"/>
      <c r="AR408" s="447"/>
      <c r="AS408" s="447"/>
      <c r="AT408" s="447"/>
      <c r="AU408" s="447"/>
      <c r="AV408" s="447"/>
      <c r="AW408" s="447"/>
      <c r="AX408" s="447"/>
      <c r="AY408" s="447"/>
      <c r="AZ408" s="447"/>
      <c r="BA408" s="448" t="s">
        <v>51</v>
      </c>
      <c r="BB408" s="448" t="s">
        <v>51</v>
      </c>
      <c r="BC408" s="447"/>
      <c r="BD408" s="448" t="s">
        <v>575</v>
      </c>
      <c r="BE408" s="447">
        <v>338</v>
      </c>
    </row>
    <row r="409" spans="1:57" ht="30" customHeight="1">
      <c r="A409" s="443" t="s">
        <v>3262</v>
      </c>
      <c r="B409" s="444" t="s">
        <v>4621</v>
      </c>
      <c r="C409" s="464" t="s">
        <v>2568</v>
      </c>
      <c r="D409" s="1133">
        <v>3</v>
      </c>
      <c r="E409" s="445">
        <f>'1층전시실산출'!H418</f>
        <v>3</v>
      </c>
      <c r="F409" s="1147">
        <v>80000</v>
      </c>
      <c r="G409" s="1147">
        <v>240000</v>
      </c>
      <c r="H409" s="450">
        <f>단가대비표!O182</f>
        <v>80000</v>
      </c>
      <c r="I409" s="450">
        <f t="shared" si="56"/>
        <v>240000</v>
      </c>
      <c r="J409" s="1147"/>
      <c r="K409" s="1147">
        <v>0</v>
      </c>
      <c r="L409" s="450"/>
      <c r="M409" s="450">
        <f t="shared" si="57"/>
        <v>0</v>
      </c>
      <c r="N409" s="1147"/>
      <c r="O409" s="1147">
        <v>0</v>
      </c>
      <c r="P409" s="450"/>
      <c r="Q409" s="450">
        <f t="shared" si="58"/>
        <v>0</v>
      </c>
      <c r="R409" s="1147">
        <v>80000</v>
      </c>
      <c r="S409" s="1147">
        <v>240000</v>
      </c>
      <c r="T409" s="450">
        <f t="shared" si="53"/>
        <v>80000</v>
      </c>
      <c r="U409" s="450">
        <f t="shared" si="54"/>
        <v>240000</v>
      </c>
      <c r="V409" s="454" t="s">
        <v>51</v>
      </c>
      <c r="W409" s="448" t="s">
        <v>574</v>
      </c>
      <c r="X409" s="448" t="s">
        <v>51</v>
      </c>
      <c r="Y409" s="448" t="s">
        <v>51</v>
      </c>
      <c r="Z409" s="448" t="s">
        <v>487</v>
      </c>
      <c r="AA409" s="448" t="s">
        <v>62</v>
      </c>
      <c r="AB409" s="448" t="s">
        <v>62</v>
      </c>
      <c r="AC409" s="448" t="s">
        <v>61</v>
      </c>
      <c r="AD409" s="447"/>
      <c r="AE409" s="447"/>
      <c r="AF409" s="447"/>
      <c r="AG409" s="447"/>
      <c r="AH409" s="447"/>
      <c r="AI409" s="447"/>
      <c r="AJ409" s="447"/>
      <c r="AK409" s="447"/>
      <c r="AL409" s="447"/>
      <c r="AM409" s="447"/>
      <c r="AN409" s="447"/>
      <c r="AO409" s="447"/>
      <c r="AP409" s="447"/>
      <c r="AQ409" s="447"/>
      <c r="AR409" s="447"/>
      <c r="AS409" s="447"/>
      <c r="AT409" s="447"/>
      <c r="AU409" s="447"/>
      <c r="AV409" s="447"/>
      <c r="AW409" s="447"/>
      <c r="AX409" s="447"/>
      <c r="AY409" s="447"/>
      <c r="AZ409" s="447"/>
      <c r="BA409" s="448" t="s">
        <v>51</v>
      </c>
      <c r="BB409" s="448" t="s">
        <v>51</v>
      </c>
      <c r="BC409" s="447"/>
      <c r="BD409" s="448" t="s">
        <v>575</v>
      </c>
      <c r="BE409" s="447">
        <v>338</v>
      </c>
    </row>
    <row r="410" spans="1:57" ht="30" customHeight="1">
      <c r="A410" s="443" t="s">
        <v>3262</v>
      </c>
      <c r="B410" s="444" t="s">
        <v>4622</v>
      </c>
      <c r="C410" s="464" t="s">
        <v>2568</v>
      </c>
      <c r="D410" s="1133">
        <v>2</v>
      </c>
      <c r="E410" s="445">
        <f>'1층전시실산출'!H419</f>
        <v>2</v>
      </c>
      <c r="F410" s="1147">
        <v>50000</v>
      </c>
      <c r="G410" s="1147">
        <v>100000</v>
      </c>
      <c r="H410" s="450">
        <f>단가대비표!O183</f>
        <v>50000</v>
      </c>
      <c r="I410" s="450">
        <f t="shared" si="56"/>
        <v>100000</v>
      </c>
      <c r="J410" s="1147"/>
      <c r="K410" s="1147">
        <v>0</v>
      </c>
      <c r="L410" s="450"/>
      <c r="M410" s="450">
        <f t="shared" si="57"/>
        <v>0</v>
      </c>
      <c r="N410" s="1147"/>
      <c r="O410" s="1147">
        <v>0</v>
      </c>
      <c r="P410" s="450"/>
      <c r="Q410" s="450">
        <f t="shared" si="58"/>
        <v>0</v>
      </c>
      <c r="R410" s="1147">
        <v>50000</v>
      </c>
      <c r="S410" s="1147">
        <v>100000</v>
      </c>
      <c r="T410" s="450">
        <f t="shared" si="53"/>
        <v>50000</v>
      </c>
      <c r="U410" s="450">
        <f t="shared" si="54"/>
        <v>100000</v>
      </c>
      <c r="V410" s="454" t="s">
        <v>51</v>
      </c>
      <c r="W410" s="448" t="s">
        <v>574</v>
      </c>
      <c r="X410" s="448" t="s">
        <v>51</v>
      </c>
      <c r="Y410" s="448" t="s">
        <v>51</v>
      </c>
      <c r="Z410" s="448" t="s">
        <v>487</v>
      </c>
      <c r="AA410" s="448" t="s">
        <v>62</v>
      </c>
      <c r="AB410" s="448" t="s">
        <v>62</v>
      </c>
      <c r="AC410" s="448" t="s">
        <v>61</v>
      </c>
      <c r="AD410" s="447"/>
      <c r="AE410" s="447"/>
      <c r="AF410" s="447"/>
      <c r="AG410" s="447"/>
      <c r="AH410" s="447"/>
      <c r="AI410" s="447"/>
      <c r="AJ410" s="447"/>
      <c r="AK410" s="447"/>
      <c r="AL410" s="447"/>
      <c r="AM410" s="447"/>
      <c r="AN410" s="447"/>
      <c r="AO410" s="447"/>
      <c r="AP410" s="447"/>
      <c r="AQ410" s="447"/>
      <c r="AR410" s="447"/>
      <c r="AS410" s="447"/>
      <c r="AT410" s="447"/>
      <c r="AU410" s="447"/>
      <c r="AV410" s="447"/>
      <c r="AW410" s="447"/>
      <c r="AX410" s="447"/>
      <c r="AY410" s="447"/>
      <c r="AZ410" s="447"/>
      <c r="BA410" s="448" t="s">
        <v>51</v>
      </c>
      <c r="BB410" s="448" t="s">
        <v>51</v>
      </c>
      <c r="BC410" s="447"/>
      <c r="BD410" s="448" t="s">
        <v>575</v>
      </c>
      <c r="BE410" s="447">
        <v>338</v>
      </c>
    </row>
    <row r="411" spans="1:57" ht="30" customHeight="1">
      <c r="A411" s="443" t="s">
        <v>3262</v>
      </c>
      <c r="B411" s="444" t="s">
        <v>4623</v>
      </c>
      <c r="C411" s="464" t="s">
        <v>2568</v>
      </c>
      <c r="D411" s="1133">
        <v>1</v>
      </c>
      <c r="E411" s="445">
        <f>'1층전시실산출'!H420</f>
        <v>1</v>
      </c>
      <c r="F411" s="1147">
        <v>140000</v>
      </c>
      <c r="G411" s="1147">
        <v>140000</v>
      </c>
      <c r="H411" s="450">
        <f>단가대비표!O184</f>
        <v>140000</v>
      </c>
      <c r="I411" s="450">
        <f t="shared" si="56"/>
        <v>140000</v>
      </c>
      <c r="J411" s="1147"/>
      <c r="K411" s="1147">
        <v>0</v>
      </c>
      <c r="L411" s="450"/>
      <c r="M411" s="450">
        <f t="shared" si="57"/>
        <v>0</v>
      </c>
      <c r="N411" s="1147"/>
      <c r="O411" s="1147">
        <v>0</v>
      </c>
      <c r="P411" s="450"/>
      <c r="Q411" s="450">
        <f t="shared" si="58"/>
        <v>0</v>
      </c>
      <c r="R411" s="1147">
        <v>140000</v>
      </c>
      <c r="S411" s="1147">
        <v>140000</v>
      </c>
      <c r="T411" s="450">
        <f t="shared" si="53"/>
        <v>140000</v>
      </c>
      <c r="U411" s="450">
        <f t="shared" si="54"/>
        <v>140000</v>
      </c>
      <c r="V411" s="454" t="s">
        <v>51</v>
      </c>
      <c r="W411" s="448" t="s">
        <v>574</v>
      </c>
      <c r="X411" s="448" t="s">
        <v>51</v>
      </c>
      <c r="Y411" s="448" t="s">
        <v>51</v>
      </c>
      <c r="Z411" s="448" t="s">
        <v>487</v>
      </c>
      <c r="AA411" s="448" t="s">
        <v>62</v>
      </c>
      <c r="AB411" s="448" t="s">
        <v>62</v>
      </c>
      <c r="AC411" s="448" t="s">
        <v>61</v>
      </c>
      <c r="AD411" s="447"/>
      <c r="AE411" s="447"/>
      <c r="AF411" s="447"/>
      <c r="AG411" s="447"/>
      <c r="AH411" s="447"/>
      <c r="AI411" s="447"/>
      <c r="AJ411" s="447"/>
      <c r="AK411" s="447"/>
      <c r="AL411" s="447"/>
      <c r="AM411" s="447"/>
      <c r="AN411" s="447"/>
      <c r="AO411" s="447"/>
      <c r="AP411" s="447"/>
      <c r="AQ411" s="447"/>
      <c r="AR411" s="447"/>
      <c r="AS411" s="447"/>
      <c r="AT411" s="447"/>
      <c r="AU411" s="447"/>
      <c r="AV411" s="447"/>
      <c r="AW411" s="447"/>
      <c r="AX411" s="447"/>
      <c r="AY411" s="447"/>
      <c r="AZ411" s="447"/>
      <c r="BA411" s="448" t="s">
        <v>51</v>
      </c>
      <c r="BB411" s="448" t="s">
        <v>51</v>
      </c>
      <c r="BC411" s="447"/>
      <c r="BD411" s="448" t="s">
        <v>575</v>
      </c>
      <c r="BE411" s="447">
        <v>338</v>
      </c>
    </row>
    <row r="412" spans="1:57" ht="30" customHeight="1">
      <c r="A412" s="443" t="s">
        <v>3272</v>
      </c>
      <c r="B412" s="444" t="s">
        <v>4624</v>
      </c>
      <c r="C412" s="464" t="s">
        <v>2568</v>
      </c>
      <c r="D412" s="1133">
        <v>1</v>
      </c>
      <c r="E412" s="445">
        <f>'1층전시실산출'!H421</f>
        <v>1</v>
      </c>
      <c r="F412" s="1147">
        <v>2800000</v>
      </c>
      <c r="G412" s="1147">
        <v>2800000</v>
      </c>
      <c r="H412" s="450">
        <f>단가대비표!O185</f>
        <v>2800000</v>
      </c>
      <c r="I412" s="450">
        <f t="shared" si="56"/>
        <v>2800000</v>
      </c>
      <c r="J412" s="1147"/>
      <c r="K412" s="1147">
        <v>0</v>
      </c>
      <c r="L412" s="450"/>
      <c r="M412" s="450">
        <f t="shared" si="57"/>
        <v>0</v>
      </c>
      <c r="N412" s="1147"/>
      <c r="O412" s="1147">
        <v>0</v>
      </c>
      <c r="P412" s="450"/>
      <c r="Q412" s="450">
        <f t="shared" si="58"/>
        <v>0</v>
      </c>
      <c r="R412" s="1147">
        <v>2800000</v>
      </c>
      <c r="S412" s="1147">
        <v>2800000</v>
      </c>
      <c r="T412" s="450">
        <f t="shared" si="53"/>
        <v>2800000</v>
      </c>
      <c r="U412" s="450">
        <f t="shared" si="54"/>
        <v>2800000</v>
      </c>
      <c r="V412" s="454" t="s">
        <v>51</v>
      </c>
      <c r="W412" s="448" t="s">
        <v>574</v>
      </c>
      <c r="X412" s="448" t="s">
        <v>51</v>
      </c>
      <c r="Y412" s="448" t="s">
        <v>51</v>
      </c>
      <c r="Z412" s="448" t="s">
        <v>487</v>
      </c>
      <c r="AA412" s="448" t="s">
        <v>62</v>
      </c>
      <c r="AB412" s="448" t="s">
        <v>62</v>
      </c>
      <c r="AC412" s="448" t="s">
        <v>61</v>
      </c>
      <c r="AD412" s="447"/>
      <c r="AE412" s="447"/>
      <c r="AF412" s="447"/>
      <c r="AG412" s="447"/>
      <c r="AH412" s="447"/>
      <c r="AI412" s="447"/>
      <c r="AJ412" s="447"/>
      <c r="AK412" s="447"/>
      <c r="AL412" s="447"/>
      <c r="AM412" s="447"/>
      <c r="AN412" s="447"/>
      <c r="AO412" s="447"/>
      <c r="AP412" s="447"/>
      <c r="AQ412" s="447"/>
      <c r="AR412" s="447"/>
      <c r="AS412" s="447"/>
      <c r="AT412" s="447"/>
      <c r="AU412" s="447"/>
      <c r="AV412" s="447"/>
      <c r="AW412" s="447"/>
      <c r="AX412" s="447"/>
      <c r="AY412" s="447"/>
      <c r="AZ412" s="447"/>
      <c r="BA412" s="448" t="s">
        <v>51</v>
      </c>
      <c r="BB412" s="448" t="s">
        <v>51</v>
      </c>
      <c r="BC412" s="447"/>
      <c r="BD412" s="448" t="s">
        <v>575</v>
      </c>
      <c r="BE412" s="447">
        <v>338</v>
      </c>
    </row>
    <row r="413" spans="1:57" ht="30" customHeight="1">
      <c r="A413" s="443" t="s">
        <v>3272</v>
      </c>
      <c r="B413" s="444" t="s">
        <v>4625</v>
      </c>
      <c r="C413" s="464" t="s">
        <v>2568</v>
      </c>
      <c r="D413" s="1133">
        <v>1</v>
      </c>
      <c r="E413" s="445">
        <f>'1층전시실산출'!H422</f>
        <v>1</v>
      </c>
      <c r="F413" s="1147">
        <v>1800000</v>
      </c>
      <c r="G413" s="1147">
        <v>1800000</v>
      </c>
      <c r="H413" s="450">
        <f>단가대비표!O186</f>
        <v>1800000</v>
      </c>
      <c r="I413" s="450">
        <f t="shared" si="56"/>
        <v>1800000</v>
      </c>
      <c r="J413" s="1147"/>
      <c r="K413" s="1147">
        <v>0</v>
      </c>
      <c r="L413" s="450"/>
      <c r="M413" s="450">
        <f t="shared" si="57"/>
        <v>0</v>
      </c>
      <c r="N413" s="1147"/>
      <c r="O413" s="1147">
        <v>0</v>
      </c>
      <c r="P413" s="450"/>
      <c r="Q413" s="450">
        <f t="shared" si="58"/>
        <v>0</v>
      </c>
      <c r="R413" s="1147">
        <v>1800000</v>
      </c>
      <c r="S413" s="1147">
        <v>1800000</v>
      </c>
      <c r="T413" s="450">
        <f t="shared" si="53"/>
        <v>1800000</v>
      </c>
      <c r="U413" s="450">
        <f t="shared" si="54"/>
        <v>1800000</v>
      </c>
      <c r="V413" s="454" t="s">
        <v>51</v>
      </c>
      <c r="W413" s="448" t="s">
        <v>574</v>
      </c>
      <c r="X413" s="448" t="s">
        <v>51</v>
      </c>
      <c r="Y413" s="448" t="s">
        <v>51</v>
      </c>
      <c r="Z413" s="448" t="s">
        <v>487</v>
      </c>
      <c r="AA413" s="448" t="s">
        <v>62</v>
      </c>
      <c r="AB413" s="448" t="s">
        <v>62</v>
      </c>
      <c r="AC413" s="448" t="s">
        <v>61</v>
      </c>
      <c r="AD413" s="447"/>
      <c r="AE413" s="447"/>
      <c r="AF413" s="447"/>
      <c r="AG413" s="447"/>
      <c r="AH413" s="447"/>
      <c r="AI413" s="447"/>
      <c r="AJ413" s="447"/>
      <c r="AK413" s="447"/>
      <c r="AL413" s="447"/>
      <c r="AM413" s="447"/>
      <c r="AN413" s="447"/>
      <c r="AO413" s="447"/>
      <c r="AP413" s="447"/>
      <c r="AQ413" s="447"/>
      <c r="AR413" s="447"/>
      <c r="AS413" s="447"/>
      <c r="AT413" s="447"/>
      <c r="AU413" s="447"/>
      <c r="AV413" s="447"/>
      <c r="AW413" s="447"/>
      <c r="AX413" s="447"/>
      <c r="AY413" s="447"/>
      <c r="AZ413" s="447"/>
      <c r="BA413" s="448" t="s">
        <v>51</v>
      </c>
      <c r="BB413" s="448" t="s">
        <v>51</v>
      </c>
      <c r="BC413" s="447"/>
      <c r="BD413" s="448" t="s">
        <v>575</v>
      </c>
      <c r="BE413" s="447">
        <v>338</v>
      </c>
    </row>
    <row r="414" spans="1:57" ht="30" customHeight="1">
      <c r="A414" s="443" t="s">
        <v>3273</v>
      </c>
      <c r="B414" s="444" t="s">
        <v>4626</v>
      </c>
      <c r="C414" s="464" t="s">
        <v>2568</v>
      </c>
      <c r="D414" s="1133">
        <v>6</v>
      </c>
      <c r="E414" s="445">
        <f>'1층전시실산출'!H423</f>
        <v>6</v>
      </c>
      <c r="F414" s="1147">
        <v>20000</v>
      </c>
      <c r="G414" s="1147">
        <v>120000</v>
      </c>
      <c r="H414" s="450">
        <f>단가대비표!O187</f>
        <v>20000</v>
      </c>
      <c r="I414" s="450">
        <f t="shared" ref="I414:I418" si="59">E414*H414</f>
        <v>120000</v>
      </c>
      <c r="J414" s="1147"/>
      <c r="K414" s="1147">
        <v>0</v>
      </c>
      <c r="L414" s="450"/>
      <c r="M414" s="450">
        <f t="shared" ref="M414:M418" si="60">E414*L414</f>
        <v>0</v>
      </c>
      <c r="N414" s="1147"/>
      <c r="O414" s="1147">
        <v>0</v>
      </c>
      <c r="P414" s="450"/>
      <c r="Q414" s="450">
        <f t="shared" si="58"/>
        <v>0</v>
      </c>
      <c r="R414" s="1147">
        <v>20000</v>
      </c>
      <c r="S414" s="1147">
        <v>120000</v>
      </c>
      <c r="T414" s="450">
        <f t="shared" ref="T414:T418" si="61">H414+L414+P414</f>
        <v>20000</v>
      </c>
      <c r="U414" s="450">
        <f t="shared" ref="U414:U418" si="62">I414+M414+Q414</f>
        <v>120000</v>
      </c>
      <c r="V414" s="454" t="s">
        <v>51</v>
      </c>
      <c r="W414" s="448" t="s">
        <v>574</v>
      </c>
      <c r="X414" s="448" t="s">
        <v>51</v>
      </c>
      <c r="Y414" s="448" t="s">
        <v>51</v>
      </c>
      <c r="Z414" s="448" t="s">
        <v>487</v>
      </c>
      <c r="AA414" s="448" t="s">
        <v>62</v>
      </c>
      <c r="AB414" s="448" t="s">
        <v>62</v>
      </c>
      <c r="AC414" s="448" t="s">
        <v>61</v>
      </c>
      <c r="AD414" s="447"/>
      <c r="AE414" s="447"/>
      <c r="AF414" s="447"/>
      <c r="AG414" s="447"/>
      <c r="AH414" s="447"/>
      <c r="AI414" s="447"/>
      <c r="AJ414" s="447"/>
      <c r="AK414" s="447"/>
      <c r="AL414" s="447"/>
      <c r="AM414" s="447"/>
      <c r="AN414" s="447"/>
      <c r="AO414" s="447"/>
      <c r="AP414" s="447"/>
      <c r="AQ414" s="447"/>
      <c r="AR414" s="447"/>
      <c r="AS414" s="447"/>
      <c r="AT414" s="447"/>
      <c r="AU414" s="447"/>
      <c r="AV414" s="447"/>
      <c r="AW414" s="447"/>
      <c r="AX414" s="447"/>
      <c r="AY414" s="447"/>
      <c r="AZ414" s="447"/>
      <c r="BA414" s="448" t="s">
        <v>51</v>
      </c>
      <c r="BB414" s="448" t="s">
        <v>51</v>
      </c>
      <c r="BC414" s="447"/>
      <c r="BD414" s="448" t="s">
        <v>575</v>
      </c>
      <c r="BE414" s="447">
        <v>338</v>
      </c>
    </row>
    <row r="415" spans="1:57" ht="30" customHeight="1">
      <c r="A415" s="443" t="s">
        <v>3273</v>
      </c>
      <c r="B415" s="444" t="s">
        <v>4627</v>
      </c>
      <c r="C415" s="464" t="s">
        <v>2568</v>
      </c>
      <c r="D415" s="1133">
        <v>5</v>
      </c>
      <c r="E415" s="445">
        <f>'1층전시실산출'!H424</f>
        <v>5</v>
      </c>
      <c r="F415" s="1147">
        <v>45000</v>
      </c>
      <c r="G415" s="1147">
        <v>225000</v>
      </c>
      <c r="H415" s="450">
        <f>단가대비표!O188</f>
        <v>45000</v>
      </c>
      <c r="I415" s="450">
        <f t="shared" si="59"/>
        <v>225000</v>
      </c>
      <c r="J415" s="1147"/>
      <c r="K415" s="1147">
        <v>0</v>
      </c>
      <c r="L415" s="450"/>
      <c r="M415" s="450">
        <f t="shared" si="60"/>
        <v>0</v>
      </c>
      <c r="N415" s="1147"/>
      <c r="O415" s="1147">
        <v>0</v>
      </c>
      <c r="P415" s="450"/>
      <c r="Q415" s="450">
        <f t="shared" si="58"/>
        <v>0</v>
      </c>
      <c r="R415" s="1147">
        <v>45000</v>
      </c>
      <c r="S415" s="1147">
        <v>225000</v>
      </c>
      <c r="T415" s="450">
        <f t="shared" si="61"/>
        <v>45000</v>
      </c>
      <c r="U415" s="450">
        <f t="shared" si="62"/>
        <v>225000</v>
      </c>
      <c r="V415" s="454" t="s">
        <v>51</v>
      </c>
      <c r="W415" s="448" t="s">
        <v>574</v>
      </c>
      <c r="X415" s="448" t="s">
        <v>51</v>
      </c>
      <c r="Y415" s="448" t="s">
        <v>51</v>
      </c>
      <c r="Z415" s="448" t="s">
        <v>487</v>
      </c>
      <c r="AA415" s="448" t="s">
        <v>62</v>
      </c>
      <c r="AB415" s="448" t="s">
        <v>62</v>
      </c>
      <c r="AC415" s="448" t="s">
        <v>61</v>
      </c>
      <c r="AD415" s="447"/>
      <c r="AE415" s="447"/>
      <c r="AF415" s="447"/>
      <c r="AG415" s="447"/>
      <c r="AH415" s="447"/>
      <c r="AI415" s="447"/>
      <c r="AJ415" s="447"/>
      <c r="AK415" s="447"/>
      <c r="AL415" s="447"/>
      <c r="AM415" s="447"/>
      <c r="AN415" s="447"/>
      <c r="AO415" s="447"/>
      <c r="AP415" s="447"/>
      <c r="AQ415" s="447"/>
      <c r="AR415" s="447"/>
      <c r="AS415" s="447"/>
      <c r="AT415" s="447"/>
      <c r="AU415" s="447"/>
      <c r="AV415" s="447"/>
      <c r="AW415" s="447"/>
      <c r="AX415" s="447"/>
      <c r="AY415" s="447"/>
      <c r="AZ415" s="447"/>
      <c r="BA415" s="448" t="s">
        <v>51</v>
      </c>
      <c r="BB415" s="448" t="s">
        <v>51</v>
      </c>
      <c r="BC415" s="447"/>
      <c r="BD415" s="448" t="s">
        <v>575</v>
      </c>
      <c r="BE415" s="447">
        <v>338</v>
      </c>
    </row>
    <row r="416" spans="1:57" ht="30" customHeight="1">
      <c r="A416" s="443" t="s">
        <v>3273</v>
      </c>
      <c r="B416" s="444" t="s">
        <v>4628</v>
      </c>
      <c r="C416" s="464" t="s">
        <v>2568</v>
      </c>
      <c r="D416" s="1133">
        <v>2</v>
      </c>
      <c r="E416" s="445">
        <f>'1층전시실산출'!H425</f>
        <v>2</v>
      </c>
      <c r="F416" s="1147">
        <v>12000</v>
      </c>
      <c r="G416" s="1147">
        <v>24000</v>
      </c>
      <c r="H416" s="450">
        <f>단가대비표!O189</f>
        <v>12000</v>
      </c>
      <c r="I416" s="450">
        <f t="shared" si="59"/>
        <v>24000</v>
      </c>
      <c r="J416" s="1147"/>
      <c r="K416" s="1147">
        <v>0</v>
      </c>
      <c r="L416" s="450"/>
      <c r="M416" s="450">
        <f t="shared" si="60"/>
        <v>0</v>
      </c>
      <c r="N416" s="1147"/>
      <c r="O416" s="1147">
        <v>0</v>
      </c>
      <c r="P416" s="450"/>
      <c r="Q416" s="450">
        <f t="shared" si="58"/>
        <v>0</v>
      </c>
      <c r="R416" s="1147">
        <v>12000</v>
      </c>
      <c r="S416" s="1147">
        <v>24000</v>
      </c>
      <c r="T416" s="450">
        <f t="shared" si="61"/>
        <v>12000</v>
      </c>
      <c r="U416" s="450">
        <f t="shared" si="62"/>
        <v>24000</v>
      </c>
      <c r="V416" s="454" t="s">
        <v>51</v>
      </c>
      <c r="W416" s="448" t="s">
        <v>574</v>
      </c>
      <c r="X416" s="448" t="s">
        <v>51</v>
      </c>
      <c r="Y416" s="448" t="s">
        <v>51</v>
      </c>
      <c r="Z416" s="448" t="s">
        <v>487</v>
      </c>
      <c r="AA416" s="448" t="s">
        <v>62</v>
      </c>
      <c r="AB416" s="448" t="s">
        <v>62</v>
      </c>
      <c r="AC416" s="448" t="s">
        <v>61</v>
      </c>
      <c r="AD416" s="447"/>
      <c r="AE416" s="447"/>
      <c r="AF416" s="447"/>
      <c r="AG416" s="447"/>
      <c r="AH416" s="447"/>
      <c r="AI416" s="447"/>
      <c r="AJ416" s="447"/>
      <c r="AK416" s="447"/>
      <c r="AL416" s="447"/>
      <c r="AM416" s="447"/>
      <c r="AN416" s="447"/>
      <c r="AO416" s="447"/>
      <c r="AP416" s="447"/>
      <c r="AQ416" s="447"/>
      <c r="AR416" s="447"/>
      <c r="AS416" s="447"/>
      <c r="AT416" s="447"/>
      <c r="AU416" s="447"/>
      <c r="AV416" s="447"/>
      <c r="AW416" s="447"/>
      <c r="AX416" s="447"/>
      <c r="AY416" s="447"/>
      <c r="AZ416" s="447"/>
      <c r="BA416" s="448" t="s">
        <v>51</v>
      </c>
      <c r="BB416" s="448" t="s">
        <v>51</v>
      </c>
      <c r="BC416" s="447"/>
      <c r="BD416" s="448" t="s">
        <v>575</v>
      </c>
      <c r="BE416" s="447">
        <v>338</v>
      </c>
    </row>
    <row r="417" spans="1:22" ht="30" customHeight="1">
      <c r="A417" s="443" t="s">
        <v>3273</v>
      </c>
      <c r="B417" s="444" t="s">
        <v>4629</v>
      </c>
      <c r="C417" s="464" t="s">
        <v>2568</v>
      </c>
      <c r="D417" s="1133">
        <v>3</v>
      </c>
      <c r="E417" s="445">
        <f>'1층전시실산출'!H426</f>
        <v>3</v>
      </c>
      <c r="F417" s="1147">
        <v>17000</v>
      </c>
      <c r="G417" s="1147">
        <v>51000</v>
      </c>
      <c r="H417" s="450">
        <f>단가대비표!O190</f>
        <v>17000</v>
      </c>
      <c r="I417" s="450">
        <f t="shared" si="59"/>
        <v>51000</v>
      </c>
      <c r="J417" s="1147"/>
      <c r="K417" s="1147">
        <v>0</v>
      </c>
      <c r="L417" s="450"/>
      <c r="M417" s="450">
        <f t="shared" si="60"/>
        <v>0</v>
      </c>
      <c r="N417" s="1147"/>
      <c r="O417" s="1147">
        <v>0</v>
      </c>
      <c r="P417" s="450"/>
      <c r="Q417" s="450">
        <f t="shared" si="58"/>
        <v>0</v>
      </c>
      <c r="R417" s="1147">
        <v>17000</v>
      </c>
      <c r="S417" s="1147">
        <v>51000</v>
      </c>
      <c r="T417" s="450">
        <f t="shared" si="61"/>
        <v>17000</v>
      </c>
      <c r="U417" s="450">
        <f t="shared" si="62"/>
        <v>51000</v>
      </c>
      <c r="V417" s="454" t="s">
        <v>51</v>
      </c>
    </row>
    <row r="418" spans="1:22" ht="30" customHeight="1">
      <c r="A418" s="443" t="s">
        <v>3280</v>
      </c>
      <c r="B418" s="444" t="s">
        <v>4630</v>
      </c>
      <c r="C418" s="464" t="s">
        <v>2568</v>
      </c>
      <c r="D418" s="1133">
        <v>9</v>
      </c>
      <c r="E418" s="445">
        <f>'1층전시실산출'!H427</f>
        <v>9</v>
      </c>
      <c r="F418" s="1147">
        <v>50000</v>
      </c>
      <c r="G418" s="1147">
        <v>450000</v>
      </c>
      <c r="H418" s="450">
        <f>단가대비표!O191</f>
        <v>50000</v>
      </c>
      <c r="I418" s="450">
        <f t="shared" si="59"/>
        <v>450000</v>
      </c>
      <c r="J418" s="1147"/>
      <c r="K418" s="1147">
        <v>0</v>
      </c>
      <c r="L418" s="450"/>
      <c r="M418" s="450">
        <f t="shared" si="60"/>
        <v>0</v>
      </c>
      <c r="N418" s="1147"/>
      <c r="O418" s="1147">
        <v>0</v>
      </c>
      <c r="P418" s="450"/>
      <c r="Q418" s="450">
        <f t="shared" si="58"/>
        <v>0</v>
      </c>
      <c r="R418" s="1147">
        <v>50000</v>
      </c>
      <c r="S418" s="1147">
        <v>450000</v>
      </c>
      <c r="T418" s="450">
        <f t="shared" si="61"/>
        <v>50000</v>
      </c>
      <c r="U418" s="450">
        <f t="shared" si="62"/>
        <v>450000</v>
      </c>
      <c r="V418" s="454" t="s">
        <v>51</v>
      </c>
    </row>
    <row r="419" spans="1:22" ht="30" customHeight="1">
      <c r="A419" s="464"/>
      <c r="B419" s="464"/>
      <c r="C419" s="464"/>
      <c r="D419" s="1133"/>
      <c r="E419" s="445"/>
      <c r="F419" s="1147"/>
      <c r="G419" s="1147"/>
      <c r="H419" s="450"/>
      <c r="I419" s="450"/>
      <c r="J419" s="1147"/>
      <c r="K419" s="1147"/>
      <c r="L419" s="450"/>
      <c r="M419" s="450"/>
      <c r="N419" s="1147"/>
      <c r="O419" s="1147"/>
      <c r="P419" s="450"/>
      <c r="Q419" s="450"/>
      <c r="R419" s="1147"/>
      <c r="S419" s="1147"/>
      <c r="T419" s="450"/>
      <c r="U419" s="450"/>
      <c r="V419" s="454"/>
    </row>
    <row r="420" spans="1:22" ht="30" customHeight="1">
      <c r="A420" s="464"/>
      <c r="B420" s="464"/>
      <c r="C420" s="464"/>
      <c r="D420" s="1133"/>
      <c r="E420" s="445"/>
      <c r="F420" s="1147"/>
      <c r="G420" s="1147"/>
      <c r="H420" s="450"/>
      <c r="I420" s="450"/>
      <c r="J420" s="1147"/>
      <c r="K420" s="1147"/>
      <c r="L420" s="450"/>
      <c r="M420" s="450"/>
      <c r="N420" s="1147"/>
      <c r="O420" s="1147"/>
      <c r="P420" s="450"/>
      <c r="Q420" s="450"/>
      <c r="R420" s="1147"/>
      <c r="S420" s="1147"/>
      <c r="T420" s="450"/>
      <c r="U420" s="450"/>
      <c r="V420" s="454"/>
    </row>
    <row r="421" spans="1:22" ht="30" customHeight="1">
      <c r="A421" s="464"/>
      <c r="B421" s="464"/>
      <c r="C421" s="464"/>
      <c r="D421" s="1133"/>
      <c r="E421" s="445"/>
      <c r="F421" s="1147"/>
      <c r="G421" s="1147"/>
      <c r="H421" s="450"/>
      <c r="I421" s="450"/>
      <c r="J421" s="1147"/>
      <c r="K421" s="1147"/>
      <c r="L421" s="450"/>
      <c r="M421" s="450"/>
      <c r="N421" s="1147"/>
      <c r="O421" s="1147"/>
      <c r="P421" s="450"/>
      <c r="Q421" s="450"/>
      <c r="R421" s="1147"/>
      <c r="S421" s="1147"/>
      <c r="T421" s="450"/>
      <c r="U421" s="450"/>
      <c r="V421" s="454"/>
    </row>
    <row r="422" spans="1:22" ht="30" customHeight="1">
      <c r="A422" s="464"/>
      <c r="B422" s="464"/>
      <c r="C422" s="464"/>
      <c r="D422" s="1133"/>
      <c r="E422" s="445"/>
      <c r="F422" s="1147"/>
      <c r="G422" s="1147"/>
      <c r="H422" s="450"/>
      <c r="I422" s="450"/>
      <c r="J422" s="1147"/>
      <c r="K422" s="1147"/>
      <c r="L422" s="450"/>
      <c r="M422" s="450"/>
      <c r="N422" s="1147"/>
      <c r="O422" s="1147"/>
      <c r="P422" s="450"/>
      <c r="Q422" s="450"/>
      <c r="R422" s="1147"/>
      <c r="S422" s="1147"/>
      <c r="T422" s="450"/>
      <c r="U422" s="450"/>
      <c r="V422" s="454"/>
    </row>
    <row r="423" spans="1:22" ht="30" customHeight="1">
      <c r="A423" s="464"/>
      <c r="B423" s="464"/>
      <c r="C423" s="464"/>
      <c r="D423" s="1133"/>
      <c r="E423" s="445"/>
      <c r="F423" s="1147"/>
      <c r="G423" s="1147"/>
      <c r="H423" s="450"/>
      <c r="I423" s="450"/>
      <c r="J423" s="1147"/>
      <c r="K423" s="1147"/>
      <c r="L423" s="450"/>
      <c r="M423" s="450"/>
      <c r="N423" s="1147"/>
      <c r="O423" s="1147"/>
      <c r="P423" s="450"/>
      <c r="Q423" s="450"/>
      <c r="R423" s="1147"/>
      <c r="S423" s="1147"/>
      <c r="T423" s="450"/>
      <c r="U423" s="450"/>
      <c r="V423" s="454"/>
    </row>
    <row r="424" spans="1:22" ht="30" customHeight="1">
      <c r="A424" s="464"/>
      <c r="B424" s="464"/>
      <c r="C424" s="464"/>
      <c r="D424" s="1133"/>
      <c r="E424" s="445"/>
      <c r="F424" s="1147"/>
      <c r="G424" s="1147"/>
      <c r="H424" s="450"/>
      <c r="I424" s="450"/>
      <c r="J424" s="1147"/>
      <c r="K424" s="1147"/>
      <c r="L424" s="450"/>
      <c r="M424" s="450"/>
      <c r="N424" s="1147"/>
      <c r="O424" s="1147"/>
      <c r="P424" s="450"/>
      <c r="Q424" s="450"/>
      <c r="R424" s="1147"/>
      <c r="S424" s="1147"/>
      <c r="T424" s="450"/>
      <c r="U424" s="450"/>
      <c r="V424" s="454"/>
    </row>
    <row r="425" spans="1:22" ht="30" customHeight="1">
      <c r="A425" s="464"/>
      <c r="B425" s="464"/>
      <c r="C425" s="464"/>
      <c r="D425" s="1133"/>
      <c r="E425" s="445"/>
      <c r="F425" s="1147"/>
      <c r="G425" s="1147"/>
      <c r="H425" s="450"/>
      <c r="I425" s="450"/>
      <c r="J425" s="1147"/>
      <c r="K425" s="1147"/>
      <c r="L425" s="450"/>
      <c r="M425" s="450"/>
      <c r="N425" s="1147"/>
      <c r="O425" s="1147"/>
      <c r="P425" s="450"/>
      <c r="Q425" s="450"/>
      <c r="R425" s="1147"/>
      <c r="S425" s="1147"/>
      <c r="T425" s="450"/>
      <c r="U425" s="450"/>
      <c r="V425" s="454"/>
    </row>
    <row r="426" spans="1:22" ht="30" customHeight="1">
      <c r="A426" s="464"/>
      <c r="B426" s="464"/>
      <c r="C426" s="464"/>
      <c r="D426" s="1133"/>
      <c r="E426" s="445"/>
      <c r="F426" s="1147"/>
      <c r="G426" s="1147"/>
      <c r="H426" s="450"/>
      <c r="I426" s="450"/>
      <c r="J426" s="1147"/>
      <c r="K426" s="1147"/>
      <c r="L426" s="450"/>
      <c r="M426" s="450"/>
      <c r="N426" s="1147"/>
      <c r="O426" s="1147"/>
      <c r="P426" s="450"/>
      <c r="Q426" s="450"/>
      <c r="R426" s="1147"/>
      <c r="S426" s="1147"/>
      <c r="T426" s="450"/>
      <c r="U426" s="450"/>
      <c r="V426" s="454"/>
    </row>
    <row r="427" spans="1:22" ht="30" customHeight="1">
      <c r="A427" s="464"/>
      <c r="B427" s="464"/>
      <c r="C427" s="464"/>
      <c r="D427" s="1133"/>
      <c r="E427" s="445"/>
      <c r="F427" s="1147"/>
      <c r="G427" s="1147"/>
      <c r="H427" s="450"/>
      <c r="I427" s="450"/>
      <c r="J427" s="1147"/>
      <c r="K427" s="1147"/>
      <c r="L427" s="450"/>
      <c r="M427" s="450"/>
      <c r="N427" s="1147"/>
      <c r="O427" s="1147"/>
      <c r="P427" s="450"/>
      <c r="Q427" s="450"/>
      <c r="R427" s="1147"/>
      <c r="S427" s="1147"/>
      <c r="T427" s="450"/>
      <c r="U427" s="450"/>
      <c r="V427" s="454"/>
    </row>
    <row r="428" spans="1:22" ht="30" customHeight="1">
      <c r="A428" s="464"/>
      <c r="B428" s="464"/>
      <c r="C428" s="464"/>
      <c r="D428" s="1133"/>
      <c r="E428" s="445"/>
      <c r="F428" s="1147"/>
      <c r="G428" s="1147"/>
      <c r="H428" s="450"/>
      <c r="I428" s="450"/>
      <c r="J428" s="1147"/>
      <c r="K428" s="1147"/>
      <c r="L428" s="450"/>
      <c r="M428" s="450"/>
      <c r="N428" s="1147"/>
      <c r="O428" s="1147"/>
      <c r="P428" s="450"/>
      <c r="Q428" s="450"/>
      <c r="R428" s="1147"/>
      <c r="S428" s="1147"/>
      <c r="T428" s="450"/>
      <c r="U428" s="450"/>
      <c r="V428" s="454"/>
    </row>
    <row r="429" spans="1:22" ht="30" customHeight="1">
      <c r="A429" s="464"/>
      <c r="B429" s="464"/>
      <c r="C429" s="464"/>
      <c r="D429" s="1133"/>
      <c r="E429" s="445"/>
      <c r="F429" s="1147"/>
      <c r="G429" s="1147"/>
      <c r="H429" s="450"/>
      <c r="I429" s="450"/>
      <c r="J429" s="1147"/>
      <c r="K429" s="1147"/>
      <c r="L429" s="450"/>
      <c r="M429" s="450"/>
      <c r="N429" s="1147"/>
      <c r="O429" s="1147"/>
      <c r="P429" s="450"/>
      <c r="Q429" s="450"/>
      <c r="R429" s="1147"/>
      <c r="S429" s="1147"/>
      <c r="T429" s="450"/>
      <c r="U429" s="450"/>
      <c r="V429" s="454"/>
    </row>
    <row r="430" spans="1:22" ht="30" customHeight="1">
      <c r="A430" s="464"/>
      <c r="B430" s="464"/>
      <c r="C430" s="464"/>
      <c r="D430" s="1133"/>
      <c r="E430" s="445"/>
      <c r="F430" s="1147"/>
      <c r="G430" s="1147"/>
      <c r="H430" s="450"/>
      <c r="I430" s="450"/>
      <c r="J430" s="1147"/>
      <c r="K430" s="1147"/>
      <c r="L430" s="450"/>
      <c r="M430" s="450"/>
      <c r="N430" s="1147"/>
      <c r="O430" s="1147"/>
      <c r="P430" s="450"/>
      <c r="Q430" s="450"/>
      <c r="R430" s="1147"/>
      <c r="S430" s="1147"/>
      <c r="T430" s="450"/>
      <c r="U430" s="450"/>
      <c r="V430" s="454"/>
    </row>
    <row r="431" spans="1:22" ht="30" customHeight="1">
      <c r="A431" s="464"/>
      <c r="B431" s="464"/>
      <c r="C431" s="464"/>
      <c r="D431" s="1133"/>
      <c r="E431" s="445"/>
      <c r="F431" s="1147"/>
      <c r="G431" s="1147"/>
      <c r="H431" s="450"/>
      <c r="I431" s="450"/>
      <c r="J431" s="1147"/>
      <c r="K431" s="1147"/>
      <c r="L431" s="450"/>
      <c r="M431" s="450"/>
      <c r="N431" s="1147"/>
      <c r="O431" s="1147"/>
      <c r="P431" s="450"/>
      <c r="Q431" s="450"/>
      <c r="R431" s="1147"/>
      <c r="S431" s="1147"/>
      <c r="T431" s="450"/>
      <c r="U431" s="450"/>
      <c r="V431" s="454"/>
    </row>
    <row r="432" spans="1:22" ht="30" customHeight="1">
      <c r="A432" s="464"/>
      <c r="B432" s="464"/>
      <c r="C432" s="464"/>
      <c r="D432" s="1133"/>
      <c r="E432" s="445"/>
      <c r="F432" s="1147"/>
      <c r="G432" s="1147"/>
      <c r="H432" s="450"/>
      <c r="I432" s="450"/>
      <c r="J432" s="1147"/>
      <c r="K432" s="1147"/>
      <c r="L432" s="450"/>
      <c r="M432" s="450"/>
      <c r="N432" s="1147"/>
      <c r="O432" s="1147"/>
      <c r="P432" s="450"/>
      <c r="Q432" s="450"/>
      <c r="R432" s="1147"/>
      <c r="S432" s="1147"/>
      <c r="T432" s="450"/>
      <c r="U432" s="450"/>
      <c r="V432" s="454"/>
    </row>
    <row r="433" spans="1:57" ht="30" customHeight="1">
      <c r="A433" s="464"/>
      <c r="B433" s="464"/>
      <c r="C433" s="464"/>
      <c r="D433" s="1133"/>
      <c r="E433" s="445"/>
      <c r="F433" s="1147"/>
      <c r="G433" s="1147"/>
      <c r="H433" s="450"/>
      <c r="I433" s="450"/>
      <c r="J433" s="1147"/>
      <c r="K433" s="1147"/>
      <c r="L433" s="450"/>
      <c r="M433" s="450"/>
      <c r="N433" s="1147"/>
      <c r="O433" s="1147"/>
      <c r="P433" s="450"/>
      <c r="Q433" s="450"/>
      <c r="R433" s="1147"/>
      <c r="S433" s="1147"/>
      <c r="T433" s="450"/>
      <c r="U433" s="450"/>
      <c r="V433" s="454"/>
    </row>
    <row r="434" spans="1:57" ht="30" customHeight="1">
      <c r="A434" s="464"/>
      <c r="B434" s="464"/>
      <c r="C434" s="464"/>
      <c r="D434" s="1133"/>
      <c r="E434" s="445"/>
      <c r="F434" s="1147"/>
      <c r="G434" s="1147"/>
      <c r="H434" s="450"/>
      <c r="I434" s="450"/>
      <c r="J434" s="1147"/>
      <c r="K434" s="1147"/>
      <c r="L434" s="450"/>
      <c r="M434" s="450"/>
      <c r="N434" s="1147"/>
      <c r="O434" s="1147"/>
      <c r="P434" s="450"/>
      <c r="Q434" s="450"/>
      <c r="R434" s="1147"/>
      <c r="S434" s="1147"/>
      <c r="T434" s="450"/>
      <c r="U434" s="450"/>
      <c r="V434" s="454"/>
    </row>
    <row r="435" spans="1:57" ht="30" customHeight="1">
      <c r="A435" s="464"/>
      <c r="B435" s="464"/>
      <c r="C435" s="464"/>
      <c r="D435" s="1133"/>
      <c r="E435" s="445"/>
      <c r="F435" s="1147"/>
      <c r="G435" s="1147"/>
      <c r="H435" s="450"/>
      <c r="I435" s="450"/>
      <c r="J435" s="1147"/>
      <c r="K435" s="1147"/>
      <c r="L435" s="450"/>
      <c r="M435" s="450"/>
      <c r="N435" s="1147"/>
      <c r="O435" s="1147"/>
      <c r="P435" s="450"/>
      <c r="Q435" s="450"/>
      <c r="R435" s="1147"/>
      <c r="S435" s="1147"/>
      <c r="T435" s="450"/>
      <c r="U435" s="450"/>
      <c r="V435" s="454"/>
    </row>
    <row r="436" spans="1:57" ht="30" customHeight="1">
      <c r="A436" s="464"/>
      <c r="B436" s="464"/>
      <c r="C436" s="464"/>
      <c r="D436" s="1133"/>
      <c r="E436" s="445"/>
      <c r="F436" s="1147"/>
      <c r="G436" s="1147"/>
      <c r="H436" s="450"/>
      <c r="I436" s="450"/>
      <c r="J436" s="1147"/>
      <c r="K436" s="1147"/>
      <c r="L436" s="450"/>
      <c r="M436" s="450"/>
      <c r="N436" s="1147"/>
      <c r="O436" s="1147"/>
      <c r="P436" s="450"/>
      <c r="Q436" s="450"/>
      <c r="R436" s="1147"/>
      <c r="S436" s="1147"/>
      <c r="T436" s="450"/>
      <c r="U436" s="450"/>
      <c r="V436" s="454"/>
    </row>
    <row r="437" spans="1:57" ht="30" customHeight="1">
      <c r="A437" s="464"/>
      <c r="B437" s="464"/>
      <c r="C437" s="464"/>
      <c r="D437" s="1133"/>
      <c r="E437" s="445"/>
      <c r="F437" s="1147"/>
      <c r="G437" s="1147"/>
      <c r="H437" s="450"/>
      <c r="I437" s="450"/>
      <c r="J437" s="1147"/>
      <c r="K437" s="1147"/>
      <c r="L437" s="450"/>
      <c r="M437" s="450"/>
      <c r="N437" s="1147"/>
      <c r="O437" s="1147"/>
      <c r="P437" s="450"/>
      <c r="Q437" s="450"/>
      <c r="R437" s="1147"/>
      <c r="S437" s="1147"/>
      <c r="T437" s="450"/>
      <c r="U437" s="450"/>
      <c r="V437" s="454"/>
    </row>
    <row r="438" spans="1:57" ht="30" customHeight="1">
      <c r="A438" s="464"/>
      <c r="B438" s="464"/>
      <c r="C438" s="464"/>
      <c r="D438" s="1133"/>
      <c r="E438" s="445"/>
      <c r="F438" s="1147"/>
      <c r="G438" s="1147"/>
      <c r="H438" s="450"/>
      <c r="I438" s="450"/>
      <c r="J438" s="1147"/>
      <c r="K438" s="1147"/>
      <c r="L438" s="450"/>
      <c r="M438" s="450"/>
      <c r="N438" s="1147"/>
      <c r="O438" s="1147"/>
      <c r="P438" s="450"/>
      <c r="Q438" s="450"/>
      <c r="R438" s="1147"/>
      <c r="S438" s="1147"/>
      <c r="T438" s="450"/>
      <c r="U438" s="450"/>
      <c r="V438" s="454"/>
    </row>
    <row r="439" spans="1:57" ht="30" customHeight="1">
      <c r="A439" s="464"/>
      <c r="B439" s="464"/>
      <c r="C439" s="464"/>
      <c r="D439" s="1133"/>
      <c r="E439" s="445"/>
      <c r="F439" s="1147"/>
      <c r="G439" s="1147"/>
      <c r="H439" s="450"/>
      <c r="I439" s="450"/>
      <c r="J439" s="1147"/>
      <c r="K439" s="1147"/>
      <c r="L439" s="450"/>
      <c r="M439" s="450"/>
      <c r="N439" s="1147"/>
      <c r="O439" s="1147"/>
      <c r="P439" s="450"/>
      <c r="Q439" s="450"/>
      <c r="R439" s="1147"/>
      <c r="S439" s="1147"/>
      <c r="T439" s="450"/>
      <c r="U439" s="450"/>
      <c r="V439" s="454"/>
    </row>
    <row r="440" spans="1:57" ht="30" customHeight="1">
      <c r="A440" s="443" t="s">
        <v>85</v>
      </c>
      <c r="B440" s="444"/>
      <c r="C440" s="444"/>
      <c r="D440" s="1133"/>
      <c r="E440" s="445"/>
      <c r="F440" s="1146"/>
      <c r="G440" s="1147">
        <v>41034000</v>
      </c>
      <c r="H440" s="444"/>
      <c r="I440" s="450">
        <f>SUM(I350:I418)</f>
        <v>39664128</v>
      </c>
      <c r="J440" s="1146"/>
      <c r="K440" s="1147">
        <v>4438434</v>
      </c>
      <c r="L440" s="444"/>
      <c r="M440" s="450">
        <f>SUM(M350:M418)</f>
        <v>4438434</v>
      </c>
      <c r="N440" s="1146"/>
      <c r="O440" s="1147">
        <v>0</v>
      </c>
      <c r="P440" s="444"/>
      <c r="Q440" s="450">
        <f>SUM(Q350:Q418)</f>
        <v>0</v>
      </c>
      <c r="R440" s="1146"/>
      <c r="S440" s="1147">
        <v>45472434</v>
      </c>
      <c r="T440" s="444"/>
      <c r="U440" s="450">
        <f>SUM(U350:U418)</f>
        <v>44102562</v>
      </c>
      <c r="V440" s="446"/>
      <c r="W440" s="448" t="s">
        <v>2570</v>
      </c>
      <c r="X440" s="448" t="s">
        <v>51</v>
      </c>
      <c r="Y440" s="448" t="s">
        <v>51</v>
      </c>
      <c r="Z440" s="448" t="s">
        <v>271</v>
      </c>
      <c r="AA440" s="448" t="s">
        <v>62</v>
      </c>
      <c r="AB440" s="448" t="s">
        <v>62</v>
      </c>
      <c r="AC440" s="448" t="s">
        <v>61</v>
      </c>
      <c r="AD440" s="447"/>
      <c r="AE440" s="447"/>
      <c r="AF440" s="447"/>
      <c r="AG440" s="447"/>
      <c r="AH440" s="447"/>
      <c r="AI440" s="447"/>
      <c r="AJ440" s="447"/>
      <c r="AK440" s="447"/>
      <c r="AL440" s="447"/>
      <c r="AM440" s="447"/>
      <c r="AN440" s="447"/>
      <c r="AO440" s="447"/>
      <c r="AP440" s="447"/>
      <c r="AQ440" s="447"/>
      <c r="AR440" s="447"/>
      <c r="AS440" s="447"/>
      <c r="AT440" s="447"/>
      <c r="AU440" s="447"/>
      <c r="AV440" s="447"/>
      <c r="AW440" s="447"/>
      <c r="AX440" s="447"/>
      <c r="AY440" s="447"/>
      <c r="AZ440" s="447"/>
      <c r="BA440" s="448" t="s">
        <v>51</v>
      </c>
      <c r="BB440" s="448" t="s">
        <v>51</v>
      </c>
      <c r="BC440" s="447"/>
      <c r="BD440" s="448" t="s">
        <v>2571</v>
      </c>
      <c r="BE440" s="447">
        <v>308</v>
      </c>
    </row>
    <row r="441" spans="1:57" ht="30" customHeight="1">
      <c r="A441" s="443" t="s">
        <v>4831</v>
      </c>
      <c r="B441" s="444"/>
      <c r="C441" s="444"/>
      <c r="D441" s="1133"/>
      <c r="E441" s="445"/>
      <c r="F441" s="1146"/>
      <c r="G441" s="1146"/>
      <c r="H441" s="444"/>
      <c r="I441" s="444"/>
      <c r="J441" s="1146"/>
      <c r="K441" s="1146"/>
      <c r="L441" s="444"/>
      <c r="M441" s="444"/>
      <c r="N441" s="1146"/>
      <c r="O441" s="1146"/>
      <c r="P441" s="444"/>
      <c r="Q441" s="444"/>
      <c r="R441" s="1146"/>
      <c r="S441" s="1146"/>
      <c r="T441" s="444"/>
      <c r="U441" s="444"/>
      <c r="V441" s="446"/>
      <c r="W441" s="448" t="s">
        <v>399</v>
      </c>
      <c r="X441" s="448" t="s">
        <v>51</v>
      </c>
      <c r="Y441" s="448" t="s">
        <v>51</v>
      </c>
      <c r="Z441" s="448" t="s">
        <v>394</v>
      </c>
      <c r="AA441" s="448" t="s">
        <v>62</v>
      </c>
      <c r="AB441" s="448" t="s">
        <v>62</v>
      </c>
      <c r="AC441" s="448" t="s">
        <v>61</v>
      </c>
      <c r="AD441" s="447"/>
      <c r="AE441" s="447"/>
      <c r="AF441" s="447"/>
      <c r="AG441" s="447"/>
      <c r="AH441" s="447"/>
      <c r="AI441" s="447"/>
      <c r="AJ441" s="447"/>
      <c r="AK441" s="447"/>
      <c r="AL441" s="447"/>
      <c r="AM441" s="447"/>
      <c r="AN441" s="447"/>
      <c r="AO441" s="447"/>
      <c r="AP441" s="447"/>
      <c r="AQ441" s="447"/>
      <c r="AR441" s="447"/>
      <c r="AS441" s="447"/>
      <c r="AT441" s="447"/>
      <c r="AU441" s="447"/>
      <c r="AV441" s="447"/>
      <c r="AW441" s="447"/>
      <c r="AX441" s="447"/>
      <c r="AY441" s="447"/>
      <c r="AZ441" s="447"/>
      <c r="BA441" s="448" t="s">
        <v>51</v>
      </c>
      <c r="BB441" s="448" t="s">
        <v>51</v>
      </c>
      <c r="BC441" s="447"/>
      <c r="BD441" s="448" t="s">
        <v>400</v>
      </c>
      <c r="BE441" s="447">
        <v>515</v>
      </c>
    </row>
    <row r="442" spans="1:57" ht="30" customHeight="1">
      <c r="A442" s="443" t="s">
        <v>396</v>
      </c>
      <c r="B442" s="443" t="s">
        <v>397</v>
      </c>
      <c r="C442" s="443" t="s">
        <v>398</v>
      </c>
      <c r="D442" s="1133">
        <v>5</v>
      </c>
      <c r="E442" s="445">
        <v>5</v>
      </c>
      <c r="F442" s="1147">
        <v>18000</v>
      </c>
      <c r="G442" s="1147">
        <v>90000</v>
      </c>
      <c r="H442" s="450">
        <f>TRUNC(단가대비표!O481,0)</f>
        <v>18000</v>
      </c>
      <c r="I442" s="450">
        <f t="shared" ref="I442:I452" si="63">E442*H442</f>
        <v>90000</v>
      </c>
      <c r="J442" s="1147">
        <v>0</v>
      </c>
      <c r="K442" s="1147">
        <v>0</v>
      </c>
      <c r="L442" s="450">
        <f>TRUNC(단가대비표!P481,0)</f>
        <v>0</v>
      </c>
      <c r="M442" s="450">
        <f t="shared" ref="M442:M452" si="64">E442*L442</f>
        <v>0</v>
      </c>
      <c r="N442" s="1147">
        <v>0</v>
      </c>
      <c r="O442" s="1147">
        <v>0</v>
      </c>
      <c r="P442" s="450">
        <f>TRUNC(단가대비표!V481,0)</f>
        <v>0</v>
      </c>
      <c r="Q442" s="450">
        <f t="shared" ref="Q442:Q447" si="65">TRUNC(P442*E442, 0)</f>
        <v>0</v>
      </c>
      <c r="R442" s="1147">
        <v>18000</v>
      </c>
      <c r="S442" s="1147">
        <v>90000</v>
      </c>
      <c r="T442" s="450">
        <f>H442+L442+P442</f>
        <v>18000</v>
      </c>
      <c r="U442" s="450">
        <f>I442+M442+Q442</f>
        <v>90000</v>
      </c>
      <c r="V442" s="454" t="s">
        <v>51</v>
      </c>
      <c r="W442" s="448" t="s">
        <v>403</v>
      </c>
      <c r="X442" s="448" t="s">
        <v>51</v>
      </c>
      <c r="Y442" s="448" t="s">
        <v>51</v>
      </c>
      <c r="Z442" s="448" t="s">
        <v>394</v>
      </c>
      <c r="AA442" s="448" t="s">
        <v>62</v>
      </c>
      <c r="AB442" s="448" t="s">
        <v>62</v>
      </c>
      <c r="AC442" s="448" t="s">
        <v>61</v>
      </c>
      <c r="AD442" s="447"/>
      <c r="AE442" s="447"/>
      <c r="AF442" s="447"/>
      <c r="AG442" s="447"/>
      <c r="AH442" s="447"/>
      <c r="AI442" s="447"/>
      <c r="AJ442" s="447"/>
      <c r="AK442" s="447"/>
      <c r="AL442" s="447"/>
      <c r="AM442" s="447"/>
      <c r="AN442" s="447"/>
      <c r="AO442" s="447"/>
      <c r="AP442" s="447"/>
      <c r="AQ442" s="447"/>
      <c r="AR442" s="447"/>
      <c r="AS442" s="447"/>
      <c r="AT442" s="447"/>
      <c r="AU442" s="447"/>
      <c r="AV442" s="447"/>
      <c r="AW442" s="447"/>
      <c r="AX442" s="447"/>
      <c r="AY442" s="447"/>
      <c r="AZ442" s="447"/>
      <c r="BA442" s="448" t="s">
        <v>51</v>
      </c>
      <c r="BB442" s="448" t="s">
        <v>51</v>
      </c>
      <c r="BC442" s="447"/>
      <c r="BD442" s="448" t="s">
        <v>404</v>
      </c>
      <c r="BE442" s="447">
        <v>518</v>
      </c>
    </row>
    <row r="443" spans="1:57" ht="30" customHeight="1">
      <c r="A443" s="443" t="s">
        <v>401</v>
      </c>
      <c r="B443" s="443" t="s">
        <v>402</v>
      </c>
      <c r="C443" s="443" t="s">
        <v>321</v>
      </c>
      <c r="D443" s="1133">
        <v>690</v>
      </c>
      <c r="E443" s="445">
        <v>690</v>
      </c>
      <c r="F443" s="1147">
        <v>15000</v>
      </c>
      <c r="G443" s="1147">
        <v>10350000</v>
      </c>
      <c r="H443" s="450">
        <f>TRUNC(단가대비표!O79,0)</f>
        <v>15000</v>
      </c>
      <c r="I443" s="450">
        <f t="shared" si="63"/>
        <v>10350000</v>
      </c>
      <c r="J443" s="1147">
        <v>12859</v>
      </c>
      <c r="K443" s="1147">
        <v>8872710</v>
      </c>
      <c r="L443" s="450">
        <f>TRUNC(단가대비표!P79,0)</f>
        <v>12859</v>
      </c>
      <c r="M443" s="450">
        <f t="shared" si="64"/>
        <v>8872710</v>
      </c>
      <c r="N443" s="1147">
        <v>0</v>
      </c>
      <c r="O443" s="1147">
        <v>0</v>
      </c>
      <c r="P443" s="450">
        <f>TRUNC(단가대비표!V79,0)</f>
        <v>0</v>
      </c>
      <c r="Q443" s="450">
        <f t="shared" si="65"/>
        <v>0</v>
      </c>
      <c r="R443" s="1147">
        <v>27859</v>
      </c>
      <c r="S443" s="1147">
        <v>19222710</v>
      </c>
      <c r="T443" s="450">
        <f t="shared" ref="T443:T452" si="66">H443+L443+P443</f>
        <v>27859</v>
      </c>
      <c r="U443" s="450">
        <f t="shared" ref="U443:U452" si="67">I443+M443+Q443</f>
        <v>19222710</v>
      </c>
      <c r="V443" s="454" t="s">
        <v>51</v>
      </c>
      <c r="W443" s="448" t="s">
        <v>406</v>
      </c>
      <c r="X443" s="448" t="s">
        <v>51</v>
      </c>
      <c r="Y443" s="448" t="s">
        <v>51</v>
      </c>
      <c r="Z443" s="448" t="s">
        <v>394</v>
      </c>
      <c r="AA443" s="448" t="s">
        <v>62</v>
      </c>
      <c r="AB443" s="448" t="s">
        <v>62</v>
      </c>
      <c r="AC443" s="448" t="s">
        <v>61</v>
      </c>
      <c r="AD443" s="447"/>
      <c r="AE443" s="447"/>
      <c r="AF443" s="447"/>
      <c r="AG443" s="447"/>
      <c r="AH443" s="447"/>
      <c r="AI443" s="447"/>
      <c r="AJ443" s="447"/>
      <c r="AK443" s="447"/>
      <c r="AL443" s="447"/>
      <c r="AM443" s="447"/>
      <c r="AN443" s="447"/>
      <c r="AO443" s="447"/>
      <c r="AP443" s="447"/>
      <c r="AQ443" s="447"/>
      <c r="AR443" s="447"/>
      <c r="AS443" s="447"/>
      <c r="AT443" s="447"/>
      <c r="AU443" s="447"/>
      <c r="AV443" s="447"/>
      <c r="AW443" s="447"/>
      <c r="AX443" s="447"/>
      <c r="AY443" s="447"/>
      <c r="AZ443" s="447"/>
      <c r="BA443" s="448" t="s">
        <v>51</v>
      </c>
      <c r="BB443" s="448" t="s">
        <v>51</v>
      </c>
      <c r="BC443" s="447"/>
      <c r="BD443" s="448" t="s">
        <v>407</v>
      </c>
      <c r="BE443" s="447">
        <v>519</v>
      </c>
    </row>
    <row r="444" spans="1:57" ht="30" customHeight="1">
      <c r="A444" s="443" t="s">
        <v>405</v>
      </c>
      <c r="B444" s="443" t="s">
        <v>4836</v>
      </c>
      <c r="C444" s="443" t="s">
        <v>321</v>
      </c>
      <c r="D444" s="1133">
        <v>207</v>
      </c>
      <c r="E444" s="445">
        <v>207</v>
      </c>
      <c r="F444" s="1147">
        <v>55000</v>
      </c>
      <c r="G444" s="1147">
        <v>11385000</v>
      </c>
      <c r="H444" s="450">
        <f>TRUNC(단가대비표!O80,0)</f>
        <v>55000</v>
      </c>
      <c r="I444" s="450">
        <f t="shared" si="63"/>
        <v>11385000</v>
      </c>
      <c r="J444" s="1147">
        <v>0</v>
      </c>
      <c r="K444" s="1147">
        <v>0</v>
      </c>
      <c r="L444" s="450">
        <f>TRUNC(단가대비표!P80,0)</f>
        <v>0</v>
      </c>
      <c r="M444" s="450">
        <f t="shared" si="64"/>
        <v>0</v>
      </c>
      <c r="N444" s="1147">
        <v>0</v>
      </c>
      <c r="O444" s="1147">
        <v>0</v>
      </c>
      <c r="P444" s="450">
        <f>TRUNC(단가대비표!V80,0)</f>
        <v>0</v>
      </c>
      <c r="Q444" s="450">
        <f t="shared" si="65"/>
        <v>0</v>
      </c>
      <c r="R444" s="1147">
        <v>55000</v>
      </c>
      <c r="S444" s="1147">
        <v>11385000</v>
      </c>
      <c r="T444" s="450">
        <f t="shared" si="66"/>
        <v>55000</v>
      </c>
      <c r="U444" s="450">
        <f t="shared" si="67"/>
        <v>11385000</v>
      </c>
      <c r="V444" s="454" t="s">
        <v>51</v>
      </c>
      <c r="W444" s="448" t="s">
        <v>406</v>
      </c>
      <c r="X444" s="448" t="s">
        <v>51</v>
      </c>
      <c r="Y444" s="448" t="s">
        <v>51</v>
      </c>
      <c r="Z444" s="448" t="s">
        <v>394</v>
      </c>
      <c r="AA444" s="448" t="s">
        <v>62</v>
      </c>
      <c r="AB444" s="448" t="s">
        <v>62</v>
      </c>
      <c r="AC444" s="448" t="s">
        <v>61</v>
      </c>
      <c r="AD444" s="447"/>
      <c r="AE444" s="447"/>
      <c r="AF444" s="447"/>
      <c r="AG444" s="447"/>
      <c r="AH444" s="447"/>
      <c r="AI444" s="447"/>
      <c r="AJ444" s="447"/>
      <c r="AK444" s="447"/>
      <c r="AL444" s="447"/>
      <c r="AM444" s="447"/>
      <c r="AN444" s="447"/>
      <c r="AO444" s="447"/>
      <c r="AP444" s="447"/>
      <c r="AQ444" s="447"/>
      <c r="AR444" s="447"/>
      <c r="AS444" s="447"/>
      <c r="AT444" s="447"/>
      <c r="AU444" s="447"/>
      <c r="AV444" s="447"/>
      <c r="AW444" s="447"/>
      <c r="AX444" s="447"/>
      <c r="AY444" s="447"/>
      <c r="AZ444" s="447"/>
      <c r="BA444" s="448" t="s">
        <v>51</v>
      </c>
      <c r="BB444" s="448" t="s">
        <v>51</v>
      </c>
      <c r="BC444" s="447"/>
      <c r="BD444" s="448" t="s">
        <v>407</v>
      </c>
      <c r="BE444" s="447">
        <v>519</v>
      </c>
    </row>
    <row r="445" spans="1:57" ht="30" customHeight="1">
      <c r="A445" s="443" t="s">
        <v>405</v>
      </c>
      <c r="B445" s="443" t="s">
        <v>4835</v>
      </c>
      <c r="C445" s="443" t="s">
        <v>321</v>
      </c>
      <c r="D445" s="1133">
        <v>38</v>
      </c>
      <c r="E445" s="445">
        <v>38</v>
      </c>
      <c r="F445" s="1147">
        <v>62000</v>
      </c>
      <c r="G445" s="1147">
        <v>2356000</v>
      </c>
      <c r="H445" s="450">
        <f>TRUNC(단가대비표!O81,0)</f>
        <v>62000</v>
      </c>
      <c r="I445" s="450">
        <f t="shared" si="63"/>
        <v>2356000</v>
      </c>
      <c r="J445" s="1147">
        <v>0</v>
      </c>
      <c r="K445" s="1147">
        <v>0</v>
      </c>
      <c r="L445" s="450">
        <f>TRUNC(단가대비표!P84,0)</f>
        <v>0</v>
      </c>
      <c r="M445" s="450">
        <f t="shared" si="64"/>
        <v>0</v>
      </c>
      <c r="N445" s="1147">
        <v>0</v>
      </c>
      <c r="O445" s="1147">
        <v>0</v>
      </c>
      <c r="P445" s="450">
        <f>TRUNC(단가대비표!V84,0)</f>
        <v>0</v>
      </c>
      <c r="Q445" s="450">
        <f t="shared" si="65"/>
        <v>0</v>
      </c>
      <c r="R445" s="1147">
        <v>62000</v>
      </c>
      <c r="S445" s="1147">
        <v>2356000</v>
      </c>
      <c r="T445" s="450">
        <f t="shared" si="66"/>
        <v>62000</v>
      </c>
      <c r="U445" s="450">
        <f t="shared" si="67"/>
        <v>2356000</v>
      </c>
      <c r="V445" s="454" t="s">
        <v>51</v>
      </c>
      <c r="W445" s="448" t="s">
        <v>406</v>
      </c>
      <c r="X445" s="448" t="s">
        <v>51</v>
      </c>
      <c r="Y445" s="448" t="s">
        <v>51</v>
      </c>
      <c r="Z445" s="448" t="s">
        <v>394</v>
      </c>
      <c r="AA445" s="448" t="s">
        <v>62</v>
      </c>
      <c r="AB445" s="448" t="s">
        <v>62</v>
      </c>
      <c r="AC445" s="448" t="s">
        <v>61</v>
      </c>
      <c r="AD445" s="447"/>
      <c r="AE445" s="447"/>
      <c r="AF445" s="447"/>
      <c r="AG445" s="447"/>
      <c r="AH445" s="447"/>
      <c r="AI445" s="447"/>
      <c r="AJ445" s="447"/>
      <c r="AK445" s="447"/>
      <c r="AL445" s="447"/>
      <c r="AM445" s="447"/>
      <c r="AN445" s="447"/>
      <c r="AO445" s="447"/>
      <c r="AP445" s="447"/>
      <c r="AQ445" s="447"/>
      <c r="AR445" s="447"/>
      <c r="AS445" s="447"/>
      <c r="AT445" s="447"/>
      <c r="AU445" s="447"/>
      <c r="AV445" s="447"/>
      <c r="AW445" s="447"/>
      <c r="AX445" s="447"/>
      <c r="AY445" s="447"/>
      <c r="AZ445" s="447"/>
      <c r="BA445" s="448" t="s">
        <v>51</v>
      </c>
      <c r="BB445" s="448" t="s">
        <v>51</v>
      </c>
      <c r="BC445" s="447"/>
      <c r="BD445" s="448" t="s">
        <v>407</v>
      </c>
      <c r="BE445" s="447">
        <v>519</v>
      </c>
    </row>
    <row r="446" spans="1:57" ht="30" customHeight="1">
      <c r="A446" s="443" t="s">
        <v>405</v>
      </c>
      <c r="B446" s="443" t="s">
        <v>4834</v>
      </c>
      <c r="C446" s="443" t="s">
        <v>321</v>
      </c>
      <c r="D446" s="1133">
        <v>28</v>
      </c>
      <c r="E446" s="445">
        <v>28</v>
      </c>
      <c r="F446" s="1147">
        <v>72000</v>
      </c>
      <c r="G446" s="1147">
        <v>2016000</v>
      </c>
      <c r="H446" s="450">
        <f>TRUNC(단가대비표!O82,0)</f>
        <v>72000</v>
      </c>
      <c r="I446" s="450">
        <f t="shared" si="63"/>
        <v>2016000</v>
      </c>
      <c r="J446" s="1147">
        <v>0</v>
      </c>
      <c r="K446" s="1147">
        <v>0</v>
      </c>
      <c r="L446" s="450">
        <f>TRUNC(단가대비표!P85,0)</f>
        <v>0</v>
      </c>
      <c r="M446" s="450">
        <f t="shared" si="64"/>
        <v>0</v>
      </c>
      <c r="N446" s="1147">
        <v>0</v>
      </c>
      <c r="O446" s="1147">
        <v>0</v>
      </c>
      <c r="P446" s="450">
        <f>TRUNC(단가대비표!V85,0)</f>
        <v>0</v>
      </c>
      <c r="Q446" s="450">
        <f t="shared" si="65"/>
        <v>0</v>
      </c>
      <c r="R446" s="1147">
        <v>72000</v>
      </c>
      <c r="S446" s="1147">
        <v>2016000</v>
      </c>
      <c r="T446" s="450">
        <f t="shared" si="66"/>
        <v>72000</v>
      </c>
      <c r="U446" s="450">
        <f t="shared" si="67"/>
        <v>2016000</v>
      </c>
      <c r="V446" s="454" t="s">
        <v>51</v>
      </c>
      <c r="W446" s="448" t="s">
        <v>406</v>
      </c>
      <c r="X446" s="448" t="s">
        <v>51</v>
      </c>
      <c r="Y446" s="448" t="s">
        <v>51</v>
      </c>
      <c r="Z446" s="448" t="s">
        <v>394</v>
      </c>
      <c r="AA446" s="448" t="s">
        <v>62</v>
      </c>
      <c r="AB446" s="448" t="s">
        <v>62</v>
      </c>
      <c r="AC446" s="448" t="s">
        <v>61</v>
      </c>
      <c r="AD446" s="447"/>
      <c r="AE446" s="447"/>
      <c r="AF446" s="447"/>
      <c r="AG446" s="447"/>
      <c r="AH446" s="447"/>
      <c r="AI446" s="447"/>
      <c r="AJ446" s="447"/>
      <c r="AK446" s="447"/>
      <c r="AL446" s="447"/>
      <c r="AM446" s="447"/>
      <c r="AN446" s="447"/>
      <c r="AO446" s="447"/>
      <c r="AP446" s="447"/>
      <c r="AQ446" s="447"/>
      <c r="AR446" s="447"/>
      <c r="AS446" s="447"/>
      <c r="AT446" s="447"/>
      <c r="AU446" s="447"/>
      <c r="AV446" s="447"/>
      <c r="AW446" s="447"/>
      <c r="AX446" s="447"/>
      <c r="AY446" s="447"/>
      <c r="AZ446" s="447"/>
      <c r="BA446" s="448" t="s">
        <v>51</v>
      </c>
      <c r="BB446" s="448" t="s">
        <v>51</v>
      </c>
      <c r="BC446" s="447"/>
      <c r="BD446" s="448" t="s">
        <v>407</v>
      </c>
      <c r="BE446" s="447">
        <v>519</v>
      </c>
    </row>
    <row r="447" spans="1:57" ht="30" customHeight="1">
      <c r="A447" s="443" t="s">
        <v>405</v>
      </c>
      <c r="B447" s="443" t="s">
        <v>4833</v>
      </c>
      <c r="C447" s="443" t="s">
        <v>321</v>
      </c>
      <c r="D447" s="1133">
        <v>5</v>
      </c>
      <c r="E447" s="445">
        <v>5</v>
      </c>
      <c r="F447" s="1147">
        <v>75000</v>
      </c>
      <c r="G447" s="1147">
        <v>375000</v>
      </c>
      <c r="H447" s="450">
        <f>TRUNC(단가대비표!O83,0)</f>
        <v>75000</v>
      </c>
      <c r="I447" s="450">
        <f t="shared" si="63"/>
        <v>375000</v>
      </c>
      <c r="J447" s="1147">
        <v>0</v>
      </c>
      <c r="K447" s="1147">
        <v>0</v>
      </c>
      <c r="L447" s="450">
        <f>TRUNC(단가대비표!P86,0)</f>
        <v>0</v>
      </c>
      <c r="M447" s="450">
        <f t="shared" si="64"/>
        <v>0</v>
      </c>
      <c r="N447" s="1147">
        <v>0</v>
      </c>
      <c r="O447" s="1147">
        <v>0</v>
      </c>
      <c r="P447" s="450">
        <f>TRUNC(단가대비표!V86,0)</f>
        <v>0</v>
      </c>
      <c r="Q447" s="450">
        <f t="shared" si="65"/>
        <v>0</v>
      </c>
      <c r="R447" s="1147">
        <v>75000</v>
      </c>
      <c r="S447" s="1147">
        <v>375000</v>
      </c>
      <c r="T447" s="450">
        <f t="shared" si="66"/>
        <v>75000</v>
      </c>
      <c r="U447" s="450">
        <f t="shared" si="67"/>
        <v>375000</v>
      </c>
      <c r="V447" s="454" t="s">
        <v>51</v>
      </c>
      <c r="W447" s="448" t="s">
        <v>406</v>
      </c>
      <c r="X447" s="448" t="s">
        <v>51</v>
      </c>
      <c r="Y447" s="448" t="s">
        <v>51</v>
      </c>
      <c r="Z447" s="448" t="s">
        <v>394</v>
      </c>
      <c r="AA447" s="448" t="s">
        <v>62</v>
      </c>
      <c r="AB447" s="448" t="s">
        <v>62</v>
      </c>
      <c r="AC447" s="448" t="s">
        <v>61</v>
      </c>
      <c r="AD447" s="447"/>
      <c r="AE447" s="447"/>
      <c r="AF447" s="447"/>
      <c r="AG447" s="447"/>
      <c r="AH447" s="447"/>
      <c r="AI447" s="447"/>
      <c r="AJ447" s="447"/>
      <c r="AK447" s="447"/>
      <c r="AL447" s="447"/>
      <c r="AM447" s="447"/>
      <c r="AN447" s="447"/>
      <c r="AO447" s="447"/>
      <c r="AP447" s="447"/>
      <c r="AQ447" s="447"/>
      <c r="AR447" s="447"/>
      <c r="AS447" s="447"/>
      <c r="AT447" s="447"/>
      <c r="AU447" s="447"/>
      <c r="AV447" s="447"/>
      <c r="AW447" s="447"/>
      <c r="AX447" s="447"/>
      <c r="AY447" s="447"/>
      <c r="AZ447" s="447"/>
      <c r="BA447" s="448" t="s">
        <v>51</v>
      </c>
      <c r="BB447" s="448" t="s">
        <v>51</v>
      </c>
      <c r="BC447" s="447"/>
      <c r="BD447" s="448" t="s">
        <v>407</v>
      </c>
      <c r="BE447" s="447">
        <v>519</v>
      </c>
    </row>
    <row r="448" spans="1:57" ht="30" customHeight="1">
      <c r="A448" s="443" t="str">
        <f>'1층전시실산출'!B314</f>
        <v>알류미늄그릴</v>
      </c>
      <c r="B448" s="443" t="s">
        <v>4832</v>
      </c>
      <c r="C448" s="473" t="str">
        <f>'1층전시실산출'!D314</f>
        <v>EA</v>
      </c>
      <c r="D448" s="1133">
        <v>4</v>
      </c>
      <c r="E448" s="445">
        <v>4</v>
      </c>
      <c r="F448" s="1147">
        <v>80000</v>
      </c>
      <c r="G448" s="1147">
        <v>320000</v>
      </c>
      <c r="H448" s="450">
        <f>단가대비표!O423</f>
        <v>80000</v>
      </c>
      <c r="I448" s="450">
        <f t="shared" si="63"/>
        <v>320000</v>
      </c>
      <c r="J448" s="1147"/>
      <c r="K448" s="1147">
        <v>0</v>
      </c>
      <c r="L448" s="450"/>
      <c r="M448" s="450">
        <f t="shared" si="64"/>
        <v>0</v>
      </c>
      <c r="N448" s="1147"/>
      <c r="O448" s="1147"/>
      <c r="P448" s="450"/>
      <c r="Q448" s="450"/>
      <c r="R448" s="1147">
        <v>80000</v>
      </c>
      <c r="S448" s="1147">
        <v>320000</v>
      </c>
      <c r="T448" s="450">
        <f t="shared" si="66"/>
        <v>80000</v>
      </c>
      <c r="U448" s="450">
        <f t="shared" si="67"/>
        <v>320000</v>
      </c>
      <c r="V448" s="454"/>
      <c r="W448" s="448"/>
      <c r="X448" s="448"/>
      <c r="Y448" s="448"/>
      <c r="Z448" s="448"/>
      <c r="AA448" s="448"/>
      <c r="AB448" s="448"/>
      <c r="AC448" s="448"/>
      <c r="AD448" s="447"/>
      <c r="AE448" s="447"/>
      <c r="AF448" s="447"/>
      <c r="AG448" s="447"/>
      <c r="AH448" s="447"/>
      <c r="AI448" s="447"/>
      <c r="AJ448" s="447"/>
      <c r="AK448" s="447"/>
      <c r="AL448" s="447"/>
      <c r="AM448" s="447"/>
      <c r="AN448" s="447"/>
      <c r="AO448" s="447"/>
      <c r="AP448" s="447"/>
      <c r="AQ448" s="447"/>
      <c r="AR448" s="447"/>
      <c r="AS448" s="447"/>
      <c r="AT448" s="447"/>
      <c r="AU448" s="447"/>
      <c r="AV448" s="447"/>
      <c r="AW448" s="447"/>
      <c r="AX448" s="447"/>
      <c r="AY448" s="447"/>
      <c r="AZ448" s="447"/>
      <c r="BA448" s="448"/>
      <c r="BB448" s="448"/>
      <c r="BC448" s="447"/>
      <c r="BD448" s="448"/>
      <c r="BE448" s="447"/>
    </row>
    <row r="449" spans="1:57" ht="30" customHeight="1">
      <c r="A449" s="443" t="s">
        <v>408</v>
      </c>
      <c r="B449" s="443"/>
      <c r="C449" s="443" t="s">
        <v>321</v>
      </c>
      <c r="D449" s="1133">
        <v>32</v>
      </c>
      <c r="E449" s="445">
        <v>32</v>
      </c>
      <c r="F449" s="1147">
        <v>80000</v>
      </c>
      <c r="G449" s="1147">
        <v>2560000</v>
      </c>
      <c r="H449" s="450">
        <f>TRUNC(단가대비표!O424,0)</f>
        <v>80000</v>
      </c>
      <c r="I449" s="450">
        <f t="shared" si="63"/>
        <v>2560000</v>
      </c>
      <c r="J449" s="1147">
        <v>0</v>
      </c>
      <c r="K449" s="1147">
        <v>0</v>
      </c>
      <c r="L449" s="450">
        <f>TRUNC(단가대비표!P424,0)</f>
        <v>0</v>
      </c>
      <c r="M449" s="450">
        <f t="shared" si="64"/>
        <v>0</v>
      </c>
      <c r="N449" s="1147">
        <v>0</v>
      </c>
      <c r="O449" s="1147">
        <v>0</v>
      </c>
      <c r="P449" s="450">
        <f>TRUNC(단가대비표!V424,0)</f>
        <v>0</v>
      </c>
      <c r="Q449" s="450">
        <f>TRUNC(P449*E449, 0)</f>
        <v>0</v>
      </c>
      <c r="R449" s="1147">
        <v>80000</v>
      </c>
      <c r="S449" s="1147">
        <v>2560000</v>
      </c>
      <c r="T449" s="450">
        <f t="shared" si="66"/>
        <v>80000</v>
      </c>
      <c r="U449" s="450">
        <f t="shared" si="67"/>
        <v>2560000</v>
      </c>
      <c r="V449" s="454" t="s">
        <v>51</v>
      </c>
      <c r="W449" s="448" t="s">
        <v>411</v>
      </c>
      <c r="X449" s="448" t="s">
        <v>51</v>
      </c>
      <c r="Y449" s="448" t="s">
        <v>51</v>
      </c>
      <c r="Z449" s="448" t="s">
        <v>394</v>
      </c>
      <c r="AA449" s="448" t="s">
        <v>62</v>
      </c>
      <c r="AB449" s="448" t="s">
        <v>62</v>
      </c>
      <c r="AC449" s="448" t="s">
        <v>61</v>
      </c>
      <c r="AD449" s="447"/>
      <c r="AE449" s="447"/>
      <c r="AF449" s="447"/>
      <c r="AG449" s="447"/>
      <c r="AH449" s="447"/>
      <c r="AI449" s="447"/>
      <c r="AJ449" s="447"/>
      <c r="AK449" s="447"/>
      <c r="AL449" s="447"/>
      <c r="AM449" s="447"/>
      <c r="AN449" s="447"/>
      <c r="AO449" s="447"/>
      <c r="AP449" s="447"/>
      <c r="AQ449" s="447"/>
      <c r="AR449" s="447"/>
      <c r="AS449" s="447"/>
      <c r="AT449" s="447"/>
      <c r="AU449" s="447"/>
      <c r="AV449" s="447"/>
      <c r="AW449" s="447"/>
      <c r="AX449" s="447"/>
      <c r="AY449" s="447"/>
      <c r="AZ449" s="447"/>
      <c r="BA449" s="448" t="s">
        <v>51</v>
      </c>
      <c r="BB449" s="448" t="s">
        <v>51</v>
      </c>
      <c r="BC449" s="447"/>
      <c r="BD449" s="448" t="s">
        <v>412</v>
      </c>
      <c r="BE449" s="447">
        <v>263</v>
      </c>
    </row>
    <row r="450" spans="1:57" ht="30" customHeight="1">
      <c r="A450" s="443" t="s">
        <v>410</v>
      </c>
      <c r="B450" s="443" t="s">
        <v>51</v>
      </c>
      <c r="C450" s="443" t="s">
        <v>204</v>
      </c>
      <c r="D450" s="1133">
        <v>26</v>
      </c>
      <c r="E450" s="445">
        <v>26</v>
      </c>
      <c r="F450" s="1147">
        <v>12000</v>
      </c>
      <c r="G450" s="1147">
        <v>312000</v>
      </c>
      <c r="H450" s="450">
        <f>TRUNC(단가대비표!O425,0)</f>
        <v>12000</v>
      </c>
      <c r="I450" s="450">
        <f t="shared" si="63"/>
        <v>312000</v>
      </c>
      <c r="J450" s="1147">
        <v>0</v>
      </c>
      <c r="K450" s="1147">
        <v>0</v>
      </c>
      <c r="L450" s="450">
        <f>TRUNC(단가대비표!P425,0)</f>
        <v>0</v>
      </c>
      <c r="M450" s="450">
        <f t="shared" si="64"/>
        <v>0</v>
      </c>
      <c r="N450" s="1147">
        <v>0</v>
      </c>
      <c r="O450" s="1147">
        <v>0</v>
      </c>
      <c r="P450" s="450">
        <f>TRUNC(단가대비표!V425,0)</f>
        <v>0</v>
      </c>
      <c r="Q450" s="450">
        <f>TRUNC(P450*E450, 0)</f>
        <v>0</v>
      </c>
      <c r="R450" s="1147">
        <v>12000</v>
      </c>
      <c r="S450" s="1147">
        <v>312000</v>
      </c>
      <c r="T450" s="450">
        <f t="shared" si="66"/>
        <v>12000</v>
      </c>
      <c r="U450" s="450">
        <f t="shared" si="67"/>
        <v>312000</v>
      </c>
      <c r="V450" s="454" t="s">
        <v>51</v>
      </c>
      <c r="W450" s="448" t="s">
        <v>415</v>
      </c>
      <c r="X450" s="448" t="s">
        <v>51</v>
      </c>
      <c r="Y450" s="448" t="s">
        <v>51</v>
      </c>
      <c r="Z450" s="448" t="s">
        <v>394</v>
      </c>
      <c r="AA450" s="448" t="s">
        <v>62</v>
      </c>
      <c r="AB450" s="448" t="s">
        <v>62</v>
      </c>
      <c r="AC450" s="448" t="s">
        <v>61</v>
      </c>
      <c r="AD450" s="447"/>
      <c r="AE450" s="447"/>
      <c r="AF450" s="447"/>
      <c r="AG450" s="447"/>
      <c r="AH450" s="447"/>
      <c r="AI450" s="447"/>
      <c r="AJ450" s="447"/>
      <c r="AK450" s="447"/>
      <c r="AL450" s="447"/>
      <c r="AM450" s="447"/>
      <c r="AN450" s="447"/>
      <c r="AO450" s="447"/>
      <c r="AP450" s="447"/>
      <c r="AQ450" s="447"/>
      <c r="AR450" s="447"/>
      <c r="AS450" s="447"/>
      <c r="AT450" s="447"/>
      <c r="AU450" s="447"/>
      <c r="AV450" s="447"/>
      <c r="AW450" s="447"/>
      <c r="AX450" s="447"/>
      <c r="AY450" s="447"/>
      <c r="AZ450" s="447"/>
      <c r="BA450" s="448" t="s">
        <v>51</v>
      </c>
      <c r="BB450" s="448" t="s">
        <v>51</v>
      </c>
      <c r="BC450" s="447"/>
      <c r="BD450" s="448" t="s">
        <v>416</v>
      </c>
      <c r="BE450" s="447">
        <v>264</v>
      </c>
    </row>
    <row r="451" spans="1:57" ht="30" customHeight="1">
      <c r="A451" s="443" t="s">
        <v>413</v>
      </c>
      <c r="B451" s="443" t="s">
        <v>414</v>
      </c>
      <c r="C451" s="443" t="s">
        <v>321</v>
      </c>
      <c r="D451" s="1133">
        <v>13</v>
      </c>
      <c r="E451" s="445">
        <v>13</v>
      </c>
      <c r="F451" s="1147">
        <v>22000</v>
      </c>
      <c r="G451" s="1147">
        <v>286000</v>
      </c>
      <c r="H451" s="450">
        <f>TRUNC(단가대비표!O426,0)</f>
        <v>22000</v>
      </c>
      <c r="I451" s="450">
        <f t="shared" si="63"/>
        <v>286000</v>
      </c>
      <c r="J451" s="1147">
        <v>0</v>
      </c>
      <c r="K451" s="1147">
        <v>0</v>
      </c>
      <c r="L451" s="450">
        <f>TRUNC(단가대비표!P426,0)</f>
        <v>0</v>
      </c>
      <c r="M451" s="450">
        <f t="shared" si="64"/>
        <v>0</v>
      </c>
      <c r="N451" s="1147">
        <v>0</v>
      </c>
      <c r="O451" s="1147">
        <v>0</v>
      </c>
      <c r="P451" s="450">
        <f>TRUNC(단가대비표!V426,0)</f>
        <v>0</v>
      </c>
      <c r="Q451" s="450">
        <f>TRUNC(P451*E451, 0)</f>
        <v>0</v>
      </c>
      <c r="R451" s="1147">
        <v>22000</v>
      </c>
      <c r="S451" s="1147">
        <v>286000</v>
      </c>
      <c r="T451" s="450">
        <f t="shared" si="66"/>
        <v>22000</v>
      </c>
      <c r="U451" s="450">
        <f t="shared" si="67"/>
        <v>286000</v>
      </c>
      <c r="V451" s="454" t="s">
        <v>51</v>
      </c>
      <c r="W451" s="448" t="s">
        <v>420</v>
      </c>
      <c r="X451" s="448" t="s">
        <v>51</v>
      </c>
      <c r="Y451" s="448" t="s">
        <v>51</v>
      </c>
      <c r="Z451" s="448" t="s">
        <v>394</v>
      </c>
      <c r="AA451" s="448" t="s">
        <v>62</v>
      </c>
      <c r="AB451" s="448" t="s">
        <v>62</v>
      </c>
      <c r="AC451" s="448" t="s">
        <v>61</v>
      </c>
      <c r="AD451" s="447"/>
      <c r="AE451" s="447"/>
      <c r="AF451" s="447"/>
      <c r="AG451" s="447"/>
      <c r="AH451" s="447"/>
      <c r="AI451" s="447"/>
      <c r="AJ451" s="447"/>
      <c r="AK451" s="447"/>
      <c r="AL451" s="447"/>
      <c r="AM451" s="447"/>
      <c r="AN451" s="447"/>
      <c r="AO451" s="447"/>
      <c r="AP451" s="447"/>
      <c r="AQ451" s="447"/>
      <c r="AR451" s="447"/>
      <c r="AS451" s="447"/>
      <c r="AT451" s="447"/>
      <c r="AU451" s="447"/>
      <c r="AV451" s="447"/>
      <c r="AW451" s="447"/>
      <c r="AX451" s="447"/>
      <c r="AY451" s="447"/>
      <c r="AZ451" s="447"/>
      <c r="BA451" s="448" t="s">
        <v>51</v>
      </c>
      <c r="BB451" s="448" t="s">
        <v>51</v>
      </c>
      <c r="BC451" s="447"/>
      <c r="BD451" s="448" t="s">
        <v>421</v>
      </c>
      <c r="BE451" s="447">
        <v>266</v>
      </c>
    </row>
    <row r="452" spans="1:57" ht="30" customHeight="1">
      <c r="A452" s="443" t="s">
        <v>417</v>
      </c>
      <c r="B452" s="443" t="s">
        <v>418</v>
      </c>
      <c r="C452" s="443" t="s">
        <v>419</v>
      </c>
      <c r="D452" s="1133">
        <v>14</v>
      </c>
      <c r="E452" s="445">
        <v>14</v>
      </c>
      <c r="F452" s="1147">
        <v>0</v>
      </c>
      <c r="G452" s="1147">
        <v>0</v>
      </c>
      <c r="H452" s="450">
        <f>TRUNC(단가대비표!O574,0)</f>
        <v>0</v>
      </c>
      <c r="I452" s="450">
        <f t="shared" si="63"/>
        <v>0</v>
      </c>
      <c r="J452" s="1147">
        <v>233369</v>
      </c>
      <c r="K452" s="1147">
        <v>3267166</v>
      </c>
      <c r="L452" s="450">
        <f>TRUNC(단가대비표!P574,0)</f>
        <v>233369</v>
      </c>
      <c r="M452" s="450">
        <f t="shared" si="64"/>
        <v>3267166</v>
      </c>
      <c r="N452" s="1147">
        <v>0</v>
      </c>
      <c r="O452" s="1147">
        <v>0</v>
      </c>
      <c r="P452" s="450">
        <f>TRUNC(단가대비표!V574,0)</f>
        <v>0</v>
      </c>
      <c r="Q452" s="450">
        <f>TRUNC(P452*E452, 0)</f>
        <v>0</v>
      </c>
      <c r="R452" s="1147">
        <v>233369</v>
      </c>
      <c r="S452" s="1147">
        <v>3267166</v>
      </c>
      <c r="T452" s="450">
        <f t="shared" si="66"/>
        <v>233369</v>
      </c>
      <c r="U452" s="450">
        <f t="shared" si="67"/>
        <v>3267166</v>
      </c>
      <c r="V452" s="454" t="s">
        <v>51</v>
      </c>
    </row>
    <row r="453" spans="1:57" ht="30" customHeight="1">
      <c r="A453" s="443"/>
      <c r="B453" s="443"/>
      <c r="C453" s="443"/>
      <c r="D453" s="1133"/>
      <c r="E453" s="445"/>
      <c r="F453" s="1147"/>
      <c r="G453" s="1147"/>
      <c r="H453" s="450"/>
      <c r="I453" s="450"/>
      <c r="J453" s="1147"/>
      <c r="K453" s="1147"/>
      <c r="L453" s="450"/>
      <c r="M453" s="450"/>
      <c r="N453" s="1147"/>
      <c r="O453" s="1147"/>
      <c r="P453" s="450"/>
      <c r="Q453" s="450"/>
      <c r="R453" s="1147"/>
      <c r="S453" s="1147"/>
      <c r="T453" s="450"/>
      <c r="U453" s="450"/>
      <c r="V453" s="454"/>
      <c r="W453" s="448"/>
      <c r="X453" s="448"/>
      <c r="Y453" s="448"/>
      <c r="Z453" s="448"/>
      <c r="AA453" s="448"/>
      <c r="AB453" s="448"/>
      <c r="AC453" s="448"/>
      <c r="AD453" s="447"/>
      <c r="AE453" s="447"/>
      <c r="AF453" s="447"/>
      <c r="AG453" s="447"/>
      <c r="AH453" s="447"/>
      <c r="AI453" s="447"/>
      <c r="AJ453" s="447"/>
      <c r="AK453" s="447"/>
      <c r="AL453" s="447"/>
      <c r="AM453" s="447"/>
      <c r="AN453" s="447"/>
      <c r="AO453" s="447"/>
      <c r="AP453" s="447"/>
      <c r="AQ453" s="447"/>
      <c r="AR453" s="447"/>
      <c r="AS453" s="447"/>
      <c r="AT453" s="447"/>
      <c r="AU453" s="447"/>
      <c r="AV453" s="447"/>
      <c r="AW453" s="447"/>
      <c r="AX453" s="447"/>
      <c r="AY453" s="447"/>
      <c r="AZ453" s="447"/>
      <c r="BA453" s="448"/>
      <c r="BB453" s="448"/>
      <c r="BC453" s="447"/>
      <c r="BD453" s="448"/>
      <c r="BE453" s="447"/>
    </row>
    <row r="454" spans="1:57" ht="30" customHeight="1">
      <c r="A454" s="443"/>
      <c r="B454" s="443"/>
      <c r="C454" s="443"/>
      <c r="D454" s="1133"/>
      <c r="E454" s="445"/>
      <c r="F454" s="1147"/>
      <c r="G454" s="1147"/>
      <c r="H454" s="450"/>
      <c r="I454" s="450"/>
      <c r="J454" s="1147"/>
      <c r="K454" s="1147"/>
      <c r="L454" s="450"/>
      <c r="M454" s="450"/>
      <c r="N454" s="1147"/>
      <c r="O454" s="1147"/>
      <c r="P454" s="450"/>
      <c r="Q454" s="450"/>
      <c r="R454" s="1147"/>
      <c r="S454" s="1147"/>
      <c r="T454" s="450"/>
      <c r="U454" s="450"/>
      <c r="V454" s="454"/>
      <c r="W454" s="448"/>
      <c r="X454" s="448"/>
      <c r="Y454" s="448"/>
      <c r="Z454" s="448"/>
      <c r="AA454" s="448"/>
      <c r="AB454" s="448"/>
      <c r="AC454" s="448"/>
      <c r="AD454" s="447"/>
      <c r="AE454" s="447"/>
      <c r="AF454" s="447"/>
      <c r="AG454" s="447"/>
      <c r="AH454" s="447"/>
      <c r="AI454" s="447"/>
      <c r="AJ454" s="447"/>
      <c r="AK454" s="447"/>
      <c r="AL454" s="447"/>
      <c r="AM454" s="447"/>
      <c r="AN454" s="447"/>
      <c r="AO454" s="447"/>
      <c r="AP454" s="447"/>
      <c r="AQ454" s="447"/>
      <c r="AR454" s="447"/>
      <c r="AS454" s="447"/>
      <c r="AT454" s="447"/>
      <c r="AU454" s="447"/>
      <c r="AV454" s="447"/>
      <c r="AW454" s="447"/>
      <c r="AX454" s="447"/>
      <c r="AY454" s="447"/>
      <c r="AZ454" s="447"/>
      <c r="BA454" s="448"/>
      <c r="BB454" s="448"/>
      <c r="BC454" s="447"/>
      <c r="BD454" s="448"/>
      <c r="BE454" s="447"/>
    </row>
    <row r="455" spans="1:57" ht="30" customHeight="1">
      <c r="A455" s="444"/>
      <c r="B455" s="444"/>
      <c r="C455" s="444"/>
      <c r="D455" s="1133"/>
      <c r="E455" s="445"/>
      <c r="F455" s="1146"/>
      <c r="G455" s="1146"/>
      <c r="H455" s="444"/>
      <c r="I455" s="444"/>
      <c r="J455" s="1146"/>
      <c r="K455" s="1146"/>
      <c r="L455" s="444"/>
      <c r="M455" s="444"/>
      <c r="N455" s="1146"/>
      <c r="O455" s="1146"/>
      <c r="P455" s="444"/>
      <c r="Q455" s="444"/>
      <c r="R455" s="1146"/>
      <c r="S455" s="1146"/>
      <c r="T455" s="444"/>
      <c r="U455" s="444"/>
      <c r="V455" s="446"/>
    </row>
    <row r="456" spans="1:57" ht="30" customHeight="1">
      <c r="A456" s="444"/>
      <c r="B456" s="444"/>
      <c r="C456" s="444"/>
      <c r="D456" s="1133"/>
      <c r="E456" s="445"/>
      <c r="F456" s="1146"/>
      <c r="G456" s="1146"/>
      <c r="H456" s="444"/>
      <c r="I456" s="444"/>
      <c r="J456" s="1146"/>
      <c r="K456" s="1146"/>
      <c r="L456" s="444"/>
      <c r="M456" s="444"/>
      <c r="N456" s="1146"/>
      <c r="O456" s="1146"/>
      <c r="P456" s="444"/>
      <c r="Q456" s="444"/>
      <c r="R456" s="1146"/>
      <c r="S456" s="1146"/>
      <c r="T456" s="444"/>
      <c r="U456" s="444"/>
      <c r="V456" s="446"/>
    </row>
    <row r="457" spans="1:57" ht="30" customHeight="1">
      <c r="A457" s="444"/>
      <c r="B457" s="444"/>
      <c r="C457" s="444"/>
      <c r="D457" s="1133"/>
      <c r="E457" s="445"/>
      <c r="F457" s="1146"/>
      <c r="G457" s="1146"/>
      <c r="H457" s="444"/>
      <c r="I457" s="444"/>
      <c r="J457" s="1146"/>
      <c r="K457" s="1146"/>
      <c r="L457" s="444"/>
      <c r="M457" s="444"/>
      <c r="N457" s="1146"/>
      <c r="O457" s="1146"/>
      <c r="P457" s="444"/>
      <c r="Q457" s="444"/>
      <c r="R457" s="1146"/>
      <c r="S457" s="1146"/>
      <c r="T457" s="444"/>
      <c r="U457" s="444"/>
      <c r="V457" s="446"/>
    </row>
    <row r="458" spans="1:57" ht="30" customHeight="1">
      <c r="A458" s="444"/>
      <c r="B458" s="444"/>
      <c r="C458" s="444"/>
      <c r="D458" s="1133"/>
      <c r="E458" s="445"/>
      <c r="F458" s="1146"/>
      <c r="G458" s="1146"/>
      <c r="H458" s="444"/>
      <c r="I458" s="444"/>
      <c r="J458" s="1146"/>
      <c r="K458" s="1146"/>
      <c r="L458" s="444"/>
      <c r="M458" s="444"/>
      <c r="N458" s="1146"/>
      <c r="O458" s="1146"/>
      <c r="P458" s="444"/>
      <c r="Q458" s="444"/>
      <c r="R458" s="1146"/>
      <c r="S458" s="1146"/>
      <c r="T458" s="444"/>
      <c r="U458" s="444"/>
      <c r="V458" s="446"/>
    </row>
    <row r="459" spans="1:57" ht="30" customHeight="1">
      <c r="A459" s="444"/>
      <c r="B459" s="444"/>
      <c r="C459" s="444"/>
      <c r="D459" s="1133"/>
      <c r="E459" s="445"/>
      <c r="F459" s="1146"/>
      <c r="G459" s="1146"/>
      <c r="H459" s="444"/>
      <c r="I459" s="444"/>
      <c r="J459" s="1146"/>
      <c r="K459" s="1146"/>
      <c r="L459" s="444"/>
      <c r="M459" s="444"/>
      <c r="N459" s="1146"/>
      <c r="O459" s="1146"/>
      <c r="P459" s="444"/>
      <c r="Q459" s="444"/>
      <c r="R459" s="1146"/>
      <c r="S459" s="1146"/>
      <c r="T459" s="444"/>
      <c r="U459" s="444"/>
      <c r="V459" s="446"/>
    </row>
    <row r="460" spans="1:57" ht="30" customHeight="1">
      <c r="A460" s="444"/>
      <c r="B460" s="444"/>
      <c r="C460" s="444"/>
      <c r="D460" s="1133"/>
      <c r="E460" s="445"/>
      <c r="F460" s="1146"/>
      <c r="G460" s="1146"/>
      <c r="H460" s="444"/>
      <c r="I460" s="444"/>
      <c r="J460" s="1146"/>
      <c r="K460" s="1146"/>
      <c r="L460" s="444"/>
      <c r="M460" s="444"/>
      <c r="N460" s="1146"/>
      <c r="O460" s="1146"/>
      <c r="P460" s="444"/>
      <c r="Q460" s="444"/>
      <c r="R460" s="1146"/>
      <c r="S460" s="1146"/>
      <c r="T460" s="444"/>
      <c r="U460" s="444"/>
      <c r="V460" s="446"/>
    </row>
    <row r="461" spans="1:57" ht="30" customHeight="1">
      <c r="A461" s="443"/>
      <c r="B461" s="444"/>
      <c r="C461" s="444"/>
      <c r="D461" s="1133"/>
      <c r="E461" s="445"/>
      <c r="F461" s="1146"/>
      <c r="G461" s="1147"/>
      <c r="H461" s="444"/>
      <c r="I461" s="450"/>
      <c r="J461" s="1146"/>
      <c r="K461" s="1147"/>
      <c r="L461" s="444"/>
      <c r="M461" s="450"/>
      <c r="N461" s="1146"/>
      <c r="O461" s="1147"/>
      <c r="P461" s="444"/>
      <c r="Q461" s="450"/>
      <c r="R461" s="1146"/>
      <c r="S461" s="1147"/>
      <c r="T461" s="444"/>
      <c r="U461" s="450"/>
      <c r="V461" s="446"/>
      <c r="W461" s="447"/>
      <c r="X461" s="447"/>
      <c r="Y461" s="447"/>
      <c r="Z461" s="448"/>
      <c r="AA461" s="447"/>
      <c r="AB461" s="447"/>
      <c r="AC461" s="447"/>
      <c r="AD461" s="447"/>
      <c r="AE461" s="447"/>
      <c r="AF461" s="447"/>
      <c r="AG461" s="447"/>
      <c r="AH461" s="447"/>
      <c r="AI461" s="447"/>
      <c r="AJ461" s="447"/>
      <c r="AK461" s="447"/>
      <c r="AL461" s="447"/>
      <c r="AM461" s="447"/>
      <c r="AN461" s="447"/>
      <c r="AO461" s="447"/>
      <c r="AP461" s="447"/>
      <c r="AQ461" s="447"/>
      <c r="AR461" s="447"/>
      <c r="AS461" s="447"/>
      <c r="AT461" s="447"/>
      <c r="AU461" s="447"/>
      <c r="AV461" s="447"/>
      <c r="AW461" s="447"/>
      <c r="AX461" s="447"/>
      <c r="AY461" s="447"/>
      <c r="AZ461" s="447"/>
      <c r="BA461" s="447"/>
      <c r="BB461" s="447"/>
      <c r="BC461" s="447"/>
      <c r="BD461" s="447"/>
      <c r="BE461" s="447"/>
    </row>
    <row r="462" spans="1:57" ht="30" customHeight="1">
      <c r="A462" s="444"/>
      <c r="B462" s="444"/>
      <c r="C462" s="444"/>
      <c r="D462" s="1133"/>
      <c r="E462" s="445"/>
      <c r="F462" s="1146"/>
      <c r="G462" s="1146"/>
      <c r="H462" s="444"/>
      <c r="I462" s="444"/>
      <c r="J462" s="1146"/>
      <c r="K462" s="1146"/>
      <c r="L462" s="444"/>
      <c r="M462" s="444"/>
      <c r="N462" s="1146"/>
      <c r="O462" s="1146"/>
      <c r="P462" s="444"/>
      <c r="Q462" s="444"/>
      <c r="R462" s="1146"/>
      <c r="S462" s="1146"/>
      <c r="T462" s="444"/>
      <c r="U462" s="444"/>
      <c r="V462" s="446"/>
    </row>
    <row r="463" spans="1:57" ht="30" customHeight="1">
      <c r="A463" s="443" t="s">
        <v>85</v>
      </c>
      <c r="B463" s="444"/>
      <c r="C463" s="444"/>
      <c r="D463" s="1133"/>
      <c r="E463" s="445"/>
      <c r="F463" s="1146"/>
      <c r="G463" s="1147">
        <v>30050000</v>
      </c>
      <c r="H463" s="444"/>
      <c r="I463" s="450">
        <f>SUM(I442:I462)</f>
        <v>30050000</v>
      </c>
      <c r="J463" s="1146"/>
      <c r="K463" s="1147">
        <v>12139876</v>
      </c>
      <c r="L463" s="444"/>
      <c r="M463" s="450">
        <f>SUM(M442:M462)</f>
        <v>12139876</v>
      </c>
      <c r="N463" s="1146"/>
      <c r="O463" s="1147">
        <v>0</v>
      </c>
      <c r="P463" s="444"/>
      <c r="Q463" s="450">
        <f>SUM(Q444:Q462)</f>
        <v>0</v>
      </c>
      <c r="R463" s="1146"/>
      <c r="S463" s="1147">
        <v>42189876</v>
      </c>
      <c r="T463" s="444"/>
      <c r="U463" s="450">
        <f>SUM(U442:U462)</f>
        <v>42189876</v>
      </c>
      <c r="V463" s="446"/>
      <c r="W463" s="447"/>
      <c r="X463" s="447"/>
      <c r="Y463" s="447"/>
      <c r="Z463" s="448" t="s">
        <v>422</v>
      </c>
      <c r="AA463" s="447"/>
      <c r="AB463" s="447"/>
      <c r="AC463" s="447"/>
      <c r="AD463" s="447"/>
      <c r="AE463" s="447"/>
      <c r="AF463" s="447"/>
      <c r="AG463" s="447"/>
      <c r="AH463" s="447"/>
      <c r="AI463" s="447"/>
      <c r="AJ463" s="447"/>
      <c r="AK463" s="447"/>
      <c r="AL463" s="447"/>
      <c r="AM463" s="447"/>
      <c r="AN463" s="447"/>
      <c r="AO463" s="447"/>
      <c r="AP463" s="447"/>
      <c r="AQ463" s="447"/>
      <c r="AR463" s="447"/>
      <c r="AS463" s="447"/>
      <c r="AT463" s="447"/>
      <c r="AU463" s="447"/>
      <c r="AV463" s="447"/>
      <c r="AW463" s="447"/>
      <c r="AX463" s="447"/>
      <c r="AY463" s="447"/>
      <c r="AZ463" s="447"/>
      <c r="BA463" s="447"/>
      <c r="BB463" s="447"/>
      <c r="BC463" s="447"/>
      <c r="BD463" s="447"/>
      <c r="BE463" s="447"/>
    </row>
    <row r="464" spans="1:57" ht="30" customHeight="1">
      <c r="A464" s="404" t="s">
        <v>4798</v>
      </c>
      <c r="B464" s="404"/>
      <c r="C464" s="404"/>
      <c r="D464" s="1132"/>
      <c r="E464" s="404"/>
      <c r="F464" s="1132"/>
      <c r="G464" s="1132"/>
      <c r="H464" s="404"/>
      <c r="I464" s="404"/>
      <c r="J464" s="1132"/>
      <c r="K464" s="1132"/>
      <c r="L464" s="404"/>
      <c r="M464" s="404"/>
      <c r="N464" s="1132"/>
      <c r="O464" s="1132"/>
      <c r="P464" s="404"/>
      <c r="Q464" s="404"/>
      <c r="R464" s="1132"/>
      <c r="S464" s="1132"/>
      <c r="T464" s="404"/>
      <c r="U464" s="404"/>
      <c r="V464" s="404"/>
      <c r="W464" s="453"/>
      <c r="X464" s="453"/>
      <c r="Y464" s="453"/>
      <c r="Z464" s="453"/>
      <c r="AA464" s="453"/>
      <c r="AB464" s="453"/>
      <c r="AC464" s="453"/>
      <c r="AD464" s="453"/>
      <c r="AE464" s="453"/>
      <c r="AF464" s="453"/>
      <c r="AG464" s="453"/>
      <c r="AH464" s="453"/>
      <c r="AI464" s="453"/>
      <c r="AJ464" s="453"/>
      <c r="AK464" s="453"/>
      <c r="AL464" s="453"/>
      <c r="AM464" s="453"/>
      <c r="AN464" s="453"/>
      <c r="AO464" s="453"/>
      <c r="AP464" s="453"/>
      <c r="AQ464" s="453"/>
      <c r="AR464" s="453"/>
      <c r="AS464" s="453"/>
      <c r="AT464" s="453"/>
      <c r="AU464" s="453"/>
      <c r="AV464" s="453"/>
      <c r="AW464" s="453"/>
      <c r="AX464" s="453"/>
      <c r="AY464" s="453"/>
      <c r="AZ464" s="453"/>
      <c r="BA464" s="453"/>
      <c r="BB464" s="453"/>
      <c r="BC464" s="453"/>
      <c r="BD464" s="453"/>
      <c r="BE464" s="453"/>
    </row>
    <row r="465" spans="1:58" ht="30" customHeight="1">
      <c r="A465" s="443" t="s">
        <v>599</v>
      </c>
      <c r="B465" s="444"/>
      <c r="C465" s="444"/>
      <c r="D465" s="1133"/>
      <c r="E465" s="445"/>
      <c r="F465" s="1146"/>
      <c r="G465" s="1146"/>
      <c r="H465" s="444"/>
      <c r="I465" s="444"/>
      <c r="J465" s="1146"/>
      <c r="K465" s="1146"/>
      <c r="L465" s="444"/>
      <c r="M465" s="444"/>
      <c r="N465" s="1146"/>
      <c r="O465" s="1146"/>
      <c r="P465" s="444"/>
      <c r="Q465" s="444"/>
      <c r="R465" s="1146"/>
      <c r="S465" s="1146"/>
      <c r="T465" s="444"/>
      <c r="U465" s="444"/>
      <c r="V465" s="446"/>
      <c r="W465" s="448" t="s">
        <v>67</v>
      </c>
      <c r="X465" s="448" t="s">
        <v>51</v>
      </c>
      <c r="Y465" s="448" t="s">
        <v>51</v>
      </c>
      <c r="Z465" s="448" t="s">
        <v>600</v>
      </c>
      <c r="AA465" s="448" t="s">
        <v>61</v>
      </c>
      <c r="AB465" s="448" t="s">
        <v>62</v>
      </c>
      <c r="AC465" s="448" t="s">
        <v>62</v>
      </c>
      <c r="AD465" s="447"/>
      <c r="AE465" s="447"/>
      <c r="AF465" s="447"/>
      <c r="AG465" s="447"/>
      <c r="AH465" s="447"/>
      <c r="AI465" s="447"/>
      <c r="AJ465" s="447"/>
      <c r="AK465" s="447"/>
      <c r="AL465" s="447"/>
      <c r="AM465" s="447"/>
      <c r="AN465" s="447"/>
      <c r="AO465" s="447"/>
      <c r="AP465" s="447"/>
      <c r="AQ465" s="447"/>
      <c r="AR465" s="447"/>
      <c r="AS465" s="447"/>
      <c r="AT465" s="447"/>
      <c r="AU465" s="447"/>
      <c r="AV465" s="447"/>
      <c r="AW465" s="447"/>
      <c r="AX465" s="447"/>
      <c r="AY465" s="447"/>
      <c r="AZ465" s="447"/>
      <c r="BA465" s="448" t="s">
        <v>51</v>
      </c>
      <c r="BB465" s="448" t="s">
        <v>51</v>
      </c>
      <c r="BC465" s="447"/>
      <c r="BD465" s="448" t="s">
        <v>601</v>
      </c>
      <c r="BE465" s="447">
        <v>520</v>
      </c>
    </row>
    <row r="466" spans="1:58" ht="30" customHeight="1">
      <c r="A466" s="443" t="s">
        <v>57</v>
      </c>
      <c r="B466" s="443" t="s">
        <v>6743</v>
      </c>
      <c r="C466" s="443" t="s">
        <v>59</v>
      </c>
      <c r="D466" s="1133">
        <v>1685.1</v>
      </c>
      <c r="E466" s="445">
        <f>'2층전시실산출 '!H5</f>
        <v>1685.1</v>
      </c>
      <c r="F466" s="1147">
        <v>0</v>
      </c>
      <c r="G466" s="1147">
        <v>0</v>
      </c>
      <c r="H466" s="450">
        <f>TRUNC(일위대가목록!F4,0)</f>
        <v>0</v>
      </c>
      <c r="I466" s="450">
        <f t="shared" ref="I466:I471" si="68">E466*H466</f>
        <v>0</v>
      </c>
      <c r="J466" s="1147">
        <v>2442</v>
      </c>
      <c r="K466" s="1147">
        <v>4115014.1999999997</v>
      </c>
      <c r="L466" s="450">
        <f>TRUNC(일위대가목록!H4,0)</f>
        <v>1017</v>
      </c>
      <c r="M466" s="450">
        <f t="shared" ref="M466:M471" si="69">E466*L466</f>
        <v>1713746.7</v>
      </c>
      <c r="N466" s="1147">
        <v>0</v>
      </c>
      <c r="O466" s="1147">
        <v>0</v>
      </c>
      <c r="P466" s="450">
        <f>TRUNC(일위대가목록!J4,0)</f>
        <v>0</v>
      </c>
      <c r="Q466" s="450">
        <f t="shared" ref="Q466:Q471" si="70">E466*P466</f>
        <v>0</v>
      </c>
      <c r="R466" s="1147">
        <v>2442</v>
      </c>
      <c r="S466" s="1147">
        <v>4115014</v>
      </c>
      <c r="T466" s="450">
        <f>TRUNC(H466+L466+P466, 0)</f>
        <v>1017</v>
      </c>
      <c r="U466" s="450">
        <f>TRUNC(I466+M466+Q466, 0)</f>
        <v>1713746</v>
      </c>
      <c r="V466" s="454" t="str">
        <f>일위대가목록!M4</f>
        <v>호표 1</v>
      </c>
      <c r="W466" s="448" t="s">
        <v>70</v>
      </c>
      <c r="X466" s="448" t="s">
        <v>51</v>
      </c>
      <c r="Y466" s="448" t="s">
        <v>51</v>
      </c>
      <c r="Z466" s="448" t="s">
        <v>600</v>
      </c>
      <c r="AA466" s="448" t="s">
        <v>62</v>
      </c>
      <c r="AB466" s="448" t="s">
        <v>62</v>
      </c>
      <c r="AC466" s="448" t="s">
        <v>61</v>
      </c>
      <c r="AD466" s="447"/>
      <c r="AE466" s="447"/>
      <c r="AF466" s="447"/>
      <c r="AG466" s="447"/>
      <c r="AH466" s="447"/>
      <c r="AI466" s="447"/>
      <c r="AJ466" s="447"/>
      <c r="AK466" s="447"/>
      <c r="AL466" s="447"/>
      <c r="AM466" s="447"/>
      <c r="AN466" s="447"/>
      <c r="AO466" s="447"/>
      <c r="AP466" s="447"/>
      <c r="AQ466" s="447"/>
      <c r="AR466" s="447"/>
      <c r="AS466" s="447"/>
      <c r="AT466" s="447"/>
      <c r="AU466" s="447"/>
      <c r="AV466" s="447"/>
      <c r="AW466" s="447"/>
      <c r="AX466" s="447"/>
      <c r="AY466" s="447"/>
      <c r="AZ466" s="447"/>
      <c r="BA466" s="448" t="s">
        <v>51</v>
      </c>
      <c r="BB466" s="448" t="s">
        <v>51</v>
      </c>
      <c r="BC466" s="447"/>
      <c r="BD466" s="448" t="s">
        <v>602</v>
      </c>
      <c r="BE466" s="447">
        <v>53</v>
      </c>
    </row>
    <row r="467" spans="1:58" ht="30" customHeight="1">
      <c r="A467" s="443" t="s">
        <v>3590</v>
      </c>
      <c r="B467" s="443" t="s">
        <v>3588</v>
      </c>
      <c r="C467" s="443" t="s">
        <v>59</v>
      </c>
      <c r="D467" s="1133">
        <v>438.75</v>
      </c>
      <c r="E467" s="445">
        <f>'2층전시실산출 '!H6</f>
        <v>438.75</v>
      </c>
      <c r="F467" s="1147">
        <v>1065</v>
      </c>
      <c r="G467" s="1147">
        <v>467268.75</v>
      </c>
      <c r="H467" s="450">
        <f>일위대가목록!F128</f>
        <v>0</v>
      </c>
      <c r="I467" s="450">
        <f t="shared" si="68"/>
        <v>0</v>
      </c>
      <c r="J467" s="1147">
        <v>16312.900000000001</v>
      </c>
      <c r="K467" s="1147">
        <v>7157284.8750000009</v>
      </c>
      <c r="L467" s="450">
        <f>일위대가목록!H128</f>
        <v>16312.900000000001</v>
      </c>
      <c r="M467" s="450">
        <f t="shared" si="69"/>
        <v>7157284.8750000009</v>
      </c>
      <c r="N467" s="1147">
        <v>326.2</v>
      </c>
      <c r="O467" s="1147">
        <v>143120.25</v>
      </c>
      <c r="P467" s="450">
        <f>일위대가목록!J128</f>
        <v>326.2</v>
      </c>
      <c r="Q467" s="450">
        <f t="shared" si="70"/>
        <v>143120.25</v>
      </c>
      <c r="R467" s="1147">
        <v>17704</v>
      </c>
      <c r="S467" s="1147">
        <v>7767673</v>
      </c>
      <c r="T467" s="450">
        <f t="shared" ref="T467" si="71">TRUNC(H467+L467+P467, 0)</f>
        <v>16639</v>
      </c>
      <c r="U467" s="450">
        <f t="shared" ref="U467" si="72">TRUNC(I467+M467+Q467, 0)</f>
        <v>7300405</v>
      </c>
      <c r="V467" s="454" t="str">
        <f>일위대가목록!M128</f>
        <v>호표 125</v>
      </c>
      <c r="W467" s="448"/>
      <c r="X467" s="448"/>
      <c r="Y467" s="448"/>
      <c r="Z467" s="448"/>
      <c r="AA467" s="448"/>
      <c r="AB467" s="448"/>
      <c r="AC467" s="448"/>
      <c r="AD467" s="447"/>
      <c r="AE467" s="447"/>
      <c r="AF467" s="447"/>
      <c r="AG467" s="447"/>
      <c r="AH467" s="447"/>
      <c r="AI467" s="447"/>
      <c r="AJ467" s="447"/>
      <c r="AK467" s="447"/>
      <c r="AL467" s="447"/>
      <c r="AM467" s="447"/>
      <c r="AN467" s="447"/>
      <c r="AO467" s="447"/>
      <c r="AP467" s="447"/>
      <c r="AQ467" s="447"/>
      <c r="AR467" s="447"/>
      <c r="AS467" s="447"/>
      <c r="AT467" s="447"/>
      <c r="AU467" s="447"/>
      <c r="AV467" s="447"/>
      <c r="AW467" s="447"/>
      <c r="AX467" s="447"/>
      <c r="AY467" s="447"/>
      <c r="AZ467" s="447"/>
      <c r="BA467" s="448"/>
      <c r="BB467" s="448"/>
      <c r="BC467" s="447"/>
      <c r="BD467" s="448"/>
      <c r="BE467" s="447"/>
    </row>
    <row r="468" spans="1:58" ht="30" customHeight="1">
      <c r="A468" s="1178" t="s">
        <v>64</v>
      </c>
      <c r="B468" s="1178" t="s">
        <v>65</v>
      </c>
      <c r="C468" s="1178" t="s">
        <v>66</v>
      </c>
      <c r="D468" s="1194">
        <v>32</v>
      </c>
      <c r="E468" s="1222">
        <v>17</v>
      </c>
      <c r="F468" s="1200">
        <v>33280</v>
      </c>
      <c r="G468" s="1200">
        <v>1064960</v>
      </c>
      <c r="H468" s="1198">
        <f>TRUNC(일위대가목록!F5,0)</f>
        <v>33280</v>
      </c>
      <c r="I468" s="1198">
        <f t="shared" si="68"/>
        <v>565760</v>
      </c>
      <c r="J468" s="1200">
        <v>75352</v>
      </c>
      <c r="K468" s="1200">
        <v>2411264</v>
      </c>
      <c r="L468" s="1198">
        <f>TRUNC(일위대가목록!H5,0)</f>
        <v>75352</v>
      </c>
      <c r="M468" s="1198">
        <f t="shared" si="69"/>
        <v>1280984</v>
      </c>
      <c r="N468" s="1200">
        <v>0</v>
      </c>
      <c r="O468" s="1200">
        <v>0</v>
      </c>
      <c r="P468" s="1198">
        <f>TRUNC(일위대가목록!J5,0)</f>
        <v>0</v>
      </c>
      <c r="Q468" s="1198">
        <f t="shared" si="70"/>
        <v>0</v>
      </c>
      <c r="R468" s="1200">
        <v>108632</v>
      </c>
      <c r="S468" s="1200">
        <v>3476224</v>
      </c>
      <c r="T468" s="1198">
        <f t="shared" ref="T468:U471" si="73">TRUNC(H468+L468+P468, 0)</f>
        <v>108632</v>
      </c>
      <c r="U468" s="1198">
        <f t="shared" si="73"/>
        <v>1846744</v>
      </c>
      <c r="V468" s="1223" t="str">
        <f>일위대가목록!M5</f>
        <v>호표 2</v>
      </c>
      <c r="W468" s="448" t="s">
        <v>78</v>
      </c>
      <c r="X468" s="448" t="s">
        <v>51</v>
      </c>
      <c r="Y468" s="448" t="s">
        <v>51</v>
      </c>
      <c r="Z468" s="448" t="s">
        <v>600</v>
      </c>
      <c r="AA468" s="448" t="s">
        <v>61</v>
      </c>
      <c r="AB468" s="448" t="s">
        <v>62</v>
      </c>
      <c r="AC468" s="448" t="s">
        <v>62</v>
      </c>
      <c r="AD468" s="447"/>
      <c r="AE468" s="447"/>
      <c r="AF468" s="447"/>
      <c r="AG468" s="447"/>
      <c r="AH468" s="447"/>
      <c r="AI468" s="447"/>
      <c r="AJ468" s="447"/>
      <c r="AK468" s="447"/>
      <c r="AL468" s="447"/>
      <c r="AM468" s="447"/>
      <c r="AN468" s="447"/>
      <c r="AO468" s="447"/>
      <c r="AP468" s="447"/>
      <c r="AQ468" s="447"/>
      <c r="AR468" s="447"/>
      <c r="AS468" s="447"/>
      <c r="AT468" s="447"/>
      <c r="AU468" s="447"/>
      <c r="AV468" s="447"/>
      <c r="AW468" s="447"/>
      <c r="AX468" s="447"/>
      <c r="AY468" s="447"/>
      <c r="AZ468" s="447"/>
      <c r="BA468" s="448" t="s">
        <v>51</v>
      </c>
      <c r="BB468" s="448" t="s">
        <v>51</v>
      </c>
      <c r="BC468" s="447"/>
      <c r="BD468" s="448" t="s">
        <v>603</v>
      </c>
      <c r="BE468" s="447">
        <v>54</v>
      </c>
      <c r="BF468" s="449" t="s">
        <v>6746</v>
      </c>
    </row>
    <row r="469" spans="1:58" ht="30" customHeight="1">
      <c r="A469" s="443" t="s">
        <v>69</v>
      </c>
      <c r="B469" s="443" t="s">
        <v>4472</v>
      </c>
      <c r="C469" s="443" t="s">
        <v>59</v>
      </c>
      <c r="D469" s="1133">
        <v>36.54</v>
      </c>
      <c r="E469" s="445">
        <f>'2층전시실산출 '!H8</f>
        <v>36.54</v>
      </c>
      <c r="F469" s="1147">
        <v>9898</v>
      </c>
      <c r="G469" s="1147">
        <v>361672.92</v>
      </c>
      <c r="H469" s="450">
        <f>일위대가목록!F8</f>
        <v>3094</v>
      </c>
      <c r="I469" s="450">
        <f t="shared" si="68"/>
        <v>113054.76</v>
      </c>
      <c r="J469" s="1147">
        <v>11723.7</v>
      </c>
      <c r="K469" s="1147">
        <v>428383.99800000002</v>
      </c>
      <c r="L469" s="450">
        <f>일위대가목록!H8</f>
        <v>11723.7</v>
      </c>
      <c r="M469" s="450">
        <f t="shared" si="69"/>
        <v>428383.99800000002</v>
      </c>
      <c r="N469" s="1147">
        <v>0</v>
      </c>
      <c r="O469" s="1147">
        <v>0</v>
      </c>
      <c r="P469" s="450">
        <f>일위대가목록!J8</f>
        <v>0</v>
      </c>
      <c r="Q469" s="450">
        <f t="shared" si="70"/>
        <v>0</v>
      </c>
      <c r="R469" s="1147">
        <v>21621</v>
      </c>
      <c r="S469" s="1147">
        <v>790056</v>
      </c>
      <c r="T469" s="450">
        <f t="shared" si="73"/>
        <v>14817</v>
      </c>
      <c r="U469" s="450">
        <f t="shared" si="73"/>
        <v>541438</v>
      </c>
      <c r="V469" s="454" t="str">
        <f>일위대가목록!M8</f>
        <v>호표 5</v>
      </c>
      <c r="W469" s="448" t="s">
        <v>74</v>
      </c>
      <c r="X469" s="448" t="s">
        <v>51</v>
      </c>
      <c r="Y469" s="448" t="s">
        <v>51</v>
      </c>
      <c r="Z469" s="448" t="s">
        <v>600</v>
      </c>
      <c r="AA469" s="448" t="s">
        <v>61</v>
      </c>
      <c r="AB469" s="448" t="s">
        <v>62</v>
      </c>
      <c r="AC469" s="448" t="s">
        <v>62</v>
      </c>
      <c r="AD469" s="447"/>
      <c r="AE469" s="447"/>
      <c r="AF469" s="447"/>
      <c r="AG469" s="447"/>
      <c r="AH469" s="447"/>
      <c r="AI469" s="447"/>
      <c r="AJ469" s="447"/>
      <c r="AK469" s="447"/>
      <c r="AL469" s="447"/>
      <c r="AM469" s="447"/>
      <c r="AN469" s="447"/>
      <c r="AO469" s="447"/>
      <c r="AP469" s="447"/>
      <c r="AQ469" s="447"/>
      <c r="AR469" s="447"/>
      <c r="AS469" s="447"/>
      <c r="AT469" s="447"/>
      <c r="AU469" s="447"/>
      <c r="AV469" s="447"/>
      <c r="AW469" s="447"/>
      <c r="AX469" s="447"/>
      <c r="AY469" s="447"/>
      <c r="AZ469" s="447"/>
      <c r="BA469" s="448" t="s">
        <v>51</v>
      </c>
      <c r="BB469" s="448" t="s">
        <v>51</v>
      </c>
      <c r="BC469" s="447"/>
      <c r="BD469" s="448" t="s">
        <v>604</v>
      </c>
      <c r="BE469" s="447">
        <v>55</v>
      </c>
    </row>
    <row r="470" spans="1:58" ht="30" customHeight="1">
      <c r="A470" s="443" t="s">
        <v>76</v>
      </c>
      <c r="B470" s="443" t="s">
        <v>77</v>
      </c>
      <c r="C470" s="443" t="s">
        <v>59</v>
      </c>
      <c r="D470" s="1133">
        <v>1685.1</v>
      </c>
      <c r="E470" s="445">
        <f>'2층전시실산출 '!H9</f>
        <v>1685.1</v>
      </c>
      <c r="F470" s="1147">
        <v>0</v>
      </c>
      <c r="G470" s="1147">
        <v>0</v>
      </c>
      <c r="H470" s="450">
        <f>TRUNC(일위대가목록!F7,0)</f>
        <v>0</v>
      </c>
      <c r="I470" s="450">
        <f t="shared" si="68"/>
        <v>0</v>
      </c>
      <c r="J470" s="1147">
        <v>9118</v>
      </c>
      <c r="K470" s="1147">
        <v>15364741.799999999</v>
      </c>
      <c r="L470" s="450">
        <f>TRUNC(일위대가목록!H7,0)</f>
        <v>9118</v>
      </c>
      <c r="M470" s="450">
        <f t="shared" si="69"/>
        <v>15364741.799999999</v>
      </c>
      <c r="N470" s="1147">
        <v>0</v>
      </c>
      <c r="O470" s="1147">
        <v>0</v>
      </c>
      <c r="P470" s="450">
        <f>TRUNC(일위대가목록!J7,0)</f>
        <v>0</v>
      </c>
      <c r="Q470" s="450">
        <f t="shared" si="70"/>
        <v>0</v>
      </c>
      <c r="R470" s="1147">
        <v>9118</v>
      </c>
      <c r="S470" s="1147">
        <v>15364741</v>
      </c>
      <c r="T470" s="450">
        <f t="shared" si="73"/>
        <v>9118</v>
      </c>
      <c r="U470" s="450">
        <f t="shared" si="73"/>
        <v>15364741</v>
      </c>
      <c r="V470" s="454" t="str">
        <f>일위대가목록!M7</f>
        <v>호표 4</v>
      </c>
    </row>
    <row r="471" spans="1:58" ht="30" customHeight="1">
      <c r="A471" s="443" t="s">
        <v>72</v>
      </c>
      <c r="B471" s="443" t="s">
        <v>73</v>
      </c>
      <c r="C471" s="443" t="s">
        <v>59</v>
      </c>
      <c r="D471" s="1133">
        <v>1685.1</v>
      </c>
      <c r="E471" s="445">
        <f>'2층전시실산출 '!H10</f>
        <v>1685.1</v>
      </c>
      <c r="F471" s="1147">
        <v>532</v>
      </c>
      <c r="G471" s="1147">
        <v>896473.2</v>
      </c>
      <c r="H471" s="450">
        <f>TRUNC(일위대가목록!F6,0)</f>
        <v>532</v>
      </c>
      <c r="I471" s="450">
        <f t="shared" si="68"/>
        <v>896473.2</v>
      </c>
      <c r="J471" s="1147">
        <v>1302</v>
      </c>
      <c r="K471" s="1147">
        <v>2194000.1999999997</v>
      </c>
      <c r="L471" s="450">
        <f>TRUNC(일위대가목록!H6,0)</f>
        <v>1302</v>
      </c>
      <c r="M471" s="450">
        <f t="shared" si="69"/>
        <v>2194000.1999999997</v>
      </c>
      <c r="N471" s="1147">
        <v>0</v>
      </c>
      <c r="O471" s="1147">
        <v>0</v>
      </c>
      <c r="P471" s="450">
        <f>TRUNC(일위대가목록!J6,0)</f>
        <v>0</v>
      </c>
      <c r="Q471" s="450">
        <f t="shared" si="70"/>
        <v>0</v>
      </c>
      <c r="R471" s="1147">
        <v>1834</v>
      </c>
      <c r="S471" s="1147">
        <v>3090473</v>
      </c>
      <c r="T471" s="450">
        <f t="shared" si="73"/>
        <v>1834</v>
      </c>
      <c r="U471" s="450">
        <f t="shared" si="73"/>
        <v>3090473</v>
      </c>
      <c r="V471" s="454" t="str">
        <f>일위대가목록!M6</f>
        <v>호표 3</v>
      </c>
    </row>
    <row r="472" spans="1:58" ht="30" customHeight="1">
      <c r="A472" s="444"/>
      <c r="B472" s="444"/>
      <c r="C472" s="444"/>
      <c r="D472" s="1133"/>
      <c r="E472" s="445"/>
      <c r="F472" s="1146"/>
      <c r="G472" s="1146"/>
      <c r="H472" s="444"/>
      <c r="I472" s="444"/>
      <c r="J472" s="1146"/>
      <c r="K472" s="1146"/>
      <c r="L472" s="444"/>
      <c r="M472" s="444"/>
      <c r="N472" s="1146"/>
      <c r="O472" s="1146"/>
      <c r="P472" s="444"/>
      <c r="Q472" s="444"/>
      <c r="R472" s="1146"/>
      <c r="S472" s="1146"/>
      <c r="T472" s="444"/>
      <c r="U472" s="444"/>
      <c r="V472" s="446"/>
    </row>
    <row r="473" spans="1:58" ht="30" customHeight="1">
      <c r="A473" s="444"/>
      <c r="B473" s="444"/>
      <c r="C473" s="444"/>
      <c r="D473" s="1133"/>
      <c r="E473" s="445"/>
      <c r="F473" s="1146"/>
      <c r="G473" s="1146"/>
      <c r="H473" s="444"/>
      <c r="I473" s="444"/>
      <c r="J473" s="1146"/>
      <c r="K473" s="1146"/>
      <c r="L473" s="444"/>
      <c r="M473" s="444"/>
      <c r="N473" s="1146"/>
      <c r="O473" s="1146"/>
      <c r="P473" s="444"/>
      <c r="Q473" s="444"/>
      <c r="R473" s="1146"/>
      <c r="S473" s="1146"/>
      <c r="T473" s="444"/>
      <c r="U473" s="444"/>
      <c r="V473" s="446"/>
    </row>
    <row r="474" spans="1:58" ht="30" customHeight="1">
      <c r="A474" s="444"/>
      <c r="B474" s="444"/>
      <c r="C474" s="444"/>
      <c r="D474" s="1133"/>
      <c r="E474" s="445"/>
      <c r="F474" s="1146"/>
      <c r="G474" s="1146"/>
      <c r="H474" s="444"/>
      <c r="I474" s="444"/>
      <c r="J474" s="1146"/>
      <c r="K474" s="1146"/>
      <c r="L474" s="444"/>
      <c r="M474" s="444"/>
      <c r="N474" s="1146"/>
      <c r="O474" s="1146"/>
      <c r="P474" s="444"/>
      <c r="Q474" s="444"/>
      <c r="R474" s="1146"/>
      <c r="S474" s="1146"/>
      <c r="T474" s="444"/>
      <c r="U474" s="444"/>
      <c r="V474" s="446"/>
    </row>
    <row r="475" spans="1:58" ht="30" customHeight="1">
      <c r="A475" s="444"/>
      <c r="B475" s="444"/>
      <c r="C475" s="444"/>
      <c r="D475" s="1133"/>
      <c r="E475" s="445"/>
      <c r="F475" s="1146"/>
      <c r="G475" s="1146"/>
      <c r="H475" s="444"/>
      <c r="I475" s="444"/>
      <c r="J475" s="1146"/>
      <c r="K475" s="1146"/>
      <c r="L475" s="444"/>
      <c r="M475" s="444"/>
      <c r="N475" s="1146"/>
      <c r="O475" s="1146"/>
      <c r="P475" s="444"/>
      <c r="Q475" s="444"/>
      <c r="R475" s="1146"/>
      <c r="S475" s="1146"/>
      <c r="T475" s="444"/>
      <c r="U475" s="444"/>
      <c r="V475" s="446"/>
    </row>
    <row r="476" spans="1:58" ht="30" customHeight="1">
      <c r="A476" s="444"/>
      <c r="B476" s="444"/>
      <c r="C476" s="444"/>
      <c r="D476" s="1133"/>
      <c r="E476" s="445"/>
      <c r="F476" s="1146"/>
      <c r="G476" s="1146"/>
      <c r="H476" s="444"/>
      <c r="I476" s="444"/>
      <c r="J476" s="1146"/>
      <c r="K476" s="1146"/>
      <c r="L476" s="444"/>
      <c r="M476" s="444"/>
      <c r="N476" s="1146"/>
      <c r="O476" s="1146"/>
      <c r="P476" s="444"/>
      <c r="Q476" s="444"/>
      <c r="R476" s="1146"/>
      <c r="S476" s="1146"/>
      <c r="T476" s="444"/>
      <c r="U476" s="444"/>
      <c r="V476" s="446"/>
    </row>
    <row r="477" spans="1:58" ht="30" customHeight="1">
      <c r="A477" s="444"/>
      <c r="B477" s="444"/>
      <c r="C477" s="444"/>
      <c r="D477" s="1133"/>
      <c r="E477" s="445"/>
      <c r="F477" s="1146"/>
      <c r="G477" s="1146"/>
      <c r="H477" s="444"/>
      <c r="I477" s="444"/>
      <c r="J477" s="1146"/>
      <c r="K477" s="1146"/>
      <c r="L477" s="444"/>
      <c r="M477" s="444"/>
      <c r="N477" s="1146"/>
      <c r="O477" s="1146"/>
      <c r="P477" s="444"/>
      <c r="Q477" s="444"/>
      <c r="R477" s="1146"/>
      <c r="S477" s="1146"/>
      <c r="T477" s="444"/>
      <c r="U477" s="444"/>
      <c r="V477" s="446"/>
    </row>
    <row r="478" spans="1:58" ht="30" customHeight="1">
      <c r="A478" s="444"/>
      <c r="B478" s="444"/>
      <c r="C478" s="444"/>
      <c r="D478" s="1133"/>
      <c r="E478" s="445"/>
      <c r="F478" s="1146"/>
      <c r="G478" s="1146"/>
      <c r="H478" s="444"/>
      <c r="I478" s="444"/>
      <c r="J478" s="1146"/>
      <c r="K478" s="1146"/>
      <c r="L478" s="444"/>
      <c r="M478" s="444"/>
      <c r="N478" s="1146"/>
      <c r="O478" s="1146"/>
      <c r="P478" s="444"/>
      <c r="Q478" s="444"/>
      <c r="R478" s="1146"/>
      <c r="S478" s="1146"/>
      <c r="T478" s="444"/>
      <c r="U478" s="444"/>
      <c r="V478" s="446"/>
    </row>
    <row r="479" spans="1:58" ht="30" customHeight="1">
      <c r="A479" s="444"/>
      <c r="B479" s="444"/>
      <c r="C479" s="444"/>
      <c r="D479" s="1133"/>
      <c r="E479" s="445"/>
      <c r="F479" s="1146"/>
      <c r="G479" s="1146"/>
      <c r="H479" s="444"/>
      <c r="I479" s="444"/>
      <c r="J479" s="1146"/>
      <c r="K479" s="1146"/>
      <c r="L479" s="444"/>
      <c r="M479" s="444"/>
      <c r="N479" s="1146"/>
      <c r="O479" s="1146"/>
      <c r="P479" s="444"/>
      <c r="Q479" s="444"/>
      <c r="R479" s="1146"/>
      <c r="S479" s="1146"/>
      <c r="T479" s="444"/>
      <c r="U479" s="444"/>
      <c r="V479" s="446"/>
    </row>
    <row r="480" spans="1:58" ht="30" customHeight="1">
      <c r="A480" s="444"/>
      <c r="B480" s="444"/>
      <c r="C480" s="444"/>
      <c r="D480" s="1133"/>
      <c r="E480" s="445"/>
      <c r="F480" s="1146"/>
      <c r="G480" s="1146"/>
      <c r="H480" s="444"/>
      <c r="I480" s="444"/>
      <c r="J480" s="1146"/>
      <c r="K480" s="1146"/>
      <c r="L480" s="444"/>
      <c r="M480" s="444"/>
      <c r="N480" s="1146"/>
      <c r="O480" s="1146"/>
      <c r="P480" s="444"/>
      <c r="Q480" s="444"/>
      <c r="R480" s="1146"/>
      <c r="S480" s="1146"/>
      <c r="T480" s="444"/>
      <c r="U480" s="444"/>
      <c r="V480" s="446"/>
    </row>
    <row r="481" spans="1:57" ht="30" customHeight="1">
      <c r="A481" s="444"/>
      <c r="B481" s="444"/>
      <c r="C481" s="444"/>
      <c r="D481" s="1133"/>
      <c r="E481" s="445"/>
      <c r="F481" s="1146"/>
      <c r="G481" s="1146"/>
      <c r="H481" s="444"/>
      <c r="I481" s="444"/>
      <c r="J481" s="1146"/>
      <c r="K481" s="1146"/>
      <c r="L481" s="444"/>
      <c r="M481" s="444"/>
      <c r="N481" s="1146"/>
      <c r="O481" s="1146"/>
      <c r="P481" s="444"/>
      <c r="Q481" s="444"/>
      <c r="R481" s="1146"/>
      <c r="S481" s="1146"/>
      <c r="T481" s="444"/>
      <c r="U481" s="444"/>
      <c r="V481" s="446"/>
    </row>
    <row r="482" spans="1:57" ht="30" customHeight="1">
      <c r="A482" s="444"/>
      <c r="B482" s="444"/>
      <c r="C482" s="444"/>
      <c r="D482" s="1133"/>
      <c r="E482" s="445"/>
      <c r="F482" s="1146"/>
      <c r="G482" s="1146"/>
      <c r="H482" s="444"/>
      <c r="I482" s="444"/>
      <c r="J482" s="1146"/>
      <c r="K482" s="1146"/>
      <c r="L482" s="444"/>
      <c r="M482" s="444"/>
      <c r="N482" s="1146"/>
      <c r="O482" s="1146"/>
      <c r="P482" s="444"/>
      <c r="Q482" s="444"/>
      <c r="R482" s="1146"/>
      <c r="S482" s="1146"/>
      <c r="T482" s="444"/>
      <c r="U482" s="444"/>
      <c r="V482" s="446"/>
    </row>
    <row r="483" spans="1:57" ht="30" customHeight="1">
      <c r="A483" s="444"/>
      <c r="B483" s="444"/>
      <c r="C483" s="444"/>
      <c r="D483" s="1133"/>
      <c r="E483" s="445"/>
      <c r="F483" s="1146"/>
      <c r="G483" s="1146"/>
      <c r="H483" s="444"/>
      <c r="I483" s="444"/>
      <c r="J483" s="1146"/>
      <c r="K483" s="1146"/>
      <c r="L483" s="444"/>
      <c r="M483" s="444"/>
      <c r="N483" s="1146"/>
      <c r="O483" s="1146"/>
      <c r="P483" s="444"/>
      <c r="Q483" s="444"/>
      <c r="R483" s="1146"/>
      <c r="S483" s="1146"/>
      <c r="T483" s="444"/>
      <c r="U483" s="444"/>
      <c r="V483" s="446"/>
    </row>
    <row r="484" spans="1:57" ht="30" customHeight="1">
      <c r="A484" s="444"/>
      <c r="B484" s="444"/>
      <c r="C484" s="444"/>
      <c r="D484" s="1133"/>
      <c r="E484" s="445"/>
      <c r="F484" s="1146"/>
      <c r="G484" s="1146"/>
      <c r="H484" s="444"/>
      <c r="I484" s="444"/>
      <c r="J484" s="1146"/>
      <c r="K484" s="1146"/>
      <c r="L484" s="444"/>
      <c r="M484" s="444"/>
      <c r="N484" s="1146"/>
      <c r="O484" s="1146"/>
      <c r="P484" s="444"/>
      <c r="Q484" s="444"/>
      <c r="R484" s="1146"/>
      <c r="S484" s="1146"/>
      <c r="T484" s="444"/>
      <c r="U484" s="444"/>
      <c r="V484" s="446"/>
    </row>
    <row r="485" spans="1:57" ht="30" customHeight="1">
      <c r="A485" s="444"/>
      <c r="B485" s="444"/>
      <c r="C485" s="444"/>
      <c r="D485" s="1133"/>
      <c r="E485" s="445"/>
      <c r="F485" s="1146"/>
      <c r="G485" s="1146"/>
      <c r="H485" s="444"/>
      <c r="I485" s="444"/>
      <c r="J485" s="1146"/>
      <c r="K485" s="1146"/>
      <c r="L485" s="444"/>
      <c r="M485" s="444"/>
      <c r="N485" s="1146"/>
      <c r="O485" s="1146"/>
      <c r="P485" s="444"/>
      <c r="Q485" s="444"/>
      <c r="R485" s="1146"/>
      <c r="S485" s="1146"/>
      <c r="T485" s="444"/>
      <c r="U485" s="444"/>
      <c r="V485" s="446"/>
      <c r="W485" s="447"/>
      <c r="X485" s="447"/>
      <c r="Y485" s="447"/>
      <c r="Z485" s="448" t="s">
        <v>606</v>
      </c>
      <c r="AA485" s="447"/>
      <c r="AB485" s="447"/>
      <c r="AC485" s="447"/>
      <c r="AD485" s="447"/>
      <c r="AE485" s="447"/>
      <c r="AF485" s="447"/>
      <c r="AG485" s="447"/>
      <c r="AH485" s="447"/>
      <c r="AI485" s="447"/>
      <c r="AJ485" s="447"/>
      <c r="AK485" s="447"/>
      <c r="AL485" s="447"/>
      <c r="AM485" s="447"/>
      <c r="AN485" s="447"/>
      <c r="AO485" s="447"/>
      <c r="AP485" s="447"/>
      <c r="AQ485" s="447"/>
      <c r="AR485" s="447"/>
      <c r="AS485" s="447"/>
      <c r="AT485" s="447"/>
      <c r="AU485" s="447"/>
      <c r="AV485" s="447"/>
      <c r="AW485" s="447"/>
      <c r="AX485" s="447"/>
      <c r="AY485" s="447"/>
      <c r="AZ485" s="447"/>
      <c r="BA485" s="447"/>
      <c r="BB485" s="447"/>
      <c r="BC485" s="447"/>
      <c r="BD485" s="447"/>
      <c r="BE485" s="447"/>
    </row>
    <row r="486" spans="1:57" ht="30" customHeight="1">
      <c r="A486" s="443" t="s">
        <v>85</v>
      </c>
      <c r="B486" s="444"/>
      <c r="C486" s="444"/>
      <c r="D486" s="1133"/>
      <c r="E486" s="445"/>
      <c r="F486" s="1146"/>
      <c r="G486" s="1147">
        <v>2790374.87</v>
      </c>
      <c r="H486" s="444"/>
      <c r="I486" s="450">
        <f>SUM(I466:I485)</f>
        <v>1575287.96</v>
      </c>
      <c r="J486" s="1146"/>
      <c r="K486" s="1147">
        <v>31670689.072999999</v>
      </c>
      <c r="L486" s="444"/>
      <c r="M486" s="450">
        <f>SUM(M466:M485)</f>
        <v>28139141.572999999</v>
      </c>
      <c r="N486" s="1146"/>
      <c r="O486" s="1147">
        <v>143120.25</v>
      </c>
      <c r="P486" s="444"/>
      <c r="Q486" s="450">
        <f>SUM(Q466:Q471)</f>
        <v>143120.25</v>
      </c>
      <c r="R486" s="1146"/>
      <c r="S486" s="1147">
        <v>34604181</v>
      </c>
      <c r="T486" s="444"/>
      <c r="U486" s="450">
        <f>SUM(U466:U485)</f>
        <v>29857547</v>
      </c>
      <c r="V486" s="446"/>
      <c r="W486" s="448" t="s">
        <v>91</v>
      </c>
      <c r="X486" s="448" t="s">
        <v>51</v>
      </c>
      <c r="Y486" s="448" t="s">
        <v>51</v>
      </c>
      <c r="Z486" s="448" t="s">
        <v>606</v>
      </c>
      <c r="AA486" s="448" t="s">
        <v>61</v>
      </c>
      <c r="AB486" s="448" t="s">
        <v>62</v>
      </c>
      <c r="AC486" s="448" t="s">
        <v>62</v>
      </c>
      <c r="AD486" s="447"/>
      <c r="AE486" s="447"/>
      <c r="AF486" s="447"/>
      <c r="AG486" s="447"/>
      <c r="AH486" s="447"/>
      <c r="AI486" s="447"/>
      <c r="AJ486" s="447"/>
      <c r="AK486" s="447"/>
      <c r="AL486" s="447"/>
      <c r="AM486" s="447"/>
      <c r="AN486" s="447"/>
      <c r="AO486" s="447"/>
      <c r="AP486" s="447"/>
      <c r="AQ486" s="447"/>
      <c r="AR486" s="447"/>
      <c r="AS486" s="447"/>
      <c r="AT486" s="447"/>
      <c r="AU486" s="447"/>
      <c r="AV486" s="447"/>
      <c r="AW486" s="447"/>
      <c r="AX486" s="447"/>
      <c r="AY486" s="447"/>
      <c r="AZ486" s="447"/>
      <c r="BA486" s="448" t="s">
        <v>51</v>
      </c>
      <c r="BB486" s="448" t="s">
        <v>51</v>
      </c>
      <c r="BC486" s="447"/>
      <c r="BD486" s="448" t="s">
        <v>607</v>
      </c>
      <c r="BE486" s="447">
        <v>58</v>
      </c>
    </row>
    <row r="487" spans="1:57" ht="30" customHeight="1">
      <c r="A487" s="443" t="s">
        <v>4763</v>
      </c>
      <c r="B487" s="444"/>
      <c r="C487" s="444"/>
      <c r="D487" s="1133"/>
      <c r="E487" s="445"/>
      <c r="F487" s="1146"/>
      <c r="G487" s="1146"/>
      <c r="H487" s="444"/>
      <c r="I487" s="444"/>
      <c r="J487" s="1146"/>
      <c r="K487" s="1146"/>
      <c r="L487" s="444"/>
      <c r="M487" s="444"/>
      <c r="N487" s="1146"/>
      <c r="O487" s="1146"/>
      <c r="P487" s="444"/>
      <c r="Q487" s="444"/>
      <c r="R487" s="1146"/>
      <c r="S487" s="1146"/>
      <c r="T487" s="444"/>
      <c r="U487" s="444"/>
      <c r="V487" s="446"/>
      <c r="W487" s="448" t="s">
        <v>635</v>
      </c>
      <c r="X487" s="448" t="s">
        <v>51</v>
      </c>
      <c r="Y487" s="448" t="s">
        <v>51</v>
      </c>
      <c r="Z487" s="448" t="s">
        <v>628</v>
      </c>
      <c r="AA487" s="448" t="s">
        <v>61</v>
      </c>
      <c r="AB487" s="448" t="s">
        <v>62</v>
      </c>
      <c r="AC487" s="448" t="s">
        <v>62</v>
      </c>
      <c r="AD487" s="447"/>
      <c r="AE487" s="447"/>
      <c r="AF487" s="447"/>
      <c r="AG487" s="447"/>
      <c r="AH487" s="447"/>
      <c r="AI487" s="447"/>
      <c r="AJ487" s="447"/>
      <c r="AK487" s="447"/>
      <c r="AL487" s="447"/>
      <c r="AM487" s="447"/>
      <c r="AN487" s="447"/>
      <c r="AO487" s="447"/>
      <c r="AP487" s="447"/>
      <c r="AQ487" s="447"/>
      <c r="AR487" s="447"/>
      <c r="AS487" s="447"/>
      <c r="AT487" s="447"/>
      <c r="AU487" s="447"/>
      <c r="AV487" s="447"/>
      <c r="AW487" s="447"/>
      <c r="AX487" s="447"/>
      <c r="AY487" s="447"/>
      <c r="AZ487" s="447"/>
      <c r="BA487" s="448" t="s">
        <v>51</v>
      </c>
      <c r="BB487" s="448" t="s">
        <v>51</v>
      </c>
      <c r="BC487" s="447"/>
      <c r="BD487" s="448" t="s">
        <v>636</v>
      </c>
      <c r="BE487" s="447">
        <v>522</v>
      </c>
    </row>
    <row r="488" spans="1:57" ht="30" customHeight="1">
      <c r="A488" s="443" t="s">
        <v>629</v>
      </c>
      <c r="B488" s="443" t="s">
        <v>4462</v>
      </c>
      <c r="C488" s="443" t="s">
        <v>59</v>
      </c>
      <c r="D488" s="1133">
        <v>24.6</v>
      </c>
      <c r="E488" s="445">
        <f>'2층전시실산출 '!H98</f>
        <v>24.6</v>
      </c>
      <c r="F488" s="1147">
        <v>16769</v>
      </c>
      <c r="G488" s="1147">
        <v>412517.4</v>
      </c>
      <c r="H488" s="450">
        <f>일위대가목록!F83</f>
        <v>5597</v>
      </c>
      <c r="I488" s="450">
        <f>E488*H488</f>
        <v>137686.20000000001</v>
      </c>
      <c r="J488" s="1147">
        <v>37271</v>
      </c>
      <c r="K488" s="1147">
        <v>916866.60000000009</v>
      </c>
      <c r="L488" s="450">
        <f>일위대가목록!H83</f>
        <v>8790</v>
      </c>
      <c r="M488" s="450">
        <f>E488*L488</f>
        <v>216234</v>
      </c>
      <c r="N488" s="1147">
        <v>0</v>
      </c>
      <c r="O488" s="1147">
        <v>0</v>
      </c>
      <c r="P488" s="450">
        <f>일위대가목록!J83</f>
        <v>0</v>
      </c>
      <c r="Q488" s="450">
        <f>E488*P488</f>
        <v>0</v>
      </c>
      <c r="R488" s="1147">
        <v>54040</v>
      </c>
      <c r="S488" s="1147">
        <v>1329384</v>
      </c>
      <c r="T488" s="450">
        <f t="shared" ref="T488:U490" si="74">TRUNC(H488+L488+P488, 0)</f>
        <v>14387</v>
      </c>
      <c r="U488" s="450">
        <f t="shared" si="74"/>
        <v>353920</v>
      </c>
      <c r="V488" s="454" t="str">
        <f>일위대가목록!M83</f>
        <v>호표 80</v>
      </c>
      <c r="W488" s="448" t="s">
        <v>638</v>
      </c>
      <c r="X488" s="448" t="s">
        <v>51</v>
      </c>
      <c r="Y488" s="448" t="s">
        <v>51</v>
      </c>
      <c r="Z488" s="448" t="s">
        <v>628</v>
      </c>
      <c r="AA488" s="448" t="s">
        <v>61</v>
      </c>
      <c r="AB488" s="448" t="s">
        <v>62</v>
      </c>
      <c r="AC488" s="448" t="s">
        <v>62</v>
      </c>
      <c r="AD488" s="447"/>
      <c r="AE488" s="447"/>
      <c r="AF488" s="447"/>
      <c r="AG488" s="447"/>
      <c r="AH488" s="447"/>
      <c r="AI488" s="447"/>
      <c r="AJ488" s="447"/>
      <c r="AK488" s="447"/>
      <c r="AL488" s="447"/>
      <c r="AM488" s="447"/>
      <c r="AN488" s="447"/>
      <c r="AO488" s="447"/>
      <c r="AP488" s="447"/>
      <c r="AQ488" s="447"/>
      <c r="AR488" s="447"/>
      <c r="AS488" s="447"/>
      <c r="AT488" s="447"/>
      <c r="AU488" s="447"/>
      <c r="AV488" s="447"/>
      <c r="AW488" s="447"/>
      <c r="AX488" s="447"/>
      <c r="AY488" s="447"/>
      <c r="AZ488" s="447"/>
      <c r="BA488" s="448" t="s">
        <v>51</v>
      </c>
      <c r="BB488" s="448" t="s">
        <v>51</v>
      </c>
      <c r="BC488" s="447"/>
      <c r="BD488" s="448" t="s">
        <v>639</v>
      </c>
      <c r="BE488" s="447">
        <v>523</v>
      </c>
    </row>
    <row r="489" spans="1:57" ht="30" customHeight="1">
      <c r="A489" s="443" t="s">
        <v>633</v>
      </c>
      <c r="B489" s="443" t="s">
        <v>634</v>
      </c>
      <c r="C489" s="443" t="s">
        <v>59</v>
      </c>
      <c r="D489" s="1133">
        <v>24.6</v>
      </c>
      <c r="E489" s="445">
        <f>'2층전시실산출 '!H99</f>
        <v>24.6</v>
      </c>
      <c r="F489" s="1147">
        <v>4880</v>
      </c>
      <c r="G489" s="1147">
        <v>120048</v>
      </c>
      <c r="H489" s="450">
        <f>일위대가목록!F84</f>
        <v>4880</v>
      </c>
      <c r="I489" s="450">
        <f>E489*H489</f>
        <v>120048</v>
      </c>
      <c r="J489" s="1147">
        <v>15394</v>
      </c>
      <c r="K489" s="1147">
        <v>378692.4</v>
      </c>
      <c r="L489" s="450">
        <f>일위대가목록!H84</f>
        <v>15394</v>
      </c>
      <c r="M489" s="450">
        <f>E489*L489</f>
        <v>378692.4</v>
      </c>
      <c r="N489" s="1147">
        <v>118</v>
      </c>
      <c r="O489" s="1147">
        <v>2902.8</v>
      </c>
      <c r="P489" s="450">
        <f>일위대가목록!J84</f>
        <v>118</v>
      </c>
      <c r="Q489" s="450">
        <f>E489*P489</f>
        <v>2902.8</v>
      </c>
      <c r="R489" s="1147">
        <v>20392</v>
      </c>
      <c r="S489" s="1147">
        <v>501643</v>
      </c>
      <c r="T489" s="450">
        <f t="shared" si="74"/>
        <v>20392</v>
      </c>
      <c r="U489" s="450">
        <f t="shared" si="74"/>
        <v>501643</v>
      </c>
      <c r="V489" s="454" t="str">
        <f>일위대가목록!M84</f>
        <v>호표 81</v>
      </c>
    </row>
    <row r="490" spans="1:57" ht="30" customHeight="1">
      <c r="A490" s="443" t="s">
        <v>637</v>
      </c>
      <c r="B490" s="443" t="s">
        <v>208</v>
      </c>
      <c r="C490" s="443" t="s">
        <v>59</v>
      </c>
      <c r="D490" s="1133">
        <v>24.6</v>
      </c>
      <c r="E490" s="445">
        <f>'2층전시실산출 '!H100</f>
        <v>24.6</v>
      </c>
      <c r="F490" s="1147">
        <v>1701</v>
      </c>
      <c r="G490" s="1147">
        <v>41844.600000000006</v>
      </c>
      <c r="H490" s="450">
        <f>일위대가목록!F85</f>
        <v>4200</v>
      </c>
      <c r="I490" s="450">
        <f>E490*H490</f>
        <v>103320</v>
      </c>
      <c r="J490" s="1147">
        <v>12917</v>
      </c>
      <c r="K490" s="1147">
        <v>317758.2</v>
      </c>
      <c r="L490" s="450">
        <f>일위대가목록!H85</f>
        <v>9200</v>
      </c>
      <c r="M490" s="450">
        <f>E490*L490</f>
        <v>226320</v>
      </c>
      <c r="N490" s="1147">
        <v>0</v>
      </c>
      <c r="O490" s="1147">
        <v>0</v>
      </c>
      <c r="P490" s="450">
        <f>일위대가목록!J85</f>
        <v>0</v>
      </c>
      <c r="Q490" s="450">
        <f>E490*P490</f>
        <v>0</v>
      </c>
      <c r="R490" s="1147">
        <v>14618</v>
      </c>
      <c r="S490" s="1147">
        <v>359602</v>
      </c>
      <c r="T490" s="450">
        <f t="shared" si="74"/>
        <v>13400</v>
      </c>
      <c r="U490" s="450">
        <f t="shared" si="74"/>
        <v>329640</v>
      </c>
      <c r="V490" s="454" t="str">
        <f>일위대가목록!M85</f>
        <v>호표 82</v>
      </c>
    </row>
    <row r="491" spans="1:57" ht="30" customHeight="1">
      <c r="A491" s="444"/>
      <c r="B491" s="444"/>
      <c r="C491" s="444"/>
      <c r="D491" s="1133"/>
      <c r="E491" s="445"/>
      <c r="F491" s="1146"/>
      <c r="G491" s="1146"/>
      <c r="H491" s="444"/>
      <c r="I491" s="444"/>
      <c r="J491" s="1146"/>
      <c r="K491" s="1146"/>
      <c r="L491" s="444"/>
      <c r="M491" s="444"/>
      <c r="N491" s="1146"/>
      <c r="O491" s="1146"/>
      <c r="P491" s="444"/>
      <c r="Q491" s="444"/>
      <c r="R491" s="1146"/>
      <c r="S491" s="1146"/>
      <c r="T491" s="444"/>
      <c r="U491" s="444"/>
      <c r="V491" s="446"/>
    </row>
    <row r="492" spans="1:57" ht="30" customHeight="1">
      <c r="A492" s="444"/>
      <c r="B492" s="444"/>
      <c r="C492" s="444"/>
      <c r="D492" s="1133"/>
      <c r="E492" s="445"/>
      <c r="F492" s="1146"/>
      <c r="G492" s="1146"/>
      <c r="H492" s="444"/>
      <c r="I492" s="444"/>
      <c r="J492" s="1146"/>
      <c r="K492" s="1146"/>
      <c r="L492" s="444"/>
      <c r="M492" s="444"/>
      <c r="N492" s="1146"/>
      <c r="O492" s="1146"/>
      <c r="P492" s="444"/>
      <c r="Q492" s="444"/>
      <c r="R492" s="1146"/>
      <c r="S492" s="1146"/>
      <c r="T492" s="444"/>
      <c r="U492" s="444"/>
      <c r="V492" s="446"/>
    </row>
    <row r="493" spans="1:57" ht="30" customHeight="1">
      <c r="A493" s="444"/>
      <c r="B493" s="444"/>
      <c r="C493" s="444"/>
      <c r="D493" s="1133"/>
      <c r="E493" s="445"/>
      <c r="F493" s="1146"/>
      <c r="G493" s="1146"/>
      <c r="H493" s="444"/>
      <c r="I493" s="444"/>
      <c r="J493" s="1146"/>
      <c r="K493" s="1146"/>
      <c r="L493" s="444"/>
      <c r="M493" s="444"/>
      <c r="N493" s="1146"/>
      <c r="O493" s="1146"/>
      <c r="P493" s="444"/>
      <c r="Q493" s="444"/>
      <c r="R493" s="1146"/>
      <c r="S493" s="1146"/>
      <c r="T493" s="444"/>
      <c r="U493" s="444"/>
      <c r="V493" s="446"/>
    </row>
    <row r="494" spans="1:57" ht="30" customHeight="1">
      <c r="A494" s="444"/>
      <c r="B494" s="444"/>
      <c r="C494" s="444"/>
      <c r="D494" s="1133"/>
      <c r="E494" s="445"/>
      <c r="F494" s="1146"/>
      <c r="G494" s="1146"/>
      <c r="H494" s="444"/>
      <c r="I494" s="444"/>
      <c r="J494" s="1146"/>
      <c r="K494" s="1146"/>
      <c r="L494" s="444"/>
      <c r="M494" s="444"/>
      <c r="N494" s="1146"/>
      <c r="O494" s="1146"/>
      <c r="P494" s="444"/>
      <c r="Q494" s="444"/>
      <c r="R494" s="1146"/>
      <c r="S494" s="1146"/>
      <c r="T494" s="444"/>
      <c r="U494" s="444"/>
      <c r="V494" s="446"/>
    </row>
    <row r="495" spans="1:57" ht="30" customHeight="1">
      <c r="A495" s="444"/>
      <c r="B495" s="444"/>
      <c r="C495" s="444"/>
      <c r="D495" s="1133"/>
      <c r="E495" s="445"/>
      <c r="F495" s="1146"/>
      <c r="G495" s="1146"/>
      <c r="H495" s="444"/>
      <c r="I495" s="444"/>
      <c r="J495" s="1146"/>
      <c r="K495" s="1146"/>
      <c r="L495" s="444"/>
      <c r="M495" s="444"/>
      <c r="N495" s="1146"/>
      <c r="O495" s="1146"/>
      <c r="P495" s="444"/>
      <c r="Q495" s="444"/>
      <c r="R495" s="1146"/>
      <c r="S495" s="1146"/>
      <c r="T495" s="444"/>
      <c r="U495" s="444"/>
      <c r="V495" s="446"/>
    </row>
    <row r="496" spans="1:57" ht="30" customHeight="1">
      <c r="A496" s="444"/>
      <c r="B496" s="444"/>
      <c r="C496" s="444"/>
      <c r="D496" s="1133"/>
      <c r="E496" s="445"/>
      <c r="F496" s="1146"/>
      <c r="G496" s="1146"/>
      <c r="H496" s="444"/>
      <c r="I496" s="444"/>
      <c r="J496" s="1146"/>
      <c r="K496" s="1146"/>
      <c r="L496" s="444"/>
      <c r="M496" s="444"/>
      <c r="N496" s="1146"/>
      <c r="O496" s="1146"/>
      <c r="P496" s="444"/>
      <c r="Q496" s="444"/>
      <c r="R496" s="1146"/>
      <c r="S496" s="1146"/>
      <c r="T496" s="444"/>
      <c r="U496" s="444"/>
      <c r="V496" s="446"/>
    </row>
    <row r="497" spans="1:57" ht="30" customHeight="1">
      <c r="A497" s="444"/>
      <c r="B497" s="444"/>
      <c r="C497" s="444"/>
      <c r="D497" s="1133"/>
      <c r="E497" s="445"/>
      <c r="F497" s="1146"/>
      <c r="G497" s="1146"/>
      <c r="H497" s="444"/>
      <c r="I497" s="444"/>
      <c r="J497" s="1146"/>
      <c r="K497" s="1146"/>
      <c r="L497" s="444"/>
      <c r="M497" s="444"/>
      <c r="N497" s="1146"/>
      <c r="O497" s="1146"/>
      <c r="P497" s="444"/>
      <c r="Q497" s="444"/>
      <c r="R497" s="1146"/>
      <c r="S497" s="1146"/>
      <c r="T497" s="444"/>
      <c r="U497" s="444"/>
      <c r="V497" s="446"/>
    </row>
    <row r="498" spans="1:57" ht="30" customHeight="1">
      <c r="A498" s="444"/>
      <c r="B498" s="444"/>
      <c r="C498" s="444"/>
      <c r="D498" s="1133"/>
      <c r="E498" s="445"/>
      <c r="F498" s="1146"/>
      <c r="G498" s="1146"/>
      <c r="H498" s="444"/>
      <c r="I498" s="444"/>
      <c r="J498" s="1146"/>
      <c r="K498" s="1146"/>
      <c r="L498" s="444"/>
      <c r="M498" s="444"/>
      <c r="N498" s="1146"/>
      <c r="O498" s="1146"/>
      <c r="P498" s="444"/>
      <c r="Q498" s="444"/>
      <c r="R498" s="1146"/>
      <c r="S498" s="1146"/>
      <c r="T498" s="444"/>
      <c r="U498" s="444"/>
      <c r="V498" s="446"/>
    </row>
    <row r="499" spans="1:57" ht="30" customHeight="1">
      <c r="A499" s="444"/>
      <c r="B499" s="444"/>
      <c r="C499" s="444"/>
      <c r="D499" s="1133"/>
      <c r="E499" s="445"/>
      <c r="F499" s="1146"/>
      <c r="G499" s="1146"/>
      <c r="H499" s="444"/>
      <c r="I499" s="444"/>
      <c r="J499" s="1146"/>
      <c r="K499" s="1146"/>
      <c r="L499" s="444"/>
      <c r="M499" s="444"/>
      <c r="N499" s="1146"/>
      <c r="O499" s="1146"/>
      <c r="P499" s="444"/>
      <c r="Q499" s="444"/>
      <c r="R499" s="1146"/>
      <c r="S499" s="1146"/>
      <c r="T499" s="444"/>
      <c r="U499" s="444"/>
      <c r="V499" s="446"/>
    </row>
    <row r="500" spans="1:57" ht="30" customHeight="1">
      <c r="A500" s="444"/>
      <c r="B500" s="444"/>
      <c r="C500" s="444"/>
      <c r="D500" s="1133"/>
      <c r="E500" s="445"/>
      <c r="F500" s="1146"/>
      <c r="G500" s="1146"/>
      <c r="H500" s="444"/>
      <c r="I500" s="444"/>
      <c r="J500" s="1146"/>
      <c r="K500" s="1146"/>
      <c r="L500" s="444"/>
      <c r="M500" s="444"/>
      <c r="N500" s="1146"/>
      <c r="O500" s="1146"/>
      <c r="P500" s="444"/>
      <c r="Q500" s="444"/>
      <c r="R500" s="1146"/>
      <c r="S500" s="1146"/>
      <c r="T500" s="444"/>
      <c r="U500" s="444"/>
      <c r="V500" s="446"/>
    </row>
    <row r="501" spans="1:57" ht="30" customHeight="1">
      <c r="A501" s="444"/>
      <c r="B501" s="444"/>
      <c r="C501" s="444"/>
      <c r="D501" s="1133"/>
      <c r="E501" s="445"/>
      <c r="F501" s="1146"/>
      <c r="G501" s="1146"/>
      <c r="H501" s="444"/>
      <c r="I501" s="444"/>
      <c r="J501" s="1146"/>
      <c r="K501" s="1146"/>
      <c r="L501" s="444"/>
      <c r="M501" s="444"/>
      <c r="N501" s="1146"/>
      <c r="O501" s="1146"/>
      <c r="P501" s="444"/>
      <c r="Q501" s="444"/>
      <c r="R501" s="1146"/>
      <c r="S501" s="1146"/>
      <c r="T501" s="444"/>
      <c r="U501" s="444"/>
      <c r="V501" s="446"/>
    </row>
    <row r="502" spans="1:57" ht="30" customHeight="1">
      <c r="A502" s="444"/>
      <c r="B502" s="444"/>
      <c r="C502" s="444"/>
      <c r="D502" s="1133"/>
      <c r="E502" s="445"/>
      <c r="F502" s="1146"/>
      <c r="G502" s="1146"/>
      <c r="H502" s="444"/>
      <c r="I502" s="444"/>
      <c r="J502" s="1146"/>
      <c r="K502" s="1146"/>
      <c r="L502" s="444"/>
      <c r="M502" s="444"/>
      <c r="N502" s="1146"/>
      <c r="O502" s="1146"/>
      <c r="P502" s="444"/>
      <c r="Q502" s="444"/>
      <c r="R502" s="1146"/>
      <c r="S502" s="1146"/>
      <c r="T502" s="444"/>
      <c r="U502" s="444"/>
      <c r="V502" s="446"/>
    </row>
    <row r="503" spans="1:57" ht="30" customHeight="1">
      <c r="A503" s="444"/>
      <c r="B503" s="444"/>
      <c r="C503" s="444"/>
      <c r="D503" s="1133"/>
      <c r="E503" s="445"/>
      <c r="F503" s="1146"/>
      <c r="G503" s="1146"/>
      <c r="H503" s="444"/>
      <c r="I503" s="444"/>
      <c r="J503" s="1146"/>
      <c r="K503" s="1146"/>
      <c r="L503" s="444"/>
      <c r="M503" s="444"/>
      <c r="N503" s="1146"/>
      <c r="O503" s="1146"/>
      <c r="P503" s="444"/>
      <c r="Q503" s="444"/>
      <c r="R503" s="1146"/>
      <c r="S503" s="1146"/>
      <c r="T503" s="444"/>
      <c r="U503" s="444"/>
      <c r="V503" s="446"/>
    </row>
    <row r="504" spans="1:57" ht="30" customHeight="1">
      <c r="A504" s="444"/>
      <c r="B504" s="444"/>
      <c r="C504" s="444"/>
      <c r="D504" s="1133"/>
      <c r="E504" s="445"/>
      <c r="F504" s="1146"/>
      <c r="G504" s="1146"/>
      <c r="H504" s="444"/>
      <c r="I504" s="444"/>
      <c r="J504" s="1146"/>
      <c r="K504" s="1146"/>
      <c r="L504" s="444"/>
      <c r="M504" s="444"/>
      <c r="N504" s="1146"/>
      <c r="O504" s="1146"/>
      <c r="P504" s="444"/>
      <c r="Q504" s="444"/>
      <c r="R504" s="1146"/>
      <c r="S504" s="1146"/>
      <c r="T504" s="444"/>
      <c r="U504" s="444"/>
      <c r="V504" s="446"/>
    </row>
    <row r="505" spans="1:57" ht="30" customHeight="1">
      <c r="A505" s="444"/>
      <c r="B505" s="444"/>
      <c r="C505" s="444"/>
      <c r="D505" s="1133"/>
      <c r="E505" s="445"/>
      <c r="F505" s="1146"/>
      <c r="G505" s="1146"/>
      <c r="H505" s="444"/>
      <c r="I505" s="444"/>
      <c r="J505" s="1146"/>
      <c r="K505" s="1146"/>
      <c r="L505" s="444"/>
      <c r="M505" s="444"/>
      <c r="N505" s="1146"/>
      <c r="O505" s="1146"/>
      <c r="P505" s="444"/>
      <c r="Q505" s="444"/>
      <c r="R505" s="1146"/>
      <c r="S505" s="1146"/>
      <c r="T505" s="444"/>
      <c r="U505" s="444"/>
      <c r="V505" s="446"/>
    </row>
    <row r="506" spans="1:57" ht="30" customHeight="1">
      <c r="A506" s="444"/>
      <c r="B506" s="444"/>
      <c r="C506" s="444"/>
      <c r="D506" s="1133"/>
      <c r="E506" s="445"/>
      <c r="F506" s="1146"/>
      <c r="G506" s="1146"/>
      <c r="H506" s="444"/>
      <c r="I506" s="444"/>
      <c r="J506" s="1146"/>
      <c r="K506" s="1146"/>
      <c r="L506" s="444"/>
      <c r="M506" s="444"/>
      <c r="N506" s="1146"/>
      <c r="O506" s="1146"/>
      <c r="P506" s="444"/>
      <c r="Q506" s="444"/>
      <c r="R506" s="1146"/>
      <c r="S506" s="1146"/>
      <c r="T506" s="444"/>
      <c r="U506" s="444"/>
      <c r="V506" s="446"/>
    </row>
    <row r="507" spans="1:57" ht="30" customHeight="1">
      <c r="A507" s="444"/>
      <c r="B507" s="444"/>
      <c r="C507" s="444"/>
      <c r="D507" s="1133"/>
      <c r="E507" s="445"/>
      <c r="F507" s="1146"/>
      <c r="G507" s="1146"/>
      <c r="H507" s="444"/>
      <c r="I507" s="444"/>
      <c r="J507" s="1146"/>
      <c r="K507" s="1146"/>
      <c r="L507" s="444"/>
      <c r="M507" s="444"/>
      <c r="N507" s="1146"/>
      <c r="O507" s="1146"/>
      <c r="P507" s="444"/>
      <c r="Q507" s="444"/>
      <c r="R507" s="1146"/>
      <c r="S507" s="1146"/>
      <c r="T507" s="444"/>
      <c r="U507" s="444"/>
      <c r="V507" s="446"/>
      <c r="W507" s="449" t="s">
        <v>86</v>
      </c>
    </row>
    <row r="508" spans="1:57" ht="30" customHeight="1">
      <c r="A508" s="444"/>
      <c r="B508" s="444"/>
      <c r="C508" s="444"/>
      <c r="D508" s="1133"/>
      <c r="E508" s="445"/>
      <c r="F508" s="1146"/>
      <c r="G508" s="1146"/>
      <c r="H508" s="444"/>
      <c r="I508" s="444"/>
      <c r="J508" s="1146"/>
      <c r="K508" s="1146"/>
      <c r="L508" s="444"/>
      <c r="M508" s="444"/>
      <c r="N508" s="1146"/>
      <c r="O508" s="1146"/>
      <c r="P508" s="444"/>
      <c r="Q508" s="444"/>
      <c r="R508" s="1146"/>
      <c r="S508" s="1146"/>
      <c r="T508" s="444"/>
      <c r="U508" s="444"/>
      <c r="V508" s="446"/>
      <c r="W508" s="447"/>
      <c r="X508" s="447"/>
      <c r="Y508" s="447"/>
      <c r="Z508" s="448" t="s">
        <v>640</v>
      </c>
      <c r="AA508" s="447"/>
      <c r="AB508" s="447"/>
      <c r="AC508" s="447"/>
      <c r="AD508" s="447"/>
      <c r="AE508" s="447"/>
      <c r="AF508" s="447"/>
      <c r="AG508" s="447"/>
      <c r="AH508" s="447"/>
      <c r="AI508" s="447"/>
      <c r="AJ508" s="447"/>
      <c r="AK508" s="447"/>
      <c r="AL508" s="447"/>
      <c r="AM508" s="447"/>
      <c r="AN508" s="447"/>
      <c r="AO508" s="447"/>
      <c r="AP508" s="447"/>
      <c r="AQ508" s="447"/>
      <c r="AR508" s="447"/>
      <c r="AS508" s="447"/>
      <c r="AT508" s="447"/>
      <c r="AU508" s="447"/>
      <c r="AV508" s="447"/>
      <c r="AW508" s="447"/>
      <c r="AX508" s="447"/>
      <c r="AY508" s="447"/>
      <c r="AZ508" s="447"/>
      <c r="BA508" s="447"/>
      <c r="BB508" s="447"/>
      <c r="BC508" s="447"/>
      <c r="BD508" s="447"/>
      <c r="BE508" s="447"/>
    </row>
    <row r="509" spans="1:57" ht="30" customHeight="1">
      <c r="A509" s="443" t="s">
        <v>85</v>
      </c>
      <c r="B509" s="444"/>
      <c r="C509" s="444"/>
      <c r="D509" s="1133"/>
      <c r="E509" s="445"/>
      <c r="F509" s="1146"/>
      <c r="G509" s="1147">
        <v>574410</v>
      </c>
      <c r="H509" s="444"/>
      <c r="I509" s="450">
        <f>SUM(I488:I508)</f>
        <v>361054.2</v>
      </c>
      <c r="J509" s="1146"/>
      <c r="K509" s="1147">
        <v>1613317.2</v>
      </c>
      <c r="L509" s="444"/>
      <c r="M509" s="450">
        <f>SUM(M488:M508)</f>
        <v>821246.4</v>
      </c>
      <c r="N509" s="1146"/>
      <c r="O509" s="1147">
        <v>2902.8</v>
      </c>
      <c r="P509" s="444"/>
      <c r="Q509" s="450">
        <f>SUM(Q488:Q508)</f>
        <v>2902.8</v>
      </c>
      <c r="R509" s="1146"/>
      <c r="S509" s="1147">
        <v>2190629</v>
      </c>
      <c r="T509" s="444"/>
      <c r="U509" s="450">
        <f>SUM(U488:U508)</f>
        <v>1185203</v>
      </c>
      <c r="V509" s="446"/>
      <c r="W509" s="448" t="s">
        <v>177</v>
      </c>
      <c r="X509" s="448" t="s">
        <v>51</v>
      </c>
      <c r="Y509" s="448" t="s">
        <v>51</v>
      </c>
      <c r="Z509" s="448" t="s">
        <v>640</v>
      </c>
      <c r="AA509" s="448" t="s">
        <v>61</v>
      </c>
      <c r="AB509" s="448" t="s">
        <v>62</v>
      </c>
      <c r="AC509" s="448" t="s">
        <v>62</v>
      </c>
      <c r="AD509" s="447"/>
      <c r="AE509" s="447"/>
      <c r="AF509" s="447"/>
      <c r="AG509" s="447"/>
      <c r="AH509" s="447"/>
      <c r="AI509" s="447"/>
      <c r="AJ509" s="447"/>
      <c r="AK509" s="447"/>
      <c r="AL509" s="447"/>
      <c r="AM509" s="447"/>
      <c r="AN509" s="447"/>
      <c r="AO509" s="447"/>
      <c r="AP509" s="447"/>
      <c r="AQ509" s="447"/>
      <c r="AR509" s="447"/>
      <c r="AS509" s="447"/>
      <c r="AT509" s="447"/>
      <c r="AU509" s="447"/>
      <c r="AV509" s="447"/>
      <c r="AW509" s="447"/>
      <c r="AX509" s="447"/>
      <c r="AY509" s="447"/>
      <c r="AZ509" s="447"/>
      <c r="BA509" s="448" t="s">
        <v>51</v>
      </c>
      <c r="BB509" s="448" t="s">
        <v>51</v>
      </c>
      <c r="BC509" s="447"/>
      <c r="BD509" s="448" t="s">
        <v>641</v>
      </c>
      <c r="BE509" s="447">
        <v>148</v>
      </c>
    </row>
    <row r="510" spans="1:57" ht="30" customHeight="1">
      <c r="A510" s="443" t="s">
        <v>4764</v>
      </c>
      <c r="B510" s="444"/>
      <c r="C510" s="444"/>
      <c r="D510" s="1133"/>
      <c r="E510" s="445"/>
      <c r="F510" s="1146"/>
      <c r="G510" s="1146"/>
      <c r="H510" s="444"/>
      <c r="I510" s="444"/>
      <c r="J510" s="1146"/>
      <c r="K510" s="1146"/>
      <c r="L510" s="444"/>
      <c r="M510" s="444"/>
      <c r="N510" s="1146"/>
      <c r="O510" s="1146"/>
      <c r="P510" s="444"/>
      <c r="Q510" s="444"/>
      <c r="R510" s="1146"/>
      <c r="S510" s="1146"/>
      <c r="T510" s="444"/>
      <c r="U510" s="444"/>
      <c r="V510" s="446"/>
      <c r="W510" s="448" t="s">
        <v>189</v>
      </c>
      <c r="X510" s="448" t="s">
        <v>51</v>
      </c>
      <c r="Y510" s="448" t="s">
        <v>51</v>
      </c>
      <c r="Z510" s="448" t="s">
        <v>640</v>
      </c>
      <c r="AA510" s="448" t="s">
        <v>61</v>
      </c>
      <c r="AB510" s="448" t="s">
        <v>62</v>
      </c>
      <c r="AC510" s="448" t="s">
        <v>62</v>
      </c>
      <c r="AD510" s="447"/>
      <c r="AE510" s="447"/>
      <c r="AF510" s="447"/>
      <c r="AG510" s="447"/>
      <c r="AH510" s="447"/>
      <c r="AI510" s="447"/>
      <c r="AJ510" s="447"/>
      <c r="AK510" s="447"/>
      <c r="AL510" s="447"/>
      <c r="AM510" s="447"/>
      <c r="AN510" s="447"/>
      <c r="AO510" s="447"/>
      <c r="AP510" s="447"/>
      <c r="AQ510" s="447"/>
      <c r="AR510" s="447"/>
      <c r="AS510" s="447"/>
      <c r="AT510" s="447"/>
      <c r="AU510" s="447"/>
      <c r="AV510" s="447"/>
      <c r="AW510" s="447"/>
      <c r="AX510" s="447"/>
      <c r="AY510" s="447"/>
      <c r="AZ510" s="447"/>
      <c r="BA510" s="448" t="s">
        <v>51</v>
      </c>
      <c r="BB510" s="448" t="s">
        <v>51</v>
      </c>
      <c r="BC510" s="447"/>
      <c r="BD510" s="448" t="s">
        <v>642</v>
      </c>
      <c r="BE510" s="447">
        <v>150</v>
      </c>
    </row>
    <row r="511" spans="1:57" ht="30" customHeight="1">
      <c r="A511" s="443" t="s">
        <v>175</v>
      </c>
      <c r="B511" s="443" t="s">
        <v>176</v>
      </c>
      <c r="C511" s="443" t="s">
        <v>59</v>
      </c>
      <c r="D511" s="1133">
        <v>50.78</v>
      </c>
      <c r="E511" s="445">
        <f>'2층전시실산출 '!H103</f>
        <v>50.78</v>
      </c>
      <c r="F511" s="1147">
        <v>9977</v>
      </c>
      <c r="G511" s="1147">
        <v>506632.06</v>
      </c>
      <c r="H511" s="450">
        <f>TRUNC(일위대가목록!F31,0)</f>
        <v>9977</v>
      </c>
      <c r="I511" s="450">
        <f>E511*H511</f>
        <v>506632.06</v>
      </c>
      <c r="J511" s="1147">
        <v>25424</v>
      </c>
      <c r="K511" s="1147">
        <v>1291030.72</v>
      </c>
      <c r="L511" s="450">
        <f>TRUNC(일위대가목록!H31,0)</f>
        <v>25424</v>
      </c>
      <c r="M511" s="450">
        <f>E511*L511</f>
        <v>1291030.72</v>
      </c>
      <c r="N511" s="1147">
        <v>0</v>
      </c>
      <c r="O511" s="1147">
        <v>0</v>
      </c>
      <c r="P511" s="450">
        <f>TRUNC(일위대가목록!J31,0)</f>
        <v>0</v>
      </c>
      <c r="Q511" s="450">
        <f>TRUNC(P511*E511, 0)</f>
        <v>0</v>
      </c>
      <c r="R511" s="1147">
        <v>35401</v>
      </c>
      <c r="S511" s="1147">
        <v>1797662</v>
      </c>
      <c r="T511" s="450">
        <f t="shared" ref="T511:U514" si="75">TRUNC(H511+L511+P511, 0)</f>
        <v>35401</v>
      </c>
      <c r="U511" s="450">
        <f t="shared" si="75"/>
        <v>1797662</v>
      </c>
      <c r="V511" s="454" t="str">
        <f>일위대가목록!M31</f>
        <v>호표 28</v>
      </c>
      <c r="W511" s="448" t="s">
        <v>192</v>
      </c>
      <c r="X511" s="448" t="s">
        <v>51</v>
      </c>
      <c r="Y511" s="448" t="s">
        <v>51</v>
      </c>
      <c r="Z511" s="448" t="s">
        <v>640</v>
      </c>
      <c r="AA511" s="448" t="s">
        <v>61</v>
      </c>
      <c r="AB511" s="448" t="s">
        <v>62</v>
      </c>
      <c r="AC511" s="448" t="s">
        <v>62</v>
      </c>
      <c r="AD511" s="447"/>
      <c r="AE511" s="447"/>
      <c r="AF511" s="447"/>
      <c r="AG511" s="447"/>
      <c r="AH511" s="447"/>
      <c r="AI511" s="447"/>
      <c r="AJ511" s="447"/>
      <c r="AK511" s="447"/>
      <c r="AL511" s="447"/>
      <c r="AM511" s="447"/>
      <c r="AN511" s="447"/>
      <c r="AO511" s="447"/>
      <c r="AP511" s="447"/>
      <c r="AQ511" s="447"/>
      <c r="AR511" s="447"/>
      <c r="AS511" s="447"/>
      <c r="AT511" s="447"/>
      <c r="AU511" s="447"/>
      <c r="AV511" s="447"/>
      <c r="AW511" s="447"/>
      <c r="AX511" s="447"/>
      <c r="AY511" s="447"/>
      <c r="AZ511" s="447"/>
      <c r="BA511" s="448" t="s">
        <v>51</v>
      </c>
      <c r="BB511" s="448" t="s">
        <v>51</v>
      </c>
      <c r="BC511" s="447"/>
      <c r="BD511" s="448" t="s">
        <v>643</v>
      </c>
      <c r="BE511" s="447">
        <v>524</v>
      </c>
    </row>
    <row r="512" spans="1:57" ht="30" customHeight="1">
      <c r="A512" s="443" t="s">
        <v>185</v>
      </c>
      <c r="B512" s="443" t="s">
        <v>188</v>
      </c>
      <c r="C512" s="443" t="s">
        <v>59</v>
      </c>
      <c r="D512" s="1133">
        <v>53.08</v>
      </c>
      <c r="E512" s="445">
        <f>'2층전시실산출 '!H104</f>
        <v>53.08</v>
      </c>
      <c r="F512" s="1147">
        <v>5162</v>
      </c>
      <c r="G512" s="1147">
        <v>273998.95999999996</v>
      </c>
      <c r="H512" s="450">
        <f>TRUNC(일위대가목록!F35,0)</f>
        <v>5667</v>
      </c>
      <c r="I512" s="450">
        <f>E512*H512</f>
        <v>300804.36</v>
      </c>
      <c r="J512" s="1147">
        <v>14470</v>
      </c>
      <c r="K512" s="1147">
        <v>768067.6</v>
      </c>
      <c r="L512" s="450">
        <f>TRUNC(일위대가목록!H35,0)</f>
        <v>16860</v>
      </c>
      <c r="M512" s="450">
        <f>E512*L512</f>
        <v>894928.79999999993</v>
      </c>
      <c r="N512" s="1147">
        <v>0</v>
      </c>
      <c r="O512" s="1147">
        <v>0</v>
      </c>
      <c r="P512" s="450">
        <f>TRUNC(일위대가목록!J35,0)</f>
        <v>0</v>
      </c>
      <c r="Q512" s="450">
        <f>TRUNC(P512*E512, 0)</f>
        <v>0</v>
      </c>
      <c r="R512" s="1147">
        <v>19632</v>
      </c>
      <c r="S512" s="1147">
        <v>1042066</v>
      </c>
      <c r="T512" s="450">
        <f t="shared" si="75"/>
        <v>22527</v>
      </c>
      <c r="U512" s="450">
        <f t="shared" si="75"/>
        <v>1195733</v>
      </c>
      <c r="V512" s="454" t="str">
        <f>일위대가목록!M35</f>
        <v>호표 32</v>
      </c>
      <c r="W512" s="448" t="s">
        <v>645</v>
      </c>
      <c r="X512" s="448" t="s">
        <v>51</v>
      </c>
      <c r="Y512" s="448" t="s">
        <v>51</v>
      </c>
      <c r="Z512" s="448" t="s">
        <v>640</v>
      </c>
      <c r="AA512" s="448" t="s">
        <v>61</v>
      </c>
      <c r="AB512" s="448" t="s">
        <v>62</v>
      </c>
      <c r="AC512" s="448" t="s">
        <v>62</v>
      </c>
      <c r="AD512" s="447"/>
      <c r="AE512" s="447"/>
      <c r="AF512" s="447"/>
      <c r="AG512" s="447"/>
      <c r="AH512" s="447"/>
      <c r="AI512" s="447"/>
      <c r="AJ512" s="447"/>
      <c r="AK512" s="447"/>
      <c r="AL512" s="447"/>
      <c r="AM512" s="447"/>
      <c r="AN512" s="447"/>
      <c r="AO512" s="447"/>
      <c r="AP512" s="447"/>
      <c r="AQ512" s="447"/>
      <c r="AR512" s="447"/>
      <c r="AS512" s="447"/>
      <c r="AT512" s="447"/>
      <c r="AU512" s="447"/>
      <c r="AV512" s="447"/>
      <c r="AW512" s="447"/>
      <c r="AX512" s="447"/>
      <c r="AY512" s="447"/>
      <c r="AZ512" s="447"/>
      <c r="BA512" s="448" t="s">
        <v>51</v>
      </c>
      <c r="BB512" s="448" t="s">
        <v>51</v>
      </c>
      <c r="BC512" s="447"/>
      <c r="BD512" s="448" t="s">
        <v>646</v>
      </c>
      <c r="BE512" s="447">
        <v>525</v>
      </c>
    </row>
    <row r="513" spans="1:57" ht="30" customHeight="1">
      <c r="A513" s="443" t="s">
        <v>182</v>
      </c>
      <c r="B513" s="443" t="s">
        <v>191</v>
      </c>
      <c r="C513" s="443" t="s">
        <v>59</v>
      </c>
      <c r="D513" s="1133">
        <v>27.599999999999998</v>
      </c>
      <c r="E513" s="445">
        <f>'2층전시실산출 '!H105</f>
        <v>27.599999999999998</v>
      </c>
      <c r="F513" s="1147">
        <v>9392</v>
      </c>
      <c r="G513" s="1147">
        <v>259219.19999999998</v>
      </c>
      <c r="H513" s="450">
        <f>TRUNC(일위대가목록!F36,0)</f>
        <v>7618</v>
      </c>
      <c r="I513" s="450">
        <f>E513*H513</f>
        <v>210256.8</v>
      </c>
      <c r="J513" s="1147">
        <v>14470</v>
      </c>
      <c r="K513" s="1147">
        <v>399371.99999999994</v>
      </c>
      <c r="L513" s="450">
        <f>TRUNC(일위대가목록!H36,0)</f>
        <v>16860</v>
      </c>
      <c r="M513" s="450">
        <f>E513*L513</f>
        <v>465335.99999999994</v>
      </c>
      <c r="N513" s="1147">
        <v>0</v>
      </c>
      <c r="O513" s="1147">
        <v>0</v>
      </c>
      <c r="P513" s="450">
        <f>TRUNC(일위대가목록!J36,0)</f>
        <v>0</v>
      </c>
      <c r="Q513" s="450">
        <f>TRUNC(P513*E513, 0)</f>
        <v>0</v>
      </c>
      <c r="R513" s="1147">
        <v>23862</v>
      </c>
      <c r="S513" s="1147">
        <v>658591</v>
      </c>
      <c r="T513" s="450">
        <f t="shared" si="75"/>
        <v>24478</v>
      </c>
      <c r="U513" s="450">
        <f t="shared" si="75"/>
        <v>675592</v>
      </c>
      <c r="V513" s="454" t="str">
        <f>일위대가목록!M36</f>
        <v>호표 33</v>
      </c>
      <c r="W513" s="448" t="s">
        <v>648</v>
      </c>
      <c r="X513" s="448" t="s">
        <v>51</v>
      </c>
      <c r="Y513" s="448" t="s">
        <v>51</v>
      </c>
      <c r="Z513" s="448" t="s">
        <v>640</v>
      </c>
      <c r="AA513" s="448" t="s">
        <v>62</v>
      </c>
      <c r="AB513" s="448" t="s">
        <v>62</v>
      </c>
      <c r="AC513" s="448" t="s">
        <v>61</v>
      </c>
      <c r="AD513" s="447"/>
      <c r="AE513" s="447"/>
      <c r="AF513" s="447"/>
      <c r="AG513" s="447"/>
      <c r="AH513" s="447"/>
      <c r="AI513" s="447"/>
      <c r="AJ513" s="447"/>
      <c r="AK513" s="447"/>
      <c r="AL513" s="447"/>
      <c r="AM513" s="447"/>
      <c r="AN513" s="447"/>
      <c r="AO513" s="447"/>
      <c r="AP513" s="447"/>
      <c r="AQ513" s="447"/>
      <c r="AR513" s="447"/>
      <c r="AS513" s="447"/>
      <c r="AT513" s="447"/>
      <c r="AU513" s="447"/>
      <c r="AV513" s="447"/>
      <c r="AW513" s="447"/>
      <c r="AX513" s="447"/>
      <c r="AY513" s="447"/>
      <c r="AZ513" s="447"/>
      <c r="BA513" s="448" t="s">
        <v>51</v>
      </c>
      <c r="BB513" s="448" t="s">
        <v>51</v>
      </c>
      <c r="BC513" s="447"/>
      <c r="BD513" s="448" t="s">
        <v>649</v>
      </c>
      <c r="BE513" s="447">
        <v>442</v>
      </c>
    </row>
    <row r="514" spans="1:57" ht="30" customHeight="1">
      <c r="A514" s="157" t="s">
        <v>222</v>
      </c>
      <c r="B514" s="157" t="s">
        <v>6823</v>
      </c>
      <c r="C514" s="157" t="s">
        <v>59</v>
      </c>
      <c r="D514" s="1209">
        <v>80.679999999999993</v>
      </c>
      <c r="E514" s="1210">
        <f>'2층전시실산출 '!H106</f>
        <v>80.679999999999993</v>
      </c>
      <c r="F514" s="1211">
        <v>2312</v>
      </c>
      <c r="G514" s="1211">
        <v>186532.15999999997</v>
      </c>
      <c r="H514" s="1212">
        <f>일위대가목록!F44</f>
        <v>2097</v>
      </c>
      <c r="I514" s="1212">
        <f>E514*H514</f>
        <v>169185.96</v>
      </c>
      <c r="J514" s="1211">
        <v>10764</v>
      </c>
      <c r="K514" s="1211">
        <v>868439.5199999999</v>
      </c>
      <c r="L514" s="1212">
        <f>일위대가목록!H44</f>
        <v>5053</v>
      </c>
      <c r="M514" s="1212">
        <f>E514*L514</f>
        <v>407676.04</v>
      </c>
      <c r="N514" s="1211">
        <v>0</v>
      </c>
      <c r="O514" s="1211">
        <v>0</v>
      </c>
      <c r="P514" s="1212">
        <f>TRUNC(일위대가목록!J87,0)</f>
        <v>0</v>
      </c>
      <c r="Q514" s="1212">
        <f>TRUNC(P514*E514, 0)</f>
        <v>0</v>
      </c>
      <c r="R514" s="1211">
        <v>13076</v>
      </c>
      <c r="S514" s="1211">
        <v>1054971</v>
      </c>
      <c r="T514" s="1212">
        <f t="shared" si="75"/>
        <v>7150</v>
      </c>
      <c r="U514" s="1212">
        <f t="shared" si="75"/>
        <v>576862</v>
      </c>
      <c r="V514" s="1213" t="str">
        <f>일위대가목록!M44</f>
        <v>호표 41</v>
      </c>
    </row>
    <row r="515" spans="1:57" ht="30" customHeight="1">
      <c r="A515" s="443"/>
      <c r="B515" s="443"/>
      <c r="C515" s="443"/>
      <c r="D515" s="1133"/>
      <c r="E515" s="445"/>
      <c r="F515" s="1147"/>
      <c r="G515" s="1147"/>
      <c r="H515" s="450"/>
      <c r="I515" s="450"/>
      <c r="J515" s="1147"/>
      <c r="K515" s="1147"/>
      <c r="L515" s="450"/>
      <c r="M515" s="450"/>
      <c r="N515" s="1147"/>
      <c r="O515" s="1147"/>
      <c r="P515" s="450"/>
      <c r="Q515" s="450"/>
      <c r="R515" s="1147"/>
      <c r="S515" s="1147"/>
      <c r="T515" s="450"/>
      <c r="U515" s="450"/>
      <c r="V515" s="454"/>
    </row>
    <row r="516" spans="1:57" ht="30" customHeight="1">
      <c r="A516" s="444"/>
      <c r="B516" s="444"/>
      <c r="C516" s="444"/>
      <c r="D516" s="1133"/>
      <c r="E516" s="445"/>
      <c r="F516" s="1146"/>
      <c r="G516" s="1146"/>
      <c r="H516" s="444"/>
      <c r="I516" s="444"/>
      <c r="J516" s="1146"/>
      <c r="K516" s="1146"/>
      <c r="L516" s="444"/>
      <c r="M516" s="444"/>
      <c r="N516" s="1146"/>
      <c r="O516" s="1146"/>
      <c r="P516" s="444"/>
      <c r="Q516" s="444"/>
      <c r="R516" s="1146"/>
      <c r="S516" s="1146"/>
      <c r="T516" s="444"/>
      <c r="U516" s="444"/>
      <c r="V516" s="446"/>
    </row>
    <row r="517" spans="1:57" ht="30" customHeight="1">
      <c r="A517" s="444"/>
      <c r="B517" s="444"/>
      <c r="C517" s="444"/>
      <c r="D517" s="1133"/>
      <c r="E517" s="445"/>
      <c r="F517" s="1146"/>
      <c r="G517" s="1146"/>
      <c r="H517" s="444"/>
      <c r="I517" s="444"/>
      <c r="J517" s="1146"/>
      <c r="K517" s="1146"/>
      <c r="L517" s="444"/>
      <c r="M517" s="444"/>
      <c r="N517" s="1146"/>
      <c r="O517" s="1146"/>
      <c r="P517" s="444"/>
      <c r="Q517" s="444"/>
      <c r="R517" s="1146"/>
      <c r="S517" s="1146"/>
      <c r="T517" s="444"/>
      <c r="U517" s="444"/>
      <c r="V517" s="446"/>
    </row>
    <row r="518" spans="1:57" ht="30" customHeight="1">
      <c r="A518" s="444"/>
      <c r="B518" s="444"/>
      <c r="C518" s="444"/>
      <c r="D518" s="1133"/>
      <c r="E518" s="445"/>
      <c r="F518" s="1146"/>
      <c r="G518" s="1146"/>
      <c r="H518" s="444"/>
      <c r="I518" s="444"/>
      <c r="J518" s="1146"/>
      <c r="K518" s="1146"/>
      <c r="L518" s="444"/>
      <c r="M518" s="444"/>
      <c r="N518" s="1146"/>
      <c r="O518" s="1146"/>
      <c r="P518" s="444"/>
      <c r="Q518" s="444"/>
      <c r="R518" s="1146"/>
      <c r="S518" s="1146"/>
      <c r="T518" s="444"/>
      <c r="U518" s="444"/>
      <c r="V518" s="446"/>
    </row>
    <row r="519" spans="1:57" ht="30" customHeight="1">
      <c r="A519" s="444"/>
      <c r="B519" s="444"/>
      <c r="C519" s="444"/>
      <c r="D519" s="1133"/>
      <c r="E519" s="445"/>
      <c r="F519" s="1146"/>
      <c r="G519" s="1146"/>
      <c r="H519" s="444"/>
      <c r="I519" s="444"/>
      <c r="J519" s="1146"/>
      <c r="K519" s="1146"/>
      <c r="L519" s="444"/>
      <c r="M519" s="444"/>
      <c r="N519" s="1146"/>
      <c r="O519" s="1146"/>
      <c r="P519" s="444"/>
      <c r="Q519" s="444"/>
      <c r="R519" s="1146"/>
      <c r="S519" s="1146"/>
      <c r="T519" s="444"/>
      <c r="U519" s="444"/>
      <c r="V519" s="446"/>
    </row>
    <row r="520" spans="1:57" ht="30" customHeight="1">
      <c r="A520" s="444"/>
      <c r="B520" s="444"/>
      <c r="C520" s="444"/>
      <c r="D520" s="1133"/>
      <c r="E520" s="445"/>
      <c r="F520" s="1146"/>
      <c r="G520" s="1146"/>
      <c r="H520" s="444"/>
      <c r="I520" s="444"/>
      <c r="J520" s="1146"/>
      <c r="K520" s="1146"/>
      <c r="L520" s="444"/>
      <c r="M520" s="444"/>
      <c r="N520" s="1146"/>
      <c r="O520" s="1146"/>
      <c r="P520" s="444"/>
      <c r="Q520" s="444"/>
      <c r="R520" s="1146"/>
      <c r="S520" s="1146"/>
      <c r="T520" s="444"/>
      <c r="U520" s="444"/>
      <c r="V520" s="446"/>
    </row>
    <row r="521" spans="1:57" ht="30" customHeight="1">
      <c r="A521" s="444"/>
      <c r="B521" s="444"/>
      <c r="C521" s="444"/>
      <c r="D521" s="1133"/>
      <c r="E521" s="445"/>
      <c r="F521" s="1146"/>
      <c r="G521" s="1146"/>
      <c r="H521" s="444"/>
      <c r="I521" s="444"/>
      <c r="J521" s="1146"/>
      <c r="K521" s="1146"/>
      <c r="L521" s="444"/>
      <c r="M521" s="444"/>
      <c r="N521" s="1146"/>
      <c r="O521" s="1146"/>
      <c r="P521" s="444"/>
      <c r="Q521" s="444"/>
      <c r="R521" s="1146"/>
      <c r="S521" s="1146"/>
      <c r="T521" s="444"/>
      <c r="U521" s="444"/>
      <c r="V521" s="446"/>
    </row>
    <row r="522" spans="1:57" ht="30" customHeight="1">
      <c r="A522" s="444"/>
      <c r="B522" s="444"/>
      <c r="C522" s="444"/>
      <c r="D522" s="1133"/>
      <c r="E522" s="445"/>
      <c r="F522" s="1146"/>
      <c r="G522" s="1146"/>
      <c r="H522" s="444"/>
      <c r="I522" s="444"/>
      <c r="J522" s="1146"/>
      <c r="K522" s="1146"/>
      <c r="L522" s="444"/>
      <c r="M522" s="444"/>
      <c r="N522" s="1146"/>
      <c r="O522" s="1146"/>
      <c r="P522" s="444"/>
      <c r="Q522" s="444"/>
      <c r="R522" s="1146"/>
      <c r="S522" s="1146"/>
      <c r="T522" s="444"/>
      <c r="U522" s="444"/>
      <c r="V522" s="446"/>
    </row>
    <row r="523" spans="1:57" ht="30" customHeight="1">
      <c r="A523" s="444"/>
      <c r="B523" s="444"/>
      <c r="C523" s="444"/>
      <c r="D523" s="1133"/>
      <c r="E523" s="445"/>
      <c r="F523" s="1146"/>
      <c r="G523" s="1146"/>
      <c r="H523" s="444"/>
      <c r="I523" s="444"/>
      <c r="J523" s="1146"/>
      <c r="K523" s="1146"/>
      <c r="L523" s="444"/>
      <c r="M523" s="444"/>
      <c r="N523" s="1146"/>
      <c r="O523" s="1146"/>
      <c r="P523" s="444"/>
      <c r="Q523" s="444"/>
      <c r="R523" s="1146"/>
      <c r="S523" s="1146"/>
      <c r="T523" s="444"/>
      <c r="U523" s="444"/>
      <c r="V523" s="446"/>
    </row>
    <row r="524" spans="1:57" ht="30" customHeight="1">
      <c r="A524" s="444"/>
      <c r="B524" s="444"/>
      <c r="C524" s="444"/>
      <c r="D524" s="1133"/>
      <c r="E524" s="445"/>
      <c r="F524" s="1146"/>
      <c r="G524" s="1146"/>
      <c r="H524" s="444"/>
      <c r="I524" s="444"/>
      <c r="J524" s="1146"/>
      <c r="K524" s="1146"/>
      <c r="L524" s="444"/>
      <c r="M524" s="444"/>
      <c r="N524" s="1146"/>
      <c r="O524" s="1146"/>
      <c r="P524" s="444"/>
      <c r="Q524" s="444"/>
      <c r="R524" s="1146"/>
      <c r="S524" s="1146"/>
      <c r="T524" s="444"/>
      <c r="U524" s="444"/>
      <c r="V524" s="446"/>
    </row>
    <row r="525" spans="1:57" ht="30" customHeight="1">
      <c r="A525" s="444"/>
      <c r="B525" s="444"/>
      <c r="C525" s="444"/>
      <c r="D525" s="1133"/>
      <c r="E525" s="445"/>
      <c r="F525" s="1146"/>
      <c r="G525" s="1146"/>
      <c r="H525" s="444"/>
      <c r="I525" s="444"/>
      <c r="J525" s="1146"/>
      <c r="K525" s="1146"/>
      <c r="L525" s="444"/>
      <c r="M525" s="444"/>
      <c r="N525" s="1146"/>
      <c r="O525" s="1146"/>
      <c r="P525" s="444"/>
      <c r="Q525" s="444"/>
      <c r="R525" s="1146"/>
      <c r="S525" s="1146"/>
      <c r="T525" s="444"/>
      <c r="U525" s="444"/>
      <c r="V525" s="446"/>
    </row>
    <row r="526" spans="1:57" ht="30" customHeight="1">
      <c r="A526" s="444"/>
      <c r="B526" s="444"/>
      <c r="C526" s="444"/>
      <c r="D526" s="1133"/>
      <c r="E526" s="445"/>
      <c r="F526" s="1146"/>
      <c r="G526" s="1146"/>
      <c r="H526" s="444"/>
      <c r="I526" s="444"/>
      <c r="J526" s="1146"/>
      <c r="K526" s="1146"/>
      <c r="L526" s="444"/>
      <c r="M526" s="444"/>
      <c r="N526" s="1146"/>
      <c r="O526" s="1146"/>
      <c r="P526" s="444"/>
      <c r="Q526" s="444"/>
      <c r="R526" s="1146"/>
      <c r="S526" s="1146"/>
      <c r="T526" s="444"/>
      <c r="U526" s="444"/>
      <c r="V526" s="446"/>
    </row>
    <row r="527" spans="1:57" ht="30" customHeight="1">
      <c r="A527" s="444"/>
      <c r="B527" s="444"/>
      <c r="C527" s="444"/>
      <c r="D527" s="1133"/>
      <c r="E527" s="445"/>
      <c r="F527" s="1146"/>
      <c r="G527" s="1146"/>
      <c r="H527" s="444"/>
      <c r="I527" s="444"/>
      <c r="J527" s="1146"/>
      <c r="K527" s="1146"/>
      <c r="L527" s="444"/>
      <c r="M527" s="444"/>
      <c r="N527" s="1146"/>
      <c r="O527" s="1146"/>
      <c r="P527" s="444"/>
      <c r="Q527" s="444"/>
      <c r="R527" s="1146"/>
      <c r="S527" s="1146"/>
      <c r="T527" s="444"/>
      <c r="U527" s="444"/>
      <c r="V527" s="446"/>
    </row>
    <row r="528" spans="1:57" ht="30" customHeight="1">
      <c r="A528" s="444"/>
      <c r="B528" s="444"/>
      <c r="C528" s="444"/>
      <c r="D528" s="1133"/>
      <c r="E528" s="445"/>
      <c r="F528" s="1146"/>
      <c r="G528" s="1146"/>
      <c r="H528" s="444"/>
      <c r="I528" s="444"/>
      <c r="J528" s="1146"/>
      <c r="K528" s="1146"/>
      <c r="L528" s="444"/>
      <c r="M528" s="444"/>
      <c r="N528" s="1146"/>
      <c r="O528" s="1146"/>
      <c r="P528" s="444"/>
      <c r="Q528" s="444"/>
      <c r="R528" s="1146"/>
      <c r="S528" s="1146"/>
      <c r="T528" s="444"/>
      <c r="U528" s="444"/>
      <c r="V528" s="446"/>
    </row>
    <row r="529" spans="1:57" ht="30" customHeight="1">
      <c r="A529" s="444"/>
      <c r="B529" s="444"/>
      <c r="C529" s="444"/>
      <c r="D529" s="1133"/>
      <c r="E529" s="445"/>
      <c r="F529" s="1146"/>
      <c r="G529" s="1146"/>
      <c r="H529" s="444"/>
      <c r="I529" s="444"/>
      <c r="J529" s="1146"/>
      <c r="K529" s="1146"/>
      <c r="L529" s="444"/>
      <c r="M529" s="444"/>
      <c r="N529" s="1146"/>
      <c r="O529" s="1146"/>
      <c r="P529" s="444"/>
      <c r="Q529" s="444"/>
      <c r="R529" s="1146"/>
      <c r="S529" s="1146"/>
      <c r="T529" s="444"/>
      <c r="U529" s="444"/>
      <c r="V529" s="446"/>
    </row>
    <row r="530" spans="1:57" ht="30" customHeight="1">
      <c r="A530" s="444"/>
      <c r="B530" s="444"/>
      <c r="C530" s="444"/>
      <c r="D530" s="1133"/>
      <c r="E530" s="445"/>
      <c r="F530" s="1146"/>
      <c r="G530" s="1146"/>
      <c r="H530" s="444"/>
      <c r="I530" s="444"/>
      <c r="J530" s="1146"/>
      <c r="K530" s="1146"/>
      <c r="L530" s="444"/>
      <c r="M530" s="444"/>
      <c r="N530" s="1146"/>
      <c r="O530" s="1146"/>
      <c r="P530" s="444"/>
      <c r="Q530" s="444"/>
      <c r="R530" s="1146"/>
      <c r="S530" s="1146"/>
      <c r="T530" s="444"/>
      <c r="U530" s="444"/>
      <c r="V530" s="446"/>
      <c r="W530" s="449" t="s">
        <v>86</v>
      </c>
    </row>
    <row r="531" spans="1:57" ht="30" customHeight="1">
      <c r="A531" s="444"/>
      <c r="B531" s="444"/>
      <c r="C531" s="444"/>
      <c r="D531" s="1133"/>
      <c r="E531" s="445"/>
      <c r="F531" s="1146"/>
      <c r="G531" s="1146"/>
      <c r="H531" s="444"/>
      <c r="I531" s="444"/>
      <c r="J531" s="1146"/>
      <c r="K531" s="1146"/>
      <c r="L531" s="444"/>
      <c r="M531" s="444"/>
      <c r="N531" s="1146"/>
      <c r="O531" s="1146"/>
      <c r="P531" s="444"/>
      <c r="Q531" s="444"/>
      <c r="R531" s="1146"/>
      <c r="S531" s="1146"/>
      <c r="T531" s="444"/>
      <c r="U531" s="444"/>
      <c r="V531" s="446"/>
      <c r="W531" s="447"/>
      <c r="X531" s="447"/>
      <c r="Y531" s="447"/>
      <c r="Z531" s="448" t="s">
        <v>650</v>
      </c>
      <c r="AA531" s="447"/>
      <c r="AB531" s="447"/>
      <c r="AC531" s="447"/>
      <c r="AD531" s="447"/>
      <c r="AE531" s="447"/>
      <c r="AF531" s="447"/>
      <c r="AG531" s="447"/>
      <c r="AH531" s="447"/>
      <c r="AI531" s="447"/>
      <c r="AJ531" s="447"/>
      <c r="AK531" s="447"/>
      <c r="AL531" s="447"/>
      <c r="AM531" s="447"/>
      <c r="AN531" s="447"/>
      <c r="AO531" s="447"/>
      <c r="AP531" s="447"/>
      <c r="AQ531" s="447"/>
      <c r="AR531" s="447"/>
      <c r="AS531" s="447"/>
      <c r="AT531" s="447"/>
      <c r="AU531" s="447"/>
      <c r="AV531" s="447"/>
      <c r="AW531" s="447"/>
      <c r="AX531" s="447"/>
      <c r="AY531" s="447"/>
      <c r="AZ531" s="447"/>
      <c r="BA531" s="447"/>
      <c r="BB531" s="447"/>
      <c r="BC531" s="447"/>
      <c r="BD531" s="447"/>
      <c r="BE531" s="447"/>
    </row>
    <row r="532" spans="1:57" ht="30" customHeight="1">
      <c r="A532" s="443" t="s">
        <v>85</v>
      </c>
      <c r="B532" s="444"/>
      <c r="C532" s="444"/>
      <c r="D532" s="1133"/>
      <c r="E532" s="445"/>
      <c r="F532" s="1146"/>
      <c r="G532" s="1147">
        <v>1226382.3799999999</v>
      </c>
      <c r="H532" s="444"/>
      <c r="I532" s="450">
        <f>SUM(I511:I531)</f>
        <v>1186879.18</v>
      </c>
      <c r="J532" s="1146"/>
      <c r="K532" s="1147">
        <v>3326909.84</v>
      </c>
      <c r="L532" s="444"/>
      <c r="M532" s="450">
        <f>SUM(M511:M531)</f>
        <v>3058971.56</v>
      </c>
      <c r="N532" s="1146"/>
      <c r="O532" s="1147">
        <v>0</v>
      </c>
      <c r="P532" s="444"/>
      <c r="Q532" s="450">
        <f>SUM(Q511:Q531)</f>
        <v>0</v>
      </c>
      <c r="R532" s="1146"/>
      <c r="S532" s="1147">
        <v>4553290</v>
      </c>
      <c r="T532" s="444"/>
      <c r="U532" s="450">
        <f>SUM(U511:U531)</f>
        <v>4245849</v>
      </c>
      <c r="V532" s="446"/>
      <c r="W532" s="448" t="s">
        <v>234</v>
      </c>
      <c r="X532" s="448" t="s">
        <v>51</v>
      </c>
      <c r="Y532" s="448" t="s">
        <v>51</v>
      </c>
      <c r="Z532" s="448" t="s">
        <v>650</v>
      </c>
      <c r="AA532" s="448" t="s">
        <v>61</v>
      </c>
      <c r="AB532" s="448" t="s">
        <v>62</v>
      </c>
      <c r="AC532" s="448" t="s">
        <v>62</v>
      </c>
      <c r="AD532" s="447"/>
      <c r="AE532" s="447"/>
      <c r="AF532" s="447"/>
      <c r="AG532" s="447"/>
      <c r="AH532" s="447"/>
      <c r="AI532" s="447"/>
      <c r="AJ532" s="447"/>
      <c r="AK532" s="447"/>
      <c r="AL532" s="447"/>
      <c r="AM532" s="447"/>
      <c r="AN532" s="447"/>
      <c r="AO532" s="447"/>
      <c r="AP532" s="447"/>
      <c r="AQ532" s="447"/>
      <c r="AR532" s="447"/>
      <c r="AS532" s="447"/>
      <c r="AT532" s="447"/>
      <c r="AU532" s="447"/>
      <c r="AV532" s="447"/>
      <c r="AW532" s="447"/>
      <c r="AX532" s="447"/>
      <c r="AY532" s="447"/>
      <c r="AZ532" s="447"/>
      <c r="BA532" s="448" t="s">
        <v>51</v>
      </c>
      <c r="BB532" s="448" t="s">
        <v>51</v>
      </c>
      <c r="BC532" s="447"/>
      <c r="BD532" s="448" t="s">
        <v>651</v>
      </c>
      <c r="BE532" s="447">
        <v>154</v>
      </c>
    </row>
    <row r="533" spans="1:57" ht="30" customHeight="1">
      <c r="A533" s="443" t="s">
        <v>4765</v>
      </c>
      <c r="B533" s="444"/>
      <c r="C533" s="444"/>
      <c r="D533" s="1133"/>
      <c r="E533" s="445"/>
      <c r="F533" s="1146"/>
      <c r="G533" s="1146"/>
      <c r="H533" s="444"/>
      <c r="I533" s="444"/>
      <c r="J533" s="1146"/>
      <c r="K533" s="1146"/>
      <c r="L533" s="444"/>
      <c r="M533" s="444"/>
      <c r="N533" s="1146"/>
      <c r="O533" s="1146"/>
      <c r="P533" s="444"/>
      <c r="Q533" s="444"/>
      <c r="R533" s="1146"/>
      <c r="S533" s="1146"/>
      <c r="T533" s="444"/>
      <c r="U533" s="444"/>
      <c r="V533" s="446"/>
      <c r="W533" s="448" t="s">
        <v>238</v>
      </c>
      <c r="X533" s="448" t="s">
        <v>51</v>
      </c>
      <c r="Y533" s="448" t="s">
        <v>51</v>
      </c>
      <c r="Z533" s="448" t="s">
        <v>650</v>
      </c>
      <c r="AA533" s="448" t="s">
        <v>61</v>
      </c>
      <c r="AB533" s="448" t="s">
        <v>62</v>
      </c>
      <c r="AC533" s="448" t="s">
        <v>62</v>
      </c>
      <c r="AD533" s="447"/>
      <c r="AE533" s="447"/>
      <c r="AF533" s="447"/>
      <c r="AG533" s="447"/>
      <c r="AH533" s="447"/>
      <c r="AI533" s="447"/>
      <c r="AJ533" s="447"/>
      <c r="AK533" s="447"/>
      <c r="AL533" s="447"/>
      <c r="AM533" s="447"/>
      <c r="AN533" s="447"/>
      <c r="AO533" s="447"/>
      <c r="AP533" s="447"/>
      <c r="AQ533" s="447"/>
      <c r="AR533" s="447"/>
      <c r="AS533" s="447"/>
      <c r="AT533" s="447"/>
      <c r="AU533" s="447"/>
      <c r="AV533" s="447"/>
      <c r="AW533" s="447"/>
      <c r="AX533" s="447"/>
      <c r="AY533" s="447"/>
      <c r="AZ533" s="447"/>
      <c r="BA533" s="448" t="s">
        <v>51</v>
      </c>
      <c r="BB533" s="448" t="s">
        <v>51</v>
      </c>
      <c r="BC533" s="447"/>
      <c r="BD533" s="448" t="s">
        <v>652</v>
      </c>
      <c r="BE533" s="447">
        <v>155</v>
      </c>
    </row>
    <row r="534" spans="1:57" ht="30" customHeight="1">
      <c r="A534" s="443" t="s">
        <v>233</v>
      </c>
      <c r="B534" s="443" t="s">
        <v>153</v>
      </c>
      <c r="C534" s="443" t="s">
        <v>59</v>
      </c>
      <c r="D534" s="1133">
        <v>24.6</v>
      </c>
      <c r="E534" s="445">
        <f>'2층전시실산출 '!H109</f>
        <v>24.6</v>
      </c>
      <c r="F534" s="1147">
        <v>2167</v>
      </c>
      <c r="G534" s="1147">
        <v>53308.200000000004</v>
      </c>
      <c r="H534" s="450">
        <f>TRUNC(일위대가목록!F47,0)</f>
        <v>2139</v>
      </c>
      <c r="I534" s="450">
        <f>E534*H534</f>
        <v>52619.4</v>
      </c>
      <c r="J534" s="1147">
        <v>34936</v>
      </c>
      <c r="K534" s="1147">
        <v>859425.60000000009</v>
      </c>
      <c r="L534" s="450">
        <f>TRUNC(일위대가목록!H47,0)</f>
        <v>4558</v>
      </c>
      <c r="M534" s="450">
        <f>E534*L534</f>
        <v>112126.8</v>
      </c>
      <c r="N534" s="1147">
        <v>0</v>
      </c>
      <c r="O534" s="1147">
        <v>0</v>
      </c>
      <c r="P534" s="450">
        <f>TRUNC(일위대가목록!J47,0)</f>
        <v>0</v>
      </c>
      <c r="Q534" s="450">
        <f>TRUNC(P534*E534, 0)</f>
        <v>0</v>
      </c>
      <c r="R534" s="1147">
        <v>37103</v>
      </c>
      <c r="S534" s="1147">
        <v>912733</v>
      </c>
      <c r="T534" s="450">
        <f t="shared" ref="T534:U537" si="76">TRUNC(H534+L534+P534, 0)</f>
        <v>6697</v>
      </c>
      <c r="U534" s="450">
        <f t="shared" si="76"/>
        <v>164746</v>
      </c>
      <c r="V534" s="454" t="str">
        <f>일위대가목록!M47</f>
        <v>호표 44</v>
      </c>
      <c r="W534" s="448" t="s">
        <v>242</v>
      </c>
      <c r="X534" s="448" t="s">
        <v>51</v>
      </c>
      <c r="Y534" s="448" t="s">
        <v>51</v>
      </c>
      <c r="Z534" s="448" t="s">
        <v>650</v>
      </c>
      <c r="AA534" s="448" t="s">
        <v>61</v>
      </c>
      <c r="AB534" s="448" t="s">
        <v>62</v>
      </c>
      <c r="AC534" s="448" t="s">
        <v>62</v>
      </c>
      <c r="AD534" s="447"/>
      <c r="AE534" s="447"/>
      <c r="AF534" s="447"/>
      <c r="AG534" s="447"/>
      <c r="AH534" s="447"/>
      <c r="AI534" s="447"/>
      <c r="AJ534" s="447"/>
      <c r="AK534" s="447"/>
      <c r="AL534" s="447"/>
      <c r="AM534" s="447"/>
      <c r="AN534" s="447"/>
      <c r="AO534" s="447"/>
      <c r="AP534" s="447"/>
      <c r="AQ534" s="447"/>
      <c r="AR534" s="447"/>
      <c r="AS534" s="447"/>
      <c r="AT534" s="447"/>
      <c r="AU534" s="447"/>
      <c r="AV534" s="447"/>
      <c r="AW534" s="447"/>
      <c r="AX534" s="447"/>
      <c r="AY534" s="447"/>
      <c r="AZ534" s="447"/>
      <c r="BA534" s="448" t="s">
        <v>51</v>
      </c>
      <c r="BB534" s="448" t="s">
        <v>51</v>
      </c>
      <c r="BC534" s="447"/>
      <c r="BD534" s="448" t="s">
        <v>653</v>
      </c>
      <c r="BE534" s="447">
        <v>265</v>
      </c>
    </row>
    <row r="535" spans="1:57" ht="30" customHeight="1">
      <c r="A535" s="443" t="s">
        <v>236</v>
      </c>
      <c r="B535" s="464" t="s">
        <v>2713</v>
      </c>
      <c r="C535" s="443" t="s">
        <v>59</v>
      </c>
      <c r="D535" s="1133">
        <v>24.6</v>
      </c>
      <c r="E535" s="445">
        <f>'2층전시실산출 '!H110</f>
        <v>24.6</v>
      </c>
      <c r="F535" s="1147">
        <v>7050</v>
      </c>
      <c r="G535" s="1147">
        <v>173430</v>
      </c>
      <c r="H535" s="450">
        <f>TRUNC(일위대가목록!F48,0)</f>
        <v>7050</v>
      </c>
      <c r="I535" s="450">
        <f>E535*H535</f>
        <v>173430</v>
      </c>
      <c r="J535" s="1147">
        <v>10986</v>
      </c>
      <c r="K535" s="1147">
        <v>270255.60000000003</v>
      </c>
      <c r="L535" s="450">
        <f>TRUNC(일위대가목록!H48,0)</f>
        <v>10986</v>
      </c>
      <c r="M535" s="450">
        <f>E535*L535</f>
        <v>270255.60000000003</v>
      </c>
      <c r="N535" s="1147">
        <v>0</v>
      </c>
      <c r="O535" s="1147">
        <v>0</v>
      </c>
      <c r="P535" s="450">
        <f>TRUNC(일위대가목록!J48,0)</f>
        <v>0</v>
      </c>
      <c r="Q535" s="450">
        <f>TRUNC(P535*E535, 0)</f>
        <v>0</v>
      </c>
      <c r="R535" s="1147">
        <v>18036</v>
      </c>
      <c r="S535" s="1147">
        <v>443685</v>
      </c>
      <c r="T535" s="450">
        <f t="shared" si="76"/>
        <v>18036</v>
      </c>
      <c r="U535" s="450">
        <f t="shared" si="76"/>
        <v>443685</v>
      </c>
      <c r="V535" s="454" t="str">
        <f>일위대가목록!M48</f>
        <v>호표 45</v>
      </c>
      <c r="W535" s="448" t="s">
        <v>246</v>
      </c>
      <c r="X535" s="448" t="s">
        <v>51</v>
      </c>
      <c r="Y535" s="448" t="s">
        <v>51</v>
      </c>
      <c r="Z535" s="448" t="s">
        <v>650</v>
      </c>
      <c r="AA535" s="448" t="s">
        <v>61</v>
      </c>
      <c r="AB535" s="448" t="s">
        <v>62</v>
      </c>
      <c r="AC535" s="448" t="s">
        <v>62</v>
      </c>
      <c r="AD535" s="447"/>
      <c r="AE535" s="447"/>
      <c r="AF535" s="447"/>
      <c r="AG535" s="447"/>
      <c r="AH535" s="447"/>
      <c r="AI535" s="447"/>
      <c r="AJ535" s="447"/>
      <c r="AK535" s="447"/>
      <c r="AL535" s="447"/>
      <c r="AM535" s="447"/>
      <c r="AN535" s="447"/>
      <c r="AO535" s="447"/>
      <c r="AP535" s="447"/>
      <c r="AQ535" s="447"/>
      <c r="AR535" s="447"/>
      <c r="AS535" s="447"/>
      <c r="AT535" s="447"/>
      <c r="AU535" s="447"/>
      <c r="AV535" s="447"/>
      <c r="AW535" s="447"/>
      <c r="AX535" s="447"/>
      <c r="AY535" s="447"/>
      <c r="AZ535" s="447"/>
      <c r="BA535" s="448" t="s">
        <v>51</v>
      </c>
      <c r="BB535" s="448" t="s">
        <v>51</v>
      </c>
      <c r="BC535" s="447"/>
      <c r="BD535" s="448" t="s">
        <v>654</v>
      </c>
      <c r="BE535" s="447">
        <v>84</v>
      </c>
    </row>
    <row r="536" spans="1:57" ht="30" customHeight="1">
      <c r="A536" s="443" t="s">
        <v>240</v>
      </c>
      <c r="B536" s="443" t="s">
        <v>241</v>
      </c>
      <c r="C536" s="443" t="s">
        <v>59</v>
      </c>
      <c r="D536" s="1133">
        <v>24.6</v>
      </c>
      <c r="E536" s="445">
        <f>'2층전시실산출 '!H111</f>
        <v>24.6</v>
      </c>
      <c r="F536" s="1147">
        <v>64510</v>
      </c>
      <c r="G536" s="1147">
        <v>1586946</v>
      </c>
      <c r="H536" s="450">
        <f>TRUNC(일위대가목록!F49,0)</f>
        <v>64510</v>
      </c>
      <c r="I536" s="450">
        <f>E536*H536</f>
        <v>1586946</v>
      </c>
      <c r="J536" s="1147">
        <v>35743</v>
      </c>
      <c r="K536" s="1147">
        <v>879277.8</v>
      </c>
      <c r="L536" s="450">
        <f>TRUNC(일위대가목록!H49,0)</f>
        <v>35743</v>
      </c>
      <c r="M536" s="450">
        <f>E536*L536</f>
        <v>879277.8</v>
      </c>
      <c r="N536" s="1147">
        <v>0</v>
      </c>
      <c r="O536" s="1147">
        <v>0</v>
      </c>
      <c r="P536" s="450">
        <f>TRUNC(일위대가목록!J49,0)</f>
        <v>0</v>
      </c>
      <c r="Q536" s="450">
        <f>TRUNC(P536*E536, 0)</f>
        <v>0</v>
      </c>
      <c r="R536" s="1147">
        <v>100253</v>
      </c>
      <c r="S536" s="1147">
        <v>2466223</v>
      </c>
      <c r="T536" s="450">
        <f t="shared" si="76"/>
        <v>100253</v>
      </c>
      <c r="U536" s="450">
        <f t="shared" si="76"/>
        <v>2466223</v>
      </c>
      <c r="V536" s="454" t="str">
        <f>일위대가목록!M49</f>
        <v>호표 46</v>
      </c>
    </row>
    <row r="537" spans="1:57" ht="30" customHeight="1">
      <c r="A537" s="443" t="s">
        <v>244</v>
      </c>
      <c r="B537" s="443" t="s">
        <v>245</v>
      </c>
      <c r="C537" s="443" t="s">
        <v>204</v>
      </c>
      <c r="D537" s="1133">
        <v>6</v>
      </c>
      <c r="E537" s="445">
        <f>'2층전시실산출 '!H112</f>
        <v>6</v>
      </c>
      <c r="F537" s="1147">
        <v>3866</v>
      </c>
      <c r="G537" s="1147">
        <v>23196</v>
      </c>
      <c r="H537" s="450">
        <f>TRUNC(일위대가목록!F50,0)</f>
        <v>3558</v>
      </c>
      <c r="I537" s="450">
        <f>E537*H537</f>
        <v>21348</v>
      </c>
      <c r="J537" s="1147">
        <v>13852</v>
      </c>
      <c r="K537" s="1147">
        <v>83112</v>
      </c>
      <c r="L537" s="450">
        <f>TRUNC(일위대가목록!H50,0)</f>
        <v>13852</v>
      </c>
      <c r="M537" s="450">
        <f>E537*L537</f>
        <v>83112</v>
      </c>
      <c r="N537" s="1147">
        <v>439</v>
      </c>
      <c r="O537" s="1147">
        <v>2634</v>
      </c>
      <c r="P537" s="450">
        <f>TRUNC(일위대가목록!J50,0)</f>
        <v>439</v>
      </c>
      <c r="Q537" s="450">
        <f>E537*P537</f>
        <v>2634</v>
      </c>
      <c r="R537" s="1147">
        <v>18157</v>
      </c>
      <c r="S537" s="1147">
        <v>108942</v>
      </c>
      <c r="T537" s="450">
        <f t="shared" si="76"/>
        <v>17849</v>
      </c>
      <c r="U537" s="450">
        <f t="shared" si="76"/>
        <v>107094</v>
      </c>
      <c r="V537" s="454" t="str">
        <f>일위대가목록!M50</f>
        <v>호표 47</v>
      </c>
    </row>
    <row r="538" spans="1:57" ht="30" customHeight="1">
      <c r="A538" s="444"/>
      <c r="B538" s="444"/>
      <c r="C538" s="444"/>
      <c r="D538" s="1133"/>
      <c r="E538" s="445"/>
      <c r="F538" s="1146"/>
      <c r="G538" s="1146"/>
      <c r="H538" s="444"/>
      <c r="I538" s="444"/>
      <c r="J538" s="1146"/>
      <c r="K538" s="1146"/>
      <c r="L538" s="444"/>
      <c r="M538" s="444"/>
      <c r="N538" s="1146"/>
      <c r="O538" s="1146"/>
      <c r="P538" s="444"/>
      <c r="Q538" s="444"/>
      <c r="R538" s="1146"/>
      <c r="S538" s="1146"/>
      <c r="T538" s="444"/>
      <c r="U538" s="444"/>
      <c r="V538" s="446"/>
    </row>
    <row r="539" spans="1:57" ht="30" customHeight="1">
      <c r="A539" s="444"/>
      <c r="B539" s="444"/>
      <c r="C539" s="444"/>
      <c r="D539" s="1133"/>
      <c r="E539" s="445"/>
      <c r="F539" s="1146"/>
      <c r="G539" s="1146"/>
      <c r="H539" s="444"/>
      <c r="I539" s="444"/>
      <c r="J539" s="1146"/>
      <c r="K539" s="1146"/>
      <c r="L539" s="444"/>
      <c r="M539" s="444"/>
      <c r="N539" s="1146"/>
      <c r="O539" s="1146"/>
      <c r="P539" s="444"/>
      <c r="Q539" s="444"/>
      <c r="R539" s="1146"/>
      <c r="S539" s="1146"/>
      <c r="T539" s="444"/>
      <c r="U539" s="444"/>
      <c r="V539" s="446"/>
    </row>
    <row r="540" spans="1:57" ht="30" customHeight="1">
      <c r="A540" s="444"/>
      <c r="B540" s="444"/>
      <c r="C540" s="444"/>
      <c r="D540" s="1133"/>
      <c r="E540" s="445"/>
      <c r="F540" s="1146"/>
      <c r="G540" s="1146"/>
      <c r="H540" s="444"/>
      <c r="I540" s="444"/>
      <c r="J540" s="1146"/>
      <c r="K540" s="1146"/>
      <c r="L540" s="444"/>
      <c r="M540" s="444"/>
      <c r="N540" s="1146"/>
      <c r="O540" s="1146"/>
      <c r="P540" s="444"/>
      <c r="Q540" s="444"/>
      <c r="R540" s="1146"/>
      <c r="S540" s="1146"/>
      <c r="T540" s="444"/>
      <c r="U540" s="444"/>
      <c r="V540" s="446"/>
    </row>
    <row r="541" spans="1:57" ht="30" customHeight="1">
      <c r="A541" s="444"/>
      <c r="B541" s="444"/>
      <c r="C541" s="444"/>
      <c r="D541" s="1133"/>
      <c r="E541" s="445"/>
      <c r="F541" s="1146"/>
      <c r="G541" s="1146"/>
      <c r="H541" s="444"/>
      <c r="I541" s="444"/>
      <c r="J541" s="1146"/>
      <c r="K541" s="1146"/>
      <c r="L541" s="444"/>
      <c r="M541" s="444"/>
      <c r="N541" s="1146"/>
      <c r="O541" s="1146"/>
      <c r="P541" s="444"/>
      <c r="Q541" s="444"/>
      <c r="R541" s="1146"/>
      <c r="S541" s="1146"/>
      <c r="T541" s="444"/>
      <c r="U541" s="444"/>
      <c r="V541" s="446"/>
    </row>
    <row r="542" spans="1:57" ht="30" customHeight="1">
      <c r="A542" s="444"/>
      <c r="B542" s="444"/>
      <c r="C542" s="444"/>
      <c r="D542" s="1133"/>
      <c r="E542" s="445"/>
      <c r="F542" s="1146"/>
      <c r="G542" s="1146"/>
      <c r="H542" s="444"/>
      <c r="I542" s="444"/>
      <c r="J542" s="1146"/>
      <c r="K542" s="1146"/>
      <c r="L542" s="444"/>
      <c r="M542" s="444"/>
      <c r="N542" s="1146"/>
      <c r="O542" s="1146"/>
      <c r="P542" s="444"/>
      <c r="Q542" s="444"/>
      <c r="R542" s="1146"/>
      <c r="S542" s="1146"/>
      <c r="T542" s="444"/>
      <c r="U542" s="444"/>
      <c r="V542" s="446"/>
    </row>
    <row r="543" spans="1:57" ht="30" customHeight="1">
      <c r="A543" s="444"/>
      <c r="B543" s="444"/>
      <c r="C543" s="444"/>
      <c r="D543" s="1133"/>
      <c r="E543" s="445"/>
      <c r="F543" s="1146"/>
      <c r="G543" s="1146"/>
      <c r="H543" s="444"/>
      <c r="I543" s="444"/>
      <c r="J543" s="1146"/>
      <c r="K543" s="1146"/>
      <c r="L543" s="444"/>
      <c r="M543" s="444"/>
      <c r="N543" s="1146"/>
      <c r="O543" s="1146"/>
      <c r="P543" s="444"/>
      <c r="Q543" s="444"/>
      <c r="R543" s="1146"/>
      <c r="S543" s="1146"/>
      <c r="T543" s="444"/>
      <c r="U543" s="444"/>
      <c r="V543" s="446"/>
    </row>
    <row r="544" spans="1:57" ht="30" customHeight="1">
      <c r="A544" s="444"/>
      <c r="B544" s="444"/>
      <c r="C544" s="444"/>
      <c r="D544" s="1133"/>
      <c r="E544" s="445"/>
      <c r="F544" s="1146"/>
      <c r="G544" s="1146"/>
      <c r="H544" s="444"/>
      <c r="I544" s="444"/>
      <c r="J544" s="1146"/>
      <c r="K544" s="1146"/>
      <c r="L544" s="444"/>
      <c r="M544" s="444"/>
      <c r="N544" s="1146"/>
      <c r="O544" s="1146"/>
      <c r="P544" s="444"/>
      <c r="Q544" s="444"/>
      <c r="R544" s="1146"/>
      <c r="S544" s="1146"/>
      <c r="T544" s="444"/>
      <c r="U544" s="444"/>
      <c r="V544" s="446"/>
    </row>
    <row r="545" spans="1:57" ht="30" customHeight="1">
      <c r="A545" s="444"/>
      <c r="B545" s="444"/>
      <c r="C545" s="444"/>
      <c r="D545" s="1133"/>
      <c r="E545" s="445"/>
      <c r="F545" s="1146"/>
      <c r="G545" s="1146"/>
      <c r="H545" s="444"/>
      <c r="I545" s="444"/>
      <c r="J545" s="1146"/>
      <c r="K545" s="1146"/>
      <c r="L545" s="444"/>
      <c r="M545" s="444"/>
      <c r="N545" s="1146"/>
      <c r="O545" s="1146"/>
      <c r="P545" s="444"/>
      <c r="Q545" s="444"/>
      <c r="R545" s="1146"/>
      <c r="S545" s="1146"/>
      <c r="T545" s="444"/>
      <c r="U545" s="444"/>
      <c r="V545" s="446"/>
    </row>
    <row r="546" spans="1:57" ht="30" customHeight="1">
      <c r="A546" s="444"/>
      <c r="B546" s="444"/>
      <c r="C546" s="444"/>
      <c r="D546" s="1133"/>
      <c r="E546" s="445"/>
      <c r="F546" s="1146"/>
      <c r="G546" s="1146"/>
      <c r="H546" s="444"/>
      <c r="I546" s="444"/>
      <c r="J546" s="1146"/>
      <c r="K546" s="1146"/>
      <c r="L546" s="444"/>
      <c r="M546" s="444"/>
      <c r="N546" s="1146"/>
      <c r="O546" s="1146"/>
      <c r="P546" s="444"/>
      <c r="Q546" s="444"/>
      <c r="R546" s="1146"/>
      <c r="S546" s="1146"/>
      <c r="T546" s="444"/>
      <c r="U546" s="444"/>
      <c r="V546" s="446"/>
    </row>
    <row r="547" spans="1:57" ht="30" customHeight="1">
      <c r="A547" s="444"/>
      <c r="B547" s="444"/>
      <c r="C547" s="444"/>
      <c r="D547" s="1133"/>
      <c r="E547" s="445"/>
      <c r="F547" s="1146"/>
      <c r="G547" s="1146"/>
      <c r="H547" s="444"/>
      <c r="I547" s="444"/>
      <c r="J547" s="1146"/>
      <c r="K547" s="1146"/>
      <c r="L547" s="444"/>
      <c r="M547" s="444"/>
      <c r="N547" s="1146"/>
      <c r="O547" s="1146"/>
      <c r="P547" s="444"/>
      <c r="Q547" s="444"/>
      <c r="R547" s="1146"/>
      <c r="S547" s="1146"/>
      <c r="T547" s="444"/>
      <c r="U547" s="444"/>
      <c r="V547" s="446"/>
    </row>
    <row r="548" spans="1:57" ht="30" customHeight="1">
      <c r="A548" s="444"/>
      <c r="B548" s="444"/>
      <c r="C548" s="444"/>
      <c r="D548" s="1133"/>
      <c r="E548" s="445"/>
      <c r="F548" s="1146"/>
      <c r="G548" s="1146"/>
      <c r="H548" s="444"/>
      <c r="I548" s="444"/>
      <c r="J548" s="1146"/>
      <c r="K548" s="1146"/>
      <c r="L548" s="444"/>
      <c r="M548" s="444"/>
      <c r="N548" s="1146"/>
      <c r="O548" s="1146"/>
      <c r="P548" s="444"/>
      <c r="Q548" s="444"/>
      <c r="R548" s="1146"/>
      <c r="S548" s="1146"/>
      <c r="T548" s="444"/>
      <c r="U548" s="444"/>
      <c r="V548" s="446"/>
    </row>
    <row r="549" spans="1:57" ht="30" customHeight="1">
      <c r="A549" s="444"/>
      <c r="B549" s="444"/>
      <c r="C549" s="444"/>
      <c r="D549" s="1133"/>
      <c r="E549" s="445"/>
      <c r="F549" s="1146"/>
      <c r="G549" s="1146"/>
      <c r="H549" s="444"/>
      <c r="I549" s="444"/>
      <c r="J549" s="1146"/>
      <c r="K549" s="1146"/>
      <c r="L549" s="444"/>
      <c r="M549" s="444"/>
      <c r="N549" s="1146"/>
      <c r="O549" s="1146"/>
      <c r="P549" s="444"/>
      <c r="Q549" s="444"/>
      <c r="R549" s="1146"/>
      <c r="S549" s="1146"/>
      <c r="T549" s="444"/>
      <c r="U549" s="444"/>
      <c r="V549" s="446"/>
    </row>
    <row r="550" spans="1:57" ht="30" customHeight="1">
      <c r="A550" s="444"/>
      <c r="B550" s="444"/>
      <c r="C550" s="444"/>
      <c r="D550" s="1133"/>
      <c r="E550" s="445"/>
      <c r="F550" s="1146"/>
      <c r="G550" s="1146"/>
      <c r="H550" s="444"/>
      <c r="I550" s="444"/>
      <c r="J550" s="1146"/>
      <c r="K550" s="1146"/>
      <c r="L550" s="444"/>
      <c r="M550" s="444"/>
      <c r="N550" s="1146"/>
      <c r="O550" s="1146"/>
      <c r="P550" s="444"/>
      <c r="Q550" s="444"/>
      <c r="R550" s="1146"/>
      <c r="S550" s="1146"/>
      <c r="T550" s="444"/>
      <c r="U550" s="444"/>
      <c r="V550" s="446"/>
    </row>
    <row r="551" spans="1:57" ht="30" customHeight="1">
      <c r="A551" s="444"/>
      <c r="B551" s="444"/>
      <c r="C551" s="444"/>
      <c r="D551" s="1133"/>
      <c r="E551" s="445"/>
      <c r="F551" s="1146"/>
      <c r="G551" s="1146"/>
      <c r="H551" s="444"/>
      <c r="I551" s="444"/>
      <c r="J551" s="1146"/>
      <c r="K551" s="1146"/>
      <c r="L551" s="444"/>
      <c r="M551" s="444"/>
      <c r="N551" s="1146"/>
      <c r="O551" s="1146"/>
      <c r="P551" s="444"/>
      <c r="Q551" s="444"/>
      <c r="R551" s="1146"/>
      <c r="S551" s="1146"/>
      <c r="T551" s="444"/>
      <c r="U551" s="444"/>
      <c r="V551" s="446"/>
    </row>
    <row r="552" spans="1:57" ht="30" customHeight="1">
      <c r="A552" s="444"/>
      <c r="B552" s="444"/>
      <c r="C552" s="444"/>
      <c r="D552" s="1133"/>
      <c r="E552" s="445"/>
      <c r="F552" s="1146"/>
      <c r="G552" s="1146"/>
      <c r="H552" s="444"/>
      <c r="I552" s="444"/>
      <c r="J552" s="1146"/>
      <c r="K552" s="1146"/>
      <c r="L552" s="444"/>
      <c r="M552" s="444"/>
      <c r="N552" s="1146"/>
      <c r="O552" s="1146"/>
      <c r="P552" s="444"/>
      <c r="Q552" s="444"/>
      <c r="R552" s="1146"/>
      <c r="S552" s="1146"/>
      <c r="T552" s="444"/>
      <c r="U552" s="444"/>
      <c r="V552" s="446"/>
    </row>
    <row r="553" spans="1:57" ht="30" customHeight="1">
      <c r="A553" s="444"/>
      <c r="B553" s="444"/>
      <c r="C553" s="444"/>
      <c r="D553" s="1133"/>
      <c r="E553" s="445"/>
      <c r="F553" s="1146"/>
      <c r="G553" s="1146"/>
      <c r="H553" s="444"/>
      <c r="I553" s="444"/>
      <c r="J553" s="1146"/>
      <c r="K553" s="1146"/>
      <c r="L553" s="444"/>
      <c r="M553" s="444"/>
      <c r="N553" s="1146"/>
      <c r="O553" s="1146"/>
      <c r="P553" s="444"/>
      <c r="Q553" s="444"/>
      <c r="R553" s="1146"/>
      <c r="S553" s="1146"/>
      <c r="T553" s="444"/>
      <c r="U553" s="444"/>
      <c r="V553" s="446"/>
      <c r="W553" s="449" t="s">
        <v>86</v>
      </c>
    </row>
    <row r="554" spans="1:57" ht="30" customHeight="1">
      <c r="A554" s="444"/>
      <c r="B554" s="444"/>
      <c r="C554" s="444"/>
      <c r="D554" s="1133"/>
      <c r="E554" s="445"/>
      <c r="F554" s="1146"/>
      <c r="G554" s="1146"/>
      <c r="H554" s="444"/>
      <c r="I554" s="444"/>
      <c r="J554" s="1146"/>
      <c r="K554" s="1146"/>
      <c r="L554" s="444"/>
      <c r="M554" s="444"/>
      <c r="N554" s="1146"/>
      <c r="O554" s="1146"/>
      <c r="P554" s="444"/>
      <c r="Q554" s="444"/>
      <c r="R554" s="1146"/>
      <c r="S554" s="1146"/>
      <c r="T554" s="444"/>
      <c r="U554" s="444"/>
      <c r="V554" s="446"/>
      <c r="W554" s="459"/>
      <c r="X554" s="459"/>
      <c r="Y554" s="459"/>
      <c r="Z554" s="460" t="s">
        <v>655</v>
      </c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459"/>
      <c r="AN554" s="459"/>
      <c r="AO554" s="459"/>
      <c r="AP554" s="459"/>
      <c r="AQ554" s="459"/>
      <c r="AR554" s="459"/>
      <c r="AS554" s="459"/>
      <c r="AT554" s="459"/>
      <c r="AU554" s="459"/>
      <c r="AV554" s="459"/>
      <c r="AW554" s="459"/>
      <c r="AX554" s="459"/>
      <c r="AY554" s="459"/>
      <c r="AZ554" s="459"/>
      <c r="BA554" s="459"/>
      <c r="BB554" s="459"/>
      <c r="BC554" s="459"/>
      <c r="BD554" s="459"/>
      <c r="BE554" s="459"/>
    </row>
    <row r="555" spans="1:57" ht="30" customHeight="1">
      <c r="A555" s="443" t="s">
        <v>85</v>
      </c>
      <c r="B555" s="444"/>
      <c r="C555" s="444"/>
      <c r="D555" s="1133"/>
      <c r="E555" s="445"/>
      <c r="F555" s="1146"/>
      <c r="G555" s="1147">
        <v>1836880.2</v>
      </c>
      <c r="H555" s="444"/>
      <c r="I555" s="450">
        <f>SUM(I534:I554)</f>
        <v>1834343.4</v>
      </c>
      <c r="J555" s="1146"/>
      <c r="K555" s="1147">
        <v>2092071.0000000002</v>
      </c>
      <c r="L555" s="444"/>
      <c r="M555" s="450">
        <f>SUM(M534:M554)</f>
        <v>1344772.2000000002</v>
      </c>
      <c r="N555" s="1146"/>
      <c r="O555" s="1147">
        <v>2634</v>
      </c>
      <c r="P555" s="444"/>
      <c r="Q555" s="450">
        <f>SUM(Q534:Q554)</f>
        <v>2634</v>
      </c>
      <c r="R555" s="1146"/>
      <c r="S555" s="1147">
        <v>3931583</v>
      </c>
      <c r="T555" s="444"/>
      <c r="U555" s="450">
        <f>SUM(U534:U554)</f>
        <v>3181748</v>
      </c>
      <c r="V555" s="446"/>
      <c r="W555" s="448" t="s">
        <v>172</v>
      </c>
      <c r="X555" s="448" t="s">
        <v>51</v>
      </c>
      <c r="Y555" s="448" t="s">
        <v>51</v>
      </c>
      <c r="Z555" s="448" t="s">
        <v>655</v>
      </c>
      <c r="AA555" s="448" t="s">
        <v>61</v>
      </c>
      <c r="AB555" s="448" t="s">
        <v>62</v>
      </c>
      <c r="AC555" s="448" t="s">
        <v>62</v>
      </c>
      <c r="AD555" s="447"/>
      <c r="AE555" s="447"/>
      <c r="AF555" s="447"/>
      <c r="AG555" s="447"/>
      <c r="AH555" s="447"/>
      <c r="AI555" s="447"/>
      <c r="AJ555" s="447"/>
      <c r="AK555" s="447"/>
      <c r="AL555" s="447"/>
      <c r="AM555" s="447"/>
      <c r="AN555" s="447"/>
      <c r="AO555" s="447"/>
      <c r="AP555" s="447"/>
      <c r="AQ555" s="447"/>
      <c r="AR555" s="447"/>
      <c r="AS555" s="447"/>
      <c r="AT555" s="447"/>
      <c r="AU555" s="447"/>
      <c r="AV555" s="447"/>
      <c r="AW555" s="447"/>
      <c r="AX555" s="447"/>
      <c r="AY555" s="447"/>
      <c r="AZ555" s="447"/>
      <c r="BA555" s="448" t="s">
        <v>51</v>
      </c>
      <c r="BB555" s="448" t="s">
        <v>51</v>
      </c>
      <c r="BC555" s="447"/>
      <c r="BD555" s="448" t="s">
        <v>656</v>
      </c>
      <c r="BE555" s="447">
        <v>527</v>
      </c>
    </row>
    <row r="556" spans="1:57" ht="30" customHeight="1">
      <c r="A556" s="455" t="s">
        <v>4766</v>
      </c>
      <c r="B556" s="456"/>
      <c r="C556" s="456"/>
      <c r="D556" s="1134"/>
      <c r="E556" s="457"/>
      <c r="F556" s="1148"/>
      <c r="G556" s="1148"/>
      <c r="H556" s="456"/>
      <c r="I556" s="456"/>
      <c r="J556" s="1148"/>
      <c r="K556" s="1148"/>
      <c r="L556" s="456"/>
      <c r="M556" s="456"/>
      <c r="N556" s="1148"/>
      <c r="O556" s="1148"/>
      <c r="P556" s="456"/>
      <c r="Q556" s="456"/>
      <c r="R556" s="1148"/>
      <c r="S556" s="1148"/>
      <c r="T556" s="456"/>
      <c r="U556" s="456"/>
      <c r="V556" s="458"/>
    </row>
    <row r="557" spans="1:57" ht="30" customHeight="1">
      <c r="A557" s="443" t="s">
        <v>170</v>
      </c>
      <c r="B557" s="443" t="s">
        <v>171</v>
      </c>
      <c r="C557" s="443" t="s">
        <v>59</v>
      </c>
      <c r="D557" s="1133">
        <v>2855.01</v>
      </c>
      <c r="E557" s="445">
        <f>'2층전시실산출 '!H118</f>
        <v>2855.01</v>
      </c>
      <c r="F557" s="1147">
        <v>734</v>
      </c>
      <c r="G557" s="1147">
        <v>2095577.34</v>
      </c>
      <c r="H557" s="450">
        <f>TRUNC(일위대가목록!F30,0)</f>
        <v>734</v>
      </c>
      <c r="I557" s="450">
        <f>E557*H557</f>
        <v>2095577.34</v>
      </c>
      <c r="J557" s="1147">
        <v>13975</v>
      </c>
      <c r="K557" s="1147">
        <v>39898764.75</v>
      </c>
      <c r="L557" s="450">
        <f>TRUNC(일위대가목록!H30,0)</f>
        <v>1629</v>
      </c>
      <c r="M557" s="450">
        <f>E557*L557</f>
        <v>4650811.29</v>
      </c>
      <c r="N557" s="1147">
        <v>0</v>
      </c>
      <c r="O557" s="1147">
        <v>0</v>
      </c>
      <c r="P557" s="450">
        <f>TRUNC(일위대가목록!J30,0)</f>
        <v>122</v>
      </c>
      <c r="Q557" s="450">
        <f>TRUNC(P557*E557, 0)</f>
        <v>348311</v>
      </c>
      <c r="R557" s="1147">
        <v>14709</v>
      </c>
      <c r="S557" s="1147">
        <v>41994342</v>
      </c>
      <c r="T557" s="450">
        <f>TRUNC(H557+L557+P557, 0)</f>
        <v>2485</v>
      </c>
      <c r="U557" s="450">
        <f>TRUNC(I557+M557+Q557, 0)</f>
        <v>7094699</v>
      </c>
      <c r="V557" s="454" t="str">
        <f>일위대가목록!M30</f>
        <v>호표 27</v>
      </c>
    </row>
    <row r="558" spans="1:57" ht="30" customHeight="1">
      <c r="A558" s="444"/>
      <c r="B558" s="444"/>
      <c r="C558" s="444"/>
      <c r="D558" s="1133"/>
      <c r="E558" s="445"/>
      <c r="F558" s="1146"/>
      <c r="G558" s="1146"/>
      <c r="H558" s="444"/>
      <c r="I558" s="444"/>
      <c r="J558" s="1146"/>
      <c r="K558" s="1146"/>
      <c r="L558" s="444"/>
      <c r="M558" s="444"/>
      <c r="N558" s="1146"/>
      <c r="O558" s="1146"/>
      <c r="P558" s="444"/>
      <c r="Q558" s="444"/>
      <c r="R558" s="1146"/>
      <c r="S558" s="1146"/>
      <c r="T558" s="444"/>
      <c r="U558" s="444"/>
      <c r="V558" s="446"/>
    </row>
    <row r="559" spans="1:57" ht="30" customHeight="1">
      <c r="A559" s="444"/>
      <c r="B559" s="444"/>
      <c r="C559" s="444"/>
      <c r="D559" s="1133"/>
      <c r="E559" s="445"/>
      <c r="F559" s="1146"/>
      <c r="G559" s="1146"/>
      <c r="H559" s="444"/>
      <c r="I559" s="444"/>
      <c r="J559" s="1146"/>
      <c r="K559" s="1146"/>
      <c r="L559" s="444"/>
      <c r="M559" s="444"/>
      <c r="N559" s="1146"/>
      <c r="O559" s="1146"/>
      <c r="P559" s="444"/>
      <c r="Q559" s="444"/>
      <c r="R559" s="1146"/>
      <c r="S559" s="1146"/>
      <c r="T559" s="444"/>
      <c r="U559" s="444"/>
      <c r="V559" s="446"/>
    </row>
    <row r="560" spans="1:57" ht="30" customHeight="1">
      <c r="A560" s="444"/>
      <c r="B560" s="444"/>
      <c r="C560" s="444"/>
      <c r="D560" s="1133"/>
      <c r="E560" s="445"/>
      <c r="F560" s="1146"/>
      <c r="G560" s="1146"/>
      <c r="H560" s="444"/>
      <c r="I560" s="444"/>
      <c r="J560" s="1146"/>
      <c r="K560" s="1146"/>
      <c r="L560" s="444"/>
      <c r="M560" s="444"/>
      <c r="N560" s="1146"/>
      <c r="O560" s="1146"/>
      <c r="P560" s="444"/>
      <c r="Q560" s="444"/>
      <c r="R560" s="1146"/>
      <c r="S560" s="1146"/>
      <c r="T560" s="444"/>
      <c r="U560" s="444"/>
      <c r="V560" s="446"/>
    </row>
    <row r="561" spans="1:22" ht="30" customHeight="1">
      <c r="A561" s="444"/>
      <c r="B561" s="444"/>
      <c r="C561" s="444"/>
      <c r="D561" s="1133"/>
      <c r="E561" s="445"/>
      <c r="F561" s="1146"/>
      <c r="G561" s="1146"/>
      <c r="H561" s="444"/>
      <c r="I561" s="444"/>
      <c r="J561" s="1146"/>
      <c r="K561" s="1146"/>
      <c r="L561" s="444"/>
      <c r="M561" s="444"/>
      <c r="N561" s="1146"/>
      <c r="O561" s="1146"/>
      <c r="P561" s="444"/>
      <c r="Q561" s="444"/>
      <c r="R561" s="1146"/>
      <c r="S561" s="1146"/>
      <c r="T561" s="444"/>
      <c r="U561" s="444"/>
      <c r="V561" s="446"/>
    </row>
    <row r="562" spans="1:22" ht="30" customHeight="1">
      <c r="A562" s="444"/>
      <c r="B562" s="444"/>
      <c r="C562" s="444"/>
      <c r="D562" s="1133"/>
      <c r="E562" s="445"/>
      <c r="F562" s="1146"/>
      <c r="G562" s="1146"/>
      <c r="H562" s="444"/>
      <c r="I562" s="444"/>
      <c r="J562" s="1146"/>
      <c r="K562" s="1146"/>
      <c r="L562" s="444"/>
      <c r="M562" s="444"/>
      <c r="N562" s="1146"/>
      <c r="O562" s="1146"/>
      <c r="P562" s="444"/>
      <c r="Q562" s="444"/>
      <c r="R562" s="1146"/>
      <c r="S562" s="1146"/>
      <c r="T562" s="444"/>
      <c r="U562" s="444"/>
      <c r="V562" s="446"/>
    </row>
    <row r="563" spans="1:22" ht="30" customHeight="1">
      <c r="A563" s="444"/>
      <c r="B563" s="444"/>
      <c r="C563" s="444"/>
      <c r="D563" s="1133"/>
      <c r="E563" s="445"/>
      <c r="F563" s="1146"/>
      <c r="G563" s="1146"/>
      <c r="H563" s="444"/>
      <c r="I563" s="444"/>
      <c r="J563" s="1146"/>
      <c r="K563" s="1146"/>
      <c r="L563" s="444"/>
      <c r="M563" s="444"/>
      <c r="N563" s="1146"/>
      <c r="O563" s="1146"/>
      <c r="P563" s="444"/>
      <c r="Q563" s="444"/>
      <c r="R563" s="1146"/>
      <c r="S563" s="1146"/>
      <c r="T563" s="444"/>
      <c r="U563" s="444"/>
      <c r="V563" s="446"/>
    </row>
    <row r="564" spans="1:22" ht="30" customHeight="1">
      <c r="A564" s="444"/>
      <c r="B564" s="444"/>
      <c r="C564" s="444"/>
      <c r="D564" s="1133"/>
      <c r="E564" s="445"/>
      <c r="F564" s="1146"/>
      <c r="G564" s="1146"/>
      <c r="H564" s="444"/>
      <c r="I564" s="444"/>
      <c r="J564" s="1146"/>
      <c r="K564" s="1146"/>
      <c r="L564" s="444"/>
      <c r="M564" s="444"/>
      <c r="N564" s="1146"/>
      <c r="O564" s="1146"/>
      <c r="P564" s="444"/>
      <c r="Q564" s="444"/>
      <c r="R564" s="1146"/>
      <c r="S564" s="1146"/>
      <c r="T564" s="444"/>
      <c r="U564" s="444"/>
      <c r="V564" s="446"/>
    </row>
    <row r="565" spans="1:22" ht="30" customHeight="1">
      <c r="A565" s="444"/>
      <c r="B565" s="444"/>
      <c r="C565" s="444"/>
      <c r="D565" s="1133"/>
      <c r="E565" s="445"/>
      <c r="F565" s="1146"/>
      <c r="G565" s="1146"/>
      <c r="H565" s="444"/>
      <c r="I565" s="444"/>
      <c r="J565" s="1146"/>
      <c r="K565" s="1146"/>
      <c r="L565" s="444"/>
      <c r="M565" s="444"/>
      <c r="N565" s="1146"/>
      <c r="O565" s="1146"/>
      <c r="P565" s="444"/>
      <c r="Q565" s="444"/>
      <c r="R565" s="1146"/>
      <c r="S565" s="1146"/>
      <c r="T565" s="444"/>
      <c r="U565" s="444"/>
      <c r="V565" s="446"/>
    </row>
    <row r="566" spans="1:22" ht="30" customHeight="1">
      <c r="A566" s="444"/>
      <c r="B566" s="444"/>
      <c r="C566" s="444"/>
      <c r="D566" s="1133"/>
      <c r="E566" s="445"/>
      <c r="F566" s="1146"/>
      <c r="G566" s="1146"/>
      <c r="H566" s="444"/>
      <c r="I566" s="444"/>
      <c r="J566" s="1146"/>
      <c r="K566" s="1146"/>
      <c r="L566" s="444"/>
      <c r="M566" s="444"/>
      <c r="N566" s="1146"/>
      <c r="O566" s="1146"/>
      <c r="P566" s="444"/>
      <c r="Q566" s="444"/>
      <c r="R566" s="1146"/>
      <c r="S566" s="1146"/>
      <c r="T566" s="444"/>
      <c r="U566" s="444"/>
      <c r="V566" s="446"/>
    </row>
    <row r="567" spans="1:22" ht="30" customHeight="1">
      <c r="A567" s="444"/>
      <c r="B567" s="444"/>
      <c r="C567" s="444"/>
      <c r="D567" s="1133"/>
      <c r="E567" s="445"/>
      <c r="F567" s="1146"/>
      <c r="G567" s="1146"/>
      <c r="H567" s="444"/>
      <c r="I567" s="444"/>
      <c r="J567" s="1146"/>
      <c r="K567" s="1146"/>
      <c r="L567" s="444"/>
      <c r="M567" s="444"/>
      <c r="N567" s="1146"/>
      <c r="O567" s="1146"/>
      <c r="P567" s="444"/>
      <c r="Q567" s="444"/>
      <c r="R567" s="1146"/>
      <c r="S567" s="1146"/>
      <c r="T567" s="444"/>
      <c r="U567" s="444"/>
      <c r="V567" s="446"/>
    </row>
    <row r="568" spans="1:22" ht="30" customHeight="1">
      <c r="A568" s="444"/>
      <c r="B568" s="444"/>
      <c r="C568" s="444"/>
      <c r="D568" s="1133"/>
      <c r="E568" s="445"/>
      <c r="F568" s="1146"/>
      <c r="G568" s="1146"/>
      <c r="H568" s="444"/>
      <c r="I568" s="444"/>
      <c r="J568" s="1146"/>
      <c r="K568" s="1146"/>
      <c r="L568" s="444"/>
      <c r="M568" s="444"/>
      <c r="N568" s="1146"/>
      <c r="O568" s="1146"/>
      <c r="P568" s="444"/>
      <c r="Q568" s="444"/>
      <c r="R568" s="1146"/>
      <c r="S568" s="1146"/>
      <c r="T568" s="444"/>
      <c r="U568" s="444"/>
      <c r="V568" s="446"/>
    </row>
    <row r="569" spans="1:22" ht="30" customHeight="1">
      <c r="A569" s="444"/>
      <c r="B569" s="444"/>
      <c r="C569" s="444"/>
      <c r="D569" s="1133"/>
      <c r="E569" s="445"/>
      <c r="F569" s="1146"/>
      <c r="G569" s="1146"/>
      <c r="H569" s="444"/>
      <c r="I569" s="444"/>
      <c r="J569" s="1146"/>
      <c r="K569" s="1146"/>
      <c r="L569" s="444"/>
      <c r="M569" s="444"/>
      <c r="N569" s="1146"/>
      <c r="O569" s="1146"/>
      <c r="P569" s="444"/>
      <c r="Q569" s="444"/>
      <c r="R569" s="1146"/>
      <c r="S569" s="1146"/>
      <c r="T569" s="444"/>
      <c r="U569" s="444"/>
      <c r="V569" s="446"/>
    </row>
    <row r="570" spans="1:22" ht="30" customHeight="1">
      <c r="A570" s="444"/>
      <c r="B570" s="444"/>
      <c r="C570" s="444"/>
      <c r="D570" s="1133"/>
      <c r="E570" s="445"/>
      <c r="F570" s="1146"/>
      <c r="G570" s="1146"/>
      <c r="H570" s="444"/>
      <c r="I570" s="444"/>
      <c r="J570" s="1146"/>
      <c r="K570" s="1146"/>
      <c r="L570" s="444"/>
      <c r="M570" s="444"/>
      <c r="N570" s="1146"/>
      <c r="O570" s="1146"/>
      <c r="P570" s="444"/>
      <c r="Q570" s="444"/>
      <c r="R570" s="1146"/>
      <c r="S570" s="1146"/>
      <c r="T570" s="444"/>
      <c r="U570" s="444"/>
      <c r="V570" s="446"/>
    </row>
    <row r="571" spans="1:22" ht="30" customHeight="1">
      <c r="A571" s="444"/>
      <c r="B571" s="444"/>
      <c r="C571" s="444"/>
      <c r="D571" s="1133"/>
      <c r="E571" s="445"/>
      <c r="F571" s="1146"/>
      <c r="G571" s="1146"/>
      <c r="H571" s="444"/>
      <c r="I571" s="444"/>
      <c r="J571" s="1146"/>
      <c r="K571" s="1146"/>
      <c r="L571" s="444"/>
      <c r="M571" s="444"/>
      <c r="N571" s="1146"/>
      <c r="O571" s="1146"/>
      <c r="P571" s="444"/>
      <c r="Q571" s="444"/>
      <c r="R571" s="1146"/>
      <c r="S571" s="1146"/>
      <c r="T571" s="444"/>
      <c r="U571" s="444"/>
      <c r="V571" s="446"/>
    </row>
    <row r="572" spans="1:22" ht="30" customHeight="1">
      <c r="A572" s="444"/>
      <c r="B572" s="444"/>
      <c r="C572" s="444"/>
      <c r="D572" s="1133"/>
      <c r="E572" s="445"/>
      <c r="F572" s="1146"/>
      <c r="G572" s="1146"/>
      <c r="H572" s="444"/>
      <c r="I572" s="444"/>
      <c r="J572" s="1146"/>
      <c r="K572" s="1146"/>
      <c r="L572" s="444"/>
      <c r="M572" s="444"/>
      <c r="N572" s="1146"/>
      <c r="O572" s="1146"/>
      <c r="P572" s="444"/>
      <c r="Q572" s="444"/>
      <c r="R572" s="1146"/>
      <c r="S572" s="1146"/>
      <c r="T572" s="444"/>
      <c r="U572" s="444"/>
      <c r="V572" s="446"/>
    </row>
    <row r="573" spans="1:22" ht="30" customHeight="1">
      <c r="A573" s="444"/>
      <c r="B573" s="444"/>
      <c r="C573" s="444"/>
      <c r="D573" s="1133"/>
      <c r="E573" s="445"/>
      <c r="F573" s="1146"/>
      <c r="G573" s="1146"/>
      <c r="H573" s="444"/>
      <c r="I573" s="444"/>
      <c r="J573" s="1146"/>
      <c r="K573" s="1146"/>
      <c r="L573" s="444"/>
      <c r="M573" s="444"/>
      <c r="N573" s="1146"/>
      <c r="O573" s="1146"/>
      <c r="P573" s="444"/>
      <c r="Q573" s="444"/>
      <c r="R573" s="1146"/>
      <c r="S573" s="1146"/>
      <c r="T573" s="444"/>
      <c r="U573" s="444"/>
      <c r="V573" s="446"/>
    </row>
    <row r="574" spans="1:22" ht="30" customHeight="1">
      <c r="A574" s="444"/>
      <c r="B574" s="444"/>
      <c r="C574" s="444"/>
      <c r="D574" s="1133"/>
      <c r="E574" s="445"/>
      <c r="F574" s="1146"/>
      <c r="G574" s="1146"/>
      <c r="H574" s="444"/>
      <c r="I574" s="444"/>
      <c r="J574" s="1146"/>
      <c r="K574" s="1146"/>
      <c r="L574" s="444"/>
      <c r="M574" s="444"/>
      <c r="N574" s="1146"/>
      <c r="O574" s="1146"/>
      <c r="P574" s="444"/>
      <c r="Q574" s="444"/>
      <c r="R574" s="1146"/>
      <c r="S574" s="1146"/>
      <c r="T574" s="444"/>
      <c r="U574" s="444"/>
      <c r="V574" s="446"/>
    </row>
    <row r="575" spans="1:22" ht="30" customHeight="1">
      <c r="A575" s="444"/>
      <c r="B575" s="444"/>
      <c r="C575" s="444"/>
      <c r="D575" s="1133"/>
      <c r="E575" s="445"/>
      <c r="F575" s="1146"/>
      <c r="G575" s="1146"/>
      <c r="H575" s="444"/>
      <c r="I575" s="444"/>
      <c r="J575" s="1146"/>
      <c r="K575" s="1146"/>
      <c r="L575" s="444"/>
      <c r="M575" s="444"/>
      <c r="N575" s="1146"/>
      <c r="O575" s="1146"/>
      <c r="P575" s="444"/>
      <c r="Q575" s="444"/>
      <c r="R575" s="1146"/>
      <c r="S575" s="1146"/>
      <c r="T575" s="444"/>
      <c r="U575" s="444"/>
      <c r="V575" s="446"/>
    </row>
    <row r="576" spans="1:22" ht="30" customHeight="1">
      <c r="A576" s="444"/>
      <c r="B576" s="444"/>
      <c r="C576" s="444"/>
      <c r="D576" s="1133"/>
      <c r="E576" s="445"/>
      <c r="F576" s="1146"/>
      <c r="G576" s="1146"/>
      <c r="H576" s="444"/>
      <c r="I576" s="444"/>
      <c r="J576" s="1146"/>
      <c r="K576" s="1146"/>
      <c r="L576" s="444"/>
      <c r="M576" s="444"/>
      <c r="N576" s="1146"/>
      <c r="O576" s="1146"/>
      <c r="P576" s="444"/>
      <c r="Q576" s="444"/>
      <c r="R576" s="1146"/>
      <c r="S576" s="1146"/>
      <c r="T576" s="444"/>
      <c r="U576" s="444"/>
      <c r="V576" s="446"/>
    </row>
    <row r="577" spans="1:57" ht="30" customHeight="1">
      <c r="A577" s="444"/>
      <c r="B577" s="444"/>
      <c r="C577" s="444"/>
      <c r="D577" s="1133"/>
      <c r="E577" s="445"/>
      <c r="F577" s="1146"/>
      <c r="G577" s="1146"/>
      <c r="H577" s="444"/>
      <c r="I577" s="444"/>
      <c r="J577" s="1146"/>
      <c r="K577" s="1146"/>
      <c r="L577" s="444"/>
      <c r="M577" s="444"/>
      <c r="N577" s="1146"/>
      <c r="O577" s="1146"/>
      <c r="P577" s="444"/>
      <c r="Q577" s="444"/>
      <c r="R577" s="1146"/>
      <c r="S577" s="1146"/>
      <c r="T577" s="444"/>
      <c r="U577" s="444"/>
      <c r="V577" s="446"/>
      <c r="W577" s="459"/>
      <c r="X577" s="459"/>
      <c r="Y577" s="459"/>
      <c r="Z577" s="460" t="s">
        <v>657</v>
      </c>
      <c r="AA577" s="459"/>
      <c r="AB577" s="459"/>
      <c r="AC577" s="459"/>
      <c r="AD577" s="459"/>
      <c r="AE577" s="459"/>
      <c r="AF577" s="459"/>
      <c r="AG577" s="459"/>
      <c r="AH577" s="459"/>
      <c r="AI577" s="459"/>
      <c r="AJ577" s="459"/>
      <c r="AK577" s="459"/>
      <c r="AL577" s="459"/>
      <c r="AM577" s="459"/>
      <c r="AN577" s="459"/>
      <c r="AO577" s="459"/>
      <c r="AP577" s="459"/>
      <c r="AQ577" s="459"/>
      <c r="AR577" s="459"/>
      <c r="AS577" s="459"/>
      <c r="AT577" s="459"/>
      <c r="AU577" s="459"/>
      <c r="AV577" s="459"/>
      <c r="AW577" s="459"/>
      <c r="AX577" s="459"/>
      <c r="AY577" s="459"/>
      <c r="AZ577" s="459"/>
      <c r="BA577" s="459"/>
      <c r="BB577" s="459"/>
      <c r="BC577" s="459"/>
      <c r="BD577" s="459"/>
      <c r="BE577" s="459"/>
    </row>
    <row r="578" spans="1:57" ht="30" customHeight="1">
      <c r="A578" s="443" t="s">
        <v>85</v>
      </c>
      <c r="B578" s="444"/>
      <c r="C578" s="444"/>
      <c r="D578" s="1133"/>
      <c r="E578" s="445"/>
      <c r="F578" s="1146"/>
      <c r="G578" s="1147">
        <v>2095577.34</v>
      </c>
      <c r="H578" s="444"/>
      <c r="I578" s="450">
        <f>SUM(I557:I577)</f>
        <v>2095577.34</v>
      </c>
      <c r="J578" s="1146"/>
      <c r="K578" s="1147">
        <v>39898764.75</v>
      </c>
      <c r="L578" s="444"/>
      <c r="M578" s="450">
        <f>SUM(M557:M577)</f>
        <v>4650811.29</v>
      </c>
      <c r="N578" s="1146"/>
      <c r="O578" s="1147">
        <v>0</v>
      </c>
      <c r="P578" s="444"/>
      <c r="Q578" s="450">
        <f>SUM(Q557:Q577)</f>
        <v>348311</v>
      </c>
      <c r="R578" s="1146"/>
      <c r="S578" s="1147">
        <v>41994342</v>
      </c>
      <c r="T578" s="444"/>
      <c r="U578" s="450">
        <f>SUM(U557:U577)</f>
        <v>7094699</v>
      </c>
      <c r="V578" s="446"/>
      <c r="W578" s="448" t="s">
        <v>177</v>
      </c>
      <c r="X578" s="448" t="s">
        <v>51</v>
      </c>
      <c r="Y578" s="448" t="s">
        <v>51</v>
      </c>
      <c r="Z578" s="448" t="s">
        <v>657</v>
      </c>
      <c r="AA578" s="448" t="s">
        <v>61</v>
      </c>
      <c r="AB578" s="448" t="s">
        <v>62</v>
      </c>
      <c r="AC578" s="448" t="s">
        <v>62</v>
      </c>
      <c r="AD578" s="447"/>
      <c r="AE578" s="447"/>
      <c r="AF578" s="447"/>
      <c r="AG578" s="447"/>
      <c r="AH578" s="447"/>
      <c r="AI578" s="447"/>
      <c r="AJ578" s="447"/>
      <c r="AK578" s="447"/>
      <c r="AL578" s="447"/>
      <c r="AM578" s="447"/>
      <c r="AN578" s="447"/>
      <c r="AO578" s="447"/>
      <c r="AP578" s="447"/>
      <c r="AQ578" s="447"/>
      <c r="AR578" s="447"/>
      <c r="AS578" s="447"/>
      <c r="AT578" s="447"/>
      <c r="AU578" s="447"/>
      <c r="AV578" s="447"/>
      <c r="AW578" s="447"/>
      <c r="AX578" s="447"/>
      <c r="AY578" s="447"/>
      <c r="AZ578" s="447"/>
      <c r="BA578" s="448" t="s">
        <v>51</v>
      </c>
      <c r="BB578" s="448" t="s">
        <v>51</v>
      </c>
      <c r="BC578" s="447"/>
      <c r="BD578" s="448" t="s">
        <v>658</v>
      </c>
      <c r="BE578" s="447">
        <v>529</v>
      </c>
    </row>
    <row r="579" spans="1:57" ht="30" customHeight="1">
      <c r="A579" s="455" t="s">
        <v>4767</v>
      </c>
      <c r="B579" s="456"/>
      <c r="C579" s="456"/>
      <c r="D579" s="1134"/>
      <c r="E579" s="457"/>
      <c r="F579" s="1148"/>
      <c r="G579" s="1148"/>
      <c r="H579" s="456"/>
      <c r="I579" s="456"/>
      <c r="J579" s="1148"/>
      <c r="K579" s="1148"/>
      <c r="L579" s="456"/>
      <c r="M579" s="456"/>
      <c r="N579" s="1148"/>
      <c r="O579" s="1148"/>
      <c r="P579" s="456"/>
      <c r="Q579" s="456"/>
      <c r="R579" s="1148"/>
      <c r="S579" s="1148"/>
      <c r="T579" s="456"/>
      <c r="U579" s="456"/>
      <c r="V579" s="458"/>
      <c r="W579" s="448" t="s">
        <v>275</v>
      </c>
      <c r="X579" s="448" t="s">
        <v>51</v>
      </c>
      <c r="Y579" s="448" t="s">
        <v>51</v>
      </c>
      <c r="Z579" s="448" t="s">
        <v>657</v>
      </c>
      <c r="AA579" s="448" t="s">
        <v>61</v>
      </c>
      <c r="AB579" s="448" t="s">
        <v>62</v>
      </c>
      <c r="AC579" s="448" t="s">
        <v>62</v>
      </c>
      <c r="AD579" s="447"/>
      <c r="AE579" s="447"/>
      <c r="AF579" s="447"/>
      <c r="AG579" s="447"/>
      <c r="AH579" s="447"/>
      <c r="AI579" s="447"/>
      <c r="AJ579" s="447"/>
      <c r="AK579" s="447"/>
      <c r="AL579" s="447"/>
      <c r="AM579" s="447"/>
      <c r="AN579" s="447"/>
      <c r="AO579" s="447"/>
      <c r="AP579" s="447"/>
      <c r="AQ579" s="447"/>
      <c r="AR579" s="447"/>
      <c r="AS579" s="447"/>
      <c r="AT579" s="447"/>
      <c r="AU579" s="447"/>
      <c r="AV579" s="447"/>
      <c r="AW579" s="447"/>
      <c r="AX579" s="447"/>
      <c r="AY579" s="447"/>
      <c r="AZ579" s="447"/>
      <c r="BA579" s="448" t="s">
        <v>51</v>
      </c>
      <c r="BB579" s="448" t="s">
        <v>51</v>
      </c>
      <c r="BC579" s="447"/>
      <c r="BD579" s="448" t="s">
        <v>659</v>
      </c>
      <c r="BE579" s="447">
        <v>530</v>
      </c>
    </row>
    <row r="580" spans="1:57" ht="30" customHeight="1">
      <c r="A580" s="443" t="s">
        <v>175</v>
      </c>
      <c r="B580" s="443" t="s">
        <v>176</v>
      </c>
      <c r="C580" s="443" t="s">
        <v>59</v>
      </c>
      <c r="D580" s="1133">
        <v>1967.35</v>
      </c>
      <c r="E580" s="445">
        <v>1967.35</v>
      </c>
      <c r="F580" s="1147">
        <v>9977</v>
      </c>
      <c r="G580" s="1147">
        <v>19628250.949999999</v>
      </c>
      <c r="H580" s="450">
        <f>TRUNC(일위대가목록!F31,0)</f>
        <v>9977</v>
      </c>
      <c r="I580" s="450">
        <f t="shared" ref="I580:I588" si="77">E580*H580</f>
        <v>19628250.949999999</v>
      </c>
      <c r="J580" s="1147">
        <v>25424</v>
      </c>
      <c r="K580" s="1147">
        <v>50017906.399999999</v>
      </c>
      <c r="L580" s="450">
        <f>TRUNC(일위대가목록!H31,0)</f>
        <v>25424</v>
      </c>
      <c r="M580" s="450">
        <f t="shared" ref="M580:M588" si="78">E580*L580</f>
        <v>50017906.399999999</v>
      </c>
      <c r="N580" s="1147">
        <v>0</v>
      </c>
      <c r="O580" s="1147">
        <v>0</v>
      </c>
      <c r="P580" s="450">
        <f>TRUNC(일위대가목록!J31,0)</f>
        <v>0</v>
      </c>
      <c r="Q580" s="450">
        <f>TRUNC(P580*E580, 0)</f>
        <v>0</v>
      </c>
      <c r="R580" s="1147">
        <v>35401</v>
      </c>
      <c r="S580" s="1147">
        <v>69646157</v>
      </c>
      <c r="T580" s="450">
        <f t="shared" ref="T580:T587" si="79">TRUNC(H580+L580+P580, 0)</f>
        <v>35401</v>
      </c>
      <c r="U580" s="450">
        <f t="shared" ref="U580:U587" si="80">TRUNC(I580+M580+Q580, 0)</f>
        <v>69646157</v>
      </c>
      <c r="V580" s="454" t="str">
        <f>일위대가목록!M31</f>
        <v>호표 28</v>
      </c>
      <c r="W580" s="448" t="s">
        <v>196</v>
      </c>
      <c r="X580" s="448" t="s">
        <v>51</v>
      </c>
      <c r="Y580" s="448" t="s">
        <v>51</v>
      </c>
      <c r="Z580" s="448" t="s">
        <v>657</v>
      </c>
      <c r="AA580" s="448" t="s">
        <v>61</v>
      </c>
      <c r="AB580" s="448" t="s">
        <v>62</v>
      </c>
      <c r="AC580" s="448" t="s">
        <v>62</v>
      </c>
      <c r="AD580" s="447"/>
      <c r="AE580" s="447"/>
      <c r="AF580" s="447"/>
      <c r="AG580" s="447"/>
      <c r="AH580" s="447"/>
      <c r="AI580" s="447"/>
      <c r="AJ580" s="447"/>
      <c r="AK580" s="447"/>
      <c r="AL580" s="447"/>
      <c r="AM580" s="447"/>
      <c r="AN580" s="447"/>
      <c r="AO580" s="447"/>
      <c r="AP580" s="447"/>
      <c r="AQ580" s="447"/>
      <c r="AR580" s="447"/>
      <c r="AS580" s="447"/>
      <c r="AT580" s="447"/>
      <c r="AU580" s="447"/>
      <c r="AV580" s="447"/>
      <c r="AW580" s="447"/>
      <c r="AX580" s="447"/>
      <c r="AY580" s="447"/>
      <c r="AZ580" s="447"/>
      <c r="BA580" s="448" t="s">
        <v>51</v>
      </c>
      <c r="BB580" s="448" t="s">
        <v>51</v>
      </c>
      <c r="BC580" s="447"/>
      <c r="BD580" s="448" t="s">
        <v>660</v>
      </c>
      <c r="BE580" s="447">
        <v>531</v>
      </c>
    </row>
    <row r="581" spans="1:57" ht="30" customHeight="1">
      <c r="A581" s="443" t="s">
        <v>194</v>
      </c>
      <c r="B581" s="443" t="s">
        <v>3804</v>
      </c>
      <c r="C581" s="443" t="s">
        <v>59</v>
      </c>
      <c r="D581" s="1133">
        <v>483.63000000000005</v>
      </c>
      <c r="E581" s="445">
        <f>'2층전시실산출 '!H131</f>
        <v>483.63000000000005</v>
      </c>
      <c r="F581" s="1147">
        <v>4117</v>
      </c>
      <c r="G581" s="1147">
        <v>1991104.7100000002</v>
      </c>
      <c r="H581" s="450">
        <f>TRUNC(일위대가목록!F37,0)</f>
        <v>4117</v>
      </c>
      <c r="I581" s="450">
        <f t="shared" si="77"/>
        <v>1991104.7100000002</v>
      </c>
      <c r="J581" s="1147">
        <v>12993</v>
      </c>
      <c r="K581" s="1147">
        <v>6283804.5900000008</v>
      </c>
      <c r="L581" s="450">
        <f>TRUNC(일위대가목록!H37,0)</f>
        <v>12993</v>
      </c>
      <c r="M581" s="450">
        <f t="shared" si="78"/>
        <v>6283804.5900000008</v>
      </c>
      <c r="N581" s="1147">
        <v>259</v>
      </c>
      <c r="O581" s="1147">
        <v>125260.17000000001</v>
      </c>
      <c r="P581" s="450">
        <f>TRUNC(일위대가목록!J37,0)</f>
        <v>259</v>
      </c>
      <c r="Q581" s="450">
        <f t="shared" ref="Q581:Q588" si="81">E581*P581</f>
        <v>125260.17000000001</v>
      </c>
      <c r="R581" s="1147">
        <v>17369</v>
      </c>
      <c r="S581" s="1147">
        <v>8400169</v>
      </c>
      <c r="T581" s="450">
        <f t="shared" si="79"/>
        <v>17369</v>
      </c>
      <c r="U581" s="450">
        <f t="shared" si="80"/>
        <v>8400169</v>
      </c>
      <c r="V581" s="454" t="str">
        <f>일위대가목록!M37</f>
        <v>호표 34</v>
      </c>
      <c r="W581" s="448" t="s">
        <v>181</v>
      </c>
      <c r="X581" s="448" t="s">
        <v>51</v>
      </c>
      <c r="Y581" s="448" t="s">
        <v>51</v>
      </c>
      <c r="Z581" s="448" t="s">
        <v>657</v>
      </c>
      <c r="AA581" s="448" t="s">
        <v>61</v>
      </c>
      <c r="AB581" s="448" t="s">
        <v>62</v>
      </c>
      <c r="AC581" s="448" t="s">
        <v>62</v>
      </c>
      <c r="AD581" s="447"/>
      <c r="AE581" s="447"/>
      <c r="AF581" s="447"/>
      <c r="AG581" s="447"/>
      <c r="AH581" s="447"/>
      <c r="AI581" s="447"/>
      <c r="AJ581" s="447"/>
      <c r="AK581" s="447"/>
      <c r="AL581" s="447"/>
      <c r="AM581" s="447"/>
      <c r="AN581" s="447"/>
      <c r="AO581" s="447"/>
      <c r="AP581" s="447"/>
      <c r="AQ581" s="447"/>
      <c r="AR581" s="447"/>
      <c r="AS581" s="447"/>
      <c r="AT581" s="447"/>
      <c r="AU581" s="447"/>
      <c r="AV581" s="447"/>
      <c r="AW581" s="447"/>
      <c r="AX581" s="447"/>
      <c r="AY581" s="447"/>
      <c r="AZ581" s="447"/>
      <c r="BA581" s="448" t="s">
        <v>51</v>
      </c>
      <c r="BB581" s="448" t="s">
        <v>51</v>
      </c>
      <c r="BC581" s="447"/>
      <c r="BD581" s="448" t="s">
        <v>661</v>
      </c>
      <c r="BE581" s="447">
        <v>533</v>
      </c>
    </row>
    <row r="582" spans="1:57" ht="30" customHeight="1">
      <c r="A582" s="443" t="s">
        <v>3486</v>
      </c>
      <c r="B582" s="443" t="s">
        <v>3805</v>
      </c>
      <c r="C582" s="443" t="s">
        <v>59</v>
      </c>
      <c r="D582" s="1133">
        <v>378.81000000000006</v>
      </c>
      <c r="E582" s="445">
        <f>'2층전시실산출 '!H135</f>
        <v>378.81000000000006</v>
      </c>
      <c r="F582" s="1147">
        <v>18228</v>
      </c>
      <c r="G582" s="1147">
        <v>6904948.6800000006</v>
      </c>
      <c r="H582" s="450">
        <f>일위대가목록!F59</f>
        <v>18228</v>
      </c>
      <c r="I582" s="450">
        <f t="shared" si="77"/>
        <v>6904948.6800000006</v>
      </c>
      <c r="J582" s="1147">
        <v>12993.4</v>
      </c>
      <c r="K582" s="1147">
        <v>4922029.8540000003</v>
      </c>
      <c r="L582" s="450">
        <f>일위대가목록!H59</f>
        <v>12993.4</v>
      </c>
      <c r="M582" s="450">
        <f t="shared" si="78"/>
        <v>4922029.8540000003</v>
      </c>
      <c r="N582" s="1147">
        <v>259.8</v>
      </c>
      <c r="O582" s="1147">
        <v>98414.838000000018</v>
      </c>
      <c r="P582" s="450">
        <f>일위대가목록!J59</f>
        <v>259.8</v>
      </c>
      <c r="Q582" s="450">
        <f t="shared" si="81"/>
        <v>98414.838000000018</v>
      </c>
      <c r="R582" s="1147">
        <v>31481</v>
      </c>
      <c r="S582" s="1147">
        <v>11925393</v>
      </c>
      <c r="T582" s="450">
        <f t="shared" si="79"/>
        <v>31481</v>
      </c>
      <c r="U582" s="450">
        <f t="shared" si="80"/>
        <v>11925393</v>
      </c>
      <c r="V582" s="454" t="str">
        <f>일위대가목록!M59</f>
        <v>호표 56</v>
      </c>
      <c r="W582" s="448" t="s">
        <v>254</v>
      </c>
      <c r="X582" s="448" t="s">
        <v>51</v>
      </c>
      <c r="Y582" s="448" t="s">
        <v>51</v>
      </c>
      <c r="Z582" s="448" t="s">
        <v>657</v>
      </c>
      <c r="AA582" s="448" t="s">
        <v>61</v>
      </c>
      <c r="AB582" s="448" t="s">
        <v>62</v>
      </c>
      <c r="AC582" s="448" t="s">
        <v>62</v>
      </c>
      <c r="AD582" s="447"/>
      <c r="AE582" s="447"/>
      <c r="AF582" s="447"/>
      <c r="AG582" s="447"/>
      <c r="AH582" s="447"/>
      <c r="AI582" s="447"/>
      <c r="AJ582" s="447"/>
      <c r="AK582" s="447"/>
      <c r="AL582" s="447"/>
      <c r="AM582" s="447"/>
      <c r="AN582" s="447"/>
      <c r="AO582" s="447"/>
      <c r="AP582" s="447"/>
      <c r="AQ582" s="447"/>
      <c r="AR582" s="447"/>
      <c r="AS582" s="447"/>
      <c r="AT582" s="447"/>
      <c r="AU582" s="447"/>
      <c r="AV582" s="447"/>
      <c r="AW582" s="447"/>
      <c r="AX582" s="447"/>
      <c r="AY582" s="447"/>
      <c r="AZ582" s="447"/>
      <c r="BA582" s="448" t="s">
        <v>51</v>
      </c>
      <c r="BB582" s="448" t="s">
        <v>51</v>
      </c>
      <c r="BC582" s="447"/>
      <c r="BD582" s="448" t="s">
        <v>662</v>
      </c>
      <c r="BE582" s="447">
        <v>534</v>
      </c>
    </row>
    <row r="583" spans="1:57" ht="30" customHeight="1">
      <c r="A583" s="443" t="s">
        <v>3496</v>
      </c>
      <c r="B583" s="443" t="s">
        <v>3487</v>
      </c>
      <c r="C583" s="443" t="s">
        <v>59</v>
      </c>
      <c r="D583" s="1133">
        <v>1366.1000000000001</v>
      </c>
      <c r="E583" s="445">
        <f>'2층전시실산출 '!H141</f>
        <v>1366.1000000000001</v>
      </c>
      <c r="F583" s="1147">
        <v>5162</v>
      </c>
      <c r="G583" s="1147">
        <v>7051808.2000000011</v>
      </c>
      <c r="H583" s="450">
        <f>TRUNC(일위대가목록!F35,0)</f>
        <v>5667</v>
      </c>
      <c r="I583" s="450">
        <f t="shared" si="77"/>
        <v>7741688.7000000011</v>
      </c>
      <c r="J583" s="1147">
        <v>14470</v>
      </c>
      <c r="K583" s="1147">
        <v>19767467.000000004</v>
      </c>
      <c r="L583" s="450">
        <f>TRUNC(일위대가목록!H35,0)</f>
        <v>16860</v>
      </c>
      <c r="M583" s="450">
        <f t="shared" si="78"/>
        <v>23032446.000000004</v>
      </c>
      <c r="N583" s="1147">
        <v>0</v>
      </c>
      <c r="O583" s="1147">
        <v>0</v>
      </c>
      <c r="P583" s="450">
        <f>TRUNC(일위대가목록!J35,0)</f>
        <v>0</v>
      </c>
      <c r="Q583" s="450">
        <f t="shared" si="81"/>
        <v>0</v>
      </c>
      <c r="R583" s="1147">
        <v>19632</v>
      </c>
      <c r="S583" s="1147">
        <v>26819275</v>
      </c>
      <c r="T583" s="450">
        <f t="shared" ref="T583" si="82">TRUNC(H583+L583+P583, 0)</f>
        <v>22527</v>
      </c>
      <c r="U583" s="450">
        <f t="shared" ref="U583" si="83">TRUNC(I583+M583+Q583, 0)</f>
        <v>30774134</v>
      </c>
      <c r="V583" s="454" t="str">
        <f>일위대가목록!M35</f>
        <v>호표 32</v>
      </c>
      <c r="W583" s="448" t="s">
        <v>205</v>
      </c>
      <c r="X583" s="448" t="s">
        <v>51</v>
      </c>
      <c r="Y583" s="448" t="s">
        <v>51</v>
      </c>
      <c r="Z583" s="448" t="s">
        <v>657</v>
      </c>
      <c r="AA583" s="448" t="s">
        <v>61</v>
      </c>
      <c r="AB583" s="448" t="s">
        <v>62</v>
      </c>
      <c r="AC583" s="448" t="s">
        <v>62</v>
      </c>
      <c r="AD583" s="447"/>
      <c r="AE583" s="447"/>
      <c r="AF583" s="447"/>
      <c r="AG583" s="447"/>
      <c r="AH583" s="447"/>
      <c r="AI583" s="447"/>
      <c r="AJ583" s="447"/>
      <c r="AK583" s="447"/>
      <c r="AL583" s="447"/>
      <c r="AM583" s="447"/>
      <c r="AN583" s="447"/>
      <c r="AO583" s="447"/>
      <c r="AP583" s="447"/>
      <c r="AQ583" s="447"/>
      <c r="AR583" s="447"/>
      <c r="AS583" s="447"/>
      <c r="AT583" s="447"/>
      <c r="AU583" s="447"/>
      <c r="AV583" s="447"/>
      <c r="AW583" s="447"/>
      <c r="AX583" s="447"/>
      <c r="AY583" s="447"/>
      <c r="AZ583" s="447"/>
      <c r="BA583" s="448" t="s">
        <v>51</v>
      </c>
      <c r="BB583" s="448" t="s">
        <v>51</v>
      </c>
      <c r="BC583" s="447"/>
      <c r="BD583" s="448" t="s">
        <v>663</v>
      </c>
      <c r="BE583" s="447">
        <v>537</v>
      </c>
    </row>
    <row r="584" spans="1:57" ht="30" customHeight="1">
      <c r="A584" s="443" t="s">
        <v>182</v>
      </c>
      <c r="B584" s="443" t="s">
        <v>191</v>
      </c>
      <c r="C584" s="443" t="s">
        <v>59</v>
      </c>
      <c r="D584" s="1133">
        <v>142.37</v>
      </c>
      <c r="E584" s="445">
        <f>'2층전시실산출 '!H142</f>
        <v>142.37</v>
      </c>
      <c r="F584" s="1147">
        <v>9392</v>
      </c>
      <c r="G584" s="1147">
        <v>1337139.04</v>
      </c>
      <c r="H584" s="450">
        <f>TRUNC(일위대가목록!F36,0)</f>
        <v>7618</v>
      </c>
      <c r="I584" s="450">
        <f t="shared" si="77"/>
        <v>1084574.6600000001</v>
      </c>
      <c r="J584" s="1147">
        <v>14470</v>
      </c>
      <c r="K584" s="1147">
        <v>2060093.9000000001</v>
      </c>
      <c r="L584" s="450">
        <f>TRUNC(일위대가목록!H36,0)</f>
        <v>16860</v>
      </c>
      <c r="M584" s="450">
        <f t="shared" si="78"/>
        <v>2400358.2000000002</v>
      </c>
      <c r="N584" s="1147">
        <v>0</v>
      </c>
      <c r="O584" s="1147">
        <v>0</v>
      </c>
      <c r="P584" s="450">
        <f>TRUNC(일위대가목록!J36,0)</f>
        <v>0</v>
      </c>
      <c r="Q584" s="450">
        <f t="shared" si="81"/>
        <v>0</v>
      </c>
      <c r="R584" s="1147">
        <v>23862</v>
      </c>
      <c r="S584" s="1147">
        <v>3397232</v>
      </c>
      <c r="T584" s="450">
        <f t="shared" si="79"/>
        <v>24478</v>
      </c>
      <c r="U584" s="450">
        <f t="shared" si="80"/>
        <v>3484932</v>
      </c>
      <c r="V584" s="454" t="str">
        <f>일위대가목록!M36</f>
        <v>호표 33</v>
      </c>
      <c r="W584" s="448" t="s">
        <v>648</v>
      </c>
      <c r="X584" s="448" t="s">
        <v>51</v>
      </c>
      <c r="Y584" s="448" t="s">
        <v>51</v>
      </c>
      <c r="Z584" s="448" t="s">
        <v>657</v>
      </c>
      <c r="AA584" s="448" t="s">
        <v>62</v>
      </c>
      <c r="AB584" s="448" t="s">
        <v>62</v>
      </c>
      <c r="AC584" s="448" t="s">
        <v>61</v>
      </c>
      <c r="AD584" s="447"/>
      <c r="AE584" s="447"/>
      <c r="AF584" s="447"/>
      <c r="AG584" s="447"/>
      <c r="AH584" s="447"/>
      <c r="AI584" s="447"/>
      <c r="AJ584" s="447"/>
      <c r="AK584" s="447"/>
      <c r="AL584" s="447"/>
      <c r="AM584" s="447"/>
      <c r="AN584" s="447"/>
      <c r="AO584" s="447"/>
      <c r="AP584" s="447"/>
      <c r="AQ584" s="447"/>
      <c r="AR584" s="447"/>
      <c r="AS584" s="447"/>
      <c r="AT584" s="447"/>
      <c r="AU584" s="447"/>
      <c r="AV584" s="447"/>
      <c r="AW584" s="447"/>
      <c r="AX584" s="447"/>
      <c r="AY584" s="447"/>
      <c r="AZ584" s="447"/>
      <c r="BA584" s="448" t="s">
        <v>51</v>
      </c>
      <c r="BB584" s="448" t="s">
        <v>51</v>
      </c>
      <c r="BC584" s="447"/>
      <c r="BD584" s="448" t="s">
        <v>664</v>
      </c>
      <c r="BE584" s="447">
        <v>538</v>
      </c>
    </row>
    <row r="585" spans="1:57" ht="30" customHeight="1">
      <c r="A585" s="443" t="s">
        <v>202</v>
      </c>
      <c r="B585" s="443" t="s">
        <v>203</v>
      </c>
      <c r="C585" s="443" t="s">
        <v>204</v>
      </c>
      <c r="D585" s="1133">
        <v>100.60000000000001</v>
      </c>
      <c r="E585" s="445">
        <f>'2층전시실산출 '!H146</f>
        <v>100.60000000000001</v>
      </c>
      <c r="F585" s="1147">
        <v>2500</v>
      </c>
      <c r="G585" s="1147">
        <v>251500.00000000003</v>
      </c>
      <c r="H585" s="450">
        <f>TRUNC(일위대가목록!F39,0)</f>
        <v>2500</v>
      </c>
      <c r="I585" s="450">
        <f t="shared" si="77"/>
        <v>251500.00000000003</v>
      </c>
      <c r="J585" s="1147">
        <v>2568</v>
      </c>
      <c r="K585" s="1147">
        <v>258340.80000000002</v>
      </c>
      <c r="L585" s="450">
        <f>TRUNC(일위대가목록!H39,0)</f>
        <v>2568</v>
      </c>
      <c r="M585" s="450">
        <f t="shared" si="78"/>
        <v>258340.80000000002</v>
      </c>
      <c r="N585" s="1147">
        <v>51</v>
      </c>
      <c r="O585" s="1147">
        <v>5130.6000000000004</v>
      </c>
      <c r="P585" s="450">
        <f>TRUNC(일위대가목록!J39,0)</f>
        <v>51</v>
      </c>
      <c r="Q585" s="450">
        <f t="shared" si="81"/>
        <v>5130.6000000000004</v>
      </c>
      <c r="R585" s="1147">
        <v>5119</v>
      </c>
      <c r="S585" s="1147">
        <v>514971</v>
      </c>
      <c r="T585" s="450">
        <f t="shared" si="79"/>
        <v>5119</v>
      </c>
      <c r="U585" s="450">
        <f t="shared" si="80"/>
        <v>514971</v>
      </c>
      <c r="V585" s="454" t="str">
        <f>일위대가목록!M39</f>
        <v>호표 36</v>
      </c>
      <c r="W585" s="448" t="s">
        <v>220</v>
      </c>
      <c r="X585" s="448" t="s">
        <v>51</v>
      </c>
      <c r="Y585" s="448" t="s">
        <v>51</v>
      </c>
      <c r="Z585" s="448" t="s">
        <v>657</v>
      </c>
      <c r="AA585" s="448" t="s">
        <v>61</v>
      </c>
      <c r="AB585" s="448" t="s">
        <v>62</v>
      </c>
      <c r="AC585" s="448" t="s">
        <v>62</v>
      </c>
      <c r="AD585" s="447"/>
      <c r="AE585" s="447"/>
      <c r="AF585" s="447"/>
      <c r="AG585" s="447"/>
      <c r="AH585" s="447"/>
      <c r="AI585" s="447"/>
      <c r="AJ585" s="447"/>
      <c r="AK585" s="447"/>
      <c r="AL585" s="447"/>
      <c r="AM585" s="447"/>
      <c r="AN585" s="447"/>
      <c r="AO585" s="447"/>
      <c r="AP585" s="447"/>
      <c r="AQ585" s="447"/>
      <c r="AR585" s="447"/>
      <c r="AS585" s="447"/>
      <c r="AT585" s="447"/>
      <c r="AU585" s="447"/>
      <c r="AV585" s="447"/>
      <c r="AW585" s="447"/>
      <c r="AX585" s="447"/>
      <c r="AY585" s="447"/>
      <c r="AZ585" s="447"/>
      <c r="BA585" s="448" t="s">
        <v>51</v>
      </c>
      <c r="BB585" s="448" t="s">
        <v>51</v>
      </c>
      <c r="BC585" s="447"/>
      <c r="BD585" s="448" t="s">
        <v>665</v>
      </c>
      <c r="BE585" s="447">
        <v>539</v>
      </c>
    </row>
    <row r="586" spans="1:57" ht="30" customHeight="1">
      <c r="A586" s="443" t="s">
        <v>218</v>
      </c>
      <c r="B586" s="443" t="s">
        <v>219</v>
      </c>
      <c r="C586" s="443" t="s">
        <v>59</v>
      </c>
      <c r="D586" s="1133">
        <v>851.48296000000005</v>
      </c>
      <c r="E586" s="445">
        <f>'2층전시실산출 '!H152</f>
        <v>851.48296000000005</v>
      </c>
      <c r="F586" s="1147">
        <v>1908</v>
      </c>
      <c r="G586" s="1147">
        <v>1624629.48768</v>
      </c>
      <c r="H586" s="450">
        <f>TRUNC(일위대가목록!F43,0)</f>
        <v>1800</v>
      </c>
      <c r="I586" s="450">
        <f t="shared" si="77"/>
        <v>1532669.328</v>
      </c>
      <c r="J586" s="1147">
        <v>7912</v>
      </c>
      <c r="K586" s="1147">
        <v>6736933.1795200007</v>
      </c>
      <c r="L586" s="450">
        <f>TRUNC(일위대가목록!H43,0)</f>
        <v>3300</v>
      </c>
      <c r="M586" s="450">
        <f t="shared" si="78"/>
        <v>2809893.7680000002</v>
      </c>
      <c r="N586" s="1147">
        <v>0</v>
      </c>
      <c r="O586" s="1147">
        <v>0</v>
      </c>
      <c r="P586" s="450">
        <f>TRUNC(일위대가목록!J43,0)</f>
        <v>0</v>
      </c>
      <c r="Q586" s="450">
        <f t="shared" si="81"/>
        <v>0</v>
      </c>
      <c r="R586" s="1147">
        <v>9820</v>
      </c>
      <c r="S586" s="1147">
        <v>8361562</v>
      </c>
      <c r="T586" s="450">
        <f t="shared" si="79"/>
        <v>5100</v>
      </c>
      <c r="U586" s="450">
        <f t="shared" si="80"/>
        <v>4342563</v>
      </c>
      <c r="V586" s="454" t="str">
        <f>일위대가목록!M43</f>
        <v>호표 40</v>
      </c>
    </row>
    <row r="587" spans="1:57" ht="30" customHeight="1">
      <c r="A587" s="157" t="s">
        <v>222</v>
      </c>
      <c r="B587" s="157" t="s">
        <v>6823</v>
      </c>
      <c r="C587" s="157" t="s">
        <v>59</v>
      </c>
      <c r="D587" s="1209">
        <v>851.48296000000005</v>
      </c>
      <c r="E587" s="1210">
        <f>'2층전시실산출 '!H158</f>
        <v>851.48296000000005</v>
      </c>
      <c r="F587" s="1211">
        <v>2312</v>
      </c>
      <c r="G587" s="1211">
        <v>1968628.6035200001</v>
      </c>
      <c r="H587" s="1212">
        <f>TRUNC(일위대가목록!F44,0)</f>
        <v>2097</v>
      </c>
      <c r="I587" s="1212">
        <f t="shared" si="77"/>
        <v>1785559.7671200002</v>
      </c>
      <c r="J587" s="1211">
        <v>10764</v>
      </c>
      <c r="K587" s="1211">
        <v>9165362.5814399999</v>
      </c>
      <c r="L587" s="1212">
        <f>TRUNC(일위대가목록!H44,0)</f>
        <v>5053</v>
      </c>
      <c r="M587" s="1212">
        <f t="shared" si="78"/>
        <v>4302543.3968799999</v>
      </c>
      <c r="N587" s="1211">
        <v>0</v>
      </c>
      <c r="O587" s="1211">
        <v>0</v>
      </c>
      <c r="P587" s="1212">
        <f>TRUNC(일위대가목록!J44,0)</f>
        <v>0</v>
      </c>
      <c r="Q587" s="1212">
        <f t="shared" si="81"/>
        <v>0</v>
      </c>
      <c r="R587" s="1211">
        <v>13076</v>
      </c>
      <c r="S587" s="1211">
        <v>11133991</v>
      </c>
      <c r="T587" s="1212">
        <f t="shared" si="79"/>
        <v>7150</v>
      </c>
      <c r="U587" s="1212">
        <f t="shared" si="80"/>
        <v>6088103</v>
      </c>
      <c r="V587" s="1213" t="str">
        <f>일위대가목록!M44</f>
        <v>호표 41</v>
      </c>
    </row>
    <row r="588" spans="1:57" ht="30" customHeight="1">
      <c r="A588" s="443" t="s">
        <v>3723</v>
      </c>
      <c r="B588" s="443" t="s">
        <v>208</v>
      </c>
      <c r="C588" s="443" t="s">
        <v>59</v>
      </c>
      <c r="D588" s="1133">
        <v>378.81000000000006</v>
      </c>
      <c r="E588" s="445">
        <f>'2층전시실산출 '!H162</f>
        <v>378.81000000000006</v>
      </c>
      <c r="F588" s="1147">
        <v>8530.1999999999989</v>
      </c>
      <c r="G588" s="1147">
        <v>3231325.0619999999</v>
      </c>
      <c r="H588" s="450">
        <f>일위대가목록!F45</f>
        <v>8530.1999999999989</v>
      </c>
      <c r="I588" s="450">
        <f t="shared" si="77"/>
        <v>3231325.0619999999</v>
      </c>
      <c r="J588" s="1147">
        <v>36448.800000000003</v>
      </c>
      <c r="K588" s="1147">
        <v>13807169.928000003</v>
      </c>
      <c r="L588" s="450">
        <f>일위대가목록!H45</f>
        <v>36448.800000000003</v>
      </c>
      <c r="M588" s="450">
        <f t="shared" si="78"/>
        <v>13807169.928000003</v>
      </c>
      <c r="N588" s="1147">
        <v>0</v>
      </c>
      <c r="O588" s="1147">
        <v>0</v>
      </c>
      <c r="P588" s="450">
        <f>TRUNC(단가대비표!V63,0)</f>
        <v>0</v>
      </c>
      <c r="Q588" s="450">
        <f t="shared" si="81"/>
        <v>0</v>
      </c>
      <c r="R588" s="1147">
        <v>44979</v>
      </c>
      <c r="S588" s="1147">
        <v>17038494</v>
      </c>
      <c r="T588" s="450">
        <f>TRUNC(H588+L588+P588, 0)</f>
        <v>44979</v>
      </c>
      <c r="U588" s="450">
        <f>TRUNC(I588+M588+Q588, 0)</f>
        <v>17038494</v>
      </c>
      <c r="V588" s="454" t="str">
        <f>일위대가목록!M45</f>
        <v>호표 42</v>
      </c>
      <c r="W588" s="448" t="s">
        <v>224</v>
      </c>
      <c r="X588" s="448" t="s">
        <v>51</v>
      </c>
      <c r="Y588" s="448" t="s">
        <v>51</v>
      </c>
      <c r="Z588" s="448" t="s">
        <v>657</v>
      </c>
      <c r="AA588" s="448" t="s">
        <v>61</v>
      </c>
      <c r="AB588" s="448" t="s">
        <v>62</v>
      </c>
      <c r="AC588" s="448" t="s">
        <v>62</v>
      </c>
      <c r="AD588" s="447"/>
      <c r="AE588" s="447"/>
      <c r="AF588" s="447"/>
      <c r="AG588" s="447"/>
      <c r="AH588" s="447"/>
      <c r="AI588" s="447"/>
      <c r="AJ588" s="447"/>
      <c r="AK588" s="447"/>
      <c r="AL588" s="447"/>
      <c r="AM588" s="447"/>
      <c r="AN588" s="447"/>
      <c r="AO588" s="447"/>
      <c r="AP588" s="447"/>
      <c r="AQ588" s="447"/>
      <c r="AR588" s="447"/>
      <c r="AS588" s="447"/>
      <c r="AT588" s="447"/>
      <c r="AU588" s="447"/>
      <c r="AV588" s="447"/>
      <c r="AW588" s="447"/>
      <c r="AX588" s="447"/>
      <c r="AY588" s="447"/>
      <c r="AZ588" s="447"/>
      <c r="BA588" s="448" t="s">
        <v>51</v>
      </c>
      <c r="BB588" s="448" t="s">
        <v>51</v>
      </c>
      <c r="BC588" s="447"/>
      <c r="BD588" s="448" t="s">
        <v>666</v>
      </c>
      <c r="BE588" s="447">
        <v>540</v>
      </c>
    </row>
    <row r="589" spans="1:57" ht="30" customHeight="1">
      <c r="A589" s="443"/>
      <c r="B589" s="443"/>
      <c r="C589" s="443"/>
      <c r="D589" s="1133"/>
      <c r="E589" s="445"/>
      <c r="F589" s="1147"/>
      <c r="G589" s="1147"/>
      <c r="H589" s="450"/>
      <c r="I589" s="450"/>
      <c r="J589" s="1147"/>
      <c r="K589" s="1147"/>
      <c r="L589" s="450"/>
      <c r="M589" s="450"/>
      <c r="N589" s="1147"/>
      <c r="O589" s="1147"/>
      <c r="P589" s="450"/>
      <c r="Q589" s="450"/>
      <c r="R589" s="1147"/>
      <c r="S589" s="1147"/>
      <c r="T589" s="450"/>
      <c r="U589" s="450"/>
      <c r="V589" s="454"/>
      <c r="W589" s="448"/>
      <c r="X589" s="448"/>
      <c r="Y589" s="448"/>
      <c r="Z589" s="448"/>
      <c r="AA589" s="448"/>
      <c r="AB589" s="448"/>
      <c r="AC589" s="448"/>
      <c r="AD589" s="447"/>
      <c r="AE589" s="447"/>
      <c r="AF589" s="447"/>
      <c r="AG589" s="447"/>
      <c r="AH589" s="447"/>
      <c r="AI589" s="447"/>
      <c r="AJ589" s="447"/>
      <c r="AK589" s="447"/>
      <c r="AL589" s="447"/>
      <c r="AM589" s="447"/>
      <c r="AN589" s="447"/>
      <c r="AO589" s="447"/>
      <c r="AP589" s="447"/>
      <c r="AQ589" s="447"/>
      <c r="AR589" s="447"/>
      <c r="AS589" s="447"/>
      <c r="AT589" s="447"/>
      <c r="AU589" s="447"/>
      <c r="AV589" s="447"/>
      <c r="AW589" s="447"/>
      <c r="AX589" s="447"/>
      <c r="AY589" s="447"/>
      <c r="AZ589" s="447"/>
      <c r="BA589" s="448"/>
      <c r="BB589" s="448"/>
      <c r="BC589" s="447"/>
      <c r="BD589" s="448"/>
      <c r="BE589" s="447"/>
    </row>
    <row r="590" spans="1:57" ht="30" customHeight="1">
      <c r="A590" s="443"/>
      <c r="B590" s="443"/>
      <c r="C590" s="443"/>
      <c r="D590" s="1133"/>
      <c r="E590" s="445"/>
      <c r="F590" s="1147"/>
      <c r="G590" s="1147"/>
      <c r="H590" s="450"/>
      <c r="I590" s="450"/>
      <c r="J590" s="1147"/>
      <c r="K590" s="1147"/>
      <c r="L590" s="450"/>
      <c r="M590" s="450"/>
      <c r="N590" s="1147"/>
      <c r="O590" s="1147"/>
      <c r="P590" s="450"/>
      <c r="Q590" s="450"/>
      <c r="R590" s="1147"/>
      <c r="S590" s="1147"/>
      <c r="T590" s="450"/>
      <c r="U590" s="450"/>
      <c r="V590" s="454"/>
      <c r="W590" s="448"/>
      <c r="X590" s="448"/>
      <c r="Y590" s="448"/>
      <c r="Z590" s="448"/>
      <c r="AA590" s="448"/>
      <c r="AB590" s="448"/>
      <c r="AC590" s="448"/>
      <c r="AD590" s="447"/>
      <c r="AE590" s="447"/>
      <c r="AF590" s="447"/>
      <c r="AG590" s="447"/>
      <c r="AH590" s="447"/>
      <c r="AI590" s="447"/>
      <c r="AJ590" s="447"/>
      <c r="AK590" s="447"/>
      <c r="AL590" s="447"/>
      <c r="AM590" s="447"/>
      <c r="AN590" s="447"/>
      <c r="AO590" s="447"/>
      <c r="AP590" s="447"/>
      <c r="AQ590" s="447"/>
      <c r="AR590" s="447"/>
      <c r="AS590" s="447"/>
      <c r="AT590" s="447"/>
      <c r="AU590" s="447"/>
      <c r="AV590" s="447"/>
      <c r="AW590" s="447"/>
      <c r="AX590" s="447"/>
      <c r="AY590" s="447"/>
      <c r="AZ590" s="447"/>
      <c r="BA590" s="448"/>
      <c r="BB590" s="448"/>
      <c r="BC590" s="447"/>
      <c r="BD590" s="448"/>
      <c r="BE590" s="447"/>
    </row>
    <row r="591" spans="1:57" ht="30" customHeight="1">
      <c r="A591" s="443"/>
      <c r="B591" s="443"/>
      <c r="C591" s="443"/>
      <c r="D591" s="1133"/>
      <c r="E591" s="445"/>
      <c r="F591" s="1147"/>
      <c r="G591" s="1147"/>
      <c r="H591" s="450"/>
      <c r="I591" s="450"/>
      <c r="J591" s="1147"/>
      <c r="K591" s="1147"/>
      <c r="L591" s="450"/>
      <c r="M591" s="450"/>
      <c r="N591" s="1147"/>
      <c r="O591" s="1147"/>
      <c r="P591" s="450"/>
      <c r="Q591" s="450"/>
      <c r="R591" s="1147"/>
      <c r="S591" s="1147"/>
      <c r="T591" s="450"/>
      <c r="U591" s="450"/>
      <c r="V591" s="454"/>
      <c r="W591" s="448"/>
      <c r="X591" s="448"/>
      <c r="Y591" s="448"/>
      <c r="Z591" s="448"/>
      <c r="AA591" s="448"/>
      <c r="AB591" s="448"/>
      <c r="AC591" s="448"/>
      <c r="AD591" s="447"/>
      <c r="AE591" s="447"/>
      <c r="AF591" s="447"/>
      <c r="AG591" s="447"/>
      <c r="AH591" s="447"/>
      <c r="AI591" s="447"/>
      <c r="AJ591" s="447"/>
      <c r="AK591" s="447"/>
      <c r="AL591" s="447"/>
      <c r="AM591" s="447"/>
      <c r="AN591" s="447"/>
      <c r="AO591" s="447"/>
      <c r="AP591" s="447"/>
      <c r="AQ591" s="447"/>
      <c r="AR591" s="447"/>
      <c r="AS591" s="447"/>
      <c r="AT591" s="447"/>
      <c r="AU591" s="447"/>
      <c r="AV591" s="447"/>
      <c r="AW591" s="447"/>
      <c r="AX591" s="447"/>
      <c r="AY591" s="447"/>
      <c r="AZ591" s="447"/>
      <c r="BA591" s="448"/>
      <c r="BB591" s="448"/>
      <c r="BC591" s="447"/>
      <c r="BD591" s="448"/>
      <c r="BE591" s="447"/>
    </row>
    <row r="592" spans="1:57" ht="30" customHeight="1">
      <c r="A592" s="444"/>
      <c r="B592" s="444"/>
      <c r="C592" s="444"/>
      <c r="D592" s="1133"/>
      <c r="E592" s="445"/>
      <c r="F592" s="1146"/>
      <c r="G592" s="1146"/>
      <c r="H592" s="444"/>
      <c r="I592" s="444"/>
      <c r="J592" s="1146"/>
      <c r="K592" s="1146"/>
      <c r="L592" s="444"/>
      <c r="M592" s="444"/>
      <c r="N592" s="1146"/>
      <c r="O592" s="1146"/>
      <c r="P592" s="444"/>
      <c r="Q592" s="444"/>
      <c r="R592" s="1146"/>
      <c r="S592" s="1146"/>
      <c r="T592" s="444"/>
      <c r="U592" s="444"/>
      <c r="V592" s="446"/>
    </row>
    <row r="593" spans="1:57" ht="30" customHeight="1">
      <c r="A593" s="444"/>
      <c r="B593" s="444"/>
      <c r="C593" s="444"/>
      <c r="D593" s="1133"/>
      <c r="E593" s="445"/>
      <c r="F593" s="1146"/>
      <c r="G593" s="1146"/>
      <c r="H593" s="444"/>
      <c r="I593" s="444"/>
      <c r="J593" s="1146"/>
      <c r="K593" s="1146"/>
      <c r="L593" s="444"/>
      <c r="M593" s="444"/>
      <c r="N593" s="1146"/>
      <c r="O593" s="1146"/>
      <c r="P593" s="444"/>
      <c r="Q593" s="444"/>
      <c r="R593" s="1146"/>
      <c r="S593" s="1146"/>
      <c r="T593" s="444"/>
      <c r="U593" s="444"/>
      <c r="V593" s="446"/>
    </row>
    <row r="594" spans="1:57" ht="30" customHeight="1">
      <c r="A594" s="444"/>
      <c r="B594" s="444"/>
      <c r="C594" s="444"/>
      <c r="D594" s="1133"/>
      <c r="E594" s="445"/>
      <c r="F594" s="1146"/>
      <c r="G594" s="1146"/>
      <c r="H594" s="444"/>
      <c r="I594" s="444"/>
      <c r="J594" s="1146"/>
      <c r="K594" s="1146"/>
      <c r="L594" s="444"/>
      <c r="M594" s="444"/>
      <c r="N594" s="1146"/>
      <c r="O594" s="1146"/>
      <c r="P594" s="444"/>
      <c r="Q594" s="444"/>
      <c r="R594" s="1146"/>
      <c r="S594" s="1146"/>
      <c r="T594" s="444"/>
      <c r="U594" s="444"/>
      <c r="V594" s="446"/>
    </row>
    <row r="595" spans="1:57" ht="30" customHeight="1">
      <c r="A595" s="444"/>
      <c r="B595" s="444"/>
      <c r="C595" s="444"/>
      <c r="D595" s="1133"/>
      <c r="E595" s="445"/>
      <c r="F595" s="1146"/>
      <c r="G595" s="1146"/>
      <c r="H595" s="444"/>
      <c r="I595" s="444"/>
      <c r="J595" s="1146"/>
      <c r="K595" s="1146"/>
      <c r="L595" s="444"/>
      <c r="M595" s="444"/>
      <c r="N595" s="1146"/>
      <c r="O595" s="1146"/>
      <c r="P595" s="444"/>
      <c r="Q595" s="444"/>
      <c r="R595" s="1146"/>
      <c r="S595" s="1146"/>
      <c r="T595" s="444"/>
      <c r="U595" s="444"/>
      <c r="V595" s="446"/>
    </row>
    <row r="596" spans="1:57" ht="30" customHeight="1">
      <c r="A596" s="444"/>
      <c r="B596" s="444"/>
      <c r="C596" s="444"/>
      <c r="D596" s="1133"/>
      <c r="E596" s="445"/>
      <c r="F596" s="1146"/>
      <c r="G596" s="1146"/>
      <c r="H596" s="444"/>
      <c r="I596" s="444"/>
      <c r="J596" s="1146"/>
      <c r="K596" s="1146"/>
      <c r="L596" s="444"/>
      <c r="M596" s="444"/>
      <c r="N596" s="1146"/>
      <c r="O596" s="1146"/>
      <c r="P596" s="444"/>
      <c r="Q596" s="444"/>
      <c r="R596" s="1146"/>
      <c r="S596" s="1146"/>
      <c r="T596" s="444"/>
      <c r="U596" s="444"/>
      <c r="V596" s="446"/>
    </row>
    <row r="597" spans="1:57" ht="30" customHeight="1">
      <c r="A597" s="444"/>
      <c r="B597" s="444"/>
      <c r="C597" s="444"/>
      <c r="D597" s="1133"/>
      <c r="E597" s="445"/>
      <c r="F597" s="1146"/>
      <c r="G597" s="1146"/>
      <c r="H597" s="444"/>
      <c r="I597" s="444"/>
      <c r="J597" s="1146"/>
      <c r="K597" s="1146"/>
      <c r="L597" s="444"/>
      <c r="M597" s="444"/>
      <c r="N597" s="1146"/>
      <c r="O597" s="1146"/>
      <c r="P597" s="444"/>
      <c r="Q597" s="444"/>
      <c r="R597" s="1146"/>
      <c r="S597" s="1146"/>
      <c r="T597" s="444"/>
      <c r="U597" s="444"/>
      <c r="V597" s="446"/>
    </row>
    <row r="598" spans="1:57" ht="30" customHeight="1">
      <c r="A598" s="444"/>
      <c r="B598" s="444"/>
      <c r="C598" s="444"/>
      <c r="D598" s="1133"/>
      <c r="E598" s="445"/>
      <c r="F598" s="1146"/>
      <c r="G598" s="1146"/>
      <c r="H598" s="444"/>
      <c r="I598" s="444"/>
      <c r="J598" s="1146"/>
      <c r="K598" s="1146"/>
      <c r="L598" s="444"/>
      <c r="M598" s="444"/>
      <c r="N598" s="1146"/>
      <c r="O598" s="1146"/>
      <c r="P598" s="444"/>
      <c r="Q598" s="444"/>
      <c r="R598" s="1146"/>
      <c r="S598" s="1146"/>
      <c r="T598" s="444"/>
      <c r="U598" s="444"/>
      <c r="V598" s="446"/>
    </row>
    <row r="599" spans="1:57" ht="30" customHeight="1">
      <c r="A599" s="444"/>
      <c r="B599" s="444"/>
      <c r="C599" s="444"/>
      <c r="D599" s="1133"/>
      <c r="E599" s="445"/>
      <c r="F599" s="1146"/>
      <c r="G599" s="1146"/>
      <c r="H599" s="444"/>
      <c r="I599" s="444"/>
      <c r="J599" s="1146"/>
      <c r="K599" s="1146"/>
      <c r="L599" s="444"/>
      <c r="M599" s="444"/>
      <c r="N599" s="1146"/>
      <c r="O599" s="1146"/>
      <c r="P599" s="444"/>
      <c r="Q599" s="444"/>
      <c r="R599" s="1146"/>
      <c r="S599" s="1146"/>
      <c r="T599" s="444"/>
      <c r="U599" s="444"/>
      <c r="V599" s="446"/>
    </row>
    <row r="600" spans="1:57" ht="30" customHeight="1">
      <c r="A600" s="444"/>
      <c r="B600" s="444"/>
      <c r="C600" s="444"/>
      <c r="D600" s="1133"/>
      <c r="E600" s="445"/>
      <c r="F600" s="1146"/>
      <c r="G600" s="1146"/>
      <c r="H600" s="444"/>
      <c r="I600" s="444"/>
      <c r="J600" s="1146"/>
      <c r="K600" s="1146"/>
      <c r="L600" s="444"/>
      <c r="M600" s="444"/>
      <c r="N600" s="1146"/>
      <c r="O600" s="1146"/>
      <c r="P600" s="444"/>
      <c r="Q600" s="444"/>
      <c r="R600" s="1146"/>
      <c r="S600" s="1146"/>
      <c r="T600" s="444"/>
      <c r="U600" s="444"/>
      <c r="V600" s="446"/>
      <c r="W600" s="459"/>
      <c r="X600" s="459"/>
      <c r="Y600" s="459"/>
      <c r="Z600" s="460" t="s">
        <v>667</v>
      </c>
      <c r="AA600" s="459"/>
      <c r="AB600" s="459"/>
      <c r="AC600" s="459"/>
      <c r="AD600" s="459"/>
      <c r="AE600" s="459"/>
      <c r="AF600" s="459"/>
      <c r="AG600" s="459"/>
      <c r="AH600" s="459"/>
      <c r="AI600" s="459"/>
      <c r="AJ600" s="459"/>
      <c r="AK600" s="459"/>
      <c r="AL600" s="459"/>
      <c r="AM600" s="459"/>
      <c r="AN600" s="459"/>
      <c r="AO600" s="459"/>
      <c r="AP600" s="459"/>
      <c r="AQ600" s="459"/>
      <c r="AR600" s="459"/>
      <c r="AS600" s="459"/>
      <c r="AT600" s="459"/>
      <c r="AU600" s="459"/>
      <c r="AV600" s="459"/>
      <c r="AW600" s="459"/>
      <c r="AX600" s="459"/>
      <c r="AY600" s="459"/>
      <c r="AZ600" s="459"/>
      <c r="BA600" s="459"/>
      <c r="BB600" s="459"/>
      <c r="BC600" s="459"/>
      <c r="BD600" s="459"/>
      <c r="BE600" s="459"/>
    </row>
    <row r="601" spans="1:57" ht="30" customHeight="1">
      <c r="A601" s="443" t="s">
        <v>85</v>
      </c>
      <c r="B601" s="444"/>
      <c r="C601" s="444"/>
      <c r="D601" s="1133"/>
      <c r="E601" s="445"/>
      <c r="F601" s="1146"/>
      <c r="G601" s="1147">
        <v>43989334.733199999</v>
      </c>
      <c r="H601" s="444"/>
      <c r="I601" s="450">
        <f>SUM(I580:I600)</f>
        <v>44151621.857120007</v>
      </c>
      <c r="J601" s="1146"/>
      <c r="K601" s="1147">
        <v>113019108.23296002</v>
      </c>
      <c r="L601" s="444"/>
      <c r="M601" s="450">
        <f>SUM(M580:M600)</f>
        <v>107834492.93688002</v>
      </c>
      <c r="N601" s="1146"/>
      <c r="O601" s="1147">
        <v>228805.60800000004</v>
      </c>
      <c r="P601" s="444"/>
      <c r="Q601" s="450">
        <f>SUM(Q580:Q600)</f>
        <v>228805.60800000004</v>
      </c>
      <c r="R601" s="1146"/>
      <c r="S601" s="1147">
        <v>157237244</v>
      </c>
      <c r="T601" s="444"/>
      <c r="U601" s="450">
        <f>SUM(U580:U600)</f>
        <v>152214916</v>
      </c>
      <c r="V601" s="446"/>
      <c r="W601" s="448" t="s">
        <v>234</v>
      </c>
      <c r="X601" s="448" t="s">
        <v>51</v>
      </c>
      <c r="Y601" s="448" t="s">
        <v>51</v>
      </c>
      <c r="Z601" s="448" t="s">
        <v>667</v>
      </c>
      <c r="AA601" s="448" t="s">
        <v>61</v>
      </c>
      <c r="AB601" s="448" t="s">
        <v>62</v>
      </c>
      <c r="AC601" s="448" t="s">
        <v>62</v>
      </c>
      <c r="AD601" s="447"/>
      <c r="AE601" s="447"/>
      <c r="AF601" s="447"/>
      <c r="AG601" s="447"/>
      <c r="AH601" s="447"/>
      <c r="AI601" s="447"/>
      <c r="AJ601" s="447"/>
      <c r="AK601" s="447"/>
      <c r="AL601" s="447"/>
      <c r="AM601" s="447"/>
      <c r="AN601" s="447"/>
      <c r="AO601" s="447"/>
      <c r="AP601" s="447"/>
      <c r="AQ601" s="447"/>
      <c r="AR601" s="447"/>
      <c r="AS601" s="447"/>
      <c r="AT601" s="447"/>
      <c r="AU601" s="447"/>
      <c r="AV601" s="447"/>
      <c r="AW601" s="447"/>
      <c r="AX601" s="447"/>
      <c r="AY601" s="447"/>
      <c r="AZ601" s="447"/>
      <c r="BA601" s="448" t="s">
        <v>51</v>
      </c>
      <c r="BB601" s="448" t="s">
        <v>51</v>
      </c>
      <c r="BC601" s="447"/>
      <c r="BD601" s="448" t="s">
        <v>668</v>
      </c>
      <c r="BE601" s="447">
        <v>542</v>
      </c>
    </row>
    <row r="602" spans="1:57" ht="30" customHeight="1">
      <c r="A602" s="455" t="s">
        <v>4768</v>
      </c>
      <c r="B602" s="456"/>
      <c r="C602" s="456"/>
      <c r="D602" s="1134"/>
      <c r="E602" s="457"/>
      <c r="F602" s="1148"/>
      <c r="G602" s="1148"/>
      <c r="H602" s="456"/>
      <c r="I602" s="456"/>
      <c r="J602" s="1148"/>
      <c r="K602" s="1148"/>
      <c r="L602" s="456"/>
      <c r="M602" s="456"/>
      <c r="N602" s="1148"/>
      <c r="O602" s="1148"/>
      <c r="P602" s="456"/>
      <c r="Q602" s="456"/>
      <c r="R602" s="1148"/>
      <c r="S602" s="1148"/>
      <c r="T602" s="456"/>
      <c r="U602" s="456"/>
      <c r="V602" s="458"/>
      <c r="W602" s="448" t="s">
        <v>238</v>
      </c>
      <c r="X602" s="448" t="s">
        <v>51</v>
      </c>
      <c r="Y602" s="448" t="s">
        <v>51</v>
      </c>
      <c r="Z602" s="448" t="s">
        <v>667</v>
      </c>
      <c r="AA602" s="448" t="s">
        <v>61</v>
      </c>
      <c r="AB602" s="448" t="s">
        <v>62</v>
      </c>
      <c r="AC602" s="448" t="s">
        <v>62</v>
      </c>
      <c r="AD602" s="447"/>
      <c r="AE602" s="447"/>
      <c r="AF602" s="447"/>
      <c r="AG602" s="447"/>
      <c r="AH602" s="447"/>
      <c r="AI602" s="447"/>
      <c r="AJ602" s="447"/>
      <c r="AK602" s="447"/>
      <c r="AL602" s="447"/>
      <c r="AM602" s="447"/>
      <c r="AN602" s="447"/>
      <c r="AO602" s="447"/>
      <c r="AP602" s="447"/>
      <c r="AQ602" s="447"/>
      <c r="AR602" s="447"/>
      <c r="AS602" s="447"/>
      <c r="AT602" s="447"/>
      <c r="AU602" s="447"/>
      <c r="AV602" s="447"/>
      <c r="AW602" s="447"/>
      <c r="AX602" s="447"/>
      <c r="AY602" s="447"/>
      <c r="AZ602" s="447"/>
      <c r="BA602" s="448" t="s">
        <v>51</v>
      </c>
      <c r="BB602" s="448" t="s">
        <v>51</v>
      </c>
      <c r="BC602" s="447"/>
      <c r="BD602" s="448" t="s">
        <v>669</v>
      </c>
      <c r="BE602" s="447">
        <v>543</v>
      </c>
    </row>
    <row r="603" spans="1:57" ht="30" customHeight="1">
      <c r="A603" s="443" t="s">
        <v>233</v>
      </c>
      <c r="B603" s="443" t="s">
        <v>153</v>
      </c>
      <c r="C603" s="443" t="s">
        <v>59</v>
      </c>
      <c r="D603" s="1133">
        <v>152.60000000000002</v>
      </c>
      <c r="E603" s="445">
        <f>'2층전시실산출 '!H165</f>
        <v>152.60000000000002</v>
      </c>
      <c r="F603" s="1147">
        <v>2167</v>
      </c>
      <c r="G603" s="1147">
        <v>330684.20000000007</v>
      </c>
      <c r="H603" s="450">
        <f>TRUNC(일위대가목록!F47,0)</f>
        <v>2139</v>
      </c>
      <c r="I603" s="450">
        <f>E603*H603</f>
        <v>326411.40000000002</v>
      </c>
      <c r="J603" s="1147">
        <v>34936</v>
      </c>
      <c r="K603" s="1147">
        <v>5331233.6000000006</v>
      </c>
      <c r="L603" s="450">
        <f>TRUNC(일위대가목록!H47,0)</f>
        <v>4558</v>
      </c>
      <c r="M603" s="450">
        <f>E603*L603</f>
        <v>695550.8</v>
      </c>
      <c r="N603" s="1147">
        <v>0</v>
      </c>
      <c r="O603" s="1147">
        <v>0</v>
      </c>
      <c r="P603" s="450">
        <f>TRUNC(일위대가목록!J47,0)</f>
        <v>0</v>
      </c>
      <c r="Q603" s="450">
        <f>TRUNC(P603*E603, 0)</f>
        <v>0</v>
      </c>
      <c r="R603" s="1147">
        <v>37103</v>
      </c>
      <c r="S603" s="1147">
        <v>5661917</v>
      </c>
      <c r="T603" s="450">
        <f t="shared" ref="T603:U605" si="84">TRUNC(H603+L603+P603, 0)</f>
        <v>6697</v>
      </c>
      <c r="U603" s="450">
        <f t="shared" si="84"/>
        <v>1021962</v>
      </c>
      <c r="V603" s="454" t="str">
        <f>일위대가목록!M47</f>
        <v>호표 44</v>
      </c>
      <c r="W603" s="448" t="s">
        <v>242</v>
      </c>
      <c r="X603" s="448" t="s">
        <v>51</v>
      </c>
      <c r="Y603" s="448" t="s">
        <v>51</v>
      </c>
      <c r="Z603" s="448" t="s">
        <v>667</v>
      </c>
      <c r="AA603" s="448" t="s">
        <v>61</v>
      </c>
      <c r="AB603" s="448" t="s">
        <v>62</v>
      </c>
      <c r="AC603" s="448" t="s">
        <v>62</v>
      </c>
      <c r="AD603" s="447"/>
      <c r="AE603" s="447"/>
      <c r="AF603" s="447"/>
      <c r="AG603" s="447"/>
      <c r="AH603" s="447"/>
      <c r="AI603" s="447"/>
      <c r="AJ603" s="447"/>
      <c r="AK603" s="447"/>
      <c r="AL603" s="447"/>
      <c r="AM603" s="447"/>
      <c r="AN603" s="447"/>
      <c r="AO603" s="447"/>
      <c r="AP603" s="447"/>
      <c r="AQ603" s="447"/>
      <c r="AR603" s="447"/>
      <c r="AS603" s="447"/>
      <c r="AT603" s="447"/>
      <c r="AU603" s="447"/>
      <c r="AV603" s="447"/>
      <c r="AW603" s="447"/>
      <c r="AX603" s="447"/>
      <c r="AY603" s="447"/>
      <c r="AZ603" s="447"/>
      <c r="BA603" s="448" t="s">
        <v>51</v>
      </c>
      <c r="BB603" s="448" t="s">
        <v>51</v>
      </c>
      <c r="BC603" s="447"/>
      <c r="BD603" s="448" t="s">
        <v>670</v>
      </c>
      <c r="BE603" s="447">
        <v>544</v>
      </c>
    </row>
    <row r="604" spans="1:57" ht="30" customHeight="1">
      <c r="A604" s="443" t="s">
        <v>236</v>
      </c>
      <c r="B604" s="464" t="s">
        <v>2713</v>
      </c>
      <c r="C604" s="443" t="s">
        <v>59</v>
      </c>
      <c r="D604" s="1133">
        <v>1421.7</v>
      </c>
      <c r="E604" s="445">
        <f>'2층전시실산출 '!H166</f>
        <v>1421.7</v>
      </c>
      <c r="F604" s="1147">
        <v>7050</v>
      </c>
      <c r="G604" s="1147">
        <v>10022985</v>
      </c>
      <c r="H604" s="450">
        <f>TRUNC(일위대가목록!F48,0)</f>
        <v>7050</v>
      </c>
      <c r="I604" s="450">
        <f>E604*H604</f>
        <v>10022985</v>
      </c>
      <c r="J604" s="1147">
        <v>10986</v>
      </c>
      <c r="K604" s="1147">
        <v>15618796.200000001</v>
      </c>
      <c r="L604" s="450">
        <f>TRUNC(일위대가목록!H48,0)</f>
        <v>10986</v>
      </c>
      <c r="M604" s="450">
        <f>E604*L604</f>
        <v>15618796.200000001</v>
      </c>
      <c r="N604" s="1147">
        <v>0</v>
      </c>
      <c r="O604" s="1147">
        <v>0</v>
      </c>
      <c r="P604" s="450">
        <f>TRUNC(일위대가목록!J48,0)</f>
        <v>0</v>
      </c>
      <c r="Q604" s="450">
        <f>TRUNC(P604*E604, 0)</f>
        <v>0</v>
      </c>
      <c r="R604" s="1147">
        <v>18036</v>
      </c>
      <c r="S604" s="1147">
        <v>25641781</v>
      </c>
      <c r="T604" s="450">
        <f t="shared" si="84"/>
        <v>18036</v>
      </c>
      <c r="U604" s="450">
        <f t="shared" si="84"/>
        <v>25641781</v>
      </c>
      <c r="V604" s="454" t="str">
        <f>일위대가목록!M48</f>
        <v>호표 45</v>
      </c>
    </row>
    <row r="605" spans="1:57" ht="30" customHeight="1">
      <c r="A605" s="443" t="s">
        <v>240</v>
      </c>
      <c r="B605" s="443" t="s">
        <v>241</v>
      </c>
      <c r="C605" s="443" t="s">
        <v>59</v>
      </c>
      <c r="D605" s="1133">
        <v>1421.7</v>
      </c>
      <c r="E605" s="445">
        <f>'2층전시실산출 '!H167</f>
        <v>1421.7</v>
      </c>
      <c r="F605" s="1147">
        <v>64510</v>
      </c>
      <c r="G605" s="1147">
        <v>91713867</v>
      </c>
      <c r="H605" s="450">
        <f>TRUNC(일위대가목록!F49,0)</f>
        <v>64510</v>
      </c>
      <c r="I605" s="450">
        <f>E605*H605</f>
        <v>91713867</v>
      </c>
      <c r="J605" s="1147">
        <v>35743</v>
      </c>
      <c r="K605" s="1147">
        <v>50815823.100000001</v>
      </c>
      <c r="L605" s="450">
        <f>TRUNC(일위대가목록!H49,0)</f>
        <v>35743</v>
      </c>
      <c r="M605" s="450">
        <f>E605*L605</f>
        <v>50815823.100000001</v>
      </c>
      <c r="N605" s="1147">
        <v>0</v>
      </c>
      <c r="O605" s="1147">
        <v>0</v>
      </c>
      <c r="P605" s="450">
        <f>TRUNC(일위대가목록!J49,0)</f>
        <v>0</v>
      </c>
      <c r="Q605" s="450">
        <f>TRUNC(P605*E605, 0)</f>
        <v>0</v>
      </c>
      <c r="R605" s="1147">
        <v>100253</v>
      </c>
      <c r="S605" s="1147">
        <v>142529690</v>
      </c>
      <c r="T605" s="450">
        <f t="shared" si="84"/>
        <v>100253</v>
      </c>
      <c r="U605" s="450">
        <f t="shared" si="84"/>
        <v>142529690</v>
      </c>
      <c r="V605" s="454" t="str">
        <f>일위대가목록!M49</f>
        <v>호표 46</v>
      </c>
    </row>
    <row r="606" spans="1:57" ht="30" customHeight="1">
      <c r="A606" s="444"/>
      <c r="B606" s="444"/>
      <c r="C606" s="444"/>
      <c r="D606" s="1133"/>
      <c r="E606" s="445"/>
      <c r="F606" s="1146"/>
      <c r="G606" s="1146"/>
      <c r="H606" s="444"/>
      <c r="I606" s="444"/>
      <c r="J606" s="1146"/>
      <c r="K606" s="1146"/>
      <c r="L606" s="444"/>
      <c r="M606" s="444"/>
      <c r="N606" s="1146"/>
      <c r="O606" s="1146"/>
      <c r="P606" s="444"/>
      <c r="Q606" s="444"/>
      <c r="R606" s="1146"/>
      <c r="S606" s="1146"/>
      <c r="T606" s="444"/>
      <c r="U606" s="444"/>
      <c r="V606" s="446"/>
    </row>
    <row r="607" spans="1:57" ht="30" customHeight="1">
      <c r="A607" s="444"/>
      <c r="B607" s="444"/>
      <c r="C607" s="444"/>
      <c r="D607" s="1133"/>
      <c r="E607" s="445"/>
      <c r="F607" s="1146"/>
      <c r="G607" s="1146"/>
      <c r="H607" s="444"/>
      <c r="I607" s="444"/>
      <c r="J607" s="1146"/>
      <c r="K607" s="1146"/>
      <c r="L607" s="444"/>
      <c r="M607" s="444"/>
      <c r="N607" s="1146"/>
      <c r="O607" s="1146"/>
      <c r="P607" s="444"/>
      <c r="Q607" s="444"/>
      <c r="R607" s="1146"/>
      <c r="S607" s="1146"/>
      <c r="T607" s="444"/>
      <c r="U607" s="444"/>
      <c r="V607" s="446"/>
    </row>
    <row r="608" spans="1:57" ht="30" customHeight="1">
      <c r="A608" s="444"/>
      <c r="B608" s="444"/>
      <c r="C608" s="444"/>
      <c r="D608" s="1133"/>
      <c r="E608" s="445"/>
      <c r="F608" s="1146"/>
      <c r="G608" s="1146"/>
      <c r="H608" s="444"/>
      <c r="I608" s="444"/>
      <c r="J608" s="1146"/>
      <c r="K608" s="1146"/>
      <c r="L608" s="444"/>
      <c r="M608" s="444"/>
      <c r="N608" s="1146"/>
      <c r="O608" s="1146"/>
      <c r="P608" s="444"/>
      <c r="Q608" s="444"/>
      <c r="R608" s="1146"/>
      <c r="S608" s="1146"/>
      <c r="T608" s="444"/>
      <c r="U608" s="444"/>
      <c r="V608" s="446"/>
    </row>
    <row r="609" spans="1:57" ht="30" customHeight="1">
      <c r="A609" s="444"/>
      <c r="B609" s="444"/>
      <c r="C609" s="444"/>
      <c r="D609" s="1133"/>
      <c r="E609" s="445"/>
      <c r="F609" s="1146"/>
      <c r="G609" s="1146"/>
      <c r="H609" s="444"/>
      <c r="I609" s="444"/>
      <c r="J609" s="1146"/>
      <c r="K609" s="1146"/>
      <c r="L609" s="444"/>
      <c r="M609" s="444"/>
      <c r="N609" s="1146"/>
      <c r="O609" s="1146"/>
      <c r="P609" s="444"/>
      <c r="Q609" s="444"/>
      <c r="R609" s="1146"/>
      <c r="S609" s="1146"/>
      <c r="T609" s="444"/>
      <c r="U609" s="444"/>
      <c r="V609" s="446"/>
    </row>
    <row r="610" spans="1:57" ht="30" customHeight="1">
      <c r="A610" s="444"/>
      <c r="B610" s="444"/>
      <c r="C610" s="444"/>
      <c r="D610" s="1133"/>
      <c r="E610" s="445"/>
      <c r="F610" s="1146"/>
      <c r="G610" s="1146"/>
      <c r="H610" s="444"/>
      <c r="I610" s="444"/>
      <c r="J610" s="1146"/>
      <c r="K610" s="1146"/>
      <c r="L610" s="444"/>
      <c r="M610" s="444"/>
      <c r="N610" s="1146"/>
      <c r="O610" s="1146"/>
      <c r="P610" s="444"/>
      <c r="Q610" s="444"/>
      <c r="R610" s="1146"/>
      <c r="S610" s="1146"/>
      <c r="T610" s="444"/>
      <c r="U610" s="444"/>
      <c r="V610" s="446"/>
    </row>
    <row r="611" spans="1:57" ht="30" customHeight="1">
      <c r="A611" s="444"/>
      <c r="B611" s="444"/>
      <c r="C611" s="444"/>
      <c r="D611" s="1133"/>
      <c r="E611" s="445"/>
      <c r="F611" s="1146"/>
      <c r="G611" s="1146"/>
      <c r="H611" s="444"/>
      <c r="I611" s="444"/>
      <c r="J611" s="1146"/>
      <c r="K611" s="1146"/>
      <c r="L611" s="444"/>
      <c r="M611" s="444"/>
      <c r="N611" s="1146"/>
      <c r="O611" s="1146"/>
      <c r="P611" s="444"/>
      <c r="Q611" s="444"/>
      <c r="R611" s="1146"/>
      <c r="S611" s="1146"/>
      <c r="T611" s="444"/>
      <c r="U611" s="444"/>
      <c r="V611" s="446"/>
    </row>
    <row r="612" spans="1:57" ht="30" customHeight="1">
      <c r="A612" s="444"/>
      <c r="B612" s="444"/>
      <c r="C612" s="444"/>
      <c r="D612" s="1133"/>
      <c r="E612" s="445"/>
      <c r="F612" s="1146"/>
      <c r="G612" s="1146"/>
      <c r="H612" s="444"/>
      <c r="I612" s="444"/>
      <c r="J612" s="1146"/>
      <c r="K612" s="1146"/>
      <c r="L612" s="444"/>
      <c r="M612" s="444"/>
      <c r="N612" s="1146"/>
      <c r="O612" s="1146"/>
      <c r="P612" s="444"/>
      <c r="Q612" s="444"/>
      <c r="R612" s="1146"/>
      <c r="S612" s="1146"/>
      <c r="T612" s="444"/>
      <c r="U612" s="444"/>
      <c r="V612" s="446"/>
    </row>
    <row r="613" spans="1:57" ht="30" customHeight="1">
      <c r="A613" s="444"/>
      <c r="B613" s="444"/>
      <c r="C613" s="444"/>
      <c r="D613" s="1133"/>
      <c r="E613" s="445"/>
      <c r="F613" s="1146"/>
      <c r="G613" s="1146"/>
      <c r="H613" s="444"/>
      <c r="I613" s="444"/>
      <c r="J613" s="1146"/>
      <c r="K613" s="1146"/>
      <c r="L613" s="444"/>
      <c r="M613" s="444"/>
      <c r="N613" s="1146"/>
      <c r="O613" s="1146"/>
      <c r="P613" s="444"/>
      <c r="Q613" s="444"/>
      <c r="R613" s="1146"/>
      <c r="S613" s="1146"/>
      <c r="T613" s="444"/>
      <c r="U613" s="444"/>
      <c r="V613" s="446"/>
    </row>
    <row r="614" spans="1:57" ht="30" customHeight="1">
      <c r="A614" s="444"/>
      <c r="B614" s="444"/>
      <c r="C614" s="444"/>
      <c r="D614" s="1133"/>
      <c r="E614" s="445"/>
      <c r="F614" s="1146"/>
      <c r="G614" s="1146"/>
      <c r="H614" s="444"/>
      <c r="I614" s="444"/>
      <c r="J614" s="1146"/>
      <c r="K614" s="1146"/>
      <c r="L614" s="444"/>
      <c r="M614" s="444"/>
      <c r="N614" s="1146"/>
      <c r="O614" s="1146"/>
      <c r="P614" s="444"/>
      <c r="Q614" s="444"/>
      <c r="R614" s="1146"/>
      <c r="S614" s="1146"/>
      <c r="T614" s="444"/>
      <c r="U614" s="444"/>
      <c r="V614" s="446"/>
    </row>
    <row r="615" spans="1:57" ht="30" customHeight="1">
      <c r="A615" s="444"/>
      <c r="B615" s="444"/>
      <c r="C615" s="444"/>
      <c r="D615" s="1133"/>
      <c r="E615" s="445"/>
      <c r="F615" s="1146"/>
      <c r="G615" s="1146"/>
      <c r="H615" s="444"/>
      <c r="I615" s="444"/>
      <c r="J615" s="1146"/>
      <c r="K615" s="1146"/>
      <c r="L615" s="444"/>
      <c r="M615" s="444"/>
      <c r="N615" s="1146"/>
      <c r="O615" s="1146"/>
      <c r="P615" s="444"/>
      <c r="Q615" s="444"/>
      <c r="R615" s="1146"/>
      <c r="S615" s="1146"/>
      <c r="T615" s="444"/>
      <c r="U615" s="444"/>
      <c r="V615" s="446"/>
    </row>
    <row r="616" spans="1:57" ht="30" customHeight="1">
      <c r="A616" s="444"/>
      <c r="B616" s="444"/>
      <c r="C616" s="444"/>
      <c r="D616" s="1133"/>
      <c r="E616" s="445"/>
      <c r="F616" s="1146"/>
      <c r="G616" s="1146"/>
      <c r="H616" s="444"/>
      <c r="I616" s="444"/>
      <c r="J616" s="1146"/>
      <c r="K616" s="1146"/>
      <c r="L616" s="444"/>
      <c r="M616" s="444"/>
      <c r="N616" s="1146"/>
      <c r="O616" s="1146"/>
      <c r="P616" s="444"/>
      <c r="Q616" s="444"/>
      <c r="R616" s="1146"/>
      <c r="S616" s="1146"/>
      <c r="T616" s="444"/>
      <c r="U616" s="444"/>
      <c r="V616" s="446"/>
    </row>
    <row r="617" spans="1:57" ht="30" customHeight="1">
      <c r="A617" s="444"/>
      <c r="B617" s="444"/>
      <c r="C617" s="444"/>
      <c r="D617" s="1133"/>
      <c r="E617" s="445"/>
      <c r="F617" s="1146"/>
      <c r="G617" s="1146"/>
      <c r="H617" s="444"/>
      <c r="I617" s="444"/>
      <c r="J617" s="1146"/>
      <c r="K617" s="1146"/>
      <c r="L617" s="444"/>
      <c r="M617" s="444"/>
      <c r="N617" s="1146"/>
      <c r="O617" s="1146"/>
      <c r="P617" s="444"/>
      <c r="Q617" s="444"/>
      <c r="R617" s="1146"/>
      <c r="S617" s="1146"/>
      <c r="T617" s="444"/>
      <c r="U617" s="444"/>
      <c r="V617" s="446"/>
    </row>
    <row r="618" spans="1:57" ht="30" customHeight="1">
      <c r="A618" s="444"/>
      <c r="B618" s="444"/>
      <c r="C618" s="444"/>
      <c r="D618" s="1133"/>
      <c r="E618" s="445"/>
      <c r="F618" s="1146"/>
      <c r="G618" s="1146"/>
      <c r="H618" s="444"/>
      <c r="I618" s="444"/>
      <c r="J618" s="1146"/>
      <c r="K618" s="1146"/>
      <c r="L618" s="444"/>
      <c r="M618" s="444"/>
      <c r="N618" s="1146"/>
      <c r="O618" s="1146"/>
      <c r="P618" s="444"/>
      <c r="Q618" s="444"/>
      <c r="R618" s="1146"/>
      <c r="S618" s="1146"/>
      <c r="T618" s="444"/>
      <c r="U618" s="444"/>
      <c r="V618" s="446"/>
    </row>
    <row r="619" spans="1:57" ht="30" customHeight="1">
      <c r="A619" s="444"/>
      <c r="B619" s="444"/>
      <c r="C619" s="444"/>
      <c r="D619" s="1133"/>
      <c r="E619" s="445"/>
      <c r="F619" s="1146"/>
      <c r="G619" s="1146"/>
      <c r="H619" s="444"/>
      <c r="I619" s="444"/>
      <c r="J619" s="1146"/>
      <c r="K619" s="1146"/>
      <c r="L619" s="444"/>
      <c r="M619" s="444"/>
      <c r="N619" s="1146"/>
      <c r="O619" s="1146"/>
      <c r="P619" s="444"/>
      <c r="Q619" s="444"/>
      <c r="R619" s="1146"/>
      <c r="S619" s="1146"/>
      <c r="T619" s="444"/>
      <c r="U619" s="444"/>
      <c r="V619" s="446"/>
    </row>
    <row r="620" spans="1:57" ht="30" customHeight="1">
      <c r="A620" s="444"/>
      <c r="B620" s="444"/>
      <c r="C620" s="444"/>
      <c r="D620" s="1133"/>
      <c r="E620" s="445"/>
      <c r="F620" s="1146"/>
      <c r="G620" s="1146"/>
      <c r="H620" s="444"/>
      <c r="I620" s="444"/>
      <c r="J620" s="1146"/>
      <c r="K620" s="1146"/>
      <c r="L620" s="444"/>
      <c r="M620" s="444"/>
      <c r="N620" s="1146"/>
      <c r="O620" s="1146"/>
      <c r="P620" s="444"/>
      <c r="Q620" s="444"/>
      <c r="R620" s="1146"/>
      <c r="S620" s="1146"/>
      <c r="T620" s="444"/>
      <c r="U620" s="444"/>
      <c r="V620" s="446"/>
    </row>
    <row r="621" spans="1:57" ht="30" customHeight="1">
      <c r="A621" s="444"/>
      <c r="B621" s="444"/>
      <c r="C621" s="444"/>
      <c r="D621" s="1133"/>
      <c r="E621" s="445"/>
      <c r="F621" s="1146"/>
      <c r="G621" s="1146"/>
      <c r="H621" s="444"/>
      <c r="I621" s="444"/>
      <c r="J621" s="1146"/>
      <c r="K621" s="1146"/>
      <c r="L621" s="444"/>
      <c r="M621" s="444"/>
      <c r="N621" s="1146"/>
      <c r="O621" s="1146"/>
      <c r="P621" s="444"/>
      <c r="Q621" s="444"/>
      <c r="R621" s="1146"/>
      <c r="S621" s="1146"/>
      <c r="T621" s="444"/>
      <c r="U621" s="444"/>
      <c r="V621" s="446"/>
    </row>
    <row r="622" spans="1:57" ht="30" customHeight="1">
      <c r="A622" s="444"/>
      <c r="B622" s="444"/>
      <c r="C622" s="444"/>
      <c r="D622" s="1133"/>
      <c r="E622" s="445"/>
      <c r="F622" s="1146"/>
      <c r="G622" s="1146"/>
      <c r="H622" s="444"/>
      <c r="I622" s="444"/>
      <c r="J622" s="1146"/>
      <c r="K622" s="1146"/>
      <c r="L622" s="444"/>
      <c r="M622" s="444"/>
      <c r="N622" s="1146"/>
      <c r="O622" s="1146"/>
      <c r="P622" s="444"/>
      <c r="Q622" s="444"/>
      <c r="R622" s="1146"/>
      <c r="S622" s="1146"/>
      <c r="T622" s="444"/>
      <c r="U622" s="444"/>
      <c r="V622" s="446"/>
      <c r="W622" s="449" t="s">
        <v>86</v>
      </c>
    </row>
    <row r="623" spans="1:57" ht="30" customHeight="1">
      <c r="A623" s="444"/>
      <c r="B623" s="444"/>
      <c r="C623" s="444"/>
      <c r="D623" s="1133"/>
      <c r="E623" s="445"/>
      <c r="F623" s="1146"/>
      <c r="G623" s="1146"/>
      <c r="H623" s="444"/>
      <c r="I623" s="444"/>
      <c r="J623" s="1146"/>
      <c r="K623" s="1146"/>
      <c r="L623" s="444"/>
      <c r="M623" s="444"/>
      <c r="N623" s="1146"/>
      <c r="O623" s="1146"/>
      <c r="P623" s="444"/>
      <c r="Q623" s="444"/>
      <c r="R623" s="1146"/>
      <c r="S623" s="1146"/>
      <c r="T623" s="444"/>
      <c r="U623" s="444"/>
      <c r="V623" s="446"/>
      <c r="W623" s="447"/>
      <c r="X623" s="447"/>
      <c r="Y623" s="447"/>
      <c r="Z623" s="448" t="s">
        <v>671</v>
      </c>
      <c r="AA623" s="447"/>
      <c r="AB623" s="447"/>
      <c r="AC623" s="447"/>
      <c r="AD623" s="447"/>
      <c r="AE623" s="447"/>
      <c r="AF623" s="447"/>
      <c r="AG623" s="447"/>
      <c r="AH623" s="447"/>
      <c r="AI623" s="447"/>
      <c r="AJ623" s="447"/>
      <c r="AK623" s="447"/>
      <c r="AL623" s="447"/>
      <c r="AM623" s="447"/>
      <c r="AN623" s="447"/>
      <c r="AO623" s="447"/>
      <c r="AP623" s="447"/>
      <c r="AQ623" s="447"/>
      <c r="AR623" s="447"/>
      <c r="AS623" s="447"/>
      <c r="AT623" s="447"/>
      <c r="AU623" s="447"/>
      <c r="AV623" s="447"/>
      <c r="AW623" s="447"/>
      <c r="AX623" s="447"/>
      <c r="AY623" s="447"/>
      <c r="AZ623" s="447"/>
      <c r="BA623" s="447"/>
      <c r="BB623" s="447"/>
      <c r="BC623" s="447"/>
      <c r="BD623" s="447"/>
      <c r="BE623" s="447"/>
    </row>
    <row r="624" spans="1:57" ht="30" customHeight="1">
      <c r="A624" s="443" t="s">
        <v>85</v>
      </c>
      <c r="B624" s="444"/>
      <c r="C624" s="444"/>
      <c r="D624" s="1133"/>
      <c r="E624" s="445"/>
      <c r="F624" s="1146"/>
      <c r="G624" s="1147">
        <v>102067536.2</v>
      </c>
      <c r="H624" s="444"/>
      <c r="I624" s="450">
        <f>SUM(I603:I623)</f>
        <v>102063263.40000001</v>
      </c>
      <c r="J624" s="1146"/>
      <c r="K624" s="1147">
        <v>71765852.900000006</v>
      </c>
      <c r="L624" s="444"/>
      <c r="M624" s="450">
        <f>SUM(M603:M623)</f>
        <v>67130170.100000009</v>
      </c>
      <c r="N624" s="1146"/>
      <c r="O624" s="1147">
        <v>0</v>
      </c>
      <c r="P624" s="444"/>
      <c r="Q624" s="450">
        <f>SUM(Q603:Q623)</f>
        <v>0</v>
      </c>
      <c r="R624" s="1146"/>
      <c r="S624" s="1147">
        <v>173833388</v>
      </c>
      <c r="T624" s="444"/>
      <c r="U624" s="450">
        <f>SUM(U603:U623)</f>
        <v>169193433</v>
      </c>
      <c r="V624" s="446"/>
      <c r="W624" s="448" t="s">
        <v>674</v>
      </c>
      <c r="X624" s="448" t="s">
        <v>51</v>
      </c>
      <c r="Y624" s="448" t="s">
        <v>51</v>
      </c>
      <c r="Z624" s="448" t="s">
        <v>671</v>
      </c>
      <c r="AA624" s="448" t="s">
        <v>61</v>
      </c>
      <c r="AB624" s="448" t="s">
        <v>62</v>
      </c>
      <c r="AC624" s="448" t="s">
        <v>62</v>
      </c>
      <c r="AD624" s="447"/>
      <c r="AE624" s="447"/>
      <c r="AF624" s="447"/>
      <c r="AG624" s="447"/>
      <c r="AH624" s="447"/>
      <c r="AI624" s="447"/>
      <c r="AJ624" s="447"/>
      <c r="AK624" s="447"/>
      <c r="AL624" s="447"/>
      <c r="AM624" s="447"/>
      <c r="AN624" s="447"/>
      <c r="AO624" s="447"/>
      <c r="AP624" s="447"/>
      <c r="AQ624" s="447"/>
      <c r="AR624" s="447"/>
      <c r="AS624" s="447"/>
      <c r="AT624" s="447"/>
      <c r="AU624" s="447"/>
      <c r="AV624" s="447"/>
      <c r="AW624" s="447"/>
      <c r="AX624" s="447"/>
      <c r="AY624" s="447"/>
      <c r="AZ624" s="447"/>
      <c r="BA624" s="448" t="s">
        <v>51</v>
      </c>
      <c r="BB624" s="448" t="s">
        <v>51</v>
      </c>
      <c r="BC624" s="447"/>
      <c r="BD624" s="448" t="s">
        <v>675</v>
      </c>
      <c r="BE624" s="447">
        <v>546</v>
      </c>
    </row>
    <row r="625" spans="1:22" ht="30" customHeight="1">
      <c r="A625" s="443" t="s">
        <v>4769</v>
      </c>
      <c r="B625" s="444"/>
      <c r="C625" s="444"/>
      <c r="D625" s="1133"/>
      <c r="E625" s="445"/>
      <c r="F625" s="1146"/>
      <c r="G625" s="1146"/>
      <c r="H625" s="444"/>
      <c r="I625" s="444"/>
      <c r="J625" s="1146"/>
      <c r="K625" s="1146"/>
      <c r="L625" s="444"/>
      <c r="M625" s="444"/>
      <c r="N625" s="1146"/>
      <c r="O625" s="1146"/>
      <c r="P625" s="444"/>
      <c r="Q625" s="444"/>
      <c r="R625" s="1146"/>
      <c r="S625" s="1146"/>
      <c r="T625" s="444"/>
      <c r="U625" s="444"/>
      <c r="V625" s="446"/>
    </row>
    <row r="626" spans="1:22" ht="30" customHeight="1">
      <c r="A626" s="443" t="s">
        <v>672</v>
      </c>
      <c r="B626" s="443" t="s">
        <v>673</v>
      </c>
      <c r="C626" s="443" t="s">
        <v>59</v>
      </c>
      <c r="D626" s="1133">
        <v>149.19999999999999</v>
      </c>
      <c r="E626" s="445">
        <f>'2층전시실산출 '!H171</f>
        <v>149.19999999999999</v>
      </c>
      <c r="F626" s="1147">
        <v>10000</v>
      </c>
      <c r="G626" s="1147">
        <v>1492000</v>
      </c>
      <c r="H626" s="450">
        <f>일위대가목록!F87</f>
        <v>10000</v>
      </c>
      <c r="I626" s="450">
        <f>E626*H626</f>
        <v>1492000</v>
      </c>
      <c r="J626" s="1147">
        <v>11201</v>
      </c>
      <c r="K626" s="1147">
        <v>1671189.2</v>
      </c>
      <c r="L626" s="450">
        <f>일위대가목록!H87</f>
        <v>11201</v>
      </c>
      <c r="M626" s="450">
        <f>E626*L626</f>
        <v>1671189.2</v>
      </c>
      <c r="N626" s="1147">
        <v>0</v>
      </c>
      <c r="O626" s="1147">
        <v>0</v>
      </c>
      <c r="P626" s="450">
        <f>일위대가목록!J87</f>
        <v>0</v>
      </c>
      <c r="Q626" s="450">
        <f>TRUNC(P626*E626, 0)</f>
        <v>0</v>
      </c>
      <c r="R626" s="1147">
        <v>21201</v>
      </c>
      <c r="S626" s="1147">
        <v>3163189</v>
      </c>
      <c r="T626" s="450">
        <f>TRUNC(H626+L626+P626, 0)</f>
        <v>21201</v>
      </c>
      <c r="U626" s="450">
        <f>TRUNC(I626+M626+Q626, 0)</f>
        <v>3163189</v>
      </c>
      <c r="V626" s="454" t="str">
        <f>일위대가목록!M87</f>
        <v>호표 84</v>
      </c>
    </row>
    <row r="627" spans="1:22" ht="30" customHeight="1">
      <c r="A627" s="444"/>
      <c r="B627" s="444"/>
      <c r="C627" s="444"/>
      <c r="D627" s="1133"/>
      <c r="E627" s="445"/>
      <c r="F627" s="1146"/>
      <c r="G627" s="1146"/>
      <c r="H627" s="444"/>
      <c r="I627" s="444"/>
      <c r="J627" s="1146"/>
      <c r="K627" s="1146"/>
      <c r="L627" s="444"/>
      <c r="M627" s="444"/>
      <c r="N627" s="1146"/>
      <c r="O627" s="1146"/>
      <c r="P627" s="444"/>
      <c r="Q627" s="444"/>
      <c r="R627" s="1146"/>
      <c r="S627" s="1146"/>
      <c r="T627" s="444"/>
      <c r="U627" s="444"/>
      <c r="V627" s="446"/>
    </row>
    <row r="628" spans="1:22" ht="30" customHeight="1">
      <c r="A628" s="444"/>
      <c r="B628" s="444"/>
      <c r="C628" s="444"/>
      <c r="D628" s="1133"/>
      <c r="E628" s="445"/>
      <c r="F628" s="1146"/>
      <c r="G628" s="1146"/>
      <c r="H628" s="444"/>
      <c r="I628" s="444"/>
      <c r="J628" s="1146"/>
      <c r="K628" s="1146"/>
      <c r="L628" s="444"/>
      <c r="M628" s="444"/>
      <c r="N628" s="1146"/>
      <c r="O628" s="1146"/>
      <c r="P628" s="444"/>
      <c r="Q628" s="444"/>
      <c r="R628" s="1146"/>
      <c r="S628" s="1146"/>
      <c r="T628" s="444"/>
      <c r="U628" s="444"/>
      <c r="V628" s="446"/>
    </row>
    <row r="629" spans="1:22" ht="30" customHeight="1">
      <c r="A629" s="444"/>
      <c r="B629" s="444"/>
      <c r="C629" s="444"/>
      <c r="D629" s="1133"/>
      <c r="E629" s="445"/>
      <c r="F629" s="1146"/>
      <c r="G629" s="1146"/>
      <c r="H629" s="444"/>
      <c r="I629" s="444"/>
      <c r="J629" s="1146"/>
      <c r="K629" s="1146"/>
      <c r="L629" s="444"/>
      <c r="M629" s="444"/>
      <c r="N629" s="1146"/>
      <c r="O629" s="1146"/>
      <c r="P629" s="444"/>
      <c r="Q629" s="444"/>
      <c r="R629" s="1146"/>
      <c r="S629" s="1146"/>
      <c r="T629" s="444"/>
      <c r="U629" s="444"/>
      <c r="V629" s="446"/>
    </row>
    <row r="630" spans="1:22" ht="30" customHeight="1">
      <c r="A630" s="444"/>
      <c r="B630" s="444"/>
      <c r="C630" s="444"/>
      <c r="D630" s="1133"/>
      <c r="E630" s="445"/>
      <c r="F630" s="1146"/>
      <c r="G630" s="1146"/>
      <c r="H630" s="444"/>
      <c r="I630" s="444"/>
      <c r="J630" s="1146"/>
      <c r="K630" s="1146"/>
      <c r="L630" s="444"/>
      <c r="M630" s="444"/>
      <c r="N630" s="1146"/>
      <c r="O630" s="1146"/>
      <c r="P630" s="444"/>
      <c r="Q630" s="444"/>
      <c r="R630" s="1146"/>
      <c r="S630" s="1146"/>
      <c r="T630" s="444"/>
      <c r="U630" s="444"/>
      <c r="V630" s="446"/>
    </row>
    <row r="631" spans="1:22" ht="30" customHeight="1">
      <c r="A631" s="444"/>
      <c r="B631" s="444"/>
      <c r="C631" s="444"/>
      <c r="D631" s="1133"/>
      <c r="E631" s="445"/>
      <c r="F631" s="1146"/>
      <c r="G631" s="1146"/>
      <c r="H631" s="444"/>
      <c r="I631" s="444"/>
      <c r="J631" s="1146"/>
      <c r="K631" s="1146"/>
      <c r="L631" s="444"/>
      <c r="M631" s="444"/>
      <c r="N631" s="1146"/>
      <c r="O631" s="1146"/>
      <c r="P631" s="444"/>
      <c r="Q631" s="444"/>
      <c r="R631" s="1146"/>
      <c r="S631" s="1146"/>
      <c r="T631" s="444"/>
      <c r="U631" s="444"/>
      <c r="V631" s="446"/>
    </row>
    <row r="632" spans="1:22" ht="30" customHeight="1">
      <c r="A632" s="444"/>
      <c r="B632" s="444"/>
      <c r="C632" s="444"/>
      <c r="D632" s="1133"/>
      <c r="E632" s="445"/>
      <c r="F632" s="1146"/>
      <c r="G632" s="1146"/>
      <c r="H632" s="444"/>
      <c r="I632" s="444"/>
      <c r="J632" s="1146"/>
      <c r="K632" s="1146"/>
      <c r="L632" s="444"/>
      <c r="M632" s="444"/>
      <c r="N632" s="1146"/>
      <c r="O632" s="1146"/>
      <c r="P632" s="444"/>
      <c r="Q632" s="444"/>
      <c r="R632" s="1146"/>
      <c r="S632" s="1146"/>
      <c r="T632" s="444"/>
      <c r="U632" s="444"/>
      <c r="V632" s="446"/>
    </row>
    <row r="633" spans="1:22" ht="30" customHeight="1">
      <c r="A633" s="444"/>
      <c r="B633" s="444"/>
      <c r="C633" s="444"/>
      <c r="D633" s="1133"/>
      <c r="E633" s="445"/>
      <c r="F633" s="1146"/>
      <c r="G633" s="1146"/>
      <c r="H633" s="444"/>
      <c r="I633" s="444"/>
      <c r="J633" s="1146"/>
      <c r="K633" s="1146"/>
      <c r="L633" s="444"/>
      <c r="M633" s="444"/>
      <c r="N633" s="1146"/>
      <c r="O633" s="1146"/>
      <c r="P633" s="444"/>
      <c r="Q633" s="444"/>
      <c r="R633" s="1146"/>
      <c r="S633" s="1146"/>
      <c r="T633" s="444"/>
      <c r="U633" s="444"/>
      <c r="V633" s="446"/>
    </row>
    <row r="634" spans="1:22" ht="30" customHeight="1">
      <c r="A634" s="444"/>
      <c r="B634" s="444"/>
      <c r="C634" s="444"/>
      <c r="D634" s="1133"/>
      <c r="E634" s="445"/>
      <c r="F634" s="1146"/>
      <c r="G634" s="1146"/>
      <c r="H634" s="444"/>
      <c r="I634" s="444"/>
      <c r="J634" s="1146"/>
      <c r="K634" s="1146"/>
      <c r="L634" s="444"/>
      <c r="M634" s="444"/>
      <c r="N634" s="1146"/>
      <c r="O634" s="1146"/>
      <c r="P634" s="444"/>
      <c r="Q634" s="444"/>
      <c r="R634" s="1146"/>
      <c r="S634" s="1146"/>
      <c r="T634" s="444"/>
      <c r="U634" s="444"/>
      <c r="V634" s="446"/>
    </row>
    <row r="635" spans="1:22" ht="30" customHeight="1">
      <c r="A635" s="444"/>
      <c r="B635" s="444"/>
      <c r="C635" s="444"/>
      <c r="D635" s="1133"/>
      <c r="E635" s="445"/>
      <c r="F635" s="1146"/>
      <c r="G635" s="1146"/>
      <c r="H635" s="444"/>
      <c r="I635" s="444"/>
      <c r="J635" s="1146"/>
      <c r="K635" s="1146"/>
      <c r="L635" s="444"/>
      <c r="M635" s="444"/>
      <c r="N635" s="1146"/>
      <c r="O635" s="1146"/>
      <c r="P635" s="444"/>
      <c r="Q635" s="444"/>
      <c r="R635" s="1146"/>
      <c r="S635" s="1146"/>
      <c r="T635" s="444"/>
      <c r="U635" s="444"/>
      <c r="V635" s="446"/>
    </row>
    <row r="636" spans="1:22" ht="30" customHeight="1">
      <c r="A636" s="444"/>
      <c r="B636" s="444"/>
      <c r="C636" s="444"/>
      <c r="D636" s="1133"/>
      <c r="E636" s="445"/>
      <c r="F636" s="1146"/>
      <c r="G636" s="1146"/>
      <c r="H636" s="444"/>
      <c r="I636" s="444"/>
      <c r="J636" s="1146"/>
      <c r="K636" s="1146"/>
      <c r="L636" s="444"/>
      <c r="M636" s="444"/>
      <c r="N636" s="1146"/>
      <c r="O636" s="1146"/>
      <c r="P636" s="444"/>
      <c r="Q636" s="444"/>
      <c r="R636" s="1146"/>
      <c r="S636" s="1146"/>
      <c r="T636" s="444"/>
      <c r="U636" s="444"/>
      <c r="V636" s="446"/>
    </row>
    <row r="637" spans="1:22" ht="30" customHeight="1">
      <c r="A637" s="444"/>
      <c r="B637" s="444"/>
      <c r="C637" s="444"/>
      <c r="D637" s="1133"/>
      <c r="E637" s="445"/>
      <c r="F637" s="1146"/>
      <c r="G637" s="1146"/>
      <c r="H637" s="444"/>
      <c r="I637" s="444"/>
      <c r="J637" s="1146"/>
      <c r="K637" s="1146"/>
      <c r="L637" s="444"/>
      <c r="M637" s="444"/>
      <c r="N637" s="1146"/>
      <c r="O637" s="1146"/>
      <c r="P637" s="444"/>
      <c r="Q637" s="444"/>
      <c r="R637" s="1146"/>
      <c r="S637" s="1146"/>
      <c r="T637" s="444"/>
      <c r="U637" s="444"/>
      <c r="V637" s="446"/>
    </row>
    <row r="638" spans="1:22" ht="30" customHeight="1">
      <c r="A638" s="444"/>
      <c r="B638" s="444"/>
      <c r="C638" s="444"/>
      <c r="D638" s="1133"/>
      <c r="E638" s="445"/>
      <c r="F638" s="1146"/>
      <c r="G638" s="1146"/>
      <c r="H638" s="444"/>
      <c r="I638" s="444"/>
      <c r="J638" s="1146"/>
      <c r="K638" s="1146"/>
      <c r="L638" s="444"/>
      <c r="M638" s="444"/>
      <c r="N638" s="1146"/>
      <c r="O638" s="1146"/>
      <c r="P638" s="444"/>
      <c r="Q638" s="444"/>
      <c r="R638" s="1146"/>
      <c r="S638" s="1146"/>
      <c r="T638" s="444"/>
      <c r="U638" s="444"/>
      <c r="V638" s="446"/>
    </row>
    <row r="639" spans="1:22" ht="30" customHeight="1">
      <c r="A639" s="444"/>
      <c r="B639" s="444"/>
      <c r="C639" s="444"/>
      <c r="D639" s="1133"/>
      <c r="E639" s="445"/>
      <c r="F639" s="1146"/>
      <c r="G639" s="1146"/>
      <c r="H639" s="444"/>
      <c r="I639" s="444"/>
      <c r="J639" s="1146"/>
      <c r="K639" s="1146"/>
      <c r="L639" s="444"/>
      <c r="M639" s="444"/>
      <c r="N639" s="1146"/>
      <c r="O639" s="1146"/>
      <c r="P639" s="444"/>
      <c r="Q639" s="444"/>
      <c r="R639" s="1146"/>
      <c r="S639" s="1146"/>
      <c r="T639" s="444"/>
      <c r="U639" s="444"/>
      <c r="V639" s="446"/>
    </row>
    <row r="640" spans="1:22" ht="30" customHeight="1">
      <c r="A640" s="444"/>
      <c r="B640" s="444"/>
      <c r="C640" s="444"/>
      <c r="D640" s="1133"/>
      <c r="E640" s="445"/>
      <c r="F640" s="1146"/>
      <c r="G640" s="1146"/>
      <c r="H640" s="444"/>
      <c r="I640" s="444"/>
      <c r="J640" s="1146"/>
      <c r="K640" s="1146"/>
      <c r="L640" s="444"/>
      <c r="M640" s="444"/>
      <c r="N640" s="1146"/>
      <c r="O640" s="1146"/>
      <c r="P640" s="444"/>
      <c r="Q640" s="444"/>
      <c r="R640" s="1146"/>
      <c r="S640" s="1146"/>
      <c r="T640" s="444"/>
      <c r="U640" s="444"/>
      <c r="V640" s="446"/>
    </row>
    <row r="641" spans="1:57" ht="30" customHeight="1">
      <c r="A641" s="444"/>
      <c r="B641" s="444"/>
      <c r="C641" s="444"/>
      <c r="D641" s="1133"/>
      <c r="E641" s="445"/>
      <c r="F641" s="1146"/>
      <c r="G641" s="1146"/>
      <c r="H641" s="444"/>
      <c r="I641" s="444"/>
      <c r="J641" s="1146"/>
      <c r="K641" s="1146"/>
      <c r="L641" s="444"/>
      <c r="M641" s="444"/>
      <c r="N641" s="1146"/>
      <c r="O641" s="1146"/>
      <c r="P641" s="444"/>
      <c r="Q641" s="444"/>
      <c r="R641" s="1146"/>
      <c r="S641" s="1146"/>
      <c r="T641" s="444"/>
      <c r="U641" s="444"/>
      <c r="V641" s="446"/>
    </row>
    <row r="642" spans="1:57" ht="30" customHeight="1">
      <c r="A642" s="444"/>
      <c r="B642" s="444"/>
      <c r="C642" s="444"/>
      <c r="D642" s="1133"/>
      <c r="E642" s="445"/>
      <c r="F642" s="1146"/>
      <c r="G642" s="1146"/>
      <c r="H642" s="444"/>
      <c r="I642" s="444"/>
      <c r="J642" s="1146"/>
      <c r="K642" s="1146"/>
      <c r="L642" s="444"/>
      <c r="M642" s="444"/>
      <c r="N642" s="1146"/>
      <c r="O642" s="1146"/>
      <c r="P642" s="444"/>
      <c r="Q642" s="444"/>
      <c r="R642" s="1146"/>
      <c r="S642" s="1146"/>
      <c r="T642" s="444"/>
      <c r="U642" s="444"/>
      <c r="V642" s="446"/>
    </row>
    <row r="643" spans="1:57" ht="30" customHeight="1">
      <c r="A643" s="444"/>
      <c r="B643" s="444"/>
      <c r="C643" s="444"/>
      <c r="D643" s="1133"/>
      <c r="E643" s="445"/>
      <c r="F643" s="1146"/>
      <c r="G643" s="1146"/>
      <c r="H643" s="444"/>
      <c r="I643" s="444"/>
      <c r="J643" s="1146"/>
      <c r="K643" s="1146"/>
      <c r="L643" s="444"/>
      <c r="M643" s="444"/>
      <c r="N643" s="1146"/>
      <c r="O643" s="1146"/>
      <c r="P643" s="444"/>
      <c r="Q643" s="444"/>
      <c r="R643" s="1146"/>
      <c r="S643" s="1146"/>
      <c r="T643" s="444"/>
      <c r="U643" s="444"/>
      <c r="V643" s="446"/>
    </row>
    <row r="644" spans="1:57" ht="30" customHeight="1">
      <c r="A644" s="444"/>
      <c r="B644" s="444"/>
      <c r="C644" s="444"/>
      <c r="D644" s="1133"/>
      <c r="E644" s="445"/>
      <c r="F644" s="1146"/>
      <c r="G644" s="1146"/>
      <c r="H644" s="444"/>
      <c r="I644" s="444"/>
      <c r="J644" s="1146"/>
      <c r="K644" s="1146"/>
      <c r="L644" s="444"/>
      <c r="M644" s="444"/>
      <c r="N644" s="1146"/>
      <c r="O644" s="1146"/>
      <c r="P644" s="444"/>
      <c r="Q644" s="444"/>
      <c r="R644" s="1146"/>
      <c r="S644" s="1146"/>
      <c r="T644" s="444"/>
      <c r="U644" s="444"/>
      <c r="V644" s="446"/>
    </row>
    <row r="645" spans="1:57" ht="30" customHeight="1">
      <c r="A645" s="444"/>
      <c r="B645" s="444"/>
      <c r="C645" s="444"/>
      <c r="D645" s="1133"/>
      <c r="E645" s="445"/>
      <c r="F645" s="1146"/>
      <c r="G645" s="1146"/>
      <c r="H645" s="444"/>
      <c r="I645" s="444"/>
      <c r="J645" s="1146"/>
      <c r="K645" s="1146"/>
      <c r="L645" s="444"/>
      <c r="M645" s="444"/>
      <c r="N645" s="1146"/>
      <c r="O645" s="1146"/>
      <c r="P645" s="444"/>
      <c r="Q645" s="444"/>
      <c r="R645" s="1146"/>
      <c r="S645" s="1146"/>
      <c r="T645" s="444"/>
      <c r="U645" s="444"/>
      <c r="V645" s="446"/>
      <c r="W645" s="449" t="s">
        <v>86</v>
      </c>
    </row>
    <row r="646" spans="1:57" ht="30" customHeight="1">
      <c r="A646" s="444"/>
      <c r="B646" s="444"/>
      <c r="C646" s="444"/>
      <c r="D646" s="1133"/>
      <c r="E646" s="445"/>
      <c r="F646" s="1146"/>
      <c r="G646" s="1146"/>
      <c r="H646" s="444"/>
      <c r="I646" s="444"/>
      <c r="J646" s="1146"/>
      <c r="K646" s="1146"/>
      <c r="L646" s="444"/>
      <c r="M646" s="444"/>
      <c r="N646" s="1146"/>
      <c r="O646" s="1146"/>
      <c r="P646" s="444"/>
      <c r="Q646" s="444"/>
      <c r="R646" s="1146"/>
      <c r="S646" s="1146"/>
      <c r="T646" s="444"/>
      <c r="U646" s="444"/>
      <c r="V646" s="446"/>
      <c r="W646" s="447"/>
      <c r="X646" s="447"/>
      <c r="Y646" s="447"/>
      <c r="Z646" s="448" t="s">
        <v>676</v>
      </c>
      <c r="AA646" s="447"/>
      <c r="AB646" s="447"/>
      <c r="AC646" s="447"/>
      <c r="AD646" s="447"/>
      <c r="AE646" s="447"/>
      <c r="AF646" s="447"/>
      <c r="AG646" s="447"/>
      <c r="AH646" s="447"/>
      <c r="AI646" s="447"/>
      <c r="AJ646" s="447"/>
      <c r="AK646" s="447"/>
      <c r="AL646" s="447"/>
      <c r="AM646" s="447"/>
      <c r="AN646" s="447"/>
      <c r="AO646" s="447"/>
      <c r="AP646" s="447"/>
      <c r="AQ646" s="447"/>
      <c r="AR646" s="447"/>
      <c r="AS646" s="447"/>
      <c r="AT646" s="447"/>
      <c r="AU646" s="447"/>
      <c r="AV646" s="447"/>
      <c r="AW646" s="447"/>
      <c r="AX646" s="447"/>
      <c r="AY646" s="447"/>
      <c r="AZ646" s="447"/>
      <c r="BA646" s="447"/>
      <c r="BB646" s="447"/>
      <c r="BC646" s="447"/>
      <c r="BD646" s="447"/>
      <c r="BE646" s="447"/>
    </row>
    <row r="647" spans="1:57" ht="30" customHeight="1">
      <c r="A647" s="443" t="s">
        <v>85</v>
      </c>
      <c r="B647" s="444"/>
      <c r="C647" s="444"/>
      <c r="D647" s="1133"/>
      <c r="E647" s="445"/>
      <c r="F647" s="1146"/>
      <c r="G647" s="1147">
        <v>1492000</v>
      </c>
      <c r="H647" s="444"/>
      <c r="I647" s="450">
        <f>SUM(I626:I646)</f>
        <v>1492000</v>
      </c>
      <c r="J647" s="1146"/>
      <c r="K647" s="1147">
        <v>1671189.2</v>
      </c>
      <c r="L647" s="444"/>
      <c r="M647" s="450">
        <f>SUM(M626:M646)</f>
        <v>1671189.2</v>
      </c>
      <c r="N647" s="1146"/>
      <c r="O647" s="1147">
        <v>0</v>
      </c>
      <c r="P647" s="444"/>
      <c r="Q647" s="450">
        <f>SUM(Q626:Q646)</f>
        <v>0</v>
      </c>
      <c r="R647" s="1146"/>
      <c r="S647" s="1147">
        <v>3163189</v>
      </c>
      <c r="T647" s="444"/>
      <c r="U647" s="450">
        <f>SUM(U626:U646)</f>
        <v>3163189</v>
      </c>
      <c r="V647" s="446"/>
      <c r="W647" s="448" t="s">
        <v>679</v>
      </c>
      <c r="X647" s="448" t="s">
        <v>51</v>
      </c>
      <c r="Y647" s="448" t="s">
        <v>51</v>
      </c>
      <c r="Z647" s="448" t="s">
        <v>676</v>
      </c>
      <c r="AA647" s="448" t="s">
        <v>61</v>
      </c>
      <c r="AB647" s="448" t="s">
        <v>62</v>
      </c>
      <c r="AC647" s="448" t="s">
        <v>62</v>
      </c>
      <c r="AD647" s="447"/>
      <c r="AE647" s="447"/>
      <c r="AF647" s="447"/>
      <c r="AG647" s="447"/>
      <c r="AH647" s="447"/>
      <c r="AI647" s="447"/>
      <c r="AJ647" s="447"/>
      <c r="AK647" s="447"/>
      <c r="AL647" s="447"/>
      <c r="AM647" s="447"/>
      <c r="AN647" s="447"/>
      <c r="AO647" s="447"/>
      <c r="AP647" s="447"/>
      <c r="AQ647" s="447"/>
      <c r="AR647" s="447"/>
      <c r="AS647" s="447"/>
      <c r="AT647" s="447"/>
      <c r="AU647" s="447"/>
      <c r="AV647" s="447"/>
      <c r="AW647" s="447"/>
      <c r="AX647" s="447"/>
      <c r="AY647" s="447"/>
      <c r="AZ647" s="447"/>
      <c r="BA647" s="448" t="s">
        <v>51</v>
      </c>
      <c r="BB647" s="448" t="s">
        <v>51</v>
      </c>
      <c r="BC647" s="447"/>
      <c r="BD647" s="448" t="s">
        <v>680</v>
      </c>
      <c r="BE647" s="447">
        <v>548</v>
      </c>
    </row>
    <row r="648" spans="1:57" ht="30" customHeight="1">
      <c r="A648" s="443" t="s">
        <v>4770</v>
      </c>
      <c r="B648" s="444"/>
      <c r="C648" s="444"/>
      <c r="D648" s="1133"/>
      <c r="E648" s="445"/>
      <c r="F648" s="1146"/>
      <c r="G648" s="1146"/>
      <c r="H648" s="444"/>
      <c r="I648" s="444"/>
      <c r="J648" s="1146"/>
      <c r="K648" s="1146"/>
      <c r="L648" s="444"/>
      <c r="M648" s="444"/>
      <c r="N648" s="1146"/>
      <c r="O648" s="1146"/>
      <c r="P648" s="444"/>
      <c r="Q648" s="444"/>
      <c r="R648" s="1146"/>
      <c r="S648" s="1146"/>
      <c r="T648" s="444"/>
      <c r="U648" s="444"/>
      <c r="V648" s="446"/>
      <c r="W648" s="448" t="s">
        <v>177</v>
      </c>
      <c r="X648" s="448" t="s">
        <v>51</v>
      </c>
      <c r="Y648" s="448" t="s">
        <v>51</v>
      </c>
      <c r="Z648" s="448" t="s">
        <v>676</v>
      </c>
      <c r="AA648" s="448" t="s">
        <v>61</v>
      </c>
      <c r="AB648" s="448" t="s">
        <v>62</v>
      </c>
      <c r="AC648" s="448" t="s">
        <v>62</v>
      </c>
      <c r="AD648" s="447"/>
      <c r="AE648" s="447"/>
      <c r="AF648" s="447"/>
      <c r="AG648" s="447"/>
      <c r="AH648" s="447"/>
      <c r="AI648" s="447"/>
      <c r="AJ648" s="447"/>
      <c r="AK648" s="447"/>
      <c r="AL648" s="447"/>
      <c r="AM648" s="447"/>
      <c r="AN648" s="447"/>
      <c r="AO648" s="447"/>
      <c r="AP648" s="447"/>
      <c r="AQ648" s="447"/>
      <c r="AR648" s="447"/>
      <c r="AS648" s="447"/>
      <c r="AT648" s="447"/>
      <c r="AU648" s="447"/>
      <c r="AV648" s="447"/>
      <c r="AW648" s="447"/>
      <c r="AX648" s="447"/>
      <c r="AY648" s="447"/>
      <c r="AZ648" s="447"/>
      <c r="BA648" s="448" t="s">
        <v>51</v>
      </c>
      <c r="BB648" s="448" t="s">
        <v>51</v>
      </c>
      <c r="BC648" s="447"/>
      <c r="BD648" s="448" t="s">
        <v>681</v>
      </c>
      <c r="BE648" s="447">
        <v>549</v>
      </c>
    </row>
    <row r="649" spans="1:57" ht="30" customHeight="1">
      <c r="A649" s="443" t="s">
        <v>3489</v>
      </c>
      <c r="B649" s="443" t="s">
        <v>678</v>
      </c>
      <c r="C649" s="443" t="s">
        <v>59</v>
      </c>
      <c r="D649" s="1133">
        <v>515.12499999999989</v>
      </c>
      <c r="E649" s="445">
        <f>'2층전시실산출 '!H174</f>
        <v>515.12499999999989</v>
      </c>
      <c r="F649" s="1147">
        <v>13590</v>
      </c>
      <c r="G649" s="1147">
        <v>7000548.7499999981</v>
      </c>
      <c r="H649" s="450">
        <f>일위대가목록!F88</f>
        <v>13590</v>
      </c>
      <c r="I649" s="450">
        <f>E649*H649</f>
        <v>7000548.7499999981</v>
      </c>
      <c r="J649" s="1147">
        <v>26598</v>
      </c>
      <c r="K649" s="1147">
        <v>13701294.749999996</v>
      </c>
      <c r="L649" s="450">
        <f>일위대가목록!H88</f>
        <v>26598</v>
      </c>
      <c r="M649" s="450">
        <f>E649*L649</f>
        <v>13701294.749999996</v>
      </c>
      <c r="N649" s="1147">
        <v>284</v>
      </c>
      <c r="O649" s="1147">
        <v>146295.49999999997</v>
      </c>
      <c r="P649" s="450">
        <f>TRUNC(일위대가목록!J89,0)</f>
        <v>284</v>
      </c>
      <c r="Q649" s="450">
        <f>E649*P649</f>
        <v>146295.49999999997</v>
      </c>
      <c r="R649" s="1147">
        <v>40472</v>
      </c>
      <c r="S649" s="1147">
        <v>20848139</v>
      </c>
      <c r="T649" s="450">
        <f t="shared" ref="T649:U653" si="85">TRUNC(H649+L649+P649, 0)</f>
        <v>40472</v>
      </c>
      <c r="U649" s="450">
        <f t="shared" si="85"/>
        <v>20848139</v>
      </c>
      <c r="V649" s="454" t="str">
        <f>일위대가목록!M88</f>
        <v>호표 85</v>
      </c>
      <c r="W649" s="448" t="s">
        <v>189</v>
      </c>
      <c r="X649" s="448" t="s">
        <v>51</v>
      </c>
      <c r="Y649" s="448" t="s">
        <v>51</v>
      </c>
      <c r="Z649" s="448" t="s">
        <v>676</v>
      </c>
      <c r="AA649" s="448" t="s">
        <v>61</v>
      </c>
      <c r="AB649" s="448" t="s">
        <v>62</v>
      </c>
      <c r="AC649" s="448" t="s">
        <v>62</v>
      </c>
      <c r="AD649" s="447"/>
      <c r="AE649" s="447"/>
      <c r="AF649" s="447"/>
      <c r="AG649" s="447"/>
      <c r="AH649" s="447"/>
      <c r="AI649" s="447"/>
      <c r="AJ649" s="447"/>
      <c r="AK649" s="447"/>
      <c r="AL649" s="447"/>
      <c r="AM649" s="447"/>
      <c r="AN649" s="447"/>
      <c r="AO649" s="447"/>
      <c r="AP649" s="447"/>
      <c r="AQ649" s="447"/>
      <c r="AR649" s="447"/>
      <c r="AS649" s="447"/>
      <c r="AT649" s="447"/>
      <c r="AU649" s="447"/>
      <c r="AV649" s="447"/>
      <c r="AW649" s="447"/>
      <c r="AX649" s="447"/>
      <c r="AY649" s="447"/>
      <c r="AZ649" s="447"/>
      <c r="BA649" s="448" t="s">
        <v>51</v>
      </c>
      <c r="BB649" s="448" t="s">
        <v>51</v>
      </c>
      <c r="BC649" s="447"/>
      <c r="BD649" s="448" t="s">
        <v>682</v>
      </c>
      <c r="BE649" s="447">
        <v>550</v>
      </c>
    </row>
    <row r="650" spans="1:57" ht="30" customHeight="1">
      <c r="A650" s="443" t="s">
        <v>175</v>
      </c>
      <c r="B650" s="443" t="s">
        <v>176</v>
      </c>
      <c r="C650" s="443" t="s">
        <v>59</v>
      </c>
      <c r="D650" s="1133">
        <v>825.08499999999981</v>
      </c>
      <c r="E650" s="445">
        <f>'2층전시실산출 '!H175</f>
        <v>825.08499999999981</v>
      </c>
      <c r="F650" s="1147">
        <v>9977</v>
      </c>
      <c r="G650" s="1147">
        <v>8231873.0449999981</v>
      </c>
      <c r="H650" s="450">
        <f>TRUNC(일위대가목록!F31,0)</f>
        <v>9977</v>
      </c>
      <c r="I650" s="450">
        <f>E650*H650</f>
        <v>8231873.0449999981</v>
      </c>
      <c r="J650" s="1147">
        <v>25424</v>
      </c>
      <c r="K650" s="1147">
        <v>20976961.039999995</v>
      </c>
      <c r="L650" s="450">
        <f>TRUNC(일위대가목록!H31,0)</f>
        <v>25424</v>
      </c>
      <c r="M650" s="450">
        <f>E650*L650</f>
        <v>20976961.039999995</v>
      </c>
      <c r="N650" s="1147">
        <v>0</v>
      </c>
      <c r="O650" s="1147">
        <v>0</v>
      </c>
      <c r="P650" s="450">
        <f>TRUNC(일위대가목록!J31,0)</f>
        <v>0</v>
      </c>
      <c r="Q650" s="450">
        <f>TRUNC(P650*E650, 0)</f>
        <v>0</v>
      </c>
      <c r="R650" s="1147">
        <v>35401</v>
      </c>
      <c r="S650" s="1147">
        <v>29208834</v>
      </c>
      <c r="T650" s="450">
        <f t="shared" si="85"/>
        <v>35401</v>
      </c>
      <c r="U650" s="450">
        <f t="shared" si="85"/>
        <v>29208834</v>
      </c>
      <c r="V650" s="454" t="str">
        <f>일위대가목록!M31</f>
        <v>호표 28</v>
      </c>
      <c r="W650" s="448" t="s">
        <v>685</v>
      </c>
      <c r="X650" s="448" t="s">
        <v>51</v>
      </c>
      <c r="Y650" s="448" t="s">
        <v>51</v>
      </c>
      <c r="Z650" s="448" t="s">
        <v>676</v>
      </c>
      <c r="AA650" s="448" t="s">
        <v>61</v>
      </c>
      <c r="AB650" s="448" t="s">
        <v>62</v>
      </c>
      <c r="AC650" s="448" t="s">
        <v>62</v>
      </c>
      <c r="AD650" s="447"/>
      <c r="AE650" s="447"/>
      <c r="AF650" s="447"/>
      <c r="AG650" s="447"/>
      <c r="AH650" s="447"/>
      <c r="AI650" s="447"/>
      <c r="AJ650" s="447"/>
      <c r="AK650" s="447"/>
      <c r="AL650" s="447"/>
      <c r="AM650" s="447"/>
      <c r="AN650" s="447"/>
      <c r="AO650" s="447"/>
      <c r="AP650" s="447"/>
      <c r="AQ650" s="447"/>
      <c r="AR650" s="447"/>
      <c r="AS650" s="447"/>
      <c r="AT650" s="447"/>
      <c r="AU650" s="447"/>
      <c r="AV650" s="447"/>
      <c r="AW650" s="447"/>
      <c r="AX650" s="447"/>
      <c r="AY650" s="447"/>
      <c r="AZ650" s="447"/>
      <c r="BA650" s="448" t="s">
        <v>51</v>
      </c>
      <c r="BB650" s="448" t="s">
        <v>51</v>
      </c>
      <c r="BC650" s="447"/>
      <c r="BD650" s="448" t="s">
        <v>686</v>
      </c>
      <c r="BE650" s="447">
        <v>551</v>
      </c>
    </row>
    <row r="651" spans="1:57" ht="30" customHeight="1">
      <c r="A651" s="443" t="s">
        <v>185</v>
      </c>
      <c r="B651" s="443" t="s">
        <v>188</v>
      </c>
      <c r="C651" s="443" t="s">
        <v>59</v>
      </c>
      <c r="D651" s="1133">
        <v>1135.0449999999996</v>
      </c>
      <c r="E651" s="445">
        <f>'2층전시실산출 '!H176</f>
        <v>1135.0449999999996</v>
      </c>
      <c r="F651" s="1147">
        <v>5162</v>
      </c>
      <c r="G651" s="1147">
        <v>5859102.2899999982</v>
      </c>
      <c r="H651" s="450">
        <f>TRUNC(일위대가목록!F35,0)</f>
        <v>5667</v>
      </c>
      <c r="I651" s="450">
        <f>E651*H651</f>
        <v>6432300.0149999978</v>
      </c>
      <c r="J651" s="1147">
        <v>14470</v>
      </c>
      <c r="K651" s="1147">
        <v>16424101.149999995</v>
      </c>
      <c r="L651" s="450">
        <f>TRUNC(일위대가목록!H35,0)</f>
        <v>16860</v>
      </c>
      <c r="M651" s="450">
        <f>E651*L651</f>
        <v>19136858.699999992</v>
      </c>
      <c r="N651" s="1147">
        <v>0</v>
      </c>
      <c r="O651" s="1147">
        <v>0</v>
      </c>
      <c r="P651" s="450">
        <f>TRUNC(일위대가목록!J35,0)</f>
        <v>0</v>
      </c>
      <c r="Q651" s="450">
        <f>TRUNC(P651*E651, 0)</f>
        <v>0</v>
      </c>
      <c r="R651" s="1147">
        <v>19632</v>
      </c>
      <c r="S651" s="1147">
        <v>22283203</v>
      </c>
      <c r="T651" s="450">
        <f t="shared" si="85"/>
        <v>22527</v>
      </c>
      <c r="U651" s="450">
        <f t="shared" si="85"/>
        <v>25569158</v>
      </c>
      <c r="V651" s="454" t="str">
        <f>일위대가목록!M35</f>
        <v>호표 32</v>
      </c>
      <c r="W651" s="448" t="s">
        <v>220</v>
      </c>
      <c r="X651" s="448" t="s">
        <v>51</v>
      </c>
      <c r="Y651" s="448" t="s">
        <v>51</v>
      </c>
      <c r="Z651" s="448" t="s">
        <v>676</v>
      </c>
      <c r="AA651" s="448" t="s">
        <v>61</v>
      </c>
      <c r="AB651" s="448" t="s">
        <v>62</v>
      </c>
      <c r="AC651" s="448" t="s">
        <v>62</v>
      </c>
      <c r="AD651" s="447"/>
      <c r="AE651" s="447"/>
      <c r="AF651" s="447"/>
      <c r="AG651" s="447"/>
      <c r="AH651" s="447"/>
      <c r="AI651" s="447"/>
      <c r="AJ651" s="447"/>
      <c r="AK651" s="447"/>
      <c r="AL651" s="447"/>
      <c r="AM651" s="447"/>
      <c r="AN651" s="447"/>
      <c r="AO651" s="447"/>
      <c r="AP651" s="447"/>
      <c r="AQ651" s="447"/>
      <c r="AR651" s="447"/>
      <c r="AS651" s="447"/>
      <c r="AT651" s="447"/>
      <c r="AU651" s="447"/>
      <c r="AV651" s="447"/>
      <c r="AW651" s="447"/>
      <c r="AX651" s="447"/>
      <c r="AY651" s="447"/>
      <c r="AZ651" s="447"/>
      <c r="BA651" s="448" t="s">
        <v>51</v>
      </c>
      <c r="BB651" s="448" t="s">
        <v>51</v>
      </c>
      <c r="BC651" s="447"/>
      <c r="BD651" s="448" t="s">
        <v>687</v>
      </c>
      <c r="BE651" s="447">
        <v>552</v>
      </c>
    </row>
    <row r="652" spans="1:57" ht="30" customHeight="1">
      <c r="A652" s="443" t="s">
        <v>218</v>
      </c>
      <c r="B652" s="443" t="s">
        <v>219</v>
      </c>
      <c r="C652" s="443" t="s">
        <v>59</v>
      </c>
      <c r="D652" s="1133">
        <v>309.95999999999992</v>
      </c>
      <c r="E652" s="445">
        <f>'2층전시실산출 '!H179</f>
        <v>309.95999999999992</v>
      </c>
      <c r="F652" s="1147">
        <v>1908</v>
      </c>
      <c r="G652" s="1147">
        <v>591403.67999999982</v>
      </c>
      <c r="H652" s="450">
        <f>TRUNC(일위대가목록!F43,0)</f>
        <v>1800</v>
      </c>
      <c r="I652" s="450">
        <f>E652*H652</f>
        <v>557927.99999999988</v>
      </c>
      <c r="J652" s="1147">
        <v>7912</v>
      </c>
      <c r="K652" s="1147">
        <v>2452403.5199999996</v>
      </c>
      <c r="L652" s="450">
        <f>TRUNC(일위대가목록!H43,0)</f>
        <v>3300</v>
      </c>
      <c r="M652" s="450">
        <f>E652*L652</f>
        <v>1022867.9999999998</v>
      </c>
      <c r="N652" s="1147">
        <v>0</v>
      </c>
      <c r="O652" s="1147">
        <v>0</v>
      </c>
      <c r="P652" s="450">
        <f>TRUNC(일위대가목록!J43,0)</f>
        <v>0</v>
      </c>
      <c r="Q652" s="450">
        <f>TRUNC(P652*E652, 0)</f>
        <v>0</v>
      </c>
      <c r="R652" s="1147">
        <v>9820</v>
      </c>
      <c r="S652" s="1147">
        <v>3043807</v>
      </c>
      <c r="T652" s="450">
        <f t="shared" si="85"/>
        <v>5100</v>
      </c>
      <c r="U652" s="450">
        <f t="shared" si="85"/>
        <v>1580796</v>
      </c>
      <c r="V652" s="454" t="str">
        <f>일위대가목록!M43</f>
        <v>호표 40</v>
      </c>
      <c r="W652" s="448" t="s">
        <v>226</v>
      </c>
      <c r="X652" s="448" t="s">
        <v>51</v>
      </c>
      <c r="Y652" s="448" t="s">
        <v>51</v>
      </c>
      <c r="Z652" s="448" t="s">
        <v>676</v>
      </c>
      <c r="AA652" s="448" t="s">
        <v>61</v>
      </c>
      <c r="AB652" s="448" t="s">
        <v>62</v>
      </c>
      <c r="AC652" s="448" t="s">
        <v>62</v>
      </c>
      <c r="AD652" s="447"/>
      <c r="AE652" s="447"/>
      <c r="AF652" s="447"/>
      <c r="AG652" s="447"/>
      <c r="AH652" s="447"/>
      <c r="AI652" s="447"/>
      <c r="AJ652" s="447"/>
      <c r="AK652" s="447"/>
      <c r="AL652" s="447"/>
      <c r="AM652" s="447"/>
      <c r="AN652" s="447"/>
      <c r="AO652" s="447"/>
      <c r="AP652" s="447"/>
      <c r="AQ652" s="447"/>
      <c r="AR652" s="447"/>
      <c r="AS652" s="447"/>
      <c r="AT652" s="447"/>
      <c r="AU652" s="447"/>
      <c r="AV652" s="447"/>
      <c r="AW652" s="447"/>
      <c r="AX652" s="447"/>
      <c r="AY652" s="447"/>
      <c r="AZ652" s="447"/>
      <c r="BA652" s="448" t="s">
        <v>51</v>
      </c>
      <c r="BB652" s="448" t="s">
        <v>51</v>
      </c>
      <c r="BC652" s="447"/>
      <c r="BD652" s="448" t="s">
        <v>688</v>
      </c>
      <c r="BE652" s="447">
        <v>554</v>
      </c>
    </row>
    <row r="653" spans="1:57" ht="30" customHeight="1">
      <c r="A653" s="157" t="s">
        <v>222</v>
      </c>
      <c r="B653" s="157" t="s">
        <v>6823</v>
      </c>
      <c r="C653" s="157" t="s">
        <v>59</v>
      </c>
      <c r="D653" s="1209">
        <v>309.95999999999992</v>
      </c>
      <c r="E653" s="1210">
        <f>'2층전시실산출 '!H181</f>
        <v>309.95999999999992</v>
      </c>
      <c r="F653" s="1211">
        <v>2312</v>
      </c>
      <c r="G653" s="1211">
        <v>716627.51999999979</v>
      </c>
      <c r="H653" s="1212">
        <f>TRUNC(일위대가목록!F44,0)</f>
        <v>2097</v>
      </c>
      <c r="I653" s="1212">
        <f>E653*H653</f>
        <v>649986.11999999988</v>
      </c>
      <c r="J653" s="1211">
        <v>10764</v>
      </c>
      <c r="K653" s="1211">
        <v>3336409.439999999</v>
      </c>
      <c r="L653" s="1212">
        <f>TRUNC(일위대가목록!H44,0)</f>
        <v>5053</v>
      </c>
      <c r="M653" s="1212">
        <f>E653*L653</f>
        <v>1566227.8799999997</v>
      </c>
      <c r="N653" s="1211">
        <v>0</v>
      </c>
      <c r="O653" s="1211">
        <v>0</v>
      </c>
      <c r="P653" s="1212">
        <f>TRUNC(일위대가목록!J44,0)</f>
        <v>0</v>
      </c>
      <c r="Q653" s="1212">
        <f>TRUNC(P653*E653, 0)</f>
        <v>0</v>
      </c>
      <c r="R653" s="1211">
        <v>13076</v>
      </c>
      <c r="S653" s="1211">
        <v>4053036</v>
      </c>
      <c r="T653" s="1212">
        <f t="shared" si="85"/>
        <v>7150</v>
      </c>
      <c r="U653" s="1212">
        <f t="shared" si="85"/>
        <v>2216214</v>
      </c>
      <c r="V653" s="1213" t="str">
        <f>일위대가목록!M44</f>
        <v>호표 41</v>
      </c>
    </row>
    <row r="654" spans="1:57" ht="30" customHeight="1">
      <c r="A654" s="443"/>
      <c r="B654" s="443"/>
      <c r="C654" s="443"/>
      <c r="D654" s="1133"/>
      <c r="E654" s="445"/>
      <c r="F654" s="1147"/>
      <c r="G654" s="1147"/>
      <c r="H654" s="450"/>
      <c r="I654" s="450"/>
      <c r="J654" s="1147"/>
      <c r="K654" s="1147"/>
      <c r="L654" s="450"/>
      <c r="M654" s="450"/>
      <c r="N654" s="1147"/>
      <c r="O654" s="1147"/>
      <c r="P654" s="450"/>
      <c r="Q654" s="450"/>
      <c r="R654" s="1147"/>
      <c r="S654" s="1147"/>
      <c r="T654" s="450"/>
      <c r="U654" s="450"/>
      <c r="V654" s="454"/>
    </row>
    <row r="655" spans="1:57" ht="30" customHeight="1">
      <c r="A655" s="443"/>
      <c r="B655" s="443"/>
      <c r="C655" s="443"/>
      <c r="D655" s="1133"/>
      <c r="E655" s="445"/>
      <c r="F655" s="1147"/>
      <c r="G655" s="1147"/>
      <c r="H655" s="450"/>
      <c r="I655" s="450"/>
      <c r="J655" s="1147"/>
      <c r="K655" s="1147"/>
      <c r="L655" s="450"/>
      <c r="M655" s="450"/>
      <c r="N655" s="1147"/>
      <c r="O655" s="1147"/>
      <c r="P655" s="450"/>
      <c r="Q655" s="450"/>
      <c r="R655" s="1147"/>
      <c r="S655" s="1147"/>
      <c r="T655" s="450"/>
      <c r="U655" s="450"/>
      <c r="V655" s="454"/>
    </row>
    <row r="656" spans="1:57" ht="30" customHeight="1">
      <c r="A656" s="444"/>
      <c r="B656" s="444"/>
      <c r="C656" s="444"/>
      <c r="D656" s="1133"/>
      <c r="E656" s="445"/>
      <c r="F656" s="1146"/>
      <c r="G656" s="1146"/>
      <c r="H656" s="444"/>
      <c r="I656" s="444"/>
      <c r="J656" s="1146"/>
      <c r="K656" s="1146"/>
      <c r="L656" s="444"/>
      <c r="M656" s="444"/>
      <c r="N656" s="1146"/>
      <c r="O656" s="1146"/>
      <c r="P656" s="444"/>
      <c r="Q656" s="444"/>
      <c r="R656" s="1146"/>
      <c r="S656" s="1146"/>
      <c r="T656" s="444"/>
      <c r="U656" s="444"/>
      <c r="V656" s="446"/>
    </row>
    <row r="657" spans="1:57" ht="30" customHeight="1">
      <c r="A657" s="444"/>
      <c r="B657" s="444"/>
      <c r="C657" s="444"/>
      <c r="D657" s="1133"/>
      <c r="E657" s="445"/>
      <c r="F657" s="1146"/>
      <c r="G657" s="1146"/>
      <c r="H657" s="444"/>
      <c r="I657" s="444"/>
      <c r="J657" s="1146"/>
      <c r="K657" s="1146"/>
      <c r="L657" s="444"/>
      <c r="M657" s="444"/>
      <c r="N657" s="1146"/>
      <c r="O657" s="1146"/>
      <c r="P657" s="444"/>
      <c r="Q657" s="444"/>
      <c r="R657" s="1146"/>
      <c r="S657" s="1146"/>
      <c r="T657" s="444"/>
      <c r="U657" s="444"/>
      <c r="V657" s="446"/>
    </row>
    <row r="658" spans="1:57" ht="30" customHeight="1">
      <c r="A658" s="444"/>
      <c r="B658" s="444"/>
      <c r="C658" s="444"/>
      <c r="D658" s="1133"/>
      <c r="E658" s="445"/>
      <c r="F658" s="1146"/>
      <c r="G658" s="1146"/>
      <c r="H658" s="444"/>
      <c r="I658" s="444"/>
      <c r="J658" s="1146"/>
      <c r="K658" s="1146"/>
      <c r="L658" s="444"/>
      <c r="M658" s="444"/>
      <c r="N658" s="1146"/>
      <c r="O658" s="1146"/>
      <c r="P658" s="444"/>
      <c r="Q658" s="444"/>
      <c r="R658" s="1146"/>
      <c r="S658" s="1146"/>
      <c r="T658" s="444"/>
      <c r="U658" s="444"/>
      <c r="V658" s="446"/>
    </row>
    <row r="659" spans="1:57" ht="30" customHeight="1">
      <c r="A659" s="444"/>
      <c r="B659" s="444"/>
      <c r="C659" s="444"/>
      <c r="D659" s="1133"/>
      <c r="E659" s="445"/>
      <c r="F659" s="1146"/>
      <c r="G659" s="1146"/>
      <c r="H659" s="444"/>
      <c r="I659" s="444"/>
      <c r="J659" s="1146"/>
      <c r="K659" s="1146"/>
      <c r="L659" s="444"/>
      <c r="M659" s="444"/>
      <c r="N659" s="1146"/>
      <c r="O659" s="1146"/>
      <c r="P659" s="444"/>
      <c r="Q659" s="444"/>
      <c r="R659" s="1146"/>
      <c r="S659" s="1146"/>
      <c r="T659" s="444"/>
      <c r="U659" s="444"/>
      <c r="V659" s="446"/>
    </row>
    <row r="660" spans="1:57" ht="30" customHeight="1">
      <c r="A660" s="444"/>
      <c r="B660" s="444"/>
      <c r="C660" s="444"/>
      <c r="D660" s="1133"/>
      <c r="E660" s="445"/>
      <c r="F660" s="1146"/>
      <c r="G660" s="1146"/>
      <c r="H660" s="444"/>
      <c r="I660" s="444"/>
      <c r="J660" s="1146"/>
      <c r="K660" s="1146"/>
      <c r="L660" s="444"/>
      <c r="M660" s="444"/>
      <c r="N660" s="1146"/>
      <c r="O660" s="1146"/>
      <c r="P660" s="444"/>
      <c r="Q660" s="444"/>
      <c r="R660" s="1146"/>
      <c r="S660" s="1146"/>
      <c r="T660" s="444"/>
      <c r="U660" s="444"/>
      <c r="V660" s="446"/>
    </row>
    <row r="661" spans="1:57" ht="30" customHeight="1">
      <c r="A661" s="444"/>
      <c r="B661" s="444"/>
      <c r="C661" s="444"/>
      <c r="D661" s="1133"/>
      <c r="E661" s="445"/>
      <c r="F661" s="1146"/>
      <c r="G661" s="1146"/>
      <c r="H661" s="444"/>
      <c r="I661" s="444"/>
      <c r="J661" s="1146"/>
      <c r="K661" s="1146"/>
      <c r="L661" s="444"/>
      <c r="M661" s="444"/>
      <c r="N661" s="1146"/>
      <c r="O661" s="1146"/>
      <c r="P661" s="444"/>
      <c r="Q661" s="444"/>
      <c r="R661" s="1146"/>
      <c r="S661" s="1146"/>
      <c r="T661" s="444"/>
      <c r="U661" s="444"/>
      <c r="V661" s="446"/>
    </row>
    <row r="662" spans="1:57" ht="30" customHeight="1">
      <c r="A662" s="444"/>
      <c r="B662" s="444"/>
      <c r="C662" s="444"/>
      <c r="D662" s="1133"/>
      <c r="E662" s="445"/>
      <c r="F662" s="1146"/>
      <c r="G662" s="1146"/>
      <c r="H662" s="444"/>
      <c r="I662" s="444"/>
      <c r="J662" s="1146"/>
      <c r="K662" s="1146"/>
      <c r="L662" s="444"/>
      <c r="M662" s="444"/>
      <c r="N662" s="1146"/>
      <c r="O662" s="1146"/>
      <c r="P662" s="444"/>
      <c r="Q662" s="444"/>
      <c r="R662" s="1146"/>
      <c r="S662" s="1146"/>
      <c r="T662" s="444"/>
      <c r="U662" s="444"/>
      <c r="V662" s="446"/>
    </row>
    <row r="663" spans="1:57" ht="30" customHeight="1">
      <c r="A663" s="444"/>
      <c r="B663" s="444"/>
      <c r="C663" s="444"/>
      <c r="D663" s="1133"/>
      <c r="E663" s="445"/>
      <c r="F663" s="1146"/>
      <c r="G663" s="1146"/>
      <c r="H663" s="444"/>
      <c r="I663" s="444"/>
      <c r="J663" s="1146"/>
      <c r="K663" s="1146"/>
      <c r="L663" s="444"/>
      <c r="M663" s="444"/>
      <c r="N663" s="1146"/>
      <c r="O663" s="1146"/>
      <c r="P663" s="444"/>
      <c r="Q663" s="444"/>
      <c r="R663" s="1146"/>
      <c r="S663" s="1146"/>
      <c r="T663" s="444"/>
      <c r="U663" s="444"/>
      <c r="V663" s="446"/>
    </row>
    <row r="664" spans="1:57" ht="30" customHeight="1">
      <c r="A664" s="444"/>
      <c r="B664" s="444"/>
      <c r="C664" s="444"/>
      <c r="D664" s="1133"/>
      <c r="E664" s="445"/>
      <c r="F664" s="1146"/>
      <c r="G664" s="1146"/>
      <c r="H664" s="444"/>
      <c r="I664" s="444"/>
      <c r="J664" s="1146"/>
      <c r="K664" s="1146"/>
      <c r="L664" s="444"/>
      <c r="M664" s="444"/>
      <c r="N664" s="1146"/>
      <c r="O664" s="1146"/>
      <c r="P664" s="444"/>
      <c r="Q664" s="444"/>
      <c r="R664" s="1146"/>
      <c r="S664" s="1146"/>
      <c r="T664" s="444"/>
      <c r="U664" s="444"/>
      <c r="V664" s="446"/>
    </row>
    <row r="665" spans="1:57" ht="30" customHeight="1">
      <c r="A665" s="444"/>
      <c r="B665" s="444"/>
      <c r="C665" s="444"/>
      <c r="D665" s="1133"/>
      <c r="E665" s="445"/>
      <c r="F665" s="1146"/>
      <c r="G665" s="1146"/>
      <c r="H665" s="444"/>
      <c r="I665" s="444"/>
      <c r="J665" s="1146"/>
      <c r="K665" s="1146"/>
      <c r="L665" s="444"/>
      <c r="M665" s="444"/>
      <c r="N665" s="1146"/>
      <c r="O665" s="1146"/>
      <c r="P665" s="444"/>
      <c r="Q665" s="444"/>
      <c r="R665" s="1146"/>
      <c r="S665" s="1146"/>
      <c r="T665" s="444"/>
      <c r="U665" s="444"/>
      <c r="V665" s="446"/>
    </row>
    <row r="666" spans="1:57" ht="30" customHeight="1">
      <c r="A666" s="444"/>
      <c r="B666" s="444"/>
      <c r="C666" s="444"/>
      <c r="D666" s="1133"/>
      <c r="E666" s="445"/>
      <c r="F666" s="1146"/>
      <c r="G666" s="1146"/>
      <c r="H666" s="444"/>
      <c r="I666" s="444"/>
      <c r="J666" s="1146"/>
      <c r="K666" s="1146"/>
      <c r="L666" s="444"/>
      <c r="M666" s="444"/>
      <c r="N666" s="1146"/>
      <c r="O666" s="1146"/>
      <c r="P666" s="444"/>
      <c r="Q666" s="444"/>
      <c r="R666" s="1146"/>
      <c r="S666" s="1146"/>
      <c r="T666" s="444"/>
      <c r="U666" s="444"/>
      <c r="V666" s="446"/>
    </row>
    <row r="667" spans="1:57" ht="30" customHeight="1">
      <c r="A667" s="444"/>
      <c r="B667" s="444"/>
      <c r="C667" s="444"/>
      <c r="D667" s="1133"/>
      <c r="E667" s="445"/>
      <c r="F667" s="1146"/>
      <c r="G667" s="1146"/>
      <c r="H667" s="444"/>
      <c r="I667" s="444"/>
      <c r="J667" s="1146"/>
      <c r="K667" s="1146"/>
      <c r="L667" s="444"/>
      <c r="M667" s="444"/>
      <c r="N667" s="1146"/>
      <c r="O667" s="1146"/>
      <c r="P667" s="444"/>
      <c r="Q667" s="444"/>
      <c r="R667" s="1146"/>
      <c r="S667" s="1146"/>
      <c r="T667" s="444"/>
      <c r="U667" s="444"/>
      <c r="V667" s="446"/>
    </row>
    <row r="668" spans="1:57" ht="30" customHeight="1">
      <c r="A668" s="444"/>
      <c r="B668" s="444"/>
      <c r="C668" s="444"/>
      <c r="D668" s="1133"/>
      <c r="E668" s="445"/>
      <c r="F668" s="1146"/>
      <c r="G668" s="1146"/>
      <c r="H668" s="444"/>
      <c r="I668" s="444"/>
      <c r="J668" s="1146"/>
      <c r="K668" s="1146"/>
      <c r="L668" s="444"/>
      <c r="M668" s="444"/>
      <c r="N668" s="1146"/>
      <c r="O668" s="1146"/>
      <c r="P668" s="444"/>
      <c r="Q668" s="444"/>
      <c r="R668" s="1146"/>
      <c r="S668" s="1146"/>
      <c r="T668" s="444"/>
      <c r="U668" s="444"/>
      <c r="V668" s="446"/>
      <c r="W668" s="449" t="s">
        <v>86</v>
      </c>
    </row>
    <row r="669" spans="1:57" ht="30" customHeight="1">
      <c r="A669" s="444"/>
      <c r="B669" s="444"/>
      <c r="C669" s="444"/>
      <c r="D669" s="1133"/>
      <c r="E669" s="445"/>
      <c r="F669" s="1146"/>
      <c r="G669" s="1146"/>
      <c r="H669" s="444"/>
      <c r="I669" s="444"/>
      <c r="J669" s="1146"/>
      <c r="K669" s="1146"/>
      <c r="L669" s="444"/>
      <c r="M669" s="444"/>
      <c r="N669" s="1146"/>
      <c r="O669" s="1146"/>
      <c r="P669" s="444"/>
      <c r="Q669" s="444"/>
      <c r="R669" s="1146"/>
      <c r="S669" s="1146"/>
      <c r="T669" s="444"/>
      <c r="U669" s="444"/>
      <c r="V669" s="446"/>
      <c r="W669" s="447"/>
      <c r="X669" s="447"/>
      <c r="Y669" s="447"/>
      <c r="Z669" s="448" t="s">
        <v>689</v>
      </c>
      <c r="AA669" s="447"/>
      <c r="AB669" s="447"/>
      <c r="AC669" s="447"/>
      <c r="AD669" s="447"/>
      <c r="AE669" s="447"/>
      <c r="AF669" s="447"/>
      <c r="AG669" s="447"/>
      <c r="AH669" s="447"/>
      <c r="AI669" s="447"/>
      <c r="AJ669" s="447"/>
      <c r="AK669" s="447"/>
      <c r="AL669" s="447"/>
      <c r="AM669" s="447"/>
      <c r="AN669" s="447"/>
      <c r="AO669" s="447"/>
      <c r="AP669" s="447"/>
      <c r="AQ669" s="447"/>
      <c r="AR669" s="447"/>
      <c r="AS669" s="447"/>
      <c r="AT669" s="447"/>
      <c r="AU669" s="447"/>
      <c r="AV669" s="447"/>
      <c r="AW669" s="447"/>
      <c r="AX669" s="447"/>
      <c r="AY669" s="447"/>
      <c r="AZ669" s="447"/>
      <c r="BA669" s="447"/>
      <c r="BB669" s="447"/>
      <c r="BC669" s="447"/>
      <c r="BD669" s="447"/>
      <c r="BE669" s="447"/>
    </row>
    <row r="670" spans="1:57" ht="30" customHeight="1">
      <c r="A670" s="443" t="s">
        <v>85</v>
      </c>
      <c r="B670" s="444"/>
      <c r="C670" s="444"/>
      <c r="D670" s="1133"/>
      <c r="E670" s="445"/>
      <c r="F670" s="1146"/>
      <c r="G670" s="1147">
        <v>22399555.284999993</v>
      </c>
      <c r="H670" s="444"/>
      <c r="I670" s="450">
        <f>SUM(I649:I669)</f>
        <v>22872635.929999996</v>
      </c>
      <c r="J670" s="1146"/>
      <c r="K670" s="1147">
        <v>56891169.899999976</v>
      </c>
      <c r="L670" s="444"/>
      <c r="M670" s="450">
        <f>SUM(M649:M669)</f>
        <v>56404210.369999982</v>
      </c>
      <c r="N670" s="1146"/>
      <c r="O670" s="1147">
        <v>146295.49999999997</v>
      </c>
      <c r="P670" s="444"/>
      <c r="Q670" s="450">
        <f>SUM(Q649:Q669)</f>
        <v>146295.49999999997</v>
      </c>
      <c r="R670" s="1146"/>
      <c r="S670" s="1147">
        <v>79437019</v>
      </c>
      <c r="T670" s="444"/>
      <c r="U670" s="450">
        <f>SUM(U649:U669)</f>
        <v>79423141</v>
      </c>
      <c r="V670" s="446"/>
      <c r="W670" s="448" t="s">
        <v>172</v>
      </c>
      <c r="X670" s="448" t="s">
        <v>51</v>
      </c>
      <c r="Y670" s="448" t="s">
        <v>51</v>
      </c>
      <c r="Z670" s="448" t="s">
        <v>689</v>
      </c>
      <c r="AA670" s="448" t="s">
        <v>61</v>
      </c>
      <c r="AB670" s="448" t="s">
        <v>62</v>
      </c>
      <c r="AC670" s="448" t="s">
        <v>62</v>
      </c>
      <c r="AD670" s="447"/>
      <c r="AE670" s="447"/>
      <c r="AF670" s="447"/>
      <c r="AG670" s="447"/>
      <c r="AH670" s="447"/>
      <c r="AI670" s="447"/>
      <c r="AJ670" s="447"/>
      <c r="AK670" s="447"/>
      <c r="AL670" s="447"/>
      <c r="AM670" s="447"/>
      <c r="AN670" s="447"/>
      <c r="AO670" s="447"/>
      <c r="AP670" s="447"/>
      <c r="AQ670" s="447"/>
      <c r="AR670" s="447"/>
      <c r="AS670" s="447"/>
      <c r="AT670" s="447"/>
      <c r="AU670" s="447"/>
      <c r="AV670" s="447"/>
      <c r="AW670" s="447"/>
      <c r="AX670" s="447"/>
      <c r="AY670" s="447"/>
      <c r="AZ670" s="447"/>
      <c r="BA670" s="448" t="s">
        <v>51</v>
      </c>
      <c r="BB670" s="448" t="s">
        <v>51</v>
      </c>
      <c r="BC670" s="447"/>
      <c r="BD670" s="448" t="s">
        <v>690</v>
      </c>
      <c r="BE670" s="447">
        <v>556</v>
      </c>
    </row>
    <row r="671" spans="1:57" ht="30" customHeight="1">
      <c r="A671" s="443" t="s">
        <v>4771</v>
      </c>
      <c r="B671" s="444"/>
      <c r="C671" s="444"/>
      <c r="D671" s="1133"/>
      <c r="E671" s="445"/>
      <c r="F671" s="1146"/>
      <c r="G671" s="1146"/>
      <c r="H671" s="444"/>
      <c r="I671" s="444"/>
      <c r="J671" s="1146"/>
      <c r="K671" s="1146"/>
      <c r="L671" s="444"/>
      <c r="M671" s="444"/>
      <c r="N671" s="1146"/>
      <c r="O671" s="1146"/>
      <c r="P671" s="444"/>
      <c r="Q671" s="444"/>
      <c r="R671" s="1146"/>
      <c r="S671" s="1146"/>
      <c r="T671" s="444"/>
      <c r="U671" s="444"/>
      <c r="V671" s="446"/>
    </row>
    <row r="672" spans="1:57" ht="30" customHeight="1">
      <c r="A672" s="443" t="s">
        <v>170</v>
      </c>
      <c r="B672" s="443" t="s">
        <v>171</v>
      </c>
      <c r="C672" s="443" t="s">
        <v>59</v>
      </c>
      <c r="D672" s="1133">
        <v>36.79</v>
      </c>
      <c r="E672" s="445">
        <f>'2층전시실산출 '!H187</f>
        <v>36.79</v>
      </c>
      <c r="F672" s="1147">
        <v>734</v>
      </c>
      <c r="G672" s="1147">
        <v>27003.86</v>
      </c>
      <c r="H672" s="450">
        <f>TRUNC(일위대가목록!F30,0)</f>
        <v>734</v>
      </c>
      <c r="I672" s="450">
        <f>E672*H672</f>
        <v>27003.86</v>
      </c>
      <c r="J672" s="1147">
        <v>13975</v>
      </c>
      <c r="K672" s="1147">
        <v>514140.25</v>
      </c>
      <c r="L672" s="450">
        <f>TRUNC(일위대가목록!H30,0)</f>
        <v>1629</v>
      </c>
      <c r="M672" s="450">
        <f>E672*L672</f>
        <v>59930.909999999996</v>
      </c>
      <c r="N672" s="1147">
        <v>0</v>
      </c>
      <c r="O672" s="1147">
        <v>0</v>
      </c>
      <c r="P672" s="450">
        <f>TRUNC(일위대가목록!J30,0)</f>
        <v>122</v>
      </c>
      <c r="Q672" s="450">
        <f>TRUNC(P672*E672, 0)</f>
        <v>4488</v>
      </c>
      <c r="R672" s="1147">
        <v>14709</v>
      </c>
      <c r="S672" s="1147">
        <v>541144</v>
      </c>
      <c r="T672" s="450">
        <f>TRUNC(H672+L672+P672, 0)</f>
        <v>2485</v>
      </c>
      <c r="U672" s="450">
        <f>TRUNC(I672+M672+Q672, 0)</f>
        <v>91422</v>
      </c>
      <c r="V672" s="454" t="str">
        <f>일위대가목록!M30</f>
        <v>호표 27</v>
      </c>
    </row>
    <row r="673" spans="1:22" ht="30" customHeight="1">
      <c r="A673" s="444"/>
      <c r="B673" s="444"/>
      <c r="C673" s="444"/>
      <c r="D673" s="1133"/>
      <c r="E673" s="445"/>
      <c r="F673" s="1146"/>
      <c r="G673" s="1146"/>
      <c r="H673" s="444"/>
      <c r="I673" s="444"/>
      <c r="J673" s="1146"/>
      <c r="K673" s="1146"/>
      <c r="L673" s="444"/>
      <c r="M673" s="444"/>
      <c r="N673" s="1146"/>
      <c r="O673" s="1146"/>
      <c r="P673" s="444"/>
      <c r="Q673" s="444"/>
      <c r="R673" s="1146"/>
      <c r="S673" s="1146"/>
      <c r="T673" s="444"/>
      <c r="U673" s="444"/>
      <c r="V673" s="446"/>
    </row>
    <row r="674" spans="1:22" ht="30" customHeight="1">
      <c r="A674" s="444"/>
      <c r="B674" s="444"/>
      <c r="C674" s="444"/>
      <c r="D674" s="1133"/>
      <c r="E674" s="445"/>
      <c r="F674" s="1146"/>
      <c r="G674" s="1146"/>
      <c r="H674" s="444"/>
      <c r="I674" s="444"/>
      <c r="J674" s="1146"/>
      <c r="K674" s="1146"/>
      <c r="L674" s="444"/>
      <c r="M674" s="444"/>
      <c r="N674" s="1146"/>
      <c r="O674" s="1146"/>
      <c r="P674" s="444"/>
      <c r="Q674" s="444"/>
      <c r="R674" s="1146"/>
      <c r="S674" s="1146"/>
      <c r="T674" s="444"/>
      <c r="U674" s="444"/>
      <c r="V674" s="446"/>
    </row>
    <row r="675" spans="1:22" ht="30" customHeight="1">
      <c r="A675" s="444"/>
      <c r="B675" s="444"/>
      <c r="C675" s="444"/>
      <c r="D675" s="1133"/>
      <c r="E675" s="445"/>
      <c r="F675" s="1146"/>
      <c r="G675" s="1146"/>
      <c r="H675" s="444"/>
      <c r="I675" s="444"/>
      <c r="J675" s="1146"/>
      <c r="K675" s="1146"/>
      <c r="L675" s="444"/>
      <c r="M675" s="444"/>
      <c r="N675" s="1146"/>
      <c r="O675" s="1146"/>
      <c r="P675" s="444"/>
      <c r="Q675" s="444"/>
      <c r="R675" s="1146"/>
      <c r="S675" s="1146"/>
      <c r="T675" s="444"/>
      <c r="U675" s="444"/>
      <c r="V675" s="446"/>
    </row>
    <row r="676" spans="1:22" ht="30" customHeight="1">
      <c r="A676" s="444"/>
      <c r="B676" s="444"/>
      <c r="C676" s="444"/>
      <c r="D676" s="1133"/>
      <c r="E676" s="445"/>
      <c r="F676" s="1146"/>
      <c r="G676" s="1146"/>
      <c r="H676" s="444"/>
      <c r="I676" s="444"/>
      <c r="J676" s="1146"/>
      <c r="K676" s="1146"/>
      <c r="L676" s="444"/>
      <c r="M676" s="444"/>
      <c r="N676" s="1146"/>
      <c r="O676" s="1146"/>
      <c r="P676" s="444"/>
      <c r="Q676" s="444"/>
      <c r="R676" s="1146"/>
      <c r="S676" s="1146"/>
      <c r="T676" s="444"/>
      <c r="U676" s="444"/>
      <c r="V676" s="446"/>
    </row>
    <row r="677" spans="1:22" ht="30" customHeight="1">
      <c r="A677" s="444"/>
      <c r="B677" s="444"/>
      <c r="C677" s="444"/>
      <c r="D677" s="1133"/>
      <c r="E677" s="445"/>
      <c r="F677" s="1146"/>
      <c r="G677" s="1146"/>
      <c r="H677" s="444"/>
      <c r="I677" s="444"/>
      <c r="J677" s="1146"/>
      <c r="K677" s="1146"/>
      <c r="L677" s="444"/>
      <c r="M677" s="444"/>
      <c r="N677" s="1146"/>
      <c r="O677" s="1146"/>
      <c r="P677" s="444"/>
      <c r="Q677" s="444"/>
      <c r="R677" s="1146"/>
      <c r="S677" s="1146"/>
      <c r="T677" s="444"/>
      <c r="U677" s="444"/>
      <c r="V677" s="446"/>
    </row>
    <row r="678" spans="1:22" ht="30" customHeight="1">
      <c r="A678" s="444"/>
      <c r="B678" s="444"/>
      <c r="C678" s="444"/>
      <c r="D678" s="1133"/>
      <c r="E678" s="445"/>
      <c r="F678" s="1146"/>
      <c r="G678" s="1146"/>
      <c r="H678" s="444"/>
      <c r="I678" s="444"/>
      <c r="J678" s="1146"/>
      <c r="K678" s="1146"/>
      <c r="L678" s="444"/>
      <c r="M678" s="444"/>
      <c r="N678" s="1146"/>
      <c r="O678" s="1146"/>
      <c r="P678" s="444"/>
      <c r="Q678" s="444"/>
      <c r="R678" s="1146"/>
      <c r="S678" s="1146"/>
      <c r="T678" s="444"/>
      <c r="U678" s="444"/>
      <c r="V678" s="446"/>
    </row>
    <row r="679" spans="1:22" ht="30" customHeight="1">
      <c r="A679" s="444"/>
      <c r="B679" s="444"/>
      <c r="C679" s="444"/>
      <c r="D679" s="1133"/>
      <c r="E679" s="445"/>
      <c r="F679" s="1146"/>
      <c r="G679" s="1146"/>
      <c r="H679" s="444"/>
      <c r="I679" s="444"/>
      <c r="J679" s="1146"/>
      <c r="K679" s="1146"/>
      <c r="L679" s="444"/>
      <c r="M679" s="444"/>
      <c r="N679" s="1146"/>
      <c r="O679" s="1146"/>
      <c r="P679" s="444"/>
      <c r="Q679" s="444"/>
      <c r="R679" s="1146"/>
      <c r="S679" s="1146"/>
      <c r="T679" s="444"/>
      <c r="U679" s="444"/>
      <c r="V679" s="446"/>
    </row>
    <row r="680" spans="1:22" ht="30" customHeight="1">
      <c r="A680" s="444"/>
      <c r="B680" s="444"/>
      <c r="C680" s="444"/>
      <c r="D680" s="1133"/>
      <c r="E680" s="445"/>
      <c r="F680" s="1146"/>
      <c r="G680" s="1146"/>
      <c r="H680" s="444"/>
      <c r="I680" s="444"/>
      <c r="J680" s="1146"/>
      <c r="K680" s="1146"/>
      <c r="L680" s="444"/>
      <c r="M680" s="444"/>
      <c r="N680" s="1146"/>
      <c r="O680" s="1146"/>
      <c r="P680" s="444"/>
      <c r="Q680" s="444"/>
      <c r="R680" s="1146"/>
      <c r="S680" s="1146"/>
      <c r="T680" s="444"/>
      <c r="U680" s="444"/>
      <c r="V680" s="446"/>
    </row>
    <row r="681" spans="1:22" ht="30" customHeight="1">
      <c r="A681" s="444"/>
      <c r="B681" s="444"/>
      <c r="C681" s="444"/>
      <c r="D681" s="1133"/>
      <c r="E681" s="445"/>
      <c r="F681" s="1146"/>
      <c r="G681" s="1146"/>
      <c r="H681" s="444"/>
      <c r="I681" s="444"/>
      <c r="J681" s="1146"/>
      <c r="K681" s="1146"/>
      <c r="L681" s="444"/>
      <c r="M681" s="444"/>
      <c r="N681" s="1146"/>
      <c r="O681" s="1146"/>
      <c r="P681" s="444"/>
      <c r="Q681" s="444"/>
      <c r="R681" s="1146"/>
      <c r="S681" s="1146"/>
      <c r="T681" s="444"/>
      <c r="U681" s="444"/>
      <c r="V681" s="446"/>
    </row>
    <row r="682" spans="1:22" ht="30" customHeight="1">
      <c r="A682" s="444"/>
      <c r="B682" s="444"/>
      <c r="C682" s="444"/>
      <c r="D682" s="1133"/>
      <c r="E682" s="445"/>
      <c r="F682" s="1146"/>
      <c r="G682" s="1146"/>
      <c r="H682" s="444"/>
      <c r="I682" s="444"/>
      <c r="J682" s="1146"/>
      <c r="K682" s="1146"/>
      <c r="L682" s="444"/>
      <c r="M682" s="444"/>
      <c r="N682" s="1146"/>
      <c r="O682" s="1146"/>
      <c r="P682" s="444"/>
      <c r="Q682" s="444"/>
      <c r="R682" s="1146"/>
      <c r="S682" s="1146"/>
      <c r="T682" s="444"/>
      <c r="U682" s="444"/>
      <c r="V682" s="446"/>
    </row>
    <row r="683" spans="1:22" ht="30" customHeight="1">
      <c r="A683" s="444"/>
      <c r="B683" s="444"/>
      <c r="C683" s="444"/>
      <c r="D683" s="1133"/>
      <c r="E683" s="445"/>
      <c r="F683" s="1146"/>
      <c r="G683" s="1146"/>
      <c r="H683" s="444"/>
      <c r="I683" s="444"/>
      <c r="J683" s="1146"/>
      <c r="K683" s="1146"/>
      <c r="L683" s="444"/>
      <c r="M683" s="444"/>
      <c r="N683" s="1146"/>
      <c r="O683" s="1146"/>
      <c r="P683" s="444"/>
      <c r="Q683" s="444"/>
      <c r="R683" s="1146"/>
      <c r="S683" s="1146"/>
      <c r="T683" s="444"/>
      <c r="U683" s="444"/>
      <c r="V683" s="446"/>
    </row>
    <row r="684" spans="1:22" ht="30" customHeight="1">
      <c r="A684" s="444"/>
      <c r="B684" s="444"/>
      <c r="C684" s="444"/>
      <c r="D684" s="1133"/>
      <c r="E684" s="445"/>
      <c r="F684" s="1146"/>
      <c r="G684" s="1146"/>
      <c r="H684" s="444"/>
      <c r="I684" s="444"/>
      <c r="J684" s="1146"/>
      <c r="K684" s="1146"/>
      <c r="L684" s="444"/>
      <c r="M684" s="444"/>
      <c r="N684" s="1146"/>
      <c r="O684" s="1146"/>
      <c r="P684" s="444"/>
      <c r="Q684" s="444"/>
      <c r="R684" s="1146"/>
      <c r="S684" s="1146"/>
      <c r="T684" s="444"/>
      <c r="U684" s="444"/>
      <c r="V684" s="446"/>
    </row>
    <row r="685" spans="1:22" ht="30" customHeight="1">
      <c r="A685" s="444"/>
      <c r="B685" s="444"/>
      <c r="C685" s="444"/>
      <c r="D685" s="1133"/>
      <c r="E685" s="445"/>
      <c r="F685" s="1146"/>
      <c r="G685" s="1146"/>
      <c r="H685" s="444"/>
      <c r="I685" s="444"/>
      <c r="J685" s="1146"/>
      <c r="K685" s="1146"/>
      <c r="L685" s="444"/>
      <c r="M685" s="444"/>
      <c r="N685" s="1146"/>
      <c r="O685" s="1146"/>
      <c r="P685" s="444"/>
      <c r="Q685" s="444"/>
      <c r="R685" s="1146"/>
      <c r="S685" s="1146"/>
      <c r="T685" s="444"/>
      <c r="U685" s="444"/>
      <c r="V685" s="446"/>
    </row>
    <row r="686" spans="1:22" ht="30" customHeight="1">
      <c r="A686" s="444"/>
      <c r="B686" s="444"/>
      <c r="C686" s="444"/>
      <c r="D686" s="1133"/>
      <c r="E686" s="445"/>
      <c r="F686" s="1146"/>
      <c r="G686" s="1146"/>
      <c r="H686" s="444"/>
      <c r="I686" s="444"/>
      <c r="J686" s="1146"/>
      <c r="K686" s="1146"/>
      <c r="L686" s="444"/>
      <c r="M686" s="444"/>
      <c r="N686" s="1146"/>
      <c r="O686" s="1146"/>
      <c r="P686" s="444"/>
      <c r="Q686" s="444"/>
      <c r="R686" s="1146"/>
      <c r="S686" s="1146"/>
      <c r="T686" s="444"/>
      <c r="U686" s="444"/>
      <c r="V686" s="446"/>
    </row>
    <row r="687" spans="1:22" ht="30" customHeight="1">
      <c r="A687" s="444"/>
      <c r="B687" s="444"/>
      <c r="C687" s="444"/>
      <c r="D687" s="1133"/>
      <c r="E687" s="445"/>
      <c r="F687" s="1146"/>
      <c r="G687" s="1146"/>
      <c r="H687" s="444"/>
      <c r="I687" s="444"/>
      <c r="J687" s="1146"/>
      <c r="K687" s="1146"/>
      <c r="L687" s="444"/>
      <c r="M687" s="444"/>
      <c r="N687" s="1146"/>
      <c r="O687" s="1146"/>
      <c r="P687" s="444"/>
      <c r="Q687" s="444"/>
      <c r="R687" s="1146"/>
      <c r="S687" s="1146"/>
      <c r="T687" s="444"/>
      <c r="U687" s="444"/>
      <c r="V687" s="446"/>
    </row>
    <row r="688" spans="1:22" ht="30" customHeight="1">
      <c r="A688" s="444"/>
      <c r="B688" s="444"/>
      <c r="C688" s="444"/>
      <c r="D688" s="1133"/>
      <c r="E688" s="445"/>
      <c r="F688" s="1146"/>
      <c r="G688" s="1146"/>
      <c r="H688" s="444"/>
      <c r="I688" s="444"/>
      <c r="J688" s="1146"/>
      <c r="K688" s="1146"/>
      <c r="L688" s="444"/>
      <c r="M688" s="444"/>
      <c r="N688" s="1146"/>
      <c r="O688" s="1146"/>
      <c r="P688" s="444"/>
      <c r="Q688" s="444"/>
      <c r="R688" s="1146"/>
      <c r="S688" s="1146"/>
      <c r="T688" s="444"/>
      <c r="U688" s="444"/>
      <c r="V688" s="446"/>
    </row>
    <row r="689" spans="1:57" ht="30" customHeight="1">
      <c r="A689" s="444"/>
      <c r="B689" s="444"/>
      <c r="C689" s="444"/>
      <c r="D689" s="1133"/>
      <c r="E689" s="445"/>
      <c r="F689" s="1146"/>
      <c r="G689" s="1146"/>
      <c r="H689" s="444"/>
      <c r="I689" s="444"/>
      <c r="J689" s="1146"/>
      <c r="K689" s="1146"/>
      <c r="L689" s="444"/>
      <c r="M689" s="444"/>
      <c r="N689" s="1146"/>
      <c r="O689" s="1146"/>
      <c r="P689" s="444"/>
      <c r="Q689" s="444"/>
      <c r="R689" s="1146"/>
      <c r="S689" s="1146"/>
      <c r="T689" s="444"/>
      <c r="U689" s="444"/>
      <c r="V689" s="446"/>
    </row>
    <row r="690" spans="1:57" ht="30" customHeight="1">
      <c r="A690" s="444"/>
      <c r="B690" s="444"/>
      <c r="C690" s="444"/>
      <c r="D690" s="1133"/>
      <c r="E690" s="445"/>
      <c r="F690" s="1146"/>
      <c r="G690" s="1146"/>
      <c r="H690" s="444"/>
      <c r="I690" s="444"/>
      <c r="J690" s="1146"/>
      <c r="K690" s="1146"/>
      <c r="L690" s="444"/>
      <c r="M690" s="444"/>
      <c r="N690" s="1146"/>
      <c r="O690" s="1146"/>
      <c r="P690" s="444"/>
      <c r="Q690" s="444"/>
      <c r="R690" s="1146"/>
      <c r="S690" s="1146"/>
      <c r="T690" s="444"/>
      <c r="U690" s="444"/>
      <c r="V690" s="446"/>
    </row>
    <row r="691" spans="1:57" ht="30" customHeight="1">
      <c r="A691" s="444"/>
      <c r="B691" s="444"/>
      <c r="C691" s="444"/>
      <c r="D691" s="1133"/>
      <c r="E691" s="445"/>
      <c r="F691" s="1146"/>
      <c r="G691" s="1146"/>
      <c r="H691" s="444"/>
      <c r="I691" s="444"/>
      <c r="J691" s="1146"/>
      <c r="K691" s="1146"/>
      <c r="L691" s="444"/>
      <c r="M691" s="444"/>
      <c r="N691" s="1146"/>
      <c r="O691" s="1146"/>
      <c r="P691" s="444"/>
      <c r="Q691" s="444"/>
      <c r="R691" s="1146"/>
      <c r="S691" s="1146"/>
      <c r="T691" s="444"/>
      <c r="U691" s="444"/>
      <c r="V691" s="446"/>
      <c r="W691" s="449" t="s">
        <v>86</v>
      </c>
    </row>
    <row r="692" spans="1:57" ht="30" customHeight="1">
      <c r="A692" s="444"/>
      <c r="B692" s="444"/>
      <c r="C692" s="444"/>
      <c r="D692" s="1133"/>
      <c r="E692" s="445"/>
      <c r="F692" s="1146"/>
      <c r="G692" s="1146"/>
      <c r="H692" s="444"/>
      <c r="I692" s="444"/>
      <c r="J692" s="1146"/>
      <c r="K692" s="1146"/>
      <c r="L692" s="444"/>
      <c r="M692" s="444"/>
      <c r="N692" s="1146"/>
      <c r="O692" s="1146"/>
      <c r="P692" s="444"/>
      <c r="Q692" s="444"/>
      <c r="R692" s="1146"/>
      <c r="S692" s="1146"/>
      <c r="T692" s="444"/>
      <c r="U692" s="444"/>
      <c r="V692" s="446"/>
      <c r="W692" s="447"/>
      <c r="X692" s="447"/>
      <c r="Y692" s="447"/>
      <c r="Z692" s="448" t="s">
        <v>691</v>
      </c>
      <c r="AA692" s="447"/>
      <c r="AB692" s="447"/>
      <c r="AC692" s="447"/>
      <c r="AD692" s="447"/>
      <c r="AE692" s="447"/>
      <c r="AF692" s="447"/>
      <c r="AG692" s="447"/>
      <c r="AH692" s="447"/>
      <c r="AI692" s="447"/>
      <c r="AJ692" s="447"/>
      <c r="AK692" s="447"/>
      <c r="AL692" s="447"/>
      <c r="AM692" s="447"/>
      <c r="AN692" s="447"/>
      <c r="AO692" s="447"/>
      <c r="AP692" s="447"/>
      <c r="AQ692" s="447"/>
      <c r="AR692" s="447"/>
      <c r="AS692" s="447"/>
      <c r="AT692" s="447"/>
      <c r="AU692" s="447"/>
      <c r="AV692" s="447"/>
      <c r="AW692" s="447"/>
      <c r="AX692" s="447"/>
      <c r="AY692" s="447"/>
      <c r="AZ692" s="447"/>
      <c r="BA692" s="447"/>
      <c r="BB692" s="447"/>
      <c r="BC692" s="447"/>
      <c r="BD692" s="447"/>
      <c r="BE692" s="447"/>
    </row>
    <row r="693" spans="1:57" ht="30" customHeight="1">
      <c r="A693" s="443" t="s">
        <v>85</v>
      </c>
      <c r="B693" s="444"/>
      <c r="C693" s="444"/>
      <c r="D693" s="1133"/>
      <c r="E693" s="445"/>
      <c r="F693" s="1146"/>
      <c r="G693" s="1147">
        <v>27003.86</v>
      </c>
      <c r="H693" s="444"/>
      <c r="I693" s="450">
        <f>SUM(I672:I692)</f>
        <v>27003.86</v>
      </c>
      <c r="J693" s="1146"/>
      <c r="K693" s="1147">
        <v>514140.25</v>
      </c>
      <c r="L693" s="444"/>
      <c r="M693" s="450">
        <f>SUM(M672:M692)</f>
        <v>59930.909999999996</v>
      </c>
      <c r="N693" s="1146"/>
      <c r="O693" s="1147">
        <v>0</v>
      </c>
      <c r="P693" s="444"/>
      <c r="Q693" s="450">
        <f>SUM(Q672:Q692)</f>
        <v>4488</v>
      </c>
      <c r="R693" s="1146"/>
      <c r="S693" s="1147">
        <v>541144</v>
      </c>
      <c r="T693" s="444"/>
      <c r="U693" s="450">
        <f>SUM(U672:U692)</f>
        <v>91422</v>
      </c>
      <c r="V693" s="446"/>
      <c r="W693" s="448" t="s">
        <v>177</v>
      </c>
      <c r="X693" s="448" t="s">
        <v>51</v>
      </c>
      <c r="Y693" s="448" t="s">
        <v>51</v>
      </c>
      <c r="Z693" s="448" t="s">
        <v>691</v>
      </c>
      <c r="AA693" s="448" t="s">
        <v>61</v>
      </c>
      <c r="AB693" s="448" t="s">
        <v>62</v>
      </c>
      <c r="AC693" s="448" t="s">
        <v>62</v>
      </c>
      <c r="AD693" s="447"/>
      <c r="AE693" s="447"/>
      <c r="AF693" s="447"/>
      <c r="AG693" s="447"/>
      <c r="AH693" s="447"/>
      <c r="AI693" s="447"/>
      <c r="AJ693" s="447"/>
      <c r="AK693" s="447"/>
      <c r="AL693" s="447"/>
      <c r="AM693" s="447"/>
      <c r="AN693" s="447"/>
      <c r="AO693" s="447"/>
      <c r="AP693" s="447"/>
      <c r="AQ693" s="447"/>
      <c r="AR693" s="447"/>
      <c r="AS693" s="447"/>
      <c r="AT693" s="447"/>
      <c r="AU693" s="447"/>
      <c r="AV693" s="447"/>
      <c r="AW693" s="447"/>
      <c r="AX693" s="447"/>
      <c r="AY693" s="447"/>
      <c r="AZ693" s="447"/>
      <c r="BA693" s="448" t="s">
        <v>51</v>
      </c>
      <c r="BB693" s="448" t="s">
        <v>51</v>
      </c>
      <c r="BC693" s="447"/>
      <c r="BD693" s="448" t="s">
        <v>692</v>
      </c>
      <c r="BE693" s="447">
        <v>558</v>
      </c>
    </row>
    <row r="694" spans="1:57" ht="30" customHeight="1">
      <c r="A694" s="443" t="s">
        <v>4772</v>
      </c>
      <c r="B694" s="444"/>
      <c r="C694" s="444"/>
      <c r="D694" s="1133"/>
      <c r="E694" s="445"/>
      <c r="F694" s="1146"/>
      <c r="G694" s="1146"/>
      <c r="H694" s="444"/>
      <c r="I694" s="444"/>
      <c r="J694" s="1146"/>
      <c r="K694" s="1146"/>
      <c r="L694" s="444"/>
      <c r="M694" s="444"/>
      <c r="N694" s="1146"/>
      <c r="O694" s="1146"/>
      <c r="P694" s="444"/>
      <c r="Q694" s="444"/>
      <c r="R694" s="1146"/>
      <c r="S694" s="1146"/>
      <c r="T694" s="444"/>
      <c r="U694" s="444"/>
      <c r="V694" s="446"/>
      <c r="W694" s="448" t="s">
        <v>189</v>
      </c>
      <c r="X694" s="448" t="s">
        <v>51</v>
      </c>
      <c r="Y694" s="448" t="s">
        <v>51</v>
      </c>
      <c r="Z694" s="448" t="s">
        <v>691</v>
      </c>
      <c r="AA694" s="448" t="s">
        <v>61</v>
      </c>
      <c r="AB694" s="448" t="s">
        <v>62</v>
      </c>
      <c r="AC694" s="448" t="s">
        <v>62</v>
      </c>
      <c r="AD694" s="447"/>
      <c r="AE694" s="447"/>
      <c r="AF694" s="447"/>
      <c r="AG694" s="447"/>
      <c r="AH694" s="447"/>
      <c r="AI694" s="447"/>
      <c r="AJ694" s="447"/>
      <c r="AK694" s="447"/>
      <c r="AL694" s="447"/>
      <c r="AM694" s="447"/>
      <c r="AN694" s="447"/>
      <c r="AO694" s="447"/>
      <c r="AP694" s="447"/>
      <c r="AQ694" s="447"/>
      <c r="AR694" s="447"/>
      <c r="AS694" s="447"/>
      <c r="AT694" s="447"/>
      <c r="AU694" s="447"/>
      <c r="AV694" s="447"/>
      <c r="AW694" s="447"/>
      <c r="AX694" s="447"/>
      <c r="AY694" s="447"/>
      <c r="AZ694" s="447"/>
      <c r="BA694" s="448" t="s">
        <v>51</v>
      </c>
      <c r="BB694" s="448" t="s">
        <v>51</v>
      </c>
      <c r="BC694" s="447"/>
      <c r="BD694" s="448" t="s">
        <v>693</v>
      </c>
      <c r="BE694" s="447">
        <v>559</v>
      </c>
    </row>
    <row r="695" spans="1:57" ht="30" customHeight="1">
      <c r="A695" s="443" t="s">
        <v>175</v>
      </c>
      <c r="B695" s="443" t="s">
        <v>176</v>
      </c>
      <c r="C695" s="443" t="s">
        <v>59</v>
      </c>
      <c r="D695" s="1133">
        <v>133.25</v>
      </c>
      <c r="E695" s="445">
        <f>'2층전시실산출 '!H190</f>
        <v>133.25</v>
      </c>
      <c r="F695" s="1147">
        <v>9977</v>
      </c>
      <c r="G695" s="1147">
        <v>1329435.25</v>
      </c>
      <c r="H695" s="450">
        <f>TRUNC(일위대가목록!F31,0)</f>
        <v>9977</v>
      </c>
      <c r="I695" s="450">
        <f>E695*H695</f>
        <v>1329435.25</v>
      </c>
      <c r="J695" s="1147">
        <v>25424</v>
      </c>
      <c r="K695" s="1147">
        <v>3387748</v>
      </c>
      <c r="L695" s="450">
        <f>TRUNC(일위대가목록!H31,0)</f>
        <v>25424</v>
      </c>
      <c r="M695" s="450">
        <f>E695*L695</f>
        <v>3387748</v>
      </c>
      <c r="N695" s="1147">
        <v>0</v>
      </c>
      <c r="O695" s="1147">
        <v>0</v>
      </c>
      <c r="P695" s="450">
        <f>TRUNC(일위대가목록!J31,0)</f>
        <v>0</v>
      </c>
      <c r="Q695" s="450">
        <f>TRUNC(P695*E695, 0)</f>
        <v>0</v>
      </c>
      <c r="R695" s="1147">
        <v>35401</v>
      </c>
      <c r="S695" s="1147">
        <v>4717183</v>
      </c>
      <c r="T695" s="450">
        <f t="shared" ref="T695:U699" si="86">TRUNC(H695+L695+P695, 0)</f>
        <v>35401</v>
      </c>
      <c r="U695" s="450">
        <f t="shared" si="86"/>
        <v>4717183</v>
      </c>
      <c r="V695" s="454" t="str">
        <f>일위대가목록!M31</f>
        <v>호표 28</v>
      </c>
      <c r="W695" s="448" t="s">
        <v>192</v>
      </c>
      <c r="X695" s="448" t="s">
        <v>51</v>
      </c>
      <c r="Y695" s="448" t="s">
        <v>51</v>
      </c>
      <c r="Z695" s="448" t="s">
        <v>691</v>
      </c>
      <c r="AA695" s="448" t="s">
        <v>61</v>
      </c>
      <c r="AB695" s="448" t="s">
        <v>62</v>
      </c>
      <c r="AC695" s="448" t="s">
        <v>62</v>
      </c>
      <c r="AD695" s="447"/>
      <c r="AE695" s="447"/>
      <c r="AF695" s="447"/>
      <c r="AG695" s="447"/>
      <c r="AH695" s="447"/>
      <c r="AI695" s="447"/>
      <c r="AJ695" s="447"/>
      <c r="AK695" s="447"/>
      <c r="AL695" s="447"/>
      <c r="AM695" s="447"/>
      <c r="AN695" s="447"/>
      <c r="AO695" s="447"/>
      <c r="AP695" s="447"/>
      <c r="AQ695" s="447"/>
      <c r="AR695" s="447"/>
      <c r="AS695" s="447"/>
      <c r="AT695" s="447"/>
      <c r="AU695" s="447"/>
      <c r="AV695" s="447"/>
      <c r="AW695" s="447"/>
      <c r="AX695" s="447"/>
      <c r="AY695" s="447"/>
      <c r="AZ695" s="447"/>
      <c r="BA695" s="448" t="s">
        <v>51</v>
      </c>
      <c r="BB695" s="448" t="s">
        <v>51</v>
      </c>
      <c r="BC695" s="447"/>
      <c r="BD695" s="448" t="s">
        <v>694</v>
      </c>
      <c r="BE695" s="447">
        <v>560</v>
      </c>
    </row>
    <row r="696" spans="1:57" ht="30" customHeight="1">
      <c r="A696" s="443" t="s">
        <v>185</v>
      </c>
      <c r="B696" s="443" t="s">
        <v>188</v>
      </c>
      <c r="C696" s="443" t="s">
        <v>59</v>
      </c>
      <c r="D696" s="1133">
        <v>117.74</v>
      </c>
      <c r="E696" s="445">
        <f>'2층전시실산출 '!H191</f>
        <v>117.74</v>
      </c>
      <c r="F696" s="1147">
        <v>5162</v>
      </c>
      <c r="G696" s="1147">
        <v>607773.88</v>
      </c>
      <c r="H696" s="450">
        <f>TRUNC(일위대가목록!F35,0)</f>
        <v>5667</v>
      </c>
      <c r="I696" s="450">
        <f>E696*H696</f>
        <v>667232.57999999996</v>
      </c>
      <c r="J696" s="1147">
        <v>14470</v>
      </c>
      <c r="K696" s="1147">
        <v>1703697.7999999998</v>
      </c>
      <c r="L696" s="450">
        <f>TRUNC(일위대가목록!H35,0)</f>
        <v>16860</v>
      </c>
      <c r="M696" s="450">
        <f>E696*L696</f>
        <v>1985096.4</v>
      </c>
      <c r="N696" s="1147">
        <v>0</v>
      </c>
      <c r="O696" s="1147">
        <v>0</v>
      </c>
      <c r="P696" s="450">
        <f>TRUNC(일위대가목록!J35,0)</f>
        <v>0</v>
      </c>
      <c r="Q696" s="450">
        <f>TRUNC(P696*E696, 0)</f>
        <v>0</v>
      </c>
      <c r="R696" s="1147">
        <v>19632</v>
      </c>
      <c r="S696" s="1147">
        <v>2311471</v>
      </c>
      <c r="T696" s="450">
        <f t="shared" si="86"/>
        <v>22527</v>
      </c>
      <c r="U696" s="450">
        <f t="shared" si="86"/>
        <v>2652328</v>
      </c>
      <c r="V696" s="454" t="str">
        <f>일위대가목록!M35</f>
        <v>호표 32</v>
      </c>
      <c r="W696" s="448" t="s">
        <v>181</v>
      </c>
      <c r="X696" s="448" t="s">
        <v>51</v>
      </c>
      <c r="Y696" s="448" t="s">
        <v>51</v>
      </c>
      <c r="Z696" s="448" t="s">
        <v>691</v>
      </c>
      <c r="AA696" s="448" t="s">
        <v>61</v>
      </c>
      <c r="AB696" s="448" t="s">
        <v>62</v>
      </c>
      <c r="AC696" s="448" t="s">
        <v>62</v>
      </c>
      <c r="AD696" s="447"/>
      <c r="AE696" s="447"/>
      <c r="AF696" s="447"/>
      <c r="AG696" s="447"/>
      <c r="AH696" s="447"/>
      <c r="AI696" s="447"/>
      <c r="AJ696" s="447"/>
      <c r="AK696" s="447"/>
      <c r="AL696" s="447"/>
      <c r="AM696" s="447"/>
      <c r="AN696" s="447"/>
      <c r="AO696" s="447"/>
      <c r="AP696" s="447"/>
      <c r="AQ696" s="447"/>
      <c r="AR696" s="447"/>
      <c r="AS696" s="447"/>
      <c r="AT696" s="447"/>
      <c r="AU696" s="447"/>
      <c r="AV696" s="447"/>
      <c r="AW696" s="447"/>
      <c r="AX696" s="447"/>
      <c r="AY696" s="447"/>
      <c r="AZ696" s="447"/>
      <c r="BA696" s="448" t="s">
        <v>51</v>
      </c>
      <c r="BB696" s="448" t="s">
        <v>51</v>
      </c>
      <c r="BC696" s="447"/>
      <c r="BD696" s="448" t="s">
        <v>695</v>
      </c>
      <c r="BE696" s="447">
        <v>561</v>
      </c>
    </row>
    <row r="697" spans="1:57" ht="30" customHeight="1">
      <c r="A697" s="443" t="s">
        <v>182</v>
      </c>
      <c r="B697" s="443" t="s">
        <v>191</v>
      </c>
      <c r="C697" s="443" t="s">
        <v>59</v>
      </c>
      <c r="D697" s="1133">
        <v>118.44999999999999</v>
      </c>
      <c r="E697" s="445">
        <f>'2층전시실산출 '!H192</f>
        <v>118.44999999999999</v>
      </c>
      <c r="F697" s="1147">
        <v>9392</v>
      </c>
      <c r="G697" s="1147">
        <v>1112482.3999999999</v>
      </c>
      <c r="H697" s="450">
        <f>TRUNC(일위대가목록!F36,0)</f>
        <v>7618</v>
      </c>
      <c r="I697" s="450">
        <f>E697*H697</f>
        <v>902352.09999999986</v>
      </c>
      <c r="J697" s="1147">
        <v>14470</v>
      </c>
      <c r="K697" s="1147">
        <v>1713971.4999999998</v>
      </c>
      <c r="L697" s="450">
        <f>TRUNC(일위대가목록!H36,0)</f>
        <v>16860</v>
      </c>
      <c r="M697" s="450">
        <f>E697*L697</f>
        <v>1997066.9999999998</v>
      </c>
      <c r="N697" s="1147">
        <v>0</v>
      </c>
      <c r="O697" s="1147">
        <v>0</v>
      </c>
      <c r="P697" s="450">
        <f>TRUNC(일위대가목록!J36,0)</f>
        <v>0</v>
      </c>
      <c r="Q697" s="450">
        <f>TRUNC(P697*E697, 0)</f>
        <v>0</v>
      </c>
      <c r="R697" s="1147">
        <v>23862</v>
      </c>
      <c r="S697" s="1147">
        <v>2826453</v>
      </c>
      <c r="T697" s="450">
        <f t="shared" si="86"/>
        <v>24478</v>
      </c>
      <c r="U697" s="450">
        <f t="shared" si="86"/>
        <v>2899419</v>
      </c>
      <c r="V697" s="454" t="str">
        <f>일위대가목록!M36</f>
        <v>호표 33</v>
      </c>
      <c r="W697" s="448" t="s">
        <v>220</v>
      </c>
      <c r="X697" s="448" t="s">
        <v>51</v>
      </c>
      <c r="Y697" s="448" t="s">
        <v>51</v>
      </c>
      <c r="Z697" s="448" t="s">
        <v>691</v>
      </c>
      <c r="AA697" s="448" t="s">
        <v>61</v>
      </c>
      <c r="AB697" s="448" t="s">
        <v>62</v>
      </c>
      <c r="AC697" s="448" t="s">
        <v>62</v>
      </c>
      <c r="AD697" s="447"/>
      <c r="AE697" s="447"/>
      <c r="AF697" s="447"/>
      <c r="AG697" s="447"/>
      <c r="AH697" s="447"/>
      <c r="AI697" s="447"/>
      <c r="AJ697" s="447"/>
      <c r="AK697" s="447"/>
      <c r="AL697" s="447"/>
      <c r="AM697" s="447"/>
      <c r="AN697" s="447"/>
      <c r="AO697" s="447"/>
      <c r="AP697" s="447"/>
      <c r="AQ697" s="447"/>
      <c r="AR697" s="447"/>
      <c r="AS697" s="447"/>
      <c r="AT697" s="447"/>
      <c r="AU697" s="447"/>
      <c r="AV697" s="447"/>
      <c r="AW697" s="447"/>
      <c r="AX697" s="447"/>
      <c r="AY697" s="447"/>
      <c r="AZ697" s="447"/>
      <c r="BA697" s="448" t="s">
        <v>51</v>
      </c>
      <c r="BB697" s="448" t="s">
        <v>51</v>
      </c>
      <c r="BC697" s="447"/>
      <c r="BD697" s="448" t="s">
        <v>696</v>
      </c>
      <c r="BE697" s="447">
        <v>562</v>
      </c>
    </row>
    <row r="698" spans="1:57" ht="30" customHeight="1">
      <c r="A698" s="443" t="s">
        <v>218</v>
      </c>
      <c r="B698" s="443" t="s">
        <v>219</v>
      </c>
      <c r="C698" s="443" t="s">
        <v>59</v>
      </c>
      <c r="D698" s="1133">
        <v>236.19000000000003</v>
      </c>
      <c r="E698" s="445">
        <f>'2층전시실산출 '!H193</f>
        <v>236.19000000000003</v>
      </c>
      <c r="F698" s="1147">
        <v>1908</v>
      </c>
      <c r="G698" s="1147">
        <v>450650.52000000008</v>
      </c>
      <c r="H698" s="450">
        <f>TRUNC(일위대가목록!F43,0)</f>
        <v>1800</v>
      </c>
      <c r="I698" s="450">
        <f>E698*H698</f>
        <v>425142.00000000006</v>
      </c>
      <c r="J698" s="1147">
        <v>7912</v>
      </c>
      <c r="K698" s="1147">
        <v>1868735.2800000003</v>
      </c>
      <c r="L698" s="450">
        <f>TRUNC(일위대가목록!H43,0)</f>
        <v>3300</v>
      </c>
      <c r="M698" s="450">
        <f>E698*L698</f>
        <v>779427.00000000012</v>
      </c>
      <c r="N698" s="1147">
        <v>0</v>
      </c>
      <c r="O698" s="1147">
        <v>0</v>
      </c>
      <c r="P698" s="450">
        <f>TRUNC(일위대가목록!J43,0)</f>
        <v>0</v>
      </c>
      <c r="Q698" s="450">
        <f>TRUNC(P698*E698, 0)</f>
        <v>0</v>
      </c>
      <c r="R698" s="1147">
        <v>9820</v>
      </c>
      <c r="S698" s="1147">
        <v>2319385</v>
      </c>
      <c r="T698" s="450">
        <f t="shared" si="86"/>
        <v>5100</v>
      </c>
      <c r="U698" s="450">
        <f t="shared" si="86"/>
        <v>1204569</v>
      </c>
      <c r="V698" s="454" t="str">
        <f>일위대가목록!M43</f>
        <v>호표 40</v>
      </c>
    </row>
    <row r="699" spans="1:57" ht="30" customHeight="1">
      <c r="A699" s="157" t="s">
        <v>222</v>
      </c>
      <c r="B699" s="157" t="s">
        <v>6823</v>
      </c>
      <c r="C699" s="157" t="s">
        <v>59</v>
      </c>
      <c r="D699" s="1209">
        <v>236.19000000000003</v>
      </c>
      <c r="E699" s="1210">
        <f>'2층전시실산출 '!H194</f>
        <v>236.19000000000003</v>
      </c>
      <c r="F699" s="1211">
        <v>2312</v>
      </c>
      <c r="G699" s="1211">
        <v>546071.28</v>
      </c>
      <c r="H699" s="1212">
        <f>TRUNC(일위대가목록!F44,0)</f>
        <v>2097</v>
      </c>
      <c r="I699" s="1212">
        <f>E699*H699</f>
        <v>495290.43000000005</v>
      </c>
      <c r="J699" s="1211">
        <v>10764</v>
      </c>
      <c r="K699" s="1211">
        <v>2542349.16</v>
      </c>
      <c r="L699" s="1212">
        <f>TRUNC(일위대가목록!H44,0)</f>
        <v>5053</v>
      </c>
      <c r="M699" s="1212">
        <f>E699*L699</f>
        <v>1193468.07</v>
      </c>
      <c r="N699" s="1211">
        <v>0</v>
      </c>
      <c r="O699" s="1211">
        <v>0</v>
      </c>
      <c r="P699" s="1212">
        <f>TRUNC(일위대가목록!J44,0)</f>
        <v>0</v>
      </c>
      <c r="Q699" s="1212">
        <f>TRUNC(P699*E699, 0)</f>
        <v>0</v>
      </c>
      <c r="R699" s="1211">
        <v>13076</v>
      </c>
      <c r="S699" s="1211">
        <v>3088420</v>
      </c>
      <c r="T699" s="1212">
        <f t="shared" si="86"/>
        <v>7150</v>
      </c>
      <c r="U699" s="1212">
        <f t="shared" si="86"/>
        <v>1688758</v>
      </c>
      <c r="V699" s="1213" t="str">
        <f>일위대가목록!M44</f>
        <v>호표 41</v>
      </c>
    </row>
    <row r="700" spans="1:57" ht="30" customHeight="1">
      <c r="A700" s="443"/>
      <c r="B700" s="443"/>
      <c r="C700" s="443"/>
      <c r="D700" s="1133"/>
      <c r="E700" s="445"/>
      <c r="F700" s="1147"/>
      <c r="G700" s="1147"/>
      <c r="H700" s="450"/>
      <c r="I700" s="450"/>
      <c r="J700" s="1147"/>
      <c r="K700" s="1147"/>
      <c r="L700" s="450"/>
      <c r="M700" s="450"/>
      <c r="N700" s="1147"/>
      <c r="O700" s="1147"/>
      <c r="P700" s="450"/>
      <c r="Q700" s="450"/>
      <c r="R700" s="1147"/>
      <c r="S700" s="1147"/>
      <c r="T700" s="450"/>
      <c r="U700" s="450"/>
      <c r="V700" s="454"/>
      <c r="W700" s="448"/>
      <c r="X700" s="448"/>
      <c r="Y700" s="448"/>
      <c r="Z700" s="448"/>
      <c r="AA700" s="448"/>
      <c r="AB700" s="448"/>
      <c r="AC700" s="448"/>
      <c r="AD700" s="447"/>
      <c r="AE700" s="447"/>
      <c r="AF700" s="447"/>
      <c r="AG700" s="447"/>
      <c r="AH700" s="447"/>
      <c r="AI700" s="447"/>
      <c r="AJ700" s="447"/>
      <c r="AK700" s="447"/>
      <c r="AL700" s="447"/>
      <c r="AM700" s="447"/>
      <c r="AN700" s="447"/>
      <c r="AO700" s="447"/>
      <c r="AP700" s="447"/>
      <c r="AQ700" s="447"/>
      <c r="AR700" s="447"/>
      <c r="AS700" s="447"/>
      <c r="AT700" s="447"/>
      <c r="AU700" s="447"/>
      <c r="AV700" s="447"/>
      <c r="AW700" s="447"/>
      <c r="AX700" s="447"/>
      <c r="AY700" s="447"/>
      <c r="AZ700" s="447"/>
      <c r="BA700" s="448"/>
      <c r="BB700" s="448"/>
      <c r="BC700" s="447"/>
      <c r="BD700" s="448"/>
      <c r="BE700" s="447"/>
    </row>
    <row r="701" spans="1:57" ht="30" customHeight="1">
      <c r="A701" s="444"/>
      <c r="B701" s="444"/>
      <c r="C701" s="444"/>
      <c r="D701" s="1133"/>
      <c r="E701" s="445"/>
      <c r="F701" s="1146"/>
      <c r="G701" s="1146"/>
      <c r="H701" s="444"/>
      <c r="I701" s="444"/>
      <c r="J701" s="1146"/>
      <c r="K701" s="1146"/>
      <c r="L701" s="444"/>
      <c r="M701" s="444"/>
      <c r="N701" s="1146"/>
      <c r="O701" s="1146"/>
      <c r="P701" s="444"/>
      <c r="Q701" s="444"/>
      <c r="R701" s="1146"/>
      <c r="S701" s="1146"/>
      <c r="T701" s="444"/>
      <c r="U701" s="444"/>
      <c r="V701" s="446"/>
    </row>
    <row r="702" spans="1:57" ht="30" customHeight="1">
      <c r="A702" s="444"/>
      <c r="B702" s="444"/>
      <c r="C702" s="444"/>
      <c r="D702" s="1133"/>
      <c r="E702" s="445"/>
      <c r="F702" s="1146"/>
      <c r="G702" s="1146"/>
      <c r="H702" s="444"/>
      <c r="I702" s="444"/>
      <c r="J702" s="1146"/>
      <c r="K702" s="1146"/>
      <c r="L702" s="444"/>
      <c r="M702" s="444"/>
      <c r="N702" s="1146"/>
      <c r="O702" s="1146"/>
      <c r="P702" s="444"/>
      <c r="Q702" s="444"/>
      <c r="R702" s="1146"/>
      <c r="S702" s="1146"/>
      <c r="T702" s="444"/>
      <c r="U702" s="444"/>
      <c r="V702" s="446"/>
    </row>
    <row r="703" spans="1:57" ht="30" customHeight="1">
      <c r="A703" s="444"/>
      <c r="B703" s="444"/>
      <c r="C703" s="444"/>
      <c r="D703" s="1133"/>
      <c r="E703" s="445"/>
      <c r="F703" s="1146"/>
      <c r="G703" s="1146"/>
      <c r="H703" s="444"/>
      <c r="I703" s="444"/>
      <c r="J703" s="1146"/>
      <c r="K703" s="1146"/>
      <c r="L703" s="444"/>
      <c r="M703" s="444"/>
      <c r="N703" s="1146"/>
      <c r="O703" s="1146"/>
      <c r="P703" s="444"/>
      <c r="Q703" s="444"/>
      <c r="R703" s="1146"/>
      <c r="S703" s="1146"/>
      <c r="T703" s="444"/>
      <c r="U703" s="444"/>
      <c r="V703" s="446"/>
    </row>
    <row r="704" spans="1:57" ht="30" customHeight="1">
      <c r="A704" s="444"/>
      <c r="B704" s="444"/>
      <c r="C704" s="444"/>
      <c r="D704" s="1133"/>
      <c r="E704" s="445"/>
      <c r="F704" s="1146"/>
      <c r="G704" s="1146"/>
      <c r="H704" s="444"/>
      <c r="I704" s="444"/>
      <c r="J704" s="1146"/>
      <c r="K704" s="1146"/>
      <c r="L704" s="444"/>
      <c r="M704" s="444"/>
      <c r="N704" s="1146"/>
      <c r="O704" s="1146"/>
      <c r="P704" s="444"/>
      <c r="Q704" s="444"/>
      <c r="R704" s="1146"/>
      <c r="S704" s="1146"/>
      <c r="T704" s="444"/>
      <c r="U704" s="444"/>
      <c r="V704" s="446"/>
    </row>
    <row r="705" spans="1:57" ht="30" customHeight="1">
      <c r="A705" s="444"/>
      <c r="B705" s="444"/>
      <c r="C705" s="444"/>
      <c r="D705" s="1133"/>
      <c r="E705" s="445"/>
      <c r="F705" s="1146"/>
      <c r="G705" s="1146"/>
      <c r="H705" s="444"/>
      <c r="I705" s="444"/>
      <c r="J705" s="1146"/>
      <c r="K705" s="1146"/>
      <c r="L705" s="444"/>
      <c r="M705" s="444"/>
      <c r="N705" s="1146"/>
      <c r="O705" s="1146"/>
      <c r="P705" s="444"/>
      <c r="Q705" s="444"/>
      <c r="R705" s="1146"/>
      <c r="S705" s="1146"/>
      <c r="T705" s="444"/>
      <c r="U705" s="444"/>
      <c r="V705" s="446"/>
    </row>
    <row r="706" spans="1:57" ht="30" customHeight="1">
      <c r="A706" s="444"/>
      <c r="B706" s="444"/>
      <c r="C706" s="444"/>
      <c r="D706" s="1133"/>
      <c r="E706" s="445"/>
      <c r="F706" s="1146"/>
      <c r="G706" s="1146"/>
      <c r="H706" s="444"/>
      <c r="I706" s="444"/>
      <c r="J706" s="1146"/>
      <c r="K706" s="1146"/>
      <c r="L706" s="444"/>
      <c r="M706" s="444"/>
      <c r="N706" s="1146"/>
      <c r="O706" s="1146"/>
      <c r="P706" s="444"/>
      <c r="Q706" s="444"/>
      <c r="R706" s="1146"/>
      <c r="S706" s="1146"/>
      <c r="T706" s="444"/>
      <c r="U706" s="444"/>
      <c r="V706" s="446"/>
    </row>
    <row r="707" spans="1:57" ht="30" customHeight="1">
      <c r="A707" s="444"/>
      <c r="B707" s="444"/>
      <c r="C707" s="444"/>
      <c r="D707" s="1133"/>
      <c r="E707" s="445"/>
      <c r="F707" s="1146"/>
      <c r="G707" s="1146"/>
      <c r="H707" s="444"/>
      <c r="I707" s="444"/>
      <c r="J707" s="1146"/>
      <c r="K707" s="1146"/>
      <c r="L707" s="444"/>
      <c r="M707" s="444"/>
      <c r="N707" s="1146"/>
      <c r="O707" s="1146"/>
      <c r="P707" s="444"/>
      <c r="Q707" s="444"/>
      <c r="R707" s="1146"/>
      <c r="S707" s="1146"/>
      <c r="T707" s="444"/>
      <c r="U707" s="444"/>
      <c r="V707" s="446"/>
    </row>
    <row r="708" spans="1:57" ht="30" customHeight="1">
      <c r="A708" s="444"/>
      <c r="B708" s="444"/>
      <c r="C708" s="444"/>
      <c r="D708" s="1133"/>
      <c r="E708" s="445"/>
      <c r="F708" s="1146"/>
      <c r="G708" s="1146"/>
      <c r="H708" s="444"/>
      <c r="I708" s="444"/>
      <c r="J708" s="1146"/>
      <c r="K708" s="1146"/>
      <c r="L708" s="444"/>
      <c r="M708" s="444"/>
      <c r="N708" s="1146"/>
      <c r="O708" s="1146"/>
      <c r="P708" s="444"/>
      <c r="Q708" s="444"/>
      <c r="R708" s="1146"/>
      <c r="S708" s="1146"/>
      <c r="T708" s="444"/>
      <c r="U708" s="444"/>
      <c r="V708" s="446"/>
    </row>
    <row r="709" spans="1:57" ht="30" customHeight="1">
      <c r="A709" s="444"/>
      <c r="B709" s="444"/>
      <c r="C709" s="444"/>
      <c r="D709" s="1133"/>
      <c r="E709" s="445"/>
      <c r="F709" s="1146"/>
      <c r="G709" s="1146"/>
      <c r="H709" s="444"/>
      <c r="I709" s="444"/>
      <c r="J709" s="1146"/>
      <c r="K709" s="1146"/>
      <c r="L709" s="444"/>
      <c r="M709" s="444"/>
      <c r="N709" s="1146"/>
      <c r="O709" s="1146"/>
      <c r="P709" s="444"/>
      <c r="Q709" s="444"/>
      <c r="R709" s="1146"/>
      <c r="S709" s="1146"/>
      <c r="T709" s="444"/>
      <c r="U709" s="444"/>
      <c r="V709" s="446"/>
    </row>
    <row r="710" spans="1:57" ht="30" customHeight="1">
      <c r="A710" s="444"/>
      <c r="B710" s="444"/>
      <c r="C710" s="444"/>
      <c r="D710" s="1133"/>
      <c r="E710" s="445"/>
      <c r="F710" s="1146"/>
      <c r="G710" s="1146"/>
      <c r="H710" s="444"/>
      <c r="I710" s="444"/>
      <c r="J710" s="1146"/>
      <c r="K710" s="1146"/>
      <c r="L710" s="444"/>
      <c r="M710" s="444"/>
      <c r="N710" s="1146"/>
      <c r="O710" s="1146"/>
      <c r="P710" s="444"/>
      <c r="Q710" s="444"/>
      <c r="R710" s="1146"/>
      <c r="S710" s="1146"/>
      <c r="T710" s="444"/>
      <c r="U710" s="444"/>
      <c r="V710" s="446"/>
    </row>
    <row r="711" spans="1:57" ht="30" customHeight="1">
      <c r="A711" s="444"/>
      <c r="B711" s="444"/>
      <c r="C711" s="444"/>
      <c r="D711" s="1133"/>
      <c r="E711" s="445"/>
      <c r="F711" s="1146"/>
      <c r="G711" s="1146"/>
      <c r="H711" s="444"/>
      <c r="I711" s="444"/>
      <c r="J711" s="1146"/>
      <c r="K711" s="1146"/>
      <c r="L711" s="444"/>
      <c r="M711" s="444"/>
      <c r="N711" s="1146"/>
      <c r="O711" s="1146"/>
      <c r="P711" s="444"/>
      <c r="Q711" s="444"/>
      <c r="R711" s="1146"/>
      <c r="S711" s="1146"/>
      <c r="T711" s="444"/>
      <c r="U711" s="444"/>
      <c r="V711" s="446"/>
    </row>
    <row r="712" spans="1:57" ht="30" customHeight="1">
      <c r="A712" s="444"/>
      <c r="B712" s="444"/>
      <c r="C712" s="444"/>
      <c r="D712" s="1133"/>
      <c r="E712" s="445"/>
      <c r="F712" s="1146"/>
      <c r="G712" s="1146"/>
      <c r="H712" s="444"/>
      <c r="I712" s="444"/>
      <c r="J712" s="1146"/>
      <c r="K712" s="1146"/>
      <c r="L712" s="444"/>
      <c r="M712" s="444"/>
      <c r="N712" s="1146"/>
      <c r="O712" s="1146"/>
      <c r="P712" s="444"/>
      <c r="Q712" s="444"/>
      <c r="R712" s="1146"/>
      <c r="S712" s="1146"/>
      <c r="T712" s="444"/>
      <c r="U712" s="444"/>
      <c r="V712" s="446"/>
    </row>
    <row r="713" spans="1:57" ht="30" customHeight="1">
      <c r="A713" s="444"/>
      <c r="B713" s="444"/>
      <c r="C713" s="444"/>
      <c r="D713" s="1133"/>
      <c r="E713" s="445"/>
      <c r="F713" s="1146"/>
      <c r="G713" s="1146"/>
      <c r="H713" s="444"/>
      <c r="I713" s="444"/>
      <c r="J713" s="1146"/>
      <c r="K713" s="1146"/>
      <c r="L713" s="444"/>
      <c r="M713" s="444"/>
      <c r="N713" s="1146"/>
      <c r="O713" s="1146"/>
      <c r="P713" s="444"/>
      <c r="Q713" s="444"/>
      <c r="R713" s="1146"/>
      <c r="S713" s="1146"/>
      <c r="T713" s="444"/>
      <c r="U713" s="444"/>
      <c r="V713" s="446"/>
    </row>
    <row r="714" spans="1:57" ht="30" customHeight="1">
      <c r="A714" s="444"/>
      <c r="B714" s="444"/>
      <c r="C714" s="444"/>
      <c r="D714" s="1133"/>
      <c r="E714" s="445"/>
      <c r="F714" s="1146"/>
      <c r="G714" s="1146"/>
      <c r="H714" s="444"/>
      <c r="I714" s="444"/>
      <c r="J714" s="1146"/>
      <c r="K714" s="1146"/>
      <c r="L714" s="444"/>
      <c r="M714" s="444"/>
      <c r="N714" s="1146"/>
      <c r="O714" s="1146"/>
      <c r="P714" s="444"/>
      <c r="Q714" s="444"/>
      <c r="R714" s="1146"/>
      <c r="S714" s="1146"/>
      <c r="T714" s="444"/>
      <c r="U714" s="444"/>
      <c r="V714" s="446"/>
    </row>
    <row r="715" spans="1:57" ht="30" customHeight="1">
      <c r="A715" s="444"/>
      <c r="B715" s="444"/>
      <c r="C715" s="444"/>
      <c r="D715" s="1133"/>
      <c r="E715" s="445"/>
      <c r="F715" s="1146"/>
      <c r="G715" s="1146"/>
      <c r="H715" s="444"/>
      <c r="I715" s="444"/>
      <c r="J715" s="1146"/>
      <c r="K715" s="1146"/>
      <c r="L715" s="444"/>
      <c r="M715" s="444"/>
      <c r="N715" s="1146"/>
      <c r="O715" s="1146"/>
      <c r="P715" s="444"/>
      <c r="Q715" s="444"/>
      <c r="R715" s="1146"/>
      <c r="S715" s="1146"/>
      <c r="T715" s="444"/>
      <c r="U715" s="444"/>
      <c r="V715" s="446"/>
      <c r="W715" s="447"/>
      <c r="X715" s="447"/>
      <c r="Y715" s="447"/>
      <c r="Z715" s="448" t="s">
        <v>697</v>
      </c>
      <c r="AA715" s="447"/>
      <c r="AB715" s="447"/>
      <c r="AC715" s="447"/>
      <c r="AD715" s="447"/>
      <c r="AE715" s="447"/>
      <c r="AF715" s="447"/>
      <c r="AG715" s="447"/>
      <c r="AH715" s="447"/>
      <c r="AI715" s="447"/>
      <c r="AJ715" s="447"/>
      <c r="AK715" s="447"/>
      <c r="AL715" s="447"/>
      <c r="AM715" s="447"/>
      <c r="AN715" s="447"/>
      <c r="AO715" s="447"/>
      <c r="AP715" s="447"/>
      <c r="AQ715" s="447"/>
      <c r="AR715" s="447"/>
      <c r="AS715" s="447"/>
      <c r="AT715" s="447"/>
      <c r="AU715" s="447"/>
      <c r="AV715" s="447"/>
      <c r="AW715" s="447"/>
      <c r="AX715" s="447"/>
      <c r="AY715" s="447"/>
      <c r="AZ715" s="447"/>
      <c r="BA715" s="447"/>
      <c r="BB715" s="447"/>
      <c r="BC715" s="447"/>
      <c r="BD715" s="447"/>
      <c r="BE715" s="447"/>
    </row>
    <row r="716" spans="1:57" ht="30" customHeight="1">
      <c r="A716" s="443" t="s">
        <v>85</v>
      </c>
      <c r="B716" s="444"/>
      <c r="C716" s="444"/>
      <c r="D716" s="1133"/>
      <c r="E716" s="445"/>
      <c r="F716" s="1146"/>
      <c r="G716" s="1147">
        <v>4046413.33</v>
      </c>
      <c r="H716" s="444"/>
      <c r="I716" s="450">
        <f>SUM(I695:I715)</f>
        <v>3819452.36</v>
      </c>
      <c r="J716" s="1146"/>
      <c r="K716" s="1147">
        <v>11216501.74</v>
      </c>
      <c r="L716" s="444"/>
      <c r="M716" s="450">
        <f>SUM(M695:M715)</f>
        <v>9342806.4700000007</v>
      </c>
      <c r="N716" s="1146"/>
      <c r="O716" s="1147">
        <v>0</v>
      </c>
      <c r="P716" s="444"/>
      <c r="Q716" s="450">
        <f>SUM(Q695:Q715)</f>
        <v>0</v>
      </c>
      <c r="R716" s="1146"/>
      <c r="S716" s="1147">
        <v>15262912</v>
      </c>
      <c r="T716" s="444"/>
      <c r="U716" s="450">
        <f>SUM(U695:U715)</f>
        <v>13162257</v>
      </c>
      <c r="V716" s="446"/>
      <c r="W716" s="448" t="s">
        <v>238</v>
      </c>
      <c r="X716" s="448" t="s">
        <v>51</v>
      </c>
      <c r="Y716" s="448" t="s">
        <v>51</v>
      </c>
      <c r="Z716" s="448" t="s">
        <v>697</v>
      </c>
      <c r="AA716" s="448" t="s">
        <v>61</v>
      </c>
      <c r="AB716" s="448" t="s">
        <v>62</v>
      </c>
      <c r="AC716" s="448" t="s">
        <v>62</v>
      </c>
      <c r="AD716" s="447"/>
      <c r="AE716" s="447"/>
      <c r="AF716" s="447"/>
      <c r="AG716" s="447"/>
      <c r="AH716" s="447"/>
      <c r="AI716" s="447"/>
      <c r="AJ716" s="447"/>
      <c r="AK716" s="447"/>
      <c r="AL716" s="447"/>
      <c r="AM716" s="447"/>
      <c r="AN716" s="447"/>
      <c r="AO716" s="447"/>
      <c r="AP716" s="447"/>
      <c r="AQ716" s="447"/>
      <c r="AR716" s="447"/>
      <c r="AS716" s="447"/>
      <c r="AT716" s="447"/>
      <c r="AU716" s="447"/>
      <c r="AV716" s="447"/>
      <c r="AW716" s="447"/>
      <c r="AX716" s="447"/>
      <c r="AY716" s="447"/>
      <c r="AZ716" s="447"/>
      <c r="BA716" s="448" t="s">
        <v>51</v>
      </c>
      <c r="BB716" s="448" t="s">
        <v>51</v>
      </c>
      <c r="BC716" s="447"/>
      <c r="BD716" s="448" t="s">
        <v>698</v>
      </c>
      <c r="BE716" s="447">
        <v>565</v>
      </c>
    </row>
    <row r="717" spans="1:57" ht="30" customHeight="1">
      <c r="A717" s="443" t="s">
        <v>4773</v>
      </c>
      <c r="B717" s="444"/>
      <c r="C717" s="444"/>
      <c r="D717" s="1133"/>
      <c r="E717" s="445"/>
      <c r="F717" s="1146"/>
      <c r="G717" s="1146"/>
      <c r="H717" s="444"/>
      <c r="I717" s="444"/>
      <c r="J717" s="1146"/>
      <c r="K717" s="1146"/>
      <c r="L717" s="444"/>
      <c r="M717" s="444"/>
      <c r="N717" s="1146"/>
      <c r="O717" s="1146"/>
      <c r="P717" s="444"/>
      <c r="Q717" s="444"/>
      <c r="R717" s="1146"/>
      <c r="S717" s="1146"/>
      <c r="T717" s="444"/>
      <c r="U717" s="444"/>
      <c r="V717" s="446"/>
      <c r="W717" s="448" t="s">
        <v>242</v>
      </c>
      <c r="X717" s="448" t="s">
        <v>51</v>
      </c>
      <c r="Y717" s="448" t="s">
        <v>51</v>
      </c>
      <c r="Z717" s="448" t="s">
        <v>697</v>
      </c>
      <c r="AA717" s="448" t="s">
        <v>61</v>
      </c>
      <c r="AB717" s="448" t="s">
        <v>62</v>
      </c>
      <c r="AC717" s="448" t="s">
        <v>62</v>
      </c>
      <c r="AD717" s="447"/>
      <c r="AE717" s="447"/>
      <c r="AF717" s="447"/>
      <c r="AG717" s="447"/>
      <c r="AH717" s="447"/>
      <c r="AI717" s="447"/>
      <c r="AJ717" s="447"/>
      <c r="AK717" s="447"/>
      <c r="AL717" s="447"/>
      <c r="AM717" s="447"/>
      <c r="AN717" s="447"/>
      <c r="AO717" s="447"/>
      <c r="AP717" s="447"/>
      <c r="AQ717" s="447"/>
      <c r="AR717" s="447"/>
      <c r="AS717" s="447"/>
      <c r="AT717" s="447"/>
      <c r="AU717" s="447"/>
      <c r="AV717" s="447"/>
      <c r="AW717" s="447"/>
      <c r="AX717" s="447"/>
      <c r="AY717" s="447"/>
      <c r="AZ717" s="447"/>
      <c r="BA717" s="448" t="s">
        <v>51</v>
      </c>
      <c r="BB717" s="448" t="s">
        <v>51</v>
      </c>
      <c r="BC717" s="447"/>
      <c r="BD717" s="448" t="s">
        <v>699</v>
      </c>
      <c r="BE717" s="447">
        <v>566</v>
      </c>
    </row>
    <row r="718" spans="1:57" ht="30" customHeight="1">
      <c r="A718" s="443" t="s">
        <v>236</v>
      </c>
      <c r="B718" s="464" t="s">
        <v>2713</v>
      </c>
      <c r="C718" s="443" t="s">
        <v>59</v>
      </c>
      <c r="D718" s="1133">
        <v>28.3</v>
      </c>
      <c r="E718" s="445">
        <f>'2층전시실산출 '!H197</f>
        <v>28.3</v>
      </c>
      <c r="F718" s="1147">
        <v>7050</v>
      </c>
      <c r="G718" s="1147">
        <v>199515</v>
      </c>
      <c r="H718" s="450">
        <f>TRUNC(일위대가목록!F48,0)</f>
        <v>7050</v>
      </c>
      <c r="I718" s="450">
        <f>E718*H718</f>
        <v>199515</v>
      </c>
      <c r="J718" s="1147">
        <v>10986</v>
      </c>
      <c r="K718" s="1147">
        <v>310903.8</v>
      </c>
      <c r="L718" s="450">
        <f>TRUNC(일위대가목록!H48,0)</f>
        <v>10986</v>
      </c>
      <c r="M718" s="450">
        <f>E718*L718</f>
        <v>310903.8</v>
      </c>
      <c r="N718" s="1147">
        <v>0</v>
      </c>
      <c r="O718" s="1147">
        <v>0</v>
      </c>
      <c r="P718" s="450">
        <f>TRUNC(일위대가목록!J48,0)</f>
        <v>0</v>
      </c>
      <c r="Q718" s="450">
        <f>TRUNC(P718*E718, 0)</f>
        <v>0</v>
      </c>
      <c r="R718" s="1147">
        <v>18036</v>
      </c>
      <c r="S718" s="1147">
        <v>510418</v>
      </c>
      <c r="T718" s="450">
        <f>TRUNC(H718+L718+P718, 0)</f>
        <v>18036</v>
      </c>
      <c r="U718" s="450">
        <f>TRUNC(I718+M718+Q718, 0)</f>
        <v>510418</v>
      </c>
      <c r="V718" s="454" t="str">
        <f>일위대가목록!M48</f>
        <v>호표 45</v>
      </c>
    </row>
    <row r="719" spans="1:57" ht="30" customHeight="1">
      <c r="A719" s="443" t="s">
        <v>240</v>
      </c>
      <c r="B719" s="443" t="s">
        <v>241</v>
      </c>
      <c r="C719" s="443" t="s">
        <v>59</v>
      </c>
      <c r="D719" s="1133">
        <v>28.3</v>
      </c>
      <c r="E719" s="445">
        <f>'2층전시실산출 '!H198</f>
        <v>28.3</v>
      </c>
      <c r="F719" s="1147">
        <v>64510</v>
      </c>
      <c r="G719" s="1147">
        <v>1825633</v>
      </c>
      <c r="H719" s="450">
        <f>TRUNC(일위대가목록!F49,0)</f>
        <v>64510</v>
      </c>
      <c r="I719" s="450">
        <f>E719*H719</f>
        <v>1825633</v>
      </c>
      <c r="J719" s="1147">
        <v>35743</v>
      </c>
      <c r="K719" s="1147">
        <v>1011526.9</v>
      </c>
      <c r="L719" s="450">
        <f>TRUNC(일위대가목록!H49,0)</f>
        <v>35743</v>
      </c>
      <c r="M719" s="450">
        <f>E719*L719</f>
        <v>1011526.9</v>
      </c>
      <c r="N719" s="1147">
        <v>0</v>
      </c>
      <c r="O719" s="1147">
        <v>0</v>
      </c>
      <c r="P719" s="450">
        <f>TRUNC(일위대가목록!J49,0)</f>
        <v>0</v>
      </c>
      <c r="Q719" s="450">
        <f>TRUNC(P719*E719, 0)</f>
        <v>0</v>
      </c>
      <c r="R719" s="1147">
        <v>100253</v>
      </c>
      <c r="S719" s="1147">
        <v>2837159</v>
      </c>
      <c r="T719" s="450">
        <f>TRUNC(H719+L719+P719, 0)</f>
        <v>100253</v>
      </c>
      <c r="U719" s="450">
        <f>TRUNC(I719+M719+Q719, 0)</f>
        <v>2837159</v>
      </c>
      <c r="V719" s="454" t="str">
        <f>일위대가목록!M49</f>
        <v>호표 46</v>
      </c>
    </row>
    <row r="720" spans="1:57" ht="30" customHeight="1">
      <c r="A720" s="444"/>
      <c r="B720" s="444"/>
      <c r="C720" s="444"/>
      <c r="D720" s="1133"/>
      <c r="E720" s="445"/>
      <c r="F720" s="1146"/>
      <c r="G720" s="1146"/>
      <c r="H720" s="444"/>
      <c r="I720" s="444"/>
      <c r="J720" s="1146"/>
      <c r="K720" s="1146"/>
      <c r="L720" s="444"/>
      <c r="M720" s="444"/>
      <c r="N720" s="1146"/>
      <c r="O720" s="1146"/>
      <c r="P720" s="444"/>
      <c r="Q720" s="444"/>
      <c r="R720" s="1146"/>
      <c r="S720" s="1146"/>
      <c r="T720" s="444"/>
      <c r="U720" s="444"/>
      <c r="V720" s="446"/>
    </row>
    <row r="721" spans="1:22" ht="30" customHeight="1">
      <c r="A721" s="444"/>
      <c r="B721" s="444"/>
      <c r="C721" s="444"/>
      <c r="D721" s="1133"/>
      <c r="E721" s="445"/>
      <c r="F721" s="1146"/>
      <c r="G721" s="1146"/>
      <c r="H721" s="444"/>
      <c r="I721" s="444"/>
      <c r="J721" s="1146"/>
      <c r="K721" s="1146"/>
      <c r="L721" s="444"/>
      <c r="M721" s="444"/>
      <c r="N721" s="1146"/>
      <c r="O721" s="1146"/>
      <c r="P721" s="444"/>
      <c r="Q721" s="444"/>
      <c r="R721" s="1146"/>
      <c r="S721" s="1146"/>
      <c r="T721" s="444"/>
      <c r="U721" s="444"/>
      <c r="V721" s="446"/>
    </row>
    <row r="722" spans="1:22" ht="30" customHeight="1">
      <c r="A722" s="444"/>
      <c r="B722" s="444"/>
      <c r="C722" s="444"/>
      <c r="D722" s="1133"/>
      <c r="E722" s="445"/>
      <c r="F722" s="1146"/>
      <c r="G722" s="1146"/>
      <c r="H722" s="444"/>
      <c r="I722" s="444"/>
      <c r="J722" s="1146"/>
      <c r="K722" s="1146"/>
      <c r="L722" s="444"/>
      <c r="M722" s="444"/>
      <c r="N722" s="1146"/>
      <c r="O722" s="1146"/>
      <c r="P722" s="444"/>
      <c r="Q722" s="444"/>
      <c r="R722" s="1146"/>
      <c r="S722" s="1146"/>
      <c r="T722" s="444"/>
      <c r="U722" s="444"/>
      <c r="V722" s="446"/>
    </row>
    <row r="723" spans="1:22" ht="30" customHeight="1">
      <c r="A723" s="444"/>
      <c r="B723" s="444"/>
      <c r="C723" s="444"/>
      <c r="D723" s="1133"/>
      <c r="E723" s="445"/>
      <c r="F723" s="1146"/>
      <c r="G723" s="1146"/>
      <c r="H723" s="444"/>
      <c r="I723" s="444"/>
      <c r="J723" s="1146"/>
      <c r="K723" s="1146"/>
      <c r="L723" s="444"/>
      <c r="M723" s="444"/>
      <c r="N723" s="1146"/>
      <c r="O723" s="1146"/>
      <c r="P723" s="444"/>
      <c r="Q723" s="444"/>
      <c r="R723" s="1146"/>
      <c r="S723" s="1146"/>
      <c r="T723" s="444"/>
      <c r="U723" s="444"/>
      <c r="V723" s="446"/>
    </row>
    <row r="724" spans="1:22" ht="30" customHeight="1">
      <c r="A724" s="444"/>
      <c r="B724" s="444"/>
      <c r="C724" s="444"/>
      <c r="D724" s="1133"/>
      <c r="E724" s="445"/>
      <c r="F724" s="1146"/>
      <c r="G724" s="1146"/>
      <c r="H724" s="444"/>
      <c r="I724" s="444"/>
      <c r="J724" s="1146"/>
      <c r="K724" s="1146"/>
      <c r="L724" s="444"/>
      <c r="M724" s="444"/>
      <c r="N724" s="1146"/>
      <c r="O724" s="1146"/>
      <c r="P724" s="444"/>
      <c r="Q724" s="444"/>
      <c r="R724" s="1146"/>
      <c r="S724" s="1146"/>
      <c r="T724" s="444"/>
      <c r="U724" s="444"/>
      <c r="V724" s="446"/>
    </row>
    <row r="725" spans="1:22" ht="30" customHeight="1">
      <c r="A725" s="444"/>
      <c r="B725" s="444"/>
      <c r="C725" s="444"/>
      <c r="D725" s="1133"/>
      <c r="E725" s="445"/>
      <c r="F725" s="1146"/>
      <c r="G725" s="1146"/>
      <c r="H725" s="444"/>
      <c r="I725" s="444"/>
      <c r="J725" s="1146"/>
      <c r="K725" s="1146"/>
      <c r="L725" s="444"/>
      <c r="M725" s="444"/>
      <c r="N725" s="1146"/>
      <c r="O725" s="1146"/>
      <c r="P725" s="444"/>
      <c r="Q725" s="444"/>
      <c r="R725" s="1146"/>
      <c r="S725" s="1146"/>
      <c r="T725" s="444"/>
      <c r="U725" s="444"/>
      <c r="V725" s="446"/>
    </row>
    <row r="726" spans="1:22" ht="30" customHeight="1">
      <c r="A726" s="444"/>
      <c r="B726" s="444"/>
      <c r="C726" s="444"/>
      <c r="D726" s="1133"/>
      <c r="E726" s="445"/>
      <c r="F726" s="1146"/>
      <c r="G726" s="1146"/>
      <c r="H726" s="444"/>
      <c r="I726" s="444"/>
      <c r="J726" s="1146"/>
      <c r="K726" s="1146"/>
      <c r="L726" s="444"/>
      <c r="M726" s="444"/>
      <c r="N726" s="1146"/>
      <c r="O726" s="1146"/>
      <c r="P726" s="444"/>
      <c r="Q726" s="444"/>
      <c r="R726" s="1146"/>
      <c r="S726" s="1146"/>
      <c r="T726" s="444"/>
      <c r="U726" s="444"/>
      <c r="V726" s="446"/>
    </row>
    <row r="727" spans="1:22" ht="30" customHeight="1">
      <c r="A727" s="444"/>
      <c r="B727" s="444"/>
      <c r="C727" s="444"/>
      <c r="D727" s="1133"/>
      <c r="E727" s="445"/>
      <c r="F727" s="1146"/>
      <c r="G727" s="1146"/>
      <c r="H727" s="444"/>
      <c r="I727" s="444"/>
      <c r="J727" s="1146"/>
      <c r="K727" s="1146"/>
      <c r="L727" s="444"/>
      <c r="M727" s="444"/>
      <c r="N727" s="1146"/>
      <c r="O727" s="1146"/>
      <c r="P727" s="444"/>
      <c r="Q727" s="444"/>
      <c r="R727" s="1146"/>
      <c r="S727" s="1146"/>
      <c r="T727" s="444"/>
      <c r="U727" s="444"/>
      <c r="V727" s="446"/>
    </row>
    <row r="728" spans="1:22" ht="30" customHeight="1">
      <c r="A728" s="444"/>
      <c r="B728" s="444"/>
      <c r="C728" s="444"/>
      <c r="D728" s="1133"/>
      <c r="E728" s="445"/>
      <c r="F728" s="1146"/>
      <c r="G728" s="1146"/>
      <c r="H728" s="444"/>
      <c r="I728" s="444"/>
      <c r="J728" s="1146"/>
      <c r="K728" s="1146"/>
      <c r="L728" s="444"/>
      <c r="M728" s="444"/>
      <c r="N728" s="1146"/>
      <c r="O728" s="1146"/>
      <c r="P728" s="444"/>
      <c r="Q728" s="444"/>
      <c r="R728" s="1146"/>
      <c r="S728" s="1146"/>
      <c r="T728" s="444"/>
      <c r="U728" s="444"/>
      <c r="V728" s="446"/>
    </row>
    <row r="729" spans="1:22" ht="30" customHeight="1">
      <c r="A729" s="444"/>
      <c r="B729" s="444"/>
      <c r="C729" s="444"/>
      <c r="D729" s="1133"/>
      <c r="E729" s="445"/>
      <c r="F729" s="1146"/>
      <c r="G729" s="1146"/>
      <c r="H729" s="444"/>
      <c r="I729" s="444"/>
      <c r="J729" s="1146"/>
      <c r="K729" s="1146"/>
      <c r="L729" s="444"/>
      <c r="M729" s="444"/>
      <c r="N729" s="1146"/>
      <c r="O729" s="1146"/>
      <c r="P729" s="444"/>
      <c r="Q729" s="444"/>
      <c r="R729" s="1146"/>
      <c r="S729" s="1146"/>
      <c r="T729" s="444"/>
      <c r="U729" s="444"/>
      <c r="V729" s="446"/>
    </row>
    <row r="730" spans="1:22" ht="30" customHeight="1">
      <c r="A730" s="444"/>
      <c r="B730" s="444"/>
      <c r="C730" s="444"/>
      <c r="D730" s="1133"/>
      <c r="E730" s="445"/>
      <c r="F730" s="1146"/>
      <c r="G730" s="1146"/>
      <c r="H730" s="444"/>
      <c r="I730" s="444"/>
      <c r="J730" s="1146"/>
      <c r="K730" s="1146"/>
      <c r="L730" s="444"/>
      <c r="M730" s="444"/>
      <c r="N730" s="1146"/>
      <c r="O730" s="1146"/>
      <c r="P730" s="444"/>
      <c r="Q730" s="444"/>
      <c r="R730" s="1146"/>
      <c r="S730" s="1146"/>
      <c r="T730" s="444"/>
      <c r="U730" s="444"/>
      <c r="V730" s="446"/>
    </row>
    <row r="731" spans="1:22" ht="30" customHeight="1">
      <c r="A731" s="444"/>
      <c r="B731" s="444"/>
      <c r="C731" s="444"/>
      <c r="D731" s="1133"/>
      <c r="E731" s="445"/>
      <c r="F731" s="1146"/>
      <c r="G731" s="1146"/>
      <c r="H731" s="444"/>
      <c r="I731" s="444"/>
      <c r="J731" s="1146"/>
      <c r="K731" s="1146"/>
      <c r="L731" s="444"/>
      <c r="M731" s="444"/>
      <c r="N731" s="1146"/>
      <c r="O731" s="1146"/>
      <c r="P731" s="444"/>
      <c r="Q731" s="444"/>
      <c r="R731" s="1146"/>
      <c r="S731" s="1146"/>
      <c r="T731" s="444"/>
      <c r="U731" s="444"/>
      <c r="V731" s="446"/>
    </row>
    <row r="732" spans="1:22" ht="30" customHeight="1">
      <c r="A732" s="444"/>
      <c r="B732" s="444"/>
      <c r="C732" s="444"/>
      <c r="D732" s="1133"/>
      <c r="E732" s="445"/>
      <c r="F732" s="1146"/>
      <c r="G732" s="1146"/>
      <c r="H732" s="444"/>
      <c r="I732" s="444"/>
      <c r="J732" s="1146"/>
      <c r="K732" s="1146"/>
      <c r="L732" s="444"/>
      <c r="M732" s="444"/>
      <c r="N732" s="1146"/>
      <c r="O732" s="1146"/>
      <c r="P732" s="444"/>
      <c r="Q732" s="444"/>
      <c r="R732" s="1146"/>
      <c r="S732" s="1146"/>
      <c r="T732" s="444"/>
      <c r="U732" s="444"/>
      <c r="V732" s="446"/>
    </row>
    <row r="733" spans="1:22" ht="30" customHeight="1">
      <c r="A733" s="444"/>
      <c r="B733" s="444"/>
      <c r="C733" s="444"/>
      <c r="D733" s="1133"/>
      <c r="E733" s="445"/>
      <c r="F733" s="1146"/>
      <c r="G733" s="1146"/>
      <c r="H733" s="444"/>
      <c r="I733" s="444"/>
      <c r="J733" s="1146"/>
      <c r="K733" s="1146"/>
      <c r="L733" s="444"/>
      <c r="M733" s="444"/>
      <c r="N733" s="1146"/>
      <c r="O733" s="1146"/>
      <c r="P733" s="444"/>
      <c r="Q733" s="444"/>
      <c r="R733" s="1146"/>
      <c r="S733" s="1146"/>
      <c r="T733" s="444"/>
      <c r="U733" s="444"/>
      <c r="V733" s="446"/>
    </row>
    <row r="734" spans="1:22" ht="30" customHeight="1">
      <c r="A734" s="444"/>
      <c r="B734" s="444"/>
      <c r="C734" s="444"/>
      <c r="D734" s="1133"/>
      <c r="E734" s="445"/>
      <c r="F734" s="1146"/>
      <c r="G734" s="1146"/>
      <c r="H734" s="444"/>
      <c r="I734" s="444"/>
      <c r="J734" s="1146"/>
      <c r="K734" s="1146"/>
      <c r="L734" s="444"/>
      <c r="M734" s="444"/>
      <c r="N734" s="1146"/>
      <c r="O734" s="1146"/>
      <c r="P734" s="444"/>
      <c r="Q734" s="444"/>
      <c r="R734" s="1146"/>
      <c r="S734" s="1146"/>
      <c r="T734" s="444"/>
      <c r="U734" s="444"/>
      <c r="V734" s="446"/>
    </row>
    <row r="735" spans="1:22" ht="30" customHeight="1">
      <c r="A735" s="444"/>
      <c r="B735" s="444"/>
      <c r="C735" s="444"/>
      <c r="D735" s="1133"/>
      <c r="E735" s="445"/>
      <c r="F735" s="1146"/>
      <c r="G735" s="1146"/>
      <c r="H735" s="444"/>
      <c r="I735" s="444"/>
      <c r="J735" s="1146"/>
      <c r="K735" s="1146"/>
      <c r="L735" s="444"/>
      <c r="M735" s="444"/>
      <c r="N735" s="1146"/>
      <c r="O735" s="1146"/>
      <c r="P735" s="444"/>
      <c r="Q735" s="444"/>
      <c r="R735" s="1146"/>
      <c r="S735" s="1146"/>
      <c r="T735" s="444"/>
      <c r="U735" s="444"/>
      <c r="V735" s="446"/>
    </row>
    <row r="736" spans="1:22" ht="30" customHeight="1">
      <c r="A736" s="444"/>
      <c r="B736" s="444"/>
      <c r="C736" s="444"/>
      <c r="D736" s="1133"/>
      <c r="E736" s="445"/>
      <c r="F736" s="1146"/>
      <c r="G736" s="1146"/>
      <c r="H736" s="444"/>
      <c r="I736" s="444"/>
      <c r="J736" s="1146"/>
      <c r="K736" s="1146"/>
      <c r="L736" s="444"/>
      <c r="M736" s="444"/>
      <c r="N736" s="1146"/>
      <c r="O736" s="1146"/>
      <c r="P736" s="444"/>
      <c r="Q736" s="444"/>
      <c r="R736" s="1146"/>
      <c r="S736" s="1146"/>
      <c r="T736" s="444"/>
      <c r="U736" s="444"/>
      <c r="V736" s="446"/>
    </row>
    <row r="737" spans="1:57" ht="30" customHeight="1">
      <c r="A737" s="444"/>
      <c r="B737" s="444"/>
      <c r="C737" s="444"/>
      <c r="D737" s="1133"/>
      <c r="E737" s="445"/>
      <c r="F737" s="1146"/>
      <c r="G737" s="1146"/>
      <c r="H737" s="444"/>
      <c r="I737" s="444"/>
      <c r="J737" s="1146"/>
      <c r="K737" s="1146"/>
      <c r="L737" s="444"/>
      <c r="M737" s="444"/>
      <c r="N737" s="1146"/>
      <c r="O737" s="1146"/>
      <c r="P737" s="444"/>
      <c r="Q737" s="444"/>
      <c r="R737" s="1146"/>
      <c r="S737" s="1146"/>
      <c r="T737" s="444"/>
      <c r="U737" s="444"/>
      <c r="V737" s="446"/>
    </row>
    <row r="738" spans="1:57" ht="30" customHeight="1">
      <c r="A738" s="444"/>
      <c r="B738" s="444"/>
      <c r="C738" s="444"/>
      <c r="D738" s="1133"/>
      <c r="E738" s="445"/>
      <c r="F738" s="1146"/>
      <c r="G738" s="1146"/>
      <c r="H738" s="444"/>
      <c r="I738" s="444"/>
      <c r="J738" s="1146"/>
      <c r="K738" s="1146"/>
      <c r="L738" s="444"/>
      <c r="M738" s="444"/>
      <c r="N738" s="1146"/>
      <c r="O738" s="1146"/>
      <c r="P738" s="444"/>
      <c r="Q738" s="444"/>
      <c r="R738" s="1146"/>
      <c r="S738" s="1146"/>
      <c r="T738" s="444"/>
      <c r="U738" s="444"/>
      <c r="V738" s="446"/>
      <c r="W738" s="459"/>
      <c r="X738" s="459"/>
      <c r="Y738" s="459"/>
      <c r="Z738" s="460" t="s">
        <v>700</v>
      </c>
      <c r="AA738" s="459"/>
      <c r="AB738" s="459"/>
      <c r="AC738" s="459"/>
      <c r="AD738" s="459"/>
      <c r="AE738" s="459"/>
      <c r="AF738" s="459"/>
      <c r="AG738" s="459"/>
      <c r="AH738" s="459"/>
      <c r="AI738" s="459"/>
      <c r="AJ738" s="459"/>
      <c r="AK738" s="459"/>
      <c r="AL738" s="459"/>
      <c r="AM738" s="459"/>
      <c r="AN738" s="459"/>
      <c r="AO738" s="459"/>
      <c r="AP738" s="459"/>
      <c r="AQ738" s="459"/>
      <c r="AR738" s="459"/>
      <c r="AS738" s="459"/>
      <c r="AT738" s="459"/>
      <c r="AU738" s="459"/>
      <c r="AV738" s="459"/>
      <c r="AW738" s="459"/>
      <c r="AX738" s="459"/>
      <c r="AY738" s="459"/>
      <c r="AZ738" s="459"/>
      <c r="BA738" s="459"/>
      <c r="BB738" s="459"/>
      <c r="BC738" s="459"/>
      <c r="BD738" s="459"/>
      <c r="BE738" s="459"/>
    </row>
    <row r="739" spans="1:57" ht="30" customHeight="1">
      <c r="A739" s="443" t="s">
        <v>85</v>
      </c>
      <c r="B739" s="444"/>
      <c r="C739" s="444"/>
      <c r="D739" s="1133"/>
      <c r="E739" s="445"/>
      <c r="F739" s="1146"/>
      <c r="G739" s="1147">
        <v>2025148</v>
      </c>
      <c r="H739" s="444"/>
      <c r="I739" s="450">
        <f>SUM(I718:I738)</f>
        <v>2025148</v>
      </c>
      <c r="J739" s="1146"/>
      <c r="K739" s="1147">
        <v>1322430.7</v>
      </c>
      <c r="L739" s="444"/>
      <c r="M739" s="450">
        <f>SUM(M718:M738)</f>
        <v>1322430.7</v>
      </c>
      <c r="N739" s="1146"/>
      <c r="O739" s="1147">
        <v>0</v>
      </c>
      <c r="P739" s="444"/>
      <c r="Q739" s="450">
        <f>SUM(Q718:Q738)</f>
        <v>0</v>
      </c>
      <c r="R739" s="1146"/>
      <c r="S739" s="1147">
        <v>3347577</v>
      </c>
      <c r="T739" s="444"/>
      <c r="U739" s="450">
        <f>SUM(U718:U738)</f>
        <v>3347577</v>
      </c>
      <c r="V739" s="446"/>
      <c r="W739" s="448" t="s">
        <v>172</v>
      </c>
      <c r="X739" s="448" t="s">
        <v>51</v>
      </c>
      <c r="Y739" s="448" t="s">
        <v>51</v>
      </c>
      <c r="Z739" s="448" t="s">
        <v>700</v>
      </c>
      <c r="AA739" s="448" t="s">
        <v>61</v>
      </c>
      <c r="AB739" s="448" t="s">
        <v>62</v>
      </c>
      <c r="AC739" s="448" t="s">
        <v>62</v>
      </c>
      <c r="AD739" s="447"/>
      <c r="AE739" s="447"/>
      <c r="AF739" s="447"/>
      <c r="AG739" s="447"/>
      <c r="AH739" s="447"/>
      <c r="AI739" s="447"/>
      <c r="AJ739" s="447"/>
      <c r="AK739" s="447"/>
      <c r="AL739" s="447"/>
      <c r="AM739" s="447"/>
      <c r="AN739" s="447"/>
      <c r="AO739" s="447"/>
      <c r="AP739" s="447"/>
      <c r="AQ739" s="447"/>
      <c r="AR739" s="447"/>
      <c r="AS739" s="447"/>
      <c r="AT739" s="447"/>
      <c r="AU739" s="447"/>
      <c r="AV739" s="447"/>
      <c r="AW739" s="447"/>
      <c r="AX739" s="447"/>
      <c r="AY739" s="447"/>
      <c r="AZ739" s="447"/>
      <c r="BA739" s="448" t="s">
        <v>51</v>
      </c>
      <c r="BB739" s="448" t="s">
        <v>51</v>
      </c>
      <c r="BC739" s="447"/>
      <c r="BD739" s="448" t="s">
        <v>701</v>
      </c>
      <c r="BE739" s="447">
        <v>568</v>
      </c>
    </row>
    <row r="740" spans="1:57" ht="30" customHeight="1">
      <c r="A740" s="455" t="s">
        <v>4774</v>
      </c>
      <c r="B740" s="456"/>
      <c r="C740" s="456"/>
      <c r="D740" s="1134"/>
      <c r="E740" s="457"/>
      <c r="F740" s="1148"/>
      <c r="G740" s="1148"/>
      <c r="H740" s="456"/>
      <c r="I740" s="456"/>
      <c r="J740" s="1148"/>
      <c r="K740" s="1148"/>
      <c r="L740" s="456"/>
      <c r="M740" s="456"/>
      <c r="N740" s="1148"/>
      <c r="O740" s="1148"/>
      <c r="P740" s="456"/>
      <c r="Q740" s="456"/>
      <c r="R740" s="1148"/>
      <c r="S740" s="1148"/>
      <c r="T740" s="456"/>
      <c r="U740" s="456"/>
      <c r="V740" s="458"/>
    </row>
    <row r="741" spans="1:57" ht="30" customHeight="1">
      <c r="A741" s="443" t="s">
        <v>170</v>
      </c>
      <c r="B741" s="443" t="s">
        <v>171</v>
      </c>
      <c r="C741" s="443" t="s">
        <v>59</v>
      </c>
      <c r="D741" s="1133">
        <v>94.77000000000001</v>
      </c>
      <c r="E741" s="445">
        <f>'2층전시실산출 '!H203</f>
        <v>94.77000000000001</v>
      </c>
      <c r="F741" s="1147">
        <v>734</v>
      </c>
      <c r="G741" s="1147">
        <v>69561.180000000008</v>
      </c>
      <c r="H741" s="450">
        <f>TRUNC(일위대가목록!F30,0)</f>
        <v>734</v>
      </c>
      <c r="I741" s="450">
        <f>E741*H741</f>
        <v>69561.180000000008</v>
      </c>
      <c r="J741" s="1147">
        <v>13975</v>
      </c>
      <c r="K741" s="1147">
        <v>1324410.7500000002</v>
      </c>
      <c r="L741" s="450">
        <f>TRUNC(일위대가목록!H30,0)</f>
        <v>1629</v>
      </c>
      <c r="M741" s="450">
        <f>E741*L741</f>
        <v>154380.33000000002</v>
      </c>
      <c r="N741" s="1147">
        <v>0</v>
      </c>
      <c r="O741" s="1147">
        <v>0</v>
      </c>
      <c r="P741" s="450">
        <f>TRUNC(일위대가목록!J30,0)</f>
        <v>122</v>
      </c>
      <c r="Q741" s="450">
        <f>TRUNC(P741*E741, 0)</f>
        <v>11561</v>
      </c>
      <c r="R741" s="1147">
        <v>14709</v>
      </c>
      <c r="S741" s="1147">
        <v>1393971</v>
      </c>
      <c r="T741" s="450">
        <f>TRUNC(H741+L741+P741, 0)</f>
        <v>2485</v>
      </c>
      <c r="U741" s="450">
        <f>TRUNC(I741+M741+Q741, 0)</f>
        <v>235502</v>
      </c>
      <c r="V741" s="454" t="str">
        <f>일위대가목록!M30</f>
        <v>호표 27</v>
      </c>
    </row>
    <row r="742" spans="1:57" ht="30" customHeight="1">
      <c r="A742" s="444"/>
      <c r="B742" s="444"/>
      <c r="C742" s="444"/>
      <c r="D742" s="1133"/>
      <c r="E742" s="445"/>
      <c r="F742" s="1146"/>
      <c r="G742" s="1146"/>
      <c r="H742" s="444"/>
      <c r="I742" s="444"/>
      <c r="J742" s="1146"/>
      <c r="K742" s="1146"/>
      <c r="L742" s="444"/>
      <c r="M742" s="444"/>
      <c r="N742" s="1146"/>
      <c r="O742" s="1146"/>
      <c r="P742" s="444"/>
      <c r="Q742" s="444"/>
      <c r="R742" s="1146"/>
      <c r="S742" s="1146"/>
      <c r="T742" s="444"/>
      <c r="U742" s="444"/>
      <c r="V742" s="446"/>
    </row>
    <row r="743" spans="1:57" ht="30" customHeight="1">
      <c r="A743" s="444"/>
      <c r="B743" s="444"/>
      <c r="C743" s="444"/>
      <c r="D743" s="1133"/>
      <c r="E743" s="445"/>
      <c r="F743" s="1146"/>
      <c r="G743" s="1146"/>
      <c r="H743" s="444"/>
      <c r="I743" s="444"/>
      <c r="J743" s="1146"/>
      <c r="K743" s="1146"/>
      <c r="L743" s="444"/>
      <c r="M743" s="444"/>
      <c r="N743" s="1146"/>
      <c r="O743" s="1146"/>
      <c r="P743" s="444"/>
      <c r="Q743" s="444"/>
      <c r="R743" s="1146"/>
      <c r="S743" s="1146"/>
      <c r="T743" s="444"/>
      <c r="U743" s="444"/>
      <c r="V743" s="446"/>
    </row>
    <row r="744" spans="1:57" ht="30" customHeight="1">
      <c r="A744" s="444"/>
      <c r="B744" s="444"/>
      <c r="C744" s="444"/>
      <c r="D744" s="1133"/>
      <c r="E744" s="445"/>
      <c r="F744" s="1146"/>
      <c r="G744" s="1146"/>
      <c r="H744" s="444"/>
      <c r="I744" s="444"/>
      <c r="J744" s="1146"/>
      <c r="K744" s="1146"/>
      <c r="L744" s="444"/>
      <c r="M744" s="444"/>
      <c r="N744" s="1146"/>
      <c r="O744" s="1146"/>
      <c r="P744" s="444"/>
      <c r="Q744" s="444"/>
      <c r="R744" s="1146"/>
      <c r="S744" s="1146"/>
      <c r="T744" s="444"/>
      <c r="U744" s="444"/>
      <c r="V744" s="446"/>
    </row>
    <row r="745" spans="1:57" ht="30" customHeight="1">
      <c r="A745" s="444"/>
      <c r="B745" s="444"/>
      <c r="C745" s="444"/>
      <c r="D745" s="1133"/>
      <c r="E745" s="445"/>
      <c r="F745" s="1146"/>
      <c r="G745" s="1146"/>
      <c r="H745" s="444"/>
      <c r="I745" s="444"/>
      <c r="J745" s="1146"/>
      <c r="K745" s="1146"/>
      <c r="L745" s="444"/>
      <c r="M745" s="444"/>
      <c r="N745" s="1146"/>
      <c r="O745" s="1146"/>
      <c r="P745" s="444"/>
      <c r="Q745" s="444"/>
      <c r="R745" s="1146"/>
      <c r="S745" s="1146"/>
      <c r="T745" s="444"/>
      <c r="U745" s="444"/>
      <c r="V745" s="446"/>
    </row>
    <row r="746" spans="1:57" ht="30" customHeight="1">
      <c r="A746" s="444"/>
      <c r="B746" s="444"/>
      <c r="C746" s="444"/>
      <c r="D746" s="1133"/>
      <c r="E746" s="445"/>
      <c r="F746" s="1146"/>
      <c r="G746" s="1146"/>
      <c r="H746" s="444"/>
      <c r="I746" s="444"/>
      <c r="J746" s="1146"/>
      <c r="K746" s="1146"/>
      <c r="L746" s="444"/>
      <c r="M746" s="444"/>
      <c r="N746" s="1146"/>
      <c r="O746" s="1146"/>
      <c r="P746" s="444"/>
      <c r="Q746" s="444"/>
      <c r="R746" s="1146"/>
      <c r="S746" s="1146"/>
      <c r="T746" s="444"/>
      <c r="U746" s="444"/>
      <c r="V746" s="446"/>
    </row>
    <row r="747" spans="1:57" ht="30" customHeight="1">
      <c r="A747" s="444"/>
      <c r="B747" s="444"/>
      <c r="C747" s="444"/>
      <c r="D747" s="1133"/>
      <c r="E747" s="445"/>
      <c r="F747" s="1146"/>
      <c r="G747" s="1146"/>
      <c r="H747" s="444"/>
      <c r="I747" s="444"/>
      <c r="J747" s="1146"/>
      <c r="K747" s="1146"/>
      <c r="L747" s="444"/>
      <c r="M747" s="444"/>
      <c r="N747" s="1146"/>
      <c r="O747" s="1146"/>
      <c r="P747" s="444"/>
      <c r="Q747" s="444"/>
      <c r="R747" s="1146"/>
      <c r="S747" s="1146"/>
      <c r="T747" s="444"/>
      <c r="U747" s="444"/>
      <c r="V747" s="446"/>
    </row>
    <row r="748" spans="1:57" ht="30" customHeight="1">
      <c r="A748" s="444"/>
      <c r="B748" s="444"/>
      <c r="C748" s="444"/>
      <c r="D748" s="1133"/>
      <c r="E748" s="445"/>
      <c r="F748" s="1146"/>
      <c r="G748" s="1146"/>
      <c r="H748" s="444"/>
      <c r="I748" s="444"/>
      <c r="J748" s="1146"/>
      <c r="K748" s="1146"/>
      <c r="L748" s="444"/>
      <c r="M748" s="444"/>
      <c r="N748" s="1146"/>
      <c r="O748" s="1146"/>
      <c r="P748" s="444"/>
      <c r="Q748" s="444"/>
      <c r="R748" s="1146"/>
      <c r="S748" s="1146"/>
      <c r="T748" s="444"/>
      <c r="U748" s="444"/>
      <c r="V748" s="446"/>
    </row>
    <row r="749" spans="1:57" ht="30" customHeight="1">
      <c r="A749" s="444"/>
      <c r="B749" s="444"/>
      <c r="C749" s="444"/>
      <c r="D749" s="1133"/>
      <c r="E749" s="445"/>
      <c r="F749" s="1146"/>
      <c r="G749" s="1146"/>
      <c r="H749" s="444"/>
      <c r="I749" s="444"/>
      <c r="J749" s="1146"/>
      <c r="K749" s="1146"/>
      <c r="L749" s="444"/>
      <c r="M749" s="444"/>
      <c r="N749" s="1146"/>
      <c r="O749" s="1146"/>
      <c r="P749" s="444"/>
      <c r="Q749" s="444"/>
      <c r="R749" s="1146"/>
      <c r="S749" s="1146"/>
      <c r="T749" s="444"/>
      <c r="U749" s="444"/>
      <c r="V749" s="446"/>
    </row>
    <row r="750" spans="1:57" ht="30" customHeight="1">
      <c r="A750" s="444"/>
      <c r="B750" s="444"/>
      <c r="C750" s="444"/>
      <c r="D750" s="1133"/>
      <c r="E750" s="445"/>
      <c r="F750" s="1146"/>
      <c r="G750" s="1146"/>
      <c r="H750" s="444"/>
      <c r="I750" s="444"/>
      <c r="J750" s="1146"/>
      <c r="K750" s="1146"/>
      <c r="L750" s="444"/>
      <c r="M750" s="444"/>
      <c r="N750" s="1146"/>
      <c r="O750" s="1146"/>
      <c r="P750" s="444"/>
      <c r="Q750" s="444"/>
      <c r="R750" s="1146"/>
      <c r="S750" s="1146"/>
      <c r="T750" s="444"/>
      <c r="U750" s="444"/>
      <c r="V750" s="446"/>
    </row>
    <row r="751" spans="1:57" ht="30" customHeight="1">
      <c r="A751" s="444"/>
      <c r="B751" s="444"/>
      <c r="C751" s="444"/>
      <c r="D751" s="1133"/>
      <c r="E751" s="445"/>
      <c r="F751" s="1146"/>
      <c r="G751" s="1146"/>
      <c r="H751" s="444"/>
      <c r="I751" s="444"/>
      <c r="J751" s="1146"/>
      <c r="K751" s="1146"/>
      <c r="L751" s="444"/>
      <c r="M751" s="444"/>
      <c r="N751" s="1146"/>
      <c r="O751" s="1146"/>
      <c r="P751" s="444"/>
      <c r="Q751" s="444"/>
      <c r="R751" s="1146"/>
      <c r="S751" s="1146"/>
      <c r="T751" s="444"/>
      <c r="U751" s="444"/>
      <c r="V751" s="446"/>
    </row>
    <row r="752" spans="1:57" ht="30" customHeight="1">
      <c r="A752" s="444"/>
      <c r="B752" s="444"/>
      <c r="C752" s="444"/>
      <c r="D752" s="1133"/>
      <c r="E752" s="445"/>
      <c r="F752" s="1146"/>
      <c r="G752" s="1146"/>
      <c r="H752" s="444"/>
      <c r="I752" s="444"/>
      <c r="J752" s="1146"/>
      <c r="K752" s="1146"/>
      <c r="L752" s="444"/>
      <c r="M752" s="444"/>
      <c r="N752" s="1146"/>
      <c r="O752" s="1146"/>
      <c r="P752" s="444"/>
      <c r="Q752" s="444"/>
      <c r="R752" s="1146"/>
      <c r="S752" s="1146"/>
      <c r="T752" s="444"/>
      <c r="U752" s="444"/>
      <c r="V752" s="446"/>
    </row>
    <row r="753" spans="1:57" ht="30" customHeight="1">
      <c r="A753" s="444"/>
      <c r="B753" s="444"/>
      <c r="C753" s="444"/>
      <c r="D753" s="1133"/>
      <c r="E753" s="445"/>
      <c r="F753" s="1146"/>
      <c r="G753" s="1146"/>
      <c r="H753" s="444"/>
      <c r="I753" s="444"/>
      <c r="J753" s="1146"/>
      <c r="K753" s="1146"/>
      <c r="L753" s="444"/>
      <c r="M753" s="444"/>
      <c r="N753" s="1146"/>
      <c r="O753" s="1146"/>
      <c r="P753" s="444"/>
      <c r="Q753" s="444"/>
      <c r="R753" s="1146"/>
      <c r="S753" s="1146"/>
      <c r="T753" s="444"/>
      <c r="U753" s="444"/>
      <c r="V753" s="446"/>
    </row>
    <row r="754" spans="1:57" ht="30" customHeight="1">
      <c r="A754" s="444"/>
      <c r="B754" s="444"/>
      <c r="C754" s="444"/>
      <c r="D754" s="1133"/>
      <c r="E754" s="445"/>
      <c r="F754" s="1146"/>
      <c r="G754" s="1146"/>
      <c r="H754" s="444"/>
      <c r="I754" s="444"/>
      <c r="J754" s="1146"/>
      <c r="K754" s="1146"/>
      <c r="L754" s="444"/>
      <c r="M754" s="444"/>
      <c r="N754" s="1146"/>
      <c r="O754" s="1146"/>
      <c r="P754" s="444"/>
      <c r="Q754" s="444"/>
      <c r="R754" s="1146"/>
      <c r="S754" s="1146"/>
      <c r="T754" s="444"/>
      <c r="U754" s="444"/>
      <c r="V754" s="446"/>
    </row>
    <row r="755" spans="1:57" ht="30" customHeight="1">
      <c r="A755" s="444"/>
      <c r="B755" s="444"/>
      <c r="C755" s="444"/>
      <c r="D755" s="1133"/>
      <c r="E755" s="445"/>
      <c r="F755" s="1146"/>
      <c r="G755" s="1146"/>
      <c r="H755" s="444"/>
      <c r="I755" s="444"/>
      <c r="J755" s="1146"/>
      <c r="K755" s="1146"/>
      <c r="L755" s="444"/>
      <c r="M755" s="444"/>
      <c r="N755" s="1146"/>
      <c r="O755" s="1146"/>
      <c r="P755" s="444"/>
      <c r="Q755" s="444"/>
      <c r="R755" s="1146"/>
      <c r="S755" s="1146"/>
      <c r="T755" s="444"/>
      <c r="U755" s="444"/>
      <c r="V755" s="446"/>
    </row>
    <row r="756" spans="1:57" ht="30" customHeight="1">
      <c r="A756" s="444"/>
      <c r="B756" s="444"/>
      <c r="C756" s="444"/>
      <c r="D756" s="1133"/>
      <c r="E756" s="445"/>
      <c r="F756" s="1146"/>
      <c r="G756" s="1146"/>
      <c r="H756" s="444"/>
      <c r="I756" s="444"/>
      <c r="J756" s="1146"/>
      <c r="K756" s="1146"/>
      <c r="L756" s="444"/>
      <c r="M756" s="444"/>
      <c r="N756" s="1146"/>
      <c r="O756" s="1146"/>
      <c r="P756" s="444"/>
      <c r="Q756" s="444"/>
      <c r="R756" s="1146"/>
      <c r="S756" s="1146"/>
      <c r="T756" s="444"/>
      <c r="U756" s="444"/>
      <c r="V756" s="446"/>
    </row>
    <row r="757" spans="1:57" ht="30" customHeight="1">
      <c r="A757" s="444"/>
      <c r="B757" s="444"/>
      <c r="C757" s="444"/>
      <c r="D757" s="1133"/>
      <c r="E757" s="445"/>
      <c r="F757" s="1146"/>
      <c r="G757" s="1146"/>
      <c r="H757" s="444"/>
      <c r="I757" s="444"/>
      <c r="J757" s="1146"/>
      <c r="K757" s="1146"/>
      <c r="L757" s="444"/>
      <c r="M757" s="444"/>
      <c r="N757" s="1146"/>
      <c r="O757" s="1146"/>
      <c r="P757" s="444"/>
      <c r="Q757" s="444"/>
      <c r="R757" s="1146"/>
      <c r="S757" s="1146"/>
      <c r="T757" s="444"/>
      <c r="U757" s="444"/>
      <c r="V757" s="446"/>
    </row>
    <row r="758" spans="1:57" ht="30" customHeight="1">
      <c r="A758" s="444"/>
      <c r="B758" s="444"/>
      <c r="C758" s="444"/>
      <c r="D758" s="1133"/>
      <c r="E758" s="445"/>
      <c r="F758" s="1146"/>
      <c r="G758" s="1146"/>
      <c r="H758" s="444"/>
      <c r="I758" s="444"/>
      <c r="J758" s="1146"/>
      <c r="K758" s="1146"/>
      <c r="L758" s="444"/>
      <c r="M758" s="444"/>
      <c r="N758" s="1146"/>
      <c r="O758" s="1146"/>
      <c r="P758" s="444"/>
      <c r="Q758" s="444"/>
      <c r="R758" s="1146"/>
      <c r="S758" s="1146"/>
      <c r="T758" s="444"/>
      <c r="U758" s="444"/>
      <c r="V758" s="446"/>
    </row>
    <row r="759" spans="1:57" ht="30" customHeight="1">
      <c r="A759" s="444"/>
      <c r="B759" s="444"/>
      <c r="C759" s="444"/>
      <c r="D759" s="1133"/>
      <c r="E759" s="445"/>
      <c r="F759" s="1146"/>
      <c r="G759" s="1146"/>
      <c r="H759" s="444"/>
      <c r="I759" s="444"/>
      <c r="J759" s="1146"/>
      <c r="K759" s="1146"/>
      <c r="L759" s="444"/>
      <c r="M759" s="444"/>
      <c r="N759" s="1146"/>
      <c r="O759" s="1146"/>
      <c r="P759" s="444"/>
      <c r="Q759" s="444"/>
      <c r="R759" s="1146"/>
      <c r="S759" s="1146"/>
      <c r="T759" s="444"/>
      <c r="U759" s="444"/>
      <c r="V759" s="446"/>
    </row>
    <row r="760" spans="1:57" ht="30" customHeight="1">
      <c r="A760" s="444"/>
      <c r="B760" s="444"/>
      <c r="C760" s="444"/>
      <c r="D760" s="1133"/>
      <c r="E760" s="445"/>
      <c r="F760" s="1146"/>
      <c r="G760" s="1146"/>
      <c r="H760" s="444"/>
      <c r="I760" s="444"/>
      <c r="J760" s="1146"/>
      <c r="K760" s="1146"/>
      <c r="L760" s="444"/>
      <c r="M760" s="444"/>
      <c r="N760" s="1146"/>
      <c r="O760" s="1146"/>
      <c r="P760" s="444"/>
      <c r="Q760" s="444"/>
      <c r="R760" s="1146"/>
      <c r="S760" s="1146"/>
      <c r="T760" s="444"/>
      <c r="U760" s="444"/>
      <c r="V760" s="446"/>
      <c r="W760" s="449" t="s">
        <v>86</v>
      </c>
    </row>
    <row r="761" spans="1:57" ht="30" customHeight="1">
      <c r="A761" s="444"/>
      <c r="B761" s="444"/>
      <c r="C761" s="444"/>
      <c r="D761" s="1133"/>
      <c r="E761" s="445"/>
      <c r="F761" s="1146"/>
      <c r="G761" s="1146"/>
      <c r="H761" s="444"/>
      <c r="I761" s="444"/>
      <c r="J761" s="1146"/>
      <c r="K761" s="1146"/>
      <c r="L761" s="444"/>
      <c r="M761" s="444"/>
      <c r="N761" s="1146"/>
      <c r="O761" s="1146"/>
      <c r="P761" s="444"/>
      <c r="Q761" s="444"/>
      <c r="R761" s="1146"/>
      <c r="S761" s="1146"/>
      <c r="T761" s="444"/>
      <c r="U761" s="444"/>
      <c r="V761" s="446"/>
      <c r="W761" s="459"/>
      <c r="X761" s="459"/>
      <c r="Y761" s="459"/>
      <c r="Z761" s="460" t="s">
        <v>702</v>
      </c>
      <c r="AA761" s="459"/>
      <c r="AB761" s="459"/>
      <c r="AC761" s="459"/>
      <c r="AD761" s="459"/>
      <c r="AE761" s="459"/>
      <c r="AF761" s="459"/>
      <c r="AG761" s="459"/>
      <c r="AH761" s="459"/>
      <c r="AI761" s="459"/>
      <c r="AJ761" s="459"/>
      <c r="AK761" s="459"/>
      <c r="AL761" s="459"/>
      <c r="AM761" s="459"/>
      <c r="AN761" s="459"/>
      <c r="AO761" s="459"/>
      <c r="AP761" s="459"/>
      <c r="AQ761" s="459"/>
      <c r="AR761" s="459"/>
      <c r="AS761" s="459"/>
      <c r="AT761" s="459"/>
      <c r="AU761" s="459"/>
      <c r="AV761" s="459"/>
      <c r="AW761" s="459"/>
      <c r="AX761" s="459"/>
      <c r="AY761" s="459"/>
      <c r="AZ761" s="459"/>
      <c r="BA761" s="459"/>
      <c r="BB761" s="459"/>
      <c r="BC761" s="459"/>
      <c r="BD761" s="459"/>
      <c r="BE761" s="459"/>
    </row>
    <row r="762" spans="1:57" ht="30" customHeight="1">
      <c r="A762" s="443" t="s">
        <v>85</v>
      </c>
      <c r="B762" s="444"/>
      <c r="C762" s="444"/>
      <c r="D762" s="1133"/>
      <c r="E762" s="445"/>
      <c r="F762" s="1146"/>
      <c r="G762" s="1147">
        <v>69561.180000000008</v>
      </c>
      <c r="H762" s="444"/>
      <c r="I762" s="450">
        <f>SUM(I741:I761)</f>
        <v>69561.180000000008</v>
      </c>
      <c r="J762" s="1146"/>
      <c r="K762" s="1147">
        <v>1324410.7500000002</v>
      </c>
      <c r="L762" s="444"/>
      <c r="M762" s="450">
        <f>SUM(M741:M761)</f>
        <v>154380.33000000002</v>
      </c>
      <c r="N762" s="1146"/>
      <c r="O762" s="1147">
        <v>0</v>
      </c>
      <c r="P762" s="444"/>
      <c r="Q762" s="450">
        <f>SUM(Q741:Q761)</f>
        <v>11561</v>
      </c>
      <c r="R762" s="1146"/>
      <c r="S762" s="1147">
        <v>1393971</v>
      </c>
      <c r="T762" s="444"/>
      <c r="U762" s="450">
        <f>SUM(U741:U761)</f>
        <v>235502</v>
      </c>
      <c r="V762" s="446"/>
      <c r="W762" s="448" t="s">
        <v>177</v>
      </c>
      <c r="X762" s="448" t="s">
        <v>51</v>
      </c>
      <c r="Y762" s="448" t="s">
        <v>51</v>
      </c>
      <c r="Z762" s="448" t="s">
        <v>702</v>
      </c>
      <c r="AA762" s="448" t="s">
        <v>61</v>
      </c>
      <c r="AB762" s="448" t="s">
        <v>62</v>
      </c>
      <c r="AC762" s="448" t="s">
        <v>62</v>
      </c>
      <c r="AD762" s="447"/>
      <c r="AE762" s="447"/>
      <c r="AF762" s="447"/>
      <c r="AG762" s="447"/>
      <c r="AH762" s="447"/>
      <c r="AI762" s="447"/>
      <c r="AJ762" s="447"/>
      <c r="AK762" s="447"/>
      <c r="AL762" s="447"/>
      <c r="AM762" s="447"/>
      <c r="AN762" s="447"/>
      <c r="AO762" s="447"/>
      <c r="AP762" s="447"/>
      <c r="AQ762" s="447"/>
      <c r="AR762" s="447"/>
      <c r="AS762" s="447"/>
      <c r="AT762" s="447"/>
      <c r="AU762" s="447"/>
      <c r="AV762" s="447"/>
      <c r="AW762" s="447"/>
      <c r="AX762" s="447"/>
      <c r="AY762" s="447"/>
      <c r="AZ762" s="447"/>
      <c r="BA762" s="448" t="s">
        <v>51</v>
      </c>
      <c r="BB762" s="448" t="s">
        <v>51</v>
      </c>
      <c r="BC762" s="447"/>
      <c r="BD762" s="448" t="s">
        <v>703</v>
      </c>
      <c r="BE762" s="447">
        <v>570</v>
      </c>
    </row>
    <row r="763" spans="1:57" ht="30" customHeight="1">
      <c r="A763" s="455" t="s">
        <v>4775</v>
      </c>
      <c r="B763" s="456"/>
      <c r="C763" s="456"/>
      <c r="D763" s="1134"/>
      <c r="E763" s="457"/>
      <c r="F763" s="1148"/>
      <c r="G763" s="1148"/>
      <c r="H763" s="456"/>
      <c r="I763" s="456"/>
      <c r="J763" s="1148"/>
      <c r="K763" s="1148"/>
      <c r="L763" s="456"/>
      <c r="M763" s="456"/>
      <c r="N763" s="1148"/>
      <c r="O763" s="1148"/>
      <c r="P763" s="456"/>
      <c r="Q763" s="456"/>
      <c r="R763" s="1148"/>
      <c r="S763" s="1148"/>
      <c r="T763" s="456"/>
      <c r="U763" s="456"/>
      <c r="V763" s="458"/>
      <c r="W763" s="448" t="s">
        <v>189</v>
      </c>
      <c r="X763" s="448" t="s">
        <v>51</v>
      </c>
      <c r="Y763" s="448" t="s">
        <v>51</v>
      </c>
      <c r="Z763" s="448" t="s">
        <v>702</v>
      </c>
      <c r="AA763" s="448" t="s">
        <v>61</v>
      </c>
      <c r="AB763" s="448" t="s">
        <v>62</v>
      </c>
      <c r="AC763" s="448" t="s">
        <v>62</v>
      </c>
      <c r="AD763" s="447"/>
      <c r="AE763" s="447"/>
      <c r="AF763" s="447"/>
      <c r="AG763" s="447"/>
      <c r="AH763" s="447"/>
      <c r="AI763" s="447"/>
      <c r="AJ763" s="447"/>
      <c r="AK763" s="447"/>
      <c r="AL763" s="447"/>
      <c r="AM763" s="447"/>
      <c r="AN763" s="447"/>
      <c r="AO763" s="447"/>
      <c r="AP763" s="447"/>
      <c r="AQ763" s="447"/>
      <c r="AR763" s="447"/>
      <c r="AS763" s="447"/>
      <c r="AT763" s="447"/>
      <c r="AU763" s="447"/>
      <c r="AV763" s="447"/>
      <c r="AW763" s="447"/>
      <c r="AX763" s="447"/>
      <c r="AY763" s="447"/>
      <c r="AZ763" s="447"/>
      <c r="BA763" s="448" t="s">
        <v>51</v>
      </c>
      <c r="BB763" s="448" t="s">
        <v>51</v>
      </c>
      <c r="BC763" s="447"/>
      <c r="BD763" s="448" t="s">
        <v>704</v>
      </c>
      <c r="BE763" s="447">
        <v>571</v>
      </c>
    </row>
    <row r="764" spans="1:57" ht="30" customHeight="1">
      <c r="A764" s="443" t="s">
        <v>175</v>
      </c>
      <c r="B764" s="443" t="s">
        <v>176</v>
      </c>
      <c r="C764" s="443" t="s">
        <v>59</v>
      </c>
      <c r="D764" s="1133">
        <v>99.58</v>
      </c>
      <c r="E764" s="445">
        <f>'2층전시실산출 '!H208</f>
        <v>99.58</v>
      </c>
      <c r="F764" s="1147">
        <v>9977</v>
      </c>
      <c r="G764" s="1147">
        <v>993509.66</v>
      </c>
      <c r="H764" s="450">
        <f>TRUNC(일위대가목록!F31,0)</f>
        <v>9977</v>
      </c>
      <c r="I764" s="450">
        <f t="shared" ref="I764:I769" si="87">E764*H764</f>
        <v>993509.66</v>
      </c>
      <c r="J764" s="1147">
        <v>25424</v>
      </c>
      <c r="K764" s="1147">
        <v>2531721.92</v>
      </c>
      <c r="L764" s="450">
        <f>TRUNC(일위대가목록!H31,0)</f>
        <v>25424</v>
      </c>
      <c r="M764" s="450">
        <f t="shared" ref="M764:M769" si="88">E764*L764</f>
        <v>2531721.92</v>
      </c>
      <c r="N764" s="1147">
        <v>0</v>
      </c>
      <c r="O764" s="1147">
        <v>0</v>
      </c>
      <c r="P764" s="450">
        <f>TRUNC(일위대가목록!J31,0)</f>
        <v>0</v>
      </c>
      <c r="Q764" s="450">
        <f>TRUNC(P764*E764, 0)</f>
        <v>0</v>
      </c>
      <c r="R764" s="1147">
        <v>35401</v>
      </c>
      <c r="S764" s="1147">
        <v>3525231</v>
      </c>
      <c r="T764" s="450">
        <f t="shared" ref="T764:U769" si="89">TRUNC(H764+L764+P764, 0)</f>
        <v>35401</v>
      </c>
      <c r="U764" s="450">
        <f t="shared" si="89"/>
        <v>3525231</v>
      </c>
      <c r="V764" s="454" t="str">
        <f>일위대가목록!M31</f>
        <v>호표 28</v>
      </c>
      <c r="W764" s="448" t="s">
        <v>192</v>
      </c>
      <c r="X764" s="448" t="s">
        <v>51</v>
      </c>
      <c r="Y764" s="448" t="s">
        <v>51</v>
      </c>
      <c r="Z764" s="448" t="s">
        <v>702</v>
      </c>
      <c r="AA764" s="448" t="s">
        <v>61</v>
      </c>
      <c r="AB764" s="448" t="s">
        <v>62</v>
      </c>
      <c r="AC764" s="448" t="s">
        <v>62</v>
      </c>
      <c r="AD764" s="447"/>
      <c r="AE764" s="447"/>
      <c r="AF764" s="447"/>
      <c r="AG764" s="447"/>
      <c r="AH764" s="447"/>
      <c r="AI764" s="447"/>
      <c r="AJ764" s="447"/>
      <c r="AK764" s="447"/>
      <c r="AL764" s="447"/>
      <c r="AM764" s="447"/>
      <c r="AN764" s="447"/>
      <c r="AO764" s="447"/>
      <c r="AP764" s="447"/>
      <c r="AQ764" s="447"/>
      <c r="AR764" s="447"/>
      <c r="AS764" s="447"/>
      <c r="AT764" s="447"/>
      <c r="AU764" s="447"/>
      <c r="AV764" s="447"/>
      <c r="AW764" s="447"/>
      <c r="AX764" s="447"/>
      <c r="AY764" s="447"/>
      <c r="AZ764" s="447"/>
      <c r="BA764" s="448" t="s">
        <v>51</v>
      </c>
      <c r="BB764" s="448" t="s">
        <v>51</v>
      </c>
      <c r="BC764" s="447"/>
      <c r="BD764" s="448" t="s">
        <v>705</v>
      </c>
      <c r="BE764" s="447">
        <v>572</v>
      </c>
    </row>
    <row r="765" spans="1:57" ht="30" customHeight="1">
      <c r="A765" s="443" t="s">
        <v>185</v>
      </c>
      <c r="B765" s="443" t="s">
        <v>188</v>
      </c>
      <c r="C765" s="443" t="s">
        <v>59</v>
      </c>
      <c r="D765" s="1133">
        <v>138.32</v>
      </c>
      <c r="E765" s="445">
        <f>'2층전시실산출 '!H209</f>
        <v>138.32</v>
      </c>
      <c r="F765" s="1147">
        <v>5162</v>
      </c>
      <c r="G765" s="1147">
        <v>714007.84</v>
      </c>
      <c r="H765" s="450">
        <f>TRUNC(일위대가목록!F35,0)</f>
        <v>5667</v>
      </c>
      <c r="I765" s="450">
        <f t="shared" si="87"/>
        <v>783859.44</v>
      </c>
      <c r="J765" s="1147">
        <v>14470</v>
      </c>
      <c r="K765" s="1147">
        <v>2001490.4</v>
      </c>
      <c r="L765" s="450">
        <f>TRUNC(일위대가목록!H35,0)</f>
        <v>16860</v>
      </c>
      <c r="M765" s="450">
        <f t="shared" si="88"/>
        <v>2332075.1999999997</v>
      </c>
      <c r="N765" s="1147">
        <v>0</v>
      </c>
      <c r="O765" s="1147">
        <v>0</v>
      </c>
      <c r="P765" s="450">
        <f>TRUNC(일위대가목록!J35,0)</f>
        <v>0</v>
      </c>
      <c r="Q765" s="450">
        <f>TRUNC(P765*E765, 0)</f>
        <v>0</v>
      </c>
      <c r="R765" s="1147">
        <v>19632</v>
      </c>
      <c r="S765" s="1147">
        <v>2715498</v>
      </c>
      <c r="T765" s="450">
        <f t="shared" si="89"/>
        <v>22527</v>
      </c>
      <c r="U765" s="450">
        <f t="shared" si="89"/>
        <v>3115934</v>
      </c>
      <c r="V765" s="454" t="str">
        <f>일위대가목록!M35</f>
        <v>호표 32</v>
      </c>
      <c r="W765" s="448" t="s">
        <v>220</v>
      </c>
      <c r="X765" s="448" t="s">
        <v>51</v>
      </c>
      <c r="Y765" s="448" t="s">
        <v>51</v>
      </c>
      <c r="Z765" s="448" t="s">
        <v>702</v>
      </c>
      <c r="AA765" s="448" t="s">
        <v>61</v>
      </c>
      <c r="AB765" s="448" t="s">
        <v>62</v>
      </c>
      <c r="AC765" s="448" t="s">
        <v>62</v>
      </c>
      <c r="AD765" s="447"/>
      <c r="AE765" s="447"/>
      <c r="AF765" s="447"/>
      <c r="AG765" s="447"/>
      <c r="AH765" s="447"/>
      <c r="AI765" s="447"/>
      <c r="AJ765" s="447"/>
      <c r="AK765" s="447"/>
      <c r="AL765" s="447"/>
      <c r="AM765" s="447"/>
      <c r="AN765" s="447"/>
      <c r="AO765" s="447"/>
      <c r="AP765" s="447"/>
      <c r="AQ765" s="447"/>
      <c r="AR765" s="447"/>
      <c r="AS765" s="447"/>
      <c r="AT765" s="447"/>
      <c r="AU765" s="447"/>
      <c r="AV765" s="447"/>
      <c r="AW765" s="447"/>
      <c r="AX765" s="447"/>
      <c r="AY765" s="447"/>
      <c r="AZ765" s="447"/>
      <c r="BA765" s="448" t="s">
        <v>51</v>
      </c>
      <c r="BB765" s="448" t="s">
        <v>51</v>
      </c>
      <c r="BC765" s="447"/>
      <c r="BD765" s="448" t="s">
        <v>706</v>
      </c>
      <c r="BE765" s="447">
        <v>573</v>
      </c>
    </row>
    <row r="766" spans="1:57" ht="30" customHeight="1">
      <c r="A766" s="443" t="s">
        <v>182</v>
      </c>
      <c r="B766" s="443" t="s">
        <v>191</v>
      </c>
      <c r="C766" s="443" t="s">
        <v>59</v>
      </c>
      <c r="D766" s="1133">
        <v>74.11999999999999</v>
      </c>
      <c r="E766" s="445">
        <f>'2층전시실산출 '!H210</f>
        <v>74.11999999999999</v>
      </c>
      <c r="F766" s="1147">
        <v>9392</v>
      </c>
      <c r="G766" s="1147">
        <v>696135.03999999992</v>
      </c>
      <c r="H766" s="450">
        <f>TRUNC(일위대가목록!F36,0)</f>
        <v>7618</v>
      </c>
      <c r="I766" s="450">
        <f t="shared" si="87"/>
        <v>564646.15999999992</v>
      </c>
      <c r="J766" s="1147">
        <v>14470</v>
      </c>
      <c r="K766" s="1147">
        <v>1072516.3999999999</v>
      </c>
      <c r="L766" s="450">
        <f>TRUNC(일위대가목록!H36,0)</f>
        <v>16860</v>
      </c>
      <c r="M766" s="450">
        <f t="shared" si="88"/>
        <v>1249663.1999999997</v>
      </c>
      <c r="N766" s="1147">
        <v>0</v>
      </c>
      <c r="O766" s="1147">
        <v>0</v>
      </c>
      <c r="P766" s="450">
        <f>TRUNC(일위대가목록!J36,0)</f>
        <v>0</v>
      </c>
      <c r="Q766" s="450">
        <f>TRUNC(P766*E766, 0)</f>
        <v>0</v>
      </c>
      <c r="R766" s="1147">
        <v>23862</v>
      </c>
      <c r="S766" s="1147">
        <v>1768651</v>
      </c>
      <c r="T766" s="450">
        <f t="shared" si="89"/>
        <v>24478</v>
      </c>
      <c r="U766" s="450">
        <f t="shared" si="89"/>
        <v>1814309</v>
      </c>
      <c r="V766" s="454" t="str">
        <f>일위대가목록!M36</f>
        <v>호표 33</v>
      </c>
      <c r="W766" s="448" t="s">
        <v>224</v>
      </c>
      <c r="X766" s="448" t="s">
        <v>51</v>
      </c>
      <c r="Y766" s="448" t="s">
        <v>51</v>
      </c>
      <c r="Z766" s="448" t="s">
        <v>702</v>
      </c>
      <c r="AA766" s="448" t="s">
        <v>61</v>
      </c>
      <c r="AB766" s="448" t="s">
        <v>62</v>
      </c>
      <c r="AC766" s="448" t="s">
        <v>62</v>
      </c>
      <c r="AD766" s="447"/>
      <c r="AE766" s="447"/>
      <c r="AF766" s="447"/>
      <c r="AG766" s="447"/>
      <c r="AH766" s="447"/>
      <c r="AI766" s="447"/>
      <c r="AJ766" s="447"/>
      <c r="AK766" s="447"/>
      <c r="AL766" s="447"/>
      <c r="AM766" s="447"/>
      <c r="AN766" s="447"/>
      <c r="AO766" s="447"/>
      <c r="AP766" s="447"/>
      <c r="AQ766" s="447"/>
      <c r="AR766" s="447"/>
      <c r="AS766" s="447"/>
      <c r="AT766" s="447"/>
      <c r="AU766" s="447"/>
      <c r="AV766" s="447"/>
      <c r="AW766" s="447"/>
      <c r="AX766" s="447"/>
      <c r="AY766" s="447"/>
      <c r="AZ766" s="447"/>
      <c r="BA766" s="448" t="s">
        <v>51</v>
      </c>
      <c r="BB766" s="448" t="s">
        <v>51</v>
      </c>
      <c r="BC766" s="447"/>
      <c r="BD766" s="448" t="s">
        <v>707</v>
      </c>
      <c r="BE766" s="447">
        <v>574</v>
      </c>
    </row>
    <row r="767" spans="1:57" ht="30" customHeight="1">
      <c r="A767" s="443" t="s">
        <v>218</v>
      </c>
      <c r="B767" s="443" t="s">
        <v>219</v>
      </c>
      <c r="C767" s="443" t="s">
        <v>59</v>
      </c>
      <c r="D767" s="1133">
        <v>98.699999999999989</v>
      </c>
      <c r="E767" s="445">
        <f>'2층전시실산출 '!H213</f>
        <v>98.699999999999989</v>
      </c>
      <c r="F767" s="1147">
        <v>1908</v>
      </c>
      <c r="G767" s="1147">
        <v>188319.59999999998</v>
      </c>
      <c r="H767" s="450">
        <f>TRUNC(일위대가목록!F43,0)</f>
        <v>1800</v>
      </c>
      <c r="I767" s="450">
        <f t="shared" si="87"/>
        <v>177659.99999999997</v>
      </c>
      <c r="J767" s="1147">
        <v>7912</v>
      </c>
      <c r="K767" s="1147">
        <v>780914.39999999991</v>
      </c>
      <c r="L767" s="450">
        <f>TRUNC(일위대가목록!H43,0)</f>
        <v>3300</v>
      </c>
      <c r="M767" s="450">
        <f t="shared" si="88"/>
        <v>325709.99999999994</v>
      </c>
      <c r="N767" s="1147">
        <v>0</v>
      </c>
      <c r="O767" s="1147">
        <v>0</v>
      </c>
      <c r="P767" s="450">
        <f>TRUNC(일위대가목록!J43,0)</f>
        <v>0</v>
      </c>
      <c r="Q767" s="450">
        <f>TRUNC(P767*E767, 0)</f>
        <v>0</v>
      </c>
      <c r="R767" s="1147">
        <v>9820</v>
      </c>
      <c r="S767" s="1147">
        <v>969234</v>
      </c>
      <c r="T767" s="450">
        <f t="shared" si="89"/>
        <v>5100</v>
      </c>
      <c r="U767" s="450">
        <f t="shared" si="89"/>
        <v>503370</v>
      </c>
      <c r="V767" s="454" t="str">
        <f>일위대가목록!M43</f>
        <v>호표 40</v>
      </c>
      <c r="W767" s="448" t="s">
        <v>710</v>
      </c>
      <c r="X767" s="448" t="s">
        <v>51</v>
      </c>
      <c r="Y767" s="448" t="s">
        <v>51</v>
      </c>
      <c r="Z767" s="448" t="s">
        <v>702</v>
      </c>
      <c r="AA767" s="448" t="s">
        <v>61</v>
      </c>
      <c r="AB767" s="448" t="s">
        <v>62</v>
      </c>
      <c r="AC767" s="448" t="s">
        <v>62</v>
      </c>
      <c r="AD767" s="447"/>
      <c r="AE767" s="447"/>
      <c r="AF767" s="447"/>
      <c r="AG767" s="447"/>
      <c r="AH767" s="447"/>
      <c r="AI767" s="447"/>
      <c r="AJ767" s="447"/>
      <c r="AK767" s="447"/>
      <c r="AL767" s="447"/>
      <c r="AM767" s="447"/>
      <c r="AN767" s="447"/>
      <c r="AO767" s="447"/>
      <c r="AP767" s="447"/>
      <c r="AQ767" s="447"/>
      <c r="AR767" s="447"/>
      <c r="AS767" s="447"/>
      <c r="AT767" s="447"/>
      <c r="AU767" s="447"/>
      <c r="AV767" s="447"/>
      <c r="AW767" s="447"/>
      <c r="AX767" s="447"/>
      <c r="AY767" s="447"/>
      <c r="AZ767" s="447"/>
      <c r="BA767" s="448" t="s">
        <v>51</v>
      </c>
      <c r="BB767" s="448" t="s">
        <v>51</v>
      </c>
      <c r="BC767" s="447"/>
      <c r="BD767" s="448" t="s">
        <v>711</v>
      </c>
      <c r="BE767" s="447">
        <v>575</v>
      </c>
    </row>
    <row r="768" spans="1:57" ht="30" customHeight="1">
      <c r="A768" s="157" t="s">
        <v>222</v>
      </c>
      <c r="B768" s="157" t="s">
        <v>6823</v>
      </c>
      <c r="C768" s="157" t="s">
        <v>59</v>
      </c>
      <c r="D768" s="1209">
        <v>98.699999999999989</v>
      </c>
      <c r="E768" s="1210">
        <f>'2층전시실산출 '!H216</f>
        <v>98.699999999999989</v>
      </c>
      <c r="F768" s="1211">
        <v>2312</v>
      </c>
      <c r="G768" s="1211">
        <v>228194.39999999997</v>
      </c>
      <c r="H768" s="1212">
        <f>TRUNC(일위대가목록!F44,0)</f>
        <v>2097</v>
      </c>
      <c r="I768" s="1212">
        <f t="shared" si="87"/>
        <v>206973.89999999997</v>
      </c>
      <c r="J768" s="1211">
        <v>10764</v>
      </c>
      <c r="K768" s="1211">
        <v>1062406.7999999998</v>
      </c>
      <c r="L768" s="1212">
        <f>TRUNC(일위대가목록!H44,0)</f>
        <v>5053</v>
      </c>
      <c r="M768" s="1212">
        <f t="shared" si="88"/>
        <v>498731.09999999992</v>
      </c>
      <c r="N768" s="1211">
        <v>0</v>
      </c>
      <c r="O768" s="1211">
        <v>0</v>
      </c>
      <c r="P768" s="1212">
        <f>TRUNC(일위대가목록!J44,0)</f>
        <v>0</v>
      </c>
      <c r="Q768" s="1212">
        <f>TRUNC(P768*E768, 0)</f>
        <v>0</v>
      </c>
      <c r="R768" s="1211">
        <v>13076</v>
      </c>
      <c r="S768" s="1211">
        <v>1290601</v>
      </c>
      <c r="T768" s="1212">
        <f t="shared" si="89"/>
        <v>7150</v>
      </c>
      <c r="U768" s="1212">
        <f t="shared" si="89"/>
        <v>705705</v>
      </c>
      <c r="V768" s="1213" t="str">
        <f>일위대가목록!M44</f>
        <v>호표 41</v>
      </c>
    </row>
    <row r="769" spans="1:57" ht="30" customHeight="1">
      <c r="A769" s="443" t="s">
        <v>708</v>
      </c>
      <c r="B769" s="443" t="s">
        <v>709</v>
      </c>
      <c r="C769" s="443" t="s">
        <v>59</v>
      </c>
      <c r="D769" s="1133">
        <v>69.510000000000005</v>
      </c>
      <c r="E769" s="445">
        <f>'2층전시실산출 '!H217</f>
        <v>69.510000000000005</v>
      </c>
      <c r="F769" s="1147">
        <v>52635</v>
      </c>
      <c r="G769" s="1147">
        <v>3658658.85</v>
      </c>
      <c r="H769" s="450">
        <f>일위대가목록!F90</f>
        <v>35200</v>
      </c>
      <c r="I769" s="450">
        <f t="shared" si="87"/>
        <v>2446752</v>
      </c>
      <c r="J769" s="1147">
        <v>95162</v>
      </c>
      <c r="K769" s="1147">
        <v>6614710.6200000001</v>
      </c>
      <c r="L769" s="450">
        <f>일위대가목록!H90</f>
        <v>95162</v>
      </c>
      <c r="M769" s="450">
        <f t="shared" si="88"/>
        <v>6614710.6200000001</v>
      </c>
      <c r="N769" s="1147">
        <v>925</v>
      </c>
      <c r="O769" s="1147">
        <v>64296.750000000007</v>
      </c>
      <c r="P769" s="450">
        <f>일위대가목록!J90</f>
        <v>925</v>
      </c>
      <c r="Q769" s="450">
        <f>E769*P769</f>
        <v>64296.750000000007</v>
      </c>
      <c r="R769" s="1147">
        <v>148722</v>
      </c>
      <c r="S769" s="1147">
        <v>10337666</v>
      </c>
      <c r="T769" s="450">
        <f t="shared" si="89"/>
        <v>131287</v>
      </c>
      <c r="U769" s="450">
        <f t="shared" si="89"/>
        <v>9125759</v>
      </c>
      <c r="V769" s="454" t="str">
        <f>일위대가목록!M90</f>
        <v>호표 87</v>
      </c>
    </row>
    <row r="770" spans="1:57" ht="30" customHeight="1">
      <c r="A770" s="444"/>
      <c r="B770" s="444"/>
      <c r="C770" s="444"/>
      <c r="D770" s="1133"/>
      <c r="E770" s="445"/>
      <c r="F770" s="1146"/>
      <c r="G770" s="1146"/>
      <c r="H770" s="444"/>
      <c r="I770" s="444"/>
      <c r="J770" s="1146"/>
      <c r="K770" s="1146"/>
      <c r="L770" s="444"/>
      <c r="M770" s="444"/>
      <c r="N770" s="1146"/>
      <c r="O770" s="1146"/>
      <c r="P770" s="444"/>
      <c r="Q770" s="444"/>
      <c r="R770" s="1146"/>
      <c r="S770" s="1146"/>
      <c r="T770" s="444"/>
      <c r="U770" s="444"/>
      <c r="V770" s="446"/>
    </row>
    <row r="771" spans="1:57" ht="30" customHeight="1">
      <c r="A771" s="444"/>
      <c r="B771" s="444"/>
      <c r="C771" s="444"/>
      <c r="D771" s="1133"/>
      <c r="E771" s="445"/>
      <c r="F771" s="1146"/>
      <c r="G771" s="1146"/>
      <c r="H771" s="444"/>
      <c r="I771" s="444"/>
      <c r="J771" s="1146"/>
      <c r="K771" s="1146"/>
      <c r="L771" s="444"/>
      <c r="M771" s="444"/>
      <c r="N771" s="1146"/>
      <c r="O771" s="1146"/>
      <c r="P771" s="444"/>
      <c r="Q771" s="444"/>
      <c r="R771" s="1146"/>
      <c r="S771" s="1146"/>
      <c r="T771" s="444"/>
      <c r="U771" s="444"/>
      <c r="V771" s="446"/>
    </row>
    <row r="772" spans="1:57" ht="30" customHeight="1">
      <c r="A772" s="444"/>
      <c r="B772" s="444"/>
      <c r="C772" s="444"/>
      <c r="D772" s="1133"/>
      <c r="E772" s="445"/>
      <c r="F772" s="1146"/>
      <c r="G772" s="1146"/>
      <c r="H772" s="444"/>
      <c r="I772" s="444"/>
      <c r="J772" s="1146"/>
      <c r="K772" s="1146"/>
      <c r="L772" s="444"/>
      <c r="M772" s="444"/>
      <c r="N772" s="1146"/>
      <c r="O772" s="1146"/>
      <c r="P772" s="444"/>
      <c r="Q772" s="444"/>
      <c r="R772" s="1146"/>
      <c r="S772" s="1146"/>
      <c r="T772" s="444"/>
      <c r="U772" s="444"/>
      <c r="V772" s="446"/>
    </row>
    <row r="773" spans="1:57" ht="30" customHeight="1">
      <c r="A773" s="444"/>
      <c r="B773" s="444"/>
      <c r="C773" s="444"/>
      <c r="D773" s="1133"/>
      <c r="E773" s="445"/>
      <c r="F773" s="1146"/>
      <c r="G773" s="1146"/>
      <c r="H773" s="444"/>
      <c r="I773" s="444"/>
      <c r="J773" s="1146"/>
      <c r="K773" s="1146"/>
      <c r="L773" s="444"/>
      <c r="M773" s="444"/>
      <c r="N773" s="1146"/>
      <c r="O773" s="1146"/>
      <c r="P773" s="444"/>
      <c r="Q773" s="444"/>
      <c r="R773" s="1146"/>
      <c r="S773" s="1146"/>
      <c r="T773" s="444"/>
      <c r="U773" s="444"/>
      <c r="V773" s="446"/>
    </row>
    <row r="774" spans="1:57" ht="30" customHeight="1">
      <c r="A774" s="444"/>
      <c r="B774" s="444"/>
      <c r="C774" s="444"/>
      <c r="D774" s="1133"/>
      <c r="E774" s="445"/>
      <c r="F774" s="1146"/>
      <c r="G774" s="1146"/>
      <c r="H774" s="444"/>
      <c r="I774" s="444"/>
      <c r="J774" s="1146"/>
      <c r="K774" s="1146"/>
      <c r="L774" s="444"/>
      <c r="M774" s="444"/>
      <c r="N774" s="1146"/>
      <c r="O774" s="1146"/>
      <c r="P774" s="444"/>
      <c r="Q774" s="444"/>
      <c r="R774" s="1146"/>
      <c r="S774" s="1146"/>
      <c r="T774" s="444"/>
      <c r="U774" s="444"/>
      <c r="V774" s="446"/>
    </row>
    <row r="775" spans="1:57" ht="30" customHeight="1">
      <c r="A775" s="444"/>
      <c r="B775" s="444"/>
      <c r="C775" s="444"/>
      <c r="D775" s="1133"/>
      <c r="E775" s="445"/>
      <c r="F775" s="1146"/>
      <c r="G775" s="1146"/>
      <c r="H775" s="444"/>
      <c r="I775" s="444"/>
      <c r="J775" s="1146"/>
      <c r="K775" s="1146"/>
      <c r="L775" s="444"/>
      <c r="M775" s="444"/>
      <c r="N775" s="1146"/>
      <c r="O775" s="1146"/>
      <c r="P775" s="444"/>
      <c r="Q775" s="444"/>
      <c r="R775" s="1146"/>
      <c r="S775" s="1146"/>
      <c r="T775" s="444"/>
      <c r="U775" s="444"/>
      <c r="V775" s="446"/>
    </row>
    <row r="776" spans="1:57" ht="30" customHeight="1">
      <c r="A776" s="444"/>
      <c r="B776" s="444"/>
      <c r="C776" s="444"/>
      <c r="D776" s="1133"/>
      <c r="E776" s="445"/>
      <c r="F776" s="1146"/>
      <c r="G776" s="1146"/>
      <c r="H776" s="444"/>
      <c r="I776" s="444"/>
      <c r="J776" s="1146"/>
      <c r="K776" s="1146"/>
      <c r="L776" s="444"/>
      <c r="M776" s="444"/>
      <c r="N776" s="1146"/>
      <c r="O776" s="1146"/>
      <c r="P776" s="444"/>
      <c r="Q776" s="444"/>
      <c r="R776" s="1146"/>
      <c r="S776" s="1146"/>
      <c r="T776" s="444"/>
      <c r="U776" s="444"/>
      <c r="V776" s="446"/>
    </row>
    <row r="777" spans="1:57" ht="30" customHeight="1">
      <c r="A777" s="444"/>
      <c r="B777" s="444"/>
      <c r="C777" s="444"/>
      <c r="D777" s="1133"/>
      <c r="E777" s="445"/>
      <c r="F777" s="1146"/>
      <c r="G777" s="1146"/>
      <c r="H777" s="444"/>
      <c r="I777" s="444"/>
      <c r="J777" s="1146"/>
      <c r="K777" s="1146"/>
      <c r="L777" s="444"/>
      <c r="M777" s="444"/>
      <c r="N777" s="1146"/>
      <c r="O777" s="1146"/>
      <c r="P777" s="444"/>
      <c r="Q777" s="444"/>
      <c r="R777" s="1146"/>
      <c r="S777" s="1146"/>
      <c r="T777" s="444"/>
      <c r="U777" s="444"/>
      <c r="V777" s="446"/>
    </row>
    <row r="778" spans="1:57" ht="30" customHeight="1">
      <c r="A778" s="444"/>
      <c r="B778" s="444"/>
      <c r="C778" s="444"/>
      <c r="D778" s="1133"/>
      <c r="E778" s="445"/>
      <c r="F778" s="1146"/>
      <c r="G778" s="1146"/>
      <c r="H778" s="444"/>
      <c r="I778" s="444"/>
      <c r="J778" s="1146"/>
      <c r="K778" s="1146"/>
      <c r="L778" s="444"/>
      <c r="M778" s="444"/>
      <c r="N778" s="1146"/>
      <c r="O778" s="1146"/>
      <c r="P778" s="444"/>
      <c r="Q778" s="444"/>
      <c r="R778" s="1146"/>
      <c r="S778" s="1146"/>
      <c r="T778" s="444"/>
      <c r="U778" s="444"/>
      <c r="V778" s="446"/>
    </row>
    <row r="779" spans="1:57" ht="30" customHeight="1">
      <c r="A779" s="444"/>
      <c r="B779" s="444"/>
      <c r="C779" s="444"/>
      <c r="D779" s="1133"/>
      <c r="E779" s="445"/>
      <c r="F779" s="1146"/>
      <c r="G779" s="1146"/>
      <c r="H779" s="444"/>
      <c r="I779" s="444"/>
      <c r="J779" s="1146"/>
      <c r="K779" s="1146"/>
      <c r="L779" s="444"/>
      <c r="M779" s="444"/>
      <c r="N779" s="1146"/>
      <c r="O779" s="1146"/>
      <c r="P779" s="444"/>
      <c r="Q779" s="444"/>
      <c r="R779" s="1146"/>
      <c r="S779" s="1146"/>
      <c r="T779" s="444"/>
      <c r="U779" s="444"/>
      <c r="V779" s="446"/>
    </row>
    <row r="780" spans="1:57" ht="30" customHeight="1">
      <c r="A780" s="444"/>
      <c r="B780" s="444"/>
      <c r="C780" s="444"/>
      <c r="D780" s="1133"/>
      <c r="E780" s="445"/>
      <c r="F780" s="1146"/>
      <c r="G780" s="1146"/>
      <c r="H780" s="444"/>
      <c r="I780" s="444"/>
      <c r="J780" s="1146"/>
      <c r="K780" s="1146"/>
      <c r="L780" s="444"/>
      <c r="M780" s="444"/>
      <c r="N780" s="1146"/>
      <c r="O780" s="1146"/>
      <c r="P780" s="444"/>
      <c r="Q780" s="444"/>
      <c r="R780" s="1146"/>
      <c r="S780" s="1146"/>
      <c r="T780" s="444"/>
      <c r="U780" s="444"/>
      <c r="V780" s="446"/>
    </row>
    <row r="781" spans="1:57" ht="30" customHeight="1">
      <c r="A781" s="444"/>
      <c r="B781" s="444"/>
      <c r="C781" s="444"/>
      <c r="D781" s="1133"/>
      <c r="E781" s="445"/>
      <c r="F781" s="1146"/>
      <c r="G781" s="1146"/>
      <c r="H781" s="444"/>
      <c r="I781" s="444"/>
      <c r="J781" s="1146"/>
      <c r="K781" s="1146"/>
      <c r="L781" s="444"/>
      <c r="M781" s="444"/>
      <c r="N781" s="1146"/>
      <c r="O781" s="1146"/>
      <c r="P781" s="444"/>
      <c r="Q781" s="444"/>
      <c r="R781" s="1146"/>
      <c r="S781" s="1146"/>
      <c r="T781" s="444"/>
      <c r="U781" s="444"/>
      <c r="V781" s="446"/>
    </row>
    <row r="782" spans="1:57" ht="30" customHeight="1">
      <c r="A782" s="444"/>
      <c r="B782" s="444"/>
      <c r="C782" s="444"/>
      <c r="D782" s="1133"/>
      <c r="E782" s="445"/>
      <c r="F782" s="1146"/>
      <c r="G782" s="1146"/>
      <c r="H782" s="444"/>
      <c r="I782" s="444"/>
      <c r="J782" s="1146"/>
      <c r="K782" s="1146"/>
      <c r="L782" s="444"/>
      <c r="M782" s="444"/>
      <c r="N782" s="1146"/>
      <c r="O782" s="1146"/>
      <c r="P782" s="444"/>
      <c r="Q782" s="444"/>
      <c r="R782" s="1146"/>
      <c r="S782" s="1146"/>
      <c r="T782" s="444"/>
      <c r="U782" s="444"/>
      <c r="V782" s="446"/>
    </row>
    <row r="783" spans="1:57" ht="30" customHeight="1">
      <c r="A783" s="444"/>
      <c r="B783" s="444"/>
      <c r="C783" s="444"/>
      <c r="D783" s="1133"/>
      <c r="E783" s="445"/>
      <c r="F783" s="1146"/>
      <c r="G783" s="1146"/>
      <c r="H783" s="444"/>
      <c r="I783" s="444"/>
      <c r="J783" s="1146"/>
      <c r="K783" s="1146"/>
      <c r="L783" s="444"/>
      <c r="M783" s="444"/>
      <c r="N783" s="1146"/>
      <c r="O783" s="1146"/>
      <c r="P783" s="444"/>
      <c r="Q783" s="444"/>
      <c r="R783" s="1146"/>
      <c r="S783" s="1146"/>
      <c r="T783" s="444"/>
      <c r="U783" s="444"/>
      <c r="V783" s="446"/>
    </row>
    <row r="784" spans="1:57" ht="30" customHeight="1">
      <c r="A784" s="444"/>
      <c r="B784" s="444"/>
      <c r="C784" s="444"/>
      <c r="D784" s="1133"/>
      <c r="E784" s="445"/>
      <c r="F784" s="1146"/>
      <c r="G784" s="1146"/>
      <c r="H784" s="444"/>
      <c r="I784" s="444"/>
      <c r="J784" s="1146"/>
      <c r="K784" s="1146"/>
      <c r="L784" s="444"/>
      <c r="M784" s="444"/>
      <c r="N784" s="1146"/>
      <c r="O784" s="1146"/>
      <c r="P784" s="444"/>
      <c r="Q784" s="444"/>
      <c r="R784" s="1146"/>
      <c r="S784" s="1146"/>
      <c r="T784" s="444"/>
      <c r="U784" s="444"/>
      <c r="V784" s="446"/>
      <c r="W784" s="459"/>
      <c r="X784" s="459"/>
      <c r="Y784" s="459"/>
      <c r="Z784" s="460" t="s">
        <v>712</v>
      </c>
      <c r="AA784" s="459"/>
      <c r="AB784" s="459"/>
      <c r="AC784" s="459"/>
      <c r="AD784" s="459"/>
      <c r="AE784" s="459"/>
      <c r="AF784" s="459"/>
      <c r="AG784" s="459"/>
      <c r="AH784" s="459"/>
      <c r="AI784" s="459"/>
      <c r="AJ784" s="459"/>
      <c r="AK784" s="459"/>
      <c r="AL784" s="459"/>
      <c r="AM784" s="459"/>
      <c r="AN784" s="459"/>
      <c r="AO784" s="459"/>
      <c r="AP784" s="459"/>
      <c r="AQ784" s="459"/>
      <c r="AR784" s="459"/>
      <c r="AS784" s="459"/>
      <c r="AT784" s="459"/>
      <c r="AU784" s="459"/>
      <c r="AV784" s="459"/>
      <c r="AW784" s="459"/>
      <c r="AX784" s="459"/>
      <c r="AY784" s="459"/>
      <c r="AZ784" s="459"/>
      <c r="BA784" s="459"/>
      <c r="BB784" s="459"/>
      <c r="BC784" s="459"/>
      <c r="BD784" s="459"/>
      <c r="BE784" s="459"/>
    </row>
    <row r="785" spans="1:57" ht="30" customHeight="1">
      <c r="A785" s="443" t="s">
        <v>85</v>
      </c>
      <c r="B785" s="444"/>
      <c r="C785" s="444"/>
      <c r="D785" s="1133"/>
      <c r="E785" s="445"/>
      <c r="F785" s="1146"/>
      <c r="G785" s="1147">
        <v>6478825.3900000006</v>
      </c>
      <c r="H785" s="444"/>
      <c r="I785" s="450">
        <f>SUM(I764:I784)</f>
        <v>5173401.16</v>
      </c>
      <c r="J785" s="1146"/>
      <c r="K785" s="1147">
        <v>14063760.540000001</v>
      </c>
      <c r="L785" s="444"/>
      <c r="M785" s="450">
        <f>SUM(M764:M784)</f>
        <v>13552612.039999999</v>
      </c>
      <c r="N785" s="1146"/>
      <c r="O785" s="1147">
        <v>64296.750000000007</v>
      </c>
      <c r="P785" s="444"/>
      <c r="Q785" s="450">
        <f>SUM(Q764:Q784)</f>
        <v>64296.750000000007</v>
      </c>
      <c r="R785" s="1146"/>
      <c r="S785" s="1147">
        <v>20606881</v>
      </c>
      <c r="T785" s="444"/>
      <c r="U785" s="450">
        <f>SUM(U764:U784)</f>
        <v>18790308</v>
      </c>
      <c r="V785" s="446"/>
      <c r="W785" s="448" t="s">
        <v>234</v>
      </c>
      <c r="X785" s="448" t="s">
        <v>51</v>
      </c>
      <c r="Y785" s="448" t="s">
        <v>51</v>
      </c>
      <c r="Z785" s="448" t="s">
        <v>712</v>
      </c>
      <c r="AA785" s="448" t="s">
        <v>61</v>
      </c>
      <c r="AB785" s="448" t="s">
        <v>62</v>
      </c>
      <c r="AC785" s="448" t="s">
        <v>62</v>
      </c>
      <c r="AD785" s="447"/>
      <c r="AE785" s="447"/>
      <c r="AF785" s="447"/>
      <c r="AG785" s="447"/>
      <c r="AH785" s="447"/>
      <c r="AI785" s="447"/>
      <c r="AJ785" s="447"/>
      <c r="AK785" s="447"/>
      <c r="AL785" s="447"/>
      <c r="AM785" s="447"/>
      <c r="AN785" s="447"/>
      <c r="AO785" s="447"/>
      <c r="AP785" s="447"/>
      <c r="AQ785" s="447"/>
      <c r="AR785" s="447"/>
      <c r="AS785" s="447"/>
      <c r="AT785" s="447"/>
      <c r="AU785" s="447"/>
      <c r="AV785" s="447"/>
      <c r="AW785" s="447"/>
      <c r="AX785" s="447"/>
      <c r="AY785" s="447"/>
      <c r="AZ785" s="447"/>
      <c r="BA785" s="448" t="s">
        <v>51</v>
      </c>
      <c r="BB785" s="448" t="s">
        <v>51</v>
      </c>
      <c r="BC785" s="447"/>
      <c r="BD785" s="448" t="s">
        <v>713</v>
      </c>
      <c r="BE785" s="447">
        <v>577</v>
      </c>
    </row>
    <row r="786" spans="1:57" ht="30" customHeight="1">
      <c r="A786" s="455" t="s">
        <v>4776</v>
      </c>
      <c r="B786" s="456"/>
      <c r="C786" s="456"/>
      <c r="D786" s="1134"/>
      <c r="E786" s="457"/>
      <c r="F786" s="1148"/>
      <c r="G786" s="1148"/>
      <c r="H786" s="456"/>
      <c r="I786" s="456"/>
      <c r="J786" s="1148"/>
      <c r="K786" s="1148"/>
      <c r="L786" s="456"/>
      <c r="M786" s="456"/>
      <c r="N786" s="1148"/>
      <c r="O786" s="1148"/>
      <c r="P786" s="456"/>
      <c r="Q786" s="456"/>
      <c r="R786" s="1148"/>
      <c r="S786" s="1148"/>
      <c r="T786" s="456"/>
      <c r="U786" s="456"/>
      <c r="V786" s="458"/>
      <c r="W786" s="448" t="s">
        <v>238</v>
      </c>
      <c r="X786" s="448" t="s">
        <v>51</v>
      </c>
      <c r="Y786" s="448" t="s">
        <v>51</v>
      </c>
      <c r="Z786" s="448" t="s">
        <v>712</v>
      </c>
      <c r="AA786" s="448" t="s">
        <v>61</v>
      </c>
      <c r="AB786" s="448" t="s">
        <v>62</v>
      </c>
      <c r="AC786" s="448" t="s">
        <v>62</v>
      </c>
      <c r="AD786" s="447"/>
      <c r="AE786" s="447"/>
      <c r="AF786" s="447"/>
      <c r="AG786" s="447"/>
      <c r="AH786" s="447"/>
      <c r="AI786" s="447"/>
      <c r="AJ786" s="447"/>
      <c r="AK786" s="447"/>
      <c r="AL786" s="447"/>
      <c r="AM786" s="447"/>
      <c r="AN786" s="447"/>
      <c r="AO786" s="447"/>
      <c r="AP786" s="447"/>
      <c r="AQ786" s="447"/>
      <c r="AR786" s="447"/>
      <c r="AS786" s="447"/>
      <c r="AT786" s="447"/>
      <c r="AU786" s="447"/>
      <c r="AV786" s="447"/>
      <c r="AW786" s="447"/>
      <c r="AX786" s="447"/>
      <c r="AY786" s="447"/>
      <c r="AZ786" s="447"/>
      <c r="BA786" s="448" t="s">
        <v>51</v>
      </c>
      <c r="BB786" s="448" t="s">
        <v>51</v>
      </c>
      <c r="BC786" s="447"/>
      <c r="BD786" s="448" t="s">
        <v>714</v>
      </c>
      <c r="BE786" s="447">
        <v>578</v>
      </c>
    </row>
    <row r="787" spans="1:57" ht="30" customHeight="1">
      <c r="A787" s="443" t="s">
        <v>233</v>
      </c>
      <c r="B787" s="443" t="s">
        <v>153</v>
      </c>
      <c r="C787" s="443" t="s">
        <v>59</v>
      </c>
      <c r="D787" s="1133">
        <v>40.9</v>
      </c>
      <c r="E787" s="445">
        <f>'2층전시실산출 '!H220</f>
        <v>40.9</v>
      </c>
      <c r="F787" s="1147">
        <v>2167</v>
      </c>
      <c r="G787" s="1147">
        <v>88630.3</v>
      </c>
      <c r="H787" s="450">
        <f>TRUNC(일위대가목록!F47,0)</f>
        <v>2139</v>
      </c>
      <c r="I787" s="450">
        <f>E787*H787</f>
        <v>87485.099999999991</v>
      </c>
      <c r="J787" s="1147">
        <v>34936</v>
      </c>
      <c r="K787" s="1147">
        <v>1428882.4</v>
      </c>
      <c r="L787" s="450">
        <f>TRUNC(일위대가목록!H47,0)</f>
        <v>4558</v>
      </c>
      <c r="M787" s="450">
        <f>E787*L787</f>
        <v>186422.19999999998</v>
      </c>
      <c r="N787" s="1147">
        <v>0</v>
      </c>
      <c r="O787" s="1147">
        <v>0</v>
      </c>
      <c r="P787" s="450">
        <f>TRUNC(일위대가목록!J47,0)</f>
        <v>0</v>
      </c>
      <c r="Q787" s="450">
        <f>TRUNC(P787*E787, 0)</f>
        <v>0</v>
      </c>
      <c r="R787" s="1147">
        <v>37103</v>
      </c>
      <c r="S787" s="1147">
        <v>1517512</v>
      </c>
      <c r="T787" s="450">
        <f t="shared" ref="T787:U789" si="90">TRUNC(H787+L787+P787, 0)</f>
        <v>6697</v>
      </c>
      <c r="U787" s="450">
        <f t="shared" si="90"/>
        <v>273907</v>
      </c>
      <c r="V787" s="454" t="str">
        <f>일위대가목록!M47</f>
        <v>호표 44</v>
      </c>
      <c r="W787" s="448" t="s">
        <v>242</v>
      </c>
      <c r="X787" s="448" t="s">
        <v>51</v>
      </c>
      <c r="Y787" s="448" t="s">
        <v>51</v>
      </c>
      <c r="Z787" s="448" t="s">
        <v>712</v>
      </c>
      <c r="AA787" s="448" t="s">
        <v>61</v>
      </c>
      <c r="AB787" s="448" t="s">
        <v>62</v>
      </c>
      <c r="AC787" s="448" t="s">
        <v>62</v>
      </c>
      <c r="AD787" s="447"/>
      <c r="AE787" s="447"/>
      <c r="AF787" s="447"/>
      <c r="AG787" s="447"/>
      <c r="AH787" s="447"/>
      <c r="AI787" s="447"/>
      <c r="AJ787" s="447"/>
      <c r="AK787" s="447"/>
      <c r="AL787" s="447"/>
      <c r="AM787" s="447"/>
      <c r="AN787" s="447"/>
      <c r="AO787" s="447"/>
      <c r="AP787" s="447"/>
      <c r="AQ787" s="447"/>
      <c r="AR787" s="447"/>
      <c r="AS787" s="447"/>
      <c r="AT787" s="447"/>
      <c r="AU787" s="447"/>
      <c r="AV787" s="447"/>
      <c r="AW787" s="447"/>
      <c r="AX787" s="447"/>
      <c r="AY787" s="447"/>
      <c r="AZ787" s="447"/>
      <c r="BA787" s="448" t="s">
        <v>51</v>
      </c>
      <c r="BB787" s="448" t="s">
        <v>51</v>
      </c>
      <c r="BC787" s="447"/>
      <c r="BD787" s="448" t="s">
        <v>715</v>
      </c>
      <c r="BE787" s="447">
        <v>579</v>
      </c>
    </row>
    <row r="788" spans="1:57" ht="30" customHeight="1">
      <c r="A788" s="443" t="s">
        <v>236</v>
      </c>
      <c r="B788" s="464" t="s">
        <v>2713</v>
      </c>
      <c r="C788" s="443" t="s">
        <v>59</v>
      </c>
      <c r="D788" s="1133">
        <v>72.900000000000006</v>
      </c>
      <c r="E788" s="445">
        <f>'2층전시실산출 '!H221</f>
        <v>72.900000000000006</v>
      </c>
      <c r="F788" s="1147">
        <v>7050</v>
      </c>
      <c r="G788" s="1147">
        <v>513945.00000000006</v>
      </c>
      <c r="H788" s="450">
        <f>TRUNC(일위대가목록!F48,0)</f>
        <v>7050</v>
      </c>
      <c r="I788" s="450">
        <f>E788*H788</f>
        <v>513945.00000000006</v>
      </c>
      <c r="J788" s="1147">
        <v>10986</v>
      </c>
      <c r="K788" s="1147">
        <v>800879.4</v>
      </c>
      <c r="L788" s="450">
        <f>TRUNC(일위대가목록!H48,0)</f>
        <v>10986</v>
      </c>
      <c r="M788" s="450">
        <f>E788*L788</f>
        <v>800879.4</v>
      </c>
      <c r="N788" s="1147">
        <v>0</v>
      </c>
      <c r="O788" s="1147">
        <v>0</v>
      </c>
      <c r="P788" s="450">
        <f>TRUNC(일위대가목록!J48,0)</f>
        <v>0</v>
      </c>
      <c r="Q788" s="450">
        <f>TRUNC(P788*E788, 0)</f>
        <v>0</v>
      </c>
      <c r="R788" s="1147">
        <v>18036</v>
      </c>
      <c r="S788" s="1147">
        <v>1314824</v>
      </c>
      <c r="T788" s="450">
        <f t="shared" si="90"/>
        <v>18036</v>
      </c>
      <c r="U788" s="450">
        <f t="shared" si="90"/>
        <v>1314824</v>
      </c>
      <c r="V788" s="454" t="str">
        <f>일위대가목록!M48</f>
        <v>호표 45</v>
      </c>
    </row>
    <row r="789" spans="1:57" ht="30" customHeight="1">
      <c r="A789" s="443" t="s">
        <v>240</v>
      </c>
      <c r="B789" s="443" t="s">
        <v>241</v>
      </c>
      <c r="C789" s="443" t="s">
        <v>59</v>
      </c>
      <c r="D789" s="1133">
        <v>72.900000000000006</v>
      </c>
      <c r="E789" s="445">
        <f>'2층전시실산출 '!H222</f>
        <v>72.900000000000006</v>
      </c>
      <c r="F789" s="1147">
        <v>64510</v>
      </c>
      <c r="G789" s="1147">
        <v>4702779</v>
      </c>
      <c r="H789" s="450">
        <f>TRUNC(일위대가목록!F49,0)</f>
        <v>64510</v>
      </c>
      <c r="I789" s="450">
        <f>E789*H789</f>
        <v>4702779</v>
      </c>
      <c r="J789" s="1147">
        <v>35743</v>
      </c>
      <c r="K789" s="1147">
        <v>2605664.7000000002</v>
      </c>
      <c r="L789" s="450">
        <f>TRUNC(일위대가목록!H49,0)</f>
        <v>35743</v>
      </c>
      <c r="M789" s="450">
        <f>E789*L789</f>
        <v>2605664.7000000002</v>
      </c>
      <c r="N789" s="1147">
        <v>0</v>
      </c>
      <c r="O789" s="1147">
        <v>0</v>
      </c>
      <c r="P789" s="450">
        <f>TRUNC(일위대가목록!J49,0)</f>
        <v>0</v>
      </c>
      <c r="Q789" s="450">
        <f>TRUNC(P789*E789, 0)</f>
        <v>0</v>
      </c>
      <c r="R789" s="1147">
        <v>100253</v>
      </c>
      <c r="S789" s="1147">
        <v>7308443</v>
      </c>
      <c r="T789" s="450">
        <f t="shared" si="90"/>
        <v>100253</v>
      </c>
      <c r="U789" s="450">
        <f t="shared" si="90"/>
        <v>7308443</v>
      </c>
      <c r="V789" s="454" t="str">
        <f>일위대가목록!M49</f>
        <v>호표 46</v>
      </c>
    </row>
    <row r="790" spans="1:57" ht="30" customHeight="1">
      <c r="A790" s="444"/>
      <c r="B790" s="444"/>
      <c r="C790" s="444"/>
      <c r="D790" s="1133"/>
      <c r="E790" s="445"/>
      <c r="F790" s="1146"/>
      <c r="G790" s="1146"/>
      <c r="H790" s="444"/>
      <c r="I790" s="444"/>
      <c r="J790" s="1146"/>
      <c r="K790" s="1146"/>
      <c r="L790" s="444"/>
      <c r="M790" s="444"/>
      <c r="N790" s="1146"/>
      <c r="O790" s="1146"/>
      <c r="P790" s="444"/>
      <c r="Q790" s="444"/>
      <c r="R790" s="1146"/>
      <c r="S790" s="1146"/>
      <c r="T790" s="444"/>
      <c r="U790" s="444"/>
      <c r="V790" s="446"/>
    </row>
    <row r="791" spans="1:57" ht="30" customHeight="1">
      <c r="A791" s="444"/>
      <c r="B791" s="444"/>
      <c r="C791" s="444"/>
      <c r="D791" s="1133"/>
      <c r="E791" s="445"/>
      <c r="F791" s="1146"/>
      <c r="G791" s="1146"/>
      <c r="H791" s="444"/>
      <c r="I791" s="444"/>
      <c r="J791" s="1146"/>
      <c r="K791" s="1146"/>
      <c r="L791" s="444"/>
      <c r="M791" s="444"/>
      <c r="N791" s="1146"/>
      <c r="O791" s="1146"/>
      <c r="P791" s="444"/>
      <c r="Q791" s="444"/>
      <c r="R791" s="1146"/>
      <c r="S791" s="1146"/>
      <c r="T791" s="444"/>
      <c r="U791" s="444"/>
      <c r="V791" s="446"/>
    </row>
    <row r="792" spans="1:57" ht="30" customHeight="1">
      <c r="A792" s="444"/>
      <c r="B792" s="444"/>
      <c r="C792" s="444"/>
      <c r="D792" s="1133"/>
      <c r="E792" s="445"/>
      <c r="F792" s="1146"/>
      <c r="G792" s="1146"/>
      <c r="H792" s="444"/>
      <c r="I792" s="444"/>
      <c r="J792" s="1146"/>
      <c r="K792" s="1146"/>
      <c r="L792" s="444"/>
      <c r="M792" s="444"/>
      <c r="N792" s="1146"/>
      <c r="O792" s="1146"/>
      <c r="P792" s="444"/>
      <c r="Q792" s="444"/>
      <c r="R792" s="1146"/>
      <c r="S792" s="1146"/>
      <c r="T792" s="444"/>
      <c r="U792" s="444"/>
      <c r="V792" s="446"/>
    </row>
    <row r="793" spans="1:57" ht="30" customHeight="1">
      <c r="A793" s="444"/>
      <c r="B793" s="444"/>
      <c r="C793" s="444"/>
      <c r="D793" s="1133"/>
      <c r="E793" s="445"/>
      <c r="F793" s="1146"/>
      <c r="G793" s="1146"/>
      <c r="H793" s="444"/>
      <c r="I793" s="444"/>
      <c r="J793" s="1146"/>
      <c r="K793" s="1146"/>
      <c r="L793" s="444"/>
      <c r="M793" s="444"/>
      <c r="N793" s="1146"/>
      <c r="O793" s="1146"/>
      <c r="P793" s="444"/>
      <c r="Q793" s="444"/>
      <c r="R793" s="1146"/>
      <c r="S793" s="1146"/>
      <c r="T793" s="444"/>
      <c r="U793" s="444"/>
      <c r="V793" s="446"/>
    </row>
    <row r="794" spans="1:57" ht="30" customHeight="1">
      <c r="A794" s="444"/>
      <c r="B794" s="444"/>
      <c r="C794" s="444"/>
      <c r="D794" s="1133"/>
      <c r="E794" s="445"/>
      <c r="F794" s="1146"/>
      <c r="G794" s="1146"/>
      <c r="H794" s="444"/>
      <c r="I794" s="444"/>
      <c r="J794" s="1146"/>
      <c r="K794" s="1146"/>
      <c r="L794" s="444"/>
      <c r="M794" s="444"/>
      <c r="N794" s="1146"/>
      <c r="O794" s="1146"/>
      <c r="P794" s="444"/>
      <c r="Q794" s="444"/>
      <c r="R794" s="1146"/>
      <c r="S794" s="1146"/>
      <c r="T794" s="444"/>
      <c r="U794" s="444"/>
      <c r="V794" s="446"/>
    </row>
    <row r="795" spans="1:57" ht="30" customHeight="1">
      <c r="A795" s="444"/>
      <c r="B795" s="444"/>
      <c r="C795" s="444"/>
      <c r="D795" s="1133"/>
      <c r="E795" s="445"/>
      <c r="F795" s="1146"/>
      <c r="G795" s="1146"/>
      <c r="H795" s="444"/>
      <c r="I795" s="444"/>
      <c r="J795" s="1146"/>
      <c r="K795" s="1146"/>
      <c r="L795" s="444"/>
      <c r="M795" s="444"/>
      <c r="N795" s="1146"/>
      <c r="O795" s="1146"/>
      <c r="P795" s="444"/>
      <c r="Q795" s="444"/>
      <c r="R795" s="1146"/>
      <c r="S795" s="1146"/>
      <c r="T795" s="444"/>
      <c r="U795" s="444"/>
      <c r="V795" s="446"/>
    </row>
    <row r="796" spans="1:57" ht="30" customHeight="1">
      <c r="A796" s="444"/>
      <c r="B796" s="444"/>
      <c r="C796" s="444"/>
      <c r="D796" s="1133"/>
      <c r="E796" s="445"/>
      <c r="F796" s="1146"/>
      <c r="G796" s="1146"/>
      <c r="H796" s="444"/>
      <c r="I796" s="444"/>
      <c r="J796" s="1146"/>
      <c r="K796" s="1146"/>
      <c r="L796" s="444"/>
      <c r="M796" s="444"/>
      <c r="N796" s="1146"/>
      <c r="O796" s="1146"/>
      <c r="P796" s="444"/>
      <c r="Q796" s="444"/>
      <c r="R796" s="1146"/>
      <c r="S796" s="1146"/>
      <c r="T796" s="444"/>
      <c r="U796" s="444"/>
      <c r="V796" s="446"/>
    </row>
    <row r="797" spans="1:57" ht="30" customHeight="1">
      <c r="A797" s="444"/>
      <c r="B797" s="444"/>
      <c r="C797" s="444"/>
      <c r="D797" s="1133"/>
      <c r="E797" s="445"/>
      <c r="F797" s="1146"/>
      <c r="G797" s="1146"/>
      <c r="H797" s="444"/>
      <c r="I797" s="444"/>
      <c r="J797" s="1146"/>
      <c r="K797" s="1146"/>
      <c r="L797" s="444"/>
      <c r="M797" s="444"/>
      <c r="N797" s="1146"/>
      <c r="O797" s="1146"/>
      <c r="P797" s="444"/>
      <c r="Q797" s="444"/>
      <c r="R797" s="1146"/>
      <c r="S797" s="1146"/>
      <c r="T797" s="444"/>
      <c r="U797" s="444"/>
      <c r="V797" s="446"/>
    </row>
    <row r="798" spans="1:57" ht="30" customHeight="1">
      <c r="A798" s="444"/>
      <c r="B798" s="444"/>
      <c r="C798" s="444"/>
      <c r="D798" s="1133"/>
      <c r="E798" s="445"/>
      <c r="F798" s="1146"/>
      <c r="G798" s="1146"/>
      <c r="H798" s="444"/>
      <c r="I798" s="444"/>
      <c r="J798" s="1146"/>
      <c r="K798" s="1146"/>
      <c r="L798" s="444"/>
      <c r="M798" s="444"/>
      <c r="N798" s="1146"/>
      <c r="O798" s="1146"/>
      <c r="P798" s="444"/>
      <c r="Q798" s="444"/>
      <c r="R798" s="1146"/>
      <c r="S798" s="1146"/>
      <c r="T798" s="444"/>
      <c r="U798" s="444"/>
      <c r="V798" s="446"/>
    </row>
    <row r="799" spans="1:57" ht="30" customHeight="1">
      <c r="A799" s="444"/>
      <c r="B799" s="444"/>
      <c r="C799" s="444"/>
      <c r="D799" s="1133"/>
      <c r="E799" s="445"/>
      <c r="F799" s="1146"/>
      <c r="G799" s="1146"/>
      <c r="H799" s="444"/>
      <c r="I799" s="444"/>
      <c r="J799" s="1146"/>
      <c r="K799" s="1146"/>
      <c r="L799" s="444"/>
      <c r="M799" s="444"/>
      <c r="N799" s="1146"/>
      <c r="O799" s="1146"/>
      <c r="P799" s="444"/>
      <c r="Q799" s="444"/>
      <c r="R799" s="1146"/>
      <c r="S799" s="1146"/>
      <c r="T799" s="444"/>
      <c r="U799" s="444"/>
      <c r="V799" s="446"/>
    </row>
    <row r="800" spans="1:57" ht="30" customHeight="1">
      <c r="A800" s="444"/>
      <c r="B800" s="444"/>
      <c r="C800" s="444"/>
      <c r="D800" s="1133"/>
      <c r="E800" s="445"/>
      <c r="F800" s="1146"/>
      <c r="G800" s="1146"/>
      <c r="H800" s="444"/>
      <c r="I800" s="444"/>
      <c r="J800" s="1146"/>
      <c r="K800" s="1146"/>
      <c r="L800" s="444"/>
      <c r="M800" s="444"/>
      <c r="N800" s="1146"/>
      <c r="O800" s="1146"/>
      <c r="P800" s="444"/>
      <c r="Q800" s="444"/>
      <c r="R800" s="1146"/>
      <c r="S800" s="1146"/>
      <c r="T800" s="444"/>
      <c r="U800" s="444"/>
      <c r="V800" s="446"/>
    </row>
    <row r="801" spans="1:57" ht="30" customHeight="1">
      <c r="A801" s="444"/>
      <c r="B801" s="444"/>
      <c r="C801" s="444"/>
      <c r="D801" s="1133"/>
      <c r="E801" s="445"/>
      <c r="F801" s="1146"/>
      <c r="G801" s="1146"/>
      <c r="H801" s="444"/>
      <c r="I801" s="444"/>
      <c r="J801" s="1146"/>
      <c r="K801" s="1146"/>
      <c r="L801" s="444"/>
      <c r="M801" s="444"/>
      <c r="N801" s="1146"/>
      <c r="O801" s="1146"/>
      <c r="P801" s="444"/>
      <c r="Q801" s="444"/>
      <c r="R801" s="1146"/>
      <c r="S801" s="1146"/>
      <c r="T801" s="444"/>
      <c r="U801" s="444"/>
      <c r="V801" s="446"/>
    </row>
    <row r="802" spans="1:57" ht="30" customHeight="1">
      <c r="A802" s="444"/>
      <c r="B802" s="444"/>
      <c r="C802" s="444"/>
      <c r="D802" s="1133"/>
      <c r="E802" s="445"/>
      <c r="F802" s="1146"/>
      <c r="G802" s="1146"/>
      <c r="H802" s="444"/>
      <c r="I802" s="444"/>
      <c r="J802" s="1146"/>
      <c r="K802" s="1146"/>
      <c r="L802" s="444"/>
      <c r="M802" s="444"/>
      <c r="N802" s="1146"/>
      <c r="O802" s="1146"/>
      <c r="P802" s="444"/>
      <c r="Q802" s="444"/>
      <c r="R802" s="1146"/>
      <c r="S802" s="1146"/>
      <c r="T802" s="444"/>
      <c r="U802" s="444"/>
      <c r="V802" s="446"/>
    </row>
    <row r="803" spans="1:57" ht="30" customHeight="1">
      <c r="A803" s="444"/>
      <c r="B803" s="444"/>
      <c r="C803" s="444"/>
      <c r="D803" s="1133"/>
      <c r="E803" s="445"/>
      <c r="F803" s="1146"/>
      <c r="G803" s="1146"/>
      <c r="H803" s="444"/>
      <c r="I803" s="444"/>
      <c r="J803" s="1146"/>
      <c r="K803" s="1146"/>
      <c r="L803" s="444"/>
      <c r="M803" s="444"/>
      <c r="N803" s="1146"/>
      <c r="O803" s="1146"/>
      <c r="P803" s="444"/>
      <c r="Q803" s="444"/>
      <c r="R803" s="1146"/>
      <c r="S803" s="1146"/>
      <c r="T803" s="444"/>
      <c r="U803" s="444"/>
      <c r="V803" s="446"/>
    </row>
    <row r="804" spans="1:57" ht="30" customHeight="1">
      <c r="A804" s="444"/>
      <c r="B804" s="444"/>
      <c r="C804" s="444"/>
      <c r="D804" s="1133"/>
      <c r="E804" s="445"/>
      <c r="F804" s="1146"/>
      <c r="G804" s="1146"/>
      <c r="H804" s="444"/>
      <c r="I804" s="444"/>
      <c r="J804" s="1146"/>
      <c r="K804" s="1146"/>
      <c r="L804" s="444"/>
      <c r="M804" s="444"/>
      <c r="N804" s="1146"/>
      <c r="O804" s="1146"/>
      <c r="P804" s="444"/>
      <c r="Q804" s="444"/>
      <c r="R804" s="1146"/>
      <c r="S804" s="1146"/>
      <c r="T804" s="444"/>
      <c r="U804" s="444"/>
      <c r="V804" s="446"/>
    </row>
    <row r="805" spans="1:57" ht="30" customHeight="1">
      <c r="A805" s="444"/>
      <c r="B805" s="444"/>
      <c r="C805" s="444"/>
      <c r="D805" s="1133"/>
      <c r="E805" s="445"/>
      <c r="F805" s="1146"/>
      <c r="G805" s="1146"/>
      <c r="H805" s="444"/>
      <c r="I805" s="444"/>
      <c r="J805" s="1146"/>
      <c r="K805" s="1146"/>
      <c r="L805" s="444"/>
      <c r="M805" s="444"/>
      <c r="N805" s="1146"/>
      <c r="O805" s="1146"/>
      <c r="P805" s="444"/>
      <c r="Q805" s="444"/>
      <c r="R805" s="1146"/>
      <c r="S805" s="1146"/>
      <c r="T805" s="444"/>
      <c r="U805" s="444"/>
      <c r="V805" s="446"/>
    </row>
    <row r="806" spans="1:57" ht="30" customHeight="1">
      <c r="A806" s="444"/>
      <c r="B806" s="444"/>
      <c r="C806" s="444"/>
      <c r="D806" s="1133"/>
      <c r="E806" s="445"/>
      <c r="F806" s="1146"/>
      <c r="G806" s="1146"/>
      <c r="H806" s="444"/>
      <c r="I806" s="444"/>
      <c r="J806" s="1146"/>
      <c r="K806" s="1146"/>
      <c r="L806" s="444"/>
      <c r="M806" s="444"/>
      <c r="N806" s="1146"/>
      <c r="O806" s="1146"/>
      <c r="P806" s="444"/>
      <c r="Q806" s="444"/>
      <c r="R806" s="1146"/>
      <c r="S806" s="1146"/>
      <c r="T806" s="444"/>
      <c r="U806" s="444"/>
      <c r="V806" s="446"/>
    </row>
    <row r="807" spans="1:57" ht="30" customHeight="1">
      <c r="A807" s="444"/>
      <c r="B807" s="444"/>
      <c r="C807" s="444"/>
      <c r="D807" s="1133"/>
      <c r="E807" s="445"/>
      <c r="F807" s="1146"/>
      <c r="G807" s="1146"/>
      <c r="H807" s="444"/>
      <c r="I807" s="444"/>
      <c r="J807" s="1146"/>
      <c r="K807" s="1146"/>
      <c r="L807" s="444"/>
      <c r="M807" s="444"/>
      <c r="N807" s="1146"/>
      <c r="O807" s="1146"/>
      <c r="P807" s="444"/>
      <c r="Q807" s="444"/>
      <c r="R807" s="1146"/>
      <c r="S807" s="1146"/>
      <c r="T807" s="444"/>
      <c r="U807" s="444"/>
      <c r="V807" s="446"/>
      <c r="W807" s="447"/>
      <c r="X807" s="447"/>
      <c r="Y807" s="447"/>
      <c r="Z807" s="448" t="s">
        <v>716</v>
      </c>
      <c r="AA807" s="447"/>
      <c r="AB807" s="447"/>
      <c r="AC807" s="447"/>
      <c r="AD807" s="447"/>
      <c r="AE807" s="447"/>
      <c r="AF807" s="447"/>
      <c r="AG807" s="447"/>
      <c r="AH807" s="447"/>
      <c r="AI807" s="447"/>
      <c r="AJ807" s="447"/>
      <c r="AK807" s="447"/>
      <c r="AL807" s="447"/>
      <c r="AM807" s="447"/>
      <c r="AN807" s="447"/>
      <c r="AO807" s="447"/>
      <c r="AP807" s="447"/>
      <c r="AQ807" s="447"/>
      <c r="AR807" s="447"/>
      <c r="AS807" s="447"/>
      <c r="AT807" s="447"/>
      <c r="AU807" s="447"/>
      <c r="AV807" s="447"/>
      <c r="AW807" s="447"/>
      <c r="AX807" s="447"/>
      <c r="AY807" s="447"/>
      <c r="AZ807" s="447"/>
      <c r="BA807" s="447"/>
      <c r="BB807" s="447"/>
      <c r="BC807" s="447"/>
      <c r="BD807" s="447"/>
      <c r="BE807" s="447"/>
    </row>
    <row r="808" spans="1:57" ht="30" customHeight="1">
      <c r="A808" s="443" t="s">
        <v>85</v>
      </c>
      <c r="B808" s="444"/>
      <c r="C808" s="444"/>
      <c r="D808" s="1133"/>
      <c r="E808" s="445"/>
      <c r="F808" s="1146"/>
      <c r="G808" s="1147">
        <v>5305354.3</v>
      </c>
      <c r="H808" s="444"/>
      <c r="I808" s="450">
        <f>SUM(I787:I807)</f>
        <v>5304209.0999999996</v>
      </c>
      <c r="J808" s="1146"/>
      <c r="K808" s="1147">
        <v>4835426.5</v>
      </c>
      <c r="L808" s="444"/>
      <c r="M808" s="450">
        <f>SUM(M787:M807)</f>
        <v>3592966.3000000003</v>
      </c>
      <c r="N808" s="1146"/>
      <c r="O808" s="1147">
        <v>0</v>
      </c>
      <c r="P808" s="444"/>
      <c r="Q808" s="450">
        <f>SUM(Q787:Q807)</f>
        <v>0</v>
      </c>
      <c r="R808" s="1146"/>
      <c r="S808" s="1147">
        <v>10140779</v>
      </c>
      <c r="T808" s="444"/>
      <c r="U808" s="450">
        <f>SUM(U787:U807)</f>
        <v>8897174</v>
      </c>
      <c r="V808" s="446"/>
      <c r="W808" s="448" t="s">
        <v>718</v>
      </c>
      <c r="X808" s="448" t="s">
        <v>51</v>
      </c>
      <c r="Y808" s="448" t="s">
        <v>51</v>
      </c>
      <c r="Z808" s="448" t="s">
        <v>716</v>
      </c>
      <c r="AA808" s="448" t="s">
        <v>61</v>
      </c>
      <c r="AB808" s="448" t="s">
        <v>62</v>
      </c>
      <c r="AC808" s="448" t="s">
        <v>62</v>
      </c>
      <c r="AD808" s="447"/>
      <c r="AE808" s="447"/>
      <c r="AF808" s="447"/>
      <c r="AG808" s="447"/>
      <c r="AH808" s="447"/>
      <c r="AI808" s="447"/>
      <c r="AJ808" s="447"/>
      <c r="AK808" s="447"/>
      <c r="AL808" s="447"/>
      <c r="AM808" s="447"/>
      <c r="AN808" s="447"/>
      <c r="AO808" s="447"/>
      <c r="AP808" s="447"/>
      <c r="AQ808" s="447"/>
      <c r="AR808" s="447"/>
      <c r="AS808" s="447"/>
      <c r="AT808" s="447"/>
      <c r="AU808" s="447"/>
      <c r="AV808" s="447"/>
      <c r="AW808" s="447"/>
      <c r="AX808" s="447"/>
      <c r="AY808" s="447"/>
      <c r="AZ808" s="447"/>
      <c r="BA808" s="448" t="s">
        <v>51</v>
      </c>
      <c r="BB808" s="448" t="s">
        <v>51</v>
      </c>
      <c r="BC808" s="447"/>
      <c r="BD808" s="448" t="s">
        <v>719</v>
      </c>
      <c r="BE808" s="447">
        <v>171</v>
      </c>
    </row>
    <row r="809" spans="1:57" ht="30" customHeight="1">
      <c r="A809" s="465" t="s">
        <v>4777</v>
      </c>
      <c r="B809" s="468"/>
      <c r="C809" s="468"/>
      <c r="D809" s="1133"/>
      <c r="E809" s="466"/>
      <c r="F809" s="1146"/>
      <c r="G809" s="1146"/>
      <c r="H809" s="468"/>
      <c r="I809" s="444"/>
      <c r="J809" s="1146"/>
      <c r="K809" s="1146"/>
      <c r="L809" s="444"/>
      <c r="M809" s="444"/>
      <c r="N809" s="1146"/>
      <c r="O809" s="1146"/>
      <c r="P809" s="444"/>
      <c r="Q809" s="444"/>
      <c r="R809" s="1146"/>
      <c r="S809" s="1146"/>
      <c r="T809" s="444"/>
      <c r="U809" s="444"/>
      <c r="V809" s="446"/>
      <c r="W809" s="448" t="s">
        <v>721</v>
      </c>
      <c r="X809" s="448" t="s">
        <v>51</v>
      </c>
      <c r="Y809" s="448" t="s">
        <v>51</v>
      </c>
      <c r="Z809" s="448" t="s">
        <v>716</v>
      </c>
      <c r="AA809" s="448" t="s">
        <v>61</v>
      </c>
      <c r="AB809" s="448" t="s">
        <v>62</v>
      </c>
      <c r="AC809" s="448" t="s">
        <v>62</v>
      </c>
      <c r="AD809" s="447"/>
      <c r="AE809" s="447"/>
      <c r="AF809" s="447"/>
      <c r="AG809" s="447"/>
      <c r="AH809" s="447"/>
      <c r="AI809" s="447"/>
      <c r="AJ809" s="447"/>
      <c r="AK809" s="447"/>
      <c r="AL809" s="447"/>
      <c r="AM809" s="447"/>
      <c r="AN809" s="447"/>
      <c r="AO809" s="447"/>
      <c r="AP809" s="447"/>
      <c r="AQ809" s="447"/>
      <c r="AR809" s="447"/>
      <c r="AS809" s="447"/>
      <c r="AT809" s="447"/>
      <c r="AU809" s="447"/>
      <c r="AV809" s="447"/>
      <c r="AW809" s="447"/>
      <c r="AX809" s="447"/>
      <c r="AY809" s="447"/>
      <c r="AZ809" s="447"/>
      <c r="BA809" s="448" t="s">
        <v>51</v>
      </c>
      <c r="BB809" s="448" t="s">
        <v>51</v>
      </c>
      <c r="BC809" s="447"/>
      <c r="BD809" s="448" t="s">
        <v>722</v>
      </c>
      <c r="BE809" s="447">
        <v>172</v>
      </c>
    </row>
    <row r="810" spans="1:57" ht="30" customHeight="1">
      <c r="A810" s="484" t="s">
        <v>2999</v>
      </c>
      <c r="B810" s="485" t="s">
        <v>2683</v>
      </c>
      <c r="C810" s="465" t="s">
        <v>321</v>
      </c>
      <c r="D810" s="1133">
        <v>1</v>
      </c>
      <c r="E810" s="466">
        <f>'2층전시실산출 '!H225</f>
        <v>1</v>
      </c>
      <c r="F810" s="1147">
        <v>3050000</v>
      </c>
      <c r="G810" s="1147">
        <v>3050000</v>
      </c>
      <c r="H810" s="486">
        <f>일위대가목록!F130</f>
        <v>3050000</v>
      </c>
      <c r="I810" s="450">
        <f t="shared" ref="I810:I826" si="91">E810*H810</f>
        <v>3050000</v>
      </c>
      <c r="J810" s="1147">
        <v>1103220</v>
      </c>
      <c r="K810" s="1147">
        <v>1103220</v>
      </c>
      <c r="L810" s="450">
        <f>일위대가목록!H130</f>
        <v>1103220</v>
      </c>
      <c r="M810" s="450">
        <f t="shared" ref="M810:M826" si="92">E810*L810</f>
        <v>1103220</v>
      </c>
      <c r="N810" s="1147">
        <v>0</v>
      </c>
      <c r="O810" s="1147">
        <v>0</v>
      </c>
      <c r="P810" s="450">
        <f>TRUNC(일위대가목록!J92,0)</f>
        <v>0</v>
      </c>
      <c r="Q810" s="450">
        <f t="shared" ref="Q810:Q819" si="93">TRUNC(P810*E810, 0)</f>
        <v>0</v>
      </c>
      <c r="R810" s="1147">
        <v>4153220</v>
      </c>
      <c r="S810" s="1147">
        <v>4153220</v>
      </c>
      <c r="T810" s="450">
        <f t="shared" ref="T810:T826" si="94">TRUNC(H810+L810+P810, 0)</f>
        <v>4153220</v>
      </c>
      <c r="U810" s="450">
        <f t="shared" ref="U810:U826" si="95">TRUNC(I810+M810+Q810, 0)</f>
        <v>4153220</v>
      </c>
      <c r="V810" s="454" t="str">
        <f>일위대가목록!M130</f>
        <v>호표 127</v>
      </c>
      <c r="W810" s="448" t="s">
        <v>724</v>
      </c>
      <c r="X810" s="448" t="s">
        <v>51</v>
      </c>
      <c r="Y810" s="448" t="s">
        <v>51</v>
      </c>
      <c r="Z810" s="448" t="s">
        <v>716</v>
      </c>
      <c r="AA810" s="448" t="s">
        <v>61</v>
      </c>
      <c r="AB810" s="448" t="s">
        <v>62</v>
      </c>
      <c r="AC810" s="448" t="s">
        <v>62</v>
      </c>
      <c r="AD810" s="447"/>
      <c r="AE810" s="447"/>
      <c r="AF810" s="447"/>
      <c r="AG810" s="447"/>
      <c r="AH810" s="447"/>
      <c r="AI810" s="447"/>
      <c r="AJ810" s="447"/>
      <c r="AK810" s="447"/>
      <c r="AL810" s="447"/>
      <c r="AM810" s="447"/>
      <c r="AN810" s="447"/>
      <c r="AO810" s="447"/>
      <c r="AP810" s="447"/>
      <c r="AQ810" s="447"/>
      <c r="AR810" s="447"/>
      <c r="AS810" s="447"/>
      <c r="AT810" s="447"/>
      <c r="AU810" s="447"/>
      <c r="AV810" s="447"/>
      <c r="AW810" s="447"/>
      <c r="AX810" s="447"/>
      <c r="AY810" s="447"/>
      <c r="AZ810" s="447"/>
      <c r="BA810" s="448" t="s">
        <v>51</v>
      </c>
      <c r="BB810" s="448" t="s">
        <v>51</v>
      </c>
      <c r="BC810" s="447"/>
      <c r="BD810" s="448" t="s">
        <v>725</v>
      </c>
      <c r="BE810" s="447">
        <v>173</v>
      </c>
    </row>
    <row r="811" spans="1:57" ht="30" customHeight="1">
      <c r="A811" s="484" t="s">
        <v>2998</v>
      </c>
      <c r="B811" s="485" t="s">
        <v>2997</v>
      </c>
      <c r="C811" s="465" t="s">
        <v>321</v>
      </c>
      <c r="D811" s="1133">
        <v>1</v>
      </c>
      <c r="E811" s="466">
        <f>'2층전시실산출 '!H226</f>
        <v>1</v>
      </c>
      <c r="F811" s="1147">
        <v>3937500</v>
      </c>
      <c r="G811" s="1147">
        <v>3937500</v>
      </c>
      <c r="H811" s="486">
        <f>일위대가목록!F91</f>
        <v>3937500</v>
      </c>
      <c r="I811" s="450">
        <f t="shared" si="91"/>
        <v>3937500</v>
      </c>
      <c r="J811" s="1147">
        <v>1287090</v>
      </c>
      <c r="K811" s="1147">
        <v>1287090</v>
      </c>
      <c r="L811" s="450">
        <f>일위대가목록!H91</f>
        <v>1287090</v>
      </c>
      <c r="M811" s="450">
        <f t="shared" si="92"/>
        <v>1287090</v>
      </c>
      <c r="N811" s="1147">
        <v>0</v>
      </c>
      <c r="O811" s="1147">
        <v>0</v>
      </c>
      <c r="P811" s="450">
        <f>TRUNC(일위대가목록!J93,0)</f>
        <v>0</v>
      </c>
      <c r="Q811" s="450">
        <f t="shared" si="93"/>
        <v>0</v>
      </c>
      <c r="R811" s="1147">
        <v>5224590</v>
      </c>
      <c r="S811" s="1147">
        <v>5224590</v>
      </c>
      <c r="T811" s="450">
        <f t="shared" si="94"/>
        <v>5224590</v>
      </c>
      <c r="U811" s="450">
        <f t="shared" si="95"/>
        <v>5224590</v>
      </c>
      <c r="V811" s="454" t="str">
        <f>일위대가목록!M91</f>
        <v>호표 88</v>
      </c>
      <c r="W811" s="448" t="s">
        <v>727</v>
      </c>
      <c r="X811" s="448" t="s">
        <v>51</v>
      </c>
      <c r="Y811" s="448" t="s">
        <v>51</v>
      </c>
      <c r="Z811" s="448" t="s">
        <v>716</v>
      </c>
      <c r="AA811" s="448" t="s">
        <v>61</v>
      </c>
      <c r="AB811" s="448" t="s">
        <v>62</v>
      </c>
      <c r="AC811" s="448" t="s">
        <v>62</v>
      </c>
      <c r="AD811" s="447"/>
      <c r="AE811" s="447"/>
      <c r="AF811" s="447"/>
      <c r="AG811" s="447"/>
      <c r="AH811" s="447"/>
      <c r="AI811" s="447"/>
      <c r="AJ811" s="447"/>
      <c r="AK811" s="447"/>
      <c r="AL811" s="447"/>
      <c r="AM811" s="447"/>
      <c r="AN811" s="447"/>
      <c r="AO811" s="447"/>
      <c r="AP811" s="447"/>
      <c r="AQ811" s="447"/>
      <c r="AR811" s="447"/>
      <c r="AS811" s="447"/>
      <c r="AT811" s="447"/>
      <c r="AU811" s="447"/>
      <c r="AV811" s="447"/>
      <c r="AW811" s="447"/>
      <c r="AX811" s="447"/>
      <c r="AY811" s="447"/>
      <c r="AZ811" s="447"/>
      <c r="BA811" s="448" t="s">
        <v>51</v>
      </c>
      <c r="BB811" s="448" t="s">
        <v>51</v>
      </c>
      <c r="BC811" s="447"/>
      <c r="BD811" s="448" t="s">
        <v>728</v>
      </c>
      <c r="BE811" s="447">
        <v>174</v>
      </c>
    </row>
    <row r="812" spans="1:57" ht="30" customHeight="1">
      <c r="A812" s="484" t="s">
        <v>720</v>
      </c>
      <c r="B812" s="485" t="s">
        <v>2993</v>
      </c>
      <c r="C812" s="465" t="s">
        <v>321</v>
      </c>
      <c r="D812" s="1133">
        <v>1</v>
      </c>
      <c r="E812" s="466">
        <f>'2층전시실산출 '!H227</f>
        <v>1</v>
      </c>
      <c r="F812" s="1147">
        <v>3100000</v>
      </c>
      <c r="G812" s="1147">
        <v>3100000</v>
      </c>
      <c r="H812" s="486">
        <f>TRUNC(일위대가목록!F94,0)</f>
        <v>3100000</v>
      </c>
      <c r="I812" s="450">
        <f t="shared" si="91"/>
        <v>3100000</v>
      </c>
      <c r="J812" s="1147">
        <v>1103220</v>
      </c>
      <c r="K812" s="1147">
        <v>1103220</v>
      </c>
      <c r="L812" s="450">
        <f>TRUNC(일위대가목록!H94,0)</f>
        <v>1103220</v>
      </c>
      <c r="M812" s="450">
        <f t="shared" si="92"/>
        <v>1103220</v>
      </c>
      <c r="N812" s="1147">
        <v>0</v>
      </c>
      <c r="O812" s="1147">
        <v>0</v>
      </c>
      <c r="P812" s="450">
        <f>TRUNC(일위대가목록!J94,0)</f>
        <v>0</v>
      </c>
      <c r="Q812" s="450">
        <f t="shared" si="93"/>
        <v>0</v>
      </c>
      <c r="R812" s="1147">
        <v>4203220</v>
      </c>
      <c r="S812" s="1147">
        <v>4203220</v>
      </c>
      <c r="T812" s="450">
        <f t="shared" si="94"/>
        <v>4203220</v>
      </c>
      <c r="U812" s="450">
        <f t="shared" si="95"/>
        <v>4203220</v>
      </c>
      <c r="V812" s="454" t="str">
        <f>일위대가목록!M92</f>
        <v>호표 89</v>
      </c>
      <c r="W812" s="448" t="s">
        <v>730</v>
      </c>
      <c r="X812" s="448" t="s">
        <v>51</v>
      </c>
      <c r="Y812" s="448" t="s">
        <v>51</v>
      </c>
      <c r="Z812" s="448" t="s">
        <v>716</v>
      </c>
      <c r="AA812" s="448" t="s">
        <v>61</v>
      </c>
      <c r="AB812" s="448" t="s">
        <v>62</v>
      </c>
      <c r="AC812" s="448" t="s">
        <v>62</v>
      </c>
      <c r="AD812" s="447"/>
      <c r="AE812" s="447"/>
      <c r="AF812" s="447"/>
      <c r="AG812" s="447"/>
      <c r="AH812" s="447"/>
      <c r="AI812" s="447"/>
      <c r="AJ812" s="447"/>
      <c r="AK812" s="447"/>
      <c r="AL812" s="447"/>
      <c r="AM812" s="447"/>
      <c r="AN812" s="447"/>
      <c r="AO812" s="447"/>
      <c r="AP812" s="447"/>
      <c r="AQ812" s="447"/>
      <c r="AR812" s="447"/>
      <c r="AS812" s="447"/>
      <c r="AT812" s="447"/>
      <c r="AU812" s="447"/>
      <c r="AV812" s="447"/>
      <c r="AW812" s="447"/>
      <c r="AX812" s="447"/>
      <c r="AY812" s="447"/>
      <c r="AZ812" s="447"/>
      <c r="BA812" s="448" t="s">
        <v>51</v>
      </c>
      <c r="BB812" s="448" t="s">
        <v>51</v>
      </c>
      <c r="BC812" s="447"/>
      <c r="BD812" s="448" t="s">
        <v>731</v>
      </c>
      <c r="BE812" s="447">
        <v>175</v>
      </c>
    </row>
    <row r="813" spans="1:57" ht="30" customHeight="1">
      <c r="A813" s="484" t="s">
        <v>723</v>
      </c>
      <c r="B813" s="485" t="s">
        <v>2992</v>
      </c>
      <c r="C813" s="465" t="s">
        <v>321</v>
      </c>
      <c r="D813" s="1133">
        <v>1</v>
      </c>
      <c r="E813" s="466">
        <f>'2층전시실산출 '!H228</f>
        <v>1</v>
      </c>
      <c r="F813" s="1147">
        <v>3150000</v>
      </c>
      <c r="G813" s="1147">
        <v>3150000</v>
      </c>
      <c r="H813" s="486">
        <f>일위대가목록!F93</f>
        <v>3150000</v>
      </c>
      <c r="I813" s="450">
        <f t="shared" si="91"/>
        <v>3150000</v>
      </c>
      <c r="J813" s="1147">
        <v>1031400</v>
      </c>
      <c r="K813" s="1147">
        <v>1031400</v>
      </c>
      <c r="L813" s="450">
        <f>일위대가목록!H93</f>
        <v>1031400</v>
      </c>
      <c r="M813" s="450">
        <f t="shared" si="92"/>
        <v>1031400</v>
      </c>
      <c r="N813" s="1147">
        <v>0</v>
      </c>
      <c r="O813" s="1147">
        <v>0</v>
      </c>
      <c r="P813" s="450">
        <f>TRUNC(일위대가목록!J95,0)</f>
        <v>0</v>
      </c>
      <c r="Q813" s="450">
        <f t="shared" si="93"/>
        <v>0</v>
      </c>
      <c r="R813" s="1147">
        <v>4181400</v>
      </c>
      <c r="S813" s="1147">
        <v>4181400</v>
      </c>
      <c r="T813" s="450">
        <f t="shared" si="94"/>
        <v>4181400</v>
      </c>
      <c r="U813" s="450">
        <f t="shared" si="95"/>
        <v>4181400</v>
      </c>
      <c r="V813" s="454" t="str">
        <f>일위대가목록!M93</f>
        <v>호표 90</v>
      </c>
      <c r="W813" s="448" t="s">
        <v>733</v>
      </c>
      <c r="X813" s="448" t="s">
        <v>51</v>
      </c>
      <c r="Y813" s="448" t="s">
        <v>51</v>
      </c>
      <c r="Z813" s="448" t="s">
        <v>716</v>
      </c>
      <c r="AA813" s="448" t="s">
        <v>61</v>
      </c>
      <c r="AB813" s="448" t="s">
        <v>62</v>
      </c>
      <c r="AC813" s="448" t="s">
        <v>62</v>
      </c>
      <c r="AD813" s="447"/>
      <c r="AE813" s="447"/>
      <c r="AF813" s="447"/>
      <c r="AG813" s="447"/>
      <c r="AH813" s="447"/>
      <c r="AI813" s="447"/>
      <c r="AJ813" s="447"/>
      <c r="AK813" s="447"/>
      <c r="AL813" s="447"/>
      <c r="AM813" s="447"/>
      <c r="AN813" s="447"/>
      <c r="AO813" s="447"/>
      <c r="AP813" s="447"/>
      <c r="AQ813" s="447"/>
      <c r="AR813" s="447"/>
      <c r="AS813" s="447"/>
      <c r="AT813" s="447"/>
      <c r="AU813" s="447"/>
      <c r="AV813" s="447"/>
      <c r="AW813" s="447"/>
      <c r="AX813" s="447"/>
      <c r="AY813" s="447"/>
      <c r="AZ813" s="447"/>
      <c r="BA813" s="448" t="s">
        <v>51</v>
      </c>
      <c r="BB813" s="448" t="s">
        <v>51</v>
      </c>
      <c r="BC813" s="447"/>
      <c r="BD813" s="448" t="s">
        <v>734</v>
      </c>
      <c r="BE813" s="447">
        <v>177</v>
      </c>
    </row>
    <row r="814" spans="1:57" ht="30" customHeight="1">
      <c r="A814" s="484" t="s">
        <v>726</v>
      </c>
      <c r="B814" s="485" t="s">
        <v>2996</v>
      </c>
      <c r="C814" s="465" t="s">
        <v>321</v>
      </c>
      <c r="D814" s="1133">
        <v>1</v>
      </c>
      <c r="E814" s="466">
        <f>'2층전시실산출 '!H229</f>
        <v>1</v>
      </c>
      <c r="F814" s="1147">
        <v>3100000</v>
      </c>
      <c r="G814" s="1147">
        <v>3100000</v>
      </c>
      <c r="H814" s="486">
        <f>일위대가목록!F94</f>
        <v>3100000</v>
      </c>
      <c r="I814" s="450">
        <f t="shared" si="91"/>
        <v>3100000</v>
      </c>
      <c r="J814" s="1147">
        <v>1103220</v>
      </c>
      <c r="K814" s="1147">
        <v>1103220</v>
      </c>
      <c r="L814" s="450">
        <f>일위대가목록!H94</f>
        <v>1103220</v>
      </c>
      <c r="M814" s="450">
        <f t="shared" si="92"/>
        <v>1103220</v>
      </c>
      <c r="N814" s="1147">
        <v>0</v>
      </c>
      <c r="O814" s="1147">
        <v>0</v>
      </c>
      <c r="P814" s="450">
        <f>TRUNC(일위대가목록!J96,0)</f>
        <v>0</v>
      </c>
      <c r="Q814" s="450">
        <f t="shared" si="93"/>
        <v>0</v>
      </c>
      <c r="R814" s="1147">
        <v>4203220</v>
      </c>
      <c r="S814" s="1147">
        <v>4203220</v>
      </c>
      <c r="T814" s="450">
        <f t="shared" si="94"/>
        <v>4203220</v>
      </c>
      <c r="U814" s="450">
        <f t="shared" si="95"/>
        <v>4203220</v>
      </c>
      <c r="V814" s="454" t="str">
        <f>일위대가목록!M94</f>
        <v>호표 91</v>
      </c>
      <c r="W814" s="448" t="s">
        <v>736</v>
      </c>
      <c r="X814" s="448" t="s">
        <v>51</v>
      </c>
      <c r="Y814" s="448" t="s">
        <v>51</v>
      </c>
      <c r="Z814" s="448" t="s">
        <v>716</v>
      </c>
      <c r="AA814" s="448" t="s">
        <v>61</v>
      </c>
      <c r="AB814" s="448" t="s">
        <v>62</v>
      </c>
      <c r="AC814" s="448" t="s">
        <v>62</v>
      </c>
      <c r="AD814" s="447"/>
      <c r="AE814" s="447"/>
      <c r="AF814" s="447"/>
      <c r="AG814" s="447"/>
      <c r="AH814" s="447"/>
      <c r="AI814" s="447"/>
      <c r="AJ814" s="447"/>
      <c r="AK814" s="447"/>
      <c r="AL814" s="447"/>
      <c r="AM814" s="447"/>
      <c r="AN814" s="447"/>
      <c r="AO814" s="447"/>
      <c r="AP814" s="447"/>
      <c r="AQ814" s="447"/>
      <c r="AR814" s="447"/>
      <c r="AS814" s="447"/>
      <c r="AT814" s="447"/>
      <c r="AU814" s="447"/>
      <c r="AV814" s="447"/>
      <c r="AW814" s="447"/>
      <c r="AX814" s="447"/>
      <c r="AY814" s="447"/>
      <c r="AZ814" s="447"/>
      <c r="BA814" s="448" t="s">
        <v>51</v>
      </c>
      <c r="BB814" s="448" t="s">
        <v>51</v>
      </c>
      <c r="BC814" s="447"/>
      <c r="BD814" s="448" t="s">
        <v>737</v>
      </c>
      <c r="BE814" s="447">
        <v>181</v>
      </c>
    </row>
    <row r="815" spans="1:57" ht="30" customHeight="1">
      <c r="A815" s="484" t="s">
        <v>2995</v>
      </c>
      <c r="B815" s="485" t="s">
        <v>2994</v>
      </c>
      <c r="C815" s="465" t="s">
        <v>321</v>
      </c>
      <c r="D815" s="1133">
        <v>1</v>
      </c>
      <c r="E815" s="466">
        <f>'2층전시실산출 '!H230</f>
        <v>1</v>
      </c>
      <c r="F815" s="1147">
        <v>7150500</v>
      </c>
      <c r="G815" s="1147">
        <v>7150500</v>
      </c>
      <c r="H815" s="486">
        <f>일위대가목록!F95</f>
        <v>7150500</v>
      </c>
      <c r="I815" s="450">
        <f t="shared" si="91"/>
        <v>7150500</v>
      </c>
      <c r="J815" s="1147">
        <v>2347380</v>
      </c>
      <c r="K815" s="1147">
        <v>2347380</v>
      </c>
      <c r="L815" s="450">
        <f>일위대가목록!H95</f>
        <v>2347380</v>
      </c>
      <c r="M815" s="450">
        <f t="shared" si="92"/>
        <v>2347380</v>
      </c>
      <c r="N815" s="1147">
        <v>0</v>
      </c>
      <c r="O815" s="1147">
        <v>0</v>
      </c>
      <c r="P815" s="450">
        <f>TRUNC(일위대가목록!J97,0)</f>
        <v>0</v>
      </c>
      <c r="Q815" s="450">
        <f t="shared" si="93"/>
        <v>0</v>
      </c>
      <c r="R815" s="1147">
        <v>9497880</v>
      </c>
      <c r="S815" s="1147">
        <v>9497880</v>
      </c>
      <c r="T815" s="450">
        <f t="shared" si="94"/>
        <v>9497880</v>
      </c>
      <c r="U815" s="450">
        <f t="shared" si="95"/>
        <v>9497880</v>
      </c>
      <c r="V815" s="454" t="str">
        <f>일위대가목록!M95</f>
        <v>호표 92</v>
      </c>
      <c r="W815" s="448" t="s">
        <v>738</v>
      </c>
      <c r="X815" s="448" t="s">
        <v>51</v>
      </c>
      <c r="Y815" s="448" t="s">
        <v>51</v>
      </c>
      <c r="Z815" s="448" t="s">
        <v>716</v>
      </c>
      <c r="AA815" s="448" t="s">
        <v>61</v>
      </c>
      <c r="AB815" s="448" t="s">
        <v>62</v>
      </c>
      <c r="AC815" s="448" t="s">
        <v>62</v>
      </c>
      <c r="AD815" s="447"/>
      <c r="AE815" s="447"/>
      <c r="AF815" s="447"/>
      <c r="AG815" s="447"/>
      <c r="AH815" s="447"/>
      <c r="AI815" s="447"/>
      <c r="AJ815" s="447"/>
      <c r="AK815" s="447"/>
      <c r="AL815" s="447"/>
      <c r="AM815" s="447"/>
      <c r="AN815" s="447"/>
      <c r="AO815" s="447"/>
      <c r="AP815" s="447"/>
      <c r="AQ815" s="447"/>
      <c r="AR815" s="447"/>
      <c r="AS815" s="447"/>
      <c r="AT815" s="447"/>
      <c r="AU815" s="447"/>
      <c r="AV815" s="447"/>
      <c r="AW815" s="447"/>
      <c r="AX815" s="447"/>
      <c r="AY815" s="447"/>
      <c r="AZ815" s="447"/>
      <c r="BA815" s="448" t="s">
        <v>51</v>
      </c>
      <c r="BB815" s="448" t="s">
        <v>51</v>
      </c>
      <c r="BC815" s="447"/>
      <c r="BD815" s="448" t="s">
        <v>739</v>
      </c>
      <c r="BE815" s="447">
        <v>182</v>
      </c>
    </row>
    <row r="816" spans="1:57" ht="30" customHeight="1">
      <c r="A816" s="484" t="s">
        <v>732</v>
      </c>
      <c r="B816" s="485" t="s">
        <v>2993</v>
      </c>
      <c r="C816" s="465" t="s">
        <v>321</v>
      </c>
      <c r="D816" s="1133">
        <v>1</v>
      </c>
      <c r="E816" s="466">
        <f>'2층전시실산출 '!H231</f>
        <v>1</v>
      </c>
      <c r="F816" s="1147">
        <v>2962350</v>
      </c>
      <c r="G816" s="1147">
        <v>2962350</v>
      </c>
      <c r="H816" s="486">
        <f>일위대가목록!F96</f>
        <v>2962350</v>
      </c>
      <c r="I816" s="450">
        <f t="shared" si="91"/>
        <v>2962350</v>
      </c>
      <c r="J816" s="1147">
        <v>972540</v>
      </c>
      <c r="K816" s="1147">
        <v>972540</v>
      </c>
      <c r="L816" s="450">
        <f>일위대가목록!H96</f>
        <v>972540</v>
      </c>
      <c r="M816" s="450">
        <f t="shared" si="92"/>
        <v>972540</v>
      </c>
      <c r="N816" s="1147">
        <v>0</v>
      </c>
      <c r="O816" s="1147">
        <v>0</v>
      </c>
      <c r="P816" s="450">
        <f>TRUNC(일위대가목록!J98,0)</f>
        <v>0</v>
      </c>
      <c r="Q816" s="450">
        <f t="shared" si="93"/>
        <v>0</v>
      </c>
      <c r="R816" s="1147">
        <v>3934890</v>
      </c>
      <c r="S816" s="1147">
        <v>3934890</v>
      </c>
      <c r="T816" s="450">
        <f t="shared" si="94"/>
        <v>3934890</v>
      </c>
      <c r="U816" s="450">
        <f t="shared" si="95"/>
        <v>3934890</v>
      </c>
      <c r="V816" s="454" t="str">
        <f>일위대가목록!M96</f>
        <v>호표 93</v>
      </c>
      <c r="W816" s="448" t="s">
        <v>351</v>
      </c>
      <c r="X816" s="448" t="s">
        <v>51</v>
      </c>
      <c r="Y816" s="448" t="s">
        <v>51</v>
      </c>
      <c r="Z816" s="448" t="s">
        <v>716</v>
      </c>
      <c r="AA816" s="448" t="s">
        <v>61</v>
      </c>
      <c r="AB816" s="448" t="s">
        <v>62</v>
      </c>
      <c r="AC816" s="448" t="s">
        <v>62</v>
      </c>
      <c r="AD816" s="447"/>
      <c r="AE816" s="447"/>
      <c r="AF816" s="447"/>
      <c r="AG816" s="447"/>
      <c r="AH816" s="447"/>
      <c r="AI816" s="447"/>
      <c r="AJ816" s="447"/>
      <c r="AK816" s="447"/>
      <c r="AL816" s="447"/>
      <c r="AM816" s="447"/>
      <c r="AN816" s="447"/>
      <c r="AO816" s="447"/>
      <c r="AP816" s="447"/>
      <c r="AQ816" s="447"/>
      <c r="AR816" s="447"/>
      <c r="AS816" s="447"/>
      <c r="AT816" s="447"/>
      <c r="AU816" s="447"/>
      <c r="AV816" s="447"/>
      <c r="AW816" s="447"/>
      <c r="AX816" s="447"/>
      <c r="AY816" s="447"/>
      <c r="AZ816" s="447"/>
      <c r="BA816" s="448" t="s">
        <v>51</v>
      </c>
      <c r="BB816" s="448" t="s">
        <v>51</v>
      </c>
      <c r="BC816" s="447"/>
      <c r="BD816" s="448" t="s">
        <v>740</v>
      </c>
      <c r="BE816" s="447">
        <v>180</v>
      </c>
    </row>
    <row r="817" spans="1:57" ht="30" customHeight="1">
      <c r="A817" s="484" t="s">
        <v>735</v>
      </c>
      <c r="B817" s="485" t="s">
        <v>2992</v>
      </c>
      <c r="C817" s="465" t="s">
        <v>321</v>
      </c>
      <c r="D817" s="1133">
        <v>1</v>
      </c>
      <c r="E817" s="466">
        <f>'2층전시실산출 '!H232</f>
        <v>1</v>
      </c>
      <c r="F817" s="1147">
        <v>2851600</v>
      </c>
      <c r="G817" s="1147">
        <v>2851600</v>
      </c>
      <c r="H817" s="486">
        <f>일위대가목록!F97</f>
        <v>2851600</v>
      </c>
      <c r="I817" s="450">
        <f t="shared" si="91"/>
        <v>2851600</v>
      </c>
      <c r="J817" s="1147">
        <v>972540</v>
      </c>
      <c r="K817" s="1147">
        <v>972540</v>
      </c>
      <c r="L817" s="450">
        <f>일위대가목록!H97</f>
        <v>972540</v>
      </c>
      <c r="M817" s="450">
        <f t="shared" si="92"/>
        <v>972540</v>
      </c>
      <c r="N817" s="1147">
        <v>0</v>
      </c>
      <c r="O817" s="1147">
        <v>0</v>
      </c>
      <c r="P817" s="450">
        <f>TRUNC(일위대가목록!J99,0)</f>
        <v>0</v>
      </c>
      <c r="Q817" s="450">
        <f t="shared" si="93"/>
        <v>0</v>
      </c>
      <c r="R817" s="1147">
        <v>3824140</v>
      </c>
      <c r="S817" s="1147">
        <v>3824140</v>
      </c>
      <c r="T817" s="450">
        <f t="shared" si="94"/>
        <v>3824140</v>
      </c>
      <c r="U817" s="450">
        <f t="shared" si="95"/>
        <v>3824140</v>
      </c>
      <c r="V817" s="454" t="str">
        <f>일위대가목록!M97</f>
        <v>호표 94</v>
      </c>
      <c r="W817" s="448" t="s">
        <v>742</v>
      </c>
      <c r="X817" s="448" t="s">
        <v>51</v>
      </c>
      <c r="Y817" s="448" t="s">
        <v>51</v>
      </c>
      <c r="Z817" s="448" t="s">
        <v>716</v>
      </c>
      <c r="AA817" s="448" t="s">
        <v>61</v>
      </c>
      <c r="AB817" s="448" t="s">
        <v>62</v>
      </c>
      <c r="AC817" s="448" t="s">
        <v>62</v>
      </c>
      <c r="AD817" s="447"/>
      <c r="AE817" s="447"/>
      <c r="AF817" s="447"/>
      <c r="AG817" s="447"/>
      <c r="AH817" s="447"/>
      <c r="AI817" s="447"/>
      <c r="AJ817" s="447"/>
      <c r="AK817" s="447"/>
      <c r="AL817" s="447"/>
      <c r="AM817" s="447"/>
      <c r="AN817" s="447"/>
      <c r="AO817" s="447"/>
      <c r="AP817" s="447"/>
      <c r="AQ817" s="447"/>
      <c r="AR817" s="447"/>
      <c r="AS817" s="447"/>
      <c r="AT817" s="447"/>
      <c r="AU817" s="447"/>
      <c r="AV817" s="447"/>
      <c r="AW817" s="447"/>
      <c r="AX817" s="447"/>
      <c r="AY817" s="447"/>
      <c r="AZ817" s="447"/>
      <c r="BA817" s="448" t="s">
        <v>51</v>
      </c>
      <c r="BB817" s="448" t="s">
        <v>51</v>
      </c>
      <c r="BC817" s="447"/>
      <c r="BD817" s="448" t="s">
        <v>743</v>
      </c>
      <c r="BE817" s="447">
        <v>183</v>
      </c>
    </row>
    <row r="818" spans="1:57" ht="30" customHeight="1">
      <c r="A818" s="484" t="s">
        <v>2669</v>
      </c>
      <c r="B818" s="485" t="s">
        <v>2665</v>
      </c>
      <c r="C818" s="465" t="s">
        <v>321</v>
      </c>
      <c r="D818" s="1133">
        <v>1</v>
      </c>
      <c r="E818" s="466">
        <f>'2층전시실산출 '!H233</f>
        <v>1</v>
      </c>
      <c r="F818" s="1147">
        <v>525000</v>
      </c>
      <c r="G818" s="1147">
        <v>525000</v>
      </c>
      <c r="H818" s="486">
        <f>일위대가목록!F98</f>
        <v>525000</v>
      </c>
      <c r="I818" s="450">
        <f t="shared" si="91"/>
        <v>525000</v>
      </c>
      <c r="J818" s="1147">
        <v>180000</v>
      </c>
      <c r="K818" s="1147">
        <v>180000</v>
      </c>
      <c r="L818" s="450">
        <f>일위대가목록!H98</f>
        <v>180000</v>
      </c>
      <c r="M818" s="450">
        <f t="shared" si="92"/>
        <v>180000</v>
      </c>
      <c r="N818" s="1147">
        <v>0</v>
      </c>
      <c r="O818" s="1147">
        <v>0</v>
      </c>
      <c r="P818" s="450">
        <f>TRUNC(일위대가목록!J72,0)</f>
        <v>0</v>
      </c>
      <c r="Q818" s="450">
        <f t="shared" si="93"/>
        <v>0</v>
      </c>
      <c r="R818" s="1147">
        <v>705000</v>
      </c>
      <c r="S818" s="1147">
        <v>705000</v>
      </c>
      <c r="T818" s="450">
        <f t="shared" si="94"/>
        <v>705000</v>
      </c>
      <c r="U818" s="450">
        <f t="shared" si="95"/>
        <v>705000</v>
      </c>
      <c r="V818" s="454" t="str">
        <f>일위대가목록!M98</f>
        <v>호표 95</v>
      </c>
      <c r="W818" s="448" t="s">
        <v>388</v>
      </c>
      <c r="X818" s="448" t="s">
        <v>51</v>
      </c>
      <c r="Y818" s="448" t="s">
        <v>51</v>
      </c>
      <c r="Z818" s="448" t="s">
        <v>716</v>
      </c>
      <c r="AA818" s="448" t="s">
        <v>62</v>
      </c>
      <c r="AB818" s="448" t="s">
        <v>62</v>
      </c>
      <c r="AC818" s="448" t="s">
        <v>61</v>
      </c>
      <c r="AD818" s="447"/>
      <c r="AE818" s="447"/>
      <c r="AF818" s="447"/>
      <c r="AG818" s="447"/>
      <c r="AH818" s="447"/>
      <c r="AI818" s="447"/>
      <c r="AJ818" s="447"/>
      <c r="AK818" s="447"/>
      <c r="AL818" s="447"/>
      <c r="AM818" s="447"/>
      <c r="AN818" s="447"/>
      <c r="AO818" s="447"/>
      <c r="AP818" s="447"/>
      <c r="AQ818" s="447"/>
      <c r="AR818" s="447"/>
      <c r="AS818" s="447"/>
      <c r="AT818" s="447"/>
      <c r="AU818" s="447"/>
      <c r="AV818" s="447"/>
      <c r="AW818" s="447"/>
      <c r="AX818" s="447"/>
      <c r="AY818" s="447"/>
      <c r="AZ818" s="447"/>
      <c r="BA818" s="448" t="s">
        <v>51</v>
      </c>
      <c r="BB818" s="448" t="s">
        <v>51</v>
      </c>
      <c r="BC818" s="447"/>
      <c r="BD818" s="448" t="s">
        <v>744</v>
      </c>
      <c r="BE818" s="447">
        <v>184</v>
      </c>
    </row>
    <row r="819" spans="1:57" ht="30" customHeight="1">
      <c r="A819" s="484" t="s">
        <v>2666</v>
      </c>
      <c r="B819" s="485" t="s">
        <v>2989</v>
      </c>
      <c r="C819" s="465" t="s">
        <v>321</v>
      </c>
      <c r="D819" s="1133">
        <v>4</v>
      </c>
      <c r="E819" s="466">
        <f>'2층전시실산출 '!H234</f>
        <v>4</v>
      </c>
      <c r="F819" s="1147">
        <v>495000</v>
      </c>
      <c r="G819" s="1147">
        <v>1980000</v>
      </c>
      <c r="H819" s="486">
        <f>일위대가목록!F71</f>
        <v>495000</v>
      </c>
      <c r="I819" s="450">
        <f t="shared" si="91"/>
        <v>1980000</v>
      </c>
      <c r="J819" s="1147">
        <v>162000</v>
      </c>
      <c r="K819" s="1147">
        <v>648000</v>
      </c>
      <c r="L819" s="450">
        <f>일위대가목록!H71</f>
        <v>162000</v>
      </c>
      <c r="M819" s="450">
        <f t="shared" si="92"/>
        <v>648000</v>
      </c>
      <c r="N819" s="1147">
        <v>0</v>
      </c>
      <c r="O819" s="1147">
        <v>0</v>
      </c>
      <c r="P819" s="450">
        <f>TRUNC(일위대가목록!J100,0)</f>
        <v>0</v>
      </c>
      <c r="Q819" s="450">
        <f t="shared" si="93"/>
        <v>0</v>
      </c>
      <c r="R819" s="1147">
        <v>657000</v>
      </c>
      <c r="S819" s="1147">
        <v>2628000</v>
      </c>
      <c r="T819" s="450">
        <f t="shared" si="94"/>
        <v>657000</v>
      </c>
      <c r="U819" s="450">
        <f t="shared" si="95"/>
        <v>2628000</v>
      </c>
      <c r="V819" s="454" t="str">
        <f>일위대가목록!M71</f>
        <v>호표 68</v>
      </c>
      <c r="W819" s="448" t="s">
        <v>747</v>
      </c>
      <c r="X819" s="448" t="s">
        <v>51</v>
      </c>
      <c r="Y819" s="448" t="s">
        <v>51</v>
      </c>
      <c r="Z819" s="448" t="s">
        <v>716</v>
      </c>
      <c r="AA819" s="448" t="s">
        <v>61</v>
      </c>
      <c r="AB819" s="448" t="s">
        <v>62</v>
      </c>
      <c r="AC819" s="448" t="s">
        <v>62</v>
      </c>
      <c r="AD819" s="447"/>
      <c r="AE819" s="447"/>
      <c r="AF819" s="447"/>
      <c r="AG819" s="447"/>
      <c r="AH819" s="447"/>
      <c r="AI819" s="447"/>
      <c r="AJ819" s="447"/>
      <c r="AK819" s="447"/>
      <c r="AL819" s="447"/>
      <c r="AM819" s="447"/>
      <c r="AN819" s="447"/>
      <c r="AO819" s="447"/>
      <c r="AP819" s="447"/>
      <c r="AQ819" s="447"/>
      <c r="AR819" s="447"/>
      <c r="AS819" s="447"/>
      <c r="AT819" s="447"/>
      <c r="AU819" s="447"/>
      <c r="AV819" s="447"/>
      <c r="AW819" s="447"/>
      <c r="AX819" s="447"/>
      <c r="AY819" s="447"/>
      <c r="AZ819" s="447"/>
      <c r="BA819" s="448" t="s">
        <v>51</v>
      </c>
      <c r="BB819" s="448" t="s">
        <v>51</v>
      </c>
      <c r="BC819" s="447"/>
      <c r="BD819" s="448" t="s">
        <v>748</v>
      </c>
      <c r="BE819" s="447">
        <v>185</v>
      </c>
    </row>
    <row r="820" spans="1:57" ht="30" customHeight="1">
      <c r="A820" s="484" t="s">
        <v>2987</v>
      </c>
      <c r="B820" s="485" t="s">
        <v>2986</v>
      </c>
      <c r="C820" s="465" t="s">
        <v>321</v>
      </c>
      <c r="D820" s="1133">
        <v>2</v>
      </c>
      <c r="E820" s="466">
        <f>'2층전시실산출 '!H235</f>
        <v>2</v>
      </c>
      <c r="F820" s="1147">
        <v>112200</v>
      </c>
      <c r="G820" s="1147">
        <v>224400</v>
      </c>
      <c r="H820" s="486">
        <f>일위대가목록!F99</f>
        <v>112200</v>
      </c>
      <c r="I820" s="450">
        <f t="shared" si="91"/>
        <v>224400</v>
      </c>
      <c r="J820" s="1147">
        <v>122400</v>
      </c>
      <c r="K820" s="1147">
        <v>244800</v>
      </c>
      <c r="L820" s="450">
        <f>일위대가목록!H99</f>
        <v>122400</v>
      </c>
      <c r="M820" s="450">
        <f t="shared" si="92"/>
        <v>244800</v>
      </c>
      <c r="N820" s="1147"/>
      <c r="O820" s="1147"/>
      <c r="P820" s="450"/>
      <c r="Q820" s="450"/>
      <c r="R820" s="1147">
        <v>234600</v>
      </c>
      <c r="S820" s="1147">
        <v>469200</v>
      </c>
      <c r="T820" s="450">
        <f t="shared" ref="T820:T823" si="96">TRUNC(H820+L820+P820, 0)</f>
        <v>234600</v>
      </c>
      <c r="U820" s="450">
        <f t="shared" ref="U820:U823" si="97">TRUNC(I820+M820+Q820, 0)</f>
        <v>469200</v>
      </c>
      <c r="V820" s="454" t="str">
        <f>일위대가목록!M99</f>
        <v>호표 96</v>
      </c>
      <c r="W820" s="448"/>
      <c r="X820" s="448"/>
      <c r="Y820" s="448"/>
      <c r="Z820" s="448"/>
      <c r="AA820" s="448"/>
      <c r="AB820" s="448"/>
      <c r="AC820" s="448"/>
      <c r="AD820" s="447"/>
      <c r="AE820" s="447"/>
      <c r="AF820" s="447"/>
      <c r="AG820" s="447"/>
      <c r="AH820" s="447"/>
      <c r="AI820" s="447"/>
      <c r="AJ820" s="447"/>
      <c r="AK820" s="447"/>
      <c r="AL820" s="447"/>
      <c r="AM820" s="447"/>
      <c r="AN820" s="447"/>
      <c r="AO820" s="447"/>
      <c r="AP820" s="447"/>
      <c r="AQ820" s="447"/>
      <c r="AR820" s="447"/>
      <c r="AS820" s="447"/>
      <c r="AT820" s="447"/>
      <c r="AU820" s="447"/>
      <c r="AV820" s="447"/>
      <c r="AW820" s="447"/>
      <c r="AX820" s="447"/>
      <c r="AY820" s="447"/>
      <c r="AZ820" s="447"/>
      <c r="BA820" s="448"/>
      <c r="BB820" s="448"/>
      <c r="BC820" s="447"/>
      <c r="BD820" s="448"/>
      <c r="BE820" s="447"/>
    </row>
    <row r="821" spans="1:57" ht="30" customHeight="1">
      <c r="A821" s="484" t="s">
        <v>2985</v>
      </c>
      <c r="B821" s="485" t="s">
        <v>2984</v>
      </c>
      <c r="C821" s="465" t="s">
        <v>321</v>
      </c>
      <c r="D821" s="1133">
        <v>7</v>
      </c>
      <c r="E821" s="466">
        <f>'2층전시실산출 '!H236</f>
        <v>7</v>
      </c>
      <c r="F821" s="1147">
        <v>91800</v>
      </c>
      <c r="G821" s="1147">
        <v>642600</v>
      </c>
      <c r="H821" s="486">
        <f>일위대가목록!F129</f>
        <v>91800</v>
      </c>
      <c r="I821" s="450">
        <f t="shared" si="91"/>
        <v>642600</v>
      </c>
      <c r="J821" s="1147">
        <v>122400</v>
      </c>
      <c r="K821" s="1147">
        <v>856800</v>
      </c>
      <c r="L821" s="450">
        <f>일위대가목록!H129</f>
        <v>122400</v>
      </c>
      <c r="M821" s="450">
        <f t="shared" si="92"/>
        <v>856800</v>
      </c>
      <c r="N821" s="1147"/>
      <c r="O821" s="1147"/>
      <c r="P821" s="450"/>
      <c r="Q821" s="450"/>
      <c r="R821" s="1147">
        <v>214200</v>
      </c>
      <c r="S821" s="1147">
        <v>1499400</v>
      </c>
      <c r="T821" s="450">
        <f t="shared" si="96"/>
        <v>214200</v>
      </c>
      <c r="U821" s="450">
        <f t="shared" si="97"/>
        <v>1499400</v>
      </c>
      <c r="V821" s="454" t="str">
        <f>일위대가목록!M129</f>
        <v>호표 126</v>
      </c>
      <c r="W821" s="448"/>
      <c r="X821" s="448"/>
      <c r="Y821" s="448"/>
      <c r="Z821" s="448"/>
      <c r="AA821" s="448"/>
      <c r="AB821" s="448"/>
      <c r="AC821" s="448"/>
      <c r="AD821" s="447"/>
      <c r="AE821" s="447"/>
      <c r="AF821" s="447"/>
      <c r="AG821" s="447"/>
      <c r="AH821" s="447"/>
      <c r="AI821" s="447"/>
      <c r="AJ821" s="447"/>
      <c r="AK821" s="447"/>
      <c r="AL821" s="447"/>
      <c r="AM821" s="447"/>
      <c r="AN821" s="447"/>
      <c r="AO821" s="447"/>
      <c r="AP821" s="447"/>
      <c r="AQ821" s="447"/>
      <c r="AR821" s="447"/>
      <c r="AS821" s="447"/>
      <c r="AT821" s="447"/>
      <c r="AU821" s="447"/>
      <c r="AV821" s="447"/>
      <c r="AW821" s="447"/>
      <c r="AX821" s="447"/>
      <c r="AY821" s="447"/>
      <c r="AZ821" s="447"/>
      <c r="BA821" s="448"/>
      <c r="BB821" s="448"/>
      <c r="BC821" s="447"/>
      <c r="BD821" s="448"/>
      <c r="BE821" s="447"/>
    </row>
    <row r="822" spans="1:57" ht="30" customHeight="1">
      <c r="A822" s="465" t="s">
        <v>3493</v>
      </c>
      <c r="B822" s="465" t="s">
        <v>3490</v>
      </c>
      <c r="C822" s="465" t="s">
        <v>59</v>
      </c>
      <c r="D822" s="1133">
        <v>45.410000000000011</v>
      </c>
      <c r="E822" s="466">
        <f>'2층전시실산출 '!H241</f>
        <v>45.410000000000011</v>
      </c>
      <c r="F822" s="1147">
        <v>65000</v>
      </c>
      <c r="G822" s="1147">
        <v>2951650.0000000009</v>
      </c>
      <c r="H822" s="486">
        <f>단가대비표!O431</f>
        <v>65000</v>
      </c>
      <c r="I822" s="450">
        <f t="shared" si="91"/>
        <v>2951650.0000000009</v>
      </c>
      <c r="J822" s="1147"/>
      <c r="K822" s="1147">
        <v>0</v>
      </c>
      <c r="L822" s="450"/>
      <c r="M822" s="450">
        <f t="shared" si="92"/>
        <v>0</v>
      </c>
      <c r="N822" s="1147"/>
      <c r="O822" s="1147"/>
      <c r="P822" s="450"/>
      <c r="Q822" s="450"/>
      <c r="R822" s="1147">
        <v>65000</v>
      </c>
      <c r="S822" s="1147">
        <v>2951650</v>
      </c>
      <c r="T822" s="450">
        <f t="shared" si="96"/>
        <v>65000</v>
      </c>
      <c r="U822" s="450">
        <f t="shared" si="97"/>
        <v>2951650</v>
      </c>
      <c r="V822" s="454"/>
      <c r="W822" s="448"/>
      <c r="X822" s="448"/>
      <c r="Y822" s="448"/>
      <c r="Z822" s="448"/>
      <c r="AA822" s="448"/>
      <c r="AB822" s="448"/>
      <c r="AC822" s="448"/>
      <c r="AD822" s="447"/>
      <c r="AE822" s="447"/>
      <c r="AF822" s="447"/>
      <c r="AG822" s="447"/>
      <c r="AH822" s="447"/>
      <c r="AI822" s="447"/>
      <c r="AJ822" s="447"/>
      <c r="AK822" s="447"/>
      <c r="AL822" s="447"/>
      <c r="AM822" s="447"/>
      <c r="AN822" s="447"/>
      <c r="AO822" s="447"/>
      <c r="AP822" s="447"/>
      <c r="AQ822" s="447"/>
      <c r="AR822" s="447"/>
      <c r="AS822" s="447"/>
      <c r="AT822" s="447"/>
      <c r="AU822" s="447"/>
      <c r="AV822" s="447"/>
      <c r="AW822" s="447"/>
      <c r="AX822" s="447"/>
      <c r="AY822" s="447"/>
      <c r="AZ822" s="447"/>
      <c r="BA822" s="448"/>
      <c r="BB822" s="448"/>
      <c r="BC822" s="447"/>
      <c r="BD822" s="448"/>
      <c r="BE822" s="447"/>
    </row>
    <row r="823" spans="1:57" ht="30" customHeight="1">
      <c r="A823" s="465" t="s">
        <v>745</v>
      </c>
      <c r="B823" s="465" t="s">
        <v>3491</v>
      </c>
      <c r="C823" s="465" t="s">
        <v>59</v>
      </c>
      <c r="D823" s="1133">
        <v>45.410000000000011</v>
      </c>
      <c r="E823" s="466">
        <f>'2층전시실산출 '!H241</f>
        <v>45.410000000000011</v>
      </c>
      <c r="F823" s="1147">
        <v>798</v>
      </c>
      <c r="G823" s="1147">
        <v>36237.180000000008</v>
      </c>
      <c r="H823" s="486">
        <f>일위대가목록!F100</f>
        <v>798</v>
      </c>
      <c r="I823" s="450">
        <f t="shared" si="91"/>
        <v>36237.180000000008</v>
      </c>
      <c r="J823" s="1147">
        <v>96580</v>
      </c>
      <c r="K823" s="1147">
        <v>4385697.8000000007</v>
      </c>
      <c r="L823" s="450">
        <f>일위대가목록!H100</f>
        <v>25873</v>
      </c>
      <c r="M823" s="450">
        <f t="shared" si="92"/>
        <v>1174892.9300000002</v>
      </c>
      <c r="N823" s="1147">
        <v>1872.4</v>
      </c>
      <c r="O823" s="1147">
        <v>85025.684000000023</v>
      </c>
      <c r="P823" s="450">
        <f>일위대가목록!J102</f>
        <v>1872.4</v>
      </c>
      <c r="Q823" s="450">
        <f>E823*P823</f>
        <v>85025.684000000023</v>
      </c>
      <c r="R823" s="1147">
        <v>99250</v>
      </c>
      <c r="S823" s="1147">
        <v>4506960</v>
      </c>
      <c r="T823" s="450">
        <f t="shared" si="96"/>
        <v>28543</v>
      </c>
      <c r="U823" s="450">
        <f t="shared" si="97"/>
        <v>1296155</v>
      </c>
      <c r="V823" s="454" t="str">
        <f>일위대가목록!M100</f>
        <v>호표 97</v>
      </c>
      <c r="W823" s="448" t="s">
        <v>753</v>
      </c>
      <c r="X823" s="448" t="s">
        <v>51</v>
      </c>
      <c r="Y823" s="448" t="s">
        <v>51</v>
      </c>
      <c r="Z823" s="448" t="s">
        <v>716</v>
      </c>
      <c r="AA823" s="448" t="s">
        <v>61</v>
      </c>
      <c r="AB823" s="448" t="s">
        <v>62</v>
      </c>
      <c r="AC823" s="448" t="s">
        <v>62</v>
      </c>
      <c r="AD823" s="447"/>
      <c r="AE823" s="447"/>
      <c r="AF823" s="447"/>
      <c r="AG823" s="447"/>
      <c r="AH823" s="447"/>
      <c r="AI823" s="447"/>
      <c r="AJ823" s="447"/>
      <c r="AK823" s="447"/>
      <c r="AL823" s="447"/>
      <c r="AM823" s="447"/>
      <c r="AN823" s="447"/>
      <c r="AO823" s="447"/>
      <c r="AP823" s="447"/>
      <c r="AQ823" s="447"/>
      <c r="AR823" s="447"/>
      <c r="AS823" s="447"/>
      <c r="AT823" s="447"/>
      <c r="AU823" s="447"/>
      <c r="AV823" s="447"/>
      <c r="AW823" s="447"/>
      <c r="AX823" s="447"/>
      <c r="AY823" s="447"/>
      <c r="AZ823" s="447"/>
      <c r="BA823" s="448" t="s">
        <v>51</v>
      </c>
      <c r="BB823" s="448" t="s">
        <v>51</v>
      </c>
      <c r="BC823" s="447"/>
      <c r="BD823" s="448" t="s">
        <v>754</v>
      </c>
      <c r="BE823" s="447">
        <v>186</v>
      </c>
    </row>
    <row r="824" spans="1:57" ht="30" customHeight="1">
      <c r="A824" s="465" t="s">
        <v>749</v>
      </c>
      <c r="B824" s="465" t="s">
        <v>750</v>
      </c>
      <c r="C824" s="465" t="s">
        <v>59</v>
      </c>
      <c r="D824" s="1133">
        <v>35.839999999999996</v>
      </c>
      <c r="E824" s="466">
        <f>'2층전시실산출 '!H242</f>
        <v>35.839999999999996</v>
      </c>
      <c r="F824" s="1147">
        <v>30570</v>
      </c>
      <c r="G824" s="1147">
        <v>1095628.7999999998</v>
      </c>
      <c r="H824" s="486">
        <f>TRUNC(단가대비표!O454,0)</f>
        <v>30570</v>
      </c>
      <c r="I824" s="450">
        <f t="shared" si="91"/>
        <v>1095628.7999999998</v>
      </c>
      <c r="J824" s="1147">
        <v>0</v>
      </c>
      <c r="K824" s="1147">
        <v>0</v>
      </c>
      <c r="L824" s="450">
        <f>TRUNC(단가대비표!P454,0)</f>
        <v>0</v>
      </c>
      <c r="M824" s="450">
        <f t="shared" si="92"/>
        <v>0</v>
      </c>
      <c r="N824" s="1147">
        <v>0</v>
      </c>
      <c r="O824" s="1147">
        <v>0</v>
      </c>
      <c r="P824" s="450">
        <f>TRUNC(단가대비표!V454,0)</f>
        <v>0</v>
      </c>
      <c r="Q824" s="450">
        <f>TRUNC(P824*E824, 0)</f>
        <v>0</v>
      </c>
      <c r="R824" s="1147">
        <v>30570</v>
      </c>
      <c r="S824" s="1147">
        <v>1095628</v>
      </c>
      <c r="T824" s="450">
        <f t="shared" si="94"/>
        <v>30570</v>
      </c>
      <c r="U824" s="450">
        <f t="shared" si="95"/>
        <v>1095628</v>
      </c>
      <c r="V824" s="454" t="s">
        <v>51</v>
      </c>
      <c r="W824" s="448" t="s">
        <v>384</v>
      </c>
      <c r="X824" s="448" t="s">
        <v>51</v>
      </c>
      <c r="Y824" s="448" t="s">
        <v>51</v>
      </c>
      <c r="Z824" s="448" t="s">
        <v>716</v>
      </c>
      <c r="AA824" s="448" t="s">
        <v>62</v>
      </c>
      <c r="AB824" s="448" t="s">
        <v>62</v>
      </c>
      <c r="AC824" s="448" t="s">
        <v>61</v>
      </c>
      <c r="AD824" s="447"/>
      <c r="AE824" s="447"/>
      <c r="AF824" s="447"/>
      <c r="AG824" s="447"/>
      <c r="AH824" s="447"/>
      <c r="AI824" s="447"/>
      <c r="AJ824" s="447"/>
      <c r="AK824" s="447"/>
      <c r="AL824" s="447"/>
      <c r="AM824" s="447"/>
      <c r="AN824" s="447"/>
      <c r="AO824" s="447"/>
      <c r="AP824" s="447"/>
      <c r="AQ824" s="447"/>
      <c r="AR824" s="447"/>
      <c r="AS824" s="447"/>
      <c r="AT824" s="447"/>
      <c r="AU824" s="447"/>
      <c r="AV824" s="447"/>
      <c r="AW824" s="447"/>
      <c r="AX824" s="447"/>
      <c r="AY824" s="447"/>
      <c r="AZ824" s="447"/>
      <c r="BA824" s="448" t="s">
        <v>51</v>
      </c>
      <c r="BB824" s="448" t="s">
        <v>51</v>
      </c>
      <c r="BC824" s="447"/>
      <c r="BD824" s="448" t="s">
        <v>755</v>
      </c>
      <c r="BE824" s="447">
        <v>443</v>
      </c>
    </row>
    <row r="825" spans="1:57" ht="30" customHeight="1">
      <c r="A825" s="443" t="s">
        <v>745</v>
      </c>
      <c r="B825" s="443" t="s">
        <v>752</v>
      </c>
      <c r="C825" s="443" t="s">
        <v>59</v>
      </c>
      <c r="D825" s="1133">
        <v>35.839999999999996</v>
      </c>
      <c r="E825" s="445">
        <f>'2층전시실산출 '!H242</f>
        <v>35.839999999999996</v>
      </c>
      <c r="F825" s="1147">
        <v>798</v>
      </c>
      <c r="G825" s="1147">
        <v>28600.319999999996</v>
      </c>
      <c r="H825" s="450">
        <f>TRUNC(일위대가목록!F101,0)</f>
        <v>798</v>
      </c>
      <c r="I825" s="450">
        <f t="shared" si="91"/>
        <v>28600.319999999996</v>
      </c>
      <c r="J825" s="1147">
        <v>64238</v>
      </c>
      <c r="K825" s="1147">
        <v>2302289.9199999999</v>
      </c>
      <c r="L825" s="450">
        <f>TRUNC(일위대가목록!H101,0)</f>
        <v>26254</v>
      </c>
      <c r="M825" s="450">
        <f t="shared" si="92"/>
        <v>940943.35999999987</v>
      </c>
      <c r="N825" s="1147">
        <v>0</v>
      </c>
      <c r="O825" s="1147">
        <v>0</v>
      </c>
      <c r="P825" s="450">
        <f>TRUNC(일위대가목록!J101,0)</f>
        <v>0</v>
      </c>
      <c r="Q825" s="450">
        <f>TRUNC(P825*E825, 0)</f>
        <v>0</v>
      </c>
      <c r="R825" s="1147">
        <v>65036</v>
      </c>
      <c r="S825" s="1147">
        <v>2330890</v>
      </c>
      <c r="T825" s="450">
        <f t="shared" si="94"/>
        <v>27052</v>
      </c>
      <c r="U825" s="450">
        <f t="shared" si="95"/>
        <v>969543</v>
      </c>
      <c r="V825" s="454" t="str">
        <f>일위대가목록!M101</f>
        <v>호표 98</v>
      </c>
    </row>
    <row r="826" spans="1:57" ht="30" customHeight="1">
      <c r="A826" s="443" t="s">
        <v>383</v>
      </c>
      <c r="B826" s="443" t="s">
        <v>208</v>
      </c>
      <c r="C826" s="443" t="s">
        <v>321</v>
      </c>
      <c r="D826" s="1133">
        <v>5</v>
      </c>
      <c r="E826" s="445">
        <v>5</v>
      </c>
      <c r="F826" s="1147">
        <v>12000</v>
      </c>
      <c r="G826" s="1147">
        <v>60000</v>
      </c>
      <c r="H826" s="450">
        <f>TRUNC(단가대비표!O483,0)</f>
        <v>12000</v>
      </c>
      <c r="I826" s="450">
        <f t="shared" si="91"/>
        <v>60000</v>
      </c>
      <c r="J826" s="1147">
        <v>0</v>
      </c>
      <c r="K826" s="1147">
        <v>0</v>
      </c>
      <c r="L826" s="450">
        <f>TRUNC(단가대비표!P483,0)</f>
        <v>0</v>
      </c>
      <c r="M826" s="450">
        <f t="shared" si="92"/>
        <v>0</v>
      </c>
      <c r="N826" s="1147">
        <v>0</v>
      </c>
      <c r="O826" s="1147">
        <v>0</v>
      </c>
      <c r="P826" s="450">
        <f>TRUNC(단가대비표!V483,0)</f>
        <v>0</v>
      </c>
      <c r="Q826" s="450">
        <f>TRUNC(P826*E826, 0)</f>
        <v>0</v>
      </c>
      <c r="R826" s="1147">
        <v>12000</v>
      </c>
      <c r="S826" s="1147">
        <v>60000</v>
      </c>
      <c r="T826" s="450">
        <f t="shared" si="94"/>
        <v>12000</v>
      </c>
      <c r="U826" s="450">
        <f t="shared" si="95"/>
        <v>60000</v>
      </c>
      <c r="V826" s="454" t="s">
        <v>51</v>
      </c>
    </row>
    <row r="827" spans="1:57" ht="30" customHeight="1">
      <c r="A827" s="444"/>
      <c r="B827" s="444"/>
      <c r="C827" s="444"/>
      <c r="D827" s="1133"/>
      <c r="E827" s="445"/>
      <c r="F827" s="1146"/>
      <c r="G827" s="1146"/>
      <c r="H827" s="444"/>
      <c r="I827" s="444"/>
      <c r="J827" s="1146"/>
      <c r="K827" s="1146"/>
      <c r="L827" s="444"/>
      <c r="M827" s="444"/>
      <c r="N827" s="1146"/>
      <c r="O827" s="1146"/>
      <c r="P827" s="444"/>
      <c r="Q827" s="444"/>
      <c r="R827" s="1146"/>
      <c r="S827" s="1146"/>
      <c r="T827" s="444"/>
      <c r="U827" s="444"/>
      <c r="V827" s="446"/>
    </row>
    <row r="828" spans="1:57" ht="30" customHeight="1">
      <c r="A828" s="444"/>
      <c r="B828" s="444"/>
      <c r="C828" s="444"/>
      <c r="D828" s="1133"/>
      <c r="E828" s="445"/>
      <c r="F828" s="1146"/>
      <c r="G828" s="1146"/>
      <c r="H828" s="444"/>
      <c r="I828" s="444"/>
      <c r="J828" s="1146"/>
      <c r="K828" s="1146"/>
      <c r="L828" s="444"/>
      <c r="M828" s="444"/>
      <c r="N828" s="1146"/>
      <c r="O828" s="1146"/>
      <c r="P828" s="444"/>
      <c r="Q828" s="444"/>
      <c r="R828" s="1146"/>
      <c r="S828" s="1146"/>
      <c r="T828" s="444"/>
      <c r="U828" s="444"/>
      <c r="V828" s="446"/>
    </row>
    <row r="829" spans="1:57" ht="30" customHeight="1">
      <c r="A829" s="444"/>
      <c r="B829" s="444"/>
      <c r="C829" s="444"/>
      <c r="D829" s="1133"/>
      <c r="E829" s="445"/>
      <c r="F829" s="1146"/>
      <c r="G829" s="1146"/>
      <c r="H829" s="444"/>
      <c r="I829" s="444"/>
      <c r="J829" s="1146"/>
      <c r="K829" s="1146"/>
      <c r="L829" s="444"/>
      <c r="M829" s="444"/>
      <c r="N829" s="1146"/>
      <c r="O829" s="1146"/>
      <c r="P829" s="444"/>
      <c r="Q829" s="444"/>
      <c r="R829" s="1146"/>
      <c r="S829" s="1146"/>
      <c r="T829" s="444"/>
      <c r="U829" s="444"/>
      <c r="V829" s="446"/>
      <c r="W829" s="449" t="s">
        <v>86</v>
      </c>
    </row>
    <row r="830" spans="1:57" ht="30" customHeight="1">
      <c r="A830" s="444"/>
      <c r="B830" s="444"/>
      <c r="C830" s="444"/>
      <c r="D830" s="1133"/>
      <c r="E830" s="445"/>
      <c r="F830" s="1146"/>
      <c r="G830" s="1146"/>
      <c r="H830" s="444"/>
      <c r="I830" s="444"/>
      <c r="J830" s="1146"/>
      <c r="K830" s="1146"/>
      <c r="L830" s="444"/>
      <c r="M830" s="444"/>
      <c r="N830" s="1146"/>
      <c r="O830" s="1146"/>
      <c r="P830" s="444"/>
      <c r="Q830" s="444"/>
      <c r="R830" s="1146"/>
      <c r="S830" s="1146"/>
      <c r="T830" s="444"/>
      <c r="U830" s="444"/>
      <c r="V830" s="446"/>
      <c r="W830" s="447"/>
      <c r="X830" s="447"/>
      <c r="Y830" s="447"/>
      <c r="Z830" s="448" t="s">
        <v>756</v>
      </c>
      <c r="AA830" s="447"/>
      <c r="AB830" s="447"/>
      <c r="AC830" s="447"/>
      <c r="AD830" s="447"/>
      <c r="AE830" s="447"/>
      <c r="AF830" s="447"/>
      <c r="AG830" s="447"/>
      <c r="AH830" s="447"/>
      <c r="AI830" s="447"/>
      <c r="AJ830" s="447"/>
      <c r="AK830" s="447"/>
      <c r="AL830" s="447"/>
      <c r="AM830" s="447"/>
      <c r="AN830" s="447"/>
      <c r="AO830" s="447"/>
      <c r="AP830" s="447"/>
      <c r="AQ830" s="447"/>
      <c r="AR830" s="447"/>
      <c r="AS830" s="447"/>
      <c r="AT830" s="447"/>
      <c r="AU830" s="447"/>
      <c r="AV830" s="447"/>
      <c r="AW830" s="447"/>
      <c r="AX830" s="447"/>
      <c r="AY830" s="447"/>
      <c r="AZ830" s="447"/>
      <c r="BA830" s="447"/>
      <c r="BB830" s="447"/>
      <c r="BC830" s="447"/>
      <c r="BD830" s="447"/>
      <c r="BE830" s="447"/>
    </row>
    <row r="831" spans="1:57" ht="30" customHeight="1">
      <c r="A831" s="443" t="s">
        <v>85</v>
      </c>
      <c r="B831" s="444"/>
      <c r="C831" s="444"/>
      <c r="D831" s="1133"/>
      <c r="E831" s="445"/>
      <c r="F831" s="1146"/>
      <c r="G831" s="1147">
        <v>36846066.299999997</v>
      </c>
      <c r="H831" s="444"/>
      <c r="I831" s="450">
        <f>SUM(I810:I830)</f>
        <v>36846066.299999997</v>
      </c>
      <c r="J831" s="1146"/>
      <c r="K831" s="1147">
        <v>18538197.719999999</v>
      </c>
      <c r="L831" s="444"/>
      <c r="M831" s="450">
        <f>SUM(M810:M830)</f>
        <v>13966046.289999999</v>
      </c>
      <c r="N831" s="1146"/>
      <c r="O831" s="1147">
        <v>85025.684000000023</v>
      </c>
      <c r="P831" s="444"/>
      <c r="Q831" s="450">
        <f>SUM(Q810:Q830)</f>
        <v>85025.684000000023</v>
      </c>
      <c r="R831" s="1146"/>
      <c r="S831" s="1147">
        <v>55469288</v>
      </c>
      <c r="T831" s="444"/>
      <c r="U831" s="450">
        <f>SUM(U810:U830)</f>
        <v>50897136</v>
      </c>
      <c r="V831" s="446"/>
      <c r="W831" s="448" t="s">
        <v>757</v>
      </c>
      <c r="X831" s="448" t="s">
        <v>51</v>
      </c>
      <c r="Y831" s="448" t="s">
        <v>51</v>
      </c>
      <c r="Z831" s="448" t="s">
        <v>756</v>
      </c>
      <c r="AA831" s="448" t="s">
        <v>62</v>
      </c>
      <c r="AB831" s="448" t="s">
        <v>62</v>
      </c>
      <c r="AC831" s="448" t="s">
        <v>61</v>
      </c>
      <c r="AD831" s="447"/>
      <c r="AE831" s="447"/>
      <c r="AF831" s="447"/>
      <c r="AG831" s="447"/>
      <c r="AH831" s="447"/>
      <c r="AI831" s="447"/>
      <c r="AJ831" s="447"/>
      <c r="AK831" s="447"/>
      <c r="AL831" s="447"/>
      <c r="AM831" s="447"/>
      <c r="AN831" s="447"/>
      <c r="AO831" s="447"/>
      <c r="AP831" s="447"/>
      <c r="AQ831" s="447"/>
      <c r="AR831" s="447"/>
      <c r="AS831" s="447"/>
      <c r="AT831" s="447"/>
      <c r="AU831" s="447"/>
      <c r="AV831" s="447"/>
      <c r="AW831" s="447"/>
      <c r="AX831" s="447"/>
      <c r="AY831" s="447"/>
      <c r="AZ831" s="447"/>
      <c r="BA831" s="448" t="s">
        <v>51</v>
      </c>
      <c r="BB831" s="448" t="s">
        <v>51</v>
      </c>
      <c r="BC831" s="447"/>
      <c r="BD831" s="448" t="s">
        <v>758</v>
      </c>
      <c r="BE831" s="447">
        <v>342</v>
      </c>
    </row>
    <row r="832" spans="1:57" ht="30" customHeight="1">
      <c r="A832" s="443" t="s">
        <v>4829</v>
      </c>
      <c r="B832" s="444"/>
      <c r="C832" s="444"/>
      <c r="D832" s="1133"/>
      <c r="E832" s="445"/>
      <c r="F832" s="1146"/>
      <c r="G832" s="1146"/>
      <c r="H832" s="444"/>
      <c r="I832" s="444"/>
      <c r="J832" s="1146"/>
      <c r="K832" s="1146"/>
      <c r="L832" s="444"/>
      <c r="M832" s="444"/>
      <c r="N832" s="1146"/>
      <c r="O832" s="1146"/>
      <c r="P832" s="444"/>
      <c r="Q832" s="444"/>
      <c r="R832" s="1146"/>
      <c r="S832" s="1146"/>
      <c r="T832" s="444"/>
      <c r="U832" s="444"/>
      <c r="V832" s="446"/>
      <c r="W832" s="448" t="s">
        <v>429</v>
      </c>
      <c r="X832" s="448" t="s">
        <v>51</v>
      </c>
      <c r="Y832" s="448" t="s">
        <v>51</v>
      </c>
      <c r="Z832" s="448" t="s">
        <v>756</v>
      </c>
      <c r="AA832" s="448" t="s">
        <v>62</v>
      </c>
      <c r="AB832" s="448" t="s">
        <v>62</v>
      </c>
      <c r="AC832" s="448" t="s">
        <v>61</v>
      </c>
      <c r="AD832" s="447"/>
      <c r="AE832" s="447"/>
      <c r="AF832" s="447"/>
      <c r="AG832" s="447"/>
      <c r="AH832" s="447"/>
      <c r="AI832" s="447"/>
      <c r="AJ832" s="447"/>
      <c r="AK832" s="447"/>
      <c r="AL832" s="447"/>
      <c r="AM832" s="447"/>
      <c r="AN832" s="447"/>
      <c r="AO832" s="447"/>
      <c r="AP832" s="447"/>
      <c r="AQ832" s="447"/>
      <c r="AR832" s="447"/>
      <c r="AS832" s="447"/>
      <c r="AT832" s="447"/>
      <c r="AU832" s="447"/>
      <c r="AV832" s="447"/>
      <c r="AW832" s="447"/>
      <c r="AX832" s="447"/>
      <c r="AY832" s="447"/>
      <c r="AZ832" s="447"/>
      <c r="BA832" s="448" t="s">
        <v>51</v>
      </c>
      <c r="BB832" s="448" t="s">
        <v>51</v>
      </c>
      <c r="BC832" s="447"/>
      <c r="BD832" s="448" t="s">
        <v>759</v>
      </c>
      <c r="BE832" s="447">
        <v>343</v>
      </c>
    </row>
    <row r="833" spans="1:57" ht="30" customHeight="1">
      <c r="A833" s="443" t="s">
        <v>427</v>
      </c>
      <c r="B833" s="443" t="s">
        <v>424</v>
      </c>
      <c r="C833" s="443" t="s">
        <v>321</v>
      </c>
      <c r="D833" s="1133">
        <v>288</v>
      </c>
      <c r="E833" s="445">
        <f>'2층전시실산출 '!H245</f>
        <v>288</v>
      </c>
      <c r="F833" s="1147">
        <v>20000</v>
      </c>
      <c r="G833" s="1147">
        <v>5760000</v>
      </c>
      <c r="H833" s="450">
        <f>TRUNC(단가대비표!O100,0)</f>
        <v>20000</v>
      </c>
      <c r="I833" s="450">
        <f t="shared" ref="I833:I864" si="98">E833*H833</f>
        <v>5760000</v>
      </c>
      <c r="J833" s="1147">
        <v>0</v>
      </c>
      <c r="K833" s="1147">
        <v>0</v>
      </c>
      <c r="L833" s="450">
        <f>TRUNC(단가대비표!P100,0)</f>
        <v>0</v>
      </c>
      <c r="M833" s="450">
        <f>TRUNC(L833*E833, 0)</f>
        <v>0</v>
      </c>
      <c r="N833" s="1147">
        <v>0</v>
      </c>
      <c r="O833" s="1147">
        <v>0</v>
      </c>
      <c r="P833" s="450">
        <f>TRUNC(단가대비표!V100,0)</f>
        <v>0</v>
      </c>
      <c r="Q833" s="450">
        <f>TRUNC(P833*E833, 0)</f>
        <v>0</v>
      </c>
      <c r="R833" s="1147">
        <v>20000</v>
      </c>
      <c r="S833" s="1147">
        <v>5760000</v>
      </c>
      <c r="T833" s="450">
        <f t="shared" ref="T833:T918" si="99">TRUNC(H833+L833+P833, 0)</f>
        <v>20000</v>
      </c>
      <c r="U833" s="450">
        <f t="shared" ref="U833:U918" si="100">TRUNC(I833+M833+Q833, 0)</f>
        <v>5760000</v>
      </c>
      <c r="V833" s="454" t="s">
        <v>51</v>
      </c>
      <c r="W833" s="448" t="s">
        <v>760</v>
      </c>
      <c r="X833" s="448" t="s">
        <v>51</v>
      </c>
      <c r="Y833" s="448" t="s">
        <v>51</v>
      </c>
      <c r="Z833" s="448" t="s">
        <v>756</v>
      </c>
      <c r="AA833" s="448" t="s">
        <v>62</v>
      </c>
      <c r="AB833" s="448" t="s">
        <v>62</v>
      </c>
      <c r="AC833" s="448" t="s">
        <v>61</v>
      </c>
      <c r="AD833" s="447"/>
      <c r="AE833" s="447"/>
      <c r="AF833" s="447"/>
      <c r="AG833" s="447"/>
      <c r="AH833" s="447"/>
      <c r="AI833" s="447"/>
      <c r="AJ833" s="447"/>
      <c r="AK833" s="447"/>
      <c r="AL833" s="447"/>
      <c r="AM833" s="447"/>
      <c r="AN833" s="447"/>
      <c r="AO833" s="447"/>
      <c r="AP833" s="447"/>
      <c r="AQ833" s="447"/>
      <c r="AR833" s="447"/>
      <c r="AS833" s="447"/>
      <c r="AT833" s="447"/>
      <c r="AU833" s="447"/>
      <c r="AV833" s="447"/>
      <c r="AW833" s="447"/>
      <c r="AX833" s="447"/>
      <c r="AY833" s="447"/>
      <c r="AZ833" s="447"/>
      <c r="BA833" s="448" t="s">
        <v>51</v>
      </c>
      <c r="BB833" s="448" t="s">
        <v>51</v>
      </c>
      <c r="BC833" s="447"/>
      <c r="BD833" s="448" t="s">
        <v>761</v>
      </c>
      <c r="BE833" s="447">
        <v>344</v>
      </c>
    </row>
    <row r="834" spans="1:57" ht="30" customHeight="1">
      <c r="A834" s="443" t="s">
        <v>427</v>
      </c>
      <c r="B834" s="443" t="s">
        <v>428</v>
      </c>
      <c r="C834" s="443" t="s">
        <v>321</v>
      </c>
      <c r="D834" s="1133">
        <v>114</v>
      </c>
      <c r="E834" s="445">
        <f>'2층전시실산출 '!H246</f>
        <v>114</v>
      </c>
      <c r="F834" s="1147">
        <v>12000</v>
      </c>
      <c r="G834" s="1147">
        <v>1368000</v>
      </c>
      <c r="H834" s="450">
        <f>TRUNC(단가대비표!O101,0)</f>
        <v>12000</v>
      </c>
      <c r="I834" s="450">
        <f t="shared" si="98"/>
        <v>1368000</v>
      </c>
      <c r="J834" s="1147">
        <v>0</v>
      </c>
      <c r="K834" s="1147">
        <v>0</v>
      </c>
      <c r="L834" s="450">
        <f>TRUNC(단가대비표!P101,0)</f>
        <v>0</v>
      </c>
      <c r="M834" s="450">
        <f>TRUNC(L834*E834, 0)</f>
        <v>0</v>
      </c>
      <c r="N834" s="1147">
        <v>0</v>
      </c>
      <c r="O834" s="1147">
        <v>0</v>
      </c>
      <c r="P834" s="450">
        <f>TRUNC(단가대비표!V101,0)</f>
        <v>0</v>
      </c>
      <c r="Q834" s="450">
        <f>TRUNC(P834*E834, 0)</f>
        <v>0</v>
      </c>
      <c r="R834" s="1147">
        <v>12000</v>
      </c>
      <c r="S834" s="1147">
        <v>1368000</v>
      </c>
      <c r="T834" s="450">
        <f t="shared" si="99"/>
        <v>12000</v>
      </c>
      <c r="U834" s="450">
        <f t="shared" si="100"/>
        <v>1368000</v>
      </c>
      <c r="V834" s="454" t="s">
        <v>51</v>
      </c>
      <c r="W834" s="448" t="s">
        <v>762</v>
      </c>
      <c r="X834" s="448" t="s">
        <v>51</v>
      </c>
      <c r="Y834" s="448" t="s">
        <v>51</v>
      </c>
      <c r="Z834" s="448" t="s">
        <v>756</v>
      </c>
      <c r="AA834" s="448" t="s">
        <v>62</v>
      </c>
      <c r="AB834" s="448" t="s">
        <v>62</v>
      </c>
      <c r="AC834" s="448" t="s">
        <v>61</v>
      </c>
      <c r="AD834" s="447"/>
      <c r="AE834" s="447"/>
      <c r="AF834" s="447"/>
      <c r="AG834" s="447"/>
      <c r="AH834" s="447"/>
      <c r="AI834" s="447"/>
      <c r="AJ834" s="447"/>
      <c r="AK834" s="447"/>
      <c r="AL834" s="447"/>
      <c r="AM834" s="447"/>
      <c r="AN834" s="447"/>
      <c r="AO834" s="447"/>
      <c r="AP834" s="447"/>
      <c r="AQ834" s="447"/>
      <c r="AR834" s="447"/>
      <c r="AS834" s="447"/>
      <c r="AT834" s="447"/>
      <c r="AU834" s="447"/>
      <c r="AV834" s="447"/>
      <c r="AW834" s="447"/>
      <c r="AX834" s="447"/>
      <c r="AY834" s="447"/>
      <c r="AZ834" s="447"/>
      <c r="BA834" s="448" t="s">
        <v>51</v>
      </c>
      <c r="BB834" s="448" t="s">
        <v>51</v>
      </c>
      <c r="BC834" s="447"/>
      <c r="BD834" s="448" t="s">
        <v>763</v>
      </c>
      <c r="BE834" s="447">
        <v>345</v>
      </c>
    </row>
    <row r="835" spans="1:57" ht="30" customHeight="1">
      <c r="A835" s="473" t="str">
        <f>'2층전시실산출 '!B247</f>
        <v>아크릴 문자(5mm)</v>
      </c>
      <c r="B835" s="473" t="str">
        <f>'2층전시실산출 '!C247</f>
        <v>천하의중심..</v>
      </c>
      <c r="C835" s="473" t="str">
        <f>'2층전시실산출 '!D247</f>
        <v>set</v>
      </c>
      <c r="D835" s="1133">
        <v>1</v>
      </c>
      <c r="E835" s="445">
        <f>'2층전시실산출 '!H247</f>
        <v>1</v>
      </c>
      <c r="F835" s="1147">
        <v>117600</v>
      </c>
      <c r="G835" s="1147">
        <v>117600</v>
      </c>
      <c r="H835" s="450">
        <f>단가대비표!O192</f>
        <v>117600</v>
      </c>
      <c r="I835" s="450">
        <f t="shared" si="98"/>
        <v>117600</v>
      </c>
      <c r="J835" s="1147"/>
      <c r="K835" s="1147"/>
      <c r="L835" s="450"/>
      <c r="M835" s="450"/>
      <c r="N835" s="1147"/>
      <c r="O835" s="1147"/>
      <c r="P835" s="450"/>
      <c r="Q835" s="450"/>
      <c r="R835" s="1147">
        <v>117600</v>
      </c>
      <c r="S835" s="1147">
        <v>117600</v>
      </c>
      <c r="T835" s="450">
        <f t="shared" ref="T835:T876" si="101">TRUNC(H835+L835+P835, 0)</f>
        <v>117600</v>
      </c>
      <c r="U835" s="450">
        <f t="shared" ref="U835:U876" si="102">TRUNC(I835+M835+Q835, 0)</f>
        <v>117600</v>
      </c>
      <c r="V835" s="454"/>
      <c r="W835" s="448"/>
      <c r="X835" s="448"/>
      <c r="Y835" s="448"/>
      <c r="Z835" s="448"/>
      <c r="AA835" s="448"/>
      <c r="AB835" s="448"/>
      <c r="AC835" s="448"/>
      <c r="AD835" s="447"/>
      <c r="AE835" s="447"/>
      <c r="AF835" s="447"/>
      <c r="AG835" s="447"/>
      <c r="AH835" s="447"/>
      <c r="AI835" s="447"/>
      <c r="AJ835" s="447"/>
      <c r="AK835" s="447"/>
      <c r="AL835" s="447"/>
      <c r="AM835" s="447"/>
      <c r="AN835" s="447"/>
      <c r="AO835" s="447"/>
      <c r="AP835" s="447"/>
      <c r="AQ835" s="447"/>
      <c r="AR835" s="447"/>
      <c r="AS835" s="447"/>
      <c r="AT835" s="447"/>
      <c r="AU835" s="447"/>
      <c r="AV835" s="447"/>
      <c r="AW835" s="447"/>
      <c r="AX835" s="447"/>
      <c r="AY835" s="447"/>
      <c r="AZ835" s="447"/>
      <c r="BA835" s="448"/>
      <c r="BB835" s="448"/>
      <c r="BC835" s="447"/>
      <c r="BD835" s="448"/>
      <c r="BE835" s="447"/>
    </row>
    <row r="836" spans="1:57" ht="30" customHeight="1">
      <c r="A836" s="473" t="str">
        <f>'2층전시실산출 '!B248</f>
        <v>아크릴 문자(5mm)</v>
      </c>
      <c r="B836" s="473" t="str">
        <f>'2층전시실산출 '!C248</f>
        <v>고려의건국</v>
      </c>
      <c r="C836" s="473" t="str">
        <f>'2층전시실산출 '!D248</f>
        <v>set</v>
      </c>
      <c r="D836" s="1133">
        <v>1</v>
      </c>
      <c r="E836" s="445">
        <f>'2층전시실산출 '!H248</f>
        <v>1</v>
      </c>
      <c r="F836" s="1147">
        <v>48000</v>
      </c>
      <c r="G836" s="1147">
        <v>48000</v>
      </c>
      <c r="H836" s="450">
        <f>단가대비표!O193</f>
        <v>48000</v>
      </c>
      <c r="I836" s="450">
        <f t="shared" si="98"/>
        <v>48000</v>
      </c>
      <c r="J836" s="1147"/>
      <c r="K836" s="1147"/>
      <c r="L836" s="450"/>
      <c r="M836" s="450"/>
      <c r="N836" s="1147"/>
      <c r="O836" s="1147"/>
      <c r="P836" s="450"/>
      <c r="Q836" s="450"/>
      <c r="R836" s="1147">
        <v>48000</v>
      </c>
      <c r="S836" s="1147">
        <v>48000</v>
      </c>
      <c r="T836" s="450">
        <f t="shared" si="101"/>
        <v>48000</v>
      </c>
      <c r="U836" s="450">
        <f t="shared" si="102"/>
        <v>48000</v>
      </c>
      <c r="V836" s="454"/>
      <c r="W836" s="448"/>
      <c r="X836" s="448"/>
      <c r="Y836" s="448"/>
      <c r="Z836" s="448"/>
      <c r="AA836" s="448"/>
      <c r="AB836" s="448"/>
      <c r="AC836" s="448"/>
      <c r="AD836" s="447"/>
      <c r="AE836" s="447"/>
      <c r="AF836" s="447"/>
      <c r="AG836" s="447"/>
      <c r="AH836" s="447"/>
      <c r="AI836" s="447"/>
      <c r="AJ836" s="447"/>
      <c r="AK836" s="447"/>
      <c r="AL836" s="447"/>
      <c r="AM836" s="447"/>
      <c r="AN836" s="447"/>
      <c r="AO836" s="447"/>
      <c r="AP836" s="447"/>
      <c r="AQ836" s="447"/>
      <c r="AR836" s="447"/>
      <c r="AS836" s="447"/>
      <c r="AT836" s="447"/>
      <c r="AU836" s="447"/>
      <c r="AV836" s="447"/>
      <c r="AW836" s="447"/>
      <c r="AX836" s="447"/>
      <c r="AY836" s="447"/>
      <c r="AZ836" s="447"/>
      <c r="BA836" s="448"/>
      <c r="BB836" s="448"/>
      <c r="BC836" s="447"/>
      <c r="BD836" s="448"/>
      <c r="BE836" s="447"/>
    </row>
    <row r="837" spans="1:57" ht="30" customHeight="1">
      <c r="A837" s="473" t="str">
        <f>'2층전시실산출 '!B249</f>
        <v>아크릴 문자(5mm)</v>
      </c>
      <c r="B837" s="473" t="str">
        <f>'2층전시실산출 '!C249</f>
        <v>경기..</v>
      </c>
      <c r="C837" s="473" t="str">
        <f>'2층전시실산출 '!D249</f>
        <v>set</v>
      </c>
      <c r="D837" s="1133">
        <v>1</v>
      </c>
      <c r="E837" s="445">
        <f>'2층전시실산출 '!H249</f>
        <v>1</v>
      </c>
      <c r="F837" s="1147">
        <v>36000</v>
      </c>
      <c r="G837" s="1147">
        <v>36000</v>
      </c>
      <c r="H837" s="450">
        <f>단가대비표!O194</f>
        <v>36000</v>
      </c>
      <c r="I837" s="450">
        <f t="shared" si="98"/>
        <v>36000</v>
      </c>
      <c r="J837" s="1147"/>
      <c r="K837" s="1147"/>
      <c r="L837" s="450"/>
      <c r="M837" s="450"/>
      <c r="N837" s="1147"/>
      <c r="O837" s="1147"/>
      <c r="P837" s="450"/>
      <c r="Q837" s="450"/>
      <c r="R837" s="1147">
        <v>36000</v>
      </c>
      <c r="S837" s="1147">
        <v>36000</v>
      </c>
      <c r="T837" s="450">
        <f t="shared" si="101"/>
        <v>36000</v>
      </c>
      <c r="U837" s="450">
        <f t="shared" si="102"/>
        <v>36000</v>
      </c>
      <c r="V837" s="454"/>
      <c r="W837" s="448"/>
      <c r="X837" s="448"/>
      <c r="Y837" s="448"/>
      <c r="Z837" s="448"/>
      <c r="AA837" s="448"/>
      <c r="AB837" s="448"/>
      <c r="AC837" s="448"/>
      <c r="AD837" s="447"/>
      <c r="AE837" s="447"/>
      <c r="AF837" s="447"/>
      <c r="AG837" s="447"/>
      <c r="AH837" s="447"/>
      <c r="AI837" s="447"/>
      <c r="AJ837" s="447"/>
      <c r="AK837" s="447"/>
      <c r="AL837" s="447"/>
      <c r="AM837" s="447"/>
      <c r="AN837" s="447"/>
      <c r="AO837" s="447"/>
      <c r="AP837" s="447"/>
      <c r="AQ837" s="447"/>
      <c r="AR837" s="447"/>
      <c r="AS837" s="447"/>
      <c r="AT837" s="447"/>
      <c r="AU837" s="447"/>
      <c r="AV837" s="447"/>
      <c r="AW837" s="447"/>
      <c r="AX837" s="447"/>
      <c r="AY837" s="447"/>
      <c r="AZ837" s="447"/>
      <c r="BA837" s="448"/>
      <c r="BB837" s="448"/>
      <c r="BC837" s="447"/>
      <c r="BD837" s="448"/>
      <c r="BE837" s="447"/>
    </row>
    <row r="838" spans="1:57" ht="30" customHeight="1">
      <c r="A838" s="473" t="str">
        <f>'2층전시실산출 '!B250</f>
        <v>아크릴 문자(5mm)</v>
      </c>
      <c r="B838" s="473" t="str">
        <f>'2층전시실산출 '!C250</f>
        <v>코리아..</v>
      </c>
      <c r="C838" s="473" t="str">
        <f>'2층전시실산출 '!D250</f>
        <v>set</v>
      </c>
      <c r="D838" s="1133">
        <v>1</v>
      </c>
      <c r="E838" s="445">
        <f>'2층전시실산출 '!H250</f>
        <v>1</v>
      </c>
      <c r="F838" s="1147">
        <v>50400</v>
      </c>
      <c r="G838" s="1147">
        <v>50400</v>
      </c>
      <c r="H838" s="450">
        <f>단가대비표!O195</f>
        <v>50400</v>
      </c>
      <c r="I838" s="450">
        <f t="shared" si="98"/>
        <v>50400</v>
      </c>
      <c r="J838" s="1147"/>
      <c r="K838" s="1147"/>
      <c r="L838" s="450"/>
      <c r="M838" s="450"/>
      <c r="N838" s="1147"/>
      <c r="O838" s="1147"/>
      <c r="P838" s="450"/>
      <c r="Q838" s="450"/>
      <c r="R838" s="1147">
        <v>50400</v>
      </c>
      <c r="S838" s="1147">
        <v>50400</v>
      </c>
      <c r="T838" s="450">
        <f t="shared" si="101"/>
        <v>50400</v>
      </c>
      <c r="U838" s="450">
        <f t="shared" si="102"/>
        <v>50400</v>
      </c>
      <c r="V838" s="454"/>
      <c r="W838" s="448"/>
      <c r="X838" s="448"/>
      <c r="Y838" s="448"/>
      <c r="Z838" s="448"/>
      <c r="AA838" s="448"/>
      <c r="AB838" s="448"/>
      <c r="AC838" s="448"/>
      <c r="AD838" s="447"/>
      <c r="AE838" s="447"/>
      <c r="AF838" s="447"/>
      <c r="AG838" s="447"/>
      <c r="AH838" s="447"/>
      <c r="AI838" s="447"/>
      <c r="AJ838" s="447"/>
      <c r="AK838" s="447"/>
      <c r="AL838" s="447"/>
      <c r="AM838" s="447"/>
      <c r="AN838" s="447"/>
      <c r="AO838" s="447"/>
      <c r="AP838" s="447"/>
      <c r="AQ838" s="447"/>
      <c r="AR838" s="447"/>
      <c r="AS838" s="447"/>
      <c r="AT838" s="447"/>
      <c r="AU838" s="447"/>
      <c r="AV838" s="447"/>
      <c r="AW838" s="447"/>
      <c r="AX838" s="447"/>
      <c r="AY838" s="447"/>
      <c r="AZ838" s="447"/>
      <c r="BA838" s="448"/>
      <c r="BB838" s="448"/>
      <c r="BC838" s="447"/>
      <c r="BD838" s="448"/>
      <c r="BE838" s="447"/>
    </row>
    <row r="839" spans="1:57" ht="30" customHeight="1">
      <c r="A839" s="473" t="str">
        <f>'2층전시실산출 '!B251</f>
        <v>아크릴 문자(5mm)</v>
      </c>
      <c r="B839" s="473" t="str">
        <f>'2층전시실산출 '!C251</f>
        <v>외국과의..</v>
      </c>
      <c r="C839" s="473" t="str">
        <f>'2층전시실산출 '!D251</f>
        <v>set</v>
      </c>
      <c r="D839" s="1133">
        <v>1</v>
      </c>
      <c r="E839" s="445">
        <f>'2층전시실산출 '!H251</f>
        <v>1</v>
      </c>
      <c r="F839" s="1147">
        <v>78000</v>
      </c>
      <c r="G839" s="1147">
        <v>78000</v>
      </c>
      <c r="H839" s="450">
        <f>단가대비표!O196</f>
        <v>78000</v>
      </c>
      <c r="I839" s="450">
        <f t="shared" si="98"/>
        <v>78000</v>
      </c>
      <c r="J839" s="1147"/>
      <c r="K839" s="1147"/>
      <c r="L839" s="450"/>
      <c r="M839" s="450"/>
      <c r="N839" s="1147"/>
      <c r="O839" s="1147"/>
      <c r="P839" s="450"/>
      <c r="Q839" s="450"/>
      <c r="R839" s="1147">
        <v>78000</v>
      </c>
      <c r="S839" s="1147">
        <v>78000</v>
      </c>
      <c r="T839" s="450">
        <f t="shared" si="101"/>
        <v>78000</v>
      </c>
      <c r="U839" s="450">
        <f t="shared" si="102"/>
        <v>78000</v>
      </c>
      <c r="V839" s="454"/>
      <c r="W839" s="448"/>
      <c r="X839" s="448"/>
      <c r="Y839" s="448"/>
      <c r="Z839" s="448"/>
      <c r="AA839" s="448"/>
      <c r="AB839" s="448"/>
      <c r="AC839" s="448"/>
      <c r="AD839" s="447"/>
      <c r="AE839" s="447"/>
      <c r="AF839" s="447"/>
      <c r="AG839" s="447"/>
      <c r="AH839" s="447"/>
      <c r="AI839" s="447"/>
      <c r="AJ839" s="447"/>
      <c r="AK839" s="447"/>
      <c r="AL839" s="447"/>
      <c r="AM839" s="447"/>
      <c r="AN839" s="447"/>
      <c r="AO839" s="447"/>
      <c r="AP839" s="447"/>
      <c r="AQ839" s="447"/>
      <c r="AR839" s="447"/>
      <c r="AS839" s="447"/>
      <c r="AT839" s="447"/>
      <c r="AU839" s="447"/>
      <c r="AV839" s="447"/>
      <c r="AW839" s="447"/>
      <c r="AX839" s="447"/>
      <c r="AY839" s="447"/>
      <c r="AZ839" s="447"/>
      <c r="BA839" s="448"/>
      <c r="BB839" s="448"/>
      <c r="BC839" s="447"/>
      <c r="BD839" s="448"/>
      <c r="BE839" s="447"/>
    </row>
    <row r="840" spans="1:57" ht="30" customHeight="1">
      <c r="A840" s="473" t="str">
        <f>'2층전시실산출 '!B252</f>
        <v>아크릴 문자(5mm)</v>
      </c>
      <c r="B840" s="473" t="str">
        <f>'2층전시실산출 '!C252</f>
        <v>고려의쌂</v>
      </c>
      <c r="C840" s="473" t="str">
        <f>'2층전시실산출 '!D252</f>
        <v>set</v>
      </c>
      <c r="D840" s="1133">
        <v>1</v>
      </c>
      <c r="E840" s="445">
        <f>'2층전시실산출 '!H252</f>
        <v>1</v>
      </c>
      <c r="F840" s="1147">
        <v>50400</v>
      </c>
      <c r="G840" s="1147">
        <v>50400</v>
      </c>
      <c r="H840" s="450">
        <f>단가대비표!O197</f>
        <v>50400</v>
      </c>
      <c r="I840" s="450">
        <f t="shared" si="98"/>
        <v>50400</v>
      </c>
      <c r="J840" s="1147"/>
      <c r="K840" s="1147"/>
      <c r="L840" s="450"/>
      <c r="M840" s="450"/>
      <c r="N840" s="1147"/>
      <c r="O840" s="1147"/>
      <c r="P840" s="450"/>
      <c r="Q840" s="450"/>
      <c r="R840" s="1147">
        <v>50400</v>
      </c>
      <c r="S840" s="1147">
        <v>50400</v>
      </c>
      <c r="T840" s="450">
        <f t="shared" si="101"/>
        <v>50400</v>
      </c>
      <c r="U840" s="450">
        <f t="shared" si="102"/>
        <v>50400</v>
      </c>
      <c r="V840" s="454"/>
      <c r="W840" s="448"/>
      <c r="X840" s="448"/>
      <c r="Y840" s="448"/>
      <c r="Z840" s="448"/>
      <c r="AA840" s="448"/>
      <c r="AB840" s="448"/>
      <c r="AC840" s="448"/>
      <c r="AD840" s="447"/>
      <c r="AE840" s="447"/>
      <c r="AF840" s="447"/>
      <c r="AG840" s="447"/>
      <c r="AH840" s="447"/>
      <c r="AI840" s="447"/>
      <c r="AJ840" s="447"/>
      <c r="AK840" s="447"/>
      <c r="AL840" s="447"/>
      <c r="AM840" s="447"/>
      <c r="AN840" s="447"/>
      <c r="AO840" s="447"/>
      <c r="AP840" s="447"/>
      <c r="AQ840" s="447"/>
      <c r="AR840" s="447"/>
      <c r="AS840" s="447"/>
      <c r="AT840" s="447"/>
      <c r="AU840" s="447"/>
      <c r="AV840" s="447"/>
      <c r="AW840" s="447"/>
      <c r="AX840" s="447"/>
      <c r="AY840" s="447"/>
      <c r="AZ840" s="447"/>
      <c r="BA840" s="448"/>
      <c r="BB840" s="448"/>
      <c r="BC840" s="447"/>
      <c r="BD840" s="448"/>
      <c r="BE840" s="447"/>
    </row>
    <row r="841" spans="1:57" ht="30" customHeight="1">
      <c r="A841" s="473" t="str">
        <f>'2층전시실산출 '!B253</f>
        <v>아크릴 문자(5mm)</v>
      </c>
      <c r="B841" s="473" t="str">
        <f>'2층전시실산출 '!C253</f>
        <v>불교문화</v>
      </c>
      <c r="C841" s="473" t="str">
        <f>'2층전시실산출 '!D253</f>
        <v>set</v>
      </c>
      <c r="D841" s="1133">
        <v>1</v>
      </c>
      <c r="E841" s="445">
        <f>'2층전시실산출 '!H253</f>
        <v>1</v>
      </c>
      <c r="F841" s="1147">
        <v>24000</v>
      </c>
      <c r="G841" s="1147">
        <v>24000</v>
      </c>
      <c r="H841" s="450">
        <f>단가대비표!O198</f>
        <v>24000</v>
      </c>
      <c r="I841" s="450">
        <f t="shared" si="98"/>
        <v>24000</v>
      </c>
      <c r="J841" s="1147"/>
      <c r="K841" s="1147"/>
      <c r="L841" s="450"/>
      <c r="M841" s="450"/>
      <c r="N841" s="1147"/>
      <c r="O841" s="1147"/>
      <c r="P841" s="450"/>
      <c r="Q841" s="450"/>
      <c r="R841" s="1147">
        <v>24000</v>
      </c>
      <c r="S841" s="1147">
        <v>24000</v>
      </c>
      <c r="T841" s="450">
        <f t="shared" si="101"/>
        <v>24000</v>
      </c>
      <c r="U841" s="450">
        <f t="shared" si="102"/>
        <v>24000</v>
      </c>
      <c r="V841" s="454"/>
      <c r="W841" s="448"/>
      <c r="X841" s="448"/>
      <c r="Y841" s="448"/>
      <c r="Z841" s="448"/>
      <c r="AA841" s="448"/>
      <c r="AB841" s="448"/>
      <c r="AC841" s="448"/>
      <c r="AD841" s="447"/>
      <c r="AE841" s="447"/>
      <c r="AF841" s="447"/>
      <c r="AG841" s="447"/>
      <c r="AH841" s="447"/>
      <c r="AI841" s="447"/>
      <c r="AJ841" s="447"/>
      <c r="AK841" s="447"/>
      <c r="AL841" s="447"/>
      <c r="AM841" s="447"/>
      <c r="AN841" s="447"/>
      <c r="AO841" s="447"/>
      <c r="AP841" s="447"/>
      <c r="AQ841" s="447"/>
      <c r="AR841" s="447"/>
      <c r="AS841" s="447"/>
      <c r="AT841" s="447"/>
      <c r="AU841" s="447"/>
      <c r="AV841" s="447"/>
      <c r="AW841" s="447"/>
      <c r="AX841" s="447"/>
      <c r="AY841" s="447"/>
      <c r="AZ841" s="447"/>
      <c r="BA841" s="448"/>
      <c r="BB841" s="448"/>
      <c r="BC841" s="447"/>
      <c r="BD841" s="448"/>
      <c r="BE841" s="447"/>
    </row>
    <row r="842" spans="1:57" ht="30" customHeight="1">
      <c r="A842" s="473" t="str">
        <f>'2층전시실산출 '!B254</f>
        <v>아크릴 문자(5mm)</v>
      </c>
      <c r="B842" s="473" t="str">
        <f>'2층전시실산출 '!C254</f>
        <v>장례문화</v>
      </c>
      <c r="C842" s="473" t="str">
        <f>'2층전시실산출 '!D254</f>
        <v>set</v>
      </c>
      <c r="D842" s="1133">
        <v>1</v>
      </c>
      <c r="E842" s="445">
        <f>'2층전시실산출 '!H254</f>
        <v>1</v>
      </c>
      <c r="F842" s="1147">
        <v>24000</v>
      </c>
      <c r="G842" s="1147">
        <v>24000</v>
      </c>
      <c r="H842" s="450">
        <f>단가대비표!O199</f>
        <v>24000</v>
      </c>
      <c r="I842" s="450">
        <f t="shared" si="98"/>
        <v>24000</v>
      </c>
      <c r="J842" s="1147"/>
      <c r="K842" s="1147"/>
      <c r="L842" s="450"/>
      <c r="M842" s="450"/>
      <c r="N842" s="1147"/>
      <c r="O842" s="1147"/>
      <c r="P842" s="450"/>
      <c r="Q842" s="450"/>
      <c r="R842" s="1147">
        <v>24000</v>
      </c>
      <c r="S842" s="1147">
        <v>24000</v>
      </c>
      <c r="T842" s="450">
        <f t="shared" si="101"/>
        <v>24000</v>
      </c>
      <c r="U842" s="450">
        <f t="shared" si="102"/>
        <v>24000</v>
      </c>
      <c r="V842" s="454"/>
      <c r="W842" s="448"/>
      <c r="X842" s="448"/>
      <c r="Y842" s="448"/>
      <c r="Z842" s="448"/>
      <c r="AA842" s="448"/>
      <c r="AB842" s="448"/>
      <c r="AC842" s="448"/>
      <c r="AD842" s="447"/>
      <c r="AE842" s="447"/>
      <c r="AF842" s="447"/>
      <c r="AG842" s="447"/>
      <c r="AH842" s="447"/>
      <c r="AI842" s="447"/>
      <c r="AJ842" s="447"/>
      <c r="AK842" s="447"/>
      <c r="AL842" s="447"/>
      <c r="AM842" s="447"/>
      <c r="AN842" s="447"/>
      <c r="AO842" s="447"/>
      <c r="AP842" s="447"/>
      <c r="AQ842" s="447"/>
      <c r="AR842" s="447"/>
      <c r="AS842" s="447"/>
      <c r="AT842" s="447"/>
      <c r="AU842" s="447"/>
      <c r="AV842" s="447"/>
      <c r="AW842" s="447"/>
      <c r="AX842" s="447"/>
      <c r="AY842" s="447"/>
      <c r="AZ842" s="447"/>
      <c r="BA842" s="448"/>
      <c r="BB842" s="448"/>
      <c r="BC842" s="447"/>
      <c r="BD842" s="448"/>
      <c r="BE842" s="447"/>
    </row>
    <row r="843" spans="1:57" ht="30" customHeight="1">
      <c r="A843" s="473" t="str">
        <f>'2층전시실산출 '!B255</f>
        <v>아크릴 문자(5mm)</v>
      </c>
      <c r="B843" s="473" t="str">
        <f>'2층전시실산출 '!C255</f>
        <v>코리아..</v>
      </c>
      <c r="C843" s="473" t="str">
        <f>'2층전시실산출 '!D255</f>
        <v>set</v>
      </c>
      <c r="D843" s="1133">
        <v>1</v>
      </c>
      <c r="E843" s="445">
        <f>'2층전시실산출 '!H255</f>
        <v>1</v>
      </c>
      <c r="F843" s="1147">
        <v>50400</v>
      </c>
      <c r="G843" s="1147">
        <v>50400</v>
      </c>
      <c r="H843" s="450">
        <f>단가대비표!O200</f>
        <v>50400</v>
      </c>
      <c r="I843" s="450">
        <f t="shared" si="98"/>
        <v>50400</v>
      </c>
      <c r="J843" s="1147"/>
      <c r="K843" s="1147"/>
      <c r="L843" s="450"/>
      <c r="M843" s="450"/>
      <c r="N843" s="1147"/>
      <c r="O843" s="1147"/>
      <c r="P843" s="450"/>
      <c r="Q843" s="450"/>
      <c r="R843" s="1147">
        <v>50400</v>
      </c>
      <c r="S843" s="1147">
        <v>50400</v>
      </c>
      <c r="T843" s="450">
        <f t="shared" si="101"/>
        <v>50400</v>
      </c>
      <c r="U843" s="450">
        <f t="shared" si="102"/>
        <v>50400</v>
      </c>
      <c r="V843" s="454"/>
      <c r="W843" s="448"/>
      <c r="X843" s="448"/>
      <c r="Y843" s="448"/>
      <c r="Z843" s="448"/>
      <c r="AA843" s="448"/>
      <c r="AB843" s="448"/>
      <c r="AC843" s="448"/>
      <c r="AD843" s="447"/>
      <c r="AE843" s="447"/>
      <c r="AF843" s="447"/>
      <c r="AG843" s="447"/>
      <c r="AH843" s="447"/>
      <c r="AI843" s="447"/>
      <c r="AJ843" s="447"/>
      <c r="AK843" s="447"/>
      <c r="AL843" s="447"/>
      <c r="AM843" s="447"/>
      <c r="AN843" s="447"/>
      <c r="AO843" s="447"/>
      <c r="AP843" s="447"/>
      <c r="AQ843" s="447"/>
      <c r="AR843" s="447"/>
      <c r="AS843" s="447"/>
      <c r="AT843" s="447"/>
      <c r="AU843" s="447"/>
      <c r="AV843" s="447"/>
      <c r="AW843" s="447"/>
      <c r="AX843" s="447"/>
      <c r="AY843" s="447"/>
      <c r="AZ843" s="447"/>
      <c r="BA843" s="448"/>
      <c r="BB843" s="448"/>
      <c r="BC843" s="447"/>
      <c r="BD843" s="448"/>
      <c r="BE843" s="447"/>
    </row>
    <row r="844" spans="1:57" ht="30" customHeight="1">
      <c r="A844" s="473" t="str">
        <f>'2층전시실산출 '!B256</f>
        <v>아크릴 문자(5mm)</v>
      </c>
      <c r="B844" s="473" t="str">
        <f>'2층전시실산출 '!C256</f>
        <v>고려인의생활</v>
      </c>
      <c r="C844" s="473" t="str">
        <f>'2층전시실산출 '!D256</f>
        <v>set</v>
      </c>
      <c r="D844" s="1133">
        <v>1</v>
      </c>
      <c r="E844" s="445">
        <f>'2층전시실산출 '!H256</f>
        <v>1</v>
      </c>
      <c r="F844" s="1147">
        <v>36000</v>
      </c>
      <c r="G844" s="1147">
        <v>36000</v>
      </c>
      <c r="H844" s="450">
        <f>단가대비표!O201</f>
        <v>36000</v>
      </c>
      <c r="I844" s="450">
        <f t="shared" si="98"/>
        <v>36000</v>
      </c>
      <c r="J844" s="1147"/>
      <c r="K844" s="1147"/>
      <c r="L844" s="450"/>
      <c r="M844" s="450"/>
      <c r="N844" s="1147"/>
      <c r="O844" s="1147"/>
      <c r="P844" s="450"/>
      <c r="Q844" s="450"/>
      <c r="R844" s="1147">
        <v>36000</v>
      </c>
      <c r="S844" s="1147">
        <v>36000</v>
      </c>
      <c r="T844" s="450">
        <f t="shared" si="101"/>
        <v>36000</v>
      </c>
      <c r="U844" s="450">
        <f t="shared" si="102"/>
        <v>36000</v>
      </c>
      <c r="V844" s="454"/>
      <c r="W844" s="448"/>
      <c r="X844" s="448"/>
      <c r="Y844" s="448"/>
      <c r="Z844" s="448"/>
      <c r="AA844" s="448"/>
      <c r="AB844" s="448"/>
      <c r="AC844" s="448"/>
      <c r="AD844" s="447"/>
      <c r="AE844" s="447"/>
      <c r="AF844" s="447"/>
      <c r="AG844" s="447"/>
      <c r="AH844" s="447"/>
      <c r="AI844" s="447"/>
      <c r="AJ844" s="447"/>
      <c r="AK844" s="447"/>
      <c r="AL844" s="447"/>
      <c r="AM844" s="447"/>
      <c r="AN844" s="447"/>
      <c r="AO844" s="447"/>
      <c r="AP844" s="447"/>
      <c r="AQ844" s="447"/>
      <c r="AR844" s="447"/>
      <c r="AS844" s="447"/>
      <c r="AT844" s="447"/>
      <c r="AU844" s="447"/>
      <c r="AV844" s="447"/>
      <c r="AW844" s="447"/>
      <c r="AX844" s="447"/>
      <c r="AY844" s="447"/>
      <c r="AZ844" s="447"/>
      <c r="BA844" s="448"/>
      <c r="BB844" s="448"/>
      <c r="BC844" s="447"/>
      <c r="BD844" s="448"/>
      <c r="BE844" s="447"/>
    </row>
    <row r="845" spans="1:57" ht="30" customHeight="1">
      <c r="A845" s="473" t="str">
        <f>'2층전시실산출 '!B257</f>
        <v>아크릴 문자(5mm)</v>
      </c>
      <c r="B845" s="473" t="str">
        <f>'2층전시실산출 '!C257</f>
        <v>경기에..</v>
      </c>
      <c r="C845" s="473" t="str">
        <f>'2층전시실산출 '!D257</f>
        <v>set</v>
      </c>
      <c r="D845" s="1133">
        <v>1</v>
      </c>
      <c r="E845" s="445">
        <f>'2층전시실산출 '!H257</f>
        <v>1</v>
      </c>
      <c r="F845" s="1147">
        <v>50400</v>
      </c>
      <c r="G845" s="1147">
        <v>50400</v>
      </c>
      <c r="H845" s="450">
        <f>단가대비표!O202</f>
        <v>50400</v>
      </c>
      <c r="I845" s="450">
        <f t="shared" si="98"/>
        <v>50400</v>
      </c>
      <c r="J845" s="1147"/>
      <c r="K845" s="1147"/>
      <c r="L845" s="450"/>
      <c r="M845" s="450"/>
      <c r="N845" s="1147"/>
      <c r="O845" s="1147"/>
      <c r="P845" s="450"/>
      <c r="Q845" s="450"/>
      <c r="R845" s="1147">
        <v>50400</v>
      </c>
      <c r="S845" s="1147">
        <v>50400</v>
      </c>
      <c r="T845" s="450">
        <f t="shared" si="101"/>
        <v>50400</v>
      </c>
      <c r="U845" s="450">
        <f t="shared" si="102"/>
        <v>50400</v>
      </c>
      <c r="V845" s="454"/>
      <c r="W845" s="448"/>
      <c r="X845" s="448"/>
      <c r="Y845" s="448"/>
      <c r="Z845" s="448"/>
      <c r="AA845" s="448"/>
      <c r="AB845" s="448"/>
      <c r="AC845" s="448"/>
      <c r="AD845" s="447"/>
      <c r="AE845" s="447"/>
      <c r="AF845" s="447"/>
      <c r="AG845" s="447"/>
      <c r="AH845" s="447"/>
      <c r="AI845" s="447"/>
      <c r="AJ845" s="447"/>
      <c r="AK845" s="447"/>
      <c r="AL845" s="447"/>
      <c r="AM845" s="447"/>
      <c r="AN845" s="447"/>
      <c r="AO845" s="447"/>
      <c r="AP845" s="447"/>
      <c r="AQ845" s="447"/>
      <c r="AR845" s="447"/>
      <c r="AS845" s="447"/>
      <c r="AT845" s="447"/>
      <c r="AU845" s="447"/>
      <c r="AV845" s="447"/>
      <c r="AW845" s="447"/>
      <c r="AX845" s="447"/>
      <c r="AY845" s="447"/>
      <c r="AZ845" s="447"/>
      <c r="BA845" s="448"/>
      <c r="BB845" s="448"/>
      <c r="BC845" s="447"/>
      <c r="BD845" s="448"/>
      <c r="BE845" s="447"/>
    </row>
    <row r="846" spans="1:57" ht="30" customHeight="1">
      <c r="A846" s="473" t="str">
        <f>'2층전시실산출 '!B258</f>
        <v>아크릴 문자(5mm)</v>
      </c>
      <c r="B846" s="473" t="str">
        <f>'2층전시실산출 '!C258</f>
        <v>사통팔달</v>
      </c>
      <c r="C846" s="473" t="str">
        <f>'2층전시실산출 '!D258</f>
        <v>set</v>
      </c>
      <c r="D846" s="1133">
        <v>1</v>
      </c>
      <c r="E846" s="445">
        <f>'2층전시실산출 '!H258</f>
        <v>1</v>
      </c>
      <c r="F846" s="1147">
        <v>36000</v>
      </c>
      <c r="G846" s="1147">
        <v>36000</v>
      </c>
      <c r="H846" s="450">
        <f>단가대비표!O203</f>
        <v>36000</v>
      </c>
      <c r="I846" s="450">
        <f t="shared" si="98"/>
        <v>36000</v>
      </c>
      <c r="J846" s="1147"/>
      <c r="K846" s="1147"/>
      <c r="L846" s="450"/>
      <c r="M846" s="450"/>
      <c r="N846" s="1147"/>
      <c r="O846" s="1147"/>
      <c r="P846" s="450"/>
      <c r="Q846" s="450"/>
      <c r="R846" s="1147">
        <v>36000</v>
      </c>
      <c r="S846" s="1147">
        <v>36000</v>
      </c>
      <c r="T846" s="450">
        <f t="shared" si="101"/>
        <v>36000</v>
      </c>
      <c r="U846" s="450">
        <f t="shared" si="102"/>
        <v>36000</v>
      </c>
      <c r="V846" s="454"/>
      <c r="W846" s="448"/>
      <c r="X846" s="448"/>
      <c r="Y846" s="448"/>
      <c r="Z846" s="448"/>
      <c r="AA846" s="448"/>
      <c r="AB846" s="448"/>
      <c r="AC846" s="448"/>
      <c r="AD846" s="447"/>
      <c r="AE846" s="447"/>
      <c r="AF846" s="447"/>
      <c r="AG846" s="447"/>
      <c r="AH846" s="447"/>
      <c r="AI846" s="447"/>
      <c r="AJ846" s="447"/>
      <c r="AK846" s="447"/>
      <c r="AL846" s="447"/>
      <c r="AM846" s="447"/>
      <c r="AN846" s="447"/>
      <c r="AO846" s="447"/>
      <c r="AP846" s="447"/>
      <c r="AQ846" s="447"/>
      <c r="AR846" s="447"/>
      <c r="AS846" s="447"/>
      <c r="AT846" s="447"/>
      <c r="AU846" s="447"/>
      <c r="AV846" s="447"/>
      <c r="AW846" s="447"/>
      <c r="AX846" s="447"/>
      <c r="AY846" s="447"/>
      <c r="AZ846" s="447"/>
      <c r="BA846" s="448"/>
      <c r="BB846" s="448"/>
      <c r="BC846" s="447"/>
      <c r="BD846" s="448"/>
      <c r="BE846" s="447"/>
    </row>
    <row r="847" spans="1:57" ht="30" customHeight="1">
      <c r="A847" s="473" t="str">
        <f>'2층전시실산출 '!B259</f>
        <v>아크릴 문자(5mm)</v>
      </c>
      <c r="B847" s="473" t="str">
        <f>'2층전시실산출 '!C259</f>
        <v>삼남의..</v>
      </c>
      <c r="C847" s="473" t="str">
        <f>'2층전시실산출 '!D259</f>
        <v>set</v>
      </c>
      <c r="D847" s="1133">
        <v>1</v>
      </c>
      <c r="E847" s="445">
        <f>'2층전시실산출 '!H259</f>
        <v>1</v>
      </c>
      <c r="F847" s="1147">
        <v>48000</v>
      </c>
      <c r="G847" s="1147">
        <v>48000</v>
      </c>
      <c r="H847" s="450">
        <f>단가대비표!O204</f>
        <v>48000</v>
      </c>
      <c r="I847" s="450">
        <f t="shared" si="98"/>
        <v>48000</v>
      </c>
      <c r="J847" s="1147"/>
      <c r="K847" s="1147"/>
      <c r="L847" s="450"/>
      <c r="M847" s="450"/>
      <c r="N847" s="1147"/>
      <c r="O847" s="1147"/>
      <c r="P847" s="450"/>
      <c r="Q847" s="450"/>
      <c r="R847" s="1147">
        <v>48000</v>
      </c>
      <c r="S847" s="1147">
        <v>48000</v>
      </c>
      <c r="T847" s="450">
        <f t="shared" si="101"/>
        <v>48000</v>
      </c>
      <c r="U847" s="450">
        <f t="shared" si="102"/>
        <v>48000</v>
      </c>
      <c r="V847" s="454"/>
      <c r="W847" s="448"/>
      <c r="X847" s="448"/>
      <c r="Y847" s="448"/>
      <c r="Z847" s="448"/>
      <c r="AA847" s="448"/>
      <c r="AB847" s="448"/>
      <c r="AC847" s="448"/>
      <c r="AD847" s="447"/>
      <c r="AE847" s="447"/>
      <c r="AF847" s="447"/>
      <c r="AG847" s="447"/>
      <c r="AH847" s="447"/>
      <c r="AI847" s="447"/>
      <c r="AJ847" s="447"/>
      <c r="AK847" s="447"/>
      <c r="AL847" s="447"/>
      <c r="AM847" s="447"/>
      <c r="AN847" s="447"/>
      <c r="AO847" s="447"/>
      <c r="AP847" s="447"/>
      <c r="AQ847" s="447"/>
      <c r="AR847" s="447"/>
      <c r="AS847" s="447"/>
      <c r="AT847" s="447"/>
      <c r="AU847" s="447"/>
      <c r="AV847" s="447"/>
      <c r="AW847" s="447"/>
      <c r="AX847" s="447"/>
      <c r="AY847" s="447"/>
      <c r="AZ847" s="447"/>
      <c r="BA847" s="448"/>
      <c r="BB847" s="448"/>
      <c r="BC847" s="447"/>
      <c r="BD847" s="448"/>
      <c r="BE847" s="447"/>
    </row>
    <row r="848" spans="1:57" ht="30" customHeight="1">
      <c r="A848" s="473" t="str">
        <f>'2층전시실산출 '!B260</f>
        <v>아크릴 문자(5mm)</v>
      </c>
      <c r="B848" s="473" t="str">
        <f>'2층전시실산출 '!C260</f>
        <v>경기스타일</v>
      </c>
      <c r="C848" s="473" t="str">
        <f>'2층전시실산출 '!D260</f>
        <v>set</v>
      </c>
      <c r="D848" s="1133">
        <v>1</v>
      </c>
      <c r="E848" s="445">
        <f>'2층전시실산출 '!H260</f>
        <v>1</v>
      </c>
      <c r="F848" s="1147">
        <v>30000</v>
      </c>
      <c r="G848" s="1147">
        <v>30000</v>
      </c>
      <c r="H848" s="450">
        <f>단가대비표!O205</f>
        <v>30000</v>
      </c>
      <c r="I848" s="450">
        <f t="shared" si="98"/>
        <v>30000</v>
      </c>
      <c r="J848" s="1147"/>
      <c r="K848" s="1147"/>
      <c r="L848" s="450"/>
      <c r="M848" s="450"/>
      <c r="N848" s="1147"/>
      <c r="O848" s="1147"/>
      <c r="P848" s="450"/>
      <c r="Q848" s="450"/>
      <c r="R848" s="1147">
        <v>30000</v>
      </c>
      <c r="S848" s="1147">
        <v>30000</v>
      </c>
      <c r="T848" s="450">
        <f t="shared" si="101"/>
        <v>30000</v>
      </c>
      <c r="U848" s="450">
        <f t="shared" si="102"/>
        <v>30000</v>
      </c>
      <c r="V848" s="454"/>
      <c r="W848" s="448"/>
      <c r="X848" s="448"/>
      <c r="Y848" s="448"/>
      <c r="Z848" s="448"/>
      <c r="AA848" s="448"/>
      <c r="AB848" s="448"/>
      <c r="AC848" s="448"/>
      <c r="AD848" s="447"/>
      <c r="AE848" s="447"/>
      <c r="AF848" s="447"/>
      <c r="AG848" s="447"/>
      <c r="AH848" s="447"/>
      <c r="AI848" s="447"/>
      <c r="AJ848" s="447"/>
      <c r="AK848" s="447"/>
      <c r="AL848" s="447"/>
      <c r="AM848" s="447"/>
      <c r="AN848" s="447"/>
      <c r="AO848" s="447"/>
      <c r="AP848" s="447"/>
      <c r="AQ848" s="447"/>
      <c r="AR848" s="447"/>
      <c r="AS848" s="447"/>
      <c r="AT848" s="447"/>
      <c r="AU848" s="447"/>
      <c r="AV848" s="447"/>
      <c r="AW848" s="447"/>
      <c r="AX848" s="447"/>
      <c r="AY848" s="447"/>
      <c r="AZ848" s="447"/>
      <c r="BA848" s="448"/>
      <c r="BB848" s="448"/>
      <c r="BC848" s="447"/>
      <c r="BD848" s="448"/>
      <c r="BE848" s="447"/>
    </row>
    <row r="849" spans="1:57" ht="30" customHeight="1">
      <c r="A849" s="473" t="str">
        <f>'2층전시실산출 '!B261</f>
        <v>아크릴 문자(5mm)</v>
      </c>
      <c r="B849" s="473" t="str">
        <f>'2층전시실산출 '!C261</f>
        <v>청자의시작</v>
      </c>
      <c r="C849" s="473" t="str">
        <f>'2층전시실산출 '!D261</f>
        <v>set</v>
      </c>
      <c r="D849" s="1133">
        <v>1</v>
      </c>
      <c r="E849" s="445">
        <f>'2층전시실산출 '!H261</f>
        <v>1</v>
      </c>
      <c r="F849" s="1147">
        <v>30000</v>
      </c>
      <c r="G849" s="1147">
        <v>30000</v>
      </c>
      <c r="H849" s="450">
        <f>단가대비표!O206</f>
        <v>30000</v>
      </c>
      <c r="I849" s="450">
        <f t="shared" si="98"/>
        <v>30000</v>
      </c>
      <c r="J849" s="1147"/>
      <c r="K849" s="1147"/>
      <c r="L849" s="450"/>
      <c r="M849" s="450"/>
      <c r="N849" s="1147"/>
      <c r="O849" s="1147"/>
      <c r="P849" s="450"/>
      <c r="Q849" s="450"/>
      <c r="R849" s="1147">
        <v>30000</v>
      </c>
      <c r="S849" s="1147">
        <v>30000</v>
      </c>
      <c r="T849" s="450">
        <f t="shared" si="101"/>
        <v>30000</v>
      </c>
      <c r="U849" s="450">
        <f t="shared" si="102"/>
        <v>30000</v>
      </c>
      <c r="V849" s="454"/>
      <c r="W849" s="448"/>
      <c r="X849" s="448"/>
      <c r="Y849" s="448"/>
      <c r="Z849" s="448"/>
      <c r="AA849" s="448"/>
      <c r="AB849" s="448"/>
      <c r="AC849" s="448"/>
      <c r="AD849" s="447"/>
      <c r="AE849" s="447"/>
      <c r="AF849" s="447"/>
      <c r="AG849" s="447"/>
      <c r="AH849" s="447"/>
      <c r="AI849" s="447"/>
      <c r="AJ849" s="447"/>
      <c r="AK849" s="447"/>
      <c r="AL849" s="447"/>
      <c r="AM849" s="447"/>
      <c r="AN849" s="447"/>
      <c r="AO849" s="447"/>
      <c r="AP849" s="447"/>
      <c r="AQ849" s="447"/>
      <c r="AR849" s="447"/>
      <c r="AS849" s="447"/>
      <c r="AT849" s="447"/>
      <c r="AU849" s="447"/>
      <c r="AV849" s="447"/>
      <c r="AW849" s="447"/>
      <c r="AX849" s="447"/>
      <c r="AY849" s="447"/>
      <c r="AZ849" s="447"/>
      <c r="BA849" s="448"/>
      <c r="BB849" s="448"/>
      <c r="BC849" s="447"/>
      <c r="BD849" s="448"/>
      <c r="BE849" s="447"/>
    </row>
    <row r="850" spans="1:57" ht="30" customHeight="1">
      <c r="A850" s="473" t="str">
        <f>'2층전시실산출 '!B262</f>
        <v>아크릴 문자(5mm)</v>
      </c>
      <c r="B850" s="473" t="str">
        <f>'2층전시실산출 '!C262</f>
        <v>새로움이..</v>
      </c>
      <c r="C850" s="473" t="str">
        <f>'2층전시실산출 '!D262</f>
        <v>set</v>
      </c>
      <c r="D850" s="1133">
        <v>1</v>
      </c>
      <c r="E850" s="445">
        <f>'2층전시실산출 '!H262</f>
        <v>1</v>
      </c>
      <c r="F850" s="1147">
        <v>67200</v>
      </c>
      <c r="G850" s="1147">
        <v>67200</v>
      </c>
      <c r="H850" s="450">
        <f>단가대비표!O207</f>
        <v>67200</v>
      </c>
      <c r="I850" s="450">
        <f t="shared" si="98"/>
        <v>67200</v>
      </c>
      <c r="J850" s="1147"/>
      <c r="K850" s="1147"/>
      <c r="L850" s="450"/>
      <c r="M850" s="450"/>
      <c r="N850" s="1147"/>
      <c r="O850" s="1147"/>
      <c r="P850" s="450"/>
      <c r="Q850" s="450"/>
      <c r="R850" s="1147">
        <v>67200</v>
      </c>
      <c r="S850" s="1147">
        <v>67200</v>
      </c>
      <c r="T850" s="450">
        <f t="shared" si="101"/>
        <v>67200</v>
      </c>
      <c r="U850" s="450">
        <f t="shared" si="102"/>
        <v>67200</v>
      </c>
      <c r="V850" s="454"/>
      <c r="W850" s="448"/>
      <c r="X850" s="448"/>
      <c r="Y850" s="448"/>
      <c r="Z850" s="448"/>
      <c r="AA850" s="448"/>
      <c r="AB850" s="448"/>
      <c r="AC850" s="448"/>
      <c r="AD850" s="447"/>
      <c r="AE850" s="447"/>
      <c r="AF850" s="447"/>
      <c r="AG850" s="447"/>
      <c r="AH850" s="447"/>
      <c r="AI850" s="447"/>
      <c r="AJ850" s="447"/>
      <c r="AK850" s="447"/>
      <c r="AL850" s="447"/>
      <c r="AM850" s="447"/>
      <c r="AN850" s="447"/>
      <c r="AO850" s="447"/>
      <c r="AP850" s="447"/>
      <c r="AQ850" s="447"/>
      <c r="AR850" s="447"/>
      <c r="AS850" s="447"/>
      <c r="AT850" s="447"/>
      <c r="AU850" s="447"/>
      <c r="AV850" s="447"/>
      <c r="AW850" s="447"/>
      <c r="AX850" s="447"/>
      <c r="AY850" s="447"/>
      <c r="AZ850" s="447"/>
      <c r="BA850" s="448"/>
      <c r="BB850" s="448"/>
      <c r="BC850" s="447"/>
      <c r="BD850" s="448"/>
      <c r="BE850" s="447"/>
    </row>
    <row r="851" spans="1:57" ht="30" customHeight="1">
      <c r="A851" s="473" t="str">
        <f>'2층전시실산출 '!B263</f>
        <v>아크릴 문자(5mm)</v>
      </c>
      <c r="B851" s="473" t="str">
        <f>'2층전시실산출 '!C263</f>
        <v>대장경</v>
      </c>
      <c r="C851" s="473" t="str">
        <f>'2층전시실산출 '!D263</f>
        <v>set</v>
      </c>
      <c r="D851" s="1133">
        <v>1</v>
      </c>
      <c r="E851" s="445">
        <f>'2층전시실산출 '!H263</f>
        <v>1</v>
      </c>
      <c r="F851" s="1147">
        <v>60000</v>
      </c>
      <c r="G851" s="1147">
        <v>60000</v>
      </c>
      <c r="H851" s="450">
        <f>단가대비표!O208</f>
        <v>60000</v>
      </c>
      <c r="I851" s="450">
        <f t="shared" si="98"/>
        <v>60000</v>
      </c>
      <c r="J851" s="1147"/>
      <c r="K851" s="1147"/>
      <c r="L851" s="450"/>
      <c r="M851" s="450"/>
      <c r="N851" s="1147"/>
      <c r="O851" s="1147"/>
      <c r="P851" s="450"/>
      <c r="Q851" s="450"/>
      <c r="R851" s="1147">
        <v>60000</v>
      </c>
      <c r="S851" s="1147">
        <v>60000</v>
      </c>
      <c r="T851" s="450">
        <f t="shared" si="101"/>
        <v>60000</v>
      </c>
      <c r="U851" s="450">
        <f t="shared" si="102"/>
        <v>60000</v>
      </c>
      <c r="V851" s="454"/>
      <c r="W851" s="448"/>
      <c r="X851" s="448"/>
      <c r="Y851" s="448"/>
      <c r="Z851" s="448"/>
      <c r="AA851" s="448"/>
      <c r="AB851" s="448"/>
      <c r="AC851" s="448"/>
      <c r="AD851" s="447"/>
      <c r="AE851" s="447"/>
      <c r="AF851" s="447"/>
      <c r="AG851" s="447"/>
      <c r="AH851" s="447"/>
      <c r="AI851" s="447"/>
      <c r="AJ851" s="447"/>
      <c r="AK851" s="447"/>
      <c r="AL851" s="447"/>
      <c r="AM851" s="447"/>
      <c r="AN851" s="447"/>
      <c r="AO851" s="447"/>
      <c r="AP851" s="447"/>
      <c r="AQ851" s="447"/>
      <c r="AR851" s="447"/>
      <c r="AS851" s="447"/>
      <c r="AT851" s="447"/>
      <c r="AU851" s="447"/>
      <c r="AV851" s="447"/>
      <c r="AW851" s="447"/>
      <c r="AX851" s="447"/>
      <c r="AY851" s="447"/>
      <c r="AZ851" s="447"/>
      <c r="BA851" s="448"/>
      <c r="BB851" s="448"/>
      <c r="BC851" s="447"/>
      <c r="BD851" s="448"/>
      <c r="BE851" s="447"/>
    </row>
    <row r="852" spans="1:57" ht="30" customHeight="1">
      <c r="A852" s="473" t="str">
        <f>'2층전시실산출 '!B264</f>
        <v>아크릴 문자(5mm)</v>
      </c>
      <c r="B852" s="473" t="str">
        <f>'2층전시실산출 '!C264</f>
        <v>ㅇㅇㅇㅇ</v>
      </c>
      <c r="C852" s="473" t="str">
        <f>'2층전시실산출 '!D264</f>
        <v>set</v>
      </c>
      <c r="D852" s="1133">
        <v>1</v>
      </c>
      <c r="E852" s="445">
        <f>'2층전시실산출 '!H264</f>
        <v>1</v>
      </c>
      <c r="F852" s="1147">
        <v>50400</v>
      </c>
      <c r="G852" s="1147">
        <v>50400</v>
      </c>
      <c r="H852" s="450">
        <f>단가대비표!O209</f>
        <v>50400</v>
      </c>
      <c r="I852" s="450">
        <f t="shared" si="98"/>
        <v>50400</v>
      </c>
      <c r="J852" s="1147"/>
      <c r="K852" s="1147"/>
      <c r="L852" s="450"/>
      <c r="M852" s="450"/>
      <c r="N852" s="1147"/>
      <c r="O852" s="1147"/>
      <c r="P852" s="450"/>
      <c r="Q852" s="450"/>
      <c r="R852" s="1147">
        <v>50400</v>
      </c>
      <c r="S852" s="1147">
        <v>50400</v>
      </c>
      <c r="T852" s="450">
        <f t="shared" si="101"/>
        <v>50400</v>
      </c>
      <c r="U852" s="450">
        <f t="shared" si="102"/>
        <v>50400</v>
      </c>
      <c r="V852" s="454"/>
      <c r="W852" s="448"/>
      <c r="X852" s="448"/>
      <c r="Y852" s="448"/>
      <c r="Z852" s="448"/>
      <c r="AA852" s="448"/>
      <c r="AB852" s="448"/>
      <c r="AC852" s="448"/>
      <c r="AD852" s="447"/>
      <c r="AE852" s="447"/>
      <c r="AF852" s="447"/>
      <c r="AG852" s="447"/>
      <c r="AH852" s="447"/>
      <c r="AI852" s="447"/>
      <c r="AJ852" s="447"/>
      <c r="AK852" s="447"/>
      <c r="AL852" s="447"/>
      <c r="AM852" s="447"/>
      <c r="AN852" s="447"/>
      <c r="AO852" s="447"/>
      <c r="AP852" s="447"/>
      <c r="AQ852" s="447"/>
      <c r="AR852" s="447"/>
      <c r="AS852" s="447"/>
      <c r="AT852" s="447"/>
      <c r="AU852" s="447"/>
      <c r="AV852" s="447"/>
      <c r="AW852" s="447"/>
      <c r="AX852" s="447"/>
      <c r="AY852" s="447"/>
      <c r="AZ852" s="447"/>
      <c r="BA852" s="448"/>
      <c r="BB852" s="448"/>
      <c r="BC852" s="447"/>
      <c r="BD852" s="448"/>
      <c r="BE852" s="447"/>
    </row>
    <row r="853" spans="1:57" ht="30" customHeight="1">
      <c r="A853" s="473" t="str">
        <f>'2층전시실산출 '!B265</f>
        <v>아크릴 문자(5mm)</v>
      </c>
      <c r="B853" s="473" t="str">
        <f>'2층전시실산출 '!C265</f>
        <v>개혁의중심</v>
      </c>
      <c r="C853" s="473" t="str">
        <f>'2층전시실산출 '!D265</f>
        <v>set</v>
      </c>
      <c r="D853" s="1133">
        <v>1</v>
      </c>
      <c r="E853" s="445">
        <f>'2층전시실산출 '!H265</f>
        <v>1</v>
      </c>
      <c r="F853" s="1147">
        <v>42000</v>
      </c>
      <c r="G853" s="1147">
        <v>42000</v>
      </c>
      <c r="H853" s="450">
        <f>단가대비표!O210</f>
        <v>42000</v>
      </c>
      <c r="I853" s="450">
        <f t="shared" si="98"/>
        <v>42000</v>
      </c>
      <c r="J853" s="1147"/>
      <c r="K853" s="1147"/>
      <c r="L853" s="450"/>
      <c r="M853" s="450"/>
      <c r="N853" s="1147"/>
      <c r="O853" s="1147"/>
      <c r="P853" s="450"/>
      <c r="Q853" s="450"/>
      <c r="R853" s="1147">
        <v>42000</v>
      </c>
      <c r="S853" s="1147">
        <v>42000</v>
      </c>
      <c r="T853" s="450">
        <f t="shared" si="101"/>
        <v>42000</v>
      </c>
      <c r="U853" s="450">
        <f t="shared" si="102"/>
        <v>42000</v>
      </c>
      <c r="V853" s="454"/>
      <c r="W853" s="448"/>
      <c r="X853" s="448"/>
      <c r="Y853" s="448"/>
      <c r="Z853" s="448"/>
      <c r="AA853" s="448"/>
      <c r="AB853" s="448"/>
      <c r="AC853" s="448"/>
      <c r="AD853" s="447"/>
      <c r="AE853" s="447"/>
      <c r="AF853" s="447"/>
      <c r="AG853" s="447"/>
      <c r="AH853" s="447"/>
      <c r="AI853" s="447"/>
      <c r="AJ853" s="447"/>
      <c r="AK853" s="447"/>
      <c r="AL853" s="447"/>
      <c r="AM853" s="447"/>
      <c r="AN853" s="447"/>
      <c r="AO853" s="447"/>
      <c r="AP853" s="447"/>
      <c r="AQ853" s="447"/>
      <c r="AR853" s="447"/>
      <c r="AS853" s="447"/>
      <c r="AT853" s="447"/>
      <c r="AU853" s="447"/>
      <c r="AV853" s="447"/>
      <c r="AW853" s="447"/>
      <c r="AX853" s="447"/>
      <c r="AY853" s="447"/>
      <c r="AZ853" s="447"/>
      <c r="BA853" s="448"/>
      <c r="BB853" s="448"/>
      <c r="BC853" s="447"/>
      <c r="BD853" s="448"/>
      <c r="BE853" s="447"/>
    </row>
    <row r="854" spans="1:57" ht="30" customHeight="1">
      <c r="A854" s="473" t="str">
        <f>'2층전시실산출 '!B266</f>
        <v>아크릴 문자(5mm)</v>
      </c>
      <c r="B854" s="473" t="str">
        <f>'2층전시실산출 '!C266</f>
        <v>새로운왕조</v>
      </c>
      <c r="C854" s="473" t="str">
        <f>'2층전시실산출 '!D266</f>
        <v>set</v>
      </c>
      <c r="D854" s="1133">
        <v>1</v>
      </c>
      <c r="E854" s="445">
        <f>'2층전시실산출 '!H266</f>
        <v>1</v>
      </c>
      <c r="F854" s="1147">
        <v>48000</v>
      </c>
      <c r="G854" s="1147">
        <v>48000</v>
      </c>
      <c r="H854" s="450">
        <f>단가대비표!O211</f>
        <v>48000</v>
      </c>
      <c r="I854" s="450">
        <f t="shared" si="98"/>
        <v>48000</v>
      </c>
      <c r="J854" s="1147"/>
      <c r="K854" s="1147"/>
      <c r="L854" s="450"/>
      <c r="M854" s="450"/>
      <c r="N854" s="1147"/>
      <c r="O854" s="1147"/>
      <c r="P854" s="450"/>
      <c r="Q854" s="450"/>
      <c r="R854" s="1147">
        <v>48000</v>
      </c>
      <c r="S854" s="1147">
        <v>48000</v>
      </c>
      <c r="T854" s="450">
        <f t="shared" si="101"/>
        <v>48000</v>
      </c>
      <c r="U854" s="450">
        <f t="shared" si="102"/>
        <v>48000</v>
      </c>
      <c r="V854" s="454"/>
      <c r="W854" s="448"/>
      <c r="X854" s="448"/>
      <c r="Y854" s="448"/>
      <c r="Z854" s="448"/>
      <c r="AA854" s="448"/>
      <c r="AB854" s="448"/>
      <c r="AC854" s="448"/>
      <c r="AD854" s="447"/>
      <c r="AE854" s="447"/>
      <c r="AF854" s="447"/>
      <c r="AG854" s="447"/>
      <c r="AH854" s="447"/>
      <c r="AI854" s="447"/>
      <c r="AJ854" s="447"/>
      <c r="AK854" s="447"/>
      <c r="AL854" s="447"/>
      <c r="AM854" s="447"/>
      <c r="AN854" s="447"/>
      <c r="AO854" s="447"/>
      <c r="AP854" s="447"/>
      <c r="AQ854" s="447"/>
      <c r="AR854" s="447"/>
      <c r="AS854" s="447"/>
      <c r="AT854" s="447"/>
      <c r="AU854" s="447"/>
      <c r="AV854" s="447"/>
      <c r="AW854" s="447"/>
      <c r="AX854" s="447"/>
      <c r="AY854" s="447"/>
      <c r="AZ854" s="447"/>
      <c r="BA854" s="448"/>
      <c r="BB854" s="448"/>
      <c r="BC854" s="447"/>
      <c r="BD854" s="448"/>
      <c r="BE854" s="447"/>
    </row>
    <row r="855" spans="1:57" ht="30" customHeight="1">
      <c r="A855" s="473" t="str">
        <f>'2층전시실산출 '!B267</f>
        <v>아크릴 문자(5mm)</v>
      </c>
      <c r="B855" s="473" t="str">
        <f>'2층전시실산출 '!C267</f>
        <v>또다른..</v>
      </c>
      <c r="C855" s="473" t="str">
        <f>'2층전시실산출 '!D267</f>
        <v>set</v>
      </c>
      <c r="D855" s="1133">
        <v>1</v>
      </c>
      <c r="E855" s="445">
        <f>'2층전시실산출 '!H267</f>
        <v>1</v>
      </c>
      <c r="F855" s="1147">
        <v>42000</v>
      </c>
      <c r="G855" s="1147">
        <v>42000</v>
      </c>
      <c r="H855" s="450">
        <f>단가대비표!O212</f>
        <v>42000</v>
      </c>
      <c r="I855" s="450">
        <f t="shared" si="98"/>
        <v>42000</v>
      </c>
      <c r="J855" s="1147"/>
      <c r="K855" s="1147"/>
      <c r="L855" s="450"/>
      <c r="M855" s="450"/>
      <c r="N855" s="1147"/>
      <c r="O855" s="1147"/>
      <c r="P855" s="450"/>
      <c r="Q855" s="450"/>
      <c r="R855" s="1147">
        <v>42000</v>
      </c>
      <c r="S855" s="1147">
        <v>42000</v>
      </c>
      <c r="T855" s="450">
        <f t="shared" si="101"/>
        <v>42000</v>
      </c>
      <c r="U855" s="450">
        <f t="shared" si="102"/>
        <v>42000</v>
      </c>
      <c r="V855" s="454"/>
      <c r="W855" s="448"/>
      <c r="X855" s="448"/>
      <c r="Y855" s="448"/>
      <c r="Z855" s="448"/>
      <c r="AA855" s="448"/>
      <c r="AB855" s="448"/>
      <c r="AC855" s="448"/>
      <c r="AD855" s="447"/>
      <c r="AE855" s="447"/>
      <c r="AF855" s="447"/>
      <c r="AG855" s="447"/>
      <c r="AH855" s="447"/>
      <c r="AI855" s="447"/>
      <c r="AJ855" s="447"/>
      <c r="AK855" s="447"/>
      <c r="AL855" s="447"/>
      <c r="AM855" s="447"/>
      <c r="AN855" s="447"/>
      <c r="AO855" s="447"/>
      <c r="AP855" s="447"/>
      <c r="AQ855" s="447"/>
      <c r="AR855" s="447"/>
      <c r="AS855" s="447"/>
      <c r="AT855" s="447"/>
      <c r="AU855" s="447"/>
      <c r="AV855" s="447"/>
      <c r="AW855" s="447"/>
      <c r="AX855" s="447"/>
      <c r="AY855" s="447"/>
      <c r="AZ855" s="447"/>
      <c r="BA855" s="448"/>
      <c r="BB855" s="448"/>
      <c r="BC855" s="447"/>
      <c r="BD855" s="448"/>
      <c r="BE855" s="447"/>
    </row>
    <row r="856" spans="1:57" ht="30" customHeight="1">
      <c r="A856" s="473" t="str">
        <f>'2층전시실산출 '!B268</f>
        <v>아크릴 문자(5mm)</v>
      </c>
      <c r="B856" s="473" t="str">
        <f>'2층전시실산출 '!C268</f>
        <v>대동법의</v>
      </c>
      <c r="C856" s="473" t="str">
        <f>'2층전시실산출 '!D268</f>
        <v>set</v>
      </c>
      <c r="D856" s="1133">
        <v>1</v>
      </c>
      <c r="E856" s="445">
        <f>'2층전시실산출 '!H268</f>
        <v>1</v>
      </c>
      <c r="F856" s="1147">
        <v>66000</v>
      </c>
      <c r="G856" s="1147">
        <v>66000</v>
      </c>
      <c r="H856" s="450">
        <f>단가대비표!O213</f>
        <v>66000</v>
      </c>
      <c r="I856" s="450">
        <f t="shared" si="98"/>
        <v>66000</v>
      </c>
      <c r="J856" s="1147"/>
      <c r="K856" s="1147"/>
      <c r="L856" s="450"/>
      <c r="M856" s="450"/>
      <c r="N856" s="1147"/>
      <c r="O856" s="1147"/>
      <c r="P856" s="450"/>
      <c r="Q856" s="450"/>
      <c r="R856" s="1147">
        <v>66000</v>
      </c>
      <c r="S856" s="1147">
        <v>66000</v>
      </c>
      <c r="T856" s="450">
        <f t="shared" si="101"/>
        <v>66000</v>
      </c>
      <c r="U856" s="450">
        <f t="shared" si="102"/>
        <v>66000</v>
      </c>
      <c r="V856" s="454"/>
      <c r="W856" s="448"/>
      <c r="X856" s="448"/>
      <c r="Y856" s="448"/>
      <c r="Z856" s="448"/>
      <c r="AA856" s="448"/>
      <c r="AB856" s="448"/>
      <c r="AC856" s="448"/>
      <c r="AD856" s="447"/>
      <c r="AE856" s="447"/>
      <c r="AF856" s="447"/>
      <c r="AG856" s="447"/>
      <c r="AH856" s="447"/>
      <c r="AI856" s="447"/>
      <c r="AJ856" s="447"/>
      <c r="AK856" s="447"/>
      <c r="AL856" s="447"/>
      <c r="AM856" s="447"/>
      <c r="AN856" s="447"/>
      <c r="AO856" s="447"/>
      <c r="AP856" s="447"/>
      <c r="AQ856" s="447"/>
      <c r="AR856" s="447"/>
      <c r="AS856" s="447"/>
      <c r="AT856" s="447"/>
      <c r="AU856" s="447"/>
      <c r="AV856" s="447"/>
      <c r="AW856" s="447"/>
      <c r="AX856" s="447"/>
      <c r="AY856" s="447"/>
      <c r="AZ856" s="447"/>
      <c r="BA856" s="448"/>
      <c r="BB856" s="448"/>
      <c r="BC856" s="447"/>
      <c r="BD856" s="448"/>
      <c r="BE856" s="447"/>
    </row>
    <row r="857" spans="1:57" ht="30" customHeight="1">
      <c r="A857" s="473" t="str">
        <f>'2층전시실산출 '!B269</f>
        <v>아크릴 문자(5mm)</v>
      </c>
      <c r="B857" s="473" t="str">
        <f>'2층전시실산출 '!C269</f>
        <v>예술로..</v>
      </c>
      <c r="C857" s="473" t="str">
        <f>'2층전시실산출 '!D269</f>
        <v>set</v>
      </c>
      <c r="D857" s="1133">
        <v>1</v>
      </c>
      <c r="E857" s="445">
        <f>'2층전시실산출 '!H269</f>
        <v>1</v>
      </c>
      <c r="F857" s="1147">
        <v>58800</v>
      </c>
      <c r="G857" s="1147">
        <v>58800</v>
      </c>
      <c r="H857" s="450">
        <f>단가대비표!O214</f>
        <v>58800</v>
      </c>
      <c r="I857" s="450">
        <f t="shared" si="98"/>
        <v>58800</v>
      </c>
      <c r="J857" s="1147"/>
      <c r="K857" s="1147"/>
      <c r="L857" s="450"/>
      <c r="M857" s="450"/>
      <c r="N857" s="1147"/>
      <c r="O857" s="1147"/>
      <c r="P857" s="450"/>
      <c r="Q857" s="450"/>
      <c r="R857" s="1147">
        <v>58800</v>
      </c>
      <c r="S857" s="1147">
        <v>58800</v>
      </c>
      <c r="T857" s="450">
        <f t="shared" si="101"/>
        <v>58800</v>
      </c>
      <c r="U857" s="450">
        <f t="shared" si="102"/>
        <v>58800</v>
      </c>
      <c r="V857" s="454"/>
      <c r="W857" s="448"/>
      <c r="X857" s="448"/>
      <c r="Y857" s="448"/>
      <c r="Z857" s="448"/>
      <c r="AA857" s="448"/>
      <c r="AB857" s="448"/>
      <c r="AC857" s="448"/>
      <c r="AD857" s="447"/>
      <c r="AE857" s="447"/>
      <c r="AF857" s="447"/>
      <c r="AG857" s="447"/>
      <c r="AH857" s="447"/>
      <c r="AI857" s="447"/>
      <c r="AJ857" s="447"/>
      <c r="AK857" s="447"/>
      <c r="AL857" s="447"/>
      <c r="AM857" s="447"/>
      <c r="AN857" s="447"/>
      <c r="AO857" s="447"/>
      <c r="AP857" s="447"/>
      <c r="AQ857" s="447"/>
      <c r="AR857" s="447"/>
      <c r="AS857" s="447"/>
      <c r="AT857" s="447"/>
      <c r="AU857" s="447"/>
      <c r="AV857" s="447"/>
      <c r="AW857" s="447"/>
      <c r="AX857" s="447"/>
      <c r="AY857" s="447"/>
      <c r="AZ857" s="447"/>
      <c r="BA857" s="448"/>
      <c r="BB857" s="448"/>
      <c r="BC857" s="447"/>
      <c r="BD857" s="448"/>
      <c r="BE857" s="447"/>
    </row>
    <row r="858" spans="1:57" ht="30" customHeight="1">
      <c r="A858" s="473" t="str">
        <f>'2층전시실산출 '!B270</f>
        <v>아크릴 문자(5mm)</v>
      </c>
      <c r="B858" s="473" t="str">
        <f>'2층전시실산출 '!C270</f>
        <v>ㅇㅇㅇㅇ</v>
      </c>
      <c r="C858" s="473" t="str">
        <f>'2층전시실산출 '!D270</f>
        <v>set</v>
      </c>
      <c r="D858" s="1133">
        <v>1</v>
      </c>
      <c r="E858" s="445">
        <f>'2층전시실산출 '!H270</f>
        <v>1</v>
      </c>
      <c r="F858" s="1147">
        <v>50400</v>
      </c>
      <c r="G858" s="1147">
        <v>50400</v>
      </c>
      <c r="H858" s="450">
        <f>단가대비표!O215</f>
        <v>50400</v>
      </c>
      <c r="I858" s="450">
        <f t="shared" si="98"/>
        <v>50400</v>
      </c>
      <c r="J858" s="1147"/>
      <c r="K858" s="1147"/>
      <c r="L858" s="450"/>
      <c r="M858" s="450"/>
      <c r="N858" s="1147"/>
      <c r="O858" s="1147"/>
      <c r="P858" s="450"/>
      <c r="Q858" s="450"/>
      <c r="R858" s="1147">
        <v>50400</v>
      </c>
      <c r="S858" s="1147">
        <v>50400</v>
      </c>
      <c r="T858" s="450">
        <f t="shared" si="101"/>
        <v>50400</v>
      </c>
      <c r="U858" s="450">
        <f t="shared" si="102"/>
        <v>50400</v>
      </c>
      <c r="V858" s="454"/>
      <c r="W858" s="448"/>
      <c r="X858" s="448"/>
      <c r="Y858" s="448"/>
      <c r="Z858" s="448"/>
      <c r="AA858" s="448"/>
      <c r="AB858" s="448"/>
      <c r="AC858" s="448"/>
      <c r="AD858" s="447"/>
      <c r="AE858" s="447"/>
      <c r="AF858" s="447"/>
      <c r="AG858" s="447"/>
      <c r="AH858" s="447"/>
      <c r="AI858" s="447"/>
      <c r="AJ858" s="447"/>
      <c r="AK858" s="447"/>
      <c r="AL858" s="447"/>
      <c r="AM858" s="447"/>
      <c r="AN858" s="447"/>
      <c r="AO858" s="447"/>
      <c r="AP858" s="447"/>
      <c r="AQ858" s="447"/>
      <c r="AR858" s="447"/>
      <c r="AS858" s="447"/>
      <c r="AT858" s="447"/>
      <c r="AU858" s="447"/>
      <c r="AV858" s="447"/>
      <c r="AW858" s="447"/>
      <c r="AX858" s="447"/>
      <c r="AY858" s="447"/>
      <c r="AZ858" s="447"/>
      <c r="BA858" s="448"/>
      <c r="BB858" s="448"/>
      <c r="BC858" s="447"/>
      <c r="BD858" s="448"/>
      <c r="BE858" s="447"/>
    </row>
    <row r="859" spans="1:57" ht="30" customHeight="1">
      <c r="A859" s="473" t="str">
        <f>'2층전시실산출 '!B271</f>
        <v>아크릴 문자(5mm)</v>
      </c>
      <c r="B859" s="473" t="str">
        <f>'2층전시실산출 '!C271</f>
        <v>ㅇㅇㅇㅇ</v>
      </c>
      <c r="C859" s="473" t="str">
        <f>'2층전시실산출 '!D271</f>
        <v>set</v>
      </c>
      <c r="D859" s="1133">
        <v>1</v>
      </c>
      <c r="E859" s="445">
        <f>'2층전시실산출 '!H271</f>
        <v>1</v>
      </c>
      <c r="F859" s="1147">
        <v>50400</v>
      </c>
      <c r="G859" s="1147">
        <v>50400</v>
      </c>
      <c r="H859" s="450">
        <f>단가대비표!O216</f>
        <v>50400</v>
      </c>
      <c r="I859" s="450">
        <f t="shared" si="98"/>
        <v>50400</v>
      </c>
      <c r="J859" s="1147"/>
      <c r="K859" s="1147"/>
      <c r="L859" s="450"/>
      <c r="M859" s="450"/>
      <c r="N859" s="1147"/>
      <c r="O859" s="1147"/>
      <c r="P859" s="450"/>
      <c r="Q859" s="450"/>
      <c r="R859" s="1147">
        <v>50400</v>
      </c>
      <c r="S859" s="1147">
        <v>50400</v>
      </c>
      <c r="T859" s="450">
        <f t="shared" si="101"/>
        <v>50400</v>
      </c>
      <c r="U859" s="450">
        <f t="shared" si="102"/>
        <v>50400</v>
      </c>
      <c r="V859" s="454"/>
      <c r="W859" s="448"/>
      <c r="X859" s="448"/>
      <c r="Y859" s="448"/>
      <c r="Z859" s="448"/>
      <c r="AA859" s="448"/>
      <c r="AB859" s="448"/>
      <c r="AC859" s="448"/>
      <c r="AD859" s="447"/>
      <c r="AE859" s="447"/>
      <c r="AF859" s="447"/>
      <c r="AG859" s="447"/>
      <c r="AH859" s="447"/>
      <c r="AI859" s="447"/>
      <c r="AJ859" s="447"/>
      <c r="AK859" s="447"/>
      <c r="AL859" s="447"/>
      <c r="AM859" s="447"/>
      <c r="AN859" s="447"/>
      <c r="AO859" s="447"/>
      <c r="AP859" s="447"/>
      <c r="AQ859" s="447"/>
      <c r="AR859" s="447"/>
      <c r="AS859" s="447"/>
      <c r="AT859" s="447"/>
      <c r="AU859" s="447"/>
      <c r="AV859" s="447"/>
      <c r="AW859" s="447"/>
      <c r="AX859" s="447"/>
      <c r="AY859" s="447"/>
      <c r="AZ859" s="447"/>
      <c r="BA859" s="448"/>
      <c r="BB859" s="448"/>
      <c r="BC859" s="447"/>
      <c r="BD859" s="448"/>
      <c r="BE859" s="447"/>
    </row>
    <row r="860" spans="1:57" ht="30" customHeight="1">
      <c r="A860" s="473" t="str">
        <f>'2층전시실산출 '!B272</f>
        <v>아크릴 문자(5mm)</v>
      </c>
      <c r="B860" s="473" t="str">
        <f>'2층전시실산출 '!C272</f>
        <v>초상 영원</v>
      </c>
      <c r="C860" s="473" t="str">
        <f>'2층전시실산출 '!D272</f>
        <v>set</v>
      </c>
      <c r="D860" s="1133">
        <v>1</v>
      </c>
      <c r="E860" s="445">
        <f>'2층전시실산출 '!H272</f>
        <v>1</v>
      </c>
      <c r="F860" s="1147">
        <v>67200</v>
      </c>
      <c r="G860" s="1147">
        <v>67200</v>
      </c>
      <c r="H860" s="450">
        <f>단가대비표!O217</f>
        <v>67200</v>
      </c>
      <c r="I860" s="450">
        <f t="shared" si="98"/>
        <v>67200</v>
      </c>
      <c r="J860" s="1147"/>
      <c r="K860" s="1147"/>
      <c r="L860" s="450"/>
      <c r="M860" s="450"/>
      <c r="N860" s="1147"/>
      <c r="O860" s="1147"/>
      <c r="P860" s="450"/>
      <c r="Q860" s="450"/>
      <c r="R860" s="1147">
        <v>67200</v>
      </c>
      <c r="S860" s="1147">
        <v>67200</v>
      </c>
      <c r="T860" s="450">
        <f t="shared" si="101"/>
        <v>67200</v>
      </c>
      <c r="U860" s="450">
        <f t="shared" si="102"/>
        <v>67200</v>
      </c>
      <c r="V860" s="454"/>
      <c r="W860" s="448"/>
      <c r="X860" s="448"/>
      <c r="Y860" s="448"/>
      <c r="Z860" s="448"/>
      <c r="AA860" s="448"/>
      <c r="AB860" s="448"/>
      <c r="AC860" s="448"/>
      <c r="AD860" s="447"/>
      <c r="AE860" s="447"/>
      <c r="AF860" s="447"/>
      <c r="AG860" s="447"/>
      <c r="AH860" s="447"/>
      <c r="AI860" s="447"/>
      <c r="AJ860" s="447"/>
      <c r="AK860" s="447"/>
      <c r="AL860" s="447"/>
      <c r="AM860" s="447"/>
      <c r="AN860" s="447"/>
      <c r="AO860" s="447"/>
      <c r="AP860" s="447"/>
      <c r="AQ860" s="447"/>
      <c r="AR860" s="447"/>
      <c r="AS860" s="447"/>
      <c r="AT860" s="447"/>
      <c r="AU860" s="447"/>
      <c r="AV860" s="447"/>
      <c r="AW860" s="447"/>
      <c r="AX860" s="447"/>
      <c r="AY860" s="447"/>
      <c r="AZ860" s="447"/>
      <c r="BA860" s="448"/>
      <c r="BB860" s="448"/>
      <c r="BC860" s="447"/>
      <c r="BD860" s="448"/>
      <c r="BE860" s="447"/>
    </row>
    <row r="861" spans="1:57" ht="30" customHeight="1">
      <c r="A861" s="473" t="str">
        <f>'2층전시실산출 '!B273</f>
        <v>아크릴 문자(5mm)</v>
      </c>
      <c r="B861" s="473" t="str">
        <f>'2층전시실산출 '!C273</f>
        <v>ㅇㅇㅇㅇ</v>
      </c>
      <c r="C861" s="473" t="str">
        <f>'2층전시실산출 '!D273</f>
        <v>set</v>
      </c>
      <c r="D861" s="1133">
        <v>1</v>
      </c>
      <c r="E861" s="445">
        <f>'2층전시실산출 '!H273</f>
        <v>1</v>
      </c>
      <c r="F861" s="1147">
        <v>36000</v>
      </c>
      <c r="G861" s="1147">
        <v>36000</v>
      </c>
      <c r="H861" s="450">
        <f>단가대비표!O218</f>
        <v>36000</v>
      </c>
      <c r="I861" s="450">
        <f t="shared" si="98"/>
        <v>36000</v>
      </c>
      <c r="J861" s="1147"/>
      <c r="K861" s="1147"/>
      <c r="L861" s="450"/>
      <c r="M861" s="450"/>
      <c r="N861" s="1147"/>
      <c r="O861" s="1147"/>
      <c r="P861" s="450"/>
      <c r="Q861" s="450"/>
      <c r="R861" s="1147">
        <v>36000</v>
      </c>
      <c r="S861" s="1147">
        <v>36000</v>
      </c>
      <c r="T861" s="450">
        <f t="shared" si="101"/>
        <v>36000</v>
      </c>
      <c r="U861" s="450">
        <f t="shared" si="102"/>
        <v>36000</v>
      </c>
      <c r="V861" s="454"/>
      <c r="W861" s="448"/>
      <c r="X861" s="448"/>
      <c r="Y861" s="448"/>
      <c r="Z861" s="448"/>
      <c r="AA861" s="448"/>
      <c r="AB861" s="448"/>
      <c r="AC861" s="448"/>
      <c r="AD861" s="447"/>
      <c r="AE861" s="447"/>
      <c r="AF861" s="447"/>
      <c r="AG861" s="447"/>
      <c r="AH861" s="447"/>
      <c r="AI861" s="447"/>
      <c r="AJ861" s="447"/>
      <c r="AK861" s="447"/>
      <c r="AL861" s="447"/>
      <c r="AM861" s="447"/>
      <c r="AN861" s="447"/>
      <c r="AO861" s="447"/>
      <c r="AP861" s="447"/>
      <c r="AQ861" s="447"/>
      <c r="AR861" s="447"/>
      <c r="AS861" s="447"/>
      <c r="AT861" s="447"/>
      <c r="AU861" s="447"/>
      <c r="AV861" s="447"/>
      <c r="AW861" s="447"/>
      <c r="AX861" s="447"/>
      <c r="AY861" s="447"/>
      <c r="AZ861" s="447"/>
      <c r="BA861" s="448"/>
      <c r="BB861" s="448"/>
      <c r="BC861" s="447"/>
      <c r="BD861" s="448"/>
      <c r="BE861" s="447"/>
    </row>
    <row r="862" spans="1:57" ht="30" customHeight="1">
      <c r="A862" s="473" t="str">
        <f>'2층전시실산출 '!B274</f>
        <v>아크릴 문자(5mm)</v>
      </c>
      <c r="B862" s="473" t="str">
        <f>'2층전시실산출 '!C274</f>
        <v>이상향릉</v>
      </c>
      <c r="C862" s="473" t="str">
        <f>'2층전시실산출 '!D274</f>
        <v>set</v>
      </c>
      <c r="D862" s="1133">
        <v>1</v>
      </c>
      <c r="E862" s="445">
        <f>'2층전시실산출 '!H274</f>
        <v>1</v>
      </c>
      <c r="F862" s="1147">
        <v>42000</v>
      </c>
      <c r="G862" s="1147">
        <v>42000</v>
      </c>
      <c r="H862" s="450">
        <f>단가대비표!O219</f>
        <v>42000</v>
      </c>
      <c r="I862" s="450">
        <f t="shared" si="98"/>
        <v>42000</v>
      </c>
      <c r="J862" s="1147"/>
      <c r="K862" s="1147"/>
      <c r="L862" s="450"/>
      <c r="M862" s="450"/>
      <c r="N862" s="1147"/>
      <c r="O862" s="1147"/>
      <c r="P862" s="450"/>
      <c r="Q862" s="450"/>
      <c r="R862" s="1147">
        <v>42000</v>
      </c>
      <c r="S862" s="1147">
        <v>42000</v>
      </c>
      <c r="T862" s="450">
        <f t="shared" si="101"/>
        <v>42000</v>
      </c>
      <c r="U862" s="450">
        <f t="shared" si="102"/>
        <v>42000</v>
      </c>
      <c r="V862" s="454"/>
      <c r="W862" s="448"/>
      <c r="X862" s="448"/>
      <c r="Y862" s="448"/>
      <c r="Z862" s="448"/>
      <c r="AA862" s="448"/>
      <c r="AB862" s="448"/>
      <c r="AC862" s="448"/>
      <c r="AD862" s="447"/>
      <c r="AE862" s="447"/>
      <c r="AF862" s="447"/>
      <c r="AG862" s="447"/>
      <c r="AH862" s="447"/>
      <c r="AI862" s="447"/>
      <c r="AJ862" s="447"/>
      <c r="AK862" s="447"/>
      <c r="AL862" s="447"/>
      <c r="AM862" s="447"/>
      <c r="AN862" s="447"/>
      <c r="AO862" s="447"/>
      <c r="AP862" s="447"/>
      <c r="AQ862" s="447"/>
      <c r="AR862" s="447"/>
      <c r="AS862" s="447"/>
      <c r="AT862" s="447"/>
      <c r="AU862" s="447"/>
      <c r="AV862" s="447"/>
      <c r="AW862" s="447"/>
      <c r="AX862" s="447"/>
      <c r="AY862" s="447"/>
      <c r="AZ862" s="447"/>
      <c r="BA862" s="448"/>
      <c r="BB862" s="448"/>
      <c r="BC862" s="447"/>
      <c r="BD862" s="448"/>
      <c r="BE862" s="447"/>
    </row>
    <row r="863" spans="1:57" ht="30" customHeight="1">
      <c r="A863" s="473" t="str">
        <f>'2층전시실산출 '!B275</f>
        <v>아크릴 문자(5mm)</v>
      </c>
      <c r="B863" s="473" t="str">
        <f>'2층전시실산출 '!C275</f>
        <v>고려의중심..</v>
      </c>
      <c r="C863" s="473" t="str">
        <f>'2층전시실산출 '!D275</f>
        <v>set</v>
      </c>
      <c r="D863" s="1133">
        <v>1</v>
      </c>
      <c r="E863" s="445">
        <f>'2층전시실산출 '!H275</f>
        <v>1</v>
      </c>
      <c r="F863" s="1147">
        <v>117600</v>
      </c>
      <c r="G863" s="1147">
        <v>117600</v>
      </c>
      <c r="H863" s="450">
        <f>단가대비표!O220</f>
        <v>117600</v>
      </c>
      <c r="I863" s="450">
        <f t="shared" si="98"/>
        <v>117600</v>
      </c>
      <c r="J863" s="1147"/>
      <c r="K863" s="1147"/>
      <c r="L863" s="450"/>
      <c r="M863" s="450"/>
      <c r="N863" s="1147"/>
      <c r="O863" s="1147"/>
      <c r="P863" s="450"/>
      <c r="Q863" s="450"/>
      <c r="R863" s="1147">
        <v>117600</v>
      </c>
      <c r="S863" s="1147">
        <v>117600</v>
      </c>
      <c r="T863" s="450">
        <f t="shared" si="101"/>
        <v>117600</v>
      </c>
      <c r="U863" s="450">
        <f t="shared" si="102"/>
        <v>117600</v>
      </c>
      <c r="V863" s="454"/>
      <c r="W863" s="448"/>
      <c r="X863" s="448"/>
      <c r="Y863" s="448"/>
      <c r="Z863" s="448"/>
      <c r="AA863" s="448"/>
      <c r="AB863" s="448"/>
      <c r="AC863" s="448"/>
      <c r="AD863" s="447"/>
      <c r="AE863" s="447"/>
      <c r="AF863" s="447"/>
      <c r="AG863" s="447"/>
      <c r="AH863" s="447"/>
      <c r="AI863" s="447"/>
      <c r="AJ863" s="447"/>
      <c r="AK863" s="447"/>
      <c r="AL863" s="447"/>
      <c r="AM863" s="447"/>
      <c r="AN863" s="447"/>
      <c r="AO863" s="447"/>
      <c r="AP863" s="447"/>
      <c r="AQ863" s="447"/>
      <c r="AR863" s="447"/>
      <c r="AS863" s="447"/>
      <c r="AT863" s="447"/>
      <c r="AU863" s="447"/>
      <c r="AV863" s="447"/>
      <c r="AW863" s="447"/>
      <c r="AX863" s="447"/>
      <c r="AY863" s="447"/>
      <c r="AZ863" s="447"/>
      <c r="BA863" s="448"/>
      <c r="BB863" s="448"/>
      <c r="BC863" s="447"/>
      <c r="BD863" s="448"/>
      <c r="BE863" s="447"/>
    </row>
    <row r="864" spans="1:57" ht="30" customHeight="1">
      <c r="A864" s="473" t="str">
        <f>'2층전시실산출 '!B276</f>
        <v>아크릴 문자(5mm)</v>
      </c>
      <c r="B864" s="473" t="str">
        <f>'2층전시실산출 '!C276</f>
        <v>국제항구</v>
      </c>
      <c r="C864" s="473" t="str">
        <f>'2층전시실산출 '!D276</f>
        <v>set</v>
      </c>
      <c r="D864" s="1133">
        <v>1</v>
      </c>
      <c r="E864" s="445">
        <f>'2층전시실산출 '!H276</f>
        <v>1</v>
      </c>
      <c r="F864" s="1147">
        <v>42000</v>
      </c>
      <c r="G864" s="1147">
        <v>42000</v>
      </c>
      <c r="H864" s="450">
        <f>단가대비표!O221</f>
        <v>42000</v>
      </c>
      <c r="I864" s="450">
        <f t="shared" si="98"/>
        <v>42000</v>
      </c>
      <c r="J864" s="1147"/>
      <c r="K864" s="1147"/>
      <c r="L864" s="450"/>
      <c r="M864" s="450"/>
      <c r="N864" s="1147"/>
      <c r="O864" s="1147"/>
      <c r="P864" s="450"/>
      <c r="Q864" s="450"/>
      <c r="R864" s="1147">
        <v>42000</v>
      </c>
      <c r="S864" s="1147">
        <v>42000</v>
      </c>
      <c r="T864" s="450">
        <f t="shared" si="101"/>
        <v>42000</v>
      </c>
      <c r="U864" s="450">
        <f t="shared" si="102"/>
        <v>42000</v>
      </c>
      <c r="V864" s="454"/>
      <c r="W864" s="448"/>
      <c r="X864" s="448"/>
      <c r="Y864" s="448"/>
      <c r="Z864" s="448"/>
      <c r="AA864" s="448"/>
      <c r="AB864" s="448"/>
      <c r="AC864" s="448"/>
      <c r="AD864" s="447"/>
      <c r="AE864" s="447"/>
      <c r="AF864" s="447"/>
      <c r="AG864" s="447"/>
      <c r="AH864" s="447"/>
      <c r="AI864" s="447"/>
      <c r="AJ864" s="447"/>
      <c r="AK864" s="447"/>
      <c r="AL864" s="447"/>
      <c r="AM864" s="447"/>
      <c r="AN864" s="447"/>
      <c r="AO864" s="447"/>
      <c r="AP864" s="447"/>
      <c r="AQ864" s="447"/>
      <c r="AR864" s="447"/>
      <c r="AS864" s="447"/>
      <c r="AT864" s="447"/>
      <c r="AU864" s="447"/>
      <c r="AV864" s="447"/>
      <c r="AW864" s="447"/>
      <c r="AX864" s="447"/>
      <c r="AY864" s="447"/>
      <c r="AZ864" s="447"/>
      <c r="BA864" s="448"/>
      <c r="BB864" s="448"/>
      <c r="BC864" s="447"/>
      <c r="BD864" s="448"/>
      <c r="BE864" s="447"/>
    </row>
    <row r="865" spans="1:57" ht="30" customHeight="1">
      <c r="A865" s="473" t="str">
        <f>'2층전시실산출 '!B277</f>
        <v>아크릴 문자(5mm)</v>
      </c>
      <c r="B865" s="473" t="str">
        <f>'2층전시실산출 '!C277</f>
        <v>경기선혜</v>
      </c>
      <c r="C865" s="473" t="str">
        <f>'2층전시실산출 '!D277</f>
        <v>set</v>
      </c>
      <c r="D865" s="1133">
        <v>1</v>
      </c>
      <c r="E865" s="445">
        <f>'2층전시실산출 '!H277</f>
        <v>1</v>
      </c>
      <c r="F865" s="1147">
        <v>30000</v>
      </c>
      <c r="G865" s="1147">
        <v>30000</v>
      </c>
      <c r="H865" s="450">
        <f>단가대비표!O222</f>
        <v>30000</v>
      </c>
      <c r="I865" s="450">
        <f t="shared" ref="I865:I896" si="103">E865*H865</f>
        <v>30000</v>
      </c>
      <c r="J865" s="1147"/>
      <c r="K865" s="1147"/>
      <c r="L865" s="450"/>
      <c r="M865" s="450"/>
      <c r="N865" s="1147"/>
      <c r="O865" s="1147"/>
      <c r="P865" s="450"/>
      <c r="Q865" s="450"/>
      <c r="R865" s="1147">
        <v>30000</v>
      </c>
      <c r="S865" s="1147">
        <v>30000</v>
      </c>
      <c r="T865" s="450">
        <f t="shared" si="101"/>
        <v>30000</v>
      </c>
      <c r="U865" s="450">
        <f t="shared" si="102"/>
        <v>30000</v>
      </c>
      <c r="V865" s="454"/>
      <c r="W865" s="448"/>
      <c r="X865" s="448"/>
      <c r="Y865" s="448"/>
      <c r="Z865" s="448"/>
      <c r="AA865" s="448"/>
      <c r="AB865" s="448"/>
      <c r="AC865" s="448"/>
      <c r="AD865" s="447"/>
      <c r="AE865" s="447"/>
      <c r="AF865" s="447"/>
      <c r="AG865" s="447"/>
      <c r="AH865" s="447"/>
      <c r="AI865" s="447"/>
      <c r="AJ865" s="447"/>
      <c r="AK865" s="447"/>
      <c r="AL865" s="447"/>
      <c r="AM865" s="447"/>
      <c r="AN865" s="447"/>
      <c r="AO865" s="447"/>
      <c r="AP865" s="447"/>
      <c r="AQ865" s="447"/>
      <c r="AR865" s="447"/>
      <c r="AS865" s="447"/>
      <c r="AT865" s="447"/>
      <c r="AU865" s="447"/>
      <c r="AV865" s="447"/>
      <c r="AW865" s="447"/>
      <c r="AX865" s="447"/>
      <c r="AY865" s="447"/>
      <c r="AZ865" s="447"/>
      <c r="BA865" s="448"/>
      <c r="BB865" s="448"/>
      <c r="BC865" s="447"/>
      <c r="BD865" s="448"/>
      <c r="BE865" s="447"/>
    </row>
    <row r="866" spans="1:57" ht="30" customHeight="1">
      <c r="A866" s="473" t="str">
        <f>'2층전시실산출 '!B278</f>
        <v>아크릴 문자(5mm)</v>
      </c>
      <c r="B866" s="473" t="str">
        <f>'2층전시실산출 '!C278</f>
        <v>백자의제작</v>
      </c>
      <c r="C866" s="473" t="str">
        <f>'2층전시실산출 '!D278</f>
        <v>set</v>
      </c>
      <c r="D866" s="1133">
        <v>1</v>
      </c>
      <c r="E866" s="445">
        <f>'2층전시실산출 '!H278</f>
        <v>1</v>
      </c>
      <c r="F866" s="1147">
        <v>30000</v>
      </c>
      <c r="G866" s="1147">
        <v>30000</v>
      </c>
      <c r="H866" s="450">
        <f>단가대비표!O223</f>
        <v>30000</v>
      </c>
      <c r="I866" s="450">
        <f t="shared" si="103"/>
        <v>30000</v>
      </c>
      <c r="J866" s="1147"/>
      <c r="K866" s="1147"/>
      <c r="L866" s="450"/>
      <c r="M866" s="450"/>
      <c r="N866" s="1147"/>
      <c r="O866" s="1147"/>
      <c r="P866" s="450"/>
      <c r="Q866" s="450"/>
      <c r="R866" s="1147">
        <v>30000</v>
      </c>
      <c r="S866" s="1147">
        <v>30000</v>
      </c>
      <c r="T866" s="450">
        <f t="shared" si="101"/>
        <v>30000</v>
      </c>
      <c r="U866" s="450">
        <f t="shared" si="102"/>
        <v>30000</v>
      </c>
      <c r="V866" s="454"/>
      <c r="W866" s="448"/>
      <c r="X866" s="448"/>
      <c r="Y866" s="448"/>
      <c r="Z866" s="448"/>
      <c r="AA866" s="448"/>
      <c r="AB866" s="448"/>
      <c r="AC866" s="448"/>
      <c r="AD866" s="447"/>
      <c r="AE866" s="447"/>
      <c r="AF866" s="447"/>
      <c r="AG866" s="447"/>
      <c r="AH866" s="447"/>
      <c r="AI866" s="447"/>
      <c r="AJ866" s="447"/>
      <c r="AK866" s="447"/>
      <c r="AL866" s="447"/>
      <c r="AM866" s="447"/>
      <c r="AN866" s="447"/>
      <c r="AO866" s="447"/>
      <c r="AP866" s="447"/>
      <c r="AQ866" s="447"/>
      <c r="AR866" s="447"/>
      <c r="AS866" s="447"/>
      <c r="AT866" s="447"/>
      <c r="AU866" s="447"/>
      <c r="AV866" s="447"/>
      <c r="AW866" s="447"/>
      <c r="AX866" s="447"/>
      <c r="AY866" s="447"/>
      <c r="AZ866" s="447"/>
      <c r="BA866" s="448"/>
      <c r="BB866" s="448"/>
      <c r="BC866" s="447"/>
      <c r="BD866" s="448"/>
      <c r="BE866" s="447"/>
    </row>
    <row r="867" spans="1:57" ht="30" customHeight="1">
      <c r="A867" s="473" t="str">
        <f>'2층전시실산출 '!B279</f>
        <v>아크릴 문자(5mm)</v>
      </c>
      <c r="B867" s="473" t="str">
        <f>'2층전시실산출 '!C279</f>
        <v>수도방위..</v>
      </c>
      <c r="C867" s="473" t="str">
        <f>'2층전시실산출 '!D279</f>
        <v>set</v>
      </c>
      <c r="D867" s="1133">
        <v>1</v>
      </c>
      <c r="E867" s="445">
        <f>'2층전시실산출 '!H279</f>
        <v>1</v>
      </c>
      <c r="F867" s="1147">
        <v>102900</v>
      </c>
      <c r="G867" s="1147">
        <v>102900</v>
      </c>
      <c r="H867" s="450">
        <f>단가대비표!O224</f>
        <v>102900</v>
      </c>
      <c r="I867" s="450">
        <f t="shared" si="103"/>
        <v>102900</v>
      </c>
      <c r="J867" s="1147"/>
      <c r="K867" s="1147"/>
      <c r="L867" s="450"/>
      <c r="M867" s="450"/>
      <c r="N867" s="1147"/>
      <c r="O867" s="1147"/>
      <c r="P867" s="450"/>
      <c r="Q867" s="450"/>
      <c r="R867" s="1147">
        <v>102900</v>
      </c>
      <c r="S867" s="1147">
        <v>102900</v>
      </c>
      <c r="T867" s="450">
        <f t="shared" si="101"/>
        <v>102900</v>
      </c>
      <c r="U867" s="450">
        <f t="shared" si="102"/>
        <v>102900</v>
      </c>
      <c r="V867" s="454"/>
      <c r="W867" s="448"/>
      <c r="X867" s="448"/>
      <c r="Y867" s="448"/>
      <c r="Z867" s="448"/>
      <c r="AA867" s="448"/>
      <c r="AB867" s="448"/>
      <c r="AC867" s="448"/>
      <c r="AD867" s="447"/>
      <c r="AE867" s="447"/>
      <c r="AF867" s="447"/>
      <c r="AG867" s="447"/>
      <c r="AH867" s="447"/>
      <c r="AI867" s="447"/>
      <c r="AJ867" s="447"/>
      <c r="AK867" s="447"/>
      <c r="AL867" s="447"/>
      <c r="AM867" s="447"/>
      <c r="AN867" s="447"/>
      <c r="AO867" s="447"/>
      <c r="AP867" s="447"/>
      <c r="AQ867" s="447"/>
      <c r="AR867" s="447"/>
      <c r="AS867" s="447"/>
      <c r="AT867" s="447"/>
      <c r="AU867" s="447"/>
      <c r="AV867" s="447"/>
      <c r="AW867" s="447"/>
      <c r="AX867" s="447"/>
      <c r="AY867" s="447"/>
      <c r="AZ867" s="447"/>
      <c r="BA867" s="448"/>
      <c r="BB867" s="448"/>
      <c r="BC867" s="447"/>
      <c r="BD867" s="448"/>
      <c r="BE867" s="447"/>
    </row>
    <row r="868" spans="1:57" ht="30" customHeight="1">
      <c r="A868" s="473" t="str">
        <f>'2층전시실산출 '!B280</f>
        <v>아크릴 문자(5mm)</v>
      </c>
      <c r="B868" s="473" t="str">
        <f>'2층전시실산출 '!C280</f>
        <v>임진왜란과..</v>
      </c>
      <c r="C868" s="473" t="str">
        <f>'2층전시실산출 '!D280</f>
        <v>set</v>
      </c>
      <c r="D868" s="1133">
        <v>1</v>
      </c>
      <c r="E868" s="445">
        <f>'2층전시실산출 '!H280</f>
        <v>1</v>
      </c>
      <c r="F868" s="1147">
        <v>42000</v>
      </c>
      <c r="G868" s="1147">
        <v>42000</v>
      </c>
      <c r="H868" s="450">
        <f>단가대비표!O225</f>
        <v>42000</v>
      </c>
      <c r="I868" s="450">
        <f t="shared" si="103"/>
        <v>42000</v>
      </c>
      <c r="J868" s="1147"/>
      <c r="K868" s="1147"/>
      <c r="L868" s="450"/>
      <c r="M868" s="450"/>
      <c r="N868" s="1147"/>
      <c r="O868" s="1147"/>
      <c r="P868" s="450"/>
      <c r="Q868" s="450"/>
      <c r="R868" s="1147">
        <v>42000</v>
      </c>
      <c r="S868" s="1147">
        <v>42000</v>
      </c>
      <c r="T868" s="450">
        <f t="shared" si="101"/>
        <v>42000</v>
      </c>
      <c r="U868" s="450">
        <f t="shared" si="102"/>
        <v>42000</v>
      </c>
      <c r="V868" s="454"/>
      <c r="W868" s="448"/>
      <c r="X868" s="448"/>
      <c r="Y868" s="448"/>
      <c r="Z868" s="448"/>
      <c r="AA868" s="448"/>
      <c r="AB868" s="448"/>
      <c r="AC868" s="448"/>
      <c r="AD868" s="447"/>
      <c r="AE868" s="447"/>
      <c r="AF868" s="447"/>
      <c r="AG868" s="447"/>
      <c r="AH868" s="447"/>
      <c r="AI868" s="447"/>
      <c r="AJ868" s="447"/>
      <c r="AK868" s="447"/>
      <c r="AL868" s="447"/>
      <c r="AM868" s="447"/>
      <c r="AN868" s="447"/>
      <c r="AO868" s="447"/>
      <c r="AP868" s="447"/>
      <c r="AQ868" s="447"/>
      <c r="AR868" s="447"/>
      <c r="AS868" s="447"/>
      <c r="AT868" s="447"/>
      <c r="AU868" s="447"/>
      <c r="AV868" s="447"/>
      <c r="AW868" s="447"/>
      <c r="AX868" s="447"/>
      <c r="AY868" s="447"/>
      <c r="AZ868" s="447"/>
      <c r="BA868" s="448"/>
      <c r="BB868" s="448"/>
      <c r="BC868" s="447"/>
      <c r="BD868" s="448"/>
      <c r="BE868" s="447"/>
    </row>
    <row r="869" spans="1:57" ht="30" customHeight="1">
      <c r="A869" s="473" t="str">
        <f>'2층전시실산출 '!B281</f>
        <v>아크릴 문자(5mm)</v>
      </c>
      <c r="B869" s="473" t="str">
        <f>'2층전시실산출 '!C281</f>
        <v>병자호란..</v>
      </c>
      <c r="C869" s="473" t="str">
        <f>'2층전시실산출 '!D281</f>
        <v>set</v>
      </c>
      <c r="D869" s="1133">
        <v>1</v>
      </c>
      <c r="E869" s="445">
        <f>'2층전시실산출 '!H281</f>
        <v>1</v>
      </c>
      <c r="F869" s="1147">
        <v>42000</v>
      </c>
      <c r="G869" s="1147">
        <v>42000</v>
      </c>
      <c r="H869" s="450">
        <f>단가대비표!O226</f>
        <v>42000</v>
      </c>
      <c r="I869" s="450">
        <f t="shared" si="103"/>
        <v>42000</v>
      </c>
      <c r="J869" s="1147"/>
      <c r="K869" s="1147"/>
      <c r="L869" s="450"/>
      <c r="M869" s="450"/>
      <c r="N869" s="1147"/>
      <c r="O869" s="1147"/>
      <c r="P869" s="450"/>
      <c r="Q869" s="450"/>
      <c r="R869" s="1147">
        <v>42000</v>
      </c>
      <c r="S869" s="1147">
        <v>42000</v>
      </c>
      <c r="T869" s="450">
        <f t="shared" si="101"/>
        <v>42000</v>
      </c>
      <c r="U869" s="450">
        <f t="shared" si="102"/>
        <v>42000</v>
      </c>
      <c r="V869" s="454"/>
      <c r="W869" s="448"/>
      <c r="X869" s="448"/>
      <c r="Y869" s="448"/>
      <c r="Z869" s="448"/>
      <c r="AA869" s="448"/>
      <c r="AB869" s="448"/>
      <c r="AC869" s="448"/>
      <c r="AD869" s="447"/>
      <c r="AE869" s="447"/>
      <c r="AF869" s="447"/>
      <c r="AG869" s="447"/>
      <c r="AH869" s="447"/>
      <c r="AI869" s="447"/>
      <c r="AJ869" s="447"/>
      <c r="AK869" s="447"/>
      <c r="AL869" s="447"/>
      <c r="AM869" s="447"/>
      <c r="AN869" s="447"/>
      <c r="AO869" s="447"/>
      <c r="AP869" s="447"/>
      <c r="AQ869" s="447"/>
      <c r="AR869" s="447"/>
      <c r="AS869" s="447"/>
      <c r="AT869" s="447"/>
      <c r="AU869" s="447"/>
      <c r="AV869" s="447"/>
      <c r="AW869" s="447"/>
      <c r="AX869" s="447"/>
      <c r="AY869" s="447"/>
      <c r="AZ869" s="447"/>
      <c r="BA869" s="448"/>
      <c r="BB869" s="448"/>
      <c r="BC869" s="447"/>
      <c r="BD869" s="448"/>
      <c r="BE869" s="447"/>
    </row>
    <row r="870" spans="1:57" ht="30" customHeight="1">
      <c r="A870" s="473" t="str">
        <f>'2층전시실산출 '!B282</f>
        <v>아크릴 문자(5mm)</v>
      </c>
      <c r="B870" s="473" t="str">
        <f>'2층전시실산출 '!C282</f>
        <v>수도방위체제..</v>
      </c>
      <c r="C870" s="473" t="str">
        <f>'2층전시실산출 '!D282</f>
        <v>set</v>
      </c>
      <c r="D870" s="1133">
        <v>1</v>
      </c>
      <c r="E870" s="445">
        <f>'2층전시실산출 '!H282</f>
        <v>1</v>
      </c>
      <c r="F870" s="1147">
        <v>54000</v>
      </c>
      <c r="G870" s="1147">
        <v>54000</v>
      </c>
      <c r="H870" s="450">
        <f>단가대비표!O227</f>
        <v>54000</v>
      </c>
      <c r="I870" s="450">
        <f t="shared" si="103"/>
        <v>54000</v>
      </c>
      <c r="J870" s="1147"/>
      <c r="K870" s="1147"/>
      <c r="L870" s="450"/>
      <c r="M870" s="450"/>
      <c r="N870" s="1147"/>
      <c r="O870" s="1147"/>
      <c r="P870" s="450"/>
      <c r="Q870" s="450"/>
      <c r="R870" s="1147">
        <v>54000</v>
      </c>
      <c r="S870" s="1147">
        <v>54000</v>
      </c>
      <c r="T870" s="450">
        <f t="shared" si="101"/>
        <v>54000</v>
      </c>
      <c r="U870" s="450">
        <f t="shared" si="102"/>
        <v>54000</v>
      </c>
      <c r="V870" s="454"/>
      <c r="W870" s="448"/>
      <c r="X870" s="448"/>
      <c r="Y870" s="448"/>
      <c r="Z870" s="448"/>
      <c r="AA870" s="448"/>
      <c r="AB870" s="448"/>
      <c r="AC870" s="448"/>
      <c r="AD870" s="447"/>
      <c r="AE870" s="447"/>
      <c r="AF870" s="447"/>
      <c r="AG870" s="447"/>
      <c r="AH870" s="447"/>
      <c r="AI870" s="447"/>
      <c r="AJ870" s="447"/>
      <c r="AK870" s="447"/>
      <c r="AL870" s="447"/>
      <c r="AM870" s="447"/>
      <c r="AN870" s="447"/>
      <c r="AO870" s="447"/>
      <c r="AP870" s="447"/>
      <c r="AQ870" s="447"/>
      <c r="AR870" s="447"/>
      <c r="AS870" s="447"/>
      <c r="AT870" s="447"/>
      <c r="AU870" s="447"/>
      <c r="AV870" s="447"/>
      <c r="AW870" s="447"/>
      <c r="AX870" s="447"/>
      <c r="AY870" s="447"/>
      <c r="AZ870" s="447"/>
      <c r="BA870" s="448"/>
      <c r="BB870" s="448"/>
      <c r="BC870" s="447"/>
      <c r="BD870" s="448"/>
      <c r="BE870" s="447"/>
    </row>
    <row r="871" spans="1:57" ht="30" customHeight="1">
      <c r="A871" s="473" t="str">
        <f>'2층전시실산출 '!B283</f>
        <v>아크릴 문자(5mm)</v>
      </c>
      <c r="B871" s="473" t="str">
        <f>'2층전시실산출 '!C283</f>
        <v>왕실백자</v>
      </c>
      <c r="C871" s="473" t="str">
        <f>'2층전시실산출 '!D283</f>
        <v>set</v>
      </c>
      <c r="D871" s="1133">
        <v>1</v>
      </c>
      <c r="E871" s="445">
        <f>'2층전시실산출 '!H283</f>
        <v>1</v>
      </c>
      <c r="F871" s="1147">
        <v>42000</v>
      </c>
      <c r="G871" s="1147">
        <v>42000</v>
      </c>
      <c r="H871" s="450">
        <f>단가대비표!O228</f>
        <v>42000</v>
      </c>
      <c r="I871" s="450">
        <f t="shared" si="103"/>
        <v>42000</v>
      </c>
      <c r="J871" s="1147"/>
      <c r="K871" s="1147"/>
      <c r="L871" s="450"/>
      <c r="M871" s="450"/>
      <c r="N871" s="1147"/>
      <c r="O871" s="1147"/>
      <c r="P871" s="450"/>
      <c r="Q871" s="450"/>
      <c r="R871" s="1147">
        <v>42000</v>
      </c>
      <c r="S871" s="1147">
        <v>42000</v>
      </c>
      <c r="T871" s="450">
        <f t="shared" si="101"/>
        <v>42000</v>
      </c>
      <c r="U871" s="450">
        <f t="shared" si="102"/>
        <v>42000</v>
      </c>
      <c r="V871" s="454"/>
      <c r="W871" s="448"/>
      <c r="X871" s="448"/>
      <c r="Y871" s="448"/>
      <c r="Z871" s="448"/>
      <c r="AA871" s="448"/>
      <c r="AB871" s="448"/>
      <c r="AC871" s="448"/>
      <c r="AD871" s="447"/>
      <c r="AE871" s="447"/>
      <c r="AF871" s="447"/>
      <c r="AG871" s="447"/>
      <c r="AH871" s="447"/>
      <c r="AI871" s="447"/>
      <c r="AJ871" s="447"/>
      <c r="AK871" s="447"/>
      <c r="AL871" s="447"/>
      <c r="AM871" s="447"/>
      <c r="AN871" s="447"/>
      <c r="AO871" s="447"/>
      <c r="AP871" s="447"/>
      <c r="AQ871" s="447"/>
      <c r="AR871" s="447"/>
      <c r="AS871" s="447"/>
      <c r="AT871" s="447"/>
      <c r="AU871" s="447"/>
      <c r="AV871" s="447"/>
      <c r="AW871" s="447"/>
      <c r="AX871" s="447"/>
      <c r="AY871" s="447"/>
      <c r="AZ871" s="447"/>
      <c r="BA871" s="448"/>
      <c r="BB871" s="448"/>
      <c r="BC871" s="447"/>
      <c r="BD871" s="448"/>
      <c r="BE871" s="447"/>
    </row>
    <row r="872" spans="1:57" ht="30" customHeight="1">
      <c r="A872" s="473" t="str">
        <f>'2층전시실산출 '!B284</f>
        <v>아크릴 문자(5mm)</v>
      </c>
      <c r="B872" s="473" t="str">
        <f>'2층전시실산출 '!C284</f>
        <v>천진난만..</v>
      </c>
      <c r="C872" s="473" t="str">
        <f>'2층전시실산출 '!D284</f>
        <v>set</v>
      </c>
      <c r="D872" s="1133">
        <v>1</v>
      </c>
      <c r="E872" s="445">
        <f>'2층전시실산출 '!H284</f>
        <v>1</v>
      </c>
      <c r="F872" s="1147">
        <v>48000</v>
      </c>
      <c r="G872" s="1147">
        <v>48000</v>
      </c>
      <c r="H872" s="450">
        <f>단가대비표!O229</f>
        <v>48000</v>
      </c>
      <c r="I872" s="450">
        <f t="shared" si="103"/>
        <v>48000</v>
      </c>
      <c r="J872" s="1147"/>
      <c r="K872" s="1147"/>
      <c r="L872" s="450"/>
      <c r="M872" s="450"/>
      <c r="N872" s="1147"/>
      <c r="O872" s="1147"/>
      <c r="P872" s="450"/>
      <c r="Q872" s="450"/>
      <c r="R872" s="1147">
        <v>48000</v>
      </c>
      <c r="S872" s="1147">
        <v>48000</v>
      </c>
      <c r="T872" s="450">
        <f t="shared" si="101"/>
        <v>48000</v>
      </c>
      <c r="U872" s="450">
        <f t="shared" si="102"/>
        <v>48000</v>
      </c>
      <c r="V872" s="454"/>
      <c r="W872" s="448"/>
      <c r="X872" s="448"/>
      <c r="Y872" s="448"/>
      <c r="Z872" s="448"/>
      <c r="AA872" s="448"/>
      <c r="AB872" s="448"/>
      <c r="AC872" s="448"/>
      <c r="AD872" s="447"/>
      <c r="AE872" s="447"/>
      <c r="AF872" s="447"/>
      <c r="AG872" s="447"/>
      <c r="AH872" s="447"/>
      <c r="AI872" s="447"/>
      <c r="AJ872" s="447"/>
      <c r="AK872" s="447"/>
      <c r="AL872" s="447"/>
      <c r="AM872" s="447"/>
      <c r="AN872" s="447"/>
      <c r="AO872" s="447"/>
      <c r="AP872" s="447"/>
      <c r="AQ872" s="447"/>
      <c r="AR872" s="447"/>
      <c r="AS872" s="447"/>
      <c r="AT872" s="447"/>
      <c r="AU872" s="447"/>
      <c r="AV872" s="447"/>
      <c r="AW872" s="447"/>
      <c r="AX872" s="447"/>
      <c r="AY872" s="447"/>
      <c r="AZ872" s="447"/>
      <c r="BA872" s="448"/>
      <c r="BB872" s="448"/>
      <c r="BC872" s="447"/>
      <c r="BD872" s="448"/>
      <c r="BE872" s="447"/>
    </row>
    <row r="873" spans="1:57" ht="30" customHeight="1">
      <c r="A873" s="473" t="str">
        <f>'2층전시실산출 '!B285</f>
        <v>아크릴 문자(5mm)</v>
      </c>
      <c r="B873" s="473" t="str">
        <f>'2층전시실산출 '!C285</f>
        <v>경기관찰..</v>
      </c>
      <c r="C873" s="473" t="str">
        <f>'2층전시실산출 '!D285</f>
        <v>set</v>
      </c>
      <c r="D873" s="1133">
        <v>1</v>
      </c>
      <c r="E873" s="445">
        <f>'2층전시실산출 '!H285</f>
        <v>1</v>
      </c>
      <c r="F873" s="1147">
        <v>60000</v>
      </c>
      <c r="G873" s="1147">
        <v>60000</v>
      </c>
      <c r="H873" s="450">
        <f>단가대비표!O230</f>
        <v>60000</v>
      </c>
      <c r="I873" s="450">
        <f t="shared" si="103"/>
        <v>60000</v>
      </c>
      <c r="J873" s="1147"/>
      <c r="K873" s="1147"/>
      <c r="L873" s="450"/>
      <c r="M873" s="450"/>
      <c r="N873" s="1147"/>
      <c r="O873" s="1147"/>
      <c r="P873" s="450"/>
      <c r="Q873" s="450"/>
      <c r="R873" s="1147">
        <v>60000</v>
      </c>
      <c r="S873" s="1147">
        <v>60000</v>
      </c>
      <c r="T873" s="450">
        <f t="shared" si="101"/>
        <v>60000</v>
      </c>
      <c r="U873" s="450">
        <f t="shared" si="102"/>
        <v>60000</v>
      </c>
      <c r="V873" s="454"/>
      <c r="W873" s="448"/>
      <c r="X873" s="448"/>
      <c r="Y873" s="448"/>
      <c r="Z873" s="448"/>
      <c r="AA873" s="448"/>
      <c r="AB873" s="448"/>
      <c r="AC873" s="448"/>
      <c r="AD873" s="447"/>
      <c r="AE873" s="447"/>
      <c r="AF873" s="447"/>
      <c r="AG873" s="447"/>
      <c r="AH873" s="447"/>
      <c r="AI873" s="447"/>
      <c r="AJ873" s="447"/>
      <c r="AK873" s="447"/>
      <c r="AL873" s="447"/>
      <c r="AM873" s="447"/>
      <c r="AN873" s="447"/>
      <c r="AO873" s="447"/>
      <c r="AP873" s="447"/>
      <c r="AQ873" s="447"/>
      <c r="AR873" s="447"/>
      <c r="AS873" s="447"/>
      <c r="AT873" s="447"/>
      <c r="AU873" s="447"/>
      <c r="AV873" s="447"/>
      <c r="AW873" s="447"/>
      <c r="AX873" s="447"/>
      <c r="AY873" s="447"/>
      <c r="AZ873" s="447"/>
      <c r="BA873" s="448"/>
      <c r="BB873" s="448"/>
      <c r="BC873" s="447"/>
      <c r="BD873" s="448"/>
      <c r="BE873" s="447"/>
    </row>
    <row r="874" spans="1:57" ht="30" customHeight="1">
      <c r="A874" s="473" t="str">
        <f>'2층전시실산출 '!B286</f>
        <v>아크릴 문자(5mm)</v>
      </c>
      <c r="B874" s="473" t="str">
        <f>'2층전시실산출 '!C286</f>
        <v>조선의 문화</v>
      </c>
      <c r="C874" s="473" t="str">
        <f>'2층전시실산출 '!D286</f>
        <v>set</v>
      </c>
      <c r="D874" s="1133">
        <v>1</v>
      </c>
      <c r="E874" s="445">
        <f>'2층전시실산출 '!H286</f>
        <v>1</v>
      </c>
      <c r="F874" s="1147">
        <v>88200</v>
      </c>
      <c r="G874" s="1147">
        <v>88200</v>
      </c>
      <c r="H874" s="450">
        <f>단가대비표!O231</f>
        <v>88200</v>
      </c>
      <c r="I874" s="450">
        <f t="shared" si="103"/>
        <v>88200</v>
      </c>
      <c r="J874" s="1147"/>
      <c r="K874" s="1147"/>
      <c r="L874" s="450"/>
      <c r="M874" s="450"/>
      <c r="N874" s="1147"/>
      <c r="O874" s="1147"/>
      <c r="P874" s="450"/>
      <c r="Q874" s="450"/>
      <c r="R874" s="1147">
        <v>88200</v>
      </c>
      <c r="S874" s="1147">
        <v>88200</v>
      </c>
      <c r="T874" s="450">
        <f t="shared" si="101"/>
        <v>88200</v>
      </c>
      <c r="U874" s="450">
        <f t="shared" si="102"/>
        <v>88200</v>
      </c>
      <c r="V874" s="454"/>
      <c r="W874" s="448"/>
      <c r="X874" s="448"/>
      <c r="Y874" s="448"/>
      <c r="Z874" s="448"/>
      <c r="AA874" s="448"/>
      <c r="AB874" s="448"/>
      <c r="AC874" s="448"/>
      <c r="AD874" s="447"/>
      <c r="AE874" s="447"/>
      <c r="AF874" s="447"/>
      <c r="AG874" s="447"/>
      <c r="AH874" s="447"/>
      <c r="AI874" s="447"/>
      <c r="AJ874" s="447"/>
      <c r="AK874" s="447"/>
      <c r="AL874" s="447"/>
      <c r="AM874" s="447"/>
      <c r="AN874" s="447"/>
      <c r="AO874" s="447"/>
      <c r="AP874" s="447"/>
      <c r="AQ874" s="447"/>
      <c r="AR874" s="447"/>
      <c r="AS874" s="447"/>
      <c r="AT874" s="447"/>
      <c r="AU874" s="447"/>
      <c r="AV874" s="447"/>
      <c r="AW874" s="447"/>
      <c r="AX874" s="447"/>
      <c r="AY874" s="447"/>
      <c r="AZ874" s="447"/>
      <c r="BA874" s="448"/>
      <c r="BB874" s="448"/>
      <c r="BC874" s="447"/>
      <c r="BD874" s="448"/>
      <c r="BE874" s="447"/>
    </row>
    <row r="875" spans="1:57" ht="30" customHeight="1">
      <c r="A875" s="473" t="str">
        <f>'2층전시실산출 '!B287</f>
        <v>아크릴 문자(5mm)</v>
      </c>
      <c r="B875" s="473" t="str">
        <f>'2층전시실산출 '!C287</f>
        <v>이끌다</v>
      </c>
      <c r="C875" s="473" t="str">
        <f>'2층전시실산출 '!D287</f>
        <v>set</v>
      </c>
      <c r="D875" s="1133">
        <v>1</v>
      </c>
      <c r="E875" s="445">
        <f>'2층전시실산출 '!H287</f>
        <v>1</v>
      </c>
      <c r="F875" s="1147">
        <v>44100</v>
      </c>
      <c r="G875" s="1147">
        <v>44100</v>
      </c>
      <c r="H875" s="450">
        <f>단가대비표!O232</f>
        <v>44100</v>
      </c>
      <c r="I875" s="450">
        <f t="shared" si="103"/>
        <v>44100</v>
      </c>
      <c r="J875" s="1147"/>
      <c r="K875" s="1147"/>
      <c r="L875" s="450"/>
      <c r="M875" s="450"/>
      <c r="N875" s="1147"/>
      <c r="O875" s="1147"/>
      <c r="P875" s="450"/>
      <c r="Q875" s="450"/>
      <c r="R875" s="1147">
        <v>44100</v>
      </c>
      <c r="S875" s="1147">
        <v>44100</v>
      </c>
      <c r="T875" s="450">
        <f t="shared" si="101"/>
        <v>44100</v>
      </c>
      <c r="U875" s="450">
        <f t="shared" si="102"/>
        <v>44100</v>
      </c>
      <c r="V875" s="454"/>
      <c r="W875" s="448"/>
      <c r="X875" s="448"/>
      <c r="Y875" s="448"/>
      <c r="Z875" s="448"/>
      <c r="AA875" s="448"/>
      <c r="AB875" s="448"/>
      <c r="AC875" s="448"/>
      <c r="AD875" s="447"/>
      <c r="AE875" s="447"/>
      <c r="AF875" s="447"/>
      <c r="AG875" s="447"/>
      <c r="AH875" s="447"/>
      <c r="AI875" s="447"/>
      <c r="AJ875" s="447"/>
      <c r="AK875" s="447"/>
      <c r="AL875" s="447"/>
      <c r="AM875" s="447"/>
      <c r="AN875" s="447"/>
      <c r="AO875" s="447"/>
      <c r="AP875" s="447"/>
      <c r="AQ875" s="447"/>
      <c r="AR875" s="447"/>
      <c r="AS875" s="447"/>
      <c r="AT875" s="447"/>
      <c r="AU875" s="447"/>
      <c r="AV875" s="447"/>
      <c r="AW875" s="447"/>
      <c r="AX875" s="447"/>
      <c r="AY875" s="447"/>
      <c r="AZ875" s="447"/>
      <c r="BA875" s="448"/>
      <c r="BB875" s="448"/>
      <c r="BC875" s="447"/>
      <c r="BD875" s="448"/>
      <c r="BE875" s="447"/>
    </row>
    <row r="876" spans="1:57" ht="30" customHeight="1">
      <c r="A876" s="473" t="str">
        <f>'2층전시실산출 '!B288</f>
        <v>아크릴 문자(5mm)</v>
      </c>
      <c r="B876" s="473" t="str">
        <f>'2층전시실산출 '!C288</f>
        <v>학문과사상</v>
      </c>
      <c r="C876" s="473" t="str">
        <f>'2층전시실산출 '!D288</f>
        <v>set</v>
      </c>
      <c r="D876" s="1133">
        <v>1</v>
      </c>
      <c r="E876" s="445">
        <f>'2층전시실산출 '!H288</f>
        <v>1</v>
      </c>
      <c r="F876" s="1147">
        <v>48000</v>
      </c>
      <c r="G876" s="1147">
        <v>48000</v>
      </c>
      <c r="H876" s="450">
        <f>단가대비표!O233</f>
        <v>48000</v>
      </c>
      <c r="I876" s="450">
        <f t="shared" si="103"/>
        <v>48000</v>
      </c>
      <c r="J876" s="1147"/>
      <c r="K876" s="1147"/>
      <c r="L876" s="450"/>
      <c r="M876" s="450"/>
      <c r="N876" s="1147"/>
      <c r="O876" s="1147"/>
      <c r="P876" s="450"/>
      <c r="Q876" s="450"/>
      <c r="R876" s="1147">
        <v>48000</v>
      </c>
      <c r="S876" s="1147">
        <v>48000</v>
      </c>
      <c r="T876" s="450">
        <f t="shared" si="101"/>
        <v>48000</v>
      </c>
      <c r="U876" s="450">
        <f t="shared" si="102"/>
        <v>48000</v>
      </c>
      <c r="V876" s="454"/>
      <c r="W876" s="448"/>
      <c r="X876" s="448"/>
      <c r="Y876" s="448"/>
      <c r="Z876" s="448"/>
      <c r="AA876" s="448"/>
      <c r="AB876" s="448"/>
      <c r="AC876" s="448"/>
      <c r="AD876" s="447"/>
      <c r="AE876" s="447"/>
      <c r="AF876" s="447"/>
      <c r="AG876" s="447"/>
      <c r="AH876" s="447"/>
      <c r="AI876" s="447"/>
      <c r="AJ876" s="447"/>
      <c r="AK876" s="447"/>
      <c r="AL876" s="447"/>
      <c r="AM876" s="447"/>
      <c r="AN876" s="447"/>
      <c r="AO876" s="447"/>
      <c r="AP876" s="447"/>
      <c r="AQ876" s="447"/>
      <c r="AR876" s="447"/>
      <c r="AS876" s="447"/>
      <c r="AT876" s="447"/>
      <c r="AU876" s="447"/>
      <c r="AV876" s="447"/>
      <c r="AW876" s="447"/>
      <c r="AX876" s="447"/>
      <c r="AY876" s="447"/>
      <c r="AZ876" s="447"/>
      <c r="BA876" s="448"/>
      <c r="BB876" s="448"/>
      <c r="BC876" s="447"/>
      <c r="BD876" s="448"/>
      <c r="BE876" s="447"/>
    </row>
    <row r="877" spans="1:57" ht="30" customHeight="1">
      <c r="A877" s="473" t="str">
        <f>'2층전시실산출 '!B289</f>
        <v>아크릴 문자(5mm)</v>
      </c>
      <c r="B877" s="473" t="str">
        <f>'2층전시실산출 '!C289</f>
        <v>경기도의 서화</v>
      </c>
      <c r="C877" s="473" t="str">
        <f>'2층전시실산출 '!D289</f>
        <v>set</v>
      </c>
      <c r="D877" s="1133">
        <v>1</v>
      </c>
      <c r="E877" s="445">
        <f>'2층전시실산출 '!H289</f>
        <v>1</v>
      </c>
      <c r="F877" s="1147">
        <v>42000</v>
      </c>
      <c r="G877" s="1147">
        <v>42000</v>
      </c>
      <c r="H877" s="450">
        <f>단가대비표!O234</f>
        <v>42000</v>
      </c>
      <c r="I877" s="450">
        <f t="shared" si="103"/>
        <v>42000</v>
      </c>
      <c r="J877" s="1147"/>
      <c r="K877" s="1147"/>
      <c r="L877" s="450"/>
      <c r="M877" s="450"/>
      <c r="N877" s="1147"/>
      <c r="O877" s="1147"/>
      <c r="P877" s="450"/>
      <c r="Q877" s="450"/>
      <c r="R877" s="1147">
        <v>42000</v>
      </c>
      <c r="S877" s="1147">
        <v>42000</v>
      </c>
      <c r="T877" s="450">
        <f t="shared" ref="T877:T901" si="104">TRUNC(H877+L877+P877, 0)</f>
        <v>42000</v>
      </c>
      <c r="U877" s="450">
        <f t="shared" ref="U877:U901" si="105">TRUNC(I877+M877+Q877, 0)</f>
        <v>42000</v>
      </c>
      <c r="V877" s="454"/>
      <c r="W877" s="448"/>
      <c r="X877" s="448"/>
      <c r="Y877" s="448"/>
      <c r="Z877" s="448"/>
      <c r="AA877" s="448"/>
      <c r="AB877" s="448"/>
      <c r="AC877" s="448"/>
      <c r="AD877" s="447"/>
      <c r="AE877" s="447"/>
      <c r="AF877" s="447"/>
      <c r="AG877" s="447"/>
      <c r="AH877" s="447"/>
      <c r="AI877" s="447"/>
      <c r="AJ877" s="447"/>
      <c r="AK877" s="447"/>
      <c r="AL877" s="447"/>
      <c r="AM877" s="447"/>
      <c r="AN877" s="447"/>
      <c r="AO877" s="447"/>
      <c r="AP877" s="447"/>
      <c r="AQ877" s="447"/>
      <c r="AR877" s="447"/>
      <c r="AS877" s="447"/>
      <c r="AT877" s="447"/>
      <c r="AU877" s="447"/>
      <c r="AV877" s="447"/>
      <c r="AW877" s="447"/>
      <c r="AX877" s="447"/>
      <c r="AY877" s="447"/>
      <c r="AZ877" s="447"/>
      <c r="BA877" s="448"/>
      <c r="BB877" s="448"/>
      <c r="BC877" s="447"/>
      <c r="BD877" s="448"/>
      <c r="BE877" s="447"/>
    </row>
    <row r="878" spans="1:57" ht="30" customHeight="1">
      <c r="A878" s="473" t="str">
        <f>'2층전시실산출 '!B290</f>
        <v>아크릴 문자(5mm)</v>
      </c>
      <c r="B878" s="473" t="str">
        <f>'2층전시실산출 '!C290</f>
        <v>경기관찰사</v>
      </c>
      <c r="C878" s="473" t="str">
        <f>'2층전시실산출 '!D290</f>
        <v>set</v>
      </c>
      <c r="D878" s="1133">
        <v>1</v>
      </c>
      <c r="E878" s="445">
        <f>'2층전시실산출 '!H290</f>
        <v>1</v>
      </c>
      <c r="F878" s="1147">
        <v>88200</v>
      </c>
      <c r="G878" s="1147">
        <v>88200</v>
      </c>
      <c r="H878" s="450">
        <f>단가대비표!O235</f>
        <v>88200</v>
      </c>
      <c r="I878" s="450">
        <f t="shared" si="103"/>
        <v>88200</v>
      </c>
      <c r="J878" s="1147"/>
      <c r="K878" s="1147"/>
      <c r="L878" s="450"/>
      <c r="M878" s="450"/>
      <c r="N878" s="1147"/>
      <c r="O878" s="1147"/>
      <c r="P878" s="450"/>
      <c r="Q878" s="450"/>
      <c r="R878" s="1147">
        <v>88200</v>
      </c>
      <c r="S878" s="1147">
        <v>88200</v>
      </c>
      <c r="T878" s="450">
        <f t="shared" si="104"/>
        <v>88200</v>
      </c>
      <c r="U878" s="450">
        <f t="shared" si="105"/>
        <v>88200</v>
      </c>
      <c r="V878" s="454"/>
      <c r="W878" s="448"/>
      <c r="X878" s="448"/>
      <c r="Y878" s="448"/>
      <c r="Z878" s="448"/>
      <c r="AA878" s="448"/>
      <c r="AB878" s="448"/>
      <c r="AC878" s="448"/>
      <c r="AD878" s="447"/>
      <c r="AE878" s="447"/>
      <c r="AF878" s="447"/>
      <c r="AG878" s="447"/>
      <c r="AH878" s="447"/>
      <c r="AI878" s="447"/>
      <c r="AJ878" s="447"/>
      <c r="AK878" s="447"/>
      <c r="AL878" s="447"/>
      <c r="AM878" s="447"/>
      <c r="AN878" s="447"/>
      <c r="AO878" s="447"/>
      <c r="AP878" s="447"/>
      <c r="AQ878" s="447"/>
      <c r="AR878" s="447"/>
      <c r="AS878" s="447"/>
      <c r="AT878" s="447"/>
      <c r="AU878" s="447"/>
      <c r="AV878" s="447"/>
      <c r="AW878" s="447"/>
      <c r="AX878" s="447"/>
      <c r="AY878" s="447"/>
      <c r="AZ878" s="447"/>
      <c r="BA878" s="448"/>
      <c r="BB878" s="448"/>
      <c r="BC878" s="447"/>
      <c r="BD878" s="448"/>
      <c r="BE878" s="447"/>
    </row>
    <row r="879" spans="1:57" ht="30" customHeight="1">
      <c r="A879" s="473" t="str">
        <f>'2층전시실산출 '!B291</f>
        <v>아크릴 문자(5mm)</v>
      </c>
      <c r="B879" s="473" t="str">
        <f>'2층전시실산출 '!C291</f>
        <v>부임하다</v>
      </c>
      <c r="C879" s="473" t="str">
        <f>'2층전시실산출 '!D291</f>
        <v>set</v>
      </c>
      <c r="D879" s="1133">
        <v>1</v>
      </c>
      <c r="E879" s="445">
        <f>'2층전시실산출 '!H291</f>
        <v>1</v>
      </c>
      <c r="F879" s="1147">
        <v>58800</v>
      </c>
      <c r="G879" s="1147">
        <v>58800</v>
      </c>
      <c r="H879" s="450">
        <f>단가대비표!O236</f>
        <v>58800</v>
      </c>
      <c r="I879" s="450">
        <f t="shared" si="103"/>
        <v>58800</v>
      </c>
      <c r="J879" s="1147"/>
      <c r="K879" s="1147"/>
      <c r="L879" s="450"/>
      <c r="M879" s="450"/>
      <c r="N879" s="1147"/>
      <c r="O879" s="1147"/>
      <c r="P879" s="450"/>
      <c r="Q879" s="450"/>
      <c r="R879" s="1147">
        <v>58800</v>
      </c>
      <c r="S879" s="1147">
        <v>58800</v>
      </c>
      <c r="T879" s="450">
        <f t="shared" si="104"/>
        <v>58800</v>
      </c>
      <c r="U879" s="450">
        <f t="shared" si="105"/>
        <v>58800</v>
      </c>
      <c r="V879" s="454"/>
      <c r="W879" s="448"/>
      <c r="X879" s="448"/>
      <c r="Y879" s="448"/>
      <c r="Z879" s="448"/>
      <c r="AA879" s="448"/>
      <c r="AB879" s="448"/>
      <c r="AC879" s="448"/>
      <c r="AD879" s="447"/>
      <c r="AE879" s="447"/>
      <c r="AF879" s="447"/>
      <c r="AG879" s="447"/>
      <c r="AH879" s="447"/>
      <c r="AI879" s="447"/>
      <c r="AJ879" s="447"/>
      <c r="AK879" s="447"/>
      <c r="AL879" s="447"/>
      <c r="AM879" s="447"/>
      <c r="AN879" s="447"/>
      <c r="AO879" s="447"/>
      <c r="AP879" s="447"/>
      <c r="AQ879" s="447"/>
      <c r="AR879" s="447"/>
      <c r="AS879" s="447"/>
      <c r="AT879" s="447"/>
      <c r="AU879" s="447"/>
      <c r="AV879" s="447"/>
      <c r="AW879" s="447"/>
      <c r="AX879" s="447"/>
      <c r="AY879" s="447"/>
      <c r="AZ879" s="447"/>
      <c r="BA879" s="448"/>
      <c r="BB879" s="448"/>
      <c r="BC879" s="447"/>
      <c r="BD879" s="448"/>
      <c r="BE879" s="447"/>
    </row>
    <row r="880" spans="1:57" ht="30" customHeight="1">
      <c r="A880" s="473" t="str">
        <f>'2층전시실산출 '!B292</f>
        <v>아크릴 문자(5mm)</v>
      </c>
      <c r="B880" s="473" t="str">
        <f>'2층전시실산출 '!C292</f>
        <v>경기를 다스리다</v>
      </c>
      <c r="C880" s="473" t="str">
        <f>'2층전시실산출 '!D292</f>
        <v>set</v>
      </c>
      <c r="D880" s="1133">
        <v>1</v>
      </c>
      <c r="E880" s="445">
        <f>'2층전시실산출 '!H292</f>
        <v>1</v>
      </c>
      <c r="F880" s="1147">
        <v>42000</v>
      </c>
      <c r="G880" s="1147">
        <v>42000</v>
      </c>
      <c r="H880" s="450">
        <f>단가대비표!O237</f>
        <v>42000</v>
      </c>
      <c r="I880" s="450">
        <f t="shared" si="103"/>
        <v>42000</v>
      </c>
      <c r="J880" s="1147"/>
      <c r="K880" s="1147"/>
      <c r="L880" s="450"/>
      <c r="M880" s="450"/>
      <c r="N880" s="1147"/>
      <c r="O880" s="1147"/>
      <c r="P880" s="450"/>
      <c r="Q880" s="450"/>
      <c r="R880" s="1147">
        <v>42000</v>
      </c>
      <c r="S880" s="1147">
        <v>42000</v>
      </c>
      <c r="T880" s="450">
        <f t="shared" si="104"/>
        <v>42000</v>
      </c>
      <c r="U880" s="450">
        <f t="shared" si="105"/>
        <v>42000</v>
      </c>
      <c r="V880" s="454"/>
      <c r="W880" s="448"/>
      <c r="X880" s="448"/>
      <c r="Y880" s="448"/>
      <c r="Z880" s="448"/>
      <c r="AA880" s="448"/>
      <c r="AB880" s="448"/>
      <c r="AC880" s="448"/>
      <c r="AD880" s="447"/>
      <c r="AE880" s="447"/>
      <c r="AF880" s="447"/>
      <c r="AG880" s="447"/>
      <c r="AH880" s="447"/>
      <c r="AI880" s="447"/>
      <c r="AJ880" s="447"/>
      <c r="AK880" s="447"/>
      <c r="AL880" s="447"/>
      <c r="AM880" s="447"/>
      <c r="AN880" s="447"/>
      <c r="AO880" s="447"/>
      <c r="AP880" s="447"/>
      <c r="AQ880" s="447"/>
      <c r="AR880" s="447"/>
      <c r="AS880" s="447"/>
      <c r="AT880" s="447"/>
      <c r="AU880" s="447"/>
      <c r="AV880" s="447"/>
      <c r="AW880" s="447"/>
      <c r="AX880" s="447"/>
      <c r="AY880" s="447"/>
      <c r="AZ880" s="447"/>
      <c r="BA880" s="448"/>
      <c r="BB880" s="448"/>
      <c r="BC880" s="447"/>
      <c r="BD880" s="448"/>
      <c r="BE880" s="447"/>
    </row>
    <row r="881" spans="1:57" ht="30" customHeight="1">
      <c r="A881" s="443" t="str">
        <f>'2층전시실산출 '!B293</f>
        <v>시트문자</v>
      </c>
      <c r="B881" s="443" t="str">
        <f>'2층전시실산출 '!C293</f>
        <v>240x165</v>
      </c>
      <c r="C881" s="443" t="s">
        <v>321</v>
      </c>
      <c r="D881" s="1133">
        <v>4</v>
      </c>
      <c r="E881" s="445">
        <f>'2층전시실산출 '!H293</f>
        <v>4</v>
      </c>
      <c r="F881" s="1147">
        <v>1400</v>
      </c>
      <c r="G881" s="1147">
        <v>5600</v>
      </c>
      <c r="H881" s="450">
        <f>단가대비표!O238</f>
        <v>1400</v>
      </c>
      <c r="I881" s="450">
        <f t="shared" si="103"/>
        <v>5600</v>
      </c>
      <c r="J881" s="1147"/>
      <c r="K881" s="1147"/>
      <c r="L881" s="450"/>
      <c r="M881" s="450"/>
      <c r="N881" s="1147"/>
      <c r="O881" s="1147"/>
      <c r="P881" s="450"/>
      <c r="Q881" s="450"/>
      <c r="R881" s="1147">
        <v>1400</v>
      </c>
      <c r="S881" s="1147">
        <v>5600</v>
      </c>
      <c r="T881" s="450">
        <f t="shared" si="104"/>
        <v>1400</v>
      </c>
      <c r="U881" s="450">
        <f t="shared" si="105"/>
        <v>5600</v>
      </c>
      <c r="V881" s="454" t="s">
        <v>51</v>
      </c>
      <c r="W881" s="448" t="s">
        <v>764</v>
      </c>
      <c r="X881" s="448" t="s">
        <v>51</v>
      </c>
      <c r="Y881" s="448" t="s">
        <v>51</v>
      </c>
      <c r="Z881" s="448" t="s">
        <v>756</v>
      </c>
      <c r="AA881" s="448" t="s">
        <v>62</v>
      </c>
      <c r="AB881" s="448" t="s">
        <v>62</v>
      </c>
      <c r="AC881" s="448" t="s">
        <v>61</v>
      </c>
      <c r="AD881" s="447"/>
      <c r="AE881" s="447"/>
      <c r="AF881" s="447"/>
      <c r="AG881" s="447"/>
      <c r="AH881" s="447"/>
      <c r="AI881" s="447"/>
      <c r="AJ881" s="447"/>
      <c r="AK881" s="447"/>
      <c r="AL881" s="447"/>
      <c r="AM881" s="447"/>
      <c r="AN881" s="447"/>
      <c r="AO881" s="447"/>
      <c r="AP881" s="447"/>
      <c r="AQ881" s="447"/>
      <c r="AR881" s="447"/>
      <c r="AS881" s="447"/>
      <c r="AT881" s="447"/>
      <c r="AU881" s="447"/>
      <c r="AV881" s="447"/>
      <c r="AW881" s="447"/>
      <c r="AX881" s="447"/>
      <c r="AY881" s="447"/>
      <c r="AZ881" s="447"/>
      <c r="BA881" s="448" t="s">
        <v>51</v>
      </c>
      <c r="BB881" s="448" t="s">
        <v>51</v>
      </c>
      <c r="BC881" s="447"/>
      <c r="BD881" s="448" t="s">
        <v>765</v>
      </c>
      <c r="BE881" s="447">
        <v>346</v>
      </c>
    </row>
    <row r="882" spans="1:57" ht="30" customHeight="1">
      <c r="A882" s="443" t="str">
        <f>'2층전시실산출 '!B294</f>
        <v>시트문자</v>
      </c>
      <c r="B882" s="443" t="str">
        <f>'2층전시실산출 '!C294</f>
        <v>290x180</v>
      </c>
      <c r="C882" s="443" t="s">
        <v>321</v>
      </c>
      <c r="D882" s="1133">
        <v>1</v>
      </c>
      <c r="E882" s="445">
        <f>'2층전시실산출 '!H294</f>
        <v>1</v>
      </c>
      <c r="F882" s="1147">
        <v>1400</v>
      </c>
      <c r="G882" s="1147">
        <v>1400</v>
      </c>
      <c r="H882" s="450">
        <f>단가대비표!O239</f>
        <v>1400</v>
      </c>
      <c r="I882" s="450">
        <f t="shared" si="103"/>
        <v>1400</v>
      </c>
      <c r="J882" s="1147"/>
      <c r="K882" s="1147"/>
      <c r="L882" s="450"/>
      <c r="M882" s="450"/>
      <c r="N882" s="1147"/>
      <c r="O882" s="1147"/>
      <c r="P882" s="450"/>
      <c r="Q882" s="450"/>
      <c r="R882" s="1147">
        <v>1400</v>
      </c>
      <c r="S882" s="1147">
        <v>1400</v>
      </c>
      <c r="T882" s="450">
        <f t="shared" si="104"/>
        <v>1400</v>
      </c>
      <c r="U882" s="450">
        <f t="shared" si="105"/>
        <v>1400</v>
      </c>
      <c r="V882" s="454" t="s">
        <v>51</v>
      </c>
      <c r="W882" s="448" t="s">
        <v>766</v>
      </c>
      <c r="X882" s="448" t="s">
        <v>51</v>
      </c>
      <c r="Y882" s="448" t="s">
        <v>51</v>
      </c>
      <c r="Z882" s="448" t="s">
        <v>756</v>
      </c>
      <c r="AA882" s="448" t="s">
        <v>62</v>
      </c>
      <c r="AB882" s="448" t="s">
        <v>62</v>
      </c>
      <c r="AC882" s="448" t="s">
        <v>61</v>
      </c>
      <c r="AD882" s="447"/>
      <c r="AE882" s="447"/>
      <c r="AF882" s="447"/>
      <c r="AG882" s="447"/>
      <c r="AH882" s="447"/>
      <c r="AI882" s="447"/>
      <c r="AJ882" s="447"/>
      <c r="AK882" s="447"/>
      <c r="AL882" s="447"/>
      <c r="AM882" s="447"/>
      <c r="AN882" s="447"/>
      <c r="AO882" s="447"/>
      <c r="AP882" s="447"/>
      <c r="AQ882" s="447"/>
      <c r="AR882" s="447"/>
      <c r="AS882" s="447"/>
      <c r="AT882" s="447"/>
      <c r="AU882" s="447"/>
      <c r="AV882" s="447"/>
      <c r="AW882" s="447"/>
      <c r="AX882" s="447"/>
      <c r="AY882" s="447"/>
      <c r="AZ882" s="447"/>
      <c r="BA882" s="448" t="s">
        <v>51</v>
      </c>
      <c r="BB882" s="448" t="s">
        <v>51</v>
      </c>
      <c r="BC882" s="447"/>
      <c r="BD882" s="448" t="s">
        <v>767</v>
      </c>
      <c r="BE882" s="447">
        <v>347</v>
      </c>
    </row>
    <row r="883" spans="1:57" ht="30" customHeight="1">
      <c r="A883" s="443" t="str">
        <f>'2층전시실산출 '!B295</f>
        <v>시트문자</v>
      </c>
      <c r="B883" s="443" t="str">
        <f>'2층전시실산출 '!C295</f>
        <v>300x600</v>
      </c>
      <c r="C883" s="443" t="s">
        <v>321</v>
      </c>
      <c r="D883" s="1133">
        <v>8</v>
      </c>
      <c r="E883" s="445">
        <f>'2층전시실산출 '!H295</f>
        <v>8</v>
      </c>
      <c r="F883" s="1147">
        <v>2100</v>
      </c>
      <c r="G883" s="1147">
        <v>16800</v>
      </c>
      <c r="H883" s="450">
        <f>단가대비표!O240</f>
        <v>2100</v>
      </c>
      <c r="I883" s="450">
        <f t="shared" si="103"/>
        <v>16800</v>
      </c>
      <c r="J883" s="1147"/>
      <c r="K883" s="1147"/>
      <c r="L883" s="450"/>
      <c r="M883" s="450"/>
      <c r="N883" s="1147"/>
      <c r="O883" s="1147"/>
      <c r="P883" s="450"/>
      <c r="Q883" s="450"/>
      <c r="R883" s="1147">
        <v>2100</v>
      </c>
      <c r="S883" s="1147">
        <v>16800</v>
      </c>
      <c r="T883" s="450">
        <f t="shared" si="104"/>
        <v>2100</v>
      </c>
      <c r="U883" s="450">
        <f t="shared" si="105"/>
        <v>16800</v>
      </c>
      <c r="V883" s="454" t="s">
        <v>51</v>
      </c>
      <c r="W883" s="448" t="s">
        <v>768</v>
      </c>
      <c r="X883" s="448" t="s">
        <v>51</v>
      </c>
      <c r="Y883" s="448" t="s">
        <v>51</v>
      </c>
      <c r="Z883" s="448" t="s">
        <v>756</v>
      </c>
      <c r="AA883" s="448" t="s">
        <v>62</v>
      </c>
      <c r="AB883" s="448" t="s">
        <v>62</v>
      </c>
      <c r="AC883" s="448" t="s">
        <v>61</v>
      </c>
      <c r="AD883" s="447"/>
      <c r="AE883" s="447"/>
      <c r="AF883" s="447"/>
      <c r="AG883" s="447"/>
      <c r="AH883" s="447"/>
      <c r="AI883" s="447"/>
      <c r="AJ883" s="447"/>
      <c r="AK883" s="447"/>
      <c r="AL883" s="447"/>
      <c r="AM883" s="447"/>
      <c r="AN883" s="447"/>
      <c r="AO883" s="447"/>
      <c r="AP883" s="447"/>
      <c r="AQ883" s="447"/>
      <c r="AR883" s="447"/>
      <c r="AS883" s="447"/>
      <c r="AT883" s="447"/>
      <c r="AU883" s="447"/>
      <c r="AV883" s="447"/>
      <c r="AW883" s="447"/>
      <c r="AX883" s="447"/>
      <c r="AY883" s="447"/>
      <c r="AZ883" s="447"/>
      <c r="BA883" s="448" t="s">
        <v>51</v>
      </c>
      <c r="BB883" s="448" t="s">
        <v>51</v>
      </c>
      <c r="BC883" s="447"/>
      <c r="BD883" s="448" t="s">
        <v>769</v>
      </c>
      <c r="BE883" s="447">
        <v>348</v>
      </c>
    </row>
    <row r="884" spans="1:57" ht="30" customHeight="1">
      <c r="A884" s="443" t="str">
        <f>'2층전시실산출 '!B296</f>
        <v>시트문자</v>
      </c>
      <c r="B884" s="443" t="str">
        <f>'2층전시실산출 '!C296</f>
        <v>370x270</v>
      </c>
      <c r="C884" s="443" t="s">
        <v>321</v>
      </c>
      <c r="D884" s="1133">
        <v>1</v>
      </c>
      <c r="E884" s="445">
        <f>'2층전시실산출 '!H296</f>
        <v>1</v>
      </c>
      <c r="F884" s="1147">
        <v>3500</v>
      </c>
      <c r="G884" s="1147">
        <v>3500</v>
      </c>
      <c r="H884" s="450">
        <f>단가대비표!O241</f>
        <v>3500</v>
      </c>
      <c r="I884" s="450">
        <f t="shared" si="103"/>
        <v>3500</v>
      </c>
      <c r="J884" s="1147"/>
      <c r="K884" s="1147"/>
      <c r="L884" s="450"/>
      <c r="M884" s="450"/>
      <c r="N884" s="1147"/>
      <c r="O884" s="1147"/>
      <c r="P884" s="450"/>
      <c r="Q884" s="450"/>
      <c r="R884" s="1147">
        <v>3500</v>
      </c>
      <c r="S884" s="1147">
        <v>3500</v>
      </c>
      <c r="T884" s="450">
        <f t="shared" si="104"/>
        <v>3500</v>
      </c>
      <c r="U884" s="450">
        <f t="shared" si="105"/>
        <v>3500</v>
      </c>
      <c r="V884" s="454" t="s">
        <v>51</v>
      </c>
      <c r="W884" s="448" t="s">
        <v>770</v>
      </c>
      <c r="X884" s="448" t="s">
        <v>51</v>
      </c>
      <c r="Y884" s="448" t="s">
        <v>51</v>
      </c>
      <c r="Z884" s="448" t="s">
        <v>756</v>
      </c>
      <c r="AA884" s="448" t="s">
        <v>62</v>
      </c>
      <c r="AB884" s="448" t="s">
        <v>62</v>
      </c>
      <c r="AC884" s="448" t="s">
        <v>61</v>
      </c>
      <c r="AD884" s="447"/>
      <c r="AE884" s="447"/>
      <c r="AF884" s="447"/>
      <c r="AG884" s="447"/>
      <c r="AH884" s="447"/>
      <c r="AI884" s="447"/>
      <c r="AJ884" s="447"/>
      <c r="AK884" s="447"/>
      <c r="AL884" s="447"/>
      <c r="AM884" s="447"/>
      <c r="AN884" s="447"/>
      <c r="AO884" s="447"/>
      <c r="AP884" s="447"/>
      <c r="AQ884" s="447"/>
      <c r="AR884" s="447"/>
      <c r="AS884" s="447"/>
      <c r="AT884" s="447"/>
      <c r="AU884" s="447"/>
      <c r="AV884" s="447"/>
      <c r="AW884" s="447"/>
      <c r="AX884" s="447"/>
      <c r="AY884" s="447"/>
      <c r="AZ884" s="447"/>
      <c r="BA884" s="448" t="s">
        <v>51</v>
      </c>
      <c r="BB884" s="448" t="s">
        <v>51</v>
      </c>
      <c r="BC884" s="447"/>
      <c r="BD884" s="448" t="s">
        <v>771</v>
      </c>
      <c r="BE884" s="447">
        <v>349</v>
      </c>
    </row>
    <row r="885" spans="1:57" ht="30" customHeight="1">
      <c r="A885" s="443" t="str">
        <f>'2층전시실산출 '!B297</f>
        <v>시트문자</v>
      </c>
      <c r="B885" s="443" t="str">
        <f>'2층전시실산출 '!C297</f>
        <v>430x1200</v>
      </c>
      <c r="C885" s="443" t="s">
        <v>321</v>
      </c>
      <c r="D885" s="1133">
        <v>7</v>
      </c>
      <c r="E885" s="445">
        <f>'2층전시실산출 '!H297</f>
        <v>7</v>
      </c>
      <c r="F885" s="1147">
        <v>18000</v>
      </c>
      <c r="G885" s="1147">
        <v>126000</v>
      </c>
      <c r="H885" s="450">
        <f>단가대비표!O242</f>
        <v>18000</v>
      </c>
      <c r="I885" s="450">
        <f t="shared" si="103"/>
        <v>126000</v>
      </c>
      <c r="J885" s="1147"/>
      <c r="K885" s="1147"/>
      <c r="L885" s="450"/>
      <c r="M885" s="450"/>
      <c r="N885" s="1147"/>
      <c r="O885" s="1147"/>
      <c r="P885" s="450"/>
      <c r="Q885" s="450"/>
      <c r="R885" s="1147">
        <v>18000</v>
      </c>
      <c r="S885" s="1147">
        <v>126000</v>
      </c>
      <c r="T885" s="450">
        <f t="shared" si="104"/>
        <v>18000</v>
      </c>
      <c r="U885" s="450">
        <f t="shared" si="105"/>
        <v>126000</v>
      </c>
      <c r="V885" s="454" t="s">
        <v>51</v>
      </c>
      <c r="W885" s="448" t="s">
        <v>772</v>
      </c>
      <c r="X885" s="448" t="s">
        <v>51</v>
      </c>
      <c r="Y885" s="448" t="s">
        <v>51</v>
      </c>
      <c r="Z885" s="448" t="s">
        <v>756</v>
      </c>
      <c r="AA885" s="448" t="s">
        <v>62</v>
      </c>
      <c r="AB885" s="448" t="s">
        <v>62</v>
      </c>
      <c r="AC885" s="448" t="s">
        <v>61</v>
      </c>
      <c r="AD885" s="447"/>
      <c r="AE885" s="447"/>
      <c r="AF885" s="447"/>
      <c r="AG885" s="447"/>
      <c r="AH885" s="447"/>
      <c r="AI885" s="447"/>
      <c r="AJ885" s="447"/>
      <c r="AK885" s="447"/>
      <c r="AL885" s="447"/>
      <c r="AM885" s="447"/>
      <c r="AN885" s="447"/>
      <c r="AO885" s="447"/>
      <c r="AP885" s="447"/>
      <c r="AQ885" s="447"/>
      <c r="AR885" s="447"/>
      <c r="AS885" s="447"/>
      <c r="AT885" s="447"/>
      <c r="AU885" s="447"/>
      <c r="AV885" s="447"/>
      <c r="AW885" s="447"/>
      <c r="AX885" s="447"/>
      <c r="AY885" s="447"/>
      <c r="AZ885" s="447"/>
      <c r="BA885" s="448" t="s">
        <v>51</v>
      </c>
      <c r="BB885" s="448" t="s">
        <v>51</v>
      </c>
      <c r="BC885" s="447"/>
      <c r="BD885" s="448" t="s">
        <v>773</v>
      </c>
      <c r="BE885" s="447">
        <v>350</v>
      </c>
    </row>
    <row r="886" spans="1:57" ht="30" customHeight="1">
      <c r="A886" s="443" t="str">
        <f>'2층전시실산출 '!B298</f>
        <v>시트문자</v>
      </c>
      <c r="B886" s="443" t="str">
        <f>'2층전시실산출 '!C298</f>
        <v>450x300</v>
      </c>
      <c r="C886" s="443" t="s">
        <v>321</v>
      </c>
      <c r="D886" s="1133">
        <v>8</v>
      </c>
      <c r="E886" s="445">
        <f>'2층전시실산출 '!H298</f>
        <v>8</v>
      </c>
      <c r="F886" s="1147">
        <v>4800</v>
      </c>
      <c r="G886" s="1147">
        <v>38400</v>
      </c>
      <c r="H886" s="450">
        <f>단가대비표!O243</f>
        <v>4800</v>
      </c>
      <c r="I886" s="450">
        <f t="shared" si="103"/>
        <v>38400</v>
      </c>
      <c r="J886" s="1147"/>
      <c r="K886" s="1147"/>
      <c r="L886" s="450"/>
      <c r="M886" s="450"/>
      <c r="N886" s="1147"/>
      <c r="O886" s="1147"/>
      <c r="P886" s="450"/>
      <c r="Q886" s="450"/>
      <c r="R886" s="1147">
        <v>4800</v>
      </c>
      <c r="S886" s="1147">
        <v>38400</v>
      </c>
      <c r="T886" s="450">
        <f t="shared" si="104"/>
        <v>4800</v>
      </c>
      <c r="U886" s="450">
        <f t="shared" si="105"/>
        <v>38400</v>
      </c>
      <c r="V886" s="454" t="s">
        <v>51</v>
      </c>
      <c r="W886" s="448" t="s">
        <v>774</v>
      </c>
      <c r="X886" s="448" t="s">
        <v>51</v>
      </c>
      <c r="Y886" s="448" t="s">
        <v>51</v>
      </c>
      <c r="Z886" s="448" t="s">
        <v>756</v>
      </c>
      <c r="AA886" s="448" t="s">
        <v>62</v>
      </c>
      <c r="AB886" s="448" t="s">
        <v>62</v>
      </c>
      <c r="AC886" s="448" t="s">
        <v>61</v>
      </c>
      <c r="AD886" s="447"/>
      <c r="AE886" s="447"/>
      <c r="AF886" s="447"/>
      <c r="AG886" s="447"/>
      <c r="AH886" s="447"/>
      <c r="AI886" s="447"/>
      <c r="AJ886" s="447"/>
      <c r="AK886" s="447"/>
      <c r="AL886" s="447"/>
      <c r="AM886" s="447"/>
      <c r="AN886" s="447"/>
      <c r="AO886" s="447"/>
      <c r="AP886" s="447"/>
      <c r="AQ886" s="447"/>
      <c r="AR886" s="447"/>
      <c r="AS886" s="447"/>
      <c r="AT886" s="447"/>
      <c r="AU886" s="447"/>
      <c r="AV886" s="447"/>
      <c r="AW886" s="447"/>
      <c r="AX886" s="447"/>
      <c r="AY886" s="447"/>
      <c r="AZ886" s="447"/>
      <c r="BA886" s="448" t="s">
        <v>51</v>
      </c>
      <c r="BB886" s="448" t="s">
        <v>51</v>
      </c>
      <c r="BC886" s="447"/>
      <c r="BD886" s="448" t="s">
        <v>775</v>
      </c>
      <c r="BE886" s="447">
        <v>351</v>
      </c>
    </row>
    <row r="887" spans="1:57" ht="30" customHeight="1">
      <c r="A887" s="443" t="str">
        <f>'2층전시실산출 '!B299</f>
        <v>시트문자</v>
      </c>
      <c r="B887" s="443" t="str">
        <f>'2층전시실산출 '!C299</f>
        <v>490x300</v>
      </c>
      <c r="C887" s="443" t="s">
        <v>321</v>
      </c>
      <c r="D887" s="1133">
        <v>3</v>
      </c>
      <c r="E887" s="445">
        <f>'2층전시실산출 '!H299</f>
        <v>3</v>
      </c>
      <c r="F887" s="1147">
        <v>5300</v>
      </c>
      <c r="G887" s="1147">
        <v>15900</v>
      </c>
      <c r="H887" s="450">
        <f>단가대비표!O244</f>
        <v>5300</v>
      </c>
      <c r="I887" s="450">
        <f t="shared" si="103"/>
        <v>15900</v>
      </c>
      <c r="J887" s="1147"/>
      <c r="K887" s="1147"/>
      <c r="L887" s="450"/>
      <c r="M887" s="450"/>
      <c r="N887" s="1147"/>
      <c r="O887" s="1147"/>
      <c r="P887" s="450"/>
      <c r="Q887" s="450"/>
      <c r="R887" s="1147">
        <v>5300</v>
      </c>
      <c r="S887" s="1147">
        <v>15900</v>
      </c>
      <c r="T887" s="450">
        <f t="shared" si="104"/>
        <v>5300</v>
      </c>
      <c r="U887" s="450">
        <f t="shared" si="105"/>
        <v>15900</v>
      </c>
      <c r="V887" s="454" t="s">
        <v>51</v>
      </c>
      <c r="W887" s="448" t="s">
        <v>776</v>
      </c>
      <c r="X887" s="448" t="s">
        <v>51</v>
      </c>
      <c r="Y887" s="448" t="s">
        <v>51</v>
      </c>
      <c r="Z887" s="448" t="s">
        <v>756</v>
      </c>
      <c r="AA887" s="448" t="s">
        <v>62</v>
      </c>
      <c r="AB887" s="448" t="s">
        <v>62</v>
      </c>
      <c r="AC887" s="448" t="s">
        <v>61</v>
      </c>
      <c r="AD887" s="447"/>
      <c r="AE887" s="447"/>
      <c r="AF887" s="447"/>
      <c r="AG887" s="447"/>
      <c r="AH887" s="447"/>
      <c r="AI887" s="447"/>
      <c r="AJ887" s="447"/>
      <c r="AK887" s="447"/>
      <c r="AL887" s="447"/>
      <c r="AM887" s="447"/>
      <c r="AN887" s="447"/>
      <c r="AO887" s="447"/>
      <c r="AP887" s="447"/>
      <c r="AQ887" s="447"/>
      <c r="AR887" s="447"/>
      <c r="AS887" s="447"/>
      <c r="AT887" s="447"/>
      <c r="AU887" s="447"/>
      <c r="AV887" s="447"/>
      <c r="AW887" s="447"/>
      <c r="AX887" s="447"/>
      <c r="AY887" s="447"/>
      <c r="AZ887" s="447"/>
      <c r="BA887" s="448" t="s">
        <v>51</v>
      </c>
      <c r="BB887" s="448" t="s">
        <v>51</v>
      </c>
      <c r="BC887" s="447"/>
      <c r="BD887" s="448" t="s">
        <v>777</v>
      </c>
      <c r="BE887" s="447">
        <v>352</v>
      </c>
    </row>
    <row r="888" spans="1:57" ht="30" customHeight="1">
      <c r="A888" s="443" t="str">
        <f>'2층전시실산출 '!B300</f>
        <v>시트문자</v>
      </c>
      <c r="B888" s="443" t="str">
        <f>'2층전시실산출 '!C300</f>
        <v>600×250</v>
      </c>
      <c r="C888" s="443" t="s">
        <v>321</v>
      </c>
      <c r="D888" s="1133">
        <v>6</v>
      </c>
      <c r="E888" s="445">
        <f>'2층전시실산출 '!H300</f>
        <v>6</v>
      </c>
      <c r="F888" s="1147">
        <v>6300</v>
      </c>
      <c r="G888" s="1147">
        <v>37800</v>
      </c>
      <c r="H888" s="450">
        <f>단가대비표!O245</f>
        <v>6300</v>
      </c>
      <c r="I888" s="450">
        <f t="shared" si="103"/>
        <v>37800</v>
      </c>
      <c r="J888" s="1147"/>
      <c r="K888" s="1147"/>
      <c r="L888" s="450"/>
      <c r="M888" s="450"/>
      <c r="N888" s="1147"/>
      <c r="O888" s="1147"/>
      <c r="P888" s="450"/>
      <c r="Q888" s="450"/>
      <c r="R888" s="1147">
        <v>6300</v>
      </c>
      <c r="S888" s="1147">
        <v>37800</v>
      </c>
      <c r="T888" s="450">
        <f t="shared" si="104"/>
        <v>6300</v>
      </c>
      <c r="U888" s="450">
        <f t="shared" si="105"/>
        <v>37800</v>
      </c>
      <c r="V888" s="454"/>
      <c r="W888" s="448"/>
      <c r="X888" s="448"/>
      <c r="Y888" s="448"/>
      <c r="Z888" s="448"/>
      <c r="AA888" s="448"/>
      <c r="AB888" s="448"/>
      <c r="AC888" s="448"/>
      <c r="AD888" s="447"/>
      <c r="AE888" s="447"/>
      <c r="AF888" s="447"/>
      <c r="AG888" s="447"/>
      <c r="AH888" s="447"/>
      <c r="AI888" s="447"/>
      <c r="AJ888" s="447"/>
      <c r="AK888" s="447"/>
      <c r="AL888" s="447"/>
      <c r="AM888" s="447"/>
      <c r="AN888" s="447"/>
      <c r="AO888" s="447"/>
      <c r="AP888" s="447"/>
      <c r="AQ888" s="447"/>
      <c r="AR888" s="447"/>
      <c r="AS888" s="447"/>
      <c r="AT888" s="447"/>
      <c r="AU888" s="447"/>
      <c r="AV888" s="447"/>
      <c r="AW888" s="447"/>
      <c r="AX888" s="447"/>
      <c r="AY888" s="447"/>
      <c r="AZ888" s="447"/>
      <c r="BA888" s="448"/>
      <c r="BB888" s="448"/>
      <c r="BC888" s="447"/>
      <c r="BD888" s="448"/>
      <c r="BE888" s="447"/>
    </row>
    <row r="889" spans="1:57" ht="30" customHeight="1">
      <c r="A889" s="443" t="str">
        <f>'2층전시실산출 '!B301</f>
        <v>시트문자</v>
      </c>
      <c r="B889" s="443" t="str">
        <f>'2층전시실산출 '!C301</f>
        <v>600×700</v>
      </c>
      <c r="C889" s="443" t="s">
        <v>321</v>
      </c>
      <c r="D889" s="1133">
        <v>8</v>
      </c>
      <c r="E889" s="445">
        <f>'2층전시실산출 '!H301</f>
        <v>8</v>
      </c>
      <c r="F889" s="1147">
        <v>14700</v>
      </c>
      <c r="G889" s="1147">
        <v>117600</v>
      </c>
      <c r="H889" s="450">
        <f>단가대비표!O246</f>
        <v>14700</v>
      </c>
      <c r="I889" s="450">
        <f t="shared" si="103"/>
        <v>117600</v>
      </c>
      <c r="J889" s="1147"/>
      <c r="K889" s="1147"/>
      <c r="L889" s="450"/>
      <c r="M889" s="450"/>
      <c r="N889" s="1147"/>
      <c r="O889" s="1147"/>
      <c r="P889" s="450"/>
      <c r="Q889" s="450"/>
      <c r="R889" s="1147">
        <v>14700</v>
      </c>
      <c r="S889" s="1147">
        <v>117600</v>
      </c>
      <c r="T889" s="450">
        <f t="shared" si="104"/>
        <v>14700</v>
      </c>
      <c r="U889" s="450">
        <f t="shared" si="105"/>
        <v>117600</v>
      </c>
      <c r="V889" s="454"/>
      <c r="W889" s="448"/>
      <c r="X889" s="448"/>
      <c r="Y889" s="448"/>
      <c r="Z889" s="448"/>
      <c r="AA889" s="448"/>
      <c r="AB889" s="448"/>
      <c r="AC889" s="448"/>
      <c r="AD889" s="447"/>
      <c r="AE889" s="447"/>
      <c r="AF889" s="447"/>
      <c r="AG889" s="447"/>
      <c r="AH889" s="447"/>
      <c r="AI889" s="447"/>
      <c r="AJ889" s="447"/>
      <c r="AK889" s="447"/>
      <c r="AL889" s="447"/>
      <c r="AM889" s="447"/>
      <c r="AN889" s="447"/>
      <c r="AO889" s="447"/>
      <c r="AP889" s="447"/>
      <c r="AQ889" s="447"/>
      <c r="AR889" s="447"/>
      <c r="AS889" s="447"/>
      <c r="AT889" s="447"/>
      <c r="AU889" s="447"/>
      <c r="AV889" s="447"/>
      <c r="AW889" s="447"/>
      <c r="AX889" s="447"/>
      <c r="AY889" s="447"/>
      <c r="AZ889" s="447"/>
      <c r="BA889" s="448"/>
      <c r="BB889" s="448"/>
      <c r="BC889" s="447"/>
      <c r="BD889" s="448"/>
      <c r="BE889" s="447"/>
    </row>
    <row r="890" spans="1:57" ht="30" customHeight="1">
      <c r="A890" s="443" t="str">
        <f>'2층전시실산출 '!B302</f>
        <v>시트문자</v>
      </c>
      <c r="B890" s="443" t="str">
        <f>'2층전시실산출 '!C302</f>
        <v>600×900</v>
      </c>
      <c r="C890" s="443" t="s">
        <v>321</v>
      </c>
      <c r="D890" s="1133">
        <v>24</v>
      </c>
      <c r="E890" s="445">
        <f>'2층전시실산출 '!H302</f>
        <v>24</v>
      </c>
      <c r="F890" s="1147">
        <v>18900</v>
      </c>
      <c r="G890" s="1147">
        <v>453600</v>
      </c>
      <c r="H890" s="450">
        <f>단가대비표!O247</f>
        <v>18900</v>
      </c>
      <c r="I890" s="450">
        <f t="shared" si="103"/>
        <v>453600</v>
      </c>
      <c r="J890" s="1147"/>
      <c r="K890" s="1147"/>
      <c r="L890" s="450"/>
      <c r="M890" s="450"/>
      <c r="N890" s="1147"/>
      <c r="O890" s="1147"/>
      <c r="P890" s="450"/>
      <c r="Q890" s="450"/>
      <c r="R890" s="1147">
        <v>18900</v>
      </c>
      <c r="S890" s="1147">
        <v>453600</v>
      </c>
      <c r="T890" s="450">
        <f t="shared" si="104"/>
        <v>18900</v>
      </c>
      <c r="U890" s="450">
        <f t="shared" si="105"/>
        <v>453600</v>
      </c>
      <c r="V890" s="454"/>
      <c r="W890" s="448"/>
      <c r="X890" s="448"/>
      <c r="Y890" s="448"/>
      <c r="Z890" s="448"/>
      <c r="AA890" s="448"/>
      <c r="AB890" s="448"/>
      <c r="AC890" s="448"/>
      <c r="AD890" s="447"/>
      <c r="AE890" s="447"/>
      <c r="AF890" s="447"/>
      <c r="AG890" s="447"/>
      <c r="AH890" s="447"/>
      <c r="AI890" s="447"/>
      <c r="AJ890" s="447"/>
      <c r="AK890" s="447"/>
      <c r="AL890" s="447"/>
      <c r="AM890" s="447"/>
      <c r="AN890" s="447"/>
      <c r="AO890" s="447"/>
      <c r="AP890" s="447"/>
      <c r="AQ890" s="447"/>
      <c r="AR890" s="447"/>
      <c r="AS890" s="447"/>
      <c r="AT890" s="447"/>
      <c r="AU890" s="447"/>
      <c r="AV890" s="447"/>
      <c r="AW890" s="447"/>
      <c r="AX890" s="447"/>
      <c r="AY890" s="447"/>
      <c r="AZ890" s="447"/>
      <c r="BA890" s="448"/>
      <c r="BB890" s="448"/>
      <c r="BC890" s="447"/>
      <c r="BD890" s="448"/>
      <c r="BE890" s="447"/>
    </row>
    <row r="891" spans="1:57" ht="30" customHeight="1">
      <c r="A891" s="443" t="str">
        <f>'2층전시실산출 '!B303</f>
        <v>시트문자</v>
      </c>
      <c r="B891" s="443" t="str">
        <f>'2층전시실산출 '!C303</f>
        <v>650×850</v>
      </c>
      <c r="C891" s="443" t="s">
        <v>321</v>
      </c>
      <c r="D891" s="1133">
        <v>4</v>
      </c>
      <c r="E891" s="445">
        <f>'2층전시실산출 '!H303</f>
        <v>4</v>
      </c>
      <c r="F891" s="1147">
        <v>14800</v>
      </c>
      <c r="G891" s="1147">
        <v>59200</v>
      </c>
      <c r="H891" s="450">
        <f>단가대비표!O248</f>
        <v>14800</v>
      </c>
      <c r="I891" s="450">
        <f t="shared" si="103"/>
        <v>59200</v>
      </c>
      <c r="J891" s="1147"/>
      <c r="K891" s="1147"/>
      <c r="L891" s="450"/>
      <c r="M891" s="450"/>
      <c r="N891" s="1147"/>
      <c r="O891" s="1147"/>
      <c r="P891" s="450"/>
      <c r="Q891" s="450"/>
      <c r="R891" s="1147">
        <v>14800</v>
      </c>
      <c r="S891" s="1147">
        <v>59200</v>
      </c>
      <c r="T891" s="450">
        <f t="shared" si="104"/>
        <v>14800</v>
      </c>
      <c r="U891" s="450">
        <f t="shared" si="105"/>
        <v>59200</v>
      </c>
      <c r="V891" s="454"/>
      <c r="W891" s="448"/>
      <c r="X891" s="448"/>
      <c r="Y891" s="448"/>
      <c r="Z891" s="448"/>
      <c r="AA891" s="448"/>
      <c r="AB891" s="448"/>
      <c r="AC891" s="448"/>
      <c r="AD891" s="447"/>
      <c r="AE891" s="447"/>
      <c r="AF891" s="447"/>
      <c r="AG891" s="447"/>
      <c r="AH891" s="447"/>
      <c r="AI891" s="447"/>
      <c r="AJ891" s="447"/>
      <c r="AK891" s="447"/>
      <c r="AL891" s="447"/>
      <c r="AM891" s="447"/>
      <c r="AN891" s="447"/>
      <c r="AO891" s="447"/>
      <c r="AP891" s="447"/>
      <c r="AQ891" s="447"/>
      <c r="AR891" s="447"/>
      <c r="AS891" s="447"/>
      <c r="AT891" s="447"/>
      <c r="AU891" s="447"/>
      <c r="AV891" s="447"/>
      <c r="AW891" s="447"/>
      <c r="AX891" s="447"/>
      <c r="AY891" s="447"/>
      <c r="AZ891" s="447"/>
      <c r="BA891" s="448"/>
      <c r="BB891" s="448"/>
      <c r="BC891" s="447"/>
      <c r="BD891" s="448"/>
      <c r="BE891" s="447"/>
    </row>
    <row r="892" spans="1:57" ht="30" customHeight="1">
      <c r="A892" s="443" t="str">
        <f>'2층전시실산출 '!B304</f>
        <v>시트문자</v>
      </c>
      <c r="B892" s="443" t="str">
        <f>'2층전시실산출 '!C304</f>
        <v>750×1100</v>
      </c>
      <c r="C892" s="443" t="s">
        <v>321</v>
      </c>
      <c r="D892" s="1133">
        <v>4</v>
      </c>
      <c r="E892" s="445">
        <f>'2층전시실산출 '!H304</f>
        <v>4</v>
      </c>
      <c r="F892" s="1147">
        <v>2900</v>
      </c>
      <c r="G892" s="1147">
        <v>11600</v>
      </c>
      <c r="H892" s="450">
        <f>단가대비표!O249</f>
        <v>2900</v>
      </c>
      <c r="I892" s="450">
        <f t="shared" si="103"/>
        <v>11600</v>
      </c>
      <c r="J892" s="1147"/>
      <c r="K892" s="1147"/>
      <c r="L892" s="450"/>
      <c r="M892" s="450"/>
      <c r="N892" s="1147"/>
      <c r="O892" s="1147"/>
      <c r="P892" s="450"/>
      <c r="Q892" s="450"/>
      <c r="R892" s="1147">
        <v>2900</v>
      </c>
      <c r="S892" s="1147">
        <v>11600</v>
      </c>
      <c r="T892" s="450">
        <f t="shared" si="104"/>
        <v>2900</v>
      </c>
      <c r="U892" s="450">
        <f t="shared" si="105"/>
        <v>11600</v>
      </c>
      <c r="V892" s="454"/>
      <c r="W892" s="448"/>
      <c r="X892" s="448"/>
      <c r="Y892" s="448"/>
      <c r="Z892" s="448"/>
      <c r="AA892" s="448"/>
      <c r="AB892" s="448"/>
      <c r="AC892" s="448"/>
      <c r="AD892" s="447"/>
      <c r="AE892" s="447"/>
      <c r="AF892" s="447"/>
      <c r="AG892" s="447"/>
      <c r="AH892" s="447"/>
      <c r="AI892" s="447"/>
      <c r="AJ892" s="447"/>
      <c r="AK892" s="447"/>
      <c r="AL892" s="447"/>
      <c r="AM892" s="447"/>
      <c r="AN892" s="447"/>
      <c r="AO892" s="447"/>
      <c r="AP892" s="447"/>
      <c r="AQ892" s="447"/>
      <c r="AR892" s="447"/>
      <c r="AS892" s="447"/>
      <c r="AT892" s="447"/>
      <c r="AU892" s="447"/>
      <c r="AV892" s="447"/>
      <c r="AW892" s="447"/>
      <c r="AX892" s="447"/>
      <c r="AY892" s="447"/>
      <c r="AZ892" s="447"/>
      <c r="BA892" s="448"/>
      <c r="BB892" s="448"/>
      <c r="BC892" s="447"/>
      <c r="BD892" s="448"/>
      <c r="BE892" s="447"/>
    </row>
    <row r="893" spans="1:57" ht="30" customHeight="1">
      <c r="A893" s="443" t="str">
        <f>'2층전시실산출 '!B305</f>
        <v>시트문자</v>
      </c>
      <c r="B893" s="443" t="str">
        <f>'2층전시실산출 '!C305</f>
        <v>800×1100</v>
      </c>
      <c r="C893" s="443" t="s">
        <v>321</v>
      </c>
      <c r="D893" s="1133">
        <v>2</v>
      </c>
      <c r="E893" s="445">
        <f>'2층전시실산출 '!H305</f>
        <v>2</v>
      </c>
      <c r="F893" s="1147">
        <v>30800.000000000004</v>
      </c>
      <c r="G893" s="1147">
        <v>61600.000000000007</v>
      </c>
      <c r="H893" s="450">
        <f>단가대비표!O250</f>
        <v>30800.000000000004</v>
      </c>
      <c r="I893" s="450">
        <f t="shared" si="103"/>
        <v>61600.000000000007</v>
      </c>
      <c r="J893" s="1147"/>
      <c r="K893" s="1147"/>
      <c r="L893" s="450"/>
      <c r="M893" s="450"/>
      <c r="N893" s="1147"/>
      <c r="O893" s="1147"/>
      <c r="P893" s="450"/>
      <c r="Q893" s="450"/>
      <c r="R893" s="1147">
        <v>30800</v>
      </c>
      <c r="S893" s="1147">
        <v>61600</v>
      </c>
      <c r="T893" s="450">
        <f t="shared" si="104"/>
        <v>30800</v>
      </c>
      <c r="U893" s="450">
        <f t="shared" si="105"/>
        <v>61600</v>
      </c>
      <c r="V893" s="454"/>
      <c r="W893" s="448"/>
      <c r="X893" s="448"/>
      <c r="Y893" s="448"/>
      <c r="Z893" s="448"/>
      <c r="AA893" s="448"/>
      <c r="AB893" s="448"/>
      <c r="AC893" s="448"/>
      <c r="AD893" s="447"/>
      <c r="AE893" s="447"/>
      <c r="AF893" s="447"/>
      <c r="AG893" s="447"/>
      <c r="AH893" s="447"/>
      <c r="AI893" s="447"/>
      <c r="AJ893" s="447"/>
      <c r="AK893" s="447"/>
      <c r="AL893" s="447"/>
      <c r="AM893" s="447"/>
      <c r="AN893" s="447"/>
      <c r="AO893" s="447"/>
      <c r="AP893" s="447"/>
      <c r="AQ893" s="447"/>
      <c r="AR893" s="447"/>
      <c r="AS893" s="447"/>
      <c r="AT893" s="447"/>
      <c r="AU893" s="447"/>
      <c r="AV893" s="447"/>
      <c r="AW893" s="447"/>
      <c r="AX893" s="447"/>
      <c r="AY893" s="447"/>
      <c r="AZ893" s="447"/>
      <c r="BA893" s="448"/>
      <c r="BB893" s="448"/>
      <c r="BC893" s="447"/>
      <c r="BD893" s="448"/>
      <c r="BE893" s="447"/>
    </row>
    <row r="894" spans="1:57" ht="30" customHeight="1">
      <c r="A894" s="443" t="str">
        <f>'2층전시실산출 '!B306</f>
        <v>시트문자</v>
      </c>
      <c r="B894" s="443" t="str">
        <f>'2층전시실산출 '!C306</f>
        <v>920x450</v>
      </c>
      <c r="C894" s="443" t="s">
        <v>321</v>
      </c>
      <c r="D894" s="1133">
        <v>7</v>
      </c>
      <c r="E894" s="445">
        <f>'2층전시실산출 '!H306</f>
        <v>7</v>
      </c>
      <c r="F894" s="1147">
        <v>15750</v>
      </c>
      <c r="G894" s="1147">
        <v>110250</v>
      </c>
      <c r="H894" s="450">
        <f>단가대비표!O251</f>
        <v>15750</v>
      </c>
      <c r="I894" s="450">
        <f t="shared" si="103"/>
        <v>110250</v>
      </c>
      <c r="J894" s="1147"/>
      <c r="K894" s="1147"/>
      <c r="L894" s="450"/>
      <c r="M894" s="450"/>
      <c r="N894" s="1147"/>
      <c r="O894" s="1147"/>
      <c r="P894" s="450"/>
      <c r="Q894" s="450"/>
      <c r="R894" s="1147">
        <v>15750</v>
      </c>
      <c r="S894" s="1147">
        <v>110250</v>
      </c>
      <c r="T894" s="450">
        <f t="shared" si="104"/>
        <v>15750</v>
      </c>
      <c r="U894" s="450">
        <f t="shared" si="105"/>
        <v>110250</v>
      </c>
      <c r="V894" s="454"/>
      <c r="W894" s="448"/>
      <c r="X894" s="448"/>
      <c r="Y894" s="448"/>
      <c r="Z894" s="448"/>
      <c r="AA894" s="448"/>
      <c r="AB894" s="448"/>
      <c r="AC894" s="448"/>
      <c r="AD894" s="447"/>
      <c r="AE894" s="447"/>
      <c r="AF894" s="447"/>
      <c r="AG894" s="447"/>
      <c r="AH894" s="447"/>
      <c r="AI894" s="447"/>
      <c r="AJ894" s="447"/>
      <c r="AK894" s="447"/>
      <c r="AL894" s="447"/>
      <c r="AM894" s="447"/>
      <c r="AN894" s="447"/>
      <c r="AO894" s="447"/>
      <c r="AP894" s="447"/>
      <c r="AQ894" s="447"/>
      <c r="AR894" s="447"/>
      <c r="AS894" s="447"/>
      <c r="AT894" s="447"/>
      <c r="AU894" s="447"/>
      <c r="AV894" s="447"/>
      <c r="AW894" s="447"/>
      <c r="AX894" s="447"/>
      <c r="AY894" s="447"/>
      <c r="AZ894" s="447"/>
      <c r="BA894" s="448"/>
      <c r="BB894" s="448"/>
      <c r="BC894" s="447"/>
      <c r="BD894" s="448"/>
      <c r="BE894" s="447"/>
    </row>
    <row r="895" spans="1:57" ht="30" customHeight="1">
      <c r="A895" s="443" t="str">
        <f>'2층전시실산출 '!B307</f>
        <v>시트문자</v>
      </c>
      <c r="B895" s="443" t="str">
        <f>'2층전시실산출 '!C307</f>
        <v>950×250</v>
      </c>
      <c r="C895" s="443" t="s">
        <v>321</v>
      </c>
      <c r="D895" s="1133">
        <v>3</v>
      </c>
      <c r="E895" s="445">
        <f>'2층전시실산출 '!H307</f>
        <v>3</v>
      </c>
      <c r="F895" s="1147">
        <v>9450</v>
      </c>
      <c r="G895" s="1147">
        <v>28350</v>
      </c>
      <c r="H895" s="450">
        <f>단가대비표!O252</f>
        <v>9450</v>
      </c>
      <c r="I895" s="450">
        <f t="shared" si="103"/>
        <v>28350</v>
      </c>
      <c r="J895" s="1147"/>
      <c r="K895" s="1147"/>
      <c r="L895" s="450"/>
      <c r="M895" s="450"/>
      <c r="N895" s="1147"/>
      <c r="O895" s="1147"/>
      <c r="P895" s="450"/>
      <c r="Q895" s="450"/>
      <c r="R895" s="1147">
        <v>9450</v>
      </c>
      <c r="S895" s="1147">
        <v>28350</v>
      </c>
      <c r="T895" s="450">
        <f t="shared" si="104"/>
        <v>9450</v>
      </c>
      <c r="U895" s="450">
        <f t="shared" si="105"/>
        <v>28350</v>
      </c>
      <c r="V895" s="454"/>
      <c r="W895" s="448"/>
      <c r="X895" s="448"/>
      <c r="Y895" s="448"/>
      <c r="Z895" s="448"/>
      <c r="AA895" s="448"/>
      <c r="AB895" s="448"/>
      <c r="AC895" s="448"/>
      <c r="AD895" s="447"/>
      <c r="AE895" s="447"/>
      <c r="AF895" s="447"/>
      <c r="AG895" s="447"/>
      <c r="AH895" s="447"/>
      <c r="AI895" s="447"/>
      <c r="AJ895" s="447"/>
      <c r="AK895" s="447"/>
      <c r="AL895" s="447"/>
      <c r="AM895" s="447"/>
      <c r="AN895" s="447"/>
      <c r="AO895" s="447"/>
      <c r="AP895" s="447"/>
      <c r="AQ895" s="447"/>
      <c r="AR895" s="447"/>
      <c r="AS895" s="447"/>
      <c r="AT895" s="447"/>
      <c r="AU895" s="447"/>
      <c r="AV895" s="447"/>
      <c r="AW895" s="447"/>
      <c r="AX895" s="447"/>
      <c r="AY895" s="447"/>
      <c r="AZ895" s="447"/>
      <c r="BA895" s="448"/>
      <c r="BB895" s="448"/>
      <c r="BC895" s="447"/>
      <c r="BD895" s="448"/>
      <c r="BE895" s="447"/>
    </row>
    <row r="896" spans="1:57" ht="30" customHeight="1">
      <c r="A896" s="443" t="str">
        <f>'2층전시실산출 '!B308</f>
        <v>시트문자</v>
      </c>
      <c r="B896" s="443" t="str">
        <f>'2층전시실산출 '!C308</f>
        <v>1050x2090</v>
      </c>
      <c r="C896" s="443" t="s">
        <v>321</v>
      </c>
      <c r="D896" s="1133">
        <v>2</v>
      </c>
      <c r="E896" s="445">
        <f>'2층전시실산출 '!H308</f>
        <v>2</v>
      </c>
      <c r="F896" s="1147">
        <v>77200</v>
      </c>
      <c r="G896" s="1147">
        <v>154400</v>
      </c>
      <c r="H896" s="450">
        <f>단가대비표!O253</f>
        <v>77200</v>
      </c>
      <c r="I896" s="450">
        <f t="shared" si="103"/>
        <v>154400</v>
      </c>
      <c r="J896" s="1147"/>
      <c r="K896" s="1147"/>
      <c r="L896" s="450"/>
      <c r="M896" s="450"/>
      <c r="N896" s="1147"/>
      <c r="O896" s="1147"/>
      <c r="P896" s="450"/>
      <c r="Q896" s="450"/>
      <c r="R896" s="1147">
        <v>77200</v>
      </c>
      <c r="S896" s="1147">
        <v>154400</v>
      </c>
      <c r="T896" s="450">
        <f t="shared" si="104"/>
        <v>77200</v>
      </c>
      <c r="U896" s="450">
        <f t="shared" si="105"/>
        <v>154400</v>
      </c>
      <c r="V896" s="454"/>
      <c r="W896" s="448"/>
      <c r="X896" s="448"/>
      <c r="Y896" s="448"/>
      <c r="Z896" s="448"/>
      <c r="AA896" s="448"/>
      <c r="AB896" s="448"/>
      <c r="AC896" s="448"/>
      <c r="AD896" s="447"/>
      <c r="AE896" s="447"/>
      <c r="AF896" s="447"/>
      <c r="AG896" s="447"/>
      <c r="AH896" s="447"/>
      <c r="AI896" s="447"/>
      <c r="AJ896" s="447"/>
      <c r="AK896" s="447"/>
      <c r="AL896" s="447"/>
      <c r="AM896" s="447"/>
      <c r="AN896" s="447"/>
      <c r="AO896" s="447"/>
      <c r="AP896" s="447"/>
      <c r="AQ896" s="447"/>
      <c r="AR896" s="447"/>
      <c r="AS896" s="447"/>
      <c r="AT896" s="447"/>
      <c r="AU896" s="447"/>
      <c r="AV896" s="447"/>
      <c r="AW896" s="447"/>
      <c r="AX896" s="447"/>
      <c r="AY896" s="447"/>
      <c r="AZ896" s="447"/>
      <c r="BA896" s="448"/>
      <c r="BB896" s="448"/>
      <c r="BC896" s="447"/>
      <c r="BD896" s="448"/>
      <c r="BE896" s="447"/>
    </row>
    <row r="897" spans="1:57" ht="30" customHeight="1">
      <c r="A897" s="443" t="str">
        <f>'2층전시실산출 '!B309</f>
        <v>시트문자</v>
      </c>
      <c r="B897" s="443" t="str">
        <f>'2층전시실산출 '!C309</f>
        <v>1100×1100</v>
      </c>
      <c r="C897" s="443" t="s">
        <v>321</v>
      </c>
      <c r="D897" s="1133">
        <v>5</v>
      </c>
      <c r="E897" s="445">
        <f>'2층전시실산출 '!H309</f>
        <v>5</v>
      </c>
      <c r="F897" s="1147">
        <v>42350.000000000007</v>
      </c>
      <c r="G897" s="1147">
        <v>211750.00000000003</v>
      </c>
      <c r="H897" s="450">
        <f>단가대비표!O254</f>
        <v>42350.000000000007</v>
      </c>
      <c r="I897" s="450">
        <f t="shared" ref="I897:I928" si="106">E897*H897</f>
        <v>211750.00000000003</v>
      </c>
      <c r="J897" s="1147"/>
      <c r="K897" s="1147"/>
      <c r="L897" s="450"/>
      <c r="M897" s="450"/>
      <c r="N897" s="1147"/>
      <c r="O897" s="1147"/>
      <c r="P897" s="450"/>
      <c r="Q897" s="450"/>
      <c r="R897" s="1147">
        <v>42350</v>
      </c>
      <c r="S897" s="1147">
        <v>211750</v>
      </c>
      <c r="T897" s="450">
        <f t="shared" si="104"/>
        <v>42350</v>
      </c>
      <c r="U897" s="450">
        <f t="shared" si="105"/>
        <v>211750</v>
      </c>
      <c r="V897" s="454"/>
      <c r="W897" s="448"/>
      <c r="X897" s="448"/>
      <c r="Y897" s="448"/>
      <c r="Z897" s="448"/>
      <c r="AA897" s="448"/>
      <c r="AB897" s="448"/>
      <c r="AC897" s="448"/>
      <c r="AD897" s="447"/>
      <c r="AE897" s="447"/>
      <c r="AF897" s="447"/>
      <c r="AG897" s="447"/>
      <c r="AH897" s="447"/>
      <c r="AI897" s="447"/>
      <c r="AJ897" s="447"/>
      <c r="AK897" s="447"/>
      <c r="AL897" s="447"/>
      <c r="AM897" s="447"/>
      <c r="AN897" s="447"/>
      <c r="AO897" s="447"/>
      <c r="AP897" s="447"/>
      <c r="AQ897" s="447"/>
      <c r="AR897" s="447"/>
      <c r="AS897" s="447"/>
      <c r="AT897" s="447"/>
      <c r="AU897" s="447"/>
      <c r="AV897" s="447"/>
      <c r="AW897" s="447"/>
      <c r="AX897" s="447"/>
      <c r="AY897" s="447"/>
      <c r="AZ897" s="447"/>
      <c r="BA897" s="448"/>
      <c r="BB897" s="448"/>
      <c r="BC897" s="447"/>
      <c r="BD897" s="448"/>
      <c r="BE897" s="447"/>
    </row>
    <row r="898" spans="1:57" ht="30" customHeight="1">
      <c r="A898" s="443" t="str">
        <f>'2층전시실산출 '!B310</f>
        <v>시트문자</v>
      </c>
      <c r="B898" s="443" t="str">
        <f>'2층전시실산출 '!C310</f>
        <v>1100x2090</v>
      </c>
      <c r="C898" s="443" t="s">
        <v>321</v>
      </c>
      <c r="D898" s="1133">
        <v>1</v>
      </c>
      <c r="E898" s="445">
        <f>'2층전시실산출 '!H310</f>
        <v>1</v>
      </c>
      <c r="F898" s="1147">
        <v>80850.000000000015</v>
      </c>
      <c r="G898" s="1147">
        <v>80850.000000000015</v>
      </c>
      <c r="H898" s="450">
        <f>단가대비표!O255</f>
        <v>80850.000000000015</v>
      </c>
      <c r="I898" s="450">
        <f t="shared" si="106"/>
        <v>80850.000000000015</v>
      </c>
      <c r="J898" s="1147"/>
      <c r="K898" s="1147"/>
      <c r="L898" s="450"/>
      <c r="M898" s="450"/>
      <c r="N898" s="1147"/>
      <c r="O898" s="1147"/>
      <c r="P898" s="450"/>
      <c r="Q898" s="450"/>
      <c r="R898" s="1147">
        <v>80850</v>
      </c>
      <c r="S898" s="1147">
        <v>80850</v>
      </c>
      <c r="T898" s="450">
        <f t="shared" si="104"/>
        <v>80850</v>
      </c>
      <c r="U898" s="450">
        <f t="shared" si="105"/>
        <v>80850</v>
      </c>
      <c r="V898" s="454"/>
      <c r="W898" s="448"/>
      <c r="X898" s="448"/>
      <c r="Y898" s="448"/>
      <c r="Z898" s="448"/>
      <c r="AA898" s="448"/>
      <c r="AB898" s="448"/>
      <c r="AC898" s="448"/>
      <c r="AD898" s="447"/>
      <c r="AE898" s="447"/>
      <c r="AF898" s="447"/>
      <c r="AG898" s="447"/>
      <c r="AH898" s="447"/>
      <c r="AI898" s="447"/>
      <c r="AJ898" s="447"/>
      <c r="AK898" s="447"/>
      <c r="AL898" s="447"/>
      <c r="AM898" s="447"/>
      <c r="AN898" s="447"/>
      <c r="AO898" s="447"/>
      <c r="AP898" s="447"/>
      <c r="AQ898" s="447"/>
      <c r="AR898" s="447"/>
      <c r="AS898" s="447"/>
      <c r="AT898" s="447"/>
      <c r="AU898" s="447"/>
      <c r="AV898" s="447"/>
      <c r="AW898" s="447"/>
      <c r="AX898" s="447"/>
      <c r="AY898" s="447"/>
      <c r="AZ898" s="447"/>
      <c r="BA898" s="448"/>
      <c r="BB898" s="448"/>
      <c r="BC898" s="447"/>
      <c r="BD898" s="448"/>
      <c r="BE898" s="447"/>
    </row>
    <row r="899" spans="1:57" ht="30" customHeight="1">
      <c r="A899" s="443" t="str">
        <f>'2층전시실산출 '!B311</f>
        <v>시트문자</v>
      </c>
      <c r="B899" s="443" t="str">
        <f>'2층전시실산출 '!C311</f>
        <v>1200x1990</v>
      </c>
      <c r="C899" s="443" t="s">
        <v>321</v>
      </c>
      <c r="D899" s="1133">
        <v>1</v>
      </c>
      <c r="E899" s="445">
        <f>'2층전시실산출 '!H311</f>
        <v>1</v>
      </c>
      <c r="F899" s="1147">
        <v>84000</v>
      </c>
      <c r="G899" s="1147">
        <v>84000</v>
      </c>
      <c r="H899" s="450">
        <f>단가대비표!O256</f>
        <v>84000</v>
      </c>
      <c r="I899" s="450">
        <f t="shared" si="106"/>
        <v>84000</v>
      </c>
      <c r="J899" s="1147"/>
      <c r="K899" s="1147"/>
      <c r="L899" s="450"/>
      <c r="M899" s="450"/>
      <c r="N899" s="1147"/>
      <c r="O899" s="1147"/>
      <c r="P899" s="450"/>
      <c r="Q899" s="450"/>
      <c r="R899" s="1147">
        <v>84000</v>
      </c>
      <c r="S899" s="1147">
        <v>84000</v>
      </c>
      <c r="T899" s="450">
        <f t="shared" si="104"/>
        <v>84000</v>
      </c>
      <c r="U899" s="450">
        <f t="shared" si="105"/>
        <v>84000</v>
      </c>
      <c r="V899" s="454"/>
      <c r="W899" s="448"/>
      <c r="X899" s="448"/>
      <c r="Y899" s="448"/>
      <c r="Z899" s="448"/>
      <c r="AA899" s="448"/>
      <c r="AB899" s="448"/>
      <c r="AC899" s="448"/>
      <c r="AD899" s="447"/>
      <c r="AE899" s="447"/>
      <c r="AF899" s="447"/>
      <c r="AG899" s="447"/>
      <c r="AH899" s="447"/>
      <c r="AI899" s="447"/>
      <c r="AJ899" s="447"/>
      <c r="AK899" s="447"/>
      <c r="AL899" s="447"/>
      <c r="AM899" s="447"/>
      <c r="AN899" s="447"/>
      <c r="AO899" s="447"/>
      <c r="AP899" s="447"/>
      <c r="AQ899" s="447"/>
      <c r="AR899" s="447"/>
      <c r="AS899" s="447"/>
      <c r="AT899" s="447"/>
      <c r="AU899" s="447"/>
      <c r="AV899" s="447"/>
      <c r="AW899" s="447"/>
      <c r="AX899" s="447"/>
      <c r="AY899" s="447"/>
      <c r="AZ899" s="447"/>
      <c r="BA899" s="448"/>
      <c r="BB899" s="448"/>
      <c r="BC899" s="447"/>
      <c r="BD899" s="448"/>
      <c r="BE899" s="447"/>
    </row>
    <row r="900" spans="1:57" ht="30" customHeight="1">
      <c r="A900" s="443" t="str">
        <f>'2층전시실산출 '!B312</f>
        <v>시트문자</v>
      </c>
      <c r="B900" s="443" t="str">
        <f>'2층전시실산출 '!C312</f>
        <v>1800x1300</v>
      </c>
      <c r="C900" s="443" t="s">
        <v>321</v>
      </c>
      <c r="D900" s="1133">
        <v>3</v>
      </c>
      <c r="E900" s="445">
        <f>'2층전시실산출 '!H312</f>
        <v>3</v>
      </c>
      <c r="F900" s="1147">
        <v>81900.000000000015</v>
      </c>
      <c r="G900" s="1147">
        <v>245700.00000000006</v>
      </c>
      <c r="H900" s="450">
        <f>단가대비표!O257</f>
        <v>81900.000000000015</v>
      </c>
      <c r="I900" s="450">
        <f t="shared" si="106"/>
        <v>245700.00000000006</v>
      </c>
      <c r="J900" s="1147"/>
      <c r="K900" s="1147"/>
      <c r="L900" s="450"/>
      <c r="M900" s="450"/>
      <c r="N900" s="1147"/>
      <c r="O900" s="1147"/>
      <c r="P900" s="450"/>
      <c r="Q900" s="450"/>
      <c r="R900" s="1147">
        <v>81900</v>
      </c>
      <c r="S900" s="1147">
        <v>245700</v>
      </c>
      <c r="T900" s="450">
        <f t="shared" si="104"/>
        <v>81900</v>
      </c>
      <c r="U900" s="450">
        <f t="shared" si="105"/>
        <v>245700</v>
      </c>
      <c r="V900" s="454"/>
      <c r="W900" s="448"/>
      <c r="X900" s="448"/>
      <c r="Y900" s="448"/>
      <c r="Z900" s="448"/>
      <c r="AA900" s="448"/>
      <c r="AB900" s="448"/>
      <c r="AC900" s="448"/>
      <c r="AD900" s="447"/>
      <c r="AE900" s="447"/>
      <c r="AF900" s="447"/>
      <c r="AG900" s="447"/>
      <c r="AH900" s="447"/>
      <c r="AI900" s="447"/>
      <c r="AJ900" s="447"/>
      <c r="AK900" s="447"/>
      <c r="AL900" s="447"/>
      <c r="AM900" s="447"/>
      <c r="AN900" s="447"/>
      <c r="AO900" s="447"/>
      <c r="AP900" s="447"/>
      <c r="AQ900" s="447"/>
      <c r="AR900" s="447"/>
      <c r="AS900" s="447"/>
      <c r="AT900" s="447"/>
      <c r="AU900" s="447"/>
      <c r="AV900" s="447"/>
      <c r="AW900" s="447"/>
      <c r="AX900" s="447"/>
      <c r="AY900" s="447"/>
      <c r="AZ900" s="447"/>
      <c r="BA900" s="448"/>
      <c r="BB900" s="448"/>
      <c r="BC900" s="447"/>
      <c r="BD900" s="448"/>
      <c r="BE900" s="447"/>
    </row>
    <row r="901" spans="1:57" ht="30" customHeight="1">
      <c r="A901" s="443" t="str">
        <f>'2층전시실산출 '!B313</f>
        <v>시트문자</v>
      </c>
      <c r="B901" s="443" t="str">
        <f>'2층전시실산출 '!C313</f>
        <v>2250x500</v>
      </c>
      <c r="C901" s="443" t="s">
        <v>321</v>
      </c>
      <c r="D901" s="1133">
        <v>1</v>
      </c>
      <c r="E901" s="445">
        <f>'2층전시실산출 '!H313</f>
        <v>1</v>
      </c>
      <c r="F901" s="1147">
        <v>40250</v>
      </c>
      <c r="G901" s="1147">
        <v>40250</v>
      </c>
      <c r="H901" s="450">
        <f>단가대비표!O258</f>
        <v>40250</v>
      </c>
      <c r="I901" s="450">
        <f t="shared" si="106"/>
        <v>40250</v>
      </c>
      <c r="J901" s="1147"/>
      <c r="K901" s="1147"/>
      <c r="L901" s="450"/>
      <c r="M901" s="450"/>
      <c r="N901" s="1147"/>
      <c r="O901" s="1147"/>
      <c r="P901" s="450"/>
      <c r="Q901" s="450"/>
      <c r="R901" s="1147">
        <v>40250</v>
      </c>
      <c r="S901" s="1147">
        <v>40250</v>
      </c>
      <c r="T901" s="450">
        <f t="shared" si="104"/>
        <v>40250</v>
      </c>
      <c r="U901" s="450">
        <f t="shared" si="105"/>
        <v>40250</v>
      </c>
      <c r="V901" s="454"/>
      <c r="W901" s="448"/>
      <c r="X901" s="448"/>
      <c r="Y901" s="448"/>
      <c r="Z901" s="448"/>
      <c r="AA901" s="448"/>
      <c r="AB901" s="448"/>
      <c r="AC901" s="448"/>
      <c r="AD901" s="447"/>
      <c r="AE901" s="447"/>
      <c r="AF901" s="447"/>
      <c r="AG901" s="447"/>
      <c r="AH901" s="447"/>
      <c r="AI901" s="447"/>
      <c r="AJ901" s="447"/>
      <c r="AK901" s="447"/>
      <c r="AL901" s="447"/>
      <c r="AM901" s="447"/>
      <c r="AN901" s="447"/>
      <c r="AO901" s="447"/>
      <c r="AP901" s="447"/>
      <c r="AQ901" s="447"/>
      <c r="AR901" s="447"/>
      <c r="AS901" s="447"/>
      <c r="AT901" s="447"/>
      <c r="AU901" s="447"/>
      <c r="AV901" s="447"/>
      <c r="AW901" s="447"/>
      <c r="AX901" s="447"/>
      <c r="AY901" s="447"/>
      <c r="AZ901" s="447"/>
      <c r="BA901" s="448"/>
      <c r="BB901" s="448"/>
      <c r="BC901" s="447"/>
      <c r="BD901" s="448"/>
      <c r="BE901" s="447"/>
    </row>
    <row r="902" spans="1:57" ht="30" customHeight="1">
      <c r="A902" s="443" t="str">
        <f>'2층전시실산출 '!B314</f>
        <v>그래픽패널</v>
      </c>
      <c r="B902" s="443" t="str">
        <f>'2층전시실산출 '!C314</f>
        <v>240x165</v>
      </c>
      <c r="C902" s="443" t="s">
        <v>321</v>
      </c>
      <c r="D902" s="1133">
        <v>4</v>
      </c>
      <c r="E902" s="445">
        <f>'2층전시실산출 '!H314</f>
        <v>4</v>
      </c>
      <c r="F902" s="1147">
        <v>2600</v>
      </c>
      <c r="G902" s="1147">
        <v>10400</v>
      </c>
      <c r="H902" s="450">
        <f>단가대비표!O259</f>
        <v>2600</v>
      </c>
      <c r="I902" s="450">
        <f t="shared" si="106"/>
        <v>10400</v>
      </c>
      <c r="J902" s="1147">
        <v>0</v>
      </c>
      <c r="K902" s="1147">
        <v>0</v>
      </c>
      <c r="L902" s="450">
        <f>TRUNC(단가대비표!P259,0)</f>
        <v>0</v>
      </c>
      <c r="M902" s="450">
        <f t="shared" ref="M902:M929" si="107">TRUNC(L902*E902, 0)</f>
        <v>0</v>
      </c>
      <c r="N902" s="1147">
        <v>0</v>
      </c>
      <c r="O902" s="1147">
        <v>0</v>
      </c>
      <c r="P902" s="450">
        <f>TRUNC(단가대비표!V259,0)</f>
        <v>0</v>
      </c>
      <c r="Q902" s="450">
        <f t="shared" ref="Q902:Q930" si="108">TRUNC(P902*E902, 0)</f>
        <v>0</v>
      </c>
      <c r="R902" s="1147">
        <v>2600</v>
      </c>
      <c r="S902" s="1147">
        <v>10400</v>
      </c>
      <c r="T902" s="450">
        <f t="shared" si="99"/>
        <v>2600</v>
      </c>
      <c r="U902" s="450">
        <f t="shared" si="100"/>
        <v>10400</v>
      </c>
      <c r="V902" s="454" t="s">
        <v>51</v>
      </c>
      <c r="W902" s="448" t="s">
        <v>778</v>
      </c>
      <c r="X902" s="448" t="s">
        <v>51</v>
      </c>
      <c r="Y902" s="448" t="s">
        <v>51</v>
      </c>
      <c r="Z902" s="448" t="s">
        <v>756</v>
      </c>
      <c r="AA902" s="448" t="s">
        <v>62</v>
      </c>
      <c r="AB902" s="448" t="s">
        <v>62</v>
      </c>
      <c r="AC902" s="448" t="s">
        <v>61</v>
      </c>
      <c r="AD902" s="447"/>
      <c r="AE902" s="447"/>
      <c r="AF902" s="447"/>
      <c r="AG902" s="447"/>
      <c r="AH902" s="447"/>
      <c r="AI902" s="447"/>
      <c r="AJ902" s="447"/>
      <c r="AK902" s="447"/>
      <c r="AL902" s="447"/>
      <c r="AM902" s="447"/>
      <c r="AN902" s="447"/>
      <c r="AO902" s="447"/>
      <c r="AP902" s="447"/>
      <c r="AQ902" s="447"/>
      <c r="AR902" s="447"/>
      <c r="AS902" s="447"/>
      <c r="AT902" s="447"/>
      <c r="AU902" s="447"/>
      <c r="AV902" s="447"/>
      <c r="AW902" s="447"/>
      <c r="AX902" s="447"/>
      <c r="AY902" s="447"/>
      <c r="AZ902" s="447"/>
      <c r="BA902" s="448" t="s">
        <v>51</v>
      </c>
      <c r="BB902" s="448" t="s">
        <v>51</v>
      </c>
      <c r="BC902" s="447"/>
      <c r="BD902" s="448" t="s">
        <v>779</v>
      </c>
      <c r="BE902" s="447">
        <v>353</v>
      </c>
    </row>
    <row r="903" spans="1:57" ht="30" customHeight="1">
      <c r="A903" s="443" t="str">
        <f>'2층전시실산출 '!B315</f>
        <v>그래픽패널</v>
      </c>
      <c r="B903" s="443" t="str">
        <f>'2층전시실산출 '!C315</f>
        <v>290x165</v>
      </c>
      <c r="C903" s="443" t="s">
        <v>321</v>
      </c>
      <c r="D903" s="1133">
        <v>1</v>
      </c>
      <c r="E903" s="445">
        <f>'2층전시실산출 '!H315</f>
        <v>1</v>
      </c>
      <c r="F903" s="1147">
        <v>3000</v>
      </c>
      <c r="G903" s="1147">
        <v>3000</v>
      </c>
      <c r="H903" s="450">
        <f>단가대비표!O260</f>
        <v>3000</v>
      </c>
      <c r="I903" s="450">
        <f t="shared" si="106"/>
        <v>3000</v>
      </c>
      <c r="J903" s="1147">
        <v>0</v>
      </c>
      <c r="K903" s="1147">
        <v>0</v>
      </c>
      <c r="L903" s="450">
        <f>TRUNC(단가대비표!P260,0)</f>
        <v>0</v>
      </c>
      <c r="M903" s="450">
        <f t="shared" si="107"/>
        <v>0</v>
      </c>
      <c r="N903" s="1147">
        <v>0</v>
      </c>
      <c r="O903" s="1147">
        <v>0</v>
      </c>
      <c r="P903" s="450">
        <f>TRUNC(단가대비표!V260,0)</f>
        <v>0</v>
      </c>
      <c r="Q903" s="450">
        <f t="shared" si="108"/>
        <v>0</v>
      </c>
      <c r="R903" s="1147">
        <v>3000</v>
      </c>
      <c r="S903" s="1147">
        <v>3000</v>
      </c>
      <c r="T903" s="450">
        <f t="shared" si="99"/>
        <v>3000</v>
      </c>
      <c r="U903" s="450">
        <f t="shared" si="100"/>
        <v>3000</v>
      </c>
      <c r="V903" s="454" t="s">
        <v>51</v>
      </c>
      <c r="W903" s="448" t="s">
        <v>780</v>
      </c>
      <c r="X903" s="448" t="s">
        <v>51</v>
      </c>
      <c r="Y903" s="448" t="s">
        <v>51</v>
      </c>
      <c r="Z903" s="448" t="s">
        <v>756</v>
      </c>
      <c r="AA903" s="448" t="s">
        <v>62</v>
      </c>
      <c r="AB903" s="448" t="s">
        <v>62</v>
      </c>
      <c r="AC903" s="448" t="s">
        <v>61</v>
      </c>
      <c r="AD903" s="447"/>
      <c r="AE903" s="447"/>
      <c r="AF903" s="447"/>
      <c r="AG903" s="447"/>
      <c r="AH903" s="447"/>
      <c r="AI903" s="447"/>
      <c r="AJ903" s="447"/>
      <c r="AK903" s="447"/>
      <c r="AL903" s="447"/>
      <c r="AM903" s="447"/>
      <c r="AN903" s="447"/>
      <c r="AO903" s="447"/>
      <c r="AP903" s="447"/>
      <c r="AQ903" s="447"/>
      <c r="AR903" s="447"/>
      <c r="AS903" s="447"/>
      <c r="AT903" s="447"/>
      <c r="AU903" s="447"/>
      <c r="AV903" s="447"/>
      <c r="AW903" s="447"/>
      <c r="AX903" s="447"/>
      <c r="AY903" s="447"/>
      <c r="AZ903" s="447"/>
      <c r="BA903" s="448" t="s">
        <v>51</v>
      </c>
      <c r="BB903" s="448" t="s">
        <v>51</v>
      </c>
      <c r="BC903" s="447"/>
      <c r="BD903" s="448" t="s">
        <v>781</v>
      </c>
      <c r="BE903" s="447">
        <v>354</v>
      </c>
    </row>
    <row r="904" spans="1:57" ht="30" customHeight="1">
      <c r="A904" s="443" t="str">
        <f>'2층전시실산출 '!B316</f>
        <v>그래픽패널</v>
      </c>
      <c r="B904" s="443" t="str">
        <f>'2층전시실산출 '!C316</f>
        <v>290x600</v>
      </c>
      <c r="C904" s="443" t="s">
        <v>321</v>
      </c>
      <c r="D904" s="1133">
        <v>8</v>
      </c>
      <c r="E904" s="445">
        <f>'2층전시실산출 '!H316</f>
        <v>8</v>
      </c>
      <c r="F904" s="1147">
        <v>4800</v>
      </c>
      <c r="G904" s="1147">
        <v>38400</v>
      </c>
      <c r="H904" s="450">
        <f>단가대비표!O261</f>
        <v>4800</v>
      </c>
      <c r="I904" s="450">
        <f t="shared" si="106"/>
        <v>38400</v>
      </c>
      <c r="J904" s="1147">
        <v>0</v>
      </c>
      <c r="K904" s="1147">
        <v>0</v>
      </c>
      <c r="L904" s="450">
        <f>TRUNC(단가대비표!P261,0)</f>
        <v>0</v>
      </c>
      <c r="M904" s="450">
        <f t="shared" si="107"/>
        <v>0</v>
      </c>
      <c r="N904" s="1147">
        <v>0</v>
      </c>
      <c r="O904" s="1147">
        <v>0</v>
      </c>
      <c r="P904" s="450">
        <f>TRUNC(단가대비표!V261,0)</f>
        <v>0</v>
      </c>
      <c r="Q904" s="450">
        <f t="shared" si="108"/>
        <v>0</v>
      </c>
      <c r="R904" s="1147">
        <v>4800</v>
      </c>
      <c r="S904" s="1147">
        <v>38400</v>
      </c>
      <c r="T904" s="450">
        <f t="shared" si="99"/>
        <v>4800</v>
      </c>
      <c r="U904" s="450">
        <f t="shared" si="100"/>
        <v>38400</v>
      </c>
      <c r="V904" s="454" t="s">
        <v>51</v>
      </c>
      <c r="W904" s="448" t="s">
        <v>782</v>
      </c>
      <c r="X904" s="448" t="s">
        <v>51</v>
      </c>
      <c r="Y904" s="448" t="s">
        <v>51</v>
      </c>
      <c r="Z904" s="448" t="s">
        <v>756</v>
      </c>
      <c r="AA904" s="448" t="s">
        <v>62</v>
      </c>
      <c r="AB904" s="448" t="s">
        <v>62</v>
      </c>
      <c r="AC904" s="448" t="s">
        <v>61</v>
      </c>
      <c r="AD904" s="447"/>
      <c r="AE904" s="447"/>
      <c r="AF904" s="447"/>
      <c r="AG904" s="447"/>
      <c r="AH904" s="447"/>
      <c r="AI904" s="447"/>
      <c r="AJ904" s="447"/>
      <c r="AK904" s="447"/>
      <c r="AL904" s="447"/>
      <c r="AM904" s="447"/>
      <c r="AN904" s="447"/>
      <c r="AO904" s="447"/>
      <c r="AP904" s="447"/>
      <c r="AQ904" s="447"/>
      <c r="AR904" s="447"/>
      <c r="AS904" s="447"/>
      <c r="AT904" s="447"/>
      <c r="AU904" s="447"/>
      <c r="AV904" s="447"/>
      <c r="AW904" s="447"/>
      <c r="AX904" s="447"/>
      <c r="AY904" s="447"/>
      <c r="AZ904" s="447"/>
      <c r="BA904" s="448" t="s">
        <v>51</v>
      </c>
      <c r="BB904" s="448" t="s">
        <v>51</v>
      </c>
      <c r="BC904" s="447"/>
      <c r="BD904" s="448" t="s">
        <v>783</v>
      </c>
      <c r="BE904" s="447">
        <v>355</v>
      </c>
    </row>
    <row r="905" spans="1:57" ht="30" customHeight="1">
      <c r="A905" s="443" t="str">
        <f>'2층전시실산출 '!B317</f>
        <v>그래픽패널</v>
      </c>
      <c r="B905" s="443" t="str">
        <f>'2층전시실산출 '!C317</f>
        <v>350×250</v>
      </c>
      <c r="C905" s="443" t="s">
        <v>321</v>
      </c>
      <c r="D905" s="1133">
        <v>1</v>
      </c>
      <c r="E905" s="445">
        <f>'2층전시실산출 '!H317</f>
        <v>1</v>
      </c>
      <c r="F905" s="1147">
        <v>5500</v>
      </c>
      <c r="G905" s="1147">
        <v>5500</v>
      </c>
      <c r="H905" s="450">
        <f>단가대비표!O262</f>
        <v>5500</v>
      </c>
      <c r="I905" s="450">
        <f t="shared" si="106"/>
        <v>5500</v>
      </c>
      <c r="J905" s="1147">
        <v>0</v>
      </c>
      <c r="K905" s="1147">
        <v>0</v>
      </c>
      <c r="L905" s="450">
        <f>TRUNC(단가대비표!P262,0)</f>
        <v>0</v>
      </c>
      <c r="M905" s="450">
        <f t="shared" si="107"/>
        <v>0</v>
      </c>
      <c r="N905" s="1147">
        <v>0</v>
      </c>
      <c r="O905" s="1147">
        <v>0</v>
      </c>
      <c r="P905" s="450">
        <f>TRUNC(단가대비표!V262,0)</f>
        <v>0</v>
      </c>
      <c r="Q905" s="450">
        <f t="shared" si="108"/>
        <v>0</v>
      </c>
      <c r="R905" s="1147">
        <v>5500</v>
      </c>
      <c r="S905" s="1147">
        <v>5500</v>
      </c>
      <c r="T905" s="450">
        <f t="shared" si="99"/>
        <v>5500</v>
      </c>
      <c r="U905" s="450">
        <f t="shared" si="100"/>
        <v>5500</v>
      </c>
      <c r="V905" s="454" t="s">
        <v>51</v>
      </c>
      <c r="W905" s="448" t="s">
        <v>784</v>
      </c>
      <c r="X905" s="448" t="s">
        <v>51</v>
      </c>
      <c r="Y905" s="448" t="s">
        <v>51</v>
      </c>
      <c r="Z905" s="448" t="s">
        <v>756</v>
      </c>
      <c r="AA905" s="448" t="s">
        <v>62</v>
      </c>
      <c r="AB905" s="448" t="s">
        <v>62</v>
      </c>
      <c r="AC905" s="448" t="s">
        <v>61</v>
      </c>
      <c r="AD905" s="447"/>
      <c r="AE905" s="447"/>
      <c r="AF905" s="447"/>
      <c r="AG905" s="447"/>
      <c r="AH905" s="447"/>
      <c r="AI905" s="447"/>
      <c r="AJ905" s="447"/>
      <c r="AK905" s="447"/>
      <c r="AL905" s="447"/>
      <c r="AM905" s="447"/>
      <c r="AN905" s="447"/>
      <c r="AO905" s="447"/>
      <c r="AP905" s="447"/>
      <c r="AQ905" s="447"/>
      <c r="AR905" s="447"/>
      <c r="AS905" s="447"/>
      <c r="AT905" s="447"/>
      <c r="AU905" s="447"/>
      <c r="AV905" s="447"/>
      <c r="AW905" s="447"/>
      <c r="AX905" s="447"/>
      <c r="AY905" s="447"/>
      <c r="AZ905" s="447"/>
      <c r="BA905" s="448" t="s">
        <v>51</v>
      </c>
      <c r="BB905" s="448" t="s">
        <v>51</v>
      </c>
      <c r="BC905" s="447"/>
      <c r="BD905" s="448" t="s">
        <v>785</v>
      </c>
      <c r="BE905" s="447">
        <v>356</v>
      </c>
    </row>
    <row r="906" spans="1:57" ht="30" customHeight="1">
      <c r="A906" s="443" t="str">
        <f>'2층전시실산출 '!B318</f>
        <v>그래픽패널</v>
      </c>
      <c r="B906" s="443" t="str">
        <f>'2층전시실산출 '!C318</f>
        <v>370x270</v>
      </c>
      <c r="C906" s="443" t="s">
        <v>321</v>
      </c>
      <c r="D906" s="1133">
        <v>1</v>
      </c>
      <c r="E906" s="445">
        <f>'2층전시실산출 '!H318</f>
        <v>1</v>
      </c>
      <c r="F906" s="1147">
        <v>7000</v>
      </c>
      <c r="G906" s="1147">
        <v>7000</v>
      </c>
      <c r="H906" s="450">
        <f>단가대비표!O263</f>
        <v>7000</v>
      </c>
      <c r="I906" s="450">
        <f t="shared" si="106"/>
        <v>7000</v>
      </c>
      <c r="J906" s="1147">
        <v>0</v>
      </c>
      <c r="K906" s="1147">
        <v>0</v>
      </c>
      <c r="L906" s="450">
        <f>TRUNC(단가대비표!P263,0)</f>
        <v>0</v>
      </c>
      <c r="M906" s="450">
        <f t="shared" si="107"/>
        <v>0</v>
      </c>
      <c r="N906" s="1147">
        <v>0</v>
      </c>
      <c r="O906" s="1147">
        <v>0</v>
      </c>
      <c r="P906" s="450">
        <f>TRUNC(단가대비표!V263,0)</f>
        <v>0</v>
      </c>
      <c r="Q906" s="450">
        <f t="shared" si="108"/>
        <v>0</v>
      </c>
      <c r="R906" s="1147">
        <v>7000</v>
      </c>
      <c r="S906" s="1147">
        <v>7000</v>
      </c>
      <c r="T906" s="450">
        <f t="shared" si="99"/>
        <v>7000</v>
      </c>
      <c r="U906" s="450">
        <f t="shared" si="100"/>
        <v>7000</v>
      </c>
      <c r="V906" s="454" t="s">
        <v>51</v>
      </c>
      <c r="W906" s="448" t="s">
        <v>786</v>
      </c>
      <c r="X906" s="448" t="s">
        <v>51</v>
      </c>
      <c r="Y906" s="448" t="s">
        <v>51</v>
      </c>
      <c r="Z906" s="448" t="s">
        <v>756</v>
      </c>
      <c r="AA906" s="448" t="s">
        <v>62</v>
      </c>
      <c r="AB906" s="448" t="s">
        <v>62</v>
      </c>
      <c r="AC906" s="448" t="s">
        <v>61</v>
      </c>
      <c r="AD906" s="447"/>
      <c r="AE906" s="447"/>
      <c r="AF906" s="447"/>
      <c r="AG906" s="447"/>
      <c r="AH906" s="447"/>
      <c r="AI906" s="447"/>
      <c r="AJ906" s="447"/>
      <c r="AK906" s="447"/>
      <c r="AL906" s="447"/>
      <c r="AM906" s="447"/>
      <c r="AN906" s="447"/>
      <c r="AO906" s="447"/>
      <c r="AP906" s="447"/>
      <c r="AQ906" s="447"/>
      <c r="AR906" s="447"/>
      <c r="AS906" s="447"/>
      <c r="AT906" s="447"/>
      <c r="AU906" s="447"/>
      <c r="AV906" s="447"/>
      <c r="AW906" s="447"/>
      <c r="AX906" s="447"/>
      <c r="AY906" s="447"/>
      <c r="AZ906" s="447"/>
      <c r="BA906" s="448" t="s">
        <v>51</v>
      </c>
      <c r="BB906" s="448" t="s">
        <v>51</v>
      </c>
      <c r="BC906" s="447"/>
      <c r="BD906" s="448" t="s">
        <v>787</v>
      </c>
      <c r="BE906" s="447">
        <v>357</v>
      </c>
    </row>
    <row r="907" spans="1:57" ht="30" customHeight="1">
      <c r="A907" s="443" t="str">
        <f>'2층전시실산출 '!B319</f>
        <v>그래픽패널</v>
      </c>
      <c r="B907" s="443" t="str">
        <f>'2층전시실산출 '!C319</f>
        <v>370x750</v>
      </c>
      <c r="C907" s="443" t="s">
        <v>321</v>
      </c>
      <c r="D907" s="1133">
        <v>1</v>
      </c>
      <c r="E907" s="445">
        <f>'2층전시실산출 '!H319</f>
        <v>1</v>
      </c>
      <c r="F907" s="1147">
        <v>18600.000000000004</v>
      </c>
      <c r="G907" s="1147">
        <v>18600.000000000004</v>
      </c>
      <c r="H907" s="450">
        <f>단가대비표!O264</f>
        <v>18600.000000000004</v>
      </c>
      <c r="I907" s="450">
        <f t="shared" si="106"/>
        <v>18600.000000000004</v>
      </c>
      <c r="J907" s="1147">
        <v>0</v>
      </c>
      <c r="K907" s="1147">
        <v>0</v>
      </c>
      <c r="L907" s="450">
        <f>TRUNC(단가대비표!P264,0)</f>
        <v>0</v>
      </c>
      <c r="M907" s="450">
        <f t="shared" si="107"/>
        <v>0</v>
      </c>
      <c r="N907" s="1147">
        <v>0</v>
      </c>
      <c r="O907" s="1147">
        <v>0</v>
      </c>
      <c r="P907" s="450">
        <f>TRUNC(단가대비표!V264,0)</f>
        <v>0</v>
      </c>
      <c r="Q907" s="450">
        <f t="shared" si="108"/>
        <v>0</v>
      </c>
      <c r="R907" s="1147">
        <v>18600</v>
      </c>
      <c r="S907" s="1147">
        <v>18600</v>
      </c>
      <c r="T907" s="450">
        <f t="shared" si="99"/>
        <v>18600</v>
      </c>
      <c r="U907" s="450">
        <f t="shared" si="100"/>
        <v>18600</v>
      </c>
      <c r="V907" s="454" t="s">
        <v>51</v>
      </c>
      <c r="W907" s="448" t="s">
        <v>788</v>
      </c>
      <c r="X907" s="448" t="s">
        <v>51</v>
      </c>
      <c r="Y907" s="448" t="s">
        <v>51</v>
      </c>
      <c r="Z907" s="448" t="s">
        <v>756</v>
      </c>
      <c r="AA907" s="448" t="s">
        <v>62</v>
      </c>
      <c r="AB907" s="448" t="s">
        <v>62</v>
      </c>
      <c r="AC907" s="448" t="s">
        <v>61</v>
      </c>
      <c r="AD907" s="447"/>
      <c r="AE907" s="447"/>
      <c r="AF907" s="447"/>
      <c r="AG907" s="447"/>
      <c r="AH907" s="447"/>
      <c r="AI907" s="447"/>
      <c r="AJ907" s="447"/>
      <c r="AK907" s="447"/>
      <c r="AL907" s="447"/>
      <c r="AM907" s="447"/>
      <c r="AN907" s="447"/>
      <c r="AO907" s="447"/>
      <c r="AP907" s="447"/>
      <c r="AQ907" s="447"/>
      <c r="AR907" s="447"/>
      <c r="AS907" s="447"/>
      <c r="AT907" s="447"/>
      <c r="AU907" s="447"/>
      <c r="AV907" s="447"/>
      <c r="AW907" s="447"/>
      <c r="AX907" s="447"/>
      <c r="AY907" s="447"/>
      <c r="AZ907" s="447"/>
      <c r="BA907" s="448" t="s">
        <v>51</v>
      </c>
      <c r="BB907" s="448" t="s">
        <v>51</v>
      </c>
      <c r="BC907" s="447"/>
      <c r="BD907" s="448" t="s">
        <v>789</v>
      </c>
      <c r="BE907" s="447">
        <v>358</v>
      </c>
    </row>
    <row r="908" spans="1:57" ht="30" customHeight="1">
      <c r="A908" s="443" t="str">
        <f>'2층전시실산출 '!B320</f>
        <v>그래픽패널</v>
      </c>
      <c r="B908" s="443" t="str">
        <f>'2층전시실산출 '!C320</f>
        <v>430x450</v>
      </c>
      <c r="C908" s="443" t="s">
        <v>321</v>
      </c>
      <c r="D908" s="1133">
        <v>1</v>
      </c>
      <c r="E908" s="445">
        <f>'2층전시실산출 '!H320</f>
        <v>1</v>
      </c>
      <c r="F908" s="1147">
        <v>12000</v>
      </c>
      <c r="G908" s="1147">
        <v>12000</v>
      </c>
      <c r="H908" s="450">
        <f>단가대비표!O265</f>
        <v>12000</v>
      </c>
      <c r="I908" s="450">
        <f t="shared" si="106"/>
        <v>12000</v>
      </c>
      <c r="J908" s="1147">
        <v>0</v>
      </c>
      <c r="K908" s="1147">
        <v>0</v>
      </c>
      <c r="L908" s="450">
        <f>TRUNC(단가대비표!P265,0)</f>
        <v>0</v>
      </c>
      <c r="M908" s="450">
        <f t="shared" si="107"/>
        <v>0</v>
      </c>
      <c r="N908" s="1147">
        <v>0</v>
      </c>
      <c r="O908" s="1147">
        <v>0</v>
      </c>
      <c r="P908" s="450">
        <f>TRUNC(단가대비표!V265,0)</f>
        <v>0</v>
      </c>
      <c r="Q908" s="450">
        <f t="shared" si="108"/>
        <v>0</v>
      </c>
      <c r="R908" s="1147">
        <v>12000</v>
      </c>
      <c r="S908" s="1147">
        <v>12000</v>
      </c>
      <c r="T908" s="450">
        <f t="shared" si="99"/>
        <v>12000</v>
      </c>
      <c r="U908" s="450">
        <f t="shared" si="100"/>
        <v>12000</v>
      </c>
      <c r="V908" s="454" t="s">
        <v>51</v>
      </c>
      <c r="W908" s="448" t="s">
        <v>790</v>
      </c>
      <c r="X908" s="448" t="s">
        <v>51</v>
      </c>
      <c r="Y908" s="448" t="s">
        <v>51</v>
      </c>
      <c r="Z908" s="448" t="s">
        <v>756</v>
      </c>
      <c r="AA908" s="448" t="s">
        <v>62</v>
      </c>
      <c r="AB908" s="448" t="s">
        <v>62</v>
      </c>
      <c r="AC908" s="448" t="s">
        <v>61</v>
      </c>
      <c r="AD908" s="447"/>
      <c r="AE908" s="447"/>
      <c r="AF908" s="447"/>
      <c r="AG908" s="447"/>
      <c r="AH908" s="447"/>
      <c r="AI908" s="447"/>
      <c r="AJ908" s="447"/>
      <c r="AK908" s="447"/>
      <c r="AL908" s="447"/>
      <c r="AM908" s="447"/>
      <c r="AN908" s="447"/>
      <c r="AO908" s="447"/>
      <c r="AP908" s="447"/>
      <c r="AQ908" s="447"/>
      <c r="AR908" s="447"/>
      <c r="AS908" s="447"/>
      <c r="AT908" s="447"/>
      <c r="AU908" s="447"/>
      <c r="AV908" s="447"/>
      <c r="AW908" s="447"/>
      <c r="AX908" s="447"/>
      <c r="AY908" s="447"/>
      <c r="AZ908" s="447"/>
      <c r="BA908" s="448" t="s">
        <v>51</v>
      </c>
      <c r="BB908" s="448" t="s">
        <v>51</v>
      </c>
      <c r="BC908" s="447"/>
      <c r="BD908" s="448" t="s">
        <v>791</v>
      </c>
      <c r="BE908" s="447">
        <v>359</v>
      </c>
    </row>
    <row r="909" spans="1:57" ht="30" customHeight="1">
      <c r="A909" s="443" t="str">
        <f>'2층전시실산출 '!B321</f>
        <v>그래픽패널</v>
      </c>
      <c r="B909" s="443" t="str">
        <f>'2층전시실산출 '!C321</f>
        <v>430x650</v>
      </c>
      <c r="C909" s="443" t="s">
        <v>321</v>
      </c>
      <c r="D909" s="1133">
        <v>7</v>
      </c>
      <c r="E909" s="445">
        <f>'2층전시실산출 '!H321</f>
        <v>7</v>
      </c>
      <c r="F909" s="1147">
        <v>17300</v>
      </c>
      <c r="G909" s="1147">
        <v>121100</v>
      </c>
      <c r="H909" s="450">
        <f>단가대비표!O266</f>
        <v>17300</v>
      </c>
      <c r="I909" s="450">
        <f t="shared" si="106"/>
        <v>121100</v>
      </c>
      <c r="J909" s="1147">
        <v>0</v>
      </c>
      <c r="K909" s="1147">
        <v>0</v>
      </c>
      <c r="L909" s="450">
        <f>TRUNC(단가대비표!P266,0)</f>
        <v>0</v>
      </c>
      <c r="M909" s="450">
        <f t="shared" si="107"/>
        <v>0</v>
      </c>
      <c r="N909" s="1147">
        <v>0</v>
      </c>
      <c r="O909" s="1147">
        <v>0</v>
      </c>
      <c r="P909" s="450">
        <f>TRUNC(단가대비표!V266,0)</f>
        <v>0</v>
      </c>
      <c r="Q909" s="450">
        <f t="shared" si="108"/>
        <v>0</v>
      </c>
      <c r="R909" s="1147">
        <v>17300</v>
      </c>
      <c r="S909" s="1147">
        <v>121100</v>
      </c>
      <c r="T909" s="450">
        <f t="shared" si="99"/>
        <v>17300</v>
      </c>
      <c r="U909" s="450">
        <f t="shared" si="100"/>
        <v>121100</v>
      </c>
      <c r="V909" s="454" t="s">
        <v>51</v>
      </c>
      <c r="W909" s="448" t="s">
        <v>792</v>
      </c>
      <c r="X909" s="448" t="s">
        <v>51</v>
      </c>
      <c r="Y909" s="448" t="s">
        <v>51</v>
      </c>
      <c r="Z909" s="448" t="s">
        <v>756</v>
      </c>
      <c r="AA909" s="448" t="s">
        <v>62</v>
      </c>
      <c r="AB909" s="448" t="s">
        <v>62</v>
      </c>
      <c r="AC909" s="448" t="s">
        <v>61</v>
      </c>
      <c r="AD909" s="447"/>
      <c r="AE909" s="447"/>
      <c r="AF909" s="447"/>
      <c r="AG909" s="447"/>
      <c r="AH909" s="447"/>
      <c r="AI909" s="447"/>
      <c r="AJ909" s="447"/>
      <c r="AK909" s="447"/>
      <c r="AL909" s="447"/>
      <c r="AM909" s="447"/>
      <c r="AN909" s="447"/>
      <c r="AO909" s="447"/>
      <c r="AP909" s="447"/>
      <c r="AQ909" s="447"/>
      <c r="AR909" s="447"/>
      <c r="AS909" s="447"/>
      <c r="AT909" s="447"/>
      <c r="AU909" s="447"/>
      <c r="AV909" s="447"/>
      <c r="AW909" s="447"/>
      <c r="AX909" s="447"/>
      <c r="AY909" s="447"/>
      <c r="AZ909" s="447"/>
      <c r="BA909" s="448" t="s">
        <v>51</v>
      </c>
      <c r="BB909" s="448" t="s">
        <v>51</v>
      </c>
      <c r="BC909" s="447"/>
      <c r="BD909" s="448" t="s">
        <v>793</v>
      </c>
      <c r="BE909" s="447">
        <v>360</v>
      </c>
    </row>
    <row r="910" spans="1:57" ht="30" customHeight="1">
      <c r="A910" s="443" t="str">
        <f>'2층전시실산출 '!B322</f>
        <v>그래픽패널</v>
      </c>
      <c r="B910" s="443" t="str">
        <f>'2층전시실산출 '!C322</f>
        <v>490x300</v>
      </c>
      <c r="C910" s="443" t="s">
        <v>321</v>
      </c>
      <c r="D910" s="1133">
        <v>3</v>
      </c>
      <c r="E910" s="445">
        <f>'2층전시실산출 '!H322</f>
        <v>3</v>
      </c>
      <c r="F910" s="1147">
        <v>9300</v>
      </c>
      <c r="G910" s="1147">
        <v>27900</v>
      </c>
      <c r="H910" s="450">
        <f>단가대비표!O267</f>
        <v>9300</v>
      </c>
      <c r="I910" s="450">
        <f t="shared" si="106"/>
        <v>27900</v>
      </c>
      <c r="J910" s="1147">
        <v>0</v>
      </c>
      <c r="K910" s="1147">
        <v>0</v>
      </c>
      <c r="L910" s="450">
        <f>TRUNC(단가대비표!P267,0)</f>
        <v>0</v>
      </c>
      <c r="M910" s="450">
        <f t="shared" si="107"/>
        <v>0</v>
      </c>
      <c r="N910" s="1147">
        <v>0</v>
      </c>
      <c r="O910" s="1147">
        <v>0</v>
      </c>
      <c r="P910" s="450">
        <f>TRUNC(단가대비표!V267,0)</f>
        <v>0</v>
      </c>
      <c r="Q910" s="450">
        <f t="shared" si="108"/>
        <v>0</v>
      </c>
      <c r="R910" s="1147">
        <v>9300</v>
      </c>
      <c r="S910" s="1147">
        <v>27900</v>
      </c>
      <c r="T910" s="450">
        <f t="shared" si="99"/>
        <v>9300</v>
      </c>
      <c r="U910" s="450">
        <f t="shared" si="100"/>
        <v>27900</v>
      </c>
      <c r="V910" s="454" t="s">
        <v>51</v>
      </c>
      <c r="W910" s="448" t="s">
        <v>794</v>
      </c>
      <c r="X910" s="448" t="s">
        <v>51</v>
      </c>
      <c r="Y910" s="448" t="s">
        <v>51</v>
      </c>
      <c r="Z910" s="448" t="s">
        <v>756</v>
      </c>
      <c r="AA910" s="448" t="s">
        <v>62</v>
      </c>
      <c r="AB910" s="448" t="s">
        <v>62</v>
      </c>
      <c r="AC910" s="448" t="s">
        <v>61</v>
      </c>
      <c r="AD910" s="447"/>
      <c r="AE910" s="447"/>
      <c r="AF910" s="447"/>
      <c r="AG910" s="447"/>
      <c r="AH910" s="447"/>
      <c r="AI910" s="447"/>
      <c r="AJ910" s="447"/>
      <c r="AK910" s="447"/>
      <c r="AL910" s="447"/>
      <c r="AM910" s="447"/>
      <c r="AN910" s="447"/>
      <c r="AO910" s="447"/>
      <c r="AP910" s="447"/>
      <c r="AQ910" s="447"/>
      <c r="AR910" s="447"/>
      <c r="AS910" s="447"/>
      <c r="AT910" s="447"/>
      <c r="AU910" s="447"/>
      <c r="AV910" s="447"/>
      <c r="AW910" s="447"/>
      <c r="AX910" s="447"/>
      <c r="AY910" s="447"/>
      <c r="AZ910" s="447"/>
      <c r="BA910" s="448" t="s">
        <v>51</v>
      </c>
      <c r="BB910" s="448" t="s">
        <v>51</v>
      </c>
      <c r="BC910" s="447"/>
      <c r="BD910" s="448" t="s">
        <v>795</v>
      </c>
      <c r="BE910" s="447">
        <v>361</v>
      </c>
    </row>
    <row r="911" spans="1:57" ht="30" customHeight="1">
      <c r="A911" s="443" t="str">
        <f>'2층전시실산출 '!B323</f>
        <v>그래픽패널</v>
      </c>
      <c r="B911" s="443" t="str">
        <f>'2층전시실산출 '!C323</f>
        <v>500x600</v>
      </c>
      <c r="C911" s="443" t="s">
        <v>321</v>
      </c>
      <c r="D911" s="1133">
        <v>6</v>
      </c>
      <c r="E911" s="445">
        <f>'2층전시실산출 '!H323</f>
        <v>6</v>
      </c>
      <c r="F911" s="1147">
        <v>18600</v>
      </c>
      <c r="G911" s="1147">
        <v>111600</v>
      </c>
      <c r="H911" s="450">
        <f>단가대비표!O268</f>
        <v>18600</v>
      </c>
      <c r="I911" s="450">
        <f t="shared" si="106"/>
        <v>111600</v>
      </c>
      <c r="J911" s="1147">
        <v>0</v>
      </c>
      <c r="K911" s="1147">
        <v>0</v>
      </c>
      <c r="L911" s="450">
        <f>TRUNC(단가대비표!P268,0)</f>
        <v>0</v>
      </c>
      <c r="M911" s="450">
        <f t="shared" si="107"/>
        <v>0</v>
      </c>
      <c r="N911" s="1147">
        <v>0</v>
      </c>
      <c r="O911" s="1147">
        <v>0</v>
      </c>
      <c r="P911" s="450">
        <f>TRUNC(단가대비표!V268,0)</f>
        <v>0</v>
      </c>
      <c r="Q911" s="450">
        <f t="shared" si="108"/>
        <v>0</v>
      </c>
      <c r="R911" s="1147">
        <v>18600</v>
      </c>
      <c r="S911" s="1147">
        <v>111600</v>
      </c>
      <c r="T911" s="450">
        <f t="shared" si="99"/>
        <v>18600</v>
      </c>
      <c r="U911" s="450">
        <f t="shared" si="100"/>
        <v>111600</v>
      </c>
      <c r="V911" s="454" t="s">
        <v>51</v>
      </c>
      <c r="W911" s="448" t="s">
        <v>796</v>
      </c>
      <c r="X911" s="448" t="s">
        <v>51</v>
      </c>
      <c r="Y911" s="448" t="s">
        <v>51</v>
      </c>
      <c r="Z911" s="448" t="s">
        <v>756</v>
      </c>
      <c r="AA911" s="448" t="s">
        <v>62</v>
      </c>
      <c r="AB911" s="448" t="s">
        <v>62</v>
      </c>
      <c r="AC911" s="448" t="s">
        <v>61</v>
      </c>
      <c r="AD911" s="447"/>
      <c r="AE911" s="447"/>
      <c r="AF911" s="447"/>
      <c r="AG911" s="447"/>
      <c r="AH911" s="447"/>
      <c r="AI911" s="447"/>
      <c r="AJ911" s="447"/>
      <c r="AK911" s="447"/>
      <c r="AL911" s="447"/>
      <c r="AM911" s="447"/>
      <c r="AN911" s="447"/>
      <c r="AO911" s="447"/>
      <c r="AP911" s="447"/>
      <c r="AQ911" s="447"/>
      <c r="AR911" s="447"/>
      <c r="AS911" s="447"/>
      <c r="AT911" s="447"/>
      <c r="AU911" s="447"/>
      <c r="AV911" s="447"/>
      <c r="AW911" s="447"/>
      <c r="AX911" s="447"/>
      <c r="AY911" s="447"/>
      <c r="AZ911" s="447"/>
      <c r="BA911" s="448" t="s">
        <v>51</v>
      </c>
      <c r="BB911" s="448" t="s">
        <v>51</v>
      </c>
      <c r="BC911" s="447"/>
      <c r="BD911" s="448" t="s">
        <v>797</v>
      </c>
      <c r="BE911" s="447">
        <v>362</v>
      </c>
    </row>
    <row r="912" spans="1:57" ht="30" customHeight="1">
      <c r="A912" s="443" t="str">
        <f>'2층전시실산출 '!B324</f>
        <v>그래픽패널</v>
      </c>
      <c r="B912" s="443" t="str">
        <f>'2층전시실산출 '!C324</f>
        <v>600×250</v>
      </c>
      <c r="C912" s="443" t="s">
        <v>321</v>
      </c>
      <c r="D912" s="1133">
        <v>1</v>
      </c>
      <c r="E912" s="445">
        <f>'2층전시실산출 '!H324</f>
        <v>1</v>
      </c>
      <c r="F912" s="1147">
        <v>9300</v>
      </c>
      <c r="G912" s="1147">
        <v>9300</v>
      </c>
      <c r="H912" s="450">
        <f>단가대비표!O269</f>
        <v>9300</v>
      </c>
      <c r="I912" s="450">
        <f t="shared" si="106"/>
        <v>9300</v>
      </c>
      <c r="J912" s="1147">
        <v>0</v>
      </c>
      <c r="K912" s="1147">
        <v>0</v>
      </c>
      <c r="L912" s="450">
        <f>TRUNC(단가대비표!P269,0)</f>
        <v>0</v>
      </c>
      <c r="M912" s="450">
        <f t="shared" si="107"/>
        <v>0</v>
      </c>
      <c r="N912" s="1147">
        <v>0</v>
      </c>
      <c r="O912" s="1147">
        <v>0</v>
      </c>
      <c r="P912" s="450">
        <f>TRUNC(단가대비표!V269,0)</f>
        <v>0</v>
      </c>
      <c r="Q912" s="450">
        <f t="shared" si="108"/>
        <v>0</v>
      </c>
      <c r="R912" s="1147">
        <v>9300</v>
      </c>
      <c r="S912" s="1147">
        <v>9300</v>
      </c>
      <c r="T912" s="450">
        <f t="shared" si="99"/>
        <v>9300</v>
      </c>
      <c r="U912" s="450">
        <f t="shared" si="100"/>
        <v>9300</v>
      </c>
      <c r="V912" s="454" t="s">
        <v>51</v>
      </c>
      <c r="W912" s="448" t="s">
        <v>798</v>
      </c>
      <c r="X912" s="448" t="s">
        <v>51</v>
      </c>
      <c r="Y912" s="448" t="s">
        <v>51</v>
      </c>
      <c r="Z912" s="448" t="s">
        <v>756</v>
      </c>
      <c r="AA912" s="448" t="s">
        <v>62</v>
      </c>
      <c r="AB912" s="448" t="s">
        <v>62</v>
      </c>
      <c r="AC912" s="448" t="s">
        <v>61</v>
      </c>
      <c r="AD912" s="447"/>
      <c r="AE912" s="447"/>
      <c r="AF912" s="447"/>
      <c r="AG912" s="447"/>
      <c r="AH912" s="447"/>
      <c r="AI912" s="447"/>
      <c r="AJ912" s="447"/>
      <c r="AK912" s="447"/>
      <c r="AL912" s="447"/>
      <c r="AM912" s="447"/>
      <c r="AN912" s="447"/>
      <c r="AO912" s="447"/>
      <c r="AP912" s="447"/>
      <c r="AQ912" s="447"/>
      <c r="AR912" s="447"/>
      <c r="AS912" s="447"/>
      <c r="AT912" s="447"/>
      <c r="AU912" s="447"/>
      <c r="AV912" s="447"/>
      <c r="AW912" s="447"/>
      <c r="AX912" s="447"/>
      <c r="AY912" s="447"/>
      <c r="AZ912" s="447"/>
      <c r="BA912" s="448" t="s">
        <v>51</v>
      </c>
      <c r="BB912" s="448" t="s">
        <v>51</v>
      </c>
      <c r="BC912" s="447"/>
      <c r="BD912" s="448" t="s">
        <v>799</v>
      </c>
      <c r="BE912" s="447">
        <v>363</v>
      </c>
    </row>
    <row r="913" spans="1:57" ht="30" customHeight="1">
      <c r="A913" s="443" t="str">
        <f>'2층전시실산출 '!B325</f>
        <v>그래픽패널</v>
      </c>
      <c r="B913" s="443" t="str">
        <f>'2층전시실산출 '!C325</f>
        <v>600×600</v>
      </c>
      <c r="C913" s="443" t="s">
        <v>321</v>
      </c>
      <c r="D913" s="1133">
        <v>2</v>
      </c>
      <c r="E913" s="445">
        <f>'2층전시실산출 '!H325</f>
        <v>2</v>
      </c>
      <c r="F913" s="1147">
        <v>22300</v>
      </c>
      <c r="G913" s="1147">
        <v>44600</v>
      </c>
      <c r="H913" s="450">
        <f>단가대비표!O270</f>
        <v>22300</v>
      </c>
      <c r="I913" s="450">
        <f t="shared" si="106"/>
        <v>44600</v>
      </c>
      <c r="J913" s="1147">
        <v>0</v>
      </c>
      <c r="K913" s="1147">
        <v>0</v>
      </c>
      <c r="L913" s="450">
        <f>TRUNC(단가대비표!P270,0)</f>
        <v>0</v>
      </c>
      <c r="M913" s="450">
        <f t="shared" si="107"/>
        <v>0</v>
      </c>
      <c r="N913" s="1147">
        <v>0</v>
      </c>
      <c r="O913" s="1147">
        <v>0</v>
      </c>
      <c r="P913" s="450">
        <f>TRUNC(단가대비표!V270,0)</f>
        <v>0</v>
      </c>
      <c r="Q913" s="450">
        <f t="shared" si="108"/>
        <v>0</v>
      </c>
      <c r="R913" s="1147">
        <v>22300</v>
      </c>
      <c r="S913" s="1147">
        <v>44600</v>
      </c>
      <c r="T913" s="450">
        <f t="shared" si="99"/>
        <v>22300</v>
      </c>
      <c r="U913" s="450">
        <f t="shared" si="100"/>
        <v>44600</v>
      </c>
      <c r="V913" s="454" t="s">
        <v>51</v>
      </c>
      <c r="W913" s="448" t="s">
        <v>800</v>
      </c>
      <c r="X913" s="448" t="s">
        <v>51</v>
      </c>
      <c r="Y913" s="448" t="s">
        <v>51</v>
      </c>
      <c r="Z913" s="448" t="s">
        <v>756</v>
      </c>
      <c r="AA913" s="448" t="s">
        <v>62</v>
      </c>
      <c r="AB913" s="448" t="s">
        <v>62</v>
      </c>
      <c r="AC913" s="448" t="s">
        <v>61</v>
      </c>
      <c r="AD913" s="447"/>
      <c r="AE913" s="447"/>
      <c r="AF913" s="447"/>
      <c r="AG913" s="447"/>
      <c r="AH913" s="447"/>
      <c r="AI913" s="447"/>
      <c r="AJ913" s="447"/>
      <c r="AK913" s="447"/>
      <c r="AL913" s="447"/>
      <c r="AM913" s="447"/>
      <c r="AN913" s="447"/>
      <c r="AO913" s="447"/>
      <c r="AP913" s="447"/>
      <c r="AQ913" s="447"/>
      <c r="AR913" s="447"/>
      <c r="AS913" s="447"/>
      <c r="AT913" s="447"/>
      <c r="AU913" s="447"/>
      <c r="AV913" s="447"/>
      <c r="AW913" s="447"/>
      <c r="AX913" s="447"/>
      <c r="AY913" s="447"/>
      <c r="AZ913" s="447"/>
      <c r="BA913" s="448" t="s">
        <v>51</v>
      </c>
      <c r="BB913" s="448" t="s">
        <v>51</v>
      </c>
      <c r="BC913" s="447"/>
      <c r="BD913" s="448" t="s">
        <v>801</v>
      </c>
      <c r="BE913" s="447">
        <v>364</v>
      </c>
    </row>
    <row r="914" spans="1:57" ht="30" customHeight="1">
      <c r="A914" s="443" t="str">
        <f>'2층전시실산출 '!B326</f>
        <v>그래픽패널</v>
      </c>
      <c r="B914" s="443" t="str">
        <f>'2층전시실산출 '!C326</f>
        <v>600×900</v>
      </c>
      <c r="C914" s="443" t="s">
        <v>321</v>
      </c>
      <c r="D914" s="1133">
        <v>2</v>
      </c>
      <c r="E914" s="445">
        <f>'2층전시실산출 '!H326</f>
        <v>2</v>
      </c>
      <c r="F914" s="1147">
        <v>33500</v>
      </c>
      <c r="G914" s="1147">
        <v>67000</v>
      </c>
      <c r="H914" s="450">
        <f>단가대비표!O271</f>
        <v>33500</v>
      </c>
      <c r="I914" s="450">
        <f t="shared" si="106"/>
        <v>67000</v>
      </c>
      <c r="J914" s="1147">
        <v>0</v>
      </c>
      <c r="K914" s="1147">
        <v>0</v>
      </c>
      <c r="L914" s="450">
        <f>TRUNC(단가대비표!P271,0)</f>
        <v>0</v>
      </c>
      <c r="M914" s="450">
        <f t="shared" si="107"/>
        <v>0</v>
      </c>
      <c r="N914" s="1147">
        <v>0</v>
      </c>
      <c r="O914" s="1147">
        <v>0</v>
      </c>
      <c r="P914" s="450">
        <f>TRUNC(단가대비표!V271,0)</f>
        <v>0</v>
      </c>
      <c r="Q914" s="450">
        <f t="shared" si="108"/>
        <v>0</v>
      </c>
      <c r="R914" s="1147">
        <v>33500</v>
      </c>
      <c r="S914" s="1147">
        <v>67000</v>
      </c>
      <c r="T914" s="450">
        <f t="shared" si="99"/>
        <v>33500</v>
      </c>
      <c r="U914" s="450">
        <f t="shared" si="100"/>
        <v>67000</v>
      </c>
      <c r="V914" s="454" t="s">
        <v>51</v>
      </c>
      <c r="W914" s="448" t="s">
        <v>802</v>
      </c>
      <c r="X914" s="448" t="s">
        <v>51</v>
      </c>
      <c r="Y914" s="448" t="s">
        <v>51</v>
      </c>
      <c r="Z914" s="448" t="s">
        <v>756</v>
      </c>
      <c r="AA914" s="448" t="s">
        <v>62</v>
      </c>
      <c r="AB914" s="448" t="s">
        <v>62</v>
      </c>
      <c r="AC914" s="448" t="s">
        <v>61</v>
      </c>
      <c r="AD914" s="447"/>
      <c r="AE914" s="447"/>
      <c r="AF914" s="447"/>
      <c r="AG914" s="447"/>
      <c r="AH914" s="447"/>
      <c r="AI914" s="447"/>
      <c r="AJ914" s="447"/>
      <c r="AK914" s="447"/>
      <c r="AL914" s="447"/>
      <c r="AM914" s="447"/>
      <c r="AN914" s="447"/>
      <c r="AO914" s="447"/>
      <c r="AP914" s="447"/>
      <c r="AQ914" s="447"/>
      <c r="AR914" s="447"/>
      <c r="AS914" s="447"/>
      <c r="AT914" s="447"/>
      <c r="AU914" s="447"/>
      <c r="AV914" s="447"/>
      <c r="AW914" s="447"/>
      <c r="AX914" s="447"/>
      <c r="AY914" s="447"/>
      <c r="AZ914" s="447"/>
      <c r="BA914" s="448" t="s">
        <v>51</v>
      </c>
      <c r="BB914" s="448" t="s">
        <v>51</v>
      </c>
      <c r="BC914" s="447"/>
      <c r="BD914" s="448" t="s">
        <v>803</v>
      </c>
      <c r="BE914" s="447">
        <v>365</v>
      </c>
    </row>
    <row r="915" spans="1:57" ht="30" customHeight="1">
      <c r="A915" s="443" t="str">
        <f>'2층전시실산출 '!B327</f>
        <v>그래픽패널</v>
      </c>
      <c r="B915" s="443" t="str">
        <f>'2층전시실산출 '!C327</f>
        <v>600×1200</v>
      </c>
      <c r="C915" s="443" t="s">
        <v>321</v>
      </c>
      <c r="D915" s="1133">
        <v>5</v>
      </c>
      <c r="E915" s="445">
        <f>'2층전시실산출 '!H327</f>
        <v>5</v>
      </c>
      <c r="F915" s="1147">
        <v>44600</v>
      </c>
      <c r="G915" s="1147">
        <v>223000</v>
      </c>
      <c r="H915" s="450">
        <f>단가대비표!O272</f>
        <v>44600</v>
      </c>
      <c r="I915" s="450">
        <f t="shared" si="106"/>
        <v>223000</v>
      </c>
      <c r="J915" s="1147">
        <v>0</v>
      </c>
      <c r="K915" s="1147">
        <v>0</v>
      </c>
      <c r="L915" s="450">
        <f>TRUNC(단가대비표!P272,0)</f>
        <v>0</v>
      </c>
      <c r="M915" s="450">
        <f t="shared" si="107"/>
        <v>0</v>
      </c>
      <c r="N915" s="1147">
        <v>0</v>
      </c>
      <c r="O915" s="1147">
        <v>0</v>
      </c>
      <c r="P915" s="450">
        <f>TRUNC(단가대비표!V272,0)</f>
        <v>0</v>
      </c>
      <c r="Q915" s="450">
        <f t="shared" si="108"/>
        <v>0</v>
      </c>
      <c r="R915" s="1147">
        <v>44600</v>
      </c>
      <c r="S915" s="1147">
        <v>223000</v>
      </c>
      <c r="T915" s="450">
        <f t="shared" si="99"/>
        <v>44600</v>
      </c>
      <c r="U915" s="450">
        <f t="shared" si="100"/>
        <v>223000</v>
      </c>
      <c r="V915" s="454" t="s">
        <v>51</v>
      </c>
      <c r="W915" s="448" t="s">
        <v>804</v>
      </c>
      <c r="X915" s="448" t="s">
        <v>51</v>
      </c>
      <c r="Y915" s="448" t="s">
        <v>51</v>
      </c>
      <c r="Z915" s="448" t="s">
        <v>756</v>
      </c>
      <c r="AA915" s="448" t="s">
        <v>62</v>
      </c>
      <c r="AB915" s="448" t="s">
        <v>62</v>
      </c>
      <c r="AC915" s="448" t="s">
        <v>61</v>
      </c>
      <c r="AD915" s="447"/>
      <c r="AE915" s="447"/>
      <c r="AF915" s="447"/>
      <c r="AG915" s="447"/>
      <c r="AH915" s="447"/>
      <c r="AI915" s="447"/>
      <c r="AJ915" s="447"/>
      <c r="AK915" s="447"/>
      <c r="AL915" s="447"/>
      <c r="AM915" s="447"/>
      <c r="AN915" s="447"/>
      <c r="AO915" s="447"/>
      <c r="AP915" s="447"/>
      <c r="AQ915" s="447"/>
      <c r="AR915" s="447"/>
      <c r="AS915" s="447"/>
      <c r="AT915" s="447"/>
      <c r="AU915" s="447"/>
      <c r="AV915" s="447"/>
      <c r="AW915" s="447"/>
      <c r="AX915" s="447"/>
      <c r="AY915" s="447"/>
      <c r="AZ915" s="447"/>
      <c r="BA915" s="448" t="s">
        <v>51</v>
      </c>
      <c r="BB915" s="448" t="s">
        <v>51</v>
      </c>
      <c r="BC915" s="447"/>
      <c r="BD915" s="448" t="s">
        <v>805</v>
      </c>
      <c r="BE915" s="447">
        <v>366</v>
      </c>
    </row>
    <row r="916" spans="1:57" ht="30" customHeight="1">
      <c r="A916" s="443" t="str">
        <f>'2층전시실산출 '!B328</f>
        <v>그래픽패널</v>
      </c>
      <c r="B916" s="443" t="str">
        <f>'2층전시실산출 '!C328</f>
        <v>700×1050</v>
      </c>
      <c r="C916" s="443" t="s">
        <v>321</v>
      </c>
      <c r="D916" s="1133">
        <v>1</v>
      </c>
      <c r="E916" s="445">
        <f>'2층전시실산출 '!H328</f>
        <v>1</v>
      </c>
      <c r="F916" s="1147">
        <v>47700</v>
      </c>
      <c r="G916" s="1147">
        <v>47700</v>
      </c>
      <c r="H916" s="450">
        <f>단가대비표!O273</f>
        <v>47700</v>
      </c>
      <c r="I916" s="450">
        <f t="shared" si="106"/>
        <v>47700</v>
      </c>
      <c r="J916" s="1147">
        <v>0</v>
      </c>
      <c r="K916" s="1147">
        <v>0</v>
      </c>
      <c r="L916" s="450">
        <f>TRUNC(단가대비표!P273,0)</f>
        <v>0</v>
      </c>
      <c r="M916" s="450">
        <f t="shared" si="107"/>
        <v>0</v>
      </c>
      <c r="N916" s="1147">
        <v>0</v>
      </c>
      <c r="O916" s="1147">
        <v>0</v>
      </c>
      <c r="P916" s="450">
        <f>TRUNC(단가대비표!V273,0)</f>
        <v>0</v>
      </c>
      <c r="Q916" s="450">
        <f t="shared" si="108"/>
        <v>0</v>
      </c>
      <c r="R916" s="1147">
        <v>47700</v>
      </c>
      <c r="S916" s="1147">
        <v>47700</v>
      </c>
      <c r="T916" s="450">
        <f t="shared" si="99"/>
        <v>47700</v>
      </c>
      <c r="U916" s="450">
        <f t="shared" si="100"/>
        <v>47700</v>
      </c>
      <c r="V916" s="454" t="s">
        <v>51</v>
      </c>
      <c r="W916" s="448" t="s">
        <v>806</v>
      </c>
      <c r="X916" s="448" t="s">
        <v>51</v>
      </c>
      <c r="Y916" s="448" t="s">
        <v>51</v>
      </c>
      <c r="Z916" s="448" t="s">
        <v>756</v>
      </c>
      <c r="AA916" s="448" t="s">
        <v>62</v>
      </c>
      <c r="AB916" s="448" t="s">
        <v>62</v>
      </c>
      <c r="AC916" s="448" t="s">
        <v>61</v>
      </c>
      <c r="AD916" s="447"/>
      <c r="AE916" s="447"/>
      <c r="AF916" s="447"/>
      <c r="AG916" s="447"/>
      <c r="AH916" s="447"/>
      <c r="AI916" s="447"/>
      <c r="AJ916" s="447"/>
      <c r="AK916" s="447"/>
      <c r="AL916" s="447"/>
      <c r="AM916" s="447"/>
      <c r="AN916" s="447"/>
      <c r="AO916" s="447"/>
      <c r="AP916" s="447"/>
      <c r="AQ916" s="447"/>
      <c r="AR916" s="447"/>
      <c r="AS916" s="447"/>
      <c r="AT916" s="447"/>
      <c r="AU916" s="447"/>
      <c r="AV916" s="447"/>
      <c r="AW916" s="447"/>
      <c r="AX916" s="447"/>
      <c r="AY916" s="447"/>
      <c r="AZ916" s="447"/>
      <c r="BA916" s="448" t="s">
        <v>51</v>
      </c>
      <c r="BB916" s="448" t="s">
        <v>51</v>
      </c>
      <c r="BC916" s="447"/>
      <c r="BD916" s="448" t="s">
        <v>807</v>
      </c>
      <c r="BE916" s="447">
        <v>367</v>
      </c>
    </row>
    <row r="917" spans="1:57" ht="30" customHeight="1">
      <c r="A917" s="443" t="str">
        <f>'2층전시실산출 '!B329</f>
        <v>그래픽패널</v>
      </c>
      <c r="B917" s="443" t="str">
        <f>'2층전시실산출 '!C329</f>
        <v>800×600</v>
      </c>
      <c r="C917" s="443" t="s">
        <v>321</v>
      </c>
      <c r="D917" s="1133">
        <v>1</v>
      </c>
      <c r="E917" s="445">
        <f>'2층전시실산출 '!H329</f>
        <v>1</v>
      </c>
      <c r="F917" s="1147">
        <v>29700</v>
      </c>
      <c r="G917" s="1147">
        <v>29700</v>
      </c>
      <c r="H917" s="450">
        <f>단가대비표!O274</f>
        <v>29700</v>
      </c>
      <c r="I917" s="450">
        <f t="shared" si="106"/>
        <v>29700</v>
      </c>
      <c r="J917" s="1147">
        <v>0</v>
      </c>
      <c r="K917" s="1147">
        <v>0</v>
      </c>
      <c r="L917" s="450">
        <f>TRUNC(단가대비표!P274,0)</f>
        <v>0</v>
      </c>
      <c r="M917" s="450">
        <f t="shared" si="107"/>
        <v>0</v>
      </c>
      <c r="N917" s="1147">
        <v>0</v>
      </c>
      <c r="O917" s="1147">
        <v>0</v>
      </c>
      <c r="P917" s="450">
        <f>TRUNC(단가대비표!V274,0)</f>
        <v>0</v>
      </c>
      <c r="Q917" s="450">
        <f t="shared" si="108"/>
        <v>0</v>
      </c>
      <c r="R917" s="1147">
        <v>29700</v>
      </c>
      <c r="S917" s="1147">
        <v>29700</v>
      </c>
      <c r="T917" s="450">
        <f t="shared" si="99"/>
        <v>29700</v>
      </c>
      <c r="U917" s="450">
        <f t="shared" si="100"/>
        <v>29700</v>
      </c>
      <c r="V917" s="454" t="s">
        <v>51</v>
      </c>
    </row>
    <row r="918" spans="1:57" ht="30" customHeight="1">
      <c r="A918" s="443" t="str">
        <f>'2층전시실산출 '!B330</f>
        <v>그래픽패널</v>
      </c>
      <c r="B918" s="443" t="str">
        <f>'2층전시실산출 '!C330</f>
        <v>840*450</v>
      </c>
      <c r="C918" s="443" t="s">
        <v>321</v>
      </c>
      <c r="D918" s="1133">
        <v>1</v>
      </c>
      <c r="E918" s="445">
        <f>'2층전시실산출 '!H330</f>
        <v>1</v>
      </c>
      <c r="F918" s="1147">
        <v>26000</v>
      </c>
      <c r="G918" s="1147">
        <v>26000</v>
      </c>
      <c r="H918" s="450">
        <f>단가대비표!O275</f>
        <v>26000</v>
      </c>
      <c r="I918" s="450">
        <f t="shared" si="106"/>
        <v>26000</v>
      </c>
      <c r="J918" s="1147">
        <v>0</v>
      </c>
      <c r="K918" s="1147">
        <v>0</v>
      </c>
      <c r="L918" s="450">
        <f>TRUNC(단가대비표!P275,0)</f>
        <v>0</v>
      </c>
      <c r="M918" s="450">
        <f t="shared" si="107"/>
        <v>0</v>
      </c>
      <c r="N918" s="1147">
        <v>0</v>
      </c>
      <c r="O918" s="1147">
        <v>0</v>
      </c>
      <c r="P918" s="450">
        <f>TRUNC(단가대비표!V275,0)</f>
        <v>0</v>
      </c>
      <c r="Q918" s="450">
        <f t="shared" si="108"/>
        <v>0</v>
      </c>
      <c r="R918" s="1147">
        <v>26000</v>
      </c>
      <c r="S918" s="1147">
        <v>26000</v>
      </c>
      <c r="T918" s="450">
        <f t="shared" si="99"/>
        <v>26000</v>
      </c>
      <c r="U918" s="450">
        <f t="shared" si="100"/>
        <v>26000</v>
      </c>
      <c r="V918" s="454" t="s">
        <v>51</v>
      </c>
    </row>
    <row r="919" spans="1:57" ht="30" customHeight="1">
      <c r="A919" s="443" t="str">
        <f>'2층전시실산출 '!B331</f>
        <v>그래픽패널</v>
      </c>
      <c r="B919" s="443" t="str">
        <f>'2층전시실산출 '!C331</f>
        <v>900×900</v>
      </c>
      <c r="C919" s="443" t="s">
        <v>321</v>
      </c>
      <c r="D919" s="1133">
        <v>6</v>
      </c>
      <c r="E919" s="445">
        <f>'2층전시실산출 '!H331</f>
        <v>6</v>
      </c>
      <c r="F919" s="1147">
        <v>50200</v>
      </c>
      <c r="G919" s="1147">
        <v>301200</v>
      </c>
      <c r="H919" s="450">
        <f>단가대비표!O276</f>
        <v>50200</v>
      </c>
      <c r="I919" s="450">
        <f t="shared" si="106"/>
        <v>301200</v>
      </c>
      <c r="J919" s="1147">
        <v>0</v>
      </c>
      <c r="K919" s="1147">
        <v>0</v>
      </c>
      <c r="L919" s="450">
        <f>TRUNC(단가대비표!P276,0)</f>
        <v>0</v>
      </c>
      <c r="M919" s="450">
        <f t="shared" si="107"/>
        <v>0</v>
      </c>
      <c r="N919" s="1147">
        <v>0</v>
      </c>
      <c r="O919" s="1147">
        <v>0</v>
      </c>
      <c r="P919" s="450">
        <f>TRUNC(단가대비표!V276,0)</f>
        <v>0</v>
      </c>
      <c r="Q919" s="450">
        <f t="shared" si="108"/>
        <v>0</v>
      </c>
      <c r="R919" s="1147">
        <v>50200</v>
      </c>
      <c r="S919" s="1147">
        <v>301200</v>
      </c>
      <c r="T919" s="450">
        <f t="shared" ref="T919:T930" si="109">TRUNC(H919+L919+P919, 0)</f>
        <v>50200</v>
      </c>
      <c r="U919" s="450">
        <f t="shared" ref="U919:U930" si="110">TRUNC(I919+M919+Q919, 0)</f>
        <v>301200</v>
      </c>
      <c r="V919" s="446"/>
    </row>
    <row r="920" spans="1:57" ht="30" customHeight="1">
      <c r="A920" s="443" t="str">
        <f>'2층전시실산출 '!B332</f>
        <v>그래픽패널</v>
      </c>
      <c r="B920" s="443" t="str">
        <f>'2층전시실산출 '!C332</f>
        <v>900×1200</v>
      </c>
      <c r="C920" s="443" t="s">
        <v>321</v>
      </c>
      <c r="D920" s="1133">
        <v>1</v>
      </c>
      <c r="E920" s="445">
        <f>'2층전시실산출 '!H332</f>
        <v>1</v>
      </c>
      <c r="F920" s="1147">
        <v>67000</v>
      </c>
      <c r="G920" s="1147">
        <v>67000</v>
      </c>
      <c r="H920" s="450">
        <f>단가대비표!O277</f>
        <v>67000</v>
      </c>
      <c r="I920" s="450">
        <f t="shared" si="106"/>
        <v>67000</v>
      </c>
      <c r="J920" s="1147">
        <v>0</v>
      </c>
      <c r="K920" s="1147">
        <v>0</v>
      </c>
      <c r="L920" s="450">
        <f>TRUNC(단가대비표!P277,0)</f>
        <v>0</v>
      </c>
      <c r="M920" s="450">
        <f t="shared" si="107"/>
        <v>0</v>
      </c>
      <c r="N920" s="1147">
        <v>0</v>
      </c>
      <c r="O920" s="1147">
        <v>0</v>
      </c>
      <c r="P920" s="450">
        <f>TRUNC(단가대비표!V277,0)</f>
        <v>0</v>
      </c>
      <c r="Q920" s="450">
        <f t="shared" si="108"/>
        <v>0</v>
      </c>
      <c r="R920" s="1147">
        <v>67000</v>
      </c>
      <c r="S920" s="1147">
        <v>67000</v>
      </c>
      <c r="T920" s="450">
        <f t="shared" si="109"/>
        <v>67000</v>
      </c>
      <c r="U920" s="450">
        <f t="shared" si="110"/>
        <v>67000</v>
      </c>
      <c r="V920" s="446"/>
    </row>
    <row r="921" spans="1:57" ht="30" customHeight="1">
      <c r="A921" s="443" t="str">
        <f>'2층전시실산출 '!B333</f>
        <v>그래픽패널</v>
      </c>
      <c r="B921" s="443" t="str">
        <f>'2층전시실산출 '!C333</f>
        <v>1000×600</v>
      </c>
      <c r="C921" s="443" t="s">
        <v>321</v>
      </c>
      <c r="D921" s="1133">
        <v>4</v>
      </c>
      <c r="E921" s="445">
        <f>'2층전시실산출 '!H333</f>
        <v>4</v>
      </c>
      <c r="F921" s="1147">
        <v>37200</v>
      </c>
      <c r="G921" s="1147">
        <v>148800</v>
      </c>
      <c r="H921" s="450">
        <f>단가대비표!O278</f>
        <v>37200</v>
      </c>
      <c r="I921" s="450">
        <f t="shared" si="106"/>
        <v>148800</v>
      </c>
      <c r="J921" s="1147">
        <v>0</v>
      </c>
      <c r="K921" s="1147">
        <v>0</v>
      </c>
      <c r="L921" s="450">
        <f>TRUNC(단가대비표!P278,0)</f>
        <v>0</v>
      </c>
      <c r="M921" s="450">
        <f t="shared" si="107"/>
        <v>0</v>
      </c>
      <c r="N921" s="1147">
        <v>0</v>
      </c>
      <c r="O921" s="1147">
        <v>0</v>
      </c>
      <c r="P921" s="450">
        <f>TRUNC(단가대비표!V278,0)</f>
        <v>0</v>
      </c>
      <c r="Q921" s="450">
        <f t="shared" si="108"/>
        <v>0</v>
      </c>
      <c r="R921" s="1147">
        <v>37200</v>
      </c>
      <c r="S921" s="1147">
        <v>148800</v>
      </c>
      <c r="T921" s="450">
        <f t="shared" si="109"/>
        <v>37200</v>
      </c>
      <c r="U921" s="450">
        <f t="shared" si="110"/>
        <v>148800</v>
      </c>
      <c r="V921" s="446"/>
    </row>
    <row r="922" spans="1:57" ht="30" customHeight="1">
      <c r="A922" s="443" t="str">
        <f>'2층전시실산출 '!B334</f>
        <v>그래픽패널</v>
      </c>
      <c r="B922" s="443" t="str">
        <f>'2층전시실산출 '!C334</f>
        <v>1000*1200</v>
      </c>
      <c r="C922" s="443" t="s">
        <v>321</v>
      </c>
      <c r="D922" s="1133">
        <v>1</v>
      </c>
      <c r="E922" s="445">
        <f>'2층전시실산출 '!H334</f>
        <v>1</v>
      </c>
      <c r="F922" s="1147">
        <v>74400</v>
      </c>
      <c r="G922" s="1147">
        <v>74400</v>
      </c>
      <c r="H922" s="450">
        <f>단가대비표!O279</f>
        <v>74400</v>
      </c>
      <c r="I922" s="450">
        <f t="shared" si="106"/>
        <v>74400</v>
      </c>
      <c r="J922" s="1147">
        <v>0</v>
      </c>
      <c r="K922" s="1147">
        <v>0</v>
      </c>
      <c r="L922" s="450">
        <f>TRUNC(단가대비표!P279,0)</f>
        <v>0</v>
      </c>
      <c r="M922" s="450">
        <f t="shared" si="107"/>
        <v>0</v>
      </c>
      <c r="N922" s="1147">
        <v>0</v>
      </c>
      <c r="O922" s="1147">
        <v>0</v>
      </c>
      <c r="P922" s="450">
        <f>TRUNC(단가대비표!V279,0)</f>
        <v>0</v>
      </c>
      <c r="Q922" s="450">
        <f t="shared" si="108"/>
        <v>0</v>
      </c>
      <c r="R922" s="1147">
        <v>74400</v>
      </c>
      <c r="S922" s="1147">
        <v>74400</v>
      </c>
      <c r="T922" s="450">
        <f t="shared" si="109"/>
        <v>74400</v>
      </c>
      <c r="U922" s="450">
        <f t="shared" si="110"/>
        <v>74400</v>
      </c>
      <c r="V922" s="446"/>
    </row>
    <row r="923" spans="1:57" ht="30" customHeight="1">
      <c r="A923" s="443" t="str">
        <f>'2층전시실산출 '!B335</f>
        <v>그래픽패널</v>
      </c>
      <c r="B923" s="443" t="str">
        <f>'2층전시실산출 '!C335</f>
        <v>1000×1550</v>
      </c>
      <c r="C923" s="443" t="s">
        <v>321</v>
      </c>
      <c r="D923" s="1133">
        <v>1</v>
      </c>
      <c r="E923" s="445">
        <f>'2층전시실산출 '!H335</f>
        <v>1</v>
      </c>
      <c r="F923" s="1147">
        <v>96100</v>
      </c>
      <c r="G923" s="1147">
        <v>96100</v>
      </c>
      <c r="H923" s="450">
        <f>단가대비표!O280</f>
        <v>96100</v>
      </c>
      <c r="I923" s="450">
        <f t="shared" si="106"/>
        <v>96100</v>
      </c>
      <c r="J923" s="1147">
        <v>0</v>
      </c>
      <c r="K923" s="1147">
        <v>0</v>
      </c>
      <c r="L923" s="450">
        <f>TRUNC(단가대비표!P280,0)</f>
        <v>0</v>
      </c>
      <c r="M923" s="450">
        <f t="shared" si="107"/>
        <v>0</v>
      </c>
      <c r="N923" s="1147">
        <v>0</v>
      </c>
      <c r="O923" s="1147">
        <v>0</v>
      </c>
      <c r="P923" s="450">
        <f>TRUNC(단가대비표!V280,0)</f>
        <v>0</v>
      </c>
      <c r="Q923" s="450">
        <f t="shared" si="108"/>
        <v>0</v>
      </c>
      <c r="R923" s="1147">
        <v>96100</v>
      </c>
      <c r="S923" s="1147">
        <v>96100</v>
      </c>
      <c r="T923" s="450">
        <f t="shared" si="109"/>
        <v>96100</v>
      </c>
      <c r="U923" s="450">
        <f t="shared" si="110"/>
        <v>96100</v>
      </c>
      <c r="V923" s="446"/>
    </row>
    <row r="924" spans="1:57" ht="30" customHeight="1">
      <c r="A924" s="443" t="str">
        <f>'2층전시실산출 '!B336</f>
        <v>그래픽패널</v>
      </c>
      <c r="B924" s="443" t="str">
        <f>'2층전시실산출 '!C336</f>
        <v>1050×1050</v>
      </c>
      <c r="C924" s="443" t="s">
        <v>321</v>
      </c>
      <c r="D924" s="1133">
        <v>3</v>
      </c>
      <c r="E924" s="445">
        <f>'2층전시실산출 '!H336</f>
        <v>3</v>
      </c>
      <c r="F924" s="1147">
        <v>68400</v>
      </c>
      <c r="G924" s="1147">
        <v>205200</v>
      </c>
      <c r="H924" s="450">
        <f>단가대비표!O281</f>
        <v>68400</v>
      </c>
      <c r="I924" s="450">
        <f t="shared" si="106"/>
        <v>205200</v>
      </c>
      <c r="J924" s="1147">
        <v>0</v>
      </c>
      <c r="K924" s="1147">
        <v>0</v>
      </c>
      <c r="L924" s="450">
        <f>TRUNC(단가대비표!P281,0)</f>
        <v>0</v>
      </c>
      <c r="M924" s="450">
        <f t="shared" si="107"/>
        <v>0</v>
      </c>
      <c r="N924" s="1147">
        <v>0</v>
      </c>
      <c r="O924" s="1147">
        <v>0</v>
      </c>
      <c r="P924" s="450">
        <f>TRUNC(단가대비표!V281,0)</f>
        <v>0</v>
      </c>
      <c r="Q924" s="450">
        <f t="shared" si="108"/>
        <v>0</v>
      </c>
      <c r="R924" s="1147">
        <v>68400</v>
      </c>
      <c r="S924" s="1147">
        <v>205200</v>
      </c>
      <c r="T924" s="450">
        <f t="shared" si="109"/>
        <v>68400</v>
      </c>
      <c r="U924" s="450">
        <f t="shared" si="110"/>
        <v>205200</v>
      </c>
      <c r="V924" s="446"/>
    </row>
    <row r="925" spans="1:57" ht="30" customHeight="1">
      <c r="A925" s="443" t="str">
        <f>'2층전시실산출 '!B337</f>
        <v>그래픽패널</v>
      </c>
      <c r="B925" s="443" t="str">
        <f>'2층전시실산출 '!C337</f>
        <v>1050×1700</v>
      </c>
      <c r="C925" s="443" t="s">
        <v>321</v>
      </c>
      <c r="D925" s="1133">
        <v>1</v>
      </c>
      <c r="E925" s="445">
        <f>'2층전시실산출 '!H337</f>
        <v>1</v>
      </c>
      <c r="F925" s="1147">
        <v>110000</v>
      </c>
      <c r="G925" s="1147">
        <v>110000</v>
      </c>
      <c r="H925" s="450">
        <f>단가대비표!O282</f>
        <v>110000</v>
      </c>
      <c r="I925" s="450">
        <f t="shared" si="106"/>
        <v>110000</v>
      </c>
      <c r="J925" s="1147">
        <v>0</v>
      </c>
      <c r="K925" s="1147">
        <v>0</v>
      </c>
      <c r="L925" s="450">
        <f>TRUNC(단가대비표!P282,0)</f>
        <v>0</v>
      </c>
      <c r="M925" s="450">
        <f t="shared" si="107"/>
        <v>0</v>
      </c>
      <c r="N925" s="1147">
        <v>0</v>
      </c>
      <c r="O925" s="1147">
        <v>0</v>
      </c>
      <c r="P925" s="450">
        <f>TRUNC(단가대비표!V282,0)</f>
        <v>0</v>
      </c>
      <c r="Q925" s="450">
        <f t="shared" si="108"/>
        <v>0</v>
      </c>
      <c r="R925" s="1147">
        <v>110000</v>
      </c>
      <c r="S925" s="1147">
        <v>110000</v>
      </c>
      <c r="T925" s="450">
        <f t="shared" si="109"/>
        <v>110000</v>
      </c>
      <c r="U925" s="450">
        <f t="shared" si="110"/>
        <v>110000</v>
      </c>
      <c r="V925" s="446"/>
    </row>
    <row r="926" spans="1:57" ht="30" customHeight="1">
      <c r="A926" s="443" t="str">
        <f>'2층전시실산출 '!B338</f>
        <v>그래픽패널</v>
      </c>
      <c r="B926" s="443" t="str">
        <f>'2층전시실산출 '!C338</f>
        <v>1200*600</v>
      </c>
      <c r="C926" s="443" t="s">
        <v>321</v>
      </c>
      <c r="D926" s="1133">
        <v>1</v>
      </c>
      <c r="E926" s="445">
        <f>'2층전시실산출 '!H338</f>
        <v>1</v>
      </c>
      <c r="F926" s="1147">
        <v>44600</v>
      </c>
      <c r="G926" s="1147">
        <v>44600</v>
      </c>
      <c r="H926" s="450">
        <f>단가대비표!O283</f>
        <v>44600</v>
      </c>
      <c r="I926" s="450">
        <f t="shared" si="106"/>
        <v>44600</v>
      </c>
      <c r="J926" s="1147">
        <v>0</v>
      </c>
      <c r="K926" s="1147">
        <v>0</v>
      </c>
      <c r="L926" s="450">
        <f>TRUNC(단가대비표!P283,0)</f>
        <v>0</v>
      </c>
      <c r="M926" s="450">
        <f t="shared" si="107"/>
        <v>0</v>
      </c>
      <c r="N926" s="1147">
        <v>0</v>
      </c>
      <c r="O926" s="1147">
        <v>0</v>
      </c>
      <c r="P926" s="450">
        <f>TRUNC(단가대비표!V283,0)</f>
        <v>0</v>
      </c>
      <c r="Q926" s="450">
        <f t="shared" si="108"/>
        <v>0</v>
      </c>
      <c r="R926" s="1147">
        <v>44600</v>
      </c>
      <c r="S926" s="1147">
        <v>44600</v>
      </c>
      <c r="T926" s="450">
        <f t="shared" si="109"/>
        <v>44600</v>
      </c>
      <c r="U926" s="450">
        <f t="shared" si="110"/>
        <v>44600</v>
      </c>
      <c r="V926" s="446"/>
    </row>
    <row r="927" spans="1:57" ht="30" customHeight="1">
      <c r="A927" s="443" t="str">
        <f>'2층전시실산출 '!B339</f>
        <v>그래픽패널</v>
      </c>
      <c r="B927" s="443" t="str">
        <f>'2층전시실산출 '!C339</f>
        <v>1300×900</v>
      </c>
      <c r="C927" s="443" t="s">
        <v>321</v>
      </c>
      <c r="D927" s="1133">
        <v>1</v>
      </c>
      <c r="E927" s="445">
        <f>'2층전시실산출 '!H339</f>
        <v>1</v>
      </c>
      <c r="F927" s="1147">
        <v>72500</v>
      </c>
      <c r="G927" s="1147">
        <v>72500</v>
      </c>
      <c r="H927" s="450">
        <f>단가대비표!O284</f>
        <v>72500</v>
      </c>
      <c r="I927" s="450">
        <f t="shared" si="106"/>
        <v>72500</v>
      </c>
      <c r="J927" s="1147">
        <v>0</v>
      </c>
      <c r="K927" s="1147">
        <v>0</v>
      </c>
      <c r="L927" s="450">
        <f>TRUNC(단가대비표!P284,0)</f>
        <v>0</v>
      </c>
      <c r="M927" s="450">
        <f t="shared" si="107"/>
        <v>0</v>
      </c>
      <c r="N927" s="1147">
        <v>0</v>
      </c>
      <c r="O927" s="1147">
        <v>0</v>
      </c>
      <c r="P927" s="450">
        <f>TRUNC(단가대비표!V284,0)</f>
        <v>0</v>
      </c>
      <c r="Q927" s="450">
        <f t="shared" si="108"/>
        <v>0</v>
      </c>
      <c r="R927" s="1147">
        <v>72500</v>
      </c>
      <c r="S927" s="1147">
        <v>72500</v>
      </c>
      <c r="T927" s="450">
        <f t="shared" si="109"/>
        <v>72500</v>
      </c>
      <c r="U927" s="450">
        <f t="shared" si="110"/>
        <v>72500</v>
      </c>
      <c r="V927" s="446"/>
    </row>
    <row r="928" spans="1:57" ht="30" customHeight="1">
      <c r="A928" s="443" t="str">
        <f>'2층전시실산출 '!B340</f>
        <v>그래픽패널</v>
      </c>
      <c r="B928" s="443" t="str">
        <f>'2층전시실산출 '!C340</f>
        <v>1500×600</v>
      </c>
      <c r="C928" s="443" t="s">
        <v>321</v>
      </c>
      <c r="D928" s="1133">
        <v>2</v>
      </c>
      <c r="E928" s="445">
        <f>'2층전시실산출 '!H340</f>
        <v>2</v>
      </c>
      <c r="F928" s="1147">
        <v>55799.999999999993</v>
      </c>
      <c r="G928" s="1147">
        <v>111599.99999999999</v>
      </c>
      <c r="H928" s="450">
        <f>단가대비표!O285</f>
        <v>55799.999999999993</v>
      </c>
      <c r="I928" s="450">
        <f t="shared" si="106"/>
        <v>111599.99999999999</v>
      </c>
      <c r="J928" s="1147">
        <v>0</v>
      </c>
      <c r="K928" s="1147">
        <v>0</v>
      </c>
      <c r="L928" s="450">
        <f>TRUNC(단가대비표!P285,0)</f>
        <v>0</v>
      </c>
      <c r="M928" s="450">
        <f t="shared" si="107"/>
        <v>0</v>
      </c>
      <c r="N928" s="1147">
        <v>0</v>
      </c>
      <c r="O928" s="1147">
        <v>0</v>
      </c>
      <c r="P928" s="450">
        <f>TRUNC(단가대비표!V285,0)</f>
        <v>0</v>
      </c>
      <c r="Q928" s="450">
        <f t="shared" si="108"/>
        <v>0</v>
      </c>
      <c r="R928" s="1147">
        <v>55800</v>
      </c>
      <c r="S928" s="1147">
        <v>111600</v>
      </c>
      <c r="T928" s="450">
        <f t="shared" si="109"/>
        <v>55800</v>
      </c>
      <c r="U928" s="450">
        <f t="shared" si="110"/>
        <v>111600</v>
      </c>
      <c r="V928" s="446"/>
    </row>
    <row r="929" spans="1:22" ht="30" customHeight="1">
      <c r="A929" s="443" t="str">
        <f>'2층전시실산출 '!B341</f>
        <v>그래픽패널</v>
      </c>
      <c r="B929" s="443" t="str">
        <f>'2층전시실산출 '!C341</f>
        <v>2400×600</v>
      </c>
      <c r="C929" s="443" t="s">
        <v>321</v>
      </c>
      <c r="D929" s="1133">
        <v>1</v>
      </c>
      <c r="E929" s="445">
        <f>'2층전시실산출 '!H341</f>
        <v>1</v>
      </c>
      <c r="F929" s="1147">
        <v>89300</v>
      </c>
      <c r="G929" s="1147">
        <v>89300</v>
      </c>
      <c r="H929" s="450">
        <f>단가대비표!O286</f>
        <v>89300</v>
      </c>
      <c r="I929" s="450">
        <f t="shared" ref="I929:I930" si="111">E929*H929</f>
        <v>89300</v>
      </c>
      <c r="J929" s="1147">
        <v>0</v>
      </c>
      <c r="K929" s="1147">
        <v>0</v>
      </c>
      <c r="L929" s="450">
        <f>TRUNC(단가대비표!P286,0)</f>
        <v>0</v>
      </c>
      <c r="M929" s="450">
        <f t="shared" si="107"/>
        <v>0</v>
      </c>
      <c r="N929" s="1147">
        <v>0</v>
      </c>
      <c r="O929" s="1147">
        <v>0</v>
      </c>
      <c r="P929" s="450">
        <f>TRUNC(단가대비표!V286,0)</f>
        <v>0</v>
      </c>
      <c r="Q929" s="450">
        <f t="shared" si="108"/>
        <v>0</v>
      </c>
      <c r="R929" s="1147">
        <v>89300</v>
      </c>
      <c r="S929" s="1147">
        <v>89300</v>
      </c>
      <c r="T929" s="450">
        <f t="shared" si="109"/>
        <v>89300</v>
      </c>
      <c r="U929" s="450">
        <f t="shared" si="110"/>
        <v>89300</v>
      </c>
      <c r="V929" s="446"/>
    </row>
    <row r="930" spans="1:22" ht="30" customHeight="1">
      <c r="A930" s="443" t="s">
        <v>483</v>
      </c>
      <c r="B930" s="443" t="s">
        <v>484</v>
      </c>
      <c r="C930" s="443" t="s">
        <v>419</v>
      </c>
      <c r="D930" s="1133">
        <v>40</v>
      </c>
      <c r="E930" s="445">
        <v>40</v>
      </c>
      <c r="F930" s="1147"/>
      <c r="G930" s="1147">
        <v>0</v>
      </c>
      <c r="H930" s="450"/>
      <c r="I930" s="450">
        <f t="shared" si="111"/>
        <v>0</v>
      </c>
      <c r="J930" s="1147">
        <v>189600</v>
      </c>
      <c r="K930" s="1147">
        <v>7584000</v>
      </c>
      <c r="L930" s="450">
        <f>단가대비표!P136</f>
        <v>189600</v>
      </c>
      <c r="M930" s="450">
        <f>E930*L930</f>
        <v>7584000</v>
      </c>
      <c r="N930" s="1147">
        <v>0</v>
      </c>
      <c r="O930" s="1147">
        <v>0</v>
      </c>
      <c r="P930" s="450">
        <f>TRUNC(단가대비표!V716,0)</f>
        <v>0</v>
      </c>
      <c r="Q930" s="450">
        <f t="shared" si="108"/>
        <v>0</v>
      </c>
      <c r="R930" s="1147">
        <v>189600</v>
      </c>
      <c r="S930" s="1147">
        <v>7584000</v>
      </c>
      <c r="T930" s="450">
        <f t="shared" si="109"/>
        <v>189600</v>
      </c>
      <c r="U930" s="450">
        <f t="shared" si="110"/>
        <v>7584000</v>
      </c>
      <c r="V930" s="454" t="s">
        <v>51</v>
      </c>
    </row>
    <row r="931" spans="1:22" ht="30" customHeight="1">
      <c r="A931" s="443"/>
      <c r="B931" s="443"/>
      <c r="C931" s="444"/>
      <c r="D931" s="1133"/>
      <c r="E931" s="445"/>
      <c r="F931" s="1147"/>
      <c r="G931" s="1147"/>
      <c r="H931" s="450"/>
      <c r="I931" s="450"/>
      <c r="J931" s="1147"/>
      <c r="K931" s="1147"/>
      <c r="L931" s="450"/>
      <c r="M931" s="450"/>
      <c r="N931" s="1147"/>
      <c r="O931" s="1147"/>
      <c r="P931" s="450"/>
      <c r="Q931" s="450"/>
      <c r="R931" s="1147"/>
      <c r="S931" s="1147"/>
      <c r="T931" s="450"/>
      <c r="U931" s="450"/>
      <c r="V931" s="446"/>
    </row>
    <row r="932" spans="1:22" ht="30" customHeight="1">
      <c r="A932" s="443"/>
      <c r="B932" s="443"/>
      <c r="C932" s="444"/>
      <c r="D932" s="1133"/>
      <c r="E932" s="445"/>
      <c r="F932" s="1147"/>
      <c r="G932" s="1147"/>
      <c r="H932" s="450"/>
      <c r="I932" s="450"/>
      <c r="J932" s="1147"/>
      <c r="K932" s="1147"/>
      <c r="L932" s="450"/>
      <c r="M932" s="450"/>
      <c r="N932" s="1147"/>
      <c r="O932" s="1147"/>
      <c r="P932" s="450"/>
      <c r="Q932" s="450"/>
      <c r="R932" s="1147"/>
      <c r="S932" s="1147"/>
      <c r="T932" s="450"/>
      <c r="U932" s="450"/>
      <c r="V932" s="446"/>
    </row>
    <row r="933" spans="1:22" ht="30" customHeight="1">
      <c r="A933" s="443"/>
      <c r="B933" s="443"/>
      <c r="C933" s="444"/>
      <c r="D933" s="1133"/>
      <c r="E933" s="445"/>
      <c r="F933" s="1147"/>
      <c r="G933" s="1147"/>
      <c r="H933" s="450"/>
      <c r="I933" s="450"/>
      <c r="J933" s="1147"/>
      <c r="K933" s="1147"/>
      <c r="L933" s="450"/>
      <c r="M933" s="450"/>
      <c r="N933" s="1147"/>
      <c r="O933" s="1147"/>
      <c r="P933" s="450"/>
      <c r="Q933" s="450"/>
      <c r="R933" s="1147"/>
      <c r="S933" s="1147"/>
      <c r="T933" s="450"/>
      <c r="U933" s="450"/>
      <c r="V933" s="446"/>
    </row>
    <row r="934" spans="1:22" ht="30" customHeight="1">
      <c r="A934" s="443"/>
      <c r="B934" s="443"/>
      <c r="C934" s="444"/>
      <c r="D934" s="1133"/>
      <c r="E934" s="445"/>
      <c r="F934" s="1147"/>
      <c r="G934" s="1147"/>
      <c r="H934" s="450"/>
      <c r="I934" s="450"/>
      <c r="J934" s="1147"/>
      <c r="K934" s="1147"/>
      <c r="L934" s="450"/>
      <c r="M934" s="450"/>
      <c r="N934" s="1147"/>
      <c r="O934" s="1147"/>
      <c r="P934" s="450"/>
      <c r="Q934" s="450"/>
      <c r="R934" s="1147"/>
      <c r="S934" s="1147"/>
      <c r="T934" s="450"/>
      <c r="U934" s="450"/>
      <c r="V934" s="446"/>
    </row>
    <row r="935" spans="1:22" ht="30" customHeight="1">
      <c r="A935" s="443"/>
      <c r="B935" s="443"/>
      <c r="C935" s="444"/>
      <c r="D935" s="1133"/>
      <c r="E935" s="445"/>
      <c r="F935" s="1147"/>
      <c r="G935" s="1147"/>
      <c r="H935" s="450"/>
      <c r="I935" s="450"/>
      <c r="J935" s="1147"/>
      <c r="K935" s="1147"/>
      <c r="L935" s="450"/>
      <c r="M935" s="450"/>
      <c r="N935" s="1147"/>
      <c r="O935" s="1147"/>
      <c r="P935" s="450"/>
      <c r="Q935" s="450"/>
      <c r="R935" s="1147"/>
      <c r="S935" s="1147"/>
      <c r="T935" s="450"/>
      <c r="U935" s="450"/>
      <c r="V935" s="446"/>
    </row>
    <row r="936" spans="1:22" ht="30" customHeight="1">
      <c r="A936" s="443"/>
      <c r="B936" s="443"/>
      <c r="C936" s="444"/>
      <c r="D936" s="1133"/>
      <c r="E936" s="445"/>
      <c r="F936" s="1147"/>
      <c r="G936" s="1147"/>
      <c r="H936" s="450"/>
      <c r="I936" s="450"/>
      <c r="J936" s="1147"/>
      <c r="K936" s="1147"/>
      <c r="L936" s="450"/>
      <c r="M936" s="450"/>
      <c r="N936" s="1147"/>
      <c r="O936" s="1147"/>
      <c r="P936" s="450"/>
      <c r="Q936" s="450"/>
      <c r="R936" s="1147"/>
      <c r="S936" s="1147"/>
      <c r="T936" s="450"/>
      <c r="U936" s="450"/>
      <c r="V936" s="446"/>
    </row>
    <row r="937" spans="1:22" ht="30" customHeight="1">
      <c r="A937" s="443"/>
      <c r="B937" s="443"/>
      <c r="C937" s="444"/>
      <c r="D937" s="1133"/>
      <c r="E937" s="445"/>
      <c r="F937" s="1147"/>
      <c r="G937" s="1147"/>
      <c r="H937" s="450"/>
      <c r="I937" s="450"/>
      <c r="J937" s="1147"/>
      <c r="K937" s="1147"/>
      <c r="L937" s="450"/>
      <c r="M937" s="450"/>
      <c r="N937" s="1147"/>
      <c r="O937" s="1147"/>
      <c r="P937" s="450"/>
      <c r="Q937" s="450"/>
      <c r="R937" s="1147"/>
      <c r="S937" s="1147"/>
      <c r="T937" s="450"/>
      <c r="U937" s="450"/>
      <c r="V937" s="446"/>
    </row>
    <row r="938" spans="1:22" ht="30" customHeight="1">
      <c r="A938" s="443"/>
      <c r="B938" s="443"/>
      <c r="C938" s="444"/>
      <c r="D938" s="1133"/>
      <c r="E938" s="445"/>
      <c r="F938" s="1147"/>
      <c r="G938" s="1147"/>
      <c r="H938" s="450"/>
      <c r="I938" s="450"/>
      <c r="J938" s="1147"/>
      <c r="K938" s="1147"/>
      <c r="L938" s="450"/>
      <c r="M938" s="450"/>
      <c r="N938" s="1147"/>
      <c r="O938" s="1147"/>
      <c r="P938" s="450"/>
      <c r="Q938" s="450"/>
      <c r="R938" s="1147"/>
      <c r="S938" s="1147"/>
      <c r="T938" s="450"/>
      <c r="U938" s="450"/>
      <c r="V938" s="446"/>
    </row>
    <row r="939" spans="1:22" ht="30" customHeight="1">
      <c r="A939" s="443"/>
      <c r="B939" s="443"/>
      <c r="C939" s="444"/>
      <c r="D939" s="1133"/>
      <c r="E939" s="445"/>
      <c r="F939" s="1147"/>
      <c r="G939" s="1147"/>
      <c r="H939" s="450"/>
      <c r="I939" s="450"/>
      <c r="J939" s="1147"/>
      <c r="K939" s="1147"/>
      <c r="L939" s="450"/>
      <c r="M939" s="450"/>
      <c r="N939" s="1147"/>
      <c r="O939" s="1147"/>
      <c r="P939" s="450"/>
      <c r="Q939" s="450"/>
      <c r="R939" s="1147"/>
      <c r="S939" s="1147"/>
      <c r="T939" s="450"/>
      <c r="U939" s="450"/>
      <c r="V939" s="446"/>
    </row>
    <row r="940" spans="1:22" ht="30" customHeight="1">
      <c r="A940" s="443"/>
      <c r="B940" s="443"/>
      <c r="C940" s="444"/>
      <c r="D940" s="1133"/>
      <c r="E940" s="445"/>
      <c r="F940" s="1147"/>
      <c r="G940" s="1147"/>
      <c r="H940" s="450"/>
      <c r="I940" s="450"/>
      <c r="J940" s="1147"/>
      <c r="K940" s="1147"/>
      <c r="L940" s="450"/>
      <c r="M940" s="450"/>
      <c r="N940" s="1147"/>
      <c r="O940" s="1147"/>
      <c r="P940" s="450"/>
      <c r="Q940" s="450"/>
      <c r="R940" s="1147"/>
      <c r="S940" s="1147"/>
      <c r="T940" s="450"/>
      <c r="U940" s="450"/>
      <c r="V940" s="446"/>
    </row>
    <row r="941" spans="1:22" ht="30" customHeight="1">
      <c r="A941" s="443"/>
      <c r="B941" s="443"/>
      <c r="C941" s="444"/>
      <c r="D941" s="1133"/>
      <c r="E941" s="445"/>
      <c r="F941" s="1147"/>
      <c r="G941" s="1147"/>
      <c r="H941" s="450"/>
      <c r="I941" s="450"/>
      <c r="J941" s="1147"/>
      <c r="K941" s="1147"/>
      <c r="L941" s="450"/>
      <c r="M941" s="450"/>
      <c r="N941" s="1147"/>
      <c r="O941" s="1147"/>
      <c r="P941" s="450"/>
      <c r="Q941" s="450"/>
      <c r="R941" s="1147"/>
      <c r="S941" s="1147"/>
      <c r="T941" s="450"/>
      <c r="U941" s="450"/>
      <c r="V941" s="446"/>
    </row>
    <row r="942" spans="1:22" ht="30" customHeight="1">
      <c r="A942" s="443"/>
      <c r="B942" s="443"/>
      <c r="C942" s="444"/>
      <c r="D942" s="1133"/>
      <c r="E942" s="445"/>
      <c r="F942" s="1147"/>
      <c r="G942" s="1147"/>
      <c r="H942" s="450"/>
      <c r="I942" s="450"/>
      <c r="J942" s="1147"/>
      <c r="K942" s="1147"/>
      <c r="L942" s="450"/>
      <c r="M942" s="450"/>
      <c r="N942" s="1147"/>
      <c r="O942" s="1147"/>
      <c r="P942" s="450"/>
      <c r="Q942" s="450"/>
      <c r="R942" s="1147"/>
      <c r="S942" s="1147"/>
      <c r="T942" s="450"/>
      <c r="U942" s="450"/>
      <c r="V942" s="446"/>
    </row>
    <row r="943" spans="1:22" ht="30" customHeight="1">
      <c r="A943" s="443"/>
      <c r="B943" s="443"/>
      <c r="C943" s="444"/>
      <c r="D943" s="1133"/>
      <c r="E943" s="445"/>
      <c r="F943" s="1147"/>
      <c r="G943" s="1147"/>
      <c r="H943" s="450"/>
      <c r="I943" s="450"/>
      <c r="J943" s="1147"/>
      <c r="K943" s="1147"/>
      <c r="L943" s="450"/>
      <c r="M943" s="450"/>
      <c r="N943" s="1147"/>
      <c r="O943" s="1147"/>
      <c r="P943" s="450"/>
      <c r="Q943" s="450"/>
      <c r="R943" s="1147"/>
      <c r="S943" s="1147"/>
      <c r="T943" s="450"/>
      <c r="U943" s="450"/>
      <c r="V943" s="446"/>
    </row>
    <row r="944" spans="1:22" ht="30" customHeight="1">
      <c r="A944" s="443"/>
      <c r="B944" s="443"/>
      <c r="C944" s="444"/>
      <c r="D944" s="1133"/>
      <c r="E944" s="445"/>
      <c r="F944" s="1147"/>
      <c r="G944" s="1147"/>
      <c r="H944" s="450"/>
      <c r="I944" s="450"/>
      <c r="J944" s="1147"/>
      <c r="K944" s="1147"/>
      <c r="L944" s="450"/>
      <c r="M944" s="450"/>
      <c r="N944" s="1147"/>
      <c r="O944" s="1147"/>
      <c r="P944" s="450"/>
      <c r="Q944" s="450"/>
      <c r="R944" s="1147"/>
      <c r="S944" s="1147"/>
      <c r="T944" s="450"/>
      <c r="U944" s="450"/>
      <c r="V944" s="446"/>
    </row>
    <row r="945" spans="1:57" ht="30" customHeight="1">
      <c r="A945" s="443"/>
      <c r="B945" s="443"/>
      <c r="C945" s="444"/>
      <c r="D945" s="1133"/>
      <c r="E945" s="445"/>
      <c r="F945" s="1147"/>
      <c r="G945" s="1147"/>
      <c r="H945" s="450"/>
      <c r="I945" s="450"/>
      <c r="J945" s="1147"/>
      <c r="K945" s="1147"/>
      <c r="L945" s="450"/>
      <c r="M945" s="450"/>
      <c r="N945" s="1147"/>
      <c r="O945" s="1147"/>
      <c r="P945" s="450"/>
      <c r="Q945" s="450"/>
      <c r="R945" s="1147"/>
      <c r="S945" s="1147"/>
      <c r="T945" s="450"/>
      <c r="U945" s="450"/>
      <c r="V945" s="446"/>
    </row>
    <row r="946" spans="1:57" ht="30" customHeight="1">
      <c r="A946" s="443" t="s">
        <v>85</v>
      </c>
      <c r="B946" s="444"/>
      <c r="C946" s="444"/>
      <c r="D946" s="1133"/>
      <c r="E946" s="445"/>
      <c r="F946" s="1146"/>
      <c r="G946" s="1147">
        <v>13567450</v>
      </c>
      <c r="H946" s="444"/>
      <c r="I946" s="450">
        <f>SUM(I833:I945)</f>
        <v>13567450</v>
      </c>
      <c r="J946" s="1146"/>
      <c r="K946" s="1147">
        <v>7584000</v>
      </c>
      <c r="L946" s="444"/>
      <c r="M946" s="450">
        <f>SUM(M833:M945)</f>
        <v>7584000</v>
      </c>
      <c r="N946" s="1146"/>
      <c r="O946" s="1147">
        <v>0</v>
      </c>
      <c r="P946" s="444"/>
      <c r="Q946" s="450">
        <f>SUM(Q833:Q945)</f>
        <v>0</v>
      </c>
      <c r="R946" s="1146"/>
      <c r="S946" s="1147">
        <v>21151450</v>
      </c>
      <c r="T946" s="444"/>
      <c r="U946" s="450">
        <f>SUM(U833:U945)</f>
        <v>21151450</v>
      </c>
      <c r="V946" s="446"/>
      <c r="W946" s="448" t="s">
        <v>809</v>
      </c>
      <c r="X946" s="448" t="s">
        <v>51</v>
      </c>
      <c r="Y946" s="448" t="s">
        <v>51</v>
      </c>
      <c r="Z946" s="448" t="s">
        <v>808</v>
      </c>
      <c r="AA946" s="448" t="s">
        <v>61</v>
      </c>
      <c r="AB946" s="448" t="s">
        <v>62</v>
      </c>
      <c r="AC946" s="448" t="s">
        <v>62</v>
      </c>
      <c r="AD946" s="447"/>
      <c r="AE946" s="447"/>
      <c r="AF946" s="447"/>
      <c r="AG946" s="447"/>
      <c r="AH946" s="447"/>
      <c r="AI946" s="447"/>
      <c r="AJ946" s="447"/>
      <c r="AK946" s="447"/>
      <c r="AL946" s="447"/>
      <c r="AM946" s="447"/>
      <c r="AN946" s="447"/>
      <c r="AO946" s="447"/>
      <c r="AP946" s="447"/>
      <c r="AQ946" s="447"/>
      <c r="AR946" s="447"/>
      <c r="AS946" s="447"/>
      <c r="AT946" s="447"/>
      <c r="AU946" s="447"/>
      <c r="AV946" s="447"/>
      <c r="AW946" s="447"/>
      <c r="AX946" s="447"/>
      <c r="AY946" s="447"/>
      <c r="AZ946" s="447"/>
      <c r="BA946" s="448" t="s">
        <v>51</v>
      </c>
      <c r="BB946" s="448" t="s">
        <v>51</v>
      </c>
      <c r="BC946" s="447"/>
      <c r="BD946" s="448" t="s">
        <v>810</v>
      </c>
      <c r="BE946" s="447">
        <v>368</v>
      </c>
    </row>
    <row r="947" spans="1:57" ht="30" customHeight="1">
      <c r="A947" s="443" t="s">
        <v>4830</v>
      </c>
      <c r="B947" s="444"/>
      <c r="C947" s="444"/>
      <c r="D947" s="1133"/>
      <c r="E947" s="445"/>
      <c r="F947" s="1146"/>
      <c r="G947" s="1146"/>
      <c r="H947" s="444"/>
      <c r="I947" s="444"/>
      <c r="J947" s="1146"/>
      <c r="K947" s="1146"/>
      <c r="L947" s="444"/>
      <c r="M947" s="444"/>
      <c r="N947" s="1146"/>
      <c r="O947" s="1146"/>
      <c r="P947" s="444"/>
      <c r="Q947" s="444"/>
      <c r="R947" s="1146"/>
      <c r="S947" s="1146"/>
      <c r="T947" s="444"/>
      <c r="U947" s="444"/>
      <c r="V947" s="446"/>
      <c r="W947" s="448" t="s">
        <v>813</v>
      </c>
      <c r="X947" s="448" t="s">
        <v>51</v>
      </c>
      <c r="Y947" s="448" t="s">
        <v>51</v>
      </c>
      <c r="Z947" s="448" t="s">
        <v>808</v>
      </c>
      <c r="AA947" s="448" t="s">
        <v>62</v>
      </c>
      <c r="AB947" s="448" t="s">
        <v>62</v>
      </c>
      <c r="AC947" s="448" t="s">
        <v>61</v>
      </c>
      <c r="AD947" s="447"/>
      <c r="AE947" s="447"/>
      <c r="AF947" s="447"/>
      <c r="AG947" s="447"/>
      <c r="AH947" s="447"/>
      <c r="AI947" s="447"/>
      <c r="AJ947" s="447"/>
      <c r="AK947" s="447"/>
      <c r="AL947" s="447"/>
      <c r="AM947" s="447"/>
      <c r="AN947" s="447"/>
      <c r="AO947" s="447"/>
      <c r="AP947" s="447"/>
      <c r="AQ947" s="447"/>
      <c r="AR947" s="447"/>
      <c r="AS947" s="447"/>
      <c r="AT947" s="447"/>
      <c r="AU947" s="447"/>
      <c r="AV947" s="447"/>
      <c r="AW947" s="447"/>
      <c r="AX947" s="447"/>
      <c r="AY947" s="447"/>
      <c r="AZ947" s="447"/>
      <c r="BA947" s="448" t="s">
        <v>51</v>
      </c>
      <c r="BB947" s="448" t="s">
        <v>51</v>
      </c>
      <c r="BC947" s="447"/>
      <c r="BD947" s="448" t="s">
        <v>814</v>
      </c>
      <c r="BE947" s="447">
        <v>369</v>
      </c>
    </row>
    <row r="948" spans="1:57" ht="30" customHeight="1">
      <c r="A948" s="443" t="s">
        <v>3792</v>
      </c>
      <c r="B948" s="443" t="s">
        <v>2799</v>
      </c>
      <c r="C948" s="443" t="s">
        <v>204</v>
      </c>
      <c r="D948" s="1133">
        <v>167.60000000000002</v>
      </c>
      <c r="E948" s="445">
        <f>'2층전시실산출 '!H345</f>
        <v>167.60000000000002</v>
      </c>
      <c r="F948" s="1147">
        <v>6079</v>
      </c>
      <c r="G948" s="1147">
        <v>1018840.4000000001</v>
      </c>
      <c r="H948" s="450">
        <f>TRUNC(일위대가목록!F102,0)</f>
        <v>6079</v>
      </c>
      <c r="I948" s="450">
        <f t="shared" ref="I948:I979" si="112">E948*H948</f>
        <v>1018840.4000000001</v>
      </c>
      <c r="J948" s="1147">
        <v>52279</v>
      </c>
      <c r="K948" s="1147">
        <v>8761960.4000000004</v>
      </c>
      <c r="L948" s="450">
        <f>TRUNC(일위대가목록!H102,0)</f>
        <v>52279</v>
      </c>
      <c r="M948" s="450">
        <f t="shared" ref="M948:M979" si="113">E948*L948</f>
        <v>8761960.4000000004</v>
      </c>
      <c r="N948" s="1147">
        <v>1872.4</v>
      </c>
      <c r="O948" s="1147">
        <v>313814.24000000005</v>
      </c>
      <c r="P948" s="450">
        <f>일위대가목록!J102</f>
        <v>1872.4</v>
      </c>
      <c r="Q948" s="450">
        <f>E948*P948</f>
        <v>313814.24000000005</v>
      </c>
      <c r="R948" s="1147">
        <v>60230</v>
      </c>
      <c r="S948" s="1147">
        <v>10094615</v>
      </c>
      <c r="T948" s="450">
        <f t="shared" ref="T948:T979" si="114">TRUNC(H948+L948+P948, 0)</f>
        <v>60230</v>
      </c>
      <c r="U948" s="450">
        <f t="shared" ref="U948:U979" si="115">TRUNC(I948+M948+Q948, 0)</f>
        <v>10094615</v>
      </c>
      <c r="V948" s="454" t="str">
        <f>일위대가목록!M102</f>
        <v>호표 99</v>
      </c>
      <c r="W948" s="448" t="s">
        <v>816</v>
      </c>
      <c r="X948" s="448" t="s">
        <v>51</v>
      </c>
      <c r="Y948" s="448" t="s">
        <v>51</v>
      </c>
      <c r="Z948" s="448" t="s">
        <v>808</v>
      </c>
      <c r="AA948" s="448" t="s">
        <v>62</v>
      </c>
      <c r="AB948" s="448" t="s">
        <v>62</v>
      </c>
      <c r="AC948" s="448" t="s">
        <v>61</v>
      </c>
      <c r="AD948" s="447"/>
      <c r="AE948" s="447"/>
      <c r="AF948" s="447"/>
      <c r="AG948" s="447"/>
      <c r="AH948" s="447"/>
      <c r="AI948" s="447"/>
      <c r="AJ948" s="447"/>
      <c r="AK948" s="447"/>
      <c r="AL948" s="447"/>
      <c r="AM948" s="447"/>
      <c r="AN948" s="447"/>
      <c r="AO948" s="447"/>
      <c r="AP948" s="447"/>
      <c r="AQ948" s="447"/>
      <c r="AR948" s="447"/>
      <c r="AS948" s="447"/>
      <c r="AT948" s="447"/>
      <c r="AU948" s="447"/>
      <c r="AV948" s="447"/>
      <c r="AW948" s="447"/>
      <c r="AX948" s="447"/>
      <c r="AY948" s="447"/>
      <c r="AZ948" s="447"/>
      <c r="BA948" s="448" t="s">
        <v>51</v>
      </c>
      <c r="BB948" s="448" t="s">
        <v>51</v>
      </c>
      <c r="BC948" s="447"/>
      <c r="BD948" s="448" t="s">
        <v>817</v>
      </c>
      <c r="BE948" s="447">
        <v>370</v>
      </c>
    </row>
    <row r="949" spans="1:57" ht="30" customHeight="1">
      <c r="A949" s="443" t="s">
        <v>811</v>
      </c>
      <c r="B949" s="443" t="s">
        <v>812</v>
      </c>
      <c r="C949" s="443" t="s">
        <v>321</v>
      </c>
      <c r="D949" s="1133">
        <v>41</v>
      </c>
      <c r="E949" s="445">
        <f>'2층전시실산출 '!H346</f>
        <v>41</v>
      </c>
      <c r="F949" s="1147">
        <v>12000</v>
      </c>
      <c r="G949" s="1147">
        <v>492000</v>
      </c>
      <c r="H949" s="450">
        <f>TRUNC(단가대비표!O479,0)</f>
        <v>12000</v>
      </c>
      <c r="I949" s="450">
        <f t="shared" si="112"/>
        <v>492000</v>
      </c>
      <c r="J949" s="1147"/>
      <c r="K949" s="1147">
        <v>0</v>
      </c>
      <c r="L949" s="450"/>
      <c r="M949" s="450">
        <f t="shared" si="113"/>
        <v>0</v>
      </c>
      <c r="N949" s="1147"/>
      <c r="O949" s="1147">
        <v>0</v>
      </c>
      <c r="P949" s="450"/>
      <c r="Q949" s="450">
        <f>TRUNC(P949*E949, 0)</f>
        <v>0</v>
      </c>
      <c r="R949" s="1147">
        <v>12000</v>
      </c>
      <c r="S949" s="1147">
        <v>492000</v>
      </c>
      <c r="T949" s="450">
        <f t="shared" si="114"/>
        <v>12000</v>
      </c>
      <c r="U949" s="450">
        <f t="shared" si="115"/>
        <v>492000</v>
      </c>
      <c r="V949" s="454" t="s">
        <v>51</v>
      </c>
      <c r="W949" s="448" t="s">
        <v>820</v>
      </c>
      <c r="X949" s="448" t="s">
        <v>51</v>
      </c>
      <c r="Y949" s="448" t="s">
        <v>51</v>
      </c>
      <c r="Z949" s="448" t="s">
        <v>808</v>
      </c>
      <c r="AA949" s="448" t="s">
        <v>62</v>
      </c>
      <c r="AB949" s="448" t="s">
        <v>62</v>
      </c>
      <c r="AC949" s="448" t="s">
        <v>61</v>
      </c>
      <c r="AD949" s="447"/>
      <c r="AE949" s="447"/>
      <c r="AF949" s="447"/>
      <c r="AG949" s="447"/>
      <c r="AH949" s="447"/>
      <c r="AI949" s="447"/>
      <c r="AJ949" s="447"/>
      <c r="AK949" s="447"/>
      <c r="AL949" s="447"/>
      <c r="AM949" s="447"/>
      <c r="AN949" s="447"/>
      <c r="AO949" s="447"/>
      <c r="AP949" s="447"/>
      <c r="AQ949" s="447"/>
      <c r="AR949" s="447"/>
      <c r="AS949" s="447"/>
      <c r="AT949" s="447"/>
      <c r="AU949" s="447"/>
      <c r="AV949" s="447"/>
      <c r="AW949" s="447"/>
      <c r="AX949" s="447"/>
      <c r="AY949" s="447"/>
      <c r="AZ949" s="447"/>
      <c r="BA949" s="448" t="s">
        <v>51</v>
      </c>
      <c r="BB949" s="448" t="s">
        <v>51</v>
      </c>
      <c r="BC949" s="447"/>
      <c r="BD949" s="448" t="s">
        <v>821</v>
      </c>
      <c r="BE949" s="447">
        <v>371</v>
      </c>
    </row>
    <row r="950" spans="1:57" ht="30" customHeight="1">
      <c r="A950" s="443" t="s">
        <v>815</v>
      </c>
      <c r="B950" s="443" t="s">
        <v>812</v>
      </c>
      <c r="C950" s="443" t="s">
        <v>321</v>
      </c>
      <c r="D950" s="1133">
        <v>41</v>
      </c>
      <c r="E950" s="445">
        <f>'2층전시실산출 '!H347</f>
        <v>41</v>
      </c>
      <c r="F950" s="1147">
        <v>28000</v>
      </c>
      <c r="G950" s="1147">
        <v>1148000</v>
      </c>
      <c r="H950" s="450">
        <f>TRUNC(단가대비표!O480,0)</f>
        <v>28000</v>
      </c>
      <c r="I950" s="450">
        <f t="shared" si="112"/>
        <v>1148000</v>
      </c>
      <c r="J950" s="1147"/>
      <c r="K950" s="1147">
        <v>0</v>
      </c>
      <c r="L950" s="450"/>
      <c r="M950" s="450">
        <f t="shared" si="113"/>
        <v>0</v>
      </c>
      <c r="N950" s="1147"/>
      <c r="O950" s="1147">
        <v>0</v>
      </c>
      <c r="P950" s="450"/>
      <c r="Q950" s="450">
        <f>TRUNC(P950*E950, 0)</f>
        <v>0</v>
      </c>
      <c r="R950" s="1147">
        <v>28000</v>
      </c>
      <c r="S950" s="1147">
        <v>1148000</v>
      </c>
      <c r="T950" s="450">
        <f t="shared" si="114"/>
        <v>28000</v>
      </c>
      <c r="U950" s="450">
        <f t="shared" si="115"/>
        <v>1148000</v>
      </c>
      <c r="V950" s="454" t="s">
        <v>51</v>
      </c>
      <c r="W950" s="448" t="s">
        <v>823</v>
      </c>
      <c r="X950" s="448" t="s">
        <v>51</v>
      </c>
      <c r="Y950" s="448" t="s">
        <v>51</v>
      </c>
      <c r="Z950" s="448" t="s">
        <v>808</v>
      </c>
      <c r="AA950" s="448" t="s">
        <v>62</v>
      </c>
      <c r="AB950" s="448" t="s">
        <v>62</v>
      </c>
      <c r="AC950" s="448" t="s">
        <v>61</v>
      </c>
      <c r="AD950" s="447"/>
      <c r="AE950" s="447"/>
      <c r="AF950" s="447"/>
      <c r="AG950" s="447"/>
      <c r="AH950" s="447"/>
      <c r="AI950" s="447"/>
      <c r="AJ950" s="447"/>
      <c r="AK950" s="447"/>
      <c r="AL950" s="447"/>
      <c r="AM950" s="447"/>
      <c r="AN950" s="447"/>
      <c r="AO950" s="447"/>
      <c r="AP950" s="447"/>
      <c r="AQ950" s="447"/>
      <c r="AR950" s="447"/>
      <c r="AS950" s="447"/>
      <c r="AT950" s="447"/>
      <c r="AU950" s="447"/>
      <c r="AV950" s="447"/>
      <c r="AW950" s="447"/>
      <c r="AX950" s="447"/>
      <c r="AY950" s="447"/>
      <c r="AZ950" s="447"/>
      <c r="BA950" s="448" t="s">
        <v>51</v>
      </c>
      <c r="BB950" s="448" t="s">
        <v>51</v>
      </c>
      <c r="BC950" s="447"/>
      <c r="BD950" s="448" t="s">
        <v>824</v>
      </c>
      <c r="BE950" s="447">
        <v>372</v>
      </c>
    </row>
    <row r="951" spans="1:57" ht="30" customHeight="1">
      <c r="A951" s="443" t="s">
        <v>818</v>
      </c>
      <c r="B951" s="443" t="s">
        <v>819</v>
      </c>
      <c r="C951" s="443" t="s">
        <v>321</v>
      </c>
      <c r="D951" s="1133">
        <v>32</v>
      </c>
      <c r="E951" s="445">
        <f>'2층전시실산출 '!H348</f>
        <v>32</v>
      </c>
      <c r="F951" s="1147">
        <v>120000</v>
      </c>
      <c r="G951" s="1147">
        <v>3840000</v>
      </c>
      <c r="H951" s="450">
        <f>TRUNC(단가대비표!O287,0)</f>
        <v>120000</v>
      </c>
      <c r="I951" s="450">
        <f t="shared" si="112"/>
        <v>3840000</v>
      </c>
      <c r="J951" s="1147"/>
      <c r="K951" s="1147">
        <v>0</v>
      </c>
      <c r="L951" s="450"/>
      <c r="M951" s="450">
        <f t="shared" si="113"/>
        <v>0</v>
      </c>
      <c r="N951" s="1147"/>
      <c r="O951" s="1147">
        <v>0</v>
      </c>
      <c r="P951" s="450"/>
      <c r="Q951" s="450">
        <f>TRUNC(P951*E951, 0)</f>
        <v>0</v>
      </c>
      <c r="R951" s="1147">
        <v>120000</v>
      </c>
      <c r="S951" s="1147">
        <v>3840000</v>
      </c>
      <c r="T951" s="450">
        <f t="shared" si="114"/>
        <v>120000</v>
      </c>
      <c r="U951" s="450">
        <f t="shared" si="115"/>
        <v>3840000</v>
      </c>
      <c r="V951" s="454" t="s">
        <v>51</v>
      </c>
      <c r="W951" s="448" t="s">
        <v>827</v>
      </c>
      <c r="X951" s="448" t="s">
        <v>51</v>
      </c>
      <c r="Y951" s="448" t="s">
        <v>51</v>
      </c>
      <c r="Z951" s="448" t="s">
        <v>808</v>
      </c>
      <c r="AA951" s="448" t="s">
        <v>62</v>
      </c>
      <c r="AB951" s="448" t="s">
        <v>62</v>
      </c>
      <c r="AC951" s="448" t="s">
        <v>61</v>
      </c>
      <c r="AD951" s="447"/>
      <c r="AE951" s="447"/>
      <c r="AF951" s="447"/>
      <c r="AG951" s="447"/>
      <c r="AH951" s="447"/>
      <c r="AI951" s="447"/>
      <c r="AJ951" s="447"/>
      <c r="AK951" s="447"/>
      <c r="AL951" s="447"/>
      <c r="AM951" s="447"/>
      <c r="AN951" s="447"/>
      <c r="AO951" s="447"/>
      <c r="AP951" s="447"/>
      <c r="AQ951" s="447"/>
      <c r="AR951" s="447"/>
      <c r="AS951" s="447"/>
      <c r="AT951" s="447"/>
      <c r="AU951" s="447"/>
      <c r="AV951" s="447"/>
      <c r="AW951" s="447"/>
      <c r="AX951" s="447"/>
      <c r="AY951" s="447"/>
      <c r="AZ951" s="447"/>
      <c r="BA951" s="448" t="s">
        <v>51</v>
      </c>
      <c r="BB951" s="448" t="s">
        <v>51</v>
      </c>
      <c r="BC951" s="447"/>
      <c r="BD951" s="448" t="s">
        <v>828</v>
      </c>
      <c r="BE951" s="447">
        <v>373</v>
      </c>
    </row>
    <row r="952" spans="1:57" ht="30" customHeight="1">
      <c r="A952" s="443" t="s">
        <v>812</v>
      </c>
      <c r="B952" s="443" t="s">
        <v>822</v>
      </c>
      <c r="C952" s="443" t="s">
        <v>321</v>
      </c>
      <c r="D952" s="1133">
        <v>1</v>
      </c>
      <c r="E952" s="445">
        <f>'2층전시실산출 '!H349</f>
        <v>1</v>
      </c>
      <c r="F952" s="1147">
        <v>6500000</v>
      </c>
      <c r="G952" s="1147">
        <v>6500000</v>
      </c>
      <c r="H952" s="450">
        <f>TRUNC(단가대비표!O288,0)</f>
        <v>6500000</v>
      </c>
      <c r="I952" s="450">
        <f t="shared" si="112"/>
        <v>6500000</v>
      </c>
      <c r="J952" s="1147"/>
      <c r="K952" s="1147">
        <v>0</v>
      </c>
      <c r="L952" s="450"/>
      <c r="M952" s="450">
        <f t="shared" si="113"/>
        <v>0</v>
      </c>
      <c r="N952" s="1147"/>
      <c r="O952" s="1147">
        <v>0</v>
      </c>
      <c r="P952" s="450"/>
      <c r="Q952" s="450">
        <f>TRUNC(P952*E952, 0)</f>
        <v>0</v>
      </c>
      <c r="R952" s="1147">
        <v>6500000</v>
      </c>
      <c r="S952" s="1147">
        <v>6500000</v>
      </c>
      <c r="T952" s="450">
        <f t="shared" si="114"/>
        <v>6500000</v>
      </c>
      <c r="U952" s="450">
        <f t="shared" si="115"/>
        <v>6500000</v>
      </c>
      <c r="V952" s="454" t="s">
        <v>51</v>
      </c>
      <c r="W952" s="448" t="s">
        <v>830</v>
      </c>
      <c r="X952" s="448" t="s">
        <v>51</v>
      </c>
      <c r="Y952" s="448" t="s">
        <v>51</v>
      </c>
      <c r="Z952" s="448" t="s">
        <v>808</v>
      </c>
      <c r="AA952" s="448" t="s">
        <v>62</v>
      </c>
      <c r="AB952" s="448" t="s">
        <v>62</v>
      </c>
      <c r="AC952" s="448" t="s">
        <v>61</v>
      </c>
      <c r="AD952" s="447"/>
      <c r="AE952" s="447"/>
      <c r="AF952" s="447"/>
      <c r="AG952" s="447"/>
      <c r="AH952" s="447"/>
      <c r="AI952" s="447"/>
      <c r="AJ952" s="447"/>
      <c r="AK952" s="447"/>
      <c r="AL952" s="447"/>
      <c r="AM952" s="447"/>
      <c r="AN952" s="447"/>
      <c r="AO952" s="447"/>
      <c r="AP952" s="447"/>
      <c r="AQ952" s="447"/>
      <c r="AR952" s="447"/>
      <c r="AS952" s="447"/>
      <c r="AT952" s="447"/>
      <c r="AU952" s="447"/>
      <c r="AV952" s="447"/>
      <c r="AW952" s="447"/>
      <c r="AX952" s="447"/>
      <c r="AY952" s="447"/>
      <c r="AZ952" s="447"/>
      <c r="BA952" s="448" t="s">
        <v>51</v>
      </c>
      <c r="BB952" s="448" t="s">
        <v>51</v>
      </c>
      <c r="BC952" s="447"/>
      <c r="BD952" s="448" t="s">
        <v>831</v>
      </c>
      <c r="BE952" s="447">
        <v>374</v>
      </c>
    </row>
    <row r="953" spans="1:57" ht="30" customHeight="1">
      <c r="A953" s="443" t="s">
        <v>4844</v>
      </c>
      <c r="B953" s="443" t="str">
        <f>'2층전시실산출 '!C350</f>
        <v>1500*400*450</v>
      </c>
      <c r="C953" s="443" t="str">
        <f>'2층전시실산출 '!D350</f>
        <v>EA</v>
      </c>
      <c r="D953" s="1133">
        <v>5</v>
      </c>
      <c r="E953" s="445">
        <f>'2층전시실산출 '!H350</f>
        <v>5</v>
      </c>
      <c r="F953" s="1147">
        <v>650000</v>
      </c>
      <c r="G953" s="1147">
        <v>3250000</v>
      </c>
      <c r="H953" s="450">
        <f>TRUNC(단가대비표!O289,0)</f>
        <v>650000</v>
      </c>
      <c r="I953" s="450">
        <f t="shared" si="112"/>
        <v>3250000</v>
      </c>
      <c r="J953" s="1147"/>
      <c r="K953" s="1147">
        <v>0</v>
      </c>
      <c r="L953" s="450"/>
      <c r="M953" s="450">
        <f t="shared" si="113"/>
        <v>0</v>
      </c>
      <c r="N953" s="1147"/>
      <c r="O953" s="1147"/>
      <c r="P953" s="450"/>
      <c r="Q953" s="450"/>
      <c r="R953" s="1147">
        <v>650000</v>
      </c>
      <c r="S953" s="1147">
        <v>3250000</v>
      </c>
      <c r="T953" s="450">
        <f t="shared" si="114"/>
        <v>650000</v>
      </c>
      <c r="U953" s="450">
        <f t="shared" si="115"/>
        <v>3250000</v>
      </c>
      <c r="V953" s="454"/>
      <c r="W953" s="448"/>
      <c r="X953" s="448"/>
      <c r="Y953" s="448"/>
      <c r="Z953" s="448"/>
      <c r="AA953" s="448"/>
      <c r="AB953" s="448"/>
      <c r="AC953" s="448"/>
      <c r="AD953" s="447"/>
      <c r="AE953" s="447"/>
      <c r="AF953" s="447"/>
      <c r="AG953" s="447"/>
      <c r="AH953" s="447"/>
      <c r="AI953" s="447"/>
      <c r="AJ953" s="447"/>
      <c r="AK953" s="447"/>
      <c r="AL953" s="447"/>
      <c r="AM953" s="447"/>
      <c r="AN953" s="447"/>
      <c r="AO953" s="447"/>
      <c r="AP953" s="447"/>
      <c r="AQ953" s="447"/>
      <c r="AR953" s="447"/>
      <c r="AS953" s="447"/>
      <c r="AT953" s="447"/>
      <c r="AU953" s="447"/>
      <c r="AV953" s="447"/>
      <c r="AW953" s="447"/>
      <c r="AX953" s="447"/>
      <c r="AY953" s="447"/>
      <c r="AZ953" s="447"/>
      <c r="BA953" s="448"/>
      <c r="BB953" s="448"/>
      <c r="BC953" s="447"/>
      <c r="BD953" s="448"/>
      <c r="BE953" s="447"/>
    </row>
    <row r="954" spans="1:57" ht="30" customHeight="1">
      <c r="A954" s="443" t="s">
        <v>825</v>
      </c>
      <c r="B954" s="443" t="s">
        <v>826</v>
      </c>
      <c r="C954" s="443" t="s">
        <v>321</v>
      </c>
      <c r="D954" s="1133">
        <v>1</v>
      </c>
      <c r="E954" s="445">
        <f>'2층전시실산출 '!H351</f>
        <v>1</v>
      </c>
      <c r="F954" s="1147">
        <v>10000</v>
      </c>
      <c r="G954" s="1147">
        <v>10000</v>
      </c>
      <c r="H954" s="450">
        <f>단가대비표!O290</f>
        <v>10000</v>
      </c>
      <c r="I954" s="450">
        <f t="shared" si="112"/>
        <v>10000</v>
      </c>
      <c r="J954" s="1147"/>
      <c r="K954" s="1147">
        <v>0</v>
      </c>
      <c r="L954" s="450"/>
      <c r="M954" s="450">
        <f t="shared" si="113"/>
        <v>0</v>
      </c>
      <c r="N954" s="1147"/>
      <c r="O954" s="1147">
        <v>0</v>
      </c>
      <c r="P954" s="450"/>
      <c r="Q954" s="450">
        <f t="shared" ref="Q954:Q985" si="116">TRUNC(P954*E954, 0)</f>
        <v>0</v>
      </c>
      <c r="R954" s="1147">
        <v>10000</v>
      </c>
      <c r="S954" s="1147">
        <v>10000</v>
      </c>
      <c r="T954" s="450">
        <f t="shared" si="114"/>
        <v>10000</v>
      </c>
      <c r="U954" s="450">
        <f t="shared" si="115"/>
        <v>10000</v>
      </c>
      <c r="V954" s="454" t="s">
        <v>51</v>
      </c>
      <c r="W954" s="448" t="s">
        <v>833</v>
      </c>
      <c r="X954" s="448" t="s">
        <v>51</v>
      </c>
      <c r="Y954" s="448" t="s">
        <v>51</v>
      </c>
      <c r="Z954" s="448" t="s">
        <v>808</v>
      </c>
      <c r="AA954" s="448" t="s">
        <v>62</v>
      </c>
      <c r="AB954" s="448" t="s">
        <v>62</v>
      </c>
      <c r="AC954" s="448" t="s">
        <v>61</v>
      </c>
      <c r="AD954" s="447"/>
      <c r="AE954" s="447"/>
      <c r="AF954" s="447"/>
      <c r="AG954" s="447"/>
      <c r="AH954" s="447"/>
      <c r="AI954" s="447"/>
      <c r="AJ954" s="447"/>
      <c r="AK954" s="447"/>
      <c r="AL954" s="447"/>
      <c r="AM954" s="447"/>
      <c r="AN954" s="447"/>
      <c r="AO954" s="447"/>
      <c r="AP954" s="447"/>
      <c r="AQ954" s="447"/>
      <c r="AR954" s="447"/>
      <c r="AS954" s="447"/>
      <c r="AT954" s="447"/>
      <c r="AU954" s="447"/>
      <c r="AV954" s="447"/>
      <c r="AW954" s="447"/>
      <c r="AX954" s="447"/>
      <c r="AY954" s="447"/>
      <c r="AZ954" s="447"/>
      <c r="BA954" s="448" t="s">
        <v>51</v>
      </c>
      <c r="BB954" s="448" t="s">
        <v>51</v>
      </c>
      <c r="BC954" s="447"/>
      <c r="BD954" s="448" t="s">
        <v>834</v>
      </c>
      <c r="BE954" s="447">
        <v>375</v>
      </c>
    </row>
    <row r="955" spans="1:57" ht="30" customHeight="1">
      <c r="A955" s="443" t="s">
        <v>825</v>
      </c>
      <c r="B955" s="443" t="s">
        <v>829</v>
      </c>
      <c r="C955" s="443" t="s">
        <v>321</v>
      </c>
      <c r="D955" s="1133">
        <v>4</v>
      </c>
      <c r="E955" s="445">
        <f>'2층전시실산출 '!H352</f>
        <v>4</v>
      </c>
      <c r="F955" s="1147">
        <v>11000</v>
      </c>
      <c r="G955" s="1147">
        <v>44000</v>
      </c>
      <c r="H955" s="450">
        <f>단가대비표!O291</f>
        <v>11000</v>
      </c>
      <c r="I955" s="450">
        <f t="shared" si="112"/>
        <v>44000</v>
      </c>
      <c r="J955" s="1147"/>
      <c r="K955" s="1147">
        <v>0</v>
      </c>
      <c r="L955" s="450"/>
      <c r="M955" s="450">
        <f t="shared" si="113"/>
        <v>0</v>
      </c>
      <c r="N955" s="1147"/>
      <c r="O955" s="1147">
        <v>0</v>
      </c>
      <c r="P955" s="450"/>
      <c r="Q955" s="450">
        <f t="shared" si="116"/>
        <v>0</v>
      </c>
      <c r="R955" s="1147">
        <v>11000</v>
      </c>
      <c r="S955" s="1147">
        <v>44000</v>
      </c>
      <c r="T955" s="450">
        <f t="shared" si="114"/>
        <v>11000</v>
      </c>
      <c r="U955" s="450">
        <f t="shared" si="115"/>
        <v>44000</v>
      </c>
      <c r="V955" s="454" t="s">
        <v>51</v>
      </c>
      <c r="W955" s="448" t="s">
        <v>836</v>
      </c>
      <c r="X955" s="448" t="s">
        <v>51</v>
      </c>
      <c r="Y955" s="448" t="s">
        <v>51</v>
      </c>
      <c r="Z955" s="448" t="s">
        <v>808</v>
      </c>
      <c r="AA955" s="448" t="s">
        <v>62</v>
      </c>
      <c r="AB955" s="448" t="s">
        <v>62</v>
      </c>
      <c r="AC955" s="448" t="s">
        <v>61</v>
      </c>
      <c r="AD955" s="447"/>
      <c r="AE955" s="447"/>
      <c r="AF955" s="447"/>
      <c r="AG955" s="447"/>
      <c r="AH955" s="447"/>
      <c r="AI955" s="447"/>
      <c r="AJ955" s="447"/>
      <c r="AK955" s="447"/>
      <c r="AL955" s="447"/>
      <c r="AM955" s="447"/>
      <c r="AN955" s="447"/>
      <c r="AO955" s="447"/>
      <c r="AP955" s="447"/>
      <c r="AQ955" s="447"/>
      <c r="AR955" s="447"/>
      <c r="AS955" s="447"/>
      <c r="AT955" s="447"/>
      <c r="AU955" s="447"/>
      <c r="AV955" s="447"/>
      <c r="AW955" s="447"/>
      <c r="AX955" s="447"/>
      <c r="AY955" s="447"/>
      <c r="AZ955" s="447"/>
      <c r="BA955" s="448" t="s">
        <v>51</v>
      </c>
      <c r="BB955" s="448" t="s">
        <v>51</v>
      </c>
      <c r="BC955" s="447"/>
      <c r="BD955" s="448" t="s">
        <v>837</v>
      </c>
      <c r="BE955" s="447">
        <v>376</v>
      </c>
    </row>
    <row r="956" spans="1:57" ht="30" customHeight="1">
      <c r="A956" s="443" t="s">
        <v>825</v>
      </c>
      <c r="B956" s="443" t="s">
        <v>832</v>
      </c>
      <c r="C956" s="443" t="s">
        <v>321</v>
      </c>
      <c r="D956" s="1133">
        <v>4</v>
      </c>
      <c r="E956" s="445">
        <f>'2층전시실산출 '!H353</f>
        <v>4</v>
      </c>
      <c r="F956" s="1147">
        <v>12000</v>
      </c>
      <c r="G956" s="1147">
        <v>48000</v>
      </c>
      <c r="H956" s="450">
        <f>단가대비표!O292</f>
        <v>12000</v>
      </c>
      <c r="I956" s="450">
        <f t="shared" si="112"/>
        <v>48000</v>
      </c>
      <c r="J956" s="1147"/>
      <c r="K956" s="1147">
        <v>0</v>
      </c>
      <c r="L956" s="450"/>
      <c r="M956" s="450">
        <f t="shared" si="113"/>
        <v>0</v>
      </c>
      <c r="N956" s="1147"/>
      <c r="O956" s="1147">
        <v>0</v>
      </c>
      <c r="P956" s="450"/>
      <c r="Q956" s="450">
        <f t="shared" si="116"/>
        <v>0</v>
      </c>
      <c r="R956" s="1147">
        <v>12000</v>
      </c>
      <c r="S956" s="1147">
        <v>48000</v>
      </c>
      <c r="T956" s="450">
        <f t="shared" si="114"/>
        <v>12000</v>
      </c>
      <c r="U956" s="450">
        <f t="shared" si="115"/>
        <v>48000</v>
      </c>
      <c r="V956" s="454" t="s">
        <v>51</v>
      </c>
      <c r="W956" s="448" t="s">
        <v>839</v>
      </c>
      <c r="X956" s="448" t="s">
        <v>51</v>
      </c>
      <c r="Y956" s="448" t="s">
        <v>51</v>
      </c>
      <c r="Z956" s="448" t="s">
        <v>808</v>
      </c>
      <c r="AA956" s="448" t="s">
        <v>62</v>
      </c>
      <c r="AB956" s="448" t="s">
        <v>62</v>
      </c>
      <c r="AC956" s="448" t="s">
        <v>61</v>
      </c>
      <c r="AD956" s="447"/>
      <c r="AE956" s="447"/>
      <c r="AF956" s="447"/>
      <c r="AG956" s="447"/>
      <c r="AH956" s="447"/>
      <c r="AI956" s="447"/>
      <c r="AJ956" s="447"/>
      <c r="AK956" s="447"/>
      <c r="AL956" s="447"/>
      <c r="AM956" s="447"/>
      <c r="AN956" s="447"/>
      <c r="AO956" s="447"/>
      <c r="AP956" s="447"/>
      <c r="AQ956" s="447"/>
      <c r="AR956" s="447"/>
      <c r="AS956" s="447"/>
      <c r="AT956" s="447"/>
      <c r="AU956" s="447"/>
      <c r="AV956" s="447"/>
      <c r="AW956" s="447"/>
      <c r="AX956" s="447"/>
      <c r="AY956" s="447"/>
      <c r="AZ956" s="447"/>
      <c r="BA956" s="448" t="s">
        <v>51</v>
      </c>
      <c r="BB956" s="448" t="s">
        <v>51</v>
      </c>
      <c r="BC956" s="447"/>
      <c r="BD956" s="448" t="s">
        <v>840</v>
      </c>
      <c r="BE956" s="447">
        <v>377</v>
      </c>
    </row>
    <row r="957" spans="1:57" ht="30" customHeight="1">
      <c r="A957" s="443" t="s">
        <v>825</v>
      </c>
      <c r="B957" s="443" t="s">
        <v>835</v>
      </c>
      <c r="C957" s="443" t="s">
        <v>321</v>
      </c>
      <c r="D957" s="1133">
        <v>4</v>
      </c>
      <c r="E957" s="445">
        <f>'2층전시실산출 '!H354</f>
        <v>4</v>
      </c>
      <c r="F957" s="1147">
        <v>13000</v>
      </c>
      <c r="G957" s="1147">
        <v>52000</v>
      </c>
      <c r="H957" s="450">
        <f>단가대비표!O293</f>
        <v>13000</v>
      </c>
      <c r="I957" s="450">
        <f t="shared" si="112"/>
        <v>52000</v>
      </c>
      <c r="J957" s="1147"/>
      <c r="K957" s="1147">
        <v>0</v>
      </c>
      <c r="L957" s="450"/>
      <c r="M957" s="450">
        <f t="shared" si="113"/>
        <v>0</v>
      </c>
      <c r="N957" s="1147"/>
      <c r="O957" s="1147">
        <v>0</v>
      </c>
      <c r="P957" s="450"/>
      <c r="Q957" s="450">
        <f t="shared" si="116"/>
        <v>0</v>
      </c>
      <c r="R957" s="1147">
        <v>13000</v>
      </c>
      <c r="S957" s="1147">
        <v>52000</v>
      </c>
      <c r="T957" s="450">
        <f t="shared" si="114"/>
        <v>13000</v>
      </c>
      <c r="U957" s="450">
        <f t="shared" si="115"/>
        <v>52000</v>
      </c>
      <c r="V957" s="454" t="s">
        <v>51</v>
      </c>
      <c r="W957" s="448" t="s">
        <v>842</v>
      </c>
      <c r="X957" s="448" t="s">
        <v>51</v>
      </c>
      <c r="Y957" s="448" t="s">
        <v>51</v>
      </c>
      <c r="Z957" s="448" t="s">
        <v>808</v>
      </c>
      <c r="AA957" s="448" t="s">
        <v>62</v>
      </c>
      <c r="AB957" s="448" t="s">
        <v>62</v>
      </c>
      <c r="AC957" s="448" t="s">
        <v>61</v>
      </c>
      <c r="AD957" s="447"/>
      <c r="AE957" s="447"/>
      <c r="AF957" s="447"/>
      <c r="AG957" s="447"/>
      <c r="AH957" s="447"/>
      <c r="AI957" s="447"/>
      <c r="AJ957" s="447"/>
      <c r="AK957" s="447"/>
      <c r="AL957" s="447"/>
      <c r="AM957" s="447"/>
      <c r="AN957" s="447"/>
      <c r="AO957" s="447"/>
      <c r="AP957" s="447"/>
      <c r="AQ957" s="447"/>
      <c r="AR957" s="447"/>
      <c r="AS957" s="447"/>
      <c r="AT957" s="447"/>
      <c r="AU957" s="447"/>
      <c r="AV957" s="447"/>
      <c r="AW957" s="447"/>
      <c r="AX957" s="447"/>
      <c r="AY957" s="447"/>
      <c r="AZ957" s="447"/>
      <c r="BA957" s="448" t="s">
        <v>51</v>
      </c>
      <c r="BB957" s="448" t="s">
        <v>51</v>
      </c>
      <c r="BC957" s="447"/>
      <c r="BD957" s="448" t="s">
        <v>843</v>
      </c>
      <c r="BE957" s="447">
        <v>378</v>
      </c>
    </row>
    <row r="958" spans="1:57" ht="30" customHeight="1">
      <c r="A958" s="443" t="s">
        <v>825</v>
      </c>
      <c r="B958" s="443" t="s">
        <v>838</v>
      </c>
      <c r="C958" s="443" t="s">
        <v>321</v>
      </c>
      <c r="D958" s="1133">
        <v>1</v>
      </c>
      <c r="E958" s="445">
        <f>'2층전시실산출 '!H355</f>
        <v>1</v>
      </c>
      <c r="F958" s="1147">
        <v>15000</v>
      </c>
      <c r="G958" s="1147">
        <v>15000</v>
      </c>
      <c r="H958" s="450">
        <f>단가대비표!O294</f>
        <v>15000</v>
      </c>
      <c r="I958" s="450">
        <f t="shared" si="112"/>
        <v>15000</v>
      </c>
      <c r="J958" s="1147"/>
      <c r="K958" s="1147">
        <v>0</v>
      </c>
      <c r="L958" s="450"/>
      <c r="M958" s="450">
        <f t="shared" si="113"/>
        <v>0</v>
      </c>
      <c r="N958" s="1147"/>
      <c r="O958" s="1147">
        <v>0</v>
      </c>
      <c r="P958" s="450"/>
      <c r="Q958" s="450">
        <f t="shared" si="116"/>
        <v>0</v>
      </c>
      <c r="R958" s="1147">
        <v>15000</v>
      </c>
      <c r="S958" s="1147">
        <v>15000</v>
      </c>
      <c r="T958" s="450">
        <f t="shared" si="114"/>
        <v>15000</v>
      </c>
      <c r="U958" s="450">
        <f t="shared" si="115"/>
        <v>15000</v>
      </c>
      <c r="V958" s="454" t="s">
        <v>51</v>
      </c>
      <c r="W958" s="448" t="s">
        <v>845</v>
      </c>
      <c r="X958" s="448" t="s">
        <v>51</v>
      </c>
      <c r="Y958" s="448" t="s">
        <v>51</v>
      </c>
      <c r="Z958" s="448" t="s">
        <v>808</v>
      </c>
      <c r="AA958" s="448" t="s">
        <v>62</v>
      </c>
      <c r="AB958" s="448" t="s">
        <v>62</v>
      </c>
      <c r="AC958" s="448" t="s">
        <v>61</v>
      </c>
      <c r="AD958" s="447"/>
      <c r="AE958" s="447"/>
      <c r="AF958" s="447"/>
      <c r="AG958" s="447"/>
      <c r="AH958" s="447"/>
      <c r="AI958" s="447"/>
      <c r="AJ958" s="447"/>
      <c r="AK958" s="447"/>
      <c r="AL958" s="447"/>
      <c r="AM958" s="447"/>
      <c r="AN958" s="447"/>
      <c r="AO958" s="447"/>
      <c r="AP958" s="447"/>
      <c r="AQ958" s="447"/>
      <c r="AR958" s="447"/>
      <c r="AS958" s="447"/>
      <c r="AT958" s="447"/>
      <c r="AU958" s="447"/>
      <c r="AV958" s="447"/>
      <c r="AW958" s="447"/>
      <c r="AX958" s="447"/>
      <c r="AY958" s="447"/>
      <c r="AZ958" s="447"/>
      <c r="BA958" s="448" t="s">
        <v>51</v>
      </c>
      <c r="BB958" s="448" t="s">
        <v>51</v>
      </c>
      <c r="BC958" s="447"/>
      <c r="BD958" s="448" t="s">
        <v>846</v>
      </c>
      <c r="BE958" s="447">
        <v>379</v>
      </c>
    </row>
    <row r="959" spans="1:57" ht="30" customHeight="1">
      <c r="A959" s="443" t="s">
        <v>825</v>
      </c>
      <c r="B959" s="443" t="s">
        <v>841</v>
      </c>
      <c r="C959" s="443" t="s">
        <v>321</v>
      </c>
      <c r="D959" s="1133">
        <v>1</v>
      </c>
      <c r="E959" s="445">
        <f>'2층전시실산출 '!H356</f>
        <v>1</v>
      </c>
      <c r="F959" s="1147">
        <v>18000</v>
      </c>
      <c r="G959" s="1147">
        <v>18000</v>
      </c>
      <c r="H959" s="450">
        <f>단가대비표!O295</f>
        <v>18000</v>
      </c>
      <c r="I959" s="450">
        <f t="shared" si="112"/>
        <v>18000</v>
      </c>
      <c r="J959" s="1147"/>
      <c r="K959" s="1147">
        <v>0</v>
      </c>
      <c r="L959" s="450"/>
      <c r="M959" s="450">
        <f t="shared" si="113"/>
        <v>0</v>
      </c>
      <c r="N959" s="1147"/>
      <c r="O959" s="1147">
        <v>0</v>
      </c>
      <c r="P959" s="450"/>
      <c r="Q959" s="450">
        <f t="shared" si="116"/>
        <v>0</v>
      </c>
      <c r="R959" s="1147">
        <v>18000</v>
      </c>
      <c r="S959" s="1147">
        <v>18000</v>
      </c>
      <c r="T959" s="450">
        <f t="shared" si="114"/>
        <v>18000</v>
      </c>
      <c r="U959" s="450">
        <f t="shared" si="115"/>
        <v>18000</v>
      </c>
      <c r="V959" s="454" t="s">
        <v>51</v>
      </c>
      <c r="W959" s="448" t="s">
        <v>847</v>
      </c>
      <c r="X959" s="448" t="s">
        <v>51</v>
      </c>
      <c r="Y959" s="448" t="s">
        <v>51</v>
      </c>
      <c r="Z959" s="448" t="s">
        <v>808</v>
      </c>
      <c r="AA959" s="448" t="s">
        <v>62</v>
      </c>
      <c r="AB959" s="448" t="s">
        <v>62</v>
      </c>
      <c r="AC959" s="448" t="s">
        <v>61</v>
      </c>
      <c r="AD959" s="447"/>
      <c r="AE959" s="447"/>
      <c r="AF959" s="447"/>
      <c r="AG959" s="447"/>
      <c r="AH959" s="447"/>
      <c r="AI959" s="447"/>
      <c r="AJ959" s="447"/>
      <c r="AK959" s="447"/>
      <c r="AL959" s="447"/>
      <c r="AM959" s="447"/>
      <c r="AN959" s="447"/>
      <c r="AO959" s="447"/>
      <c r="AP959" s="447"/>
      <c r="AQ959" s="447"/>
      <c r="AR959" s="447"/>
      <c r="AS959" s="447"/>
      <c r="AT959" s="447"/>
      <c r="AU959" s="447"/>
      <c r="AV959" s="447"/>
      <c r="AW959" s="447"/>
      <c r="AX959" s="447"/>
      <c r="AY959" s="447"/>
      <c r="AZ959" s="447"/>
      <c r="BA959" s="448" t="s">
        <v>51</v>
      </c>
      <c r="BB959" s="448" t="s">
        <v>51</v>
      </c>
      <c r="BC959" s="447"/>
      <c r="BD959" s="448" t="s">
        <v>848</v>
      </c>
      <c r="BE959" s="447">
        <v>381</v>
      </c>
    </row>
    <row r="960" spans="1:57" ht="30" customHeight="1">
      <c r="A960" s="443" t="s">
        <v>825</v>
      </c>
      <c r="B960" s="443" t="s">
        <v>844</v>
      </c>
      <c r="C960" s="443" t="s">
        <v>321</v>
      </c>
      <c r="D960" s="1133">
        <v>2</v>
      </c>
      <c r="E960" s="445">
        <f>'2층전시실산출 '!H357</f>
        <v>2</v>
      </c>
      <c r="F960" s="1147">
        <v>21000</v>
      </c>
      <c r="G960" s="1147">
        <v>42000</v>
      </c>
      <c r="H960" s="450">
        <f>단가대비표!O296</f>
        <v>21000</v>
      </c>
      <c r="I960" s="450">
        <f t="shared" si="112"/>
        <v>42000</v>
      </c>
      <c r="J960" s="1147"/>
      <c r="K960" s="1147">
        <v>0</v>
      </c>
      <c r="L960" s="450"/>
      <c r="M960" s="450">
        <f t="shared" si="113"/>
        <v>0</v>
      </c>
      <c r="N960" s="1147"/>
      <c r="O960" s="1147">
        <v>0</v>
      </c>
      <c r="P960" s="450"/>
      <c r="Q960" s="450">
        <f t="shared" si="116"/>
        <v>0</v>
      </c>
      <c r="R960" s="1147">
        <v>21000</v>
      </c>
      <c r="S960" s="1147">
        <v>42000</v>
      </c>
      <c r="T960" s="450">
        <f t="shared" si="114"/>
        <v>21000</v>
      </c>
      <c r="U960" s="450">
        <f t="shared" si="115"/>
        <v>42000</v>
      </c>
      <c r="V960" s="454" t="s">
        <v>51</v>
      </c>
      <c r="W960" s="448" t="s">
        <v>847</v>
      </c>
      <c r="X960" s="448" t="s">
        <v>51</v>
      </c>
      <c r="Y960" s="448" t="s">
        <v>51</v>
      </c>
      <c r="Z960" s="448" t="s">
        <v>808</v>
      </c>
      <c r="AA960" s="448" t="s">
        <v>62</v>
      </c>
      <c r="AB960" s="448" t="s">
        <v>62</v>
      </c>
      <c r="AC960" s="448" t="s">
        <v>61</v>
      </c>
      <c r="AD960" s="447"/>
      <c r="AE960" s="447"/>
      <c r="AF960" s="447"/>
      <c r="AG960" s="447"/>
      <c r="AH960" s="447"/>
      <c r="AI960" s="447"/>
      <c r="AJ960" s="447"/>
      <c r="AK960" s="447"/>
      <c r="AL960" s="447"/>
      <c r="AM960" s="447"/>
      <c r="AN960" s="447"/>
      <c r="AO960" s="447"/>
      <c r="AP960" s="447"/>
      <c r="AQ960" s="447"/>
      <c r="AR960" s="447"/>
      <c r="AS960" s="447"/>
      <c r="AT960" s="447"/>
      <c r="AU960" s="447"/>
      <c r="AV960" s="447"/>
      <c r="AW960" s="447"/>
      <c r="AX960" s="447"/>
      <c r="AY960" s="447"/>
      <c r="AZ960" s="447"/>
      <c r="BA960" s="448" t="s">
        <v>51</v>
      </c>
      <c r="BB960" s="448" t="s">
        <v>51</v>
      </c>
      <c r="BC960" s="447"/>
      <c r="BD960" s="448" t="s">
        <v>848</v>
      </c>
      <c r="BE960" s="447">
        <v>381</v>
      </c>
    </row>
    <row r="961" spans="1:57" ht="30" customHeight="1">
      <c r="A961" s="494" t="s">
        <v>3208</v>
      </c>
      <c r="B961" s="494" t="s">
        <v>3283</v>
      </c>
      <c r="C961" s="495" t="s">
        <v>2568</v>
      </c>
      <c r="D961" s="1133">
        <v>2</v>
      </c>
      <c r="E961" s="445">
        <f>'2층전시실산출 '!H358</f>
        <v>2</v>
      </c>
      <c r="F961" s="1147">
        <v>12000</v>
      </c>
      <c r="G961" s="1147">
        <v>24000</v>
      </c>
      <c r="H961" s="450">
        <f>단가대비표!O297</f>
        <v>12000</v>
      </c>
      <c r="I961" s="450">
        <f t="shared" si="112"/>
        <v>24000</v>
      </c>
      <c r="J961" s="1147"/>
      <c r="K961" s="1147">
        <v>0</v>
      </c>
      <c r="L961" s="450"/>
      <c r="M961" s="450">
        <f t="shared" si="113"/>
        <v>0</v>
      </c>
      <c r="N961" s="1147"/>
      <c r="O961" s="1147">
        <v>0</v>
      </c>
      <c r="P961" s="450"/>
      <c r="Q961" s="450">
        <f t="shared" si="116"/>
        <v>0</v>
      </c>
      <c r="R961" s="1147">
        <v>12000</v>
      </c>
      <c r="S961" s="1147">
        <v>24000</v>
      </c>
      <c r="T961" s="450">
        <f t="shared" si="114"/>
        <v>12000</v>
      </c>
      <c r="U961" s="450">
        <f t="shared" si="115"/>
        <v>24000</v>
      </c>
      <c r="V961" s="454" t="s">
        <v>51</v>
      </c>
      <c r="W961" s="448" t="s">
        <v>847</v>
      </c>
      <c r="X961" s="448" t="s">
        <v>51</v>
      </c>
      <c r="Y961" s="448" t="s">
        <v>51</v>
      </c>
      <c r="Z961" s="448" t="s">
        <v>808</v>
      </c>
      <c r="AA961" s="448" t="s">
        <v>62</v>
      </c>
      <c r="AB961" s="448" t="s">
        <v>62</v>
      </c>
      <c r="AC961" s="448" t="s">
        <v>61</v>
      </c>
      <c r="AD961" s="447"/>
      <c r="AE961" s="447"/>
      <c r="AF961" s="447"/>
      <c r="AG961" s="447"/>
      <c r="AH961" s="447"/>
      <c r="AI961" s="447"/>
      <c r="AJ961" s="447"/>
      <c r="AK961" s="447"/>
      <c r="AL961" s="447"/>
      <c r="AM961" s="447"/>
      <c r="AN961" s="447"/>
      <c r="AO961" s="447"/>
      <c r="AP961" s="447"/>
      <c r="AQ961" s="447"/>
      <c r="AR961" s="447"/>
      <c r="AS961" s="447"/>
      <c r="AT961" s="447"/>
      <c r="AU961" s="447"/>
      <c r="AV961" s="447"/>
      <c r="AW961" s="447"/>
      <c r="AX961" s="447"/>
      <c r="AY961" s="447"/>
      <c r="AZ961" s="447"/>
      <c r="BA961" s="448" t="s">
        <v>51</v>
      </c>
      <c r="BB961" s="448" t="s">
        <v>51</v>
      </c>
      <c r="BC961" s="447"/>
      <c r="BD961" s="448" t="s">
        <v>848</v>
      </c>
      <c r="BE961" s="447">
        <v>381</v>
      </c>
    </row>
    <row r="962" spans="1:57" ht="30" customHeight="1">
      <c r="A962" s="494" t="s">
        <v>3208</v>
      </c>
      <c r="B962" s="494" t="s">
        <v>3284</v>
      </c>
      <c r="C962" s="495" t="s">
        <v>2568</v>
      </c>
      <c r="D962" s="1133">
        <v>1</v>
      </c>
      <c r="E962" s="445">
        <f>'2층전시실산출 '!H359</f>
        <v>1</v>
      </c>
      <c r="F962" s="1147">
        <v>900000</v>
      </c>
      <c r="G962" s="1147">
        <v>900000</v>
      </c>
      <c r="H962" s="450">
        <f>단가대비표!O298</f>
        <v>900000</v>
      </c>
      <c r="I962" s="450">
        <f t="shared" si="112"/>
        <v>900000</v>
      </c>
      <c r="J962" s="1147"/>
      <c r="K962" s="1147">
        <v>0</v>
      </c>
      <c r="L962" s="450"/>
      <c r="M962" s="450">
        <f t="shared" si="113"/>
        <v>0</v>
      </c>
      <c r="N962" s="1147"/>
      <c r="O962" s="1147">
        <v>0</v>
      </c>
      <c r="P962" s="450"/>
      <c r="Q962" s="450">
        <f t="shared" si="116"/>
        <v>0</v>
      </c>
      <c r="R962" s="1147">
        <v>900000</v>
      </c>
      <c r="S962" s="1147">
        <v>900000</v>
      </c>
      <c r="T962" s="450">
        <f t="shared" si="114"/>
        <v>900000</v>
      </c>
      <c r="U962" s="450">
        <f t="shared" si="115"/>
        <v>900000</v>
      </c>
      <c r="V962" s="454" t="s">
        <v>51</v>
      </c>
      <c r="W962" s="448" t="s">
        <v>847</v>
      </c>
      <c r="X962" s="448" t="s">
        <v>51</v>
      </c>
      <c r="Y962" s="448" t="s">
        <v>51</v>
      </c>
      <c r="Z962" s="448" t="s">
        <v>808</v>
      </c>
      <c r="AA962" s="448" t="s">
        <v>62</v>
      </c>
      <c r="AB962" s="448" t="s">
        <v>62</v>
      </c>
      <c r="AC962" s="448" t="s">
        <v>61</v>
      </c>
      <c r="AD962" s="447"/>
      <c r="AE962" s="447"/>
      <c r="AF962" s="447"/>
      <c r="AG962" s="447"/>
      <c r="AH962" s="447"/>
      <c r="AI962" s="447"/>
      <c r="AJ962" s="447"/>
      <c r="AK962" s="447"/>
      <c r="AL962" s="447"/>
      <c r="AM962" s="447"/>
      <c r="AN962" s="447"/>
      <c r="AO962" s="447"/>
      <c r="AP962" s="447"/>
      <c r="AQ962" s="447"/>
      <c r="AR962" s="447"/>
      <c r="AS962" s="447"/>
      <c r="AT962" s="447"/>
      <c r="AU962" s="447"/>
      <c r="AV962" s="447"/>
      <c r="AW962" s="447"/>
      <c r="AX962" s="447"/>
      <c r="AY962" s="447"/>
      <c r="AZ962" s="447"/>
      <c r="BA962" s="448" t="s">
        <v>51</v>
      </c>
      <c r="BB962" s="448" t="s">
        <v>51</v>
      </c>
      <c r="BC962" s="447"/>
      <c r="BD962" s="448" t="s">
        <v>848</v>
      </c>
      <c r="BE962" s="447">
        <v>381</v>
      </c>
    </row>
    <row r="963" spans="1:57" ht="30" customHeight="1">
      <c r="A963" s="494" t="s">
        <v>3208</v>
      </c>
      <c r="B963" s="494" t="s">
        <v>3285</v>
      </c>
      <c r="C963" s="495" t="s">
        <v>2568</v>
      </c>
      <c r="D963" s="1133">
        <v>2</v>
      </c>
      <c r="E963" s="445">
        <f>'2층전시실산출 '!H360</f>
        <v>2</v>
      </c>
      <c r="F963" s="1147">
        <v>750000</v>
      </c>
      <c r="G963" s="1147">
        <v>1500000</v>
      </c>
      <c r="H963" s="450">
        <f>단가대비표!O299</f>
        <v>750000</v>
      </c>
      <c r="I963" s="450">
        <f t="shared" si="112"/>
        <v>1500000</v>
      </c>
      <c r="J963" s="1147"/>
      <c r="K963" s="1147">
        <v>0</v>
      </c>
      <c r="L963" s="450"/>
      <c r="M963" s="450">
        <f t="shared" si="113"/>
        <v>0</v>
      </c>
      <c r="N963" s="1147"/>
      <c r="O963" s="1147">
        <v>0</v>
      </c>
      <c r="P963" s="450"/>
      <c r="Q963" s="450">
        <f t="shared" si="116"/>
        <v>0</v>
      </c>
      <c r="R963" s="1147">
        <v>750000</v>
      </c>
      <c r="S963" s="1147">
        <v>1500000</v>
      </c>
      <c r="T963" s="450">
        <f t="shared" si="114"/>
        <v>750000</v>
      </c>
      <c r="U963" s="450">
        <f t="shared" si="115"/>
        <v>1500000</v>
      </c>
      <c r="V963" s="454" t="s">
        <v>51</v>
      </c>
      <c r="W963" s="448" t="s">
        <v>847</v>
      </c>
      <c r="X963" s="448" t="s">
        <v>51</v>
      </c>
      <c r="Y963" s="448" t="s">
        <v>51</v>
      </c>
      <c r="Z963" s="448" t="s">
        <v>808</v>
      </c>
      <c r="AA963" s="448" t="s">
        <v>62</v>
      </c>
      <c r="AB963" s="448" t="s">
        <v>62</v>
      </c>
      <c r="AC963" s="448" t="s">
        <v>61</v>
      </c>
      <c r="AD963" s="447"/>
      <c r="AE963" s="447"/>
      <c r="AF963" s="447"/>
      <c r="AG963" s="447"/>
      <c r="AH963" s="447"/>
      <c r="AI963" s="447"/>
      <c r="AJ963" s="447"/>
      <c r="AK963" s="447"/>
      <c r="AL963" s="447"/>
      <c r="AM963" s="447"/>
      <c r="AN963" s="447"/>
      <c r="AO963" s="447"/>
      <c r="AP963" s="447"/>
      <c r="AQ963" s="447"/>
      <c r="AR963" s="447"/>
      <c r="AS963" s="447"/>
      <c r="AT963" s="447"/>
      <c r="AU963" s="447"/>
      <c r="AV963" s="447"/>
      <c r="AW963" s="447"/>
      <c r="AX963" s="447"/>
      <c r="AY963" s="447"/>
      <c r="AZ963" s="447"/>
      <c r="BA963" s="448" t="s">
        <v>51</v>
      </c>
      <c r="BB963" s="448" t="s">
        <v>51</v>
      </c>
      <c r="BC963" s="447"/>
      <c r="BD963" s="448" t="s">
        <v>848</v>
      </c>
      <c r="BE963" s="447">
        <v>381</v>
      </c>
    </row>
    <row r="964" spans="1:57" ht="30" customHeight="1">
      <c r="A964" s="494" t="s">
        <v>3208</v>
      </c>
      <c r="B964" s="494" t="s">
        <v>3286</v>
      </c>
      <c r="C964" s="495" t="s">
        <v>2568</v>
      </c>
      <c r="D964" s="1133">
        <v>1</v>
      </c>
      <c r="E964" s="445">
        <f>'2층전시실산출 '!H361</f>
        <v>1</v>
      </c>
      <c r="F964" s="1147">
        <v>520000</v>
      </c>
      <c r="G964" s="1147">
        <v>520000</v>
      </c>
      <c r="H964" s="450">
        <f>단가대비표!O300</f>
        <v>520000</v>
      </c>
      <c r="I964" s="450">
        <f t="shared" si="112"/>
        <v>520000</v>
      </c>
      <c r="J964" s="1147"/>
      <c r="K964" s="1147">
        <v>0</v>
      </c>
      <c r="L964" s="450"/>
      <c r="M964" s="450">
        <f t="shared" si="113"/>
        <v>0</v>
      </c>
      <c r="N964" s="1147"/>
      <c r="O964" s="1147">
        <v>0</v>
      </c>
      <c r="P964" s="450"/>
      <c r="Q964" s="450">
        <f t="shared" si="116"/>
        <v>0</v>
      </c>
      <c r="R964" s="1147">
        <v>520000</v>
      </c>
      <c r="S964" s="1147">
        <v>520000</v>
      </c>
      <c r="T964" s="450">
        <f t="shared" si="114"/>
        <v>520000</v>
      </c>
      <c r="U964" s="450">
        <f t="shared" si="115"/>
        <v>520000</v>
      </c>
      <c r="V964" s="454" t="s">
        <v>51</v>
      </c>
      <c r="W964" s="448" t="s">
        <v>847</v>
      </c>
      <c r="X964" s="448" t="s">
        <v>51</v>
      </c>
      <c r="Y964" s="448" t="s">
        <v>51</v>
      </c>
      <c r="Z964" s="448" t="s">
        <v>808</v>
      </c>
      <c r="AA964" s="448" t="s">
        <v>62</v>
      </c>
      <c r="AB964" s="448" t="s">
        <v>62</v>
      </c>
      <c r="AC964" s="448" t="s">
        <v>61</v>
      </c>
      <c r="AD964" s="447"/>
      <c r="AE964" s="447"/>
      <c r="AF964" s="447"/>
      <c r="AG964" s="447"/>
      <c r="AH964" s="447"/>
      <c r="AI964" s="447"/>
      <c r="AJ964" s="447"/>
      <c r="AK964" s="447"/>
      <c r="AL964" s="447"/>
      <c r="AM964" s="447"/>
      <c r="AN964" s="447"/>
      <c r="AO964" s="447"/>
      <c r="AP964" s="447"/>
      <c r="AQ964" s="447"/>
      <c r="AR964" s="447"/>
      <c r="AS964" s="447"/>
      <c r="AT964" s="447"/>
      <c r="AU964" s="447"/>
      <c r="AV964" s="447"/>
      <c r="AW964" s="447"/>
      <c r="AX964" s="447"/>
      <c r="AY964" s="447"/>
      <c r="AZ964" s="447"/>
      <c r="BA964" s="448" t="s">
        <v>51</v>
      </c>
      <c r="BB964" s="448" t="s">
        <v>51</v>
      </c>
      <c r="BC964" s="447"/>
      <c r="BD964" s="448" t="s">
        <v>848</v>
      </c>
      <c r="BE964" s="447">
        <v>381</v>
      </c>
    </row>
    <row r="965" spans="1:57" ht="30" customHeight="1">
      <c r="A965" s="494" t="s">
        <v>3208</v>
      </c>
      <c r="B965" s="494" t="s">
        <v>3287</v>
      </c>
      <c r="C965" s="495" t="s">
        <v>2568</v>
      </c>
      <c r="D965" s="1133">
        <v>2</v>
      </c>
      <c r="E965" s="445">
        <f>'2층전시실산출 '!H362</f>
        <v>2</v>
      </c>
      <c r="F965" s="1147">
        <v>180000</v>
      </c>
      <c r="G965" s="1147">
        <v>360000</v>
      </c>
      <c r="H965" s="450">
        <f>단가대비표!O301</f>
        <v>180000</v>
      </c>
      <c r="I965" s="450">
        <f t="shared" si="112"/>
        <v>360000</v>
      </c>
      <c r="J965" s="1147"/>
      <c r="K965" s="1147">
        <v>0</v>
      </c>
      <c r="L965" s="450"/>
      <c r="M965" s="450">
        <f t="shared" si="113"/>
        <v>0</v>
      </c>
      <c r="N965" s="1147"/>
      <c r="O965" s="1147">
        <v>0</v>
      </c>
      <c r="P965" s="450"/>
      <c r="Q965" s="450">
        <f t="shared" si="116"/>
        <v>0</v>
      </c>
      <c r="R965" s="1147">
        <v>180000</v>
      </c>
      <c r="S965" s="1147">
        <v>360000</v>
      </c>
      <c r="T965" s="450">
        <f t="shared" si="114"/>
        <v>180000</v>
      </c>
      <c r="U965" s="450">
        <f t="shared" si="115"/>
        <v>360000</v>
      </c>
      <c r="V965" s="454" t="s">
        <v>51</v>
      </c>
      <c r="W965" s="448" t="s">
        <v>847</v>
      </c>
      <c r="X965" s="448" t="s">
        <v>51</v>
      </c>
      <c r="Y965" s="448" t="s">
        <v>51</v>
      </c>
      <c r="Z965" s="448" t="s">
        <v>808</v>
      </c>
      <c r="AA965" s="448" t="s">
        <v>62</v>
      </c>
      <c r="AB965" s="448" t="s">
        <v>62</v>
      </c>
      <c r="AC965" s="448" t="s">
        <v>61</v>
      </c>
      <c r="AD965" s="447"/>
      <c r="AE965" s="447"/>
      <c r="AF965" s="447"/>
      <c r="AG965" s="447"/>
      <c r="AH965" s="447"/>
      <c r="AI965" s="447"/>
      <c r="AJ965" s="447"/>
      <c r="AK965" s="447"/>
      <c r="AL965" s="447"/>
      <c r="AM965" s="447"/>
      <c r="AN965" s="447"/>
      <c r="AO965" s="447"/>
      <c r="AP965" s="447"/>
      <c r="AQ965" s="447"/>
      <c r="AR965" s="447"/>
      <c r="AS965" s="447"/>
      <c r="AT965" s="447"/>
      <c r="AU965" s="447"/>
      <c r="AV965" s="447"/>
      <c r="AW965" s="447"/>
      <c r="AX965" s="447"/>
      <c r="AY965" s="447"/>
      <c r="AZ965" s="447"/>
      <c r="BA965" s="448" t="s">
        <v>51</v>
      </c>
      <c r="BB965" s="448" t="s">
        <v>51</v>
      </c>
      <c r="BC965" s="447"/>
      <c r="BD965" s="448" t="s">
        <v>848</v>
      </c>
      <c r="BE965" s="447">
        <v>381</v>
      </c>
    </row>
    <row r="966" spans="1:57" ht="30" customHeight="1">
      <c r="A966" s="494" t="s">
        <v>3208</v>
      </c>
      <c r="B966" s="494" t="s">
        <v>3288</v>
      </c>
      <c r="C966" s="495" t="s">
        <v>2568</v>
      </c>
      <c r="D966" s="1133">
        <v>1</v>
      </c>
      <c r="E966" s="445">
        <f>'2층전시실산출 '!H363</f>
        <v>1</v>
      </c>
      <c r="F966" s="1147">
        <v>320000</v>
      </c>
      <c r="G966" s="1147">
        <v>320000</v>
      </c>
      <c r="H966" s="450">
        <f>단가대비표!O302</f>
        <v>320000</v>
      </c>
      <c r="I966" s="450">
        <f t="shared" si="112"/>
        <v>320000</v>
      </c>
      <c r="J966" s="1147"/>
      <c r="K966" s="1147">
        <v>0</v>
      </c>
      <c r="L966" s="450"/>
      <c r="M966" s="450">
        <f t="shared" si="113"/>
        <v>0</v>
      </c>
      <c r="N966" s="1147"/>
      <c r="O966" s="1147">
        <v>0</v>
      </c>
      <c r="P966" s="450"/>
      <c r="Q966" s="450">
        <f t="shared" si="116"/>
        <v>0</v>
      </c>
      <c r="R966" s="1147">
        <v>320000</v>
      </c>
      <c r="S966" s="1147">
        <v>320000</v>
      </c>
      <c r="T966" s="450">
        <f t="shared" si="114"/>
        <v>320000</v>
      </c>
      <c r="U966" s="450">
        <f t="shared" si="115"/>
        <v>320000</v>
      </c>
      <c r="V966" s="454" t="s">
        <v>51</v>
      </c>
      <c r="W966" s="448" t="s">
        <v>847</v>
      </c>
      <c r="X966" s="448" t="s">
        <v>51</v>
      </c>
      <c r="Y966" s="448" t="s">
        <v>51</v>
      </c>
      <c r="Z966" s="448" t="s">
        <v>808</v>
      </c>
      <c r="AA966" s="448" t="s">
        <v>62</v>
      </c>
      <c r="AB966" s="448" t="s">
        <v>62</v>
      </c>
      <c r="AC966" s="448" t="s">
        <v>61</v>
      </c>
      <c r="AD966" s="447"/>
      <c r="AE966" s="447"/>
      <c r="AF966" s="447"/>
      <c r="AG966" s="447"/>
      <c r="AH966" s="447"/>
      <c r="AI966" s="447"/>
      <c r="AJ966" s="447"/>
      <c r="AK966" s="447"/>
      <c r="AL966" s="447"/>
      <c r="AM966" s="447"/>
      <c r="AN966" s="447"/>
      <c r="AO966" s="447"/>
      <c r="AP966" s="447"/>
      <c r="AQ966" s="447"/>
      <c r="AR966" s="447"/>
      <c r="AS966" s="447"/>
      <c r="AT966" s="447"/>
      <c r="AU966" s="447"/>
      <c r="AV966" s="447"/>
      <c r="AW966" s="447"/>
      <c r="AX966" s="447"/>
      <c r="AY966" s="447"/>
      <c r="AZ966" s="447"/>
      <c r="BA966" s="448" t="s">
        <v>51</v>
      </c>
      <c r="BB966" s="448" t="s">
        <v>51</v>
      </c>
      <c r="BC966" s="447"/>
      <c r="BD966" s="448" t="s">
        <v>848</v>
      </c>
      <c r="BE966" s="447">
        <v>381</v>
      </c>
    </row>
    <row r="967" spans="1:57" ht="30" customHeight="1">
      <c r="A967" s="494" t="s">
        <v>3208</v>
      </c>
      <c r="B967" s="494" t="s">
        <v>3289</v>
      </c>
      <c r="C967" s="495" t="s">
        <v>2568</v>
      </c>
      <c r="D967" s="1133">
        <v>1</v>
      </c>
      <c r="E967" s="445">
        <f>'2층전시실산출 '!H364</f>
        <v>1</v>
      </c>
      <c r="F967" s="1147">
        <v>720000</v>
      </c>
      <c r="G967" s="1147">
        <v>720000</v>
      </c>
      <c r="H967" s="450">
        <f>단가대비표!O303</f>
        <v>720000</v>
      </c>
      <c r="I967" s="450">
        <f t="shared" si="112"/>
        <v>720000</v>
      </c>
      <c r="J967" s="1147"/>
      <c r="K967" s="1147">
        <v>0</v>
      </c>
      <c r="L967" s="450"/>
      <c r="M967" s="450">
        <f t="shared" si="113"/>
        <v>0</v>
      </c>
      <c r="N967" s="1147"/>
      <c r="O967" s="1147">
        <v>0</v>
      </c>
      <c r="P967" s="450"/>
      <c r="Q967" s="450">
        <f t="shared" si="116"/>
        <v>0</v>
      </c>
      <c r="R967" s="1147">
        <v>720000</v>
      </c>
      <c r="S967" s="1147">
        <v>720000</v>
      </c>
      <c r="T967" s="450">
        <f t="shared" si="114"/>
        <v>720000</v>
      </c>
      <c r="U967" s="450">
        <f t="shared" si="115"/>
        <v>720000</v>
      </c>
      <c r="V967" s="454" t="s">
        <v>51</v>
      </c>
      <c r="W967" s="448" t="s">
        <v>847</v>
      </c>
      <c r="X967" s="448" t="s">
        <v>51</v>
      </c>
      <c r="Y967" s="448" t="s">
        <v>51</v>
      </c>
      <c r="Z967" s="448" t="s">
        <v>808</v>
      </c>
      <c r="AA967" s="448" t="s">
        <v>62</v>
      </c>
      <c r="AB967" s="448" t="s">
        <v>62</v>
      </c>
      <c r="AC967" s="448" t="s">
        <v>61</v>
      </c>
      <c r="AD967" s="447"/>
      <c r="AE967" s="447"/>
      <c r="AF967" s="447"/>
      <c r="AG967" s="447"/>
      <c r="AH967" s="447"/>
      <c r="AI967" s="447"/>
      <c r="AJ967" s="447"/>
      <c r="AK967" s="447"/>
      <c r="AL967" s="447"/>
      <c r="AM967" s="447"/>
      <c r="AN967" s="447"/>
      <c r="AO967" s="447"/>
      <c r="AP967" s="447"/>
      <c r="AQ967" s="447"/>
      <c r="AR967" s="447"/>
      <c r="AS967" s="447"/>
      <c r="AT967" s="447"/>
      <c r="AU967" s="447"/>
      <c r="AV967" s="447"/>
      <c r="AW967" s="447"/>
      <c r="AX967" s="447"/>
      <c r="AY967" s="447"/>
      <c r="AZ967" s="447"/>
      <c r="BA967" s="448" t="s">
        <v>51</v>
      </c>
      <c r="BB967" s="448" t="s">
        <v>51</v>
      </c>
      <c r="BC967" s="447"/>
      <c r="BD967" s="448" t="s">
        <v>848</v>
      </c>
      <c r="BE967" s="447">
        <v>381</v>
      </c>
    </row>
    <row r="968" spans="1:57" ht="30" customHeight="1">
      <c r="A968" s="494" t="s">
        <v>3208</v>
      </c>
      <c r="B968" s="494" t="s">
        <v>3290</v>
      </c>
      <c r="C968" s="495" t="s">
        <v>2568</v>
      </c>
      <c r="D968" s="1133">
        <v>1</v>
      </c>
      <c r="E968" s="445">
        <f>'2층전시실산출 '!H365</f>
        <v>1</v>
      </c>
      <c r="F968" s="1147">
        <v>180000</v>
      </c>
      <c r="G968" s="1147">
        <v>180000</v>
      </c>
      <c r="H968" s="450">
        <f>단가대비표!O304</f>
        <v>180000</v>
      </c>
      <c r="I968" s="450">
        <f t="shared" si="112"/>
        <v>180000</v>
      </c>
      <c r="J968" s="1147"/>
      <c r="K968" s="1147">
        <v>0</v>
      </c>
      <c r="L968" s="450"/>
      <c r="M968" s="450">
        <f t="shared" si="113"/>
        <v>0</v>
      </c>
      <c r="N968" s="1147"/>
      <c r="O968" s="1147">
        <v>0</v>
      </c>
      <c r="P968" s="450"/>
      <c r="Q968" s="450">
        <f t="shared" si="116"/>
        <v>0</v>
      </c>
      <c r="R968" s="1147">
        <v>180000</v>
      </c>
      <c r="S968" s="1147">
        <v>180000</v>
      </c>
      <c r="T968" s="450">
        <f t="shared" si="114"/>
        <v>180000</v>
      </c>
      <c r="U968" s="450">
        <f t="shared" si="115"/>
        <v>180000</v>
      </c>
      <c r="V968" s="454" t="s">
        <v>51</v>
      </c>
      <c r="W968" s="448" t="s">
        <v>847</v>
      </c>
      <c r="X968" s="448" t="s">
        <v>51</v>
      </c>
      <c r="Y968" s="448" t="s">
        <v>51</v>
      </c>
      <c r="Z968" s="448" t="s">
        <v>808</v>
      </c>
      <c r="AA968" s="448" t="s">
        <v>62</v>
      </c>
      <c r="AB968" s="448" t="s">
        <v>62</v>
      </c>
      <c r="AC968" s="448" t="s">
        <v>61</v>
      </c>
      <c r="AD968" s="447"/>
      <c r="AE968" s="447"/>
      <c r="AF968" s="447"/>
      <c r="AG968" s="447"/>
      <c r="AH968" s="447"/>
      <c r="AI968" s="447"/>
      <c r="AJ968" s="447"/>
      <c r="AK968" s="447"/>
      <c r="AL968" s="447"/>
      <c r="AM968" s="447"/>
      <c r="AN968" s="447"/>
      <c r="AO968" s="447"/>
      <c r="AP968" s="447"/>
      <c r="AQ968" s="447"/>
      <c r="AR968" s="447"/>
      <c r="AS968" s="447"/>
      <c r="AT968" s="447"/>
      <c r="AU968" s="447"/>
      <c r="AV968" s="447"/>
      <c r="AW968" s="447"/>
      <c r="AX968" s="447"/>
      <c r="AY968" s="447"/>
      <c r="AZ968" s="447"/>
      <c r="BA968" s="448" t="s">
        <v>51</v>
      </c>
      <c r="BB968" s="448" t="s">
        <v>51</v>
      </c>
      <c r="BC968" s="447"/>
      <c r="BD968" s="448" t="s">
        <v>848</v>
      </c>
      <c r="BE968" s="447">
        <v>381</v>
      </c>
    </row>
    <row r="969" spans="1:57" ht="30" customHeight="1">
      <c r="A969" s="494" t="s">
        <v>3208</v>
      </c>
      <c r="B969" s="494" t="s">
        <v>3291</v>
      </c>
      <c r="C969" s="495" t="s">
        <v>2568</v>
      </c>
      <c r="D969" s="1133">
        <v>1</v>
      </c>
      <c r="E969" s="445">
        <f>'2층전시실산출 '!H366</f>
        <v>1</v>
      </c>
      <c r="F969" s="1147">
        <v>650000</v>
      </c>
      <c r="G969" s="1147">
        <v>650000</v>
      </c>
      <c r="H969" s="450">
        <f>단가대비표!O305</f>
        <v>650000</v>
      </c>
      <c r="I969" s="450">
        <f t="shared" si="112"/>
        <v>650000</v>
      </c>
      <c r="J969" s="1147"/>
      <c r="K969" s="1147">
        <v>0</v>
      </c>
      <c r="L969" s="450"/>
      <c r="M969" s="450">
        <f t="shared" si="113"/>
        <v>0</v>
      </c>
      <c r="N969" s="1147"/>
      <c r="O969" s="1147">
        <v>0</v>
      </c>
      <c r="P969" s="450"/>
      <c r="Q969" s="450">
        <f t="shared" si="116"/>
        <v>0</v>
      </c>
      <c r="R969" s="1147">
        <v>650000</v>
      </c>
      <c r="S969" s="1147">
        <v>650000</v>
      </c>
      <c r="T969" s="450">
        <f t="shared" si="114"/>
        <v>650000</v>
      </c>
      <c r="U969" s="450">
        <f t="shared" si="115"/>
        <v>650000</v>
      </c>
      <c r="V969" s="454" t="s">
        <v>51</v>
      </c>
      <c r="W969" s="448" t="s">
        <v>847</v>
      </c>
      <c r="X969" s="448" t="s">
        <v>51</v>
      </c>
      <c r="Y969" s="448" t="s">
        <v>51</v>
      </c>
      <c r="Z969" s="448" t="s">
        <v>808</v>
      </c>
      <c r="AA969" s="448" t="s">
        <v>62</v>
      </c>
      <c r="AB969" s="448" t="s">
        <v>62</v>
      </c>
      <c r="AC969" s="448" t="s">
        <v>61</v>
      </c>
      <c r="AD969" s="447"/>
      <c r="AE969" s="447"/>
      <c r="AF969" s="447"/>
      <c r="AG969" s="447"/>
      <c r="AH969" s="447"/>
      <c r="AI969" s="447"/>
      <c r="AJ969" s="447"/>
      <c r="AK969" s="447"/>
      <c r="AL969" s="447"/>
      <c r="AM969" s="447"/>
      <c r="AN969" s="447"/>
      <c r="AO969" s="447"/>
      <c r="AP969" s="447"/>
      <c r="AQ969" s="447"/>
      <c r="AR969" s="447"/>
      <c r="AS969" s="447"/>
      <c r="AT969" s="447"/>
      <c r="AU969" s="447"/>
      <c r="AV969" s="447"/>
      <c r="AW969" s="447"/>
      <c r="AX969" s="447"/>
      <c r="AY969" s="447"/>
      <c r="AZ969" s="447"/>
      <c r="BA969" s="448" t="s">
        <v>51</v>
      </c>
      <c r="BB969" s="448" t="s">
        <v>51</v>
      </c>
      <c r="BC969" s="447"/>
      <c r="BD969" s="448" t="s">
        <v>848</v>
      </c>
      <c r="BE969" s="447">
        <v>381</v>
      </c>
    </row>
    <row r="970" spans="1:57" ht="30" customHeight="1">
      <c r="A970" s="494" t="s">
        <v>3208</v>
      </c>
      <c r="B970" s="494" t="s">
        <v>3292</v>
      </c>
      <c r="C970" s="495" t="s">
        <v>2568</v>
      </c>
      <c r="D970" s="1133">
        <v>1</v>
      </c>
      <c r="E970" s="445">
        <f>'2층전시실산출 '!H367</f>
        <v>1</v>
      </c>
      <c r="F970" s="1147">
        <v>230000</v>
      </c>
      <c r="G970" s="1147">
        <v>230000</v>
      </c>
      <c r="H970" s="450">
        <f>단가대비표!O306</f>
        <v>230000</v>
      </c>
      <c r="I970" s="450">
        <f t="shared" si="112"/>
        <v>230000</v>
      </c>
      <c r="J970" s="1147"/>
      <c r="K970" s="1147">
        <v>0</v>
      </c>
      <c r="L970" s="450"/>
      <c r="M970" s="450">
        <f t="shared" si="113"/>
        <v>0</v>
      </c>
      <c r="N970" s="1147"/>
      <c r="O970" s="1147">
        <v>0</v>
      </c>
      <c r="P970" s="450"/>
      <c r="Q970" s="450">
        <f t="shared" si="116"/>
        <v>0</v>
      </c>
      <c r="R970" s="1147">
        <v>230000</v>
      </c>
      <c r="S970" s="1147">
        <v>230000</v>
      </c>
      <c r="T970" s="450">
        <f t="shared" si="114"/>
        <v>230000</v>
      </c>
      <c r="U970" s="450">
        <f t="shared" si="115"/>
        <v>230000</v>
      </c>
      <c r="V970" s="454" t="s">
        <v>51</v>
      </c>
      <c r="W970" s="448" t="s">
        <v>847</v>
      </c>
      <c r="X970" s="448" t="s">
        <v>51</v>
      </c>
      <c r="Y970" s="448" t="s">
        <v>51</v>
      </c>
      <c r="Z970" s="448" t="s">
        <v>808</v>
      </c>
      <c r="AA970" s="448" t="s">
        <v>62</v>
      </c>
      <c r="AB970" s="448" t="s">
        <v>62</v>
      </c>
      <c r="AC970" s="448" t="s">
        <v>61</v>
      </c>
      <c r="AD970" s="447"/>
      <c r="AE970" s="447"/>
      <c r="AF970" s="447"/>
      <c r="AG970" s="447"/>
      <c r="AH970" s="447"/>
      <c r="AI970" s="447"/>
      <c r="AJ970" s="447"/>
      <c r="AK970" s="447"/>
      <c r="AL970" s="447"/>
      <c r="AM970" s="447"/>
      <c r="AN970" s="447"/>
      <c r="AO970" s="447"/>
      <c r="AP970" s="447"/>
      <c r="AQ970" s="447"/>
      <c r="AR970" s="447"/>
      <c r="AS970" s="447"/>
      <c r="AT970" s="447"/>
      <c r="AU970" s="447"/>
      <c r="AV970" s="447"/>
      <c r="AW970" s="447"/>
      <c r="AX970" s="447"/>
      <c r="AY970" s="447"/>
      <c r="AZ970" s="447"/>
      <c r="BA970" s="448" t="s">
        <v>51</v>
      </c>
      <c r="BB970" s="448" t="s">
        <v>51</v>
      </c>
      <c r="BC970" s="447"/>
      <c r="BD970" s="448" t="s">
        <v>848</v>
      </c>
      <c r="BE970" s="447">
        <v>381</v>
      </c>
    </row>
    <row r="971" spans="1:57" ht="30" customHeight="1">
      <c r="A971" s="494" t="s">
        <v>3208</v>
      </c>
      <c r="B971" s="494" t="s">
        <v>3293</v>
      </c>
      <c r="C971" s="495" t="s">
        <v>2568</v>
      </c>
      <c r="D971" s="1133">
        <v>1</v>
      </c>
      <c r="E971" s="445">
        <f>'2층전시실산출 '!H368</f>
        <v>1</v>
      </c>
      <c r="F971" s="1147">
        <v>130000</v>
      </c>
      <c r="G971" s="1147">
        <v>130000</v>
      </c>
      <c r="H971" s="450">
        <f>단가대비표!O307</f>
        <v>130000</v>
      </c>
      <c r="I971" s="450">
        <f t="shared" si="112"/>
        <v>130000</v>
      </c>
      <c r="J971" s="1147"/>
      <c r="K971" s="1147">
        <v>0</v>
      </c>
      <c r="L971" s="450"/>
      <c r="M971" s="450">
        <f t="shared" si="113"/>
        <v>0</v>
      </c>
      <c r="N971" s="1147"/>
      <c r="O971" s="1147">
        <v>0</v>
      </c>
      <c r="P971" s="450"/>
      <c r="Q971" s="450">
        <f t="shared" si="116"/>
        <v>0</v>
      </c>
      <c r="R971" s="1147">
        <v>130000</v>
      </c>
      <c r="S971" s="1147">
        <v>130000</v>
      </c>
      <c r="T971" s="450">
        <f t="shared" si="114"/>
        <v>130000</v>
      </c>
      <c r="U971" s="450">
        <f t="shared" si="115"/>
        <v>130000</v>
      </c>
      <c r="V971" s="454" t="s">
        <v>51</v>
      </c>
      <c r="W971" s="448" t="s">
        <v>847</v>
      </c>
      <c r="X971" s="448" t="s">
        <v>51</v>
      </c>
      <c r="Y971" s="448" t="s">
        <v>51</v>
      </c>
      <c r="Z971" s="448" t="s">
        <v>808</v>
      </c>
      <c r="AA971" s="448" t="s">
        <v>62</v>
      </c>
      <c r="AB971" s="448" t="s">
        <v>62</v>
      </c>
      <c r="AC971" s="448" t="s">
        <v>61</v>
      </c>
      <c r="AD971" s="447"/>
      <c r="AE971" s="447"/>
      <c r="AF971" s="447"/>
      <c r="AG971" s="447"/>
      <c r="AH971" s="447"/>
      <c r="AI971" s="447"/>
      <c r="AJ971" s="447"/>
      <c r="AK971" s="447"/>
      <c r="AL971" s="447"/>
      <c r="AM971" s="447"/>
      <c r="AN971" s="447"/>
      <c r="AO971" s="447"/>
      <c r="AP971" s="447"/>
      <c r="AQ971" s="447"/>
      <c r="AR971" s="447"/>
      <c r="AS971" s="447"/>
      <c r="AT971" s="447"/>
      <c r="AU971" s="447"/>
      <c r="AV971" s="447"/>
      <c r="AW971" s="447"/>
      <c r="AX971" s="447"/>
      <c r="AY971" s="447"/>
      <c r="AZ971" s="447"/>
      <c r="BA971" s="448" t="s">
        <v>51</v>
      </c>
      <c r="BB971" s="448" t="s">
        <v>51</v>
      </c>
      <c r="BC971" s="447"/>
      <c r="BD971" s="448" t="s">
        <v>848</v>
      </c>
      <c r="BE971" s="447">
        <v>381</v>
      </c>
    </row>
    <row r="972" spans="1:57" ht="30" customHeight="1">
      <c r="A972" s="494" t="s">
        <v>3208</v>
      </c>
      <c r="B972" s="494" t="s">
        <v>3294</v>
      </c>
      <c r="C972" s="495" t="s">
        <v>2568</v>
      </c>
      <c r="D972" s="1133">
        <v>3</v>
      </c>
      <c r="E972" s="445">
        <f>'2층전시실산출 '!H369</f>
        <v>3</v>
      </c>
      <c r="F972" s="1147">
        <v>100000</v>
      </c>
      <c r="G972" s="1147">
        <v>300000</v>
      </c>
      <c r="H972" s="450">
        <f>단가대비표!O308</f>
        <v>100000</v>
      </c>
      <c r="I972" s="450">
        <f t="shared" si="112"/>
        <v>300000</v>
      </c>
      <c r="J972" s="1147"/>
      <c r="K972" s="1147">
        <v>0</v>
      </c>
      <c r="L972" s="450"/>
      <c r="M972" s="450">
        <f t="shared" si="113"/>
        <v>0</v>
      </c>
      <c r="N972" s="1147"/>
      <c r="O972" s="1147">
        <v>0</v>
      </c>
      <c r="P972" s="450"/>
      <c r="Q972" s="450">
        <f t="shared" si="116"/>
        <v>0</v>
      </c>
      <c r="R972" s="1147">
        <v>100000</v>
      </c>
      <c r="S972" s="1147">
        <v>300000</v>
      </c>
      <c r="T972" s="450">
        <f t="shared" si="114"/>
        <v>100000</v>
      </c>
      <c r="U972" s="450">
        <f t="shared" si="115"/>
        <v>300000</v>
      </c>
      <c r="V972" s="454" t="s">
        <v>51</v>
      </c>
      <c r="W972" s="448" t="s">
        <v>847</v>
      </c>
      <c r="X972" s="448" t="s">
        <v>51</v>
      </c>
      <c r="Y972" s="448" t="s">
        <v>51</v>
      </c>
      <c r="Z972" s="448" t="s">
        <v>808</v>
      </c>
      <c r="AA972" s="448" t="s">
        <v>62</v>
      </c>
      <c r="AB972" s="448" t="s">
        <v>62</v>
      </c>
      <c r="AC972" s="448" t="s">
        <v>61</v>
      </c>
      <c r="AD972" s="447"/>
      <c r="AE972" s="447"/>
      <c r="AF972" s="447"/>
      <c r="AG972" s="447"/>
      <c r="AH972" s="447"/>
      <c r="AI972" s="447"/>
      <c r="AJ972" s="447"/>
      <c r="AK972" s="447"/>
      <c r="AL972" s="447"/>
      <c r="AM972" s="447"/>
      <c r="AN972" s="447"/>
      <c r="AO972" s="447"/>
      <c r="AP972" s="447"/>
      <c r="AQ972" s="447"/>
      <c r="AR972" s="447"/>
      <c r="AS972" s="447"/>
      <c r="AT972" s="447"/>
      <c r="AU972" s="447"/>
      <c r="AV972" s="447"/>
      <c r="AW972" s="447"/>
      <c r="AX972" s="447"/>
      <c r="AY972" s="447"/>
      <c r="AZ972" s="447"/>
      <c r="BA972" s="448" t="s">
        <v>51</v>
      </c>
      <c r="BB972" s="448" t="s">
        <v>51</v>
      </c>
      <c r="BC972" s="447"/>
      <c r="BD972" s="448" t="s">
        <v>848</v>
      </c>
      <c r="BE972" s="447">
        <v>381</v>
      </c>
    </row>
    <row r="973" spans="1:57" ht="30" customHeight="1">
      <c r="A973" s="494" t="s">
        <v>3208</v>
      </c>
      <c r="B973" s="494" t="s">
        <v>3295</v>
      </c>
      <c r="C973" s="495" t="s">
        <v>2568</v>
      </c>
      <c r="D973" s="1133">
        <v>1</v>
      </c>
      <c r="E973" s="445">
        <f>'2층전시실산출 '!H370</f>
        <v>1</v>
      </c>
      <c r="F973" s="1147">
        <v>650000</v>
      </c>
      <c r="G973" s="1147">
        <v>650000</v>
      </c>
      <c r="H973" s="450">
        <f>단가대비표!O309</f>
        <v>650000</v>
      </c>
      <c r="I973" s="450">
        <f t="shared" si="112"/>
        <v>650000</v>
      </c>
      <c r="J973" s="1147"/>
      <c r="K973" s="1147">
        <v>0</v>
      </c>
      <c r="L973" s="450"/>
      <c r="M973" s="450">
        <f t="shared" si="113"/>
        <v>0</v>
      </c>
      <c r="N973" s="1147"/>
      <c r="O973" s="1147">
        <v>0</v>
      </c>
      <c r="P973" s="450"/>
      <c r="Q973" s="450">
        <f t="shared" si="116"/>
        <v>0</v>
      </c>
      <c r="R973" s="1147">
        <v>650000</v>
      </c>
      <c r="S973" s="1147">
        <v>650000</v>
      </c>
      <c r="T973" s="450">
        <f t="shared" si="114"/>
        <v>650000</v>
      </c>
      <c r="U973" s="450">
        <f t="shared" si="115"/>
        <v>650000</v>
      </c>
      <c r="V973" s="454" t="s">
        <v>51</v>
      </c>
      <c r="W973" s="448" t="s">
        <v>847</v>
      </c>
      <c r="X973" s="448" t="s">
        <v>51</v>
      </c>
      <c r="Y973" s="448" t="s">
        <v>51</v>
      </c>
      <c r="Z973" s="448" t="s">
        <v>808</v>
      </c>
      <c r="AA973" s="448" t="s">
        <v>62</v>
      </c>
      <c r="AB973" s="448" t="s">
        <v>62</v>
      </c>
      <c r="AC973" s="448" t="s">
        <v>61</v>
      </c>
      <c r="AD973" s="447"/>
      <c r="AE973" s="447"/>
      <c r="AF973" s="447"/>
      <c r="AG973" s="447"/>
      <c r="AH973" s="447"/>
      <c r="AI973" s="447"/>
      <c r="AJ973" s="447"/>
      <c r="AK973" s="447"/>
      <c r="AL973" s="447"/>
      <c r="AM973" s="447"/>
      <c r="AN973" s="447"/>
      <c r="AO973" s="447"/>
      <c r="AP973" s="447"/>
      <c r="AQ973" s="447"/>
      <c r="AR973" s="447"/>
      <c r="AS973" s="447"/>
      <c r="AT973" s="447"/>
      <c r="AU973" s="447"/>
      <c r="AV973" s="447"/>
      <c r="AW973" s="447"/>
      <c r="AX973" s="447"/>
      <c r="AY973" s="447"/>
      <c r="AZ973" s="447"/>
      <c r="BA973" s="448" t="s">
        <v>51</v>
      </c>
      <c r="BB973" s="448" t="s">
        <v>51</v>
      </c>
      <c r="BC973" s="447"/>
      <c r="BD973" s="448" t="s">
        <v>848</v>
      </c>
      <c r="BE973" s="447">
        <v>381</v>
      </c>
    </row>
    <row r="974" spans="1:57" ht="30" customHeight="1">
      <c r="A974" s="494" t="s">
        <v>3208</v>
      </c>
      <c r="B974" s="494" t="s">
        <v>3296</v>
      </c>
      <c r="C974" s="495" t="s">
        <v>2568</v>
      </c>
      <c r="D974" s="1133">
        <v>1</v>
      </c>
      <c r="E974" s="445">
        <f>'2층전시실산출 '!H371</f>
        <v>1</v>
      </c>
      <c r="F974" s="1147">
        <v>620000</v>
      </c>
      <c r="G974" s="1147">
        <v>620000</v>
      </c>
      <c r="H974" s="450">
        <f>단가대비표!O310</f>
        <v>620000</v>
      </c>
      <c r="I974" s="450">
        <f t="shared" si="112"/>
        <v>620000</v>
      </c>
      <c r="J974" s="1147"/>
      <c r="K974" s="1147">
        <v>0</v>
      </c>
      <c r="L974" s="450"/>
      <c r="M974" s="450">
        <f t="shared" si="113"/>
        <v>0</v>
      </c>
      <c r="N974" s="1147"/>
      <c r="O974" s="1147">
        <v>0</v>
      </c>
      <c r="P974" s="450"/>
      <c r="Q974" s="450">
        <f t="shared" si="116"/>
        <v>0</v>
      </c>
      <c r="R974" s="1147">
        <v>620000</v>
      </c>
      <c r="S974" s="1147">
        <v>620000</v>
      </c>
      <c r="T974" s="450">
        <f t="shared" si="114"/>
        <v>620000</v>
      </c>
      <c r="U974" s="450">
        <f t="shared" si="115"/>
        <v>620000</v>
      </c>
      <c r="V974" s="454" t="s">
        <v>51</v>
      </c>
      <c r="W974" s="448" t="s">
        <v>847</v>
      </c>
      <c r="X974" s="448" t="s">
        <v>51</v>
      </c>
      <c r="Y974" s="448" t="s">
        <v>51</v>
      </c>
      <c r="Z974" s="448" t="s">
        <v>808</v>
      </c>
      <c r="AA974" s="448" t="s">
        <v>62</v>
      </c>
      <c r="AB974" s="448" t="s">
        <v>62</v>
      </c>
      <c r="AC974" s="448" t="s">
        <v>61</v>
      </c>
      <c r="AD974" s="447"/>
      <c r="AE974" s="447"/>
      <c r="AF974" s="447"/>
      <c r="AG974" s="447"/>
      <c r="AH974" s="447"/>
      <c r="AI974" s="447"/>
      <c r="AJ974" s="447"/>
      <c r="AK974" s="447"/>
      <c r="AL974" s="447"/>
      <c r="AM974" s="447"/>
      <c r="AN974" s="447"/>
      <c r="AO974" s="447"/>
      <c r="AP974" s="447"/>
      <c r="AQ974" s="447"/>
      <c r="AR974" s="447"/>
      <c r="AS974" s="447"/>
      <c r="AT974" s="447"/>
      <c r="AU974" s="447"/>
      <c r="AV974" s="447"/>
      <c r="AW974" s="447"/>
      <c r="AX974" s="447"/>
      <c r="AY974" s="447"/>
      <c r="AZ974" s="447"/>
      <c r="BA974" s="448" t="s">
        <v>51</v>
      </c>
      <c r="BB974" s="448" t="s">
        <v>51</v>
      </c>
      <c r="BC974" s="447"/>
      <c r="BD974" s="448" t="s">
        <v>848</v>
      </c>
      <c r="BE974" s="447">
        <v>381</v>
      </c>
    </row>
    <row r="975" spans="1:57" ht="30" customHeight="1">
      <c r="A975" s="494" t="s">
        <v>3208</v>
      </c>
      <c r="B975" s="494" t="s">
        <v>3297</v>
      </c>
      <c r="C975" s="495" t="s">
        <v>2568</v>
      </c>
      <c r="D975" s="1133">
        <v>1</v>
      </c>
      <c r="E975" s="445">
        <f>'2층전시실산출 '!H372</f>
        <v>1</v>
      </c>
      <c r="F975" s="1147">
        <v>200000</v>
      </c>
      <c r="G975" s="1147">
        <v>200000</v>
      </c>
      <c r="H975" s="450">
        <f>단가대비표!O311</f>
        <v>200000</v>
      </c>
      <c r="I975" s="450">
        <f t="shared" si="112"/>
        <v>200000</v>
      </c>
      <c r="J975" s="1147"/>
      <c r="K975" s="1147">
        <v>0</v>
      </c>
      <c r="L975" s="450"/>
      <c r="M975" s="450">
        <f t="shared" si="113"/>
        <v>0</v>
      </c>
      <c r="N975" s="1147"/>
      <c r="O975" s="1147">
        <v>0</v>
      </c>
      <c r="P975" s="450"/>
      <c r="Q975" s="450">
        <f t="shared" si="116"/>
        <v>0</v>
      </c>
      <c r="R975" s="1147">
        <v>200000</v>
      </c>
      <c r="S975" s="1147">
        <v>200000</v>
      </c>
      <c r="T975" s="450">
        <f t="shared" si="114"/>
        <v>200000</v>
      </c>
      <c r="U975" s="450">
        <f t="shared" si="115"/>
        <v>200000</v>
      </c>
      <c r="V975" s="454" t="s">
        <v>51</v>
      </c>
      <c r="W975" s="448" t="s">
        <v>847</v>
      </c>
      <c r="X975" s="448" t="s">
        <v>51</v>
      </c>
      <c r="Y975" s="448" t="s">
        <v>51</v>
      </c>
      <c r="Z975" s="448" t="s">
        <v>808</v>
      </c>
      <c r="AA975" s="448" t="s">
        <v>62</v>
      </c>
      <c r="AB975" s="448" t="s">
        <v>62</v>
      </c>
      <c r="AC975" s="448" t="s">
        <v>61</v>
      </c>
      <c r="AD975" s="447"/>
      <c r="AE975" s="447"/>
      <c r="AF975" s="447"/>
      <c r="AG975" s="447"/>
      <c r="AH975" s="447"/>
      <c r="AI975" s="447"/>
      <c r="AJ975" s="447"/>
      <c r="AK975" s="447"/>
      <c r="AL975" s="447"/>
      <c r="AM975" s="447"/>
      <c r="AN975" s="447"/>
      <c r="AO975" s="447"/>
      <c r="AP975" s="447"/>
      <c r="AQ975" s="447"/>
      <c r="AR975" s="447"/>
      <c r="AS975" s="447"/>
      <c r="AT975" s="447"/>
      <c r="AU975" s="447"/>
      <c r="AV975" s="447"/>
      <c r="AW975" s="447"/>
      <c r="AX975" s="447"/>
      <c r="AY975" s="447"/>
      <c r="AZ975" s="447"/>
      <c r="BA975" s="448" t="s">
        <v>51</v>
      </c>
      <c r="BB975" s="448" t="s">
        <v>51</v>
      </c>
      <c r="BC975" s="447"/>
      <c r="BD975" s="448" t="s">
        <v>848</v>
      </c>
      <c r="BE975" s="447">
        <v>381</v>
      </c>
    </row>
    <row r="976" spans="1:57" ht="30" customHeight="1">
      <c r="A976" s="494" t="s">
        <v>3208</v>
      </c>
      <c r="B976" s="494" t="s">
        <v>3298</v>
      </c>
      <c r="C976" s="495" t="s">
        <v>2568</v>
      </c>
      <c r="D976" s="1133">
        <v>1</v>
      </c>
      <c r="E976" s="445">
        <f>'2층전시실산출 '!H373</f>
        <v>1</v>
      </c>
      <c r="F976" s="1147">
        <v>230000</v>
      </c>
      <c r="G976" s="1147">
        <v>230000</v>
      </c>
      <c r="H976" s="450">
        <f>단가대비표!O312</f>
        <v>230000</v>
      </c>
      <c r="I976" s="450">
        <f t="shared" si="112"/>
        <v>230000</v>
      </c>
      <c r="J976" s="1147"/>
      <c r="K976" s="1147">
        <v>0</v>
      </c>
      <c r="L976" s="450"/>
      <c r="M976" s="450">
        <f t="shared" si="113"/>
        <v>0</v>
      </c>
      <c r="N976" s="1147"/>
      <c r="O976" s="1147">
        <v>0</v>
      </c>
      <c r="P976" s="450"/>
      <c r="Q976" s="450">
        <f t="shared" si="116"/>
        <v>0</v>
      </c>
      <c r="R976" s="1147">
        <v>230000</v>
      </c>
      <c r="S976" s="1147">
        <v>230000</v>
      </c>
      <c r="T976" s="450">
        <f t="shared" si="114"/>
        <v>230000</v>
      </c>
      <c r="U976" s="450">
        <f t="shared" si="115"/>
        <v>230000</v>
      </c>
      <c r="V976" s="454" t="s">
        <v>51</v>
      </c>
      <c r="W976" s="448" t="s">
        <v>847</v>
      </c>
      <c r="X976" s="448" t="s">
        <v>51</v>
      </c>
      <c r="Y976" s="448" t="s">
        <v>51</v>
      </c>
      <c r="Z976" s="448" t="s">
        <v>808</v>
      </c>
      <c r="AA976" s="448" t="s">
        <v>62</v>
      </c>
      <c r="AB976" s="448" t="s">
        <v>62</v>
      </c>
      <c r="AC976" s="448" t="s">
        <v>61</v>
      </c>
      <c r="AD976" s="447"/>
      <c r="AE976" s="447"/>
      <c r="AF976" s="447"/>
      <c r="AG976" s="447"/>
      <c r="AH976" s="447"/>
      <c r="AI976" s="447"/>
      <c r="AJ976" s="447"/>
      <c r="AK976" s="447"/>
      <c r="AL976" s="447"/>
      <c r="AM976" s="447"/>
      <c r="AN976" s="447"/>
      <c r="AO976" s="447"/>
      <c r="AP976" s="447"/>
      <c r="AQ976" s="447"/>
      <c r="AR976" s="447"/>
      <c r="AS976" s="447"/>
      <c r="AT976" s="447"/>
      <c r="AU976" s="447"/>
      <c r="AV976" s="447"/>
      <c r="AW976" s="447"/>
      <c r="AX976" s="447"/>
      <c r="AY976" s="447"/>
      <c r="AZ976" s="447"/>
      <c r="BA976" s="448" t="s">
        <v>51</v>
      </c>
      <c r="BB976" s="448" t="s">
        <v>51</v>
      </c>
      <c r="BC976" s="447"/>
      <c r="BD976" s="448" t="s">
        <v>848</v>
      </c>
      <c r="BE976" s="447">
        <v>381</v>
      </c>
    </row>
    <row r="977" spans="1:57" ht="30" customHeight="1">
      <c r="A977" s="494" t="s">
        <v>3208</v>
      </c>
      <c r="B977" s="494" t="s">
        <v>3299</v>
      </c>
      <c r="C977" s="495" t="s">
        <v>2568</v>
      </c>
      <c r="D977" s="1133">
        <v>1</v>
      </c>
      <c r="E977" s="445">
        <f>'2층전시실산출 '!H374</f>
        <v>1</v>
      </c>
      <c r="F977" s="1147">
        <v>250000</v>
      </c>
      <c r="G977" s="1147">
        <v>250000</v>
      </c>
      <c r="H977" s="450">
        <f>단가대비표!O313</f>
        <v>250000</v>
      </c>
      <c r="I977" s="450">
        <f t="shared" si="112"/>
        <v>250000</v>
      </c>
      <c r="J977" s="1147"/>
      <c r="K977" s="1147">
        <v>0</v>
      </c>
      <c r="L977" s="450"/>
      <c r="M977" s="450">
        <f t="shared" si="113"/>
        <v>0</v>
      </c>
      <c r="N977" s="1147"/>
      <c r="O977" s="1147">
        <v>0</v>
      </c>
      <c r="P977" s="450"/>
      <c r="Q977" s="450">
        <f t="shared" si="116"/>
        <v>0</v>
      </c>
      <c r="R977" s="1147">
        <v>250000</v>
      </c>
      <c r="S977" s="1147">
        <v>250000</v>
      </c>
      <c r="T977" s="450">
        <f t="shared" si="114"/>
        <v>250000</v>
      </c>
      <c r="U977" s="450">
        <f t="shared" si="115"/>
        <v>250000</v>
      </c>
      <c r="V977" s="454" t="s">
        <v>51</v>
      </c>
      <c r="W977" s="448" t="s">
        <v>847</v>
      </c>
      <c r="X977" s="448" t="s">
        <v>51</v>
      </c>
      <c r="Y977" s="448" t="s">
        <v>51</v>
      </c>
      <c r="Z977" s="448" t="s">
        <v>808</v>
      </c>
      <c r="AA977" s="448" t="s">
        <v>62</v>
      </c>
      <c r="AB977" s="448" t="s">
        <v>62</v>
      </c>
      <c r="AC977" s="448" t="s">
        <v>61</v>
      </c>
      <c r="AD977" s="447"/>
      <c r="AE977" s="447"/>
      <c r="AF977" s="447"/>
      <c r="AG977" s="447"/>
      <c r="AH977" s="447"/>
      <c r="AI977" s="447"/>
      <c r="AJ977" s="447"/>
      <c r="AK977" s="447"/>
      <c r="AL977" s="447"/>
      <c r="AM977" s="447"/>
      <c r="AN977" s="447"/>
      <c r="AO977" s="447"/>
      <c r="AP977" s="447"/>
      <c r="AQ977" s="447"/>
      <c r="AR977" s="447"/>
      <c r="AS977" s="447"/>
      <c r="AT977" s="447"/>
      <c r="AU977" s="447"/>
      <c r="AV977" s="447"/>
      <c r="AW977" s="447"/>
      <c r="AX977" s="447"/>
      <c r="AY977" s="447"/>
      <c r="AZ977" s="447"/>
      <c r="BA977" s="448" t="s">
        <v>51</v>
      </c>
      <c r="BB977" s="448" t="s">
        <v>51</v>
      </c>
      <c r="BC977" s="447"/>
      <c r="BD977" s="448" t="s">
        <v>848</v>
      </c>
      <c r="BE977" s="447">
        <v>381</v>
      </c>
    </row>
    <row r="978" spans="1:57" ht="30" customHeight="1">
      <c r="A978" s="494" t="s">
        <v>3208</v>
      </c>
      <c r="B978" s="494" t="s">
        <v>3300</v>
      </c>
      <c r="C978" s="495" t="s">
        <v>2568</v>
      </c>
      <c r="D978" s="1133">
        <v>1</v>
      </c>
      <c r="E978" s="445">
        <f>'2층전시실산출 '!H375</f>
        <v>1</v>
      </c>
      <c r="F978" s="1147">
        <v>680000</v>
      </c>
      <c r="G978" s="1147">
        <v>680000</v>
      </c>
      <c r="H978" s="450">
        <f>단가대비표!O314</f>
        <v>680000</v>
      </c>
      <c r="I978" s="450">
        <f t="shared" si="112"/>
        <v>680000</v>
      </c>
      <c r="J978" s="1147"/>
      <c r="K978" s="1147">
        <v>0</v>
      </c>
      <c r="L978" s="450"/>
      <c r="M978" s="450">
        <f t="shared" si="113"/>
        <v>0</v>
      </c>
      <c r="N978" s="1147"/>
      <c r="O978" s="1147">
        <v>0</v>
      </c>
      <c r="P978" s="450"/>
      <c r="Q978" s="450">
        <f t="shared" si="116"/>
        <v>0</v>
      </c>
      <c r="R978" s="1147">
        <v>680000</v>
      </c>
      <c r="S978" s="1147">
        <v>680000</v>
      </c>
      <c r="T978" s="450">
        <f t="shared" si="114"/>
        <v>680000</v>
      </c>
      <c r="U978" s="450">
        <f t="shared" si="115"/>
        <v>680000</v>
      </c>
      <c r="V978" s="454" t="s">
        <v>51</v>
      </c>
      <c r="W978" s="448" t="s">
        <v>847</v>
      </c>
      <c r="X978" s="448" t="s">
        <v>51</v>
      </c>
      <c r="Y978" s="448" t="s">
        <v>51</v>
      </c>
      <c r="Z978" s="448" t="s">
        <v>808</v>
      </c>
      <c r="AA978" s="448" t="s">
        <v>62</v>
      </c>
      <c r="AB978" s="448" t="s">
        <v>62</v>
      </c>
      <c r="AC978" s="448" t="s">
        <v>61</v>
      </c>
      <c r="AD978" s="447"/>
      <c r="AE978" s="447"/>
      <c r="AF978" s="447"/>
      <c r="AG978" s="447"/>
      <c r="AH978" s="447"/>
      <c r="AI978" s="447"/>
      <c r="AJ978" s="447"/>
      <c r="AK978" s="447"/>
      <c r="AL978" s="447"/>
      <c r="AM978" s="447"/>
      <c r="AN978" s="447"/>
      <c r="AO978" s="447"/>
      <c r="AP978" s="447"/>
      <c r="AQ978" s="447"/>
      <c r="AR978" s="447"/>
      <c r="AS978" s="447"/>
      <c r="AT978" s="447"/>
      <c r="AU978" s="447"/>
      <c r="AV978" s="447"/>
      <c r="AW978" s="447"/>
      <c r="AX978" s="447"/>
      <c r="AY978" s="447"/>
      <c r="AZ978" s="447"/>
      <c r="BA978" s="448" t="s">
        <v>51</v>
      </c>
      <c r="BB978" s="448" t="s">
        <v>51</v>
      </c>
      <c r="BC978" s="447"/>
      <c r="BD978" s="448" t="s">
        <v>848</v>
      </c>
      <c r="BE978" s="447">
        <v>381</v>
      </c>
    </row>
    <row r="979" spans="1:57" ht="30" customHeight="1">
      <c r="A979" s="494" t="s">
        <v>3208</v>
      </c>
      <c r="B979" s="494" t="s">
        <v>3301</v>
      </c>
      <c r="C979" s="495" t="s">
        <v>2568</v>
      </c>
      <c r="D979" s="1133">
        <v>1</v>
      </c>
      <c r="E979" s="445">
        <f>'2층전시실산출 '!H376</f>
        <v>1</v>
      </c>
      <c r="F979" s="1147">
        <v>650000</v>
      </c>
      <c r="G979" s="1147">
        <v>650000</v>
      </c>
      <c r="H979" s="450">
        <f>단가대비표!O315</f>
        <v>650000</v>
      </c>
      <c r="I979" s="450">
        <f t="shared" si="112"/>
        <v>650000</v>
      </c>
      <c r="J979" s="1147"/>
      <c r="K979" s="1147">
        <v>0</v>
      </c>
      <c r="L979" s="450"/>
      <c r="M979" s="450">
        <f t="shared" si="113"/>
        <v>0</v>
      </c>
      <c r="N979" s="1147"/>
      <c r="O979" s="1147">
        <v>0</v>
      </c>
      <c r="P979" s="450"/>
      <c r="Q979" s="450">
        <f t="shared" si="116"/>
        <v>0</v>
      </c>
      <c r="R979" s="1147">
        <v>650000</v>
      </c>
      <c r="S979" s="1147">
        <v>650000</v>
      </c>
      <c r="T979" s="450">
        <f t="shared" si="114"/>
        <v>650000</v>
      </c>
      <c r="U979" s="450">
        <f t="shared" si="115"/>
        <v>650000</v>
      </c>
      <c r="V979" s="454" t="s">
        <v>51</v>
      </c>
      <c r="W979" s="448" t="s">
        <v>847</v>
      </c>
      <c r="X979" s="448" t="s">
        <v>51</v>
      </c>
      <c r="Y979" s="448" t="s">
        <v>51</v>
      </c>
      <c r="Z979" s="448" t="s">
        <v>808</v>
      </c>
      <c r="AA979" s="448" t="s">
        <v>62</v>
      </c>
      <c r="AB979" s="448" t="s">
        <v>62</v>
      </c>
      <c r="AC979" s="448" t="s">
        <v>61</v>
      </c>
      <c r="AD979" s="447"/>
      <c r="AE979" s="447"/>
      <c r="AF979" s="447"/>
      <c r="AG979" s="447"/>
      <c r="AH979" s="447"/>
      <c r="AI979" s="447"/>
      <c r="AJ979" s="447"/>
      <c r="AK979" s="447"/>
      <c r="AL979" s="447"/>
      <c r="AM979" s="447"/>
      <c r="AN979" s="447"/>
      <c r="AO979" s="447"/>
      <c r="AP979" s="447"/>
      <c r="AQ979" s="447"/>
      <c r="AR979" s="447"/>
      <c r="AS979" s="447"/>
      <c r="AT979" s="447"/>
      <c r="AU979" s="447"/>
      <c r="AV979" s="447"/>
      <c r="AW979" s="447"/>
      <c r="AX979" s="447"/>
      <c r="AY979" s="447"/>
      <c r="AZ979" s="447"/>
      <c r="BA979" s="448" t="s">
        <v>51</v>
      </c>
      <c r="BB979" s="448" t="s">
        <v>51</v>
      </c>
      <c r="BC979" s="447"/>
      <c r="BD979" s="448" t="s">
        <v>848</v>
      </c>
      <c r="BE979" s="447">
        <v>381</v>
      </c>
    </row>
    <row r="980" spans="1:57" ht="30" customHeight="1">
      <c r="A980" s="494" t="s">
        <v>3208</v>
      </c>
      <c r="B980" s="494" t="s">
        <v>3302</v>
      </c>
      <c r="C980" s="495" t="s">
        <v>2568</v>
      </c>
      <c r="D980" s="1133">
        <v>1</v>
      </c>
      <c r="E980" s="445">
        <f>'2층전시실산출 '!H377</f>
        <v>1</v>
      </c>
      <c r="F980" s="1147">
        <v>21000</v>
      </c>
      <c r="G980" s="1147">
        <v>21000</v>
      </c>
      <c r="H980" s="450">
        <f>단가대비표!O316</f>
        <v>21000</v>
      </c>
      <c r="I980" s="450">
        <f t="shared" ref="I980:I1011" si="117">E980*H980</f>
        <v>21000</v>
      </c>
      <c r="J980" s="1147"/>
      <c r="K980" s="1147">
        <v>0</v>
      </c>
      <c r="L980" s="450"/>
      <c r="M980" s="450">
        <f t="shared" ref="M980:M1011" si="118">E980*L980</f>
        <v>0</v>
      </c>
      <c r="N980" s="1147"/>
      <c r="O980" s="1147">
        <v>0</v>
      </c>
      <c r="P980" s="450"/>
      <c r="Q980" s="450">
        <f t="shared" si="116"/>
        <v>0</v>
      </c>
      <c r="R980" s="1147">
        <v>21000</v>
      </c>
      <c r="S980" s="1147">
        <v>21000</v>
      </c>
      <c r="T980" s="450">
        <f t="shared" ref="T980:T1011" si="119">TRUNC(H980+L980+P980, 0)</f>
        <v>21000</v>
      </c>
      <c r="U980" s="450">
        <f t="shared" ref="U980:U1011" si="120">TRUNC(I980+M980+Q980, 0)</f>
        <v>21000</v>
      </c>
      <c r="V980" s="454" t="s">
        <v>51</v>
      </c>
      <c r="W980" s="448" t="s">
        <v>847</v>
      </c>
      <c r="X980" s="448" t="s">
        <v>51</v>
      </c>
      <c r="Y980" s="448" t="s">
        <v>51</v>
      </c>
      <c r="Z980" s="448" t="s">
        <v>808</v>
      </c>
      <c r="AA980" s="448" t="s">
        <v>62</v>
      </c>
      <c r="AB980" s="448" t="s">
        <v>62</v>
      </c>
      <c r="AC980" s="448" t="s">
        <v>61</v>
      </c>
      <c r="AD980" s="447"/>
      <c r="AE980" s="447"/>
      <c r="AF980" s="447"/>
      <c r="AG980" s="447"/>
      <c r="AH980" s="447"/>
      <c r="AI980" s="447"/>
      <c r="AJ980" s="447"/>
      <c r="AK980" s="447"/>
      <c r="AL980" s="447"/>
      <c r="AM980" s="447"/>
      <c r="AN980" s="447"/>
      <c r="AO980" s="447"/>
      <c r="AP980" s="447"/>
      <c r="AQ980" s="447"/>
      <c r="AR980" s="447"/>
      <c r="AS980" s="447"/>
      <c r="AT980" s="447"/>
      <c r="AU980" s="447"/>
      <c r="AV980" s="447"/>
      <c r="AW980" s="447"/>
      <c r="AX980" s="447"/>
      <c r="AY980" s="447"/>
      <c r="AZ980" s="447"/>
      <c r="BA980" s="448" t="s">
        <v>51</v>
      </c>
      <c r="BB980" s="448" t="s">
        <v>51</v>
      </c>
      <c r="BC980" s="447"/>
      <c r="BD980" s="448" t="s">
        <v>848</v>
      </c>
      <c r="BE980" s="447">
        <v>381</v>
      </c>
    </row>
    <row r="981" spans="1:57" ht="30" customHeight="1">
      <c r="A981" s="494" t="s">
        <v>3208</v>
      </c>
      <c r="B981" s="494" t="s">
        <v>3303</v>
      </c>
      <c r="C981" s="495" t="s">
        <v>2568</v>
      </c>
      <c r="D981" s="1133">
        <v>5</v>
      </c>
      <c r="E981" s="445">
        <f>'2층전시실산출 '!H378</f>
        <v>5</v>
      </c>
      <c r="F981" s="1147">
        <v>240000</v>
      </c>
      <c r="G981" s="1147">
        <v>1200000</v>
      </c>
      <c r="H981" s="450">
        <f>단가대비표!O317</f>
        <v>240000</v>
      </c>
      <c r="I981" s="450">
        <f t="shared" si="117"/>
        <v>1200000</v>
      </c>
      <c r="J981" s="1147"/>
      <c r="K981" s="1147">
        <v>0</v>
      </c>
      <c r="L981" s="450"/>
      <c r="M981" s="450">
        <f t="shared" si="118"/>
        <v>0</v>
      </c>
      <c r="N981" s="1147"/>
      <c r="O981" s="1147">
        <v>0</v>
      </c>
      <c r="P981" s="450"/>
      <c r="Q981" s="450">
        <f t="shared" si="116"/>
        <v>0</v>
      </c>
      <c r="R981" s="1147">
        <v>240000</v>
      </c>
      <c r="S981" s="1147">
        <v>1200000</v>
      </c>
      <c r="T981" s="450">
        <f t="shared" si="119"/>
        <v>240000</v>
      </c>
      <c r="U981" s="450">
        <f t="shared" si="120"/>
        <v>1200000</v>
      </c>
      <c r="V981" s="454" t="s">
        <v>51</v>
      </c>
      <c r="W981" s="448" t="s">
        <v>847</v>
      </c>
      <c r="X981" s="448" t="s">
        <v>51</v>
      </c>
      <c r="Y981" s="448" t="s">
        <v>51</v>
      </c>
      <c r="Z981" s="448" t="s">
        <v>808</v>
      </c>
      <c r="AA981" s="448" t="s">
        <v>62</v>
      </c>
      <c r="AB981" s="448" t="s">
        <v>62</v>
      </c>
      <c r="AC981" s="448" t="s">
        <v>61</v>
      </c>
      <c r="AD981" s="447"/>
      <c r="AE981" s="447"/>
      <c r="AF981" s="447"/>
      <c r="AG981" s="447"/>
      <c r="AH981" s="447"/>
      <c r="AI981" s="447"/>
      <c r="AJ981" s="447"/>
      <c r="AK981" s="447"/>
      <c r="AL981" s="447"/>
      <c r="AM981" s="447"/>
      <c r="AN981" s="447"/>
      <c r="AO981" s="447"/>
      <c r="AP981" s="447"/>
      <c r="AQ981" s="447"/>
      <c r="AR981" s="447"/>
      <c r="AS981" s="447"/>
      <c r="AT981" s="447"/>
      <c r="AU981" s="447"/>
      <c r="AV981" s="447"/>
      <c r="AW981" s="447"/>
      <c r="AX981" s="447"/>
      <c r="AY981" s="447"/>
      <c r="AZ981" s="447"/>
      <c r="BA981" s="448" t="s">
        <v>51</v>
      </c>
      <c r="BB981" s="448" t="s">
        <v>51</v>
      </c>
      <c r="BC981" s="447"/>
      <c r="BD981" s="448" t="s">
        <v>848</v>
      </c>
      <c r="BE981" s="447">
        <v>381</v>
      </c>
    </row>
    <row r="982" spans="1:57" ht="30" customHeight="1">
      <c r="A982" s="494" t="s">
        <v>3208</v>
      </c>
      <c r="B982" s="494" t="s">
        <v>3304</v>
      </c>
      <c r="C982" s="495" t="s">
        <v>2568</v>
      </c>
      <c r="D982" s="1133">
        <v>1</v>
      </c>
      <c r="E982" s="445">
        <f>'2층전시실산출 '!H379</f>
        <v>1</v>
      </c>
      <c r="F982" s="1147">
        <v>380000</v>
      </c>
      <c r="G982" s="1147">
        <v>380000</v>
      </c>
      <c r="H982" s="450">
        <f>단가대비표!O318</f>
        <v>380000</v>
      </c>
      <c r="I982" s="450">
        <f t="shared" si="117"/>
        <v>380000</v>
      </c>
      <c r="J982" s="1147"/>
      <c r="K982" s="1147">
        <v>0</v>
      </c>
      <c r="L982" s="450"/>
      <c r="M982" s="450">
        <f t="shared" si="118"/>
        <v>0</v>
      </c>
      <c r="N982" s="1147"/>
      <c r="O982" s="1147">
        <v>0</v>
      </c>
      <c r="P982" s="450"/>
      <c r="Q982" s="450">
        <f t="shared" si="116"/>
        <v>0</v>
      </c>
      <c r="R982" s="1147">
        <v>380000</v>
      </c>
      <c r="S982" s="1147">
        <v>380000</v>
      </c>
      <c r="T982" s="450">
        <f t="shared" si="119"/>
        <v>380000</v>
      </c>
      <c r="U982" s="450">
        <f t="shared" si="120"/>
        <v>380000</v>
      </c>
      <c r="V982" s="454" t="s">
        <v>51</v>
      </c>
      <c r="W982" s="448" t="s">
        <v>847</v>
      </c>
      <c r="X982" s="448" t="s">
        <v>51</v>
      </c>
      <c r="Y982" s="448" t="s">
        <v>51</v>
      </c>
      <c r="Z982" s="448" t="s">
        <v>808</v>
      </c>
      <c r="AA982" s="448" t="s">
        <v>62</v>
      </c>
      <c r="AB982" s="448" t="s">
        <v>62</v>
      </c>
      <c r="AC982" s="448" t="s">
        <v>61</v>
      </c>
      <c r="AD982" s="447"/>
      <c r="AE982" s="447"/>
      <c r="AF982" s="447"/>
      <c r="AG982" s="447"/>
      <c r="AH982" s="447"/>
      <c r="AI982" s="447"/>
      <c r="AJ982" s="447"/>
      <c r="AK982" s="447"/>
      <c r="AL982" s="447"/>
      <c r="AM982" s="447"/>
      <c r="AN982" s="447"/>
      <c r="AO982" s="447"/>
      <c r="AP982" s="447"/>
      <c r="AQ982" s="447"/>
      <c r="AR982" s="447"/>
      <c r="AS982" s="447"/>
      <c r="AT982" s="447"/>
      <c r="AU982" s="447"/>
      <c r="AV982" s="447"/>
      <c r="AW982" s="447"/>
      <c r="AX982" s="447"/>
      <c r="AY982" s="447"/>
      <c r="AZ982" s="447"/>
      <c r="BA982" s="448" t="s">
        <v>51</v>
      </c>
      <c r="BB982" s="448" t="s">
        <v>51</v>
      </c>
      <c r="BC982" s="447"/>
      <c r="BD982" s="448" t="s">
        <v>848</v>
      </c>
      <c r="BE982" s="447">
        <v>381</v>
      </c>
    </row>
    <row r="983" spans="1:57" ht="30" customHeight="1">
      <c r="A983" s="494" t="s">
        <v>3208</v>
      </c>
      <c r="B983" s="494" t="s">
        <v>3305</v>
      </c>
      <c r="C983" s="495" t="s">
        <v>2568</v>
      </c>
      <c r="D983" s="1133">
        <v>1</v>
      </c>
      <c r="E983" s="445">
        <f>'2층전시실산출 '!H380</f>
        <v>1</v>
      </c>
      <c r="F983" s="1147">
        <v>240000</v>
      </c>
      <c r="G983" s="1147">
        <v>240000</v>
      </c>
      <c r="H983" s="450">
        <f>단가대비표!O319</f>
        <v>240000</v>
      </c>
      <c r="I983" s="450">
        <f t="shared" si="117"/>
        <v>240000</v>
      </c>
      <c r="J983" s="1147"/>
      <c r="K983" s="1147">
        <v>0</v>
      </c>
      <c r="L983" s="450"/>
      <c r="M983" s="450">
        <f t="shared" si="118"/>
        <v>0</v>
      </c>
      <c r="N983" s="1147"/>
      <c r="O983" s="1147">
        <v>0</v>
      </c>
      <c r="P983" s="450"/>
      <c r="Q983" s="450">
        <f t="shared" si="116"/>
        <v>0</v>
      </c>
      <c r="R983" s="1147">
        <v>240000</v>
      </c>
      <c r="S983" s="1147">
        <v>240000</v>
      </c>
      <c r="T983" s="450">
        <f t="shared" si="119"/>
        <v>240000</v>
      </c>
      <c r="U983" s="450">
        <f t="shared" si="120"/>
        <v>240000</v>
      </c>
      <c r="V983" s="454" t="s">
        <v>51</v>
      </c>
      <c r="W983" s="448" t="s">
        <v>847</v>
      </c>
      <c r="X983" s="448" t="s">
        <v>51</v>
      </c>
      <c r="Y983" s="448" t="s">
        <v>51</v>
      </c>
      <c r="Z983" s="448" t="s">
        <v>808</v>
      </c>
      <c r="AA983" s="448" t="s">
        <v>62</v>
      </c>
      <c r="AB983" s="448" t="s">
        <v>62</v>
      </c>
      <c r="AC983" s="448" t="s">
        <v>61</v>
      </c>
      <c r="AD983" s="447"/>
      <c r="AE983" s="447"/>
      <c r="AF983" s="447"/>
      <c r="AG983" s="447"/>
      <c r="AH983" s="447"/>
      <c r="AI983" s="447"/>
      <c r="AJ983" s="447"/>
      <c r="AK983" s="447"/>
      <c r="AL983" s="447"/>
      <c r="AM983" s="447"/>
      <c r="AN983" s="447"/>
      <c r="AO983" s="447"/>
      <c r="AP983" s="447"/>
      <c r="AQ983" s="447"/>
      <c r="AR983" s="447"/>
      <c r="AS983" s="447"/>
      <c r="AT983" s="447"/>
      <c r="AU983" s="447"/>
      <c r="AV983" s="447"/>
      <c r="AW983" s="447"/>
      <c r="AX983" s="447"/>
      <c r="AY983" s="447"/>
      <c r="AZ983" s="447"/>
      <c r="BA983" s="448" t="s">
        <v>51</v>
      </c>
      <c r="BB983" s="448" t="s">
        <v>51</v>
      </c>
      <c r="BC983" s="447"/>
      <c r="BD983" s="448" t="s">
        <v>848</v>
      </c>
      <c r="BE983" s="447">
        <v>381</v>
      </c>
    </row>
    <row r="984" spans="1:57" ht="30" customHeight="1">
      <c r="A984" s="494" t="s">
        <v>3208</v>
      </c>
      <c r="B984" s="494" t="s">
        <v>3306</v>
      </c>
      <c r="C984" s="495" t="s">
        <v>2568</v>
      </c>
      <c r="D984" s="1133">
        <v>1</v>
      </c>
      <c r="E984" s="445">
        <f>'2층전시실산출 '!H381</f>
        <v>1</v>
      </c>
      <c r="F984" s="1147">
        <v>340000</v>
      </c>
      <c r="G984" s="1147">
        <v>340000</v>
      </c>
      <c r="H984" s="450">
        <f>단가대비표!O320</f>
        <v>340000</v>
      </c>
      <c r="I984" s="450">
        <f t="shared" si="117"/>
        <v>340000</v>
      </c>
      <c r="J984" s="1147"/>
      <c r="K984" s="1147">
        <v>0</v>
      </c>
      <c r="L984" s="450"/>
      <c r="M984" s="450">
        <f t="shared" si="118"/>
        <v>0</v>
      </c>
      <c r="N984" s="1147"/>
      <c r="O984" s="1147">
        <v>0</v>
      </c>
      <c r="P984" s="450"/>
      <c r="Q984" s="450">
        <f t="shared" si="116"/>
        <v>0</v>
      </c>
      <c r="R984" s="1147">
        <v>340000</v>
      </c>
      <c r="S984" s="1147">
        <v>340000</v>
      </c>
      <c r="T984" s="450">
        <f t="shared" si="119"/>
        <v>340000</v>
      </c>
      <c r="U984" s="450">
        <f t="shared" si="120"/>
        <v>340000</v>
      </c>
      <c r="V984" s="454" t="s">
        <v>51</v>
      </c>
      <c r="W984" s="448" t="s">
        <v>847</v>
      </c>
      <c r="X984" s="448" t="s">
        <v>51</v>
      </c>
      <c r="Y984" s="448" t="s">
        <v>51</v>
      </c>
      <c r="Z984" s="448" t="s">
        <v>808</v>
      </c>
      <c r="AA984" s="448" t="s">
        <v>62</v>
      </c>
      <c r="AB984" s="448" t="s">
        <v>62</v>
      </c>
      <c r="AC984" s="448" t="s">
        <v>61</v>
      </c>
      <c r="AD984" s="447"/>
      <c r="AE984" s="447"/>
      <c r="AF984" s="447"/>
      <c r="AG984" s="447"/>
      <c r="AH984" s="447"/>
      <c r="AI984" s="447"/>
      <c r="AJ984" s="447"/>
      <c r="AK984" s="447"/>
      <c r="AL984" s="447"/>
      <c r="AM984" s="447"/>
      <c r="AN984" s="447"/>
      <c r="AO984" s="447"/>
      <c r="AP984" s="447"/>
      <c r="AQ984" s="447"/>
      <c r="AR984" s="447"/>
      <c r="AS984" s="447"/>
      <c r="AT984" s="447"/>
      <c r="AU984" s="447"/>
      <c r="AV984" s="447"/>
      <c r="AW984" s="447"/>
      <c r="AX984" s="447"/>
      <c r="AY984" s="447"/>
      <c r="AZ984" s="447"/>
      <c r="BA984" s="448" t="s">
        <v>51</v>
      </c>
      <c r="BB984" s="448" t="s">
        <v>51</v>
      </c>
      <c r="BC984" s="447"/>
      <c r="BD984" s="448" t="s">
        <v>848</v>
      </c>
      <c r="BE984" s="447">
        <v>381</v>
      </c>
    </row>
    <row r="985" spans="1:57" ht="30" customHeight="1">
      <c r="A985" s="494" t="s">
        <v>3208</v>
      </c>
      <c r="B985" s="494" t="s">
        <v>3307</v>
      </c>
      <c r="C985" s="495" t="s">
        <v>2568</v>
      </c>
      <c r="D985" s="1133">
        <v>5</v>
      </c>
      <c r="E985" s="445">
        <f>'2층전시실산출 '!H382</f>
        <v>5</v>
      </c>
      <c r="F985" s="1147">
        <v>280000</v>
      </c>
      <c r="G985" s="1147">
        <v>1400000</v>
      </c>
      <c r="H985" s="450">
        <f>단가대비표!O321</f>
        <v>280000</v>
      </c>
      <c r="I985" s="450">
        <f t="shared" si="117"/>
        <v>1400000</v>
      </c>
      <c r="J985" s="1147"/>
      <c r="K985" s="1147">
        <v>0</v>
      </c>
      <c r="L985" s="450"/>
      <c r="M985" s="450">
        <f t="shared" si="118"/>
        <v>0</v>
      </c>
      <c r="N985" s="1147"/>
      <c r="O985" s="1147">
        <v>0</v>
      </c>
      <c r="P985" s="450"/>
      <c r="Q985" s="450">
        <f t="shared" si="116"/>
        <v>0</v>
      </c>
      <c r="R985" s="1147">
        <v>280000</v>
      </c>
      <c r="S985" s="1147">
        <v>1400000</v>
      </c>
      <c r="T985" s="450">
        <f t="shared" si="119"/>
        <v>280000</v>
      </c>
      <c r="U985" s="450">
        <f t="shared" si="120"/>
        <v>1400000</v>
      </c>
      <c r="V985" s="454" t="s">
        <v>51</v>
      </c>
      <c r="W985" s="448" t="s">
        <v>847</v>
      </c>
      <c r="X985" s="448" t="s">
        <v>51</v>
      </c>
      <c r="Y985" s="448" t="s">
        <v>51</v>
      </c>
      <c r="Z985" s="448" t="s">
        <v>808</v>
      </c>
      <c r="AA985" s="448" t="s">
        <v>62</v>
      </c>
      <c r="AB985" s="448" t="s">
        <v>62</v>
      </c>
      <c r="AC985" s="448" t="s">
        <v>61</v>
      </c>
      <c r="AD985" s="447"/>
      <c r="AE985" s="447"/>
      <c r="AF985" s="447"/>
      <c r="AG985" s="447"/>
      <c r="AH985" s="447"/>
      <c r="AI985" s="447"/>
      <c r="AJ985" s="447"/>
      <c r="AK985" s="447"/>
      <c r="AL985" s="447"/>
      <c r="AM985" s="447"/>
      <c r="AN985" s="447"/>
      <c r="AO985" s="447"/>
      <c r="AP985" s="447"/>
      <c r="AQ985" s="447"/>
      <c r="AR985" s="447"/>
      <c r="AS985" s="447"/>
      <c r="AT985" s="447"/>
      <c r="AU985" s="447"/>
      <c r="AV985" s="447"/>
      <c r="AW985" s="447"/>
      <c r="AX985" s="447"/>
      <c r="AY985" s="447"/>
      <c r="AZ985" s="447"/>
      <c r="BA985" s="448" t="s">
        <v>51</v>
      </c>
      <c r="BB985" s="448" t="s">
        <v>51</v>
      </c>
      <c r="BC985" s="447"/>
      <c r="BD985" s="448" t="s">
        <v>848</v>
      </c>
      <c r="BE985" s="447">
        <v>381</v>
      </c>
    </row>
    <row r="986" spans="1:57" ht="30" customHeight="1">
      <c r="A986" s="494" t="s">
        <v>3208</v>
      </c>
      <c r="B986" s="494" t="s">
        <v>3308</v>
      </c>
      <c r="C986" s="495" t="s">
        <v>2568</v>
      </c>
      <c r="D986" s="1133">
        <v>12</v>
      </c>
      <c r="E986" s="445">
        <f>'2층전시실산출 '!H383</f>
        <v>12</v>
      </c>
      <c r="F986" s="1147">
        <v>270000</v>
      </c>
      <c r="G986" s="1147">
        <v>3240000</v>
      </c>
      <c r="H986" s="450">
        <f>단가대비표!O322</f>
        <v>270000</v>
      </c>
      <c r="I986" s="450">
        <f t="shared" si="117"/>
        <v>3240000</v>
      </c>
      <c r="J986" s="1147"/>
      <c r="K986" s="1147">
        <v>0</v>
      </c>
      <c r="L986" s="450"/>
      <c r="M986" s="450">
        <f t="shared" si="118"/>
        <v>0</v>
      </c>
      <c r="N986" s="1147"/>
      <c r="O986" s="1147">
        <v>0</v>
      </c>
      <c r="P986" s="450"/>
      <c r="Q986" s="450">
        <f t="shared" ref="Q986:Q1017" si="121">TRUNC(P986*E986, 0)</f>
        <v>0</v>
      </c>
      <c r="R986" s="1147">
        <v>270000</v>
      </c>
      <c r="S986" s="1147">
        <v>3240000</v>
      </c>
      <c r="T986" s="450">
        <f t="shared" si="119"/>
        <v>270000</v>
      </c>
      <c r="U986" s="450">
        <f t="shared" si="120"/>
        <v>3240000</v>
      </c>
      <c r="V986" s="454" t="s">
        <v>51</v>
      </c>
      <c r="W986" s="448" t="s">
        <v>847</v>
      </c>
      <c r="X986" s="448" t="s">
        <v>51</v>
      </c>
      <c r="Y986" s="448" t="s">
        <v>51</v>
      </c>
      <c r="Z986" s="448" t="s">
        <v>808</v>
      </c>
      <c r="AA986" s="448" t="s">
        <v>62</v>
      </c>
      <c r="AB986" s="448" t="s">
        <v>62</v>
      </c>
      <c r="AC986" s="448" t="s">
        <v>61</v>
      </c>
      <c r="AD986" s="447"/>
      <c r="AE986" s="447"/>
      <c r="AF986" s="447"/>
      <c r="AG986" s="447"/>
      <c r="AH986" s="447"/>
      <c r="AI986" s="447"/>
      <c r="AJ986" s="447"/>
      <c r="AK986" s="447"/>
      <c r="AL986" s="447"/>
      <c r="AM986" s="447"/>
      <c r="AN986" s="447"/>
      <c r="AO986" s="447"/>
      <c r="AP986" s="447"/>
      <c r="AQ986" s="447"/>
      <c r="AR986" s="447"/>
      <c r="AS986" s="447"/>
      <c r="AT986" s="447"/>
      <c r="AU986" s="447"/>
      <c r="AV986" s="447"/>
      <c r="AW986" s="447"/>
      <c r="AX986" s="447"/>
      <c r="AY986" s="447"/>
      <c r="AZ986" s="447"/>
      <c r="BA986" s="448" t="s">
        <v>51</v>
      </c>
      <c r="BB986" s="448" t="s">
        <v>51</v>
      </c>
      <c r="BC986" s="447"/>
      <c r="BD986" s="448" t="s">
        <v>848</v>
      </c>
      <c r="BE986" s="447">
        <v>381</v>
      </c>
    </row>
    <row r="987" spans="1:57" ht="30" customHeight="1">
      <c r="A987" s="494" t="s">
        <v>3208</v>
      </c>
      <c r="B987" s="494" t="s">
        <v>3309</v>
      </c>
      <c r="C987" s="495" t="s">
        <v>2568</v>
      </c>
      <c r="D987" s="1133">
        <v>5</v>
      </c>
      <c r="E987" s="445">
        <f>'2층전시실산출 '!H384</f>
        <v>5</v>
      </c>
      <c r="F987" s="1147">
        <v>280000</v>
      </c>
      <c r="G987" s="1147">
        <v>1400000</v>
      </c>
      <c r="H987" s="450">
        <f>단가대비표!O323</f>
        <v>280000</v>
      </c>
      <c r="I987" s="450">
        <f t="shared" si="117"/>
        <v>1400000</v>
      </c>
      <c r="J987" s="1147"/>
      <c r="K987" s="1147">
        <v>0</v>
      </c>
      <c r="L987" s="450"/>
      <c r="M987" s="450">
        <f t="shared" si="118"/>
        <v>0</v>
      </c>
      <c r="N987" s="1147"/>
      <c r="O987" s="1147">
        <v>0</v>
      </c>
      <c r="P987" s="450"/>
      <c r="Q987" s="450">
        <f t="shared" si="121"/>
        <v>0</v>
      </c>
      <c r="R987" s="1147">
        <v>280000</v>
      </c>
      <c r="S987" s="1147">
        <v>1400000</v>
      </c>
      <c r="T987" s="450">
        <f t="shared" si="119"/>
        <v>280000</v>
      </c>
      <c r="U987" s="450">
        <f t="shared" si="120"/>
        <v>1400000</v>
      </c>
      <c r="V987" s="454" t="s">
        <v>51</v>
      </c>
      <c r="W987" s="448" t="s">
        <v>847</v>
      </c>
      <c r="X987" s="448" t="s">
        <v>51</v>
      </c>
      <c r="Y987" s="448" t="s">
        <v>51</v>
      </c>
      <c r="Z987" s="448" t="s">
        <v>808</v>
      </c>
      <c r="AA987" s="448" t="s">
        <v>62</v>
      </c>
      <c r="AB987" s="448" t="s">
        <v>62</v>
      </c>
      <c r="AC987" s="448" t="s">
        <v>61</v>
      </c>
      <c r="AD987" s="447"/>
      <c r="AE987" s="447"/>
      <c r="AF987" s="447"/>
      <c r="AG987" s="447"/>
      <c r="AH987" s="447"/>
      <c r="AI987" s="447"/>
      <c r="AJ987" s="447"/>
      <c r="AK987" s="447"/>
      <c r="AL987" s="447"/>
      <c r="AM987" s="447"/>
      <c r="AN987" s="447"/>
      <c r="AO987" s="447"/>
      <c r="AP987" s="447"/>
      <c r="AQ987" s="447"/>
      <c r="AR987" s="447"/>
      <c r="AS987" s="447"/>
      <c r="AT987" s="447"/>
      <c r="AU987" s="447"/>
      <c r="AV987" s="447"/>
      <c r="AW987" s="447"/>
      <c r="AX987" s="447"/>
      <c r="AY987" s="447"/>
      <c r="AZ987" s="447"/>
      <c r="BA987" s="448" t="s">
        <v>51</v>
      </c>
      <c r="BB987" s="448" t="s">
        <v>51</v>
      </c>
      <c r="BC987" s="447"/>
      <c r="BD987" s="448" t="s">
        <v>848</v>
      </c>
      <c r="BE987" s="447">
        <v>381</v>
      </c>
    </row>
    <row r="988" spans="1:57" ht="30" customHeight="1">
      <c r="A988" s="494" t="s">
        <v>3208</v>
      </c>
      <c r="B988" s="494" t="s">
        <v>3310</v>
      </c>
      <c r="C988" s="495" t="s">
        <v>2568</v>
      </c>
      <c r="D988" s="1133">
        <v>1</v>
      </c>
      <c r="E988" s="445">
        <f>'2층전시실산출 '!H385</f>
        <v>1</v>
      </c>
      <c r="F988" s="1147">
        <v>380000</v>
      </c>
      <c r="G988" s="1147">
        <v>380000</v>
      </c>
      <c r="H988" s="450">
        <f>단가대비표!O324</f>
        <v>380000</v>
      </c>
      <c r="I988" s="450">
        <f t="shared" si="117"/>
        <v>380000</v>
      </c>
      <c r="J988" s="1147"/>
      <c r="K988" s="1147">
        <v>0</v>
      </c>
      <c r="L988" s="450"/>
      <c r="M988" s="450">
        <f t="shared" si="118"/>
        <v>0</v>
      </c>
      <c r="N988" s="1147"/>
      <c r="O988" s="1147">
        <v>0</v>
      </c>
      <c r="P988" s="450"/>
      <c r="Q988" s="450">
        <f t="shared" si="121"/>
        <v>0</v>
      </c>
      <c r="R988" s="1147">
        <v>380000</v>
      </c>
      <c r="S988" s="1147">
        <v>380000</v>
      </c>
      <c r="T988" s="450">
        <f t="shared" si="119"/>
        <v>380000</v>
      </c>
      <c r="U988" s="450">
        <f t="shared" si="120"/>
        <v>380000</v>
      </c>
      <c r="V988" s="454" t="s">
        <v>51</v>
      </c>
      <c r="W988" s="448" t="s">
        <v>847</v>
      </c>
      <c r="X988" s="448" t="s">
        <v>51</v>
      </c>
      <c r="Y988" s="448" t="s">
        <v>51</v>
      </c>
      <c r="Z988" s="448" t="s">
        <v>808</v>
      </c>
      <c r="AA988" s="448" t="s">
        <v>62</v>
      </c>
      <c r="AB988" s="448" t="s">
        <v>62</v>
      </c>
      <c r="AC988" s="448" t="s">
        <v>61</v>
      </c>
      <c r="AD988" s="447"/>
      <c r="AE988" s="447"/>
      <c r="AF988" s="447"/>
      <c r="AG988" s="447"/>
      <c r="AH988" s="447"/>
      <c r="AI988" s="447"/>
      <c r="AJ988" s="447"/>
      <c r="AK988" s="447"/>
      <c r="AL988" s="447"/>
      <c r="AM988" s="447"/>
      <c r="AN988" s="447"/>
      <c r="AO988" s="447"/>
      <c r="AP988" s="447"/>
      <c r="AQ988" s="447"/>
      <c r="AR988" s="447"/>
      <c r="AS988" s="447"/>
      <c r="AT988" s="447"/>
      <c r="AU988" s="447"/>
      <c r="AV988" s="447"/>
      <c r="AW988" s="447"/>
      <c r="AX988" s="447"/>
      <c r="AY988" s="447"/>
      <c r="AZ988" s="447"/>
      <c r="BA988" s="448" t="s">
        <v>51</v>
      </c>
      <c r="BB988" s="448" t="s">
        <v>51</v>
      </c>
      <c r="BC988" s="447"/>
      <c r="BD988" s="448" t="s">
        <v>848</v>
      </c>
      <c r="BE988" s="447">
        <v>381</v>
      </c>
    </row>
    <row r="989" spans="1:57" ht="30" customHeight="1">
      <c r="A989" s="494" t="s">
        <v>3208</v>
      </c>
      <c r="B989" s="494" t="s">
        <v>3311</v>
      </c>
      <c r="C989" s="495" t="s">
        <v>2568</v>
      </c>
      <c r="D989" s="1133">
        <v>1</v>
      </c>
      <c r="E989" s="445">
        <f>'2층전시실산출 '!H386</f>
        <v>1</v>
      </c>
      <c r="F989" s="1147">
        <v>120000</v>
      </c>
      <c r="G989" s="1147">
        <v>120000</v>
      </c>
      <c r="H989" s="450">
        <f>단가대비표!O325</f>
        <v>120000</v>
      </c>
      <c r="I989" s="450">
        <f t="shared" si="117"/>
        <v>120000</v>
      </c>
      <c r="J989" s="1147"/>
      <c r="K989" s="1147">
        <v>0</v>
      </c>
      <c r="L989" s="450"/>
      <c r="M989" s="450">
        <f t="shared" si="118"/>
        <v>0</v>
      </c>
      <c r="N989" s="1147"/>
      <c r="O989" s="1147">
        <v>0</v>
      </c>
      <c r="P989" s="450"/>
      <c r="Q989" s="450">
        <f t="shared" si="121"/>
        <v>0</v>
      </c>
      <c r="R989" s="1147">
        <v>120000</v>
      </c>
      <c r="S989" s="1147">
        <v>120000</v>
      </c>
      <c r="T989" s="450">
        <f t="shared" si="119"/>
        <v>120000</v>
      </c>
      <c r="U989" s="450">
        <f t="shared" si="120"/>
        <v>120000</v>
      </c>
      <c r="V989" s="454" t="s">
        <v>51</v>
      </c>
      <c r="W989" s="448" t="s">
        <v>847</v>
      </c>
      <c r="X989" s="448" t="s">
        <v>51</v>
      </c>
      <c r="Y989" s="448" t="s">
        <v>51</v>
      </c>
      <c r="Z989" s="448" t="s">
        <v>808</v>
      </c>
      <c r="AA989" s="448" t="s">
        <v>62</v>
      </c>
      <c r="AB989" s="448" t="s">
        <v>62</v>
      </c>
      <c r="AC989" s="448" t="s">
        <v>61</v>
      </c>
      <c r="AD989" s="447"/>
      <c r="AE989" s="447"/>
      <c r="AF989" s="447"/>
      <c r="AG989" s="447"/>
      <c r="AH989" s="447"/>
      <c r="AI989" s="447"/>
      <c r="AJ989" s="447"/>
      <c r="AK989" s="447"/>
      <c r="AL989" s="447"/>
      <c r="AM989" s="447"/>
      <c r="AN989" s="447"/>
      <c r="AO989" s="447"/>
      <c r="AP989" s="447"/>
      <c r="AQ989" s="447"/>
      <c r="AR989" s="447"/>
      <c r="AS989" s="447"/>
      <c r="AT989" s="447"/>
      <c r="AU989" s="447"/>
      <c r="AV989" s="447"/>
      <c r="AW989" s="447"/>
      <c r="AX989" s="447"/>
      <c r="AY989" s="447"/>
      <c r="AZ989" s="447"/>
      <c r="BA989" s="448" t="s">
        <v>51</v>
      </c>
      <c r="BB989" s="448" t="s">
        <v>51</v>
      </c>
      <c r="BC989" s="447"/>
      <c r="BD989" s="448" t="s">
        <v>848</v>
      </c>
      <c r="BE989" s="447">
        <v>381</v>
      </c>
    </row>
    <row r="990" spans="1:57" ht="30" customHeight="1">
      <c r="A990" s="494" t="s">
        <v>3209</v>
      </c>
      <c r="B990" s="494" t="s">
        <v>3312</v>
      </c>
      <c r="C990" s="495" t="s">
        <v>2568</v>
      </c>
      <c r="D990" s="1133">
        <v>5</v>
      </c>
      <c r="E990" s="445">
        <f>'2층전시실산출 '!H387</f>
        <v>5</v>
      </c>
      <c r="F990" s="1147">
        <v>450000</v>
      </c>
      <c r="G990" s="1147">
        <v>2250000</v>
      </c>
      <c r="H990" s="450">
        <f>단가대비표!O326</f>
        <v>450000</v>
      </c>
      <c r="I990" s="450">
        <f t="shared" si="117"/>
        <v>2250000</v>
      </c>
      <c r="J990" s="1147"/>
      <c r="K990" s="1147">
        <v>0</v>
      </c>
      <c r="L990" s="450"/>
      <c r="M990" s="450">
        <f t="shared" si="118"/>
        <v>0</v>
      </c>
      <c r="N990" s="1147"/>
      <c r="O990" s="1147">
        <v>0</v>
      </c>
      <c r="P990" s="450"/>
      <c r="Q990" s="450">
        <f t="shared" si="121"/>
        <v>0</v>
      </c>
      <c r="R990" s="1147">
        <v>450000</v>
      </c>
      <c r="S990" s="1147">
        <v>2250000</v>
      </c>
      <c r="T990" s="450">
        <f t="shared" si="119"/>
        <v>450000</v>
      </c>
      <c r="U990" s="450">
        <f t="shared" si="120"/>
        <v>2250000</v>
      </c>
      <c r="V990" s="454" t="s">
        <v>51</v>
      </c>
      <c r="W990" s="448" t="s">
        <v>847</v>
      </c>
      <c r="X990" s="448" t="s">
        <v>51</v>
      </c>
      <c r="Y990" s="448" t="s">
        <v>51</v>
      </c>
      <c r="Z990" s="448" t="s">
        <v>808</v>
      </c>
      <c r="AA990" s="448" t="s">
        <v>62</v>
      </c>
      <c r="AB990" s="448" t="s">
        <v>62</v>
      </c>
      <c r="AC990" s="448" t="s">
        <v>61</v>
      </c>
      <c r="AD990" s="447"/>
      <c r="AE990" s="447"/>
      <c r="AF990" s="447"/>
      <c r="AG990" s="447"/>
      <c r="AH990" s="447"/>
      <c r="AI990" s="447"/>
      <c r="AJ990" s="447"/>
      <c r="AK990" s="447"/>
      <c r="AL990" s="447"/>
      <c r="AM990" s="447"/>
      <c r="AN990" s="447"/>
      <c r="AO990" s="447"/>
      <c r="AP990" s="447"/>
      <c r="AQ990" s="447"/>
      <c r="AR990" s="447"/>
      <c r="AS990" s="447"/>
      <c r="AT990" s="447"/>
      <c r="AU990" s="447"/>
      <c r="AV990" s="447"/>
      <c r="AW990" s="447"/>
      <c r="AX990" s="447"/>
      <c r="AY990" s="447"/>
      <c r="AZ990" s="447"/>
      <c r="BA990" s="448" t="s">
        <v>51</v>
      </c>
      <c r="BB990" s="448" t="s">
        <v>51</v>
      </c>
      <c r="BC990" s="447"/>
      <c r="BD990" s="448" t="s">
        <v>848</v>
      </c>
      <c r="BE990" s="447">
        <v>381</v>
      </c>
    </row>
    <row r="991" spans="1:57" ht="30" customHeight="1">
      <c r="A991" s="494" t="s">
        <v>3210</v>
      </c>
      <c r="B991" s="494" t="s">
        <v>3313</v>
      </c>
      <c r="C991" s="495" t="s">
        <v>2568</v>
      </c>
      <c r="D991" s="1133">
        <v>2</v>
      </c>
      <c r="E991" s="445">
        <f>'2층전시실산출 '!H388</f>
        <v>2</v>
      </c>
      <c r="F991" s="1147">
        <v>15000</v>
      </c>
      <c r="G991" s="1147">
        <v>30000</v>
      </c>
      <c r="H991" s="450">
        <f>단가대비표!O327</f>
        <v>15000</v>
      </c>
      <c r="I991" s="450">
        <f t="shared" si="117"/>
        <v>30000</v>
      </c>
      <c r="J991" s="1147"/>
      <c r="K991" s="1147">
        <v>0</v>
      </c>
      <c r="L991" s="450"/>
      <c r="M991" s="450">
        <f t="shared" si="118"/>
        <v>0</v>
      </c>
      <c r="N991" s="1147"/>
      <c r="O991" s="1147">
        <v>0</v>
      </c>
      <c r="P991" s="450"/>
      <c r="Q991" s="450">
        <f t="shared" si="121"/>
        <v>0</v>
      </c>
      <c r="R991" s="1147">
        <v>15000</v>
      </c>
      <c r="S991" s="1147">
        <v>30000</v>
      </c>
      <c r="T991" s="450">
        <f t="shared" si="119"/>
        <v>15000</v>
      </c>
      <c r="U991" s="450">
        <f t="shared" si="120"/>
        <v>30000</v>
      </c>
      <c r="V991" s="454" t="s">
        <v>51</v>
      </c>
      <c r="W991" s="448" t="s">
        <v>847</v>
      </c>
      <c r="X991" s="448" t="s">
        <v>51</v>
      </c>
      <c r="Y991" s="448" t="s">
        <v>51</v>
      </c>
      <c r="Z991" s="448" t="s">
        <v>808</v>
      </c>
      <c r="AA991" s="448" t="s">
        <v>62</v>
      </c>
      <c r="AB991" s="448" t="s">
        <v>62</v>
      </c>
      <c r="AC991" s="448" t="s">
        <v>61</v>
      </c>
      <c r="AD991" s="447"/>
      <c r="AE991" s="447"/>
      <c r="AF991" s="447"/>
      <c r="AG991" s="447"/>
      <c r="AH991" s="447"/>
      <c r="AI991" s="447"/>
      <c r="AJ991" s="447"/>
      <c r="AK991" s="447"/>
      <c r="AL991" s="447"/>
      <c r="AM991" s="447"/>
      <c r="AN991" s="447"/>
      <c r="AO991" s="447"/>
      <c r="AP991" s="447"/>
      <c r="AQ991" s="447"/>
      <c r="AR991" s="447"/>
      <c r="AS991" s="447"/>
      <c r="AT991" s="447"/>
      <c r="AU991" s="447"/>
      <c r="AV991" s="447"/>
      <c r="AW991" s="447"/>
      <c r="AX991" s="447"/>
      <c r="AY991" s="447"/>
      <c r="AZ991" s="447"/>
      <c r="BA991" s="448" t="s">
        <v>51</v>
      </c>
      <c r="BB991" s="448" t="s">
        <v>51</v>
      </c>
      <c r="BC991" s="447"/>
      <c r="BD991" s="448" t="s">
        <v>848</v>
      </c>
      <c r="BE991" s="447">
        <v>381</v>
      </c>
    </row>
    <row r="992" spans="1:57" ht="30" customHeight="1">
      <c r="A992" s="494" t="s">
        <v>3210</v>
      </c>
      <c r="B992" s="494" t="s">
        <v>3314</v>
      </c>
      <c r="C992" s="495" t="s">
        <v>2568</v>
      </c>
      <c r="D992" s="1133">
        <v>2</v>
      </c>
      <c r="E992" s="445">
        <f>'2층전시실산출 '!H389</f>
        <v>2</v>
      </c>
      <c r="F992" s="1147">
        <v>18000</v>
      </c>
      <c r="G992" s="1147">
        <v>36000</v>
      </c>
      <c r="H992" s="450">
        <f>단가대비표!O328</f>
        <v>18000</v>
      </c>
      <c r="I992" s="450">
        <f t="shared" si="117"/>
        <v>36000</v>
      </c>
      <c r="J992" s="1147"/>
      <c r="K992" s="1147">
        <v>0</v>
      </c>
      <c r="L992" s="450"/>
      <c r="M992" s="450">
        <f t="shared" si="118"/>
        <v>0</v>
      </c>
      <c r="N992" s="1147"/>
      <c r="O992" s="1147">
        <v>0</v>
      </c>
      <c r="P992" s="450"/>
      <c r="Q992" s="450">
        <f t="shared" si="121"/>
        <v>0</v>
      </c>
      <c r="R992" s="1147">
        <v>18000</v>
      </c>
      <c r="S992" s="1147">
        <v>36000</v>
      </c>
      <c r="T992" s="450">
        <f t="shared" si="119"/>
        <v>18000</v>
      </c>
      <c r="U992" s="450">
        <f t="shared" si="120"/>
        <v>36000</v>
      </c>
      <c r="V992" s="454" t="s">
        <v>51</v>
      </c>
      <c r="W992" s="448" t="s">
        <v>847</v>
      </c>
      <c r="X992" s="448" t="s">
        <v>51</v>
      </c>
      <c r="Y992" s="448" t="s">
        <v>51</v>
      </c>
      <c r="Z992" s="448" t="s">
        <v>808</v>
      </c>
      <c r="AA992" s="448" t="s">
        <v>62</v>
      </c>
      <c r="AB992" s="448" t="s">
        <v>62</v>
      </c>
      <c r="AC992" s="448" t="s">
        <v>61</v>
      </c>
      <c r="AD992" s="447"/>
      <c r="AE992" s="447"/>
      <c r="AF992" s="447"/>
      <c r="AG992" s="447"/>
      <c r="AH992" s="447"/>
      <c r="AI992" s="447"/>
      <c r="AJ992" s="447"/>
      <c r="AK992" s="447"/>
      <c r="AL992" s="447"/>
      <c r="AM992" s="447"/>
      <c r="AN992" s="447"/>
      <c r="AO992" s="447"/>
      <c r="AP992" s="447"/>
      <c r="AQ992" s="447"/>
      <c r="AR992" s="447"/>
      <c r="AS992" s="447"/>
      <c r="AT992" s="447"/>
      <c r="AU992" s="447"/>
      <c r="AV992" s="447"/>
      <c r="AW992" s="447"/>
      <c r="AX992" s="447"/>
      <c r="AY992" s="447"/>
      <c r="AZ992" s="447"/>
      <c r="BA992" s="448" t="s">
        <v>51</v>
      </c>
      <c r="BB992" s="448" t="s">
        <v>51</v>
      </c>
      <c r="BC992" s="447"/>
      <c r="BD992" s="448" t="s">
        <v>848</v>
      </c>
      <c r="BE992" s="447">
        <v>381</v>
      </c>
    </row>
    <row r="993" spans="1:57" ht="30" customHeight="1">
      <c r="A993" s="494" t="s">
        <v>3210</v>
      </c>
      <c r="B993" s="494" t="s">
        <v>3315</v>
      </c>
      <c r="C993" s="495" t="s">
        <v>2568</v>
      </c>
      <c r="D993" s="1133">
        <v>1</v>
      </c>
      <c r="E993" s="445">
        <f>'2층전시실산출 '!H390</f>
        <v>1</v>
      </c>
      <c r="F993" s="1147">
        <v>10000</v>
      </c>
      <c r="G993" s="1147">
        <v>10000</v>
      </c>
      <c r="H993" s="450">
        <f>단가대비표!O329</f>
        <v>10000</v>
      </c>
      <c r="I993" s="450">
        <f t="shared" si="117"/>
        <v>10000</v>
      </c>
      <c r="J993" s="1147"/>
      <c r="K993" s="1147">
        <v>0</v>
      </c>
      <c r="L993" s="450"/>
      <c r="M993" s="450">
        <f t="shared" si="118"/>
        <v>0</v>
      </c>
      <c r="N993" s="1147"/>
      <c r="O993" s="1147">
        <v>0</v>
      </c>
      <c r="P993" s="450"/>
      <c r="Q993" s="450">
        <f t="shared" si="121"/>
        <v>0</v>
      </c>
      <c r="R993" s="1147">
        <v>10000</v>
      </c>
      <c r="S993" s="1147">
        <v>10000</v>
      </c>
      <c r="T993" s="450">
        <f t="shared" si="119"/>
        <v>10000</v>
      </c>
      <c r="U993" s="450">
        <f t="shared" si="120"/>
        <v>10000</v>
      </c>
      <c r="V993" s="454" t="s">
        <v>51</v>
      </c>
      <c r="W993" s="448" t="s">
        <v>847</v>
      </c>
      <c r="X993" s="448" t="s">
        <v>51</v>
      </c>
      <c r="Y993" s="448" t="s">
        <v>51</v>
      </c>
      <c r="Z993" s="448" t="s">
        <v>808</v>
      </c>
      <c r="AA993" s="448" t="s">
        <v>62</v>
      </c>
      <c r="AB993" s="448" t="s">
        <v>62</v>
      </c>
      <c r="AC993" s="448" t="s">
        <v>61</v>
      </c>
      <c r="AD993" s="447"/>
      <c r="AE993" s="447"/>
      <c r="AF993" s="447"/>
      <c r="AG993" s="447"/>
      <c r="AH993" s="447"/>
      <c r="AI993" s="447"/>
      <c r="AJ993" s="447"/>
      <c r="AK993" s="447"/>
      <c r="AL993" s="447"/>
      <c r="AM993" s="447"/>
      <c r="AN993" s="447"/>
      <c r="AO993" s="447"/>
      <c r="AP993" s="447"/>
      <c r="AQ993" s="447"/>
      <c r="AR993" s="447"/>
      <c r="AS993" s="447"/>
      <c r="AT993" s="447"/>
      <c r="AU993" s="447"/>
      <c r="AV993" s="447"/>
      <c r="AW993" s="447"/>
      <c r="AX993" s="447"/>
      <c r="AY993" s="447"/>
      <c r="AZ993" s="447"/>
      <c r="BA993" s="448" t="s">
        <v>51</v>
      </c>
      <c r="BB993" s="448" t="s">
        <v>51</v>
      </c>
      <c r="BC993" s="447"/>
      <c r="BD993" s="448" t="s">
        <v>848</v>
      </c>
      <c r="BE993" s="447">
        <v>381</v>
      </c>
    </row>
    <row r="994" spans="1:57" ht="30" customHeight="1">
      <c r="A994" s="494" t="s">
        <v>3210</v>
      </c>
      <c r="B994" s="494" t="s">
        <v>3316</v>
      </c>
      <c r="C994" s="495" t="s">
        <v>2568</v>
      </c>
      <c r="D994" s="1133">
        <v>1</v>
      </c>
      <c r="E994" s="445">
        <f>'2층전시실산출 '!H391</f>
        <v>1</v>
      </c>
      <c r="F994" s="1147">
        <v>12000</v>
      </c>
      <c r="G994" s="1147">
        <v>12000</v>
      </c>
      <c r="H994" s="450">
        <f>단가대비표!O330</f>
        <v>12000</v>
      </c>
      <c r="I994" s="450">
        <f t="shared" si="117"/>
        <v>12000</v>
      </c>
      <c r="J994" s="1147"/>
      <c r="K994" s="1147">
        <v>0</v>
      </c>
      <c r="L994" s="450"/>
      <c r="M994" s="450">
        <f t="shared" si="118"/>
        <v>0</v>
      </c>
      <c r="N994" s="1147"/>
      <c r="O994" s="1147">
        <v>0</v>
      </c>
      <c r="P994" s="450"/>
      <c r="Q994" s="450">
        <f t="shared" si="121"/>
        <v>0</v>
      </c>
      <c r="R994" s="1147">
        <v>12000</v>
      </c>
      <c r="S994" s="1147">
        <v>12000</v>
      </c>
      <c r="T994" s="450">
        <f t="shared" si="119"/>
        <v>12000</v>
      </c>
      <c r="U994" s="450">
        <f t="shared" si="120"/>
        <v>12000</v>
      </c>
      <c r="V994" s="454" t="s">
        <v>51</v>
      </c>
      <c r="W994" s="448" t="s">
        <v>847</v>
      </c>
      <c r="X994" s="448" t="s">
        <v>51</v>
      </c>
      <c r="Y994" s="448" t="s">
        <v>51</v>
      </c>
      <c r="Z994" s="448" t="s">
        <v>808</v>
      </c>
      <c r="AA994" s="448" t="s">
        <v>62</v>
      </c>
      <c r="AB994" s="448" t="s">
        <v>62</v>
      </c>
      <c r="AC994" s="448" t="s">
        <v>61</v>
      </c>
      <c r="AD994" s="447"/>
      <c r="AE994" s="447"/>
      <c r="AF994" s="447"/>
      <c r="AG994" s="447"/>
      <c r="AH994" s="447"/>
      <c r="AI994" s="447"/>
      <c r="AJ994" s="447"/>
      <c r="AK994" s="447"/>
      <c r="AL994" s="447"/>
      <c r="AM994" s="447"/>
      <c r="AN994" s="447"/>
      <c r="AO994" s="447"/>
      <c r="AP994" s="447"/>
      <c r="AQ994" s="447"/>
      <c r="AR994" s="447"/>
      <c r="AS994" s="447"/>
      <c r="AT994" s="447"/>
      <c r="AU994" s="447"/>
      <c r="AV994" s="447"/>
      <c r="AW994" s="447"/>
      <c r="AX994" s="447"/>
      <c r="AY994" s="447"/>
      <c r="AZ994" s="447"/>
      <c r="BA994" s="448" t="s">
        <v>51</v>
      </c>
      <c r="BB994" s="448" t="s">
        <v>51</v>
      </c>
      <c r="BC994" s="447"/>
      <c r="BD994" s="448" t="s">
        <v>848</v>
      </c>
      <c r="BE994" s="447">
        <v>381</v>
      </c>
    </row>
    <row r="995" spans="1:57" ht="30" customHeight="1">
      <c r="A995" s="494" t="s">
        <v>3210</v>
      </c>
      <c r="B995" s="494" t="s">
        <v>3317</v>
      </c>
      <c r="C995" s="495" t="s">
        <v>2568</v>
      </c>
      <c r="D995" s="1133">
        <v>1</v>
      </c>
      <c r="E995" s="445">
        <f>'2층전시실산출 '!H392</f>
        <v>1</v>
      </c>
      <c r="F995" s="1147">
        <v>18000</v>
      </c>
      <c r="G995" s="1147">
        <v>18000</v>
      </c>
      <c r="H995" s="450">
        <f>단가대비표!O331</f>
        <v>18000</v>
      </c>
      <c r="I995" s="450">
        <f t="shared" si="117"/>
        <v>18000</v>
      </c>
      <c r="J995" s="1147"/>
      <c r="K995" s="1147">
        <v>0</v>
      </c>
      <c r="L995" s="450"/>
      <c r="M995" s="450">
        <f t="shared" si="118"/>
        <v>0</v>
      </c>
      <c r="N995" s="1147"/>
      <c r="O995" s="1147">
        <v>0</v>
      </c>
      <c r="P995" s="450"/>
      <c r="Q995" s="450">
        <f t="shared" si="121"/>
        <v>0</v>
      </c>
      <c r="R995" s="1147">
        <v>18000</v>
      </c>
      <c r="S995" s="1147">
        <v>18000</v>
      </c>
      <c r="T995" s="450">
        <f t="shared" si="119"/>
        <v>18000</v>
      </c>
      <c r="U995" s="450">
        <f t="shared" si="120"/>
        <v>18000</v>
      </c>
      <c r="V995" s="454" t="s">
        <v>51</v>
      </c>
      <c r="W995" s="448" t="s">
        <v>847</v>
      </c>
      <c r="X995" s="448" t="s">
        <v>51</v>
      </c>
      <c r="Y995" s="448" t="s">
        <v>51</v>
      </c>
      <c r="Z995" s="448" t="s">
        <v>808</v>
      </c>
      <c r="AA995" s="448" t="s">
        <v>62</v>
      </c>
      <c r="AB995" s="448" t="s">
        <v>62</v>
      </c>
      <c r="AC995" s="448" t="s">
        <v>61</v>
      </c>
      <c r="AD995" s="447"/>
      <c r="AE995" s="447"/>
      <c r="AF995" s="447"/>
      <c r="AG995" s="447"/>
      <c r="AH995" s="447"/>
      <c r="AI995" s="447"/>
      <c r="AJ995" s="447"/>
      <c r="AK995" s="447"/>
      <c r="AL995" s="447"/>
      <c r="AM995" s="447"/>
      <c r="AN995" s="447"/>
      <c r="AO995" s="447"/>
      <c r="AP995" s="447"/>
      <c r="AQ995" s="447"/>
      <c r="AR995" s="447"/>
      <c r="AS995" s="447"/>
      <c r="AT995" s="447"/>
      <c r="AU995" s="447"/>
      <c r="AV995" s="447"/>
      <c r="AW995" s="447"/>
      <c r="AX995" s="447"/>
      <c r="AY995" s="447"/>
      <c r="AZ995" s="447"/>
      <c r="BA995" s="448" t="s">
        <v>51</v>
      </c>
      <c r="BB995" s="448" t="s">
        <v>51</v>
      </c>
      <c r="BC995" s="447"/>
      <c r="BD995" s="448" t="s">
        <v>848</v>
      </c>
      <c r="BE995" s="447">
        <v>381</v>
      </c>
    </row>
    <row r="996" spans="1:57" ht="30" customHeight="1">
      <c r="A996" s="494" t="s">
        <v>3210</v>
      </c>
      <c r="B996" s="494" t="s">
        <v>3318</v>
      </c>
      <c r="C996" s="495" t="s">
        <v>2568</v>
      </c>
      <c r="D996" s="1133">
        <v>2</v>
      </c>
      <c r="E996" s="445">
        <f>'2층전시실산출 '!H393</f>
        <v>2</v>
      </c>
      <c r="F996" s="1147">
        <v>40000</v>
      </c>
      <c r="G996" s="1147">
        <v>80000</v>
      </c>
      <c r="H996" s="450">
        <f>단가대비표!O332</f>
        <v>40000</v>
      </c>
      <c r="I996" s="450">
        <f t="shared" si="117"/>
        <v>80000</v>
      </c>
      <c r="J996" s="1147"/>
      <c r="K996" s="1147">
        <v>0</v>
      </c>
      <c r="L996" s="450"/>
      <c r="M996" s="450">
        <f t="shared" si="118"/>
        <v>0</v>
      </c>
      <c r="N996" s="1147"/>
      <c r="O996" s="1147">
        <v>0</v>
      </c>
      <c r="P996" s="450"/>
      <c r="Q996" s="450">
        <f t="shared" si="121"/>
        <v>0</v>
      </c>
      <c r="R996" s="1147">
        <v>40000</v>
      </c>
      <c r="S996" s="1147">
        <v>80000</v>
      </c>
      <c r="T996" s="450">
        <f t="shared" si="119"/>
        <v>40000</v>
      </c>
      <c r="U996" s="450">
        <f t="shared" si="120"/>
        <v>80000</v>
      </c>
      <c r="V996" s="454" t="s">
        <v>51</v>
      </c>
      <c r="W996" s="448" t="s">
        <v>847</v>
      </c>
      <c r="X996" s="448" t="s">
        <v>51</v>
      </c>
      <c r="Y996" s="448" t="s">
        <v>51</v>
      </c>
      <c r="Z996" s="448" t="s">
        <v>808</v>
      </c>
      <c r="AA996" s="448" t="s">
        <v>62</v>
      </c>
      <c r="AB996" s="448" t="s">
        <v>62</v>
      </c>
      <c r="AC996" s="448" t="s">
        <v>61</v>
      </c>
      <c r="AD996" s="447"/>
      <c r="AE996" s="447"/>
      <c r="AF996" s="447"/>
      <c r="AG996" s="447"/>
      <c r="AH996" s="447"/>
      <c r="AI996" s="447"/>
      <c r="AJ996" s="447"/>
      <c r="AK996" s="447"/>
      <c r="AL996" s="447"/>
      <c r="AM996" s="447"/>
      <c r="AN996" s="447"/>
      <c r="AO996" s="447"/>
      <c r="AP996" s="447"/>
      <c r="AQ996" s="447"/>
      <c r="AR996" s="447"/>
      <c r="AS996" s="447"/>
      <c r="AT996" s="447"/>
      <c r="AU996" s="447"/>
      <c r="AV996" s="447"/>
      <c r="AW996" s="447"/>
      <c r="AX996" s="447"/>
      <c r="AY996" s="447"/>
      <c r="AZ996" s="447"/>
      <c r="BA996" s="448" t="s">
        <v>51</v>
      </c>
      <c r="BB996" s="448" t="s">
        <v>51</v>
      </c>
      <c r="BC996" s="447"/>
      <c r="BD996" s="448" t="s">
        <v>848</v>
      </c>
      <c r="BE996" s="447">
        <v>381</v>
      </c>
    </row>
    <row r="997" spans="1:57" ht="30" customHeight="1">
      <c r="A997" s="494" t="s">
        <v>3210</v>
      </c>
      <c r="B997" s="494" t="s">
        <v>3319</v>
      </c>
      <c r="C997" s="495" t="s">
        <v>2568</v>
      </c>
      <c r="D997" s="1133">
        <v>1</v>
      </c>
      <c r="E997" s="445">
        <f>'2층전시실산출 '!H394</f>
        <v>1</v>
      </c>
      <c r="F997" s="1147">
        <v>15000</v>
      </c>
      <c r="G997" s="1147">
        <v>15000</v>
      </c>
      <c r="H997" s="450">
        <f>단가대비표!O333</f>
        <v>15000</v>
      </c>
      <c r="I997" s="450">
        <f t="shared" si="117"/>
        <v>15000</v>
      </c>
      <c r="J997" s="1147"/>
      <c r="K997" s="1147">
        <v>0</v>
      </c>
      <c r="L997" s="450"/>
      <c r="M997" s="450">
        <f t="shared" si="118"/>
        <v>0</v>
      </c>
      <c r="N997" s="1147"/>
      <c r="O997" s="1147">
        <v>0</v>
      </c>
      <c r="P997" s="450"/>
      <c r="Q997" s="450">
        <f t="shared" si="121"/>
        <v>0</v>
      </c>
      <c r="R997" s="1147">
        <v>15000</v>
      </c>
      <c r="S997" s="1147">
        <v>15000</v>
      </c>
      <c r="T997" s="450">
        <f t="shared" si="119"/>
        <v>15000</v>
      </c>
      <c r="U997" s="450">
        <f t="shared" si="120"/>
        <v>15000</v>
      </c>
      <c r="V997" s="454" t="s">
        <v>51</v>
      </c>
      <c r="W997" s="448" t="s">
        <v>847</v>
      </c>
      <c r="X997" s="448" t="s">
        <v>51</v>
      </c>
      <c r="Y997" s="448" t="s">
        <v>51</v>
      </c>
      <c r="Z997" s="448" t="s">
        <v>808</v>
      </c>
      <c r="AA997" s="448" t="s">
        <v>62</v>
      </c>
      <c r="AB997" s="448" t="s">
        <v>62</v>
      </c>
      <c r="AC997" s="448" t="s">
        <v>61</v>
      </c>
      <c r="AD997" s="447"/>
      <c r="AE997" s="447"/>
      <c r="AF997" s="447"/>
      <c r="AG997" s="447"/>
      <c r="AH997" s="447"/>
      <c r="AI997" s="447"/>
      <c r="AJ997" s="447"/>
      <c r="AK997" s="447"/>
      <c r="AL997" s="447"/>
      <c r="AM997" s="447"/>
      <c r="AN997" s="447"/>
      <c r="AO997" s="447"/>
      <c r="AP997" s="447"/>
      <c r="AQ997" s="447"/>
      <c r="AR997" s="447"/>
      <c r="AS997" s="447"/>
      <c r="AT997" s="447"/>
      <c r="AU997" s="447"/>
      <c r="AV997" s="447"/>
      <c r="AW997" s="447"/>
      <c r="AX997" s="447"/>
      <c r="AY997" s="447"/>
      <c r="AZ997" s="447"/>
      <c r="BA997" s="448" t="s">
        <v>51</v>
      </c>
      <c r="BB997" s="448" t="s">
        <v>51</v>
      </c>
      <c r="BC997" s="447"/>
      <c r="BD997" s="448" t="s">
        <v>848</v>
      </c>
      <c r="BE997" s="447">
        <v>381</v>
      </c>
    </row>
    <row r="998" spans="1:57" ht="30" customHeight="1">
      <c r="A998" s="494" t="s">
        <v>3210</v>
      </c>
      <c r="B998" s="494" t="s">
        <v>3320</v>
      </c>
      <c r="C998" s="495" t="s">
        <v>2568</v>
      </c>
      <c r="D998" s="1133">
        <v>1</v>
      </c>
      <c r="E998" s="445">
        <f>'2층전시실산출 '!H395</f>
        <v>1</v>
      </c>
      <c r="F998" s="1147">
        <v>10000</v>
      </c>
      <c r="G998" s="1147">
        <v>10000</v>
      </c>
      <c r="H998" s="450">
        <f>단가대비표!O334</f>
        <v>10000</v>
      </c>
      <c r="I998" s="450">
        <f t="shared" si="117"/>
        <v>10000</v>
      </c>
      <c r="J998" s="1147"/>
      <c r="K998" s="1147">
        <v>0</v>
      </c>
      <c r="L998" s="450"/>
      <c r="M998" s="450">
        <f t="shared" si="118"/>
        <v>0</v>
      </c>
      <c r="N998" s="1147"/>
      <c r="O998" s="1147">
        <v>0</v>
      </c>
      <c r="P998" s="450"/>
      <c r="Q998" s="450">
        <f t="shared" si="121"/>
        <v>0</v>
      </c>
      <c r="R998" s="1147">
        <v>10000</v>
      </c>
      <c r="S998" s="1147">
        <v>10000</v>
      </c>
      <c r="T998" s="450">
        <f t="shared" si="119"/>
        <v>10000</v>
      </c>
      <c r="U998" s="450">
        <f t="shared" si="120"/>
        <v>10000</v>
      </c>
      <c r="V998" s="454" t="s">
        <v>51</v>
      </c>
      <c r="W998" s="448" t="s">
        <v>847</v>
      </c>
      <c r="X998" s="448" t="s">
        <v>51</v>
      </c>
      <c r="Y998" s="448" t="s">
        <v>51</v>
      </c>
      <c r="Z998" s="448" t="s">
        <v>808</v>
      </c>
      <c r="AA998" s="448" t="s">
        <v>62</v>
      </c>
      <c r="AB998" s="448" t="s">
        <v>62</v>
      </c>
      <c r="AC998" s="448" t="s">
        <v>61</v>
      </c>
      <c r="AD998" s="447"/>
      <c r="AE998" s="447"/>
      <c r="AF998" s="447"/>
      <c r="AG998" s="447"/>
      <c r="AH998" s="447"/>
      <c r="AI998" s="447"/>
      <c r="AJ998" s="447"/>
      <c r="AK998" s="447"/>
      <c r="AL998" s="447"/>
      <c r="AM998" s="447"/>
      <c r="AN998" s="447"/>
      <c r="AO998" s="447"/>
      <c r="AP998" s="447"/>
      <c r="AQ998" s="447"/>
      <c r="AR998" s="447"/>
      <c r="AS998" s="447"/>
      <c r="AT998" s="447"/>
      <c r="AU998" s="447"/>
      <c r="AV998" s="447"/>
      <c r="AW998" s="447"/>
      <c r="AX998" s="447"/>
      <c r="AY998" s="447"/>
      <c r="AZ998" s="447"/>
      <c r="BA998" s="448" t="s">
        <v>51</v>
      </c>
      <c r="BB998" s="448" t="s">
        <v>51</v>
      </c>
      <c r="BC998" s="447"/>
      <c r="BD998" s="448" t="s">
        <v>848</v>
      </c>
      <c r="BE998" s="447">
        <v>381</v>
      </c>
    </row>
    <row r="999" spans="1:57" ht="30" customHeight="1">
      <c r="A999" s="494" t="s">
        <v>3210</v>
      </c>
      <c r="B999" s="494" t="s">
        <v>3321</v>
      </c>
      <c r="C999" s="495" t="s">
        <v>2568</v>
      </c>
      <c r="D999" s="1133">
        <v>1</v>
      </c>
      <c r="E999" s="445">
        <f>'2층전시실산출 '!H396</f>
        <v>1</v>
      </c>
      <c r="F999" s="1147">
        <v>12000</v>
      </c>
      <c r="G999" s="1147">
        <v>12000</v>
      </c>
      <c r="H999" s="450">
        <f>단가대비표!O335</f>
        <v>12000</v>
      </c>
      <c r="I999" s="450">
        <f t="shared" si="117"/>
        <v>12000</v>
      </c>
      <c r="J999" s="1147"/>
      <c r="K999" s="1147">
        <v>0</v>
      </c>
      <c r="L999" s="450"/>
      <c r="M999" s="450">
        <f t="shared" si="118"/>
        <v>0</v>
      </c>
      <c r="N999" s="1147"/>
      <c r="O999" s="1147">
        <v>0</v>
      </c>
      <c r="P999" s="450"/>
      <c r="Q999" s="450">
        <f t="shared" si="121"/>
        <v>0</v>
      </c>
      <c r="R999" s="1147">
        <v>12000</v>
      </c>
      <c r="S999" s="1147">
        <v>12000</v>
      </c>
      <c r="T999" s="450">
        <f t="shared" si="119"/>
        <v>12000</v>
      </c>
      <c r="U999" s="450">
        <f t="shared" si="120"/>
        <v>12000</v>
      </c>
      <c r="V999" s="454" t="s">
        <v>51</v>
      </c>
      <c r="W999" s="448" t="s">
        <v>847</v>
      </c>
      <c r="X999" s="448" t="s">
        <v>51</v>
      </c>
      <c r="Y999" s="448" t="s">
        <v>51</v>
      </c>
      <c r="Z999" s="448" t="s">
        <v>808</v>
      </c>
      <c r="AA999" s="448" t="s">
        <v>62</v>
      </c>
      <c r="AB999" s="448" t="s">
        <v>62</v>
      </c>
      <c r="AC999" s="448" t="s">
        <v>61</v>
      </c>
      <c r="AD999" s="447"/>
      <c r="AE999" s="447"/>
      <c r="AF999" s="447"/>
      <c r="AG999" s="447"/>
      <c r="AH999" s="447"/>
      <c r="AI999" s="447"/>
      <c r="AJ999" s="447"/>
      <c r="AK999" s="447"/>
      <c r="AL999" s="447"/>
      <c r="AM999" s="447"/>
      <c r="AN999" s="447"/>
      <c r="AO999" s="447"/>
      <c r="AP999" s="447"/>
      <c r="AQ999" s="447"/>
      <c r="AR999" s="447"/>
      <c r="AS999" s="447"/>
      <c r="AT999" s="447"/>
      <c r="AU999" s="447"/>
      <c r="AV999" s="447"/>
      <c r="AW999" s="447"/>
      <c r="AX999" s="447"/>
      <c r="AY999" s="447"/>
      <c r="AZ999" s="447"/>
      <c r="BA999" s="448" t="s">
        <v>51</v>
      </c>
      <c r="BB999" s="448" t="s">
        <v>51</v>
      </c>
      <c r="BC999" s="447"/>
      <c r="BD999" s="448" t="s">
        <v>848</v>
      </c>
      <c r="BE999" s="447">
        <v>381</v>
      </c>
    </row>
    <row r="1000" spans="1:57" ht="30" customHeight="1">
      <c r="A1000" s="494" t="s">
        <v>3210</v>
      </c>
      <c r="B1000" s="494" t="s">
        <v>3322</v>
      </c>
      <c r="C1000" s="495" t="s">
        <v>2568</v>
      </c>
      <c r="D1000" s="1133">
        <v>1</v>
      </c>
      <c r="E1000" s="445">
        <f>'2층전시실산출 '!H397</f>
        <v>1</v>
      </c>
      <c r="F1000" s="1147">
        <v>10000</v>
      </c>
      <c r="G1000" s="1147">
        <v>10000</v>
      </c>
      <c r="H1000" s="450">
        <f>단가대비표!O336</f>
        <v>10000</v>
      </c>
      <c r="I1000" s="450">
        <f t="shared" si="117"/>
        <v>10000</v>
      </c>
      <c r="J1000" s="1147"/>
      <c r="K1000" s="1147">
        <v>0</v>
      </c>
      <c r="L1000" s="450"/>
      <c r="M1000" s="450">
        <f t="shared" si="118"/>
        <v>0</v>
      </c>
      <c r="N1000" s="1147"/>
      <c r="O1000" s="1147">
        <v>0</v>
      </c>
      <c r="P1000" s="450"/>
      <c r="Q1000" s="450">
        <f t="shared" si="121"/>
        <v>0</v>
      </c>
      <c r="R1000" s="1147">
        <v>10000</v>
      </c>
      <c r="S1000" s="1147">
        <v>10000</v>
      </c>
      <c r="T1000" s="450">
        <f t="shared" si="119"/>
        <v>10000</v>
      </c>
      <c r="U1000" s="450">
        <f t="shared" si="120"/>
        <v>10000</v>
      </c>
      <c r="V1000" s="454" t="s">
        <v>51</v>
      </c>
      <c r="W1000" s="448" t="s">
        <v>847</v>
      </c>
      <c r="X1000" s="448" t="s">
        <v>51</v>
      </c>
      <c r="Y1000" s="448" t="s">
        <v>51</v>
      </c>
      <c r="Z1000" s="448" t="s">
        <v>808</v>
      </c>
      <c r="AA1000" s="448" t="s">
        <v>62</v>
      </c>
      <c r="AB1000" s="448" t="s">
        <v>62</v>
      </c>
      <c r="AC1000" s="448" t="s">
        <v>61</v>
      </c>
      <c r="AD1000" s="447"/>
      <c r="AE1000" s="447"/>
      <c r="AF1000" s="447"/>
      <c r="AG1000" s="447"/>
      <c r="AH1000" s="447"/>
      <c r="AI1000" s="447"/>
      <c r="AJ1000" s="447"/>
      <c r="AK1000" s="447"/>
      <c r="AL1000" s="447"/>
      <c r="AM1000" s="447"/>
      <c r="AN1000" s="447"/>
      <c r="AO1000" s="447"/>
      <c r="AP1000" s="447"/>
      <c r="AQ1000" s="447"/>
      <c r="AR1000" s="447"/>
      <c r="AS1000" s="447"/>
      <c r="AT1000" s="447"/>
      <c r="AU1000" s="447"/>
      <c r="AV1000" s="447"/>
      <c r="AW1000" s="447"/>
      <c r="AX1000" s="447"/>
      <c r="AY1000" s="447"/>
      <c r="AZ1000" s="447"/>
      <c r="BA1000" s="448" t="s">
        <v>51</v>
      </c>
      <c r="BB1000" s="448" t="s">
        <v>51</v>
      </c>
      <c r="BC1000" s="447"/>
      <c r="BD1000" s="448" t="s">
        <v>848</v>
      </c>
      <c r="BE1000" s="447">
        <v>381</v>
      </c>
    </row>
    <row r="1001" spans="1:57" ht="30" customHeight="1">
      <c r="A1001" s="494" t="s">
        <v>3210</v>
      </c>
      <c r="B1001" s="494" t="s">
        <v>3323</v>
      </c>
      <c r="C1001" s="495" t="s">
        <v>2568</v>
      </c>
      <c r="D1001" s="1133">
        <v>1</v>
      </c>
      <c r="E1001" s="445">
        <f>'2층전시실산출 '!H398</f>
        <v>1</v>
      </c>
      <c r="F1001" s="1147">
        <v>10000</v>
      </c>
      <c r="G1001" s="1147">
        <v>10000</v>
      </c>
      <c r="H1001" s="450">
        <f>단가대비표!O337</f>
        <v>10000</v>
      </c>
      <c r="I1001" s="450">
        <f t="shared" si="117"/>
        <v>10000</v>
      </c>
      <c r="J1001" s="1147"/>
      <c r="K1001" s="1147">
        <v>0</v>
      </c>
      <c r="L1001" s="450"/>
      <c r="M1001" s="450">
        <f t="shared" si="118"/>
        <v>0</v>
      </c>
      <c r="N1001" s="1147"/>
      <c r="O1001" s="1147">
        <v>0</v>
      </c>
      <c r="P1001" s="450"/>
      <c r="Q1001" s="450">
        <f t="shared" si="121"/>
        <v>0</v>
      </c>
      <c r="R1001" s="1147">
        <v>10000</v>
      </c>
      <c r="S1001" s="1147">
        <v>10000</v>
      </c>
      <c r="T1001" s="450">
        <f t="shared" si="119"/>
        <v>10000</v>
      </c>
      <c r="U1001" s="450">
        <f t="shared" si="120"/>
        <v>10000</v>
      </c>
      <c r="V1001" s="454" t="s">
        <v>51</v>
      </c>
      <c r="W1001" s="448" t="s">
        <v>847</v>
      </c>
      <c r="X1001" s="448" t="s">
        <v>51</v>
      </c>
      <c r="Y1001" s="448" t="s">
        <v>51</v>
      </c>
      <c r="Z1001" s="448" t="s">
        <v>808</v>
      </c>
      <c r="AA1001" s="448" t="s">
        <v>62</v>
      </c>
      <c r="AB1001" s="448" t="s">
        <v>62</v>
      </c>
      <c r="AC1001" s="448" t="s">
        <v>61</v>
      </c>
      <c r="AD1001" s="447"/>
      <c r="AE1001" s="447"/>
      <c r="AF1001" s="447"/>
      <c r="AG1001" s="447"/>
      <c r="AH1001" s="447"/>
      <c r="AI1001" s="447"/>
      <c r="AJ1001" s="447"/>
      <c r="AK1001" s="447"/>
      <c r="AL1001" s="447"/>
      <c r="AM1001" s="447"/>
      <c r="AN1001" s="447"/>
      <c r="AO1001" s="447"/>
      <c r="AP1001" s="447"/>
      <c r="AQ1001" s="447"/>
      <c r="AR1001" s="447"/>
      <c r="AS1001" s="447"/>
      <c r="AT1001" s="447"/>
      <c r="AU1001" s="447"/>
      <c r="AV1001" s="447"/>
      <c r="AW1001" s="447"/>
      <c r="AX1001" s="447"/>
      <c r="AY1001" s="447"/>
      <c r="AZ1001" s="447"/>
      <c r="BA1001" s="448" t="s">
        <v>51</v>
      </c>
      <c r="BB1001" s="448" t="s">
        <v>51</v>
      </c>
      <c r="BC1001" s="447"/>
      <c r="BD1001" s="448" t="s">
        <v>848</v>
      </c>
      <c r="BE1001" s="447">
        <v>381</v>
      </c>
    </row>
    <row r="1002" spans="1:57" ht="30" customHeight="1">
      <c r="A1002" s="494" t="s">
        <v>3210</v>
      </c>
      <c r="B1002" s="494" t="s">
        <v>3324</v>
      </c>
      <c r="C1002" s="495" t="s">
        <v>2568</v>
      </c>
      <c r="D1002" s="1133">
        <v>1</v>
      </c>
      <c r="E1002" s="445">
        <f>'2층전시실산출 '!H399</f>
        <v>1</v>
      </c>
      <c r="F1002" s="1147">
        <v>38000</v>
      </c>
      <c r="G1002" s="1147">
        <v>38000</v>
      </c>
      <c r="H1002" s="450">
        <f>단가대비표!O338</f>
        <v>38000</v>
      </c>
      <c r="I1002" s="450">
        <f t="shared" si="117"/>
        <v>38000</v>
      </c>
      <c r="J1002" s="1147"/>
      <c r="K1002" s="1147">
        <v>0</v>
      </c>
      <c r="L1002" s="450"/>
      <c r="M1002" s="450">
        <f t="shared" si="118"/>
        <v>0</v>
      </c>
      <c r="N1002" s="1147"/>
      <c r="O1002" s="1147">
        <v>0</v>
      </c>
      <c r="P1002" s="450"/>
      <c r="Q1002" s="450">
        <f t="shared" si="121"/>
        <v>0</v>
      </c>
      <c r="R1002" s="1147">
        <v>38000</v>
      </c>
      <c r="S1002" s="1147">
        <v>38000</v>
      </c>
      <c r="T1002" s="450">
        <f t="shared" si="119"/>
        <v>38000</v>
      </c>
      <c r="U1002" s="450">
        <f t="shared" si="120"/>
        <v>38000</v>
      </c>
      <c r="V1002" s="454" t="s">
        <v>51</v>
      </c>
      <c r="W1002" s="448" t="s">
        <v>847</v>
      </c>
      <c r="X1002" s="448" t="s">
        <v>51</v>
      </c>
      <c r="Y1002" s="448" t="s">
        <v>51</v>
      </c>
      <c r="Z1002" s="448" t="s">
        <v>808</v>
      </c>
      <c r="AA1002" s="448" t="s">
        <v>62</v>
      </c>
      <c r="AB1002" s="448" t="s">
        <v>62</v>
      </c>
      <c r="AC1002" s="448" t="s">
        <v>61</v>
      </c>
      <c r="AD1002" s="447"/>
      <c r="AE1002" s="447"/>
      <c r="AF1002" s="447"/>
      <c r="AG1002" s="447"/>
      <c r="AH1002" s="447"/>
      <c r="AI1002" s="447"/>
      <c r="AJ1002" s="447"/>
      <c r="AK1002" s="447"/>
      <c r="AL1002" s="447"/>
      <c r="AM1002" s="447"/>
      <c r="AN1002" s="447"/>
      <c r="AO1002" s="447"/>
      <c r="AP1002" s="447"/>
      <c r="AQ1002" s="447"/>
      <c r="AR1002" s="447"/>
      <c r="AS1002" s="447"/>
      <c r="AT1002" s="447"/>
      <c r="AU1002" s="447"/>
      <c r="AV1002" s="447"/>
      <c r="AW1002" s="447"/>
      <c r="AX1002" s="447"/>
      <c r="AY1002" s="447"/>
      <c r="AZ1002" s="447"/>
      <c r="BA1002" s="448" t="s">
        <v>51</v>
      </c>
      <c r="BB1002" s="448" t="s">
        <v>51</v>
      </c>
      <c r="BC1002" s="447"/>
      <c r="BD1002" s="448" t="s">
        <v>848</v>
      </c>
      <c r="BE1002" s="447">
        <v>381</v>
      </c>
    </row>
    <row r="1003" spans="1:57" ht="30" customHeight="1">
      <c r="A1003" s="494" t="s">
        <v>3210</v>
      </c>
      <c r="B1003" s="494" t="s">
        <v>3325</v>
      </c>
      <c r="C1003" s="495" t="s">
        <v>2568</v>
      </c>
      <c r="D1003" s="1133">
        <v>1</v>
      </c>
      <c r="E1003" s="445">
        <f>'2층전시실산출 '!H400</f>
        <v>1</v>
      </c>
      <c r="F1003" s="1147">
        <v>40000</v>
      </c>
      <c r="G1003" s="1147">
        <v>40000</v>
      </c>
      <c r="H1003" s="450">
        <f>단가대비표!O339</f>
        <v>40000</v>
      </c>
      <c r="I1003" s="450">
        <f t="shared" si="117"/>
        <v>40000</v>
      </c>
      <c r="J1003" s="1147"/>
      <c r="K1003" s="1147">
        <v>0</v>
      </c>
      <c r="L1003" s="450"/>
      <c r="M1003" s="450">
        <f t="shared" si="118"/>
        <v>0</v>
      </c>
      <c r="N1003" s="1147"/>
      <c r="O1003" s="1147">
        <v>0</v>
      </c>
      <c r="P1003" s="450"/>
      <c r="Q1003" s="450">
        <f t="shared" si="121"/>
        <v>0</v>
      </c>
      <c r="R1003" s="1147">
        <v>40000</v>
      </c>
      <c r="S1003" s="1147">
        <v>40000</v>
      </c>
      <c r="T1003" s="450">
        <f t="shared" si="119"/>
        <v>40000</v>
      </c>
      <c r="U1003" s="450">
        <f t="shared" si="120"/>
        <v>40000</v>
      </c>
      <c r="V1003" s="454" t="s">
        <v>51</v>
      </c>
      <c r="W1003" s="448" t="s">
        <v>847</v>
      </c>
      <c r="X1003" s="448" t="s">
        <v>51</v>
      </c>
      <c r="Y1003" s="448" t="s">
        <v>51</v>
      </c>
      <c r="Z1003" s="448" t="s">
        <v>808</v>
      </c>
      <c r="AA1003" s="448" t="s">
        <v>62</v>
      </c>
      <c r="AB1003" s="448" t="s">
        <v>62</v>
      </c>
      <c r="AC1003" s="448" t="s">
        <v>61</v>
      </c>
      <c r="AD1003" s="447"/>
      <c r="AE1003" s="447"/>
      <c r="AF1003" s="447"/>
      <c r="AG1003" s="447"/>
      <c r="AH1003" s="447"/>
      <c r="AI1003" s="447"/>
      <c r="AJ1003" s="447"/>
      <c r="AK1003" s="447"/>
      <c r="AL1003" s="447"/>
      <c r="AM1003" s="447"/>
      <c r="AN1003" s="447"/>
      <c r="AO1003" s="447"/>
      <c r="AP1003" s="447"/>
      <c r="AQ1003" s="447"/>
      <c r="AR1003" s="447"/>
      <c r="AS1003" s="447"/>
      <c r="AT1003" s="447"/>
      <c r="AU1003" s="447"/>
      <c r="AV1003" s="447"/>
      <c r="AW1003" s="447"/>
      <c r="AX1003" s="447"/>
      <c r="AY1003" s="447"/>
      <c r="AZ1003" s="447"/>
      <c r="BA1003" s="448" t="s">
        <v>51</v>
      </c>
      <c r="BB1003" s="448" t="s">
        <v>51</v>
      </c>
      <c r="BC1003" s="447"/>
      <c r="BD1003" s="448" t="s">
        <v>848</v>
      </c>
      <c r="BE1003" s="447">
        <v>381</v>
      </c>
    </row>
    <row r="1004" spans="1:57" ht="30" customHeight="1">
      <c r="A1004" s="494" t="s">
        <v>3210</v>
      </c>
      <c r="B1004" s="494" t="s">
        <v>3326</v>
      </c>
      <c r="C1004" s="495" t="s">
        <v>2568</v>
      </c>
      <c r="D1004" s="1133">
        <v>1</v>
      </c>
      <c r="E1004" s="445">
        <f>'2층전시실산출 '!H401</f>
        <v>1</v>
      </c>
      <c r="F1004" s="1147">
        <v>80000</v>
      </c>
      <c r="G1004" s="1147">
        <v>80000</v>
      </c>
      <c r="H1004" s="450">
        <f>단가대비표!O340</f>
        <v>80000</v>
      </c>
      <c r="I1004" s="450">
        <f t="shared" si="117"/>
        <v>80000</v>
      </c>
      <c r="J1004" s="1147"/>
      <c r="K1004" s="1147">
        <v>0</v>
      </c>
      <c r="L1004" s="450"/>
      <c r="M1004" s="450">
        <f t="shared" si="118"/>
        <v>0</v>
      </c>
      <c r="N1004" s="1147"/>
      <c r="O1004" s="1147">
        <v>0</v>
      </c>
      <c r="P1004" s="450"/>
      <c r="Q1004" s="450">
        <f t="shared" si="121"/>
        <v>0</v>
      </c>
      <c r="R1004" s="1147">
        <v>80000</v>
      </c>
      <c r="S1004" s="1147">
        <v>80000</v>
      </c>
      <c r="T1004" s="450">
        <f t="shared" si="119"/>
        <v>80000</v>
      </c>
      <c r="U1004" s="450">
        <f t="shared" si="120"/>
        <v>80000</v>
      </c>
      <c r="V1004" s="454" t="s">
        <v>51</v>
      </c>
      <c r="W1004" s="448" t="s">
        <v>847</v>
      </c>
      <c r="X1004" s="448" t="s">
        <v>51</v>
      </c>
      <c r="Y1004" s="448" t="s">
        <v>51</v>
      </c>
      <c r="Z1004" s="448" t="s">
        <v>808</v>
      </c>
      <c r="AA1004" s="448" t="s">
        <v>62</v>
      </c>
      <c r="AB1004" s="448" t="s">
        <v>62</v>
      </c>
      <c r="AC1004" s="448" t="s">
        <v>61</v>
      </c>
      <c r="AD1004" s="447"/>
      <c r="AE1004" s="447"/>
      <c r="AF1004" s="447"/>
      <c r="AG1004" s="447"/>
      <c r="AH1004" s="447"/>
      <c r="AI1004" s="447"/>
      <c r="AJ1004" s="447"/>
      <c r="AK1004" s="447"/>
      <c r="AL1004" s="447"/>
      <c r="AM1004" s="447"/>
      <c r="AN1004" s="447"/>
      <c r="AO1004" s="447"/>
      <c r="AP1004" s="447"/>
      <c r="AQ1004" s="447"/>
      <c r="AR1004" s="447"/>
      <c r="AS1004" s="447"/>
      <c r="AT1004" s="447"/>
      <c r="AU1004" s="447"/>
      <c r="AV1004" s="447"/>
      <c r="AW1004" s="447"/>
      <c r="AX1004" s="447"/>
      <c r="AY1004" s="447"/>
      <c r="AZ1004" s="447"/>
      <c r="BA1004" s="448" t="s">
        <v>51</v>
      </c>
      <c r="BB1004" s="448" t="s">
        <v>51</v>
      </c>
      <c r="BC1004" s="447"/>
      <c r="BD1004" s="448" t="s">
        <v>848</v>
      </c>
      <c r="BE1004" s="447">
        <v>381</v>
      </c>
    </row>
    <row r="1005" spans="1:57" ht="30" customHeight="1">
      <c r="A1005" s="494" t="s">
        <v>3210</v>
      </c>
      <c r="B1005" s="494" t="s">
        <v>3327</v>
      </c>
      <c r="C1005" s="495" t="s">
        <v>2568</v>
      </c>
      <c r="D1005" s="1133">
        <v>1</v>
      </c>
      <c r="E1005" s="445">
        <f>'2층전시실산출 '!H402</f>
        <v>1</v>
      </c>
      <c r="F1005" s="1147">
        <v>10000</v>
      </c>
      <c r="G1005" s="1147">
        <v>10000</v>
      </c>
      <c r="H1005" s="450">
        <f>단가대비표!O341</f>
        <v>10000</v>
      </c>
      <c r="I1005" s="450">
        <f t="shared" si="117"/>
        <v>10000</v>
      </c>
      <c r="J1005" s="1147"/>
      <c r="K1005" s="1147">
        <v>0</v>
      </c>
      <c r="L1005" s="450"/>
      <c r="M1005" s="450">
        <f t="shared" si="118"/>
        <v>0</v>
      </c>
      <c r="N1005" s="1147"/>
      <c r="O1005" s="1147">
        <v>0</v>
      </c>
      <c r="P1005" s="450"/>
      <c r="Q1005" s="450">
        <f t="shared" si="121"/>
        <v>0</v>
      </c>
      <c r="R1005" s="1147">
        <v>10000</v>
      </c>
      <c r="S1005" s="1147">
        <v>10000</v>
      </c>
      <c r="T1005" s="450">
        <f t="shared" si="119"/>
        <v>10000</v>
      </c>
      <c r="U1005" s="450">
        <f t="shared" si="120"/>
        <v>10000</v>
      </c>
      <c r="V1005" s="454" t="s">
        <v>51</v>
      </c>
      <c r="W1005" s="448" t="s">
        <v>847</v>
      </c>
      <c r="X1005" s="448" t="s">
        <v>51</v>
      </c>
      <c r="Y1005" s="448" t="s">
        <v>51</v>
      </c>
      <c r="Z1005" s="448" t="s">
        <v>808</v>
      </c>
      <c r="AA1005" s="448" t="s">
        <v>62</v>
      </c>
      <c r="AB1005" s="448" t="s">
        <v>62</v>
      </c>
      <c r="AC1005" s="448" t="s">
        <v>61</v>
      </c>
      <c r="AD1005" s="447"/>
      <c r="AE1005" s="447"/>
      <c r="AF1005" s="447"/>
      <c r="AG1005" s="447"/>
      <c r="AH1005" s="447"/>
      <c r="AI1005" s="447"/>
      <c r="AJ1005" s="447"/>
      <c r="AK1005" s="447"/>
      <c r="AL1005" s="447"/>
      <c r="AM1005" s="447"/>
      <c r="AN1005" s="447"/>
      <c r="AO1005" s="447"/>
      <c r="AP1005" s="447"/>
      <c r="AQ1005" s="447"/>
      <c r="AR1005" s="447"/>
      <c r="AS1005" s="447"/>
      <c r="AT1005" s="447"/>
      <c r="AU1005" s="447"/>
      <c r="AV1005" s="447"/>
      <c r="AW1005" s="447"/>
      <c r="AX1005" s="447"/>
      <c r="AY1005" s="447"/>
      <c r="AZ1005" s="447"/>
      <c r="BA1005" s="448" t="s">
        <v>51</v>
      </c>
      <c r="BB1005" s="448" t="s">
        <v>51</v>
      </c>
      <c r="BC1005" s="447"/>
      <c r="BD1005" s="448" t="s">
        <v>848</v>
      </c>
      <c r="BE1005" s="447">
        <v>381</v>
      </c>
    </row>
    <row r="1006" spans="1:57" ht="30" customHeight="1">
      <c r="A1006" s="494" t="s">
        <v>3210</v>
      </c>
      <c r="B1006" s="494" t="s">
        <v>3328</v>
      </c>
      <c r="C1006" s="495" t="s">
        <v>2568</v>
      </c>
      <c r="D1006" s="1133">
        <v>1</v>
      </c>
      <c r="E1006" s="445">
        <f>'2층전시실산출 '!H403</f>
        <v>1</v>
      </c>
      <c r="F1006" s="1147">
        <v>12000</v>
      </c>
      <c r="G1006" s="1147">
        <v>12000</v>
      </c>
      <c r="H1006" s="450">
        <f>단가대비표!O342</f>
        <v>12000</v>
      </c>
      <c r="I1006" s="450">
        <f t="shared" si="117"/>
        <v>12000</v>
      </c>
      <c r="J1006" s="1147"/>
      <c r="K1006" s="1147">
        <v>0</v>
      </c>
      <c r="L1006" s="450"/>
      <c r="M1006" s="450">
        <f t="shared" si="118"/>
        <v>0</v>
      </c>
      <c r="N1006" s="1147"/>
      <c r="O1006" s="1147">
        <v>0</v>
      </c>
      <c r="P1006" s="450"/>
      <c r="Q1006" s="450">
        <f t="shared" si="121"/>
        <v>0</v>
      </c>
      <c r="R1006" s="1147">
        <v>12000</v>
      </c>
      <c r="S1006" s="1147">
        <v>12000</v>
      </c>
      <c r="T1006" s="450">
        <f t="shared" si="119"/>
        <v>12000</v>
      </c>
      <c r="U1006" s="450">
        <f t="shared" si="120"/>
        <v>12000</v>
      </c>
      <c r="V1006" s="454" t="s">
        <v>51</v>
      </c>
      <c r="W1006" s="448" t="s">
        <v>847</v>
      </c>
      <c r="X1006" s="448" t="s">
        <v>51</v>
      </c>
      <c r="Y1006" s="448" t="s">
        <v>51</v>
      </c>
      <c r="Z1006" s="448" t="s">
        <v>808</v>
      </c>
      <c r="AA1006" s="448" t="s">
        <v>62</v>
      </c>
      <c r="AB1006" s="448" t="s">
        <v>62</v>
      </c>
      <c r="AC1006" s="448" t="s">
        <v>61</v>
      </c>
      <c r="AD1006" s="447"/>
      <c r="AE1006" s="447"/>
      <c r="AF1006" s="447"/>
      <c r="AG1006" s="447"/>
      <c r="AH1006" s="447"/>
      <c r="AI1006" s="447"/>
      <c r="AJ1006" s="447"/>
      <c r="AK1006" s="447"/>
      <c r="AL1006" s="447"/>
      <c r="AM1006" s="447"/>
      <c r="AN1006" s="447"/>
      <c r="AO1006" s="447"/>
      <c r="AP1006" s="447"/>
      <c r="AQ1006" s="447"/>
      <c r="AR1006" s="447"/>
      <c r="AS1006" s="447"/>
      <c r="AT1006" s="447"/>
      <c r="AU1006" s="447"/>
      <c r="AV1006" s="447"/>
      <c r="AW1006" s="447"/>
      <c r="AX1006" s="447"/>
      <c r="AY1006" s="447"/>
      <c r="AZ1006" s="447"/>
      <c r="BA1006" s="448" t="s">
        <v>51</v>
      </c>
      <c r="BB1006" s="448" t="s">
        <v>51</v>
      </c>
      <c r="BC1006" s="447"/>
      <c r="BD1006" s="448" t="s">
        <v>848</v>
      </c>
      <c r="BE1006" s="447">
        <v>381</v>
      </c>
    </row>
    <row r="1007" spans="1:57" ht="30" customHeight="1">
      <c r="A1007" s="494" t="s">
        <v>3210</v>
      </c>
      <c r="B1007" s="494" t="s">
        <v>3329</v>
      </c>
      <c r="C1007" s="495" t="s">
        <v>2568</v>
      </c>
      <c r="D1007" s="1133">
        <v>1</v>
      </c>
      <c r="E1007" s="445">
        <f>'2층전시실산출 '!H404</f>
        <v>1</v>
      </c>
      <c r="F1007" s="1147">
        <v>15000</v>
      </c>
      <c r="G1007" s="1147">
        <v>15000</v>
      </c>
      <c r="H1007" s="450">
        <f>단가대비표!O343</f>
        <v>15000</v>
      </c>
      <c r="I1007" s="450">
        <f t="shared" si="117"/>
        <v>15000</v>
      </c>
      <c r="J1007" s="1147"/>
      <c r="K1007" s="1147">
        <v>0</v>
      </c>
      <c r="L1007" s="450"/>
      <c r="M1007" s="450">
        <f t="shared" si="118"/>
        <v>0</v>
      </c>
      <c r="N1007" s="1147"/>
      <c r="O1007" s="1147">
        <v>0</v>
      </c>
      <c r="P1007" s="450"/>
      <c r="Q1007" s="450">
        <f t="shared" si="121"/>
        <v>0</v>
      </c>
      <c r="R1007" s="1147">
        <v>15000</v>
      </c>
      <c r="S1007" s="1147">
        <v>15000</v>
      </c>
      <c r="T1007" s="450">
        <f t="shared" si="119"/>
        <v>15000</v>
      </c>
      <c r="U1007" s="450">
        <f t="shared" si="120"/>
        <v>15000</v>
      </c>
      <c r="V1007" s="454" t="s">
        <v>51</v>
      </c>
      <c r="W1007" s="448" t="s">
        <v>847</v>
      </c>
      <c r="X1007" s="448" t="s">
        <v>51</v>
      </c>
      <c r="Y1007" s="448" t="s">
        <v>51</v>
      </c>
      <c r="Z1007" s="448" t="s">
        <v>808</v>
      </c>
      <c r="AA1007" s="448" t="s">
        <v>62</v>
      </c>
      <c r="AB1007" s="448" t="s">
        <v>62</v>
      </c>
      <c r="AC1007" s="448" t="s">
        <v>61</v>
      </c>
      <c r="AD1007" s="447"/>
      <c r="AE1007" s="447"/>
      <c r="AF1007" s="447"/>
      <c r="AG1007" s="447"/>
      <c r="AH1007" s="447"/>
      <c r="AI1007" s="447"/>
      <c r="AJ1007" s="447"/>
      <c r="AK1007" s="447"/>
      <c r="AL1007" s="447"/>
      <c r="AM1007" s="447"/>
      <c r="AN1007" s="447"/>
      <c r="AO1007" s="447"/>
      <c r="AP1007" s="447"/>
      <c r="AQ1007" s="447"/>
      <c r="AR1007" s="447"/>
      <c r="AS1007" s="447"/>
      <c r="AT1007" s="447"/>
      <c r="AU1007" s="447"/>
      <c r="AV1007" s="447"/>
      <c r="AW1007" s="447"/>
      <c r="AX1007" s="447"/>
      <c r="AY1007" s="447"/>
      <c r="AZ1007" s="447"/>
      <c r="BA1007" s="448" t="s">
        <v>51</v>
      </c>
      <c r="BB1007" s="448" t="s">
        <v>51</v>
      </c>
      <c r="BC1007" s="447"/>
      <c r="BD1007" s="448" t="s">
        <v>848</v>
      </c>
      <c r="BE1007" s="447">
        <v>381</v>
      </c>
    </row>
    <row r="1008" spans="1:57" ht="30" customHeight="1">
      <c r="A1008" s="494" t="s">
        <v>3210</v>
      </c>
      <c r="B1008" s="494" t="s">
        <v>3330</v>
      </c>
      <c r="C1008" s="495" t="s">
        <v>2568</v>
      </c>
      <c r="D1008" s="1133">
        <v>1</v>
      </c>
      <c r="E1008" s="445">
        <f>'2층전시실산출 '!H405</f>
        <v>1</v>
      </c>
      <c r="F1008" s="1147">
        <v>20000</v>
      </c>
      <c r="G1008" s="1147">
        <v>20000</v>
      </c>
      <c r="H1008" s="450">
        <f>단가대비표!O344</f>
        <v>20000</v>
      </c>
      <c r="I1008" s="450">
        <f t="shared" si="117"/>
        <v>20000</v>
      </c>
      <c r="J1008" s="1147"/>
      <c r="K1008" s="1147">
        <v>0</v>
      </c>
      <c r="L1008" s="450"/>
      <c r="M1008" s="450">
        <f t="shared" si="118"/>
        <v>0</v>
      </c>
      <c r="N1008" s="1147"/>
      <c r="O1008" s="1147">
        <v>0</v>
      </c>
      <c r="P1008" s="450"/>
      <c r="Q1008" s="450">
        <f t="shared" si="121"/>
        <v>0</v>
      </c>
      <c r="R1008" s="1147">
        <v>20000</v>
      </c>
      <c r="S1008" s="1147">
        <v>20000</v>
      </c>
      <c r="T1008" s="450">
        <f t="shared" si="119"/>
        <v>20000</v>
      </c>
      <c r="U1008" s="450">
        <f t="shared" si="120"/>
        <v>20000</v>
      </c>
      <c r="V1008" s="454" t="s">
        <v>51</v>
      </c>
      <c r="W1008" s="448" t="s">
        <v>849</v>
      </c>
      <c r="X1008" s="448" t="s">
        <v>51</v>
      </c>
      <c r="Y1008" s="448" t="s">
        <v>51</v>
      </c>
      <c r="Z1008" s="448" t="s">
        <v>808</v>
      </c>
      <c r="AA1008" s="448" t="s">
        <v>62</v>
      </c>
      <c r="AB1008" s="448" t="s">
        <v>62</v>
      </c>
      <c r="AC1008" s="448" t="s">
        <v>61</v>
      </c>
      <c r="AD1008" s="447"/>
      <c r="AE1008" s="447"/>
      <c r="AF1008" s="447"/>
      <c r="AG1008" s="447"/>
      <c r="AH1008" s="447"/>
      <c r="AI1008" s="447"/>
      <c r="AJ1008" s="447"/>
      <c r="AK1008" s="447"/>
      <c r="AL1008" s="447"/>
      <c r="AM1008" s="447"/>
      <c r="AN1008" s="447"/>
      <c r="AO1008" s="447"/>
      <c r="AP1008" s="447"/>
      <c r="AQ1008" s="447"/>
      <c r="AR1008" s="447"/>
      <c r="AS1008" s="447"/>
      <c r="AT1008" s="447"/>
      <c r="AU1008" s="447"/>
      <c r="AV1008" s="447"/>
      <c r="AW1008" s="447"/>
      <c r="AX1008" s="447"/>
      <c r="AY1008" s="447"/>
      <c r="AZ1008" s="447"/>
      <c r="BA1008" s="448" t="s">
        <v>51</v>
      </c>
      <c r="BB1008" s="448" t="s">
        <v>51</v>
      </c>
      <c r="BC1008" s="447"/>
      <c r="BD1008" s="448" t="s">
        <v>850</v>
      </c>
      <c r="BE1008" s="447">
        <v>382</v>
      </c>
    </row>
    <row r="1009" spans="1:57" ht="30" customHeight="1">
      <c r="A1009" s="494" t="s">
        <v>3210</v>
      </c>
      <c r="B1009" s="494" t="s">
        <v>3331</v>
      </c>
      <c r="C1009" s="495" t="s">
        <v>2568</v>
      </c>
      <c r="D1009" s="1133">
        <v>3</v>
      </c>
      <c r="E1009" s="445">
        <f>'2층전시실산출 '!H406</f>
        <v>3</v>
      </c>
      <c r="F1009" s="1147">
        <v>120000</v>
      </c>
      <c r="G1009" s="1147">
        <v>360000</v>
      </c>
      <c r="H1009" s="450">
        <f>단가대비표!O345</f>
        <v>120000</v>
      </c>
      <c r="I1009" s="450">
        <f t="shared" si="117"/>
        <v>360000</v>
      </c>
      <c r="J1009" s="1147"/>
      <c r="K1009" s="1147">
        <v>0</v>
      </c>
      <c r="L1009" s="450"/>
      <c r="M1009" s="450">
        <f t="shared" si="118"/>
        <v>0</v>
      </c>
      <c r="N1009" s="1147"/>
      <c r="O1009" s="1147">
        <v>0</v>
      </c>
      <c r="P1009" s="450"/>
      <c r="Q1009" s="450">
        <f t="shared" si="121"/>
        <v>0</v>
      </c>
      <c r="R1009" s="1147">
        <v>120000</v>
      </c>
      <c r="S1009" s="1147">
        <v>360000</v>
      </c>
      <c r="T1009" s="450">
        <f t="shared" si="119"/>
        <v>120000</v>
      </c>
      <c r="U1009" s="450">
        <f t="shared" si="120"/>
        <v>360000</v>
      </c>
      <c r="V1009" s="454" t="s">
        <v>51</v>
      </c>
      <c r="W1009" s="448" t="s">
        <v>851</v>
      </c>
      <c r="X1009" s="448" t="s">
        <v>51</v>
      </c>
      <c r="Y1009" s="448" t="s">
        <v>51</v>
      </c>
      <c r="Z1009" s="448" t="s">
        <v>808</v>
      </c>
      <c r="AA1009" s="448" t="s">
        <v>62</v>
      </c>
      <c r="AB1009" s="448" t="s">
        <v>62</v>
      </c>
      <c r="AC1009" s="448" t="s">
        <v>61</v>
      </c>
      <c r="AD1009" s="447"/>
      <c r="AE1009" s="447"/>
      <c r="AF1009" s="447"/>
      <c r="AG1009" s="447"/>
      <c r="AH1009" s="447"/>
      <c r="AI1009" s="447"/>
      <c r="AJ1009" s="447"/>
      <c r="AK1009" s="447"/>
      <c r="AL1009" s="447"/>
      <c r="AM1009" s="447"/>
      <c r="AN1009" s="447"/>
      <c r="AO1009" s="447"/>
      <c r="AP1009" s="447"/>
      <c r="AQ1009" s="447"/>
      <c r="AR1009" s="447"/>
      <c r="AS1009" s="447"/>
      <c r="AT1009" s="447"/>
      <c r="AU1009" s="447"/>
      <c r="AV1009" s="447"/>
      <c r="AW1009" s="447"/>
      <c r="AX1009" s="447"/>
      <c r="AY1009" s="447"/>
      <c r="AZ1009" s="447"/>
      <c r="BA1009" s="448" t="s">
        <v>51</v>
      </c>
      <c r="BB1009" s="448" t="s">
        <v>51</v>
      </c>
      <c r="BC1009" s="447"/>
      <c r="BD1009" s="448" t="s">
        <v>852</v>
      </c>
      <c r="BE1009" s="447">
        <v>383</v>
      </c>
    </row>
    <row r="1010" spans="1:57" ht="30" customHeight="1">
      <c r="A1010" s="494" t="s">
        <v>3210</v>
      </c>
      <c r="B1010" s="494" t="s">
        <v>3332</v>
      </c>
      <c r="C1010" s="495" t="s">
        <v>2568</v>
      </c>
      <c r="D1010" s="1133">
        <v>2</v>
      </c>
      <c r="E1010" s="445">
        <f>'2층전시실산출 '!H407</f>
        <v>2</v>
      </c>
      <c r="F1010" s="1147">
        <v>15000</v>
      </c>
      <c r="G1010" s="1147">
        <v>30000</v>
      </c>
      <c r="H1010" s="450">
        <f>단가대비표!O346</f>
        <v>15000</v>
      </c>
      <c r="I1010" s="450">
        <f t="shared" si="117"/>
        <v>30000</v>
      </c>
      <c r="J1010" s="1147"/>
      <c r="K1010" s="1147">
        <v>0</v>
      </c>
      <c r="L1010" s="450"/>
      <c r="M1010" s="450">
        <f t="shared" si="118"/>
        <v>0</v>
      </c>
      <c r="N1010" s="1147"/>
      <c r="O1010" s="1147">
        <v>0</v>
      </c>
      <c r="P1010" s="450"/>
      <c r="Q1010" s="450">
        <f t="shared" si="121"/>
        <v>0</v>
      </c>
      <c r="R1010" s="1147">
        <v>15000</v>
      </c>
      <c r="S1010" s="1147">
        <v>30000</v>
      </c>
      <c r="T1010" s="450">
        <f t="shared" si="119"/>
        <v>15000</v>
      </c>
      <c r="U1010" s="450">
        <f t="shared" si="120"/>
        <v>30000</v>
      </c>
      <c r="V1010" s="454" t="s">
        <v>51</v>
      </c>
      <c r="W1010" s="448" t="s">
        <v>853</v>
      </c>
      <c r="X1010" s="448" t="s">
        <v>51</v>
      </c>
      <c r="Y1010" s="448" t="s">
        <v>51</v>
      </c>
      <c r="Z1010" s="448" t="s">
        <v>808</v>
      </c>
      <c r="AA1010" s="448" t="s">
        <v>62</v>
      </c>
      <c r="AB1010" s="448" t="s">
        <v>62</v>
      </c>
      <c r="AC1010" s="448" t="s">
        <v>61</v>
      </c>
      <c r="AD1010" s="447"/>
      <c r="AE1010" s="447"/>
      <c r="AF1010" s="447"/>
      <c r="AG1010" s="447"/>
      <c r="AH1010" s="447"/>
      <c r="AI1010" s="447"/>
      <c r="AJ1010" s="447"/>
      <c r="AK1010" s="447"/>
      <c r="AL1010" s="447"/>
      <c r="AM1010" s="447"/>
      <c r="AN1010" s="447"/>
      <c r="AO1010" s="447"/>
      <c r="AP1010" s="447"/>
      <c r="AQ1010" s="447"/>
      <c r="AR1010" s="447"/>
      <c r="AS1010" s="447"/>
      <c r="AT1010" s="447"/>
      <c r="AU1010" s="447"/>
      <c r="AV1010" s="447"/>
      <c r="AW1010" s="447"/>
      <c r="AX1010" s="447"/>
      <c r="AY1010" s="447"/>
      <c r="AZ1010" s="447"/>
      <c r="BA1010" s="448" t="s">
        <v>51</v>
      </c>
      <c r="BB1010" s="448" t="s">
        <v>51</v>
      </c>
      <c r="BC1010" s="447"/>
      <c r="BD1010" s="448" t="s">
        <v>854</v>
      </c>
      <c r="BE1010" s="447">
        <v>384</v>
      </c>
    </row>
    <row r="1011" spans="1:57" ht="30" customHeight="1">
      <c r="A1011" s="494" t="s">
        <v>3210</v>
      </c>
      <c r="B1011" s="494" t="s">
        <v>3333</v>
      </c>
      <c r="C1011" s="495" t="s">
        <v>2568</v>
      </c>
      <c r="D1011" s="1133">
        <v>2</v>
      </c>
      <c r="E1011" s="445">
        <f>'2층전시실산출 '!H408</f>
        <v>2</v>
      </c>
      <c r="F1011" s="1147">
        <v>12000</v>
      </c>
      <c r="G1011" s="1147">
        <v>24000</v>
      </c>
      <c r="H1011" s="450">
        <f>단가대비표!O347</f>
        <v>12000</v>
      </c>
      <c r="I1011" s="450">
        <f t="shared" si="117"/>
        <v>24000</v>
      </c>
      <c r="J1011" s="1147"/>
      <c r="K1011" s="1147">
        <v>0</v>
      </c>
      <c r="L1011" s="450"/>
      <c r="M1011" s="450">
        <f t="shared" si="118"/>
        <v>0</v>
      </c>
      <c r="N1011" s="1147"/>
      <c r="O1011" s="1147">
        <v>0</v>
      </c>
      <c r="P1011" s="450"/>
      <c r="Q1011" s="450">
        <f t="shared" si="121"/>
        <v>0</v>
      </c>
      <c r="R1011" s="1147">
        <v>12000</v>
      </c>
      <c r="S1011" s="1147">
        <v>24000</v>
      </c>
      <c r="T1011" s="450">
        <f t="shared" si="119"/>
        <v>12000</v>
      </c>
      <c r="U1011" s="450">
        <f t="shared" si="120"/>
        <v>24000</v>
      </c>
      <c r="V1011" s="454" t="s">
        <v>51</v>
      </c>
      <c r="W1011" s="448" t="s">
        <v>855</v>
      </c>
      <c r="X1011" s="448" t="s">
        <v>51</v>
      </c>
      <c r="Y1011" s="448" t="s">
        <v>51</v>
      </c>
      <c r="Z1011" s="448" t="s">
        <v>808</v>
      </c>
      <c r="AA1011" s="448" t="s">
        <v>62</v>
      </c>
      <c r="AB1011" s="448" t="s">
        <v>62</v>
      </c>
      <c r="AC1011" s="448" t="s">
        <v>61</v>
      </c>
      <c r="AD1011" s="447"/>
      <c r="AE1011" s="447"/>
      <c r="AF1011" s="447"/>
      <c r="AG1011" s="447"/>
      <c r="AH1011" s="447"/>
      <c r="AI1011" s="447"/>
      <c r="AJ1011" s="447"/>
      <c r="AK1011" s="447"/>
      <c r="AL1011" s="447"/>
      <c r="AM1011" s="447"/>
      <c r="AN1011" s="447"/>
      <c r="AO1011" s="447"/>
      <c r="AP1011" s="447"/>
      <c r="AQ1011" s="447"/>
      <c r="AR1011" s="447"/>
      <c r="AS1011" s="447"/>
      <c r="AT1011" s="447"/>
      <c r="AU1011" s="447"/>
      <c r="AV1011" s="447"/>
      <c r="AW1011" s="447"/>
      <c r="AX1011" s="447"/>
      <c r="AY1011" s="447"/>
      <c r="AZ1011" s="447"/>
      <c r="BA1011" s="448" t="s">
        <v>51</v>
      </c>
      <c r="BB1011" s="448" t="s">
        <v>51</v>
      </c>
      <c r="BC1011" s="447"/>
      <c r="BD1011" s="448" t="s">
        <v>856</v>
      </c>
      <c r="BE1011" s="447">
        <v>385</v>
      </c>
    </row>
    <row r="1012" spans="1:57" ht="30" customHeight="1">
      <c r="A1012" s="494" t="s">
        <v>3210</v>
      </c>
      <c r="B1012" s="494" t="s">
        <v>3334</v>
      </c>
      <c r="C1012" s="495" t="s">
        <v>2568</v>
      </c>
      <c r="D1012" s="1133">
        <v>3</v>
      </c>
      <c r="E1012" s="445">
        <f>'2층전시실산출 '!H409</f>
        <v>3</v>
      </c>
      <c r="F1012" s="1147">
        <v>14000</v>
      </c>
      <c r="G1012" s="1147">
        <v>42000</v>
      </c>
      <c r="H1012" s="450">
        <f>단가대비표!O348</f>
        <v>14000</v>
      </c>
      <c r="I1012" s="450">
        <f t="shared" ref="I1012:I1043" si="122">E1012*H1012</f>
        <v>42000</v>
      </c>
      <c r="J1012" s="1147"/>
      <c r="K1012" s="1147">
        <v>0</v>
      </c>
      <c r="L1012" s="450"/>
      <c r="M1012" s="450">
        <f t="shared" ref="M1012:M1043" si="123">E1012*L1012</f>
        <v>0</v>
      </c>
      <c r="N1012" s="1147"/>
      <c r="O1012" s="1147">
        <v>0</v>
      </c>
      <c r="P1012" s="450"/>
      <c r="Q1012" s="450">
        <f t="shared" si="121"/>
        <v>0</v>
      </c>
      <c r="R1012" s="1147">
        <v>14000</v>
      </c>
      <c r="S1012" s="1147">
        <v>42000</v>
      </c>
      <c r="T1012" s="450">
        <f t="shared" ref="T1012:T1043" si="124">TRUNC(H1012+L1012+P1012, 0)</f>
        <v>14000</v>
      </c>
      <c r="U1012" s="450">
        <f t="shared" ref="U1012:U1043" si="125">TRUNC(I1012+M1012+Q1012, 0)</f>
        <v>42000</v>
      </c>
      <c r="V1012" s="454" t="s">
        <v>51</v>
      </c>
      <c r="W1012" s="448" t="s">
        <v>857</v>
      </c>
      <c r="X1012" s="448" t="s">
        <v>51</v>
      </c>
      <c r="Y1012" s="448" t="s">
        <v>51</v>
      </c>
      <c r="Z1012" s="448" t="s">
        <v>808</v>
      </c>
      <c r="AA1012" s="448" t="s">
        <v>62</v>
      </c>
      <c r="AB1012" s="448" t="s">
        <v>62</v>
      </c>
      <c r="AC1012" s="448" t="s">
        <v>61</v>
      </c>
      <c r="AD1012" s="447"/>
      <c r="AE1012" s="447"/>
      <c r="AF1012" s="447"/>
      <c r="AG1012" s="447"/>
      <c r="AH1012" s="447"/>
      <c r="AI1012" s="447"/>
      <c r="AJ1012" s="447"/>
      <c r="AK1012" s="447"/>
      <c r="AL1012" s="447"/>
      <c r="AM1012" s="447"/>
      <c r="AN1012" s="447"/>
      <c r="AO1012" s="447"/>
      <c r="AP1012" s="447"/>
      <c r="AQ1012" s="447"/>
      <c r="AR1012" s="447"/>
      <c r="AS1012" s="447"/>
      <c r="AT1012" s="447"/>
      <c r="AU1012" s="447"/>
      <c r="AV1012" s="447"/>
      <c r="AW1012" s="447"/>
      <c r="AX1012" s="447"/>
      <c r="AY1012" s="447"/>
      <c r="AZ1012" s="447"/>
      <c r="BA1012" s="448" t="s">
        <v>51</v>
      </c>
      <c r="BB1012" s="448" t="s">
        <v>51</v>
      </c>
      <c r="BC1012" s="447"/>
      <c r="BD1012" s="448" t="s">
        <v>858</v>
      </c>
      <c r="BE1012" s="447">
        <v>386</v>
      </c>
    </row>
    <row r="1013" spans="1:57" ht="30" customHeight="1">
      <c r="A1013" s="494" t="s">
        <v>3210</v>
      </c>
      <c r="B1013" s="494" t="s">
        <v>3336</v>
      </c>
      <c r="C1013" s="495" t="s">
        <v>2568</v>
      </c>
      <c r="D1013" s="1133">
        <v>1</v>
      </c>
      <c r="E1013" s="445">
        <f>'2층전시실산출 '!H410</f>
        <v>1</v>
      </c>
      <c r="F1013" s="1147">
        <v>12000</v>
      </c>
      <c r="G1013" s="1147">
        <v>12000</v>
      </c>
      <c r="H1013" s="450">
        <f>단가대비표!O349</f>
        <v>12000</v>
      </c>
      <c r="I1013" s="450">
        <f t="shared" si="122"/>
        <v>12000</v>
      </c>
      <c r="J1013" s="1147"/>
      <c r="K1013" s="1147">
        <v>0</v>
      </c>
      <c r="L1013" s="450"/>
      <c r="M1013" s="450">
        <f t="shared" si="123"/>
        <v>0</v>
      </c>
      <c r="N1013" s="1147"/>
      <c r="O1013" s="1147">
        <v>0</v>
      </c>
      <c r="P1013" s="450"/>
      <c r="Q1013" s="450">
        <f t="shared" si="121"/>
        <v>0</v>
      </c>
      <c r="R1013" s="1147">
        <v>12000</v>
      </c>
      <c r="S1013" s="1147">
        <v>12000</v>
      </c>
      <c r="T1013" s="450">
        <f t="shared" si="124"/>
        <v>12000</v>
      </c>
      <c r="U1013" s="450">
        <f t="shared" si="125"/>
        <v>12000</v>
      </c>
      <c r="V1013" s="454" t="s">
        <v>51</v>
      </c>
      <c r="W1013" s="448" t="s">
        <v>859</v>
      </c>
      <c r="X1013" s="448" t="s">
        <v>51</v>
      </c>
      <c r="Y1013" s="448" t="s">
        <v>51</v>
      </c>
      <c r="Z1013" s="448" t="s">
        <v>808</v>
      </c>
      <c r="AA1013" s="448" t="s">
        <v>62</v>
      </c>
      <c r="AB1013" s="448" t="s">
        <v>62</v>
      </c>
      <c r="AC1013" s="448" t="s">
        <v>61</v>
      </c>
      <c r="AD1013" s="447"/>
      <c r="AE1013" s="447"/>
      <c r="AF1013" s="447"/>
      <c r="AG1013" s="447"/>
      <c r="AH1013" s="447"/>
      <c r="AI1013" s="447"/>
      <c r="AJ1013" s="447"/>
      <c r="AK1013" s="447"/>
      <c r="AL1013" s="447"/>
      <c r="AM1013" s="447"/>
      <c r="AN1013" s="447"/>
      <c r="AO1013" s="447"/>
      <c r="AP1013" s="447"/>
      <c r="AQ1013" s="447"/>
      <c r="AR1013" s="447"/>
      <c r="AS1013" s="447"/>
      <c r="AT1013" s="447"/>
      <c r="AU1013" s="447"/>
      <c r="AV1013" s="447"/>
      <c r="AW1013" s="447"/>
      <c r="AX1013" s="447"/>
      <c r="AY1013" s="447"/>
      <c r="AZ1013" s="447"/>
      <c r="BA1013" s="448" t="s">
        <v>51</v>
      </c>
      <c r="BB1013" s="448" t="s">
        <v>51</v>
      </c>
      <c r="BC1013" s="447"/>
      <c r="BD1013" s="448" t="s">
        <v>860</v>
      </c>
      <c r="BE1013" s="447">
        <v>387</v>
      </c>
    </row>
    <row r="1014" spans="1:57" ht="30" customHeight="1">
      <c r="A1014" s="494" t="s">
        <v>3210</v>
      </c>
      <c r="B1014" s="496" t="s">
        <v>3337</v>
      </c>
      <c r="C1014" s="495" t="s">
        <v>2568</v>
      </c>
      <c r="D1014" s="1133">
        <v>1</v>
      </c>
      <c r="E1014" s="445">
        <f>'2층전시실산출 '!H411</f>
        <v>1</v>
      </c>
      <c r="F1014" s="1147">
        <v>20000</v>
      </c>
      <c r="G1014" s="1147">
        <v>20000</v>
      </c>
      <c r="H1014" s="450">
        <f>단가대비표!O350</f>
        <v>20000</v>
      </c>
      <c r="I1014" s="450">
        <f t="shared" si="122"/>
        <v>20000</v>
      </c>
      <c r="J1014" s="1147"/>
      <c r="K1014" s="1147">
        <v>0</v>
      </c>
      <c r="L1014" s="450"/>
      <c r="M1014" s="450">
        <f t="shared" si="123"/>
        <v>0</v>
      </c>
      <c r="N1014" s="1147"/>
      <c r="O1014" s="1147">
        <v>0</v>
      </c>
      <c r="P1014" s="450"/>
      <c r="Q1014" s="450">
        <f t="shared" si="121"/>
        <v>0</v>
      </c>
      <c r="R1014" s="1147">
        <v>20000</v>
      </c>
      <c r="S1014" s="1147">
        <v>20000</v>
      </c>
      <c r="T1014" s="450">
        <f t="shared" si="124"/>
        <v>20000</v>
      </c>
      <c r="U1014" s="450">
        <f t="shared" si="125"/>
        <v>20000</v>
      </c>
      <c r="V1014" s="454" t="s">
        <v>51</v>
      </c>
      <c r="W1014" s="448" t="s">
        <v>861</v>
      </c>
      <c r="X1014" s="448" t="s">
        <v>51</v>
      </c>
      <c r="Y1014" s="448" t="s">
        <v>51</v>
      </c>
      <c r="Z1014" s="448" t="s">
        <v>808</v>
      </c>
      <c r="AA1014" s="448" t="s">
        <v>62</v>
      </c>
      <c r="AB1014" s="448" t="s">
        <v>62</v>
      </c>
      <c r="AC1014" s="448" t="s">
        <v>61</v>
      </c>
      <c r="AD1014" s="447"/>
      <c r="AE1014" s="447"/>
      <c r="AF1014" s="447"/>
      <c r="AG1014" s="447"/>
      <c r="AH1014" s="447"/>
      <c r="AI1014" s="447"/>
      <c r="AJ1014" s="447"/>
      <c r="AK1014" s="447"/>
      <c r="AL1014" s="447"/>
      <c r="AM1014" s="447"/>
      <c r="AN1014" s="447"/>
      <c r="AO1014" s="447"/>
      <c r="AP1014" s="447"/>
      <c r="AQ1014" s="447"/>
      <c r="AR1014" s="447"/>
      <c r="AS1014" s="447"/>
      <c r="AT1014" s="447"/>
      <c r="AU1014" s="447"/>
      <c r="AV1014" s="447"/>
      <c r="AW1014" s="447"/>
      <c r="AX1014" s="447"/>
      <c r="AY1014" s="447"/>
      <c r="AZ1014" s="447"/>
      <c r="BA1014" s="448" t="s">
        <v>51</v>
      </c>
      <c r="BB1014" s="448" t="s">
        <v>51</v>
      </c>
      <c r="BC1014" s="447"/>
      <c r="BD1014" s="448" t="s">
        <v>862</v>
      </c>
      <c r="BE1014" s="447">
        <v>388</v>
      </c>
    </row>
    <row r="1015" spans="1:57" ht="30" customHeight="1">
      <c r="A1015" s="494" t="s">
        <v>3210</v>
      </c>
      <c r="B1015" s="494" t="s">
        <v>3335</v>
      </c>
      <c r="C1015" s="495" t="s">
        <v>2568</v>
      </c>
      <c r="D1015" s="1133">
        <v>1</v>
      </c>
      <c r="E1015" s="445">
        <f>'2층전시실산출 '!H412</f>
        <v>1</v>
      </c>
      <c r="F1015" s="1147">
        <v>15000</v>
      </c>
      <c r="G1015" s="1147">
        <v>15000</v>
      </c>
      <c r="H1015" s="450">
        <f>단가대비표!O351</f>
        <v>15000</v>
      </c>
      <c r="I1015" s="450">
        <f t="shared" si="122"/>
        <v>15000</v>
      </c>
      <c r="J1015" s="1147"/>
      <c r="K1015" s="1147">
        <v>0</v>
      </c>
      <c r="L1015" s="450"/>
      <c r="M1015" s="450">
        <f t="shared" si="123"/>
        <v>0</v>
      </c>
      <c r="N1015" s="1147"/>
      <c r="O1015" s="1147">
        <v>0</v>
      </c>
      <c r="P1015" s="450"/>
      <c r="Q1015" s="450">
        <f t="shared" si="121"/>
        <v>0</v>
      </c>
      <c r="R1015" s="1147">
        <v>15000</v>
      </c>
      <c r="S1015" s="1147">
        <v>15000</v>
      </c>
      <c r="T1015" s="450">
        <f t="shared" si="124"/>
        <v>15000</v>
      </c>
      <c r="U1015" s="450">
        <f t="shared" si="125"/>
        <v>15000</v>
      </c>
      <c r="V1015" s="454" t="s">
        <v>51</v>
      </c>
      <c r="W1015" s="448" t="s">
        <v>863</v>
      </c>
      <c r="X1015" s="448" t="s">
        <v>51</v>
      </c>
      <c r="Y1015" s="448" t="s">
        <v>51</v>
      </c>
      <c r="Z1015" s="448" t="s">
        <v>808</v>
      </c>
      <c r="AA1015" s="448" t="s">
        <v>62</v>
      </c>
      <c r="AB1015" s="448" t="s">
        <v>62</v>
      </c>
      <c r="AC1015" s="448" t="s">
        <v>61</v>
      </c>
      <c r="AD1015" s="447"/>
      <c r="AE1015" s="447"/>
      <c r="AF1015" s="447"/>
      <c r="AG1015" s="447"/>
      <c r="AH1015" s="447"/>
      <c r="AI1015" s="447"/>
      <c r="AJ1015" s="447"/>
      <c r="AK1015" s="447"/>
      <c r="AL1015" s="447"/>
      <c r="AM1015" s="447"/>
      <c r="AN1015" s="447"/>
      <c r="AO1015" s="447"/>
      <c r="AP1015" s="447"/>
      <c r="AQ1015" s="447"/>
      <c r="AR1015" s="447"/>
      <c r="AS1015" s="447"/>
      <c r="AT1015" s="447"/>
      <c r="AU1015" s="447"/>
      <c r="AV1015" s="447"/>
      <c r="AW1015" s="447"/>
      <c r="AX1015" s="447"/>
      <c r="AY1015" s="447"/>
      <c r="AZ1015" s="447"/>
      <c r="BA1015" s="448" t="s">
        <v>51</v>
      </c>
      <c r="BB1015" s="448" t="s">
        <v>51</v>
      </c>
      <c r="BC1015" s="447"/>
      <c r="BD1015" s="448" t="s">
        <v>864</v>
      </c>
      <c r="BE1015" s="447">
        <v>389</v>
      </c>
    </row>
    <row r="1016" spans="1:57" ht="30" customHeight="1">
      <c r="A1016" s="494" t="s">
        <v>3338</v>
      </c>
      <c r="B1016" s="494" t="s">
        <v>3339</v>
      </c>
      <c r="C1016" s="495" t="s">
        <v>2568</v>
      </c>
      <c r="D1016" s="1133">
        <v>1</v>
      </c>
      <c r="E1016" s="445">
        <f>'2층전시실산출 '!H413</f>
        <v>1</v>
      </c>
      <c r="F1016" s="1147">
        <v>270000</v>
      </c>
      <c r="G1016" s="1147">
        <v>270000</v>
      </c>
      <c r="H1016" s="450">
        <f>단가대비표!O352</f>
        <v>270000</v>
      </c>
      <c r="I1016" s="450">
        <f t="shared" si="122"/>
        <v>270000</v>
      </c>
      <c r="J1016" s="1147"/>
      <c r="K1016" s="1147">
        <v>0</v>
      </c>
      <c r="L1016" s="450"/>
      <c r="M1016" s="450">
        <f t="shared" si="123"/>
        <v>0</v>
      </c>
      <c r="N1016" s="1147"/>
      <c r="O1016" s="1147">
        <v>0</v>
      </c>
      <c r="P1016" s="450"/>
      <c r="Q1016" s="450">
        <f t="shared" si="121"/>
        <v>0</v>
      </c>
      <c r="R1016" s="1147">
        <v>270000</v>
      </c>
      <c r="S1016" s="1147">
        <v>270000</v>
      </c>
      <c r="T1016" s="450">
        <f t="shared" si="124"/>
        <v>270000</v>
      </c>
      <c r="U1016" s="450">
        <f t="shared" si="125"/>
        <v>270000</v>
      </c>
      <c r="V1016" s="454" t="s">
        <v>51</v>
      </c>
      <c r="W1016" s="448" t="s">
        <v>865</v>
      </c>
      <c r="X1016" s="448" t="s">
        <v>51</v>
      </c>
      <c r="Y1016" s="448" t="s">
        <v>51</v>
      </c>
      <c r="Z1016" s="448" t="s">
        <v>808</v>
      </c>
      <c r="AA1016" s="448" t="s">
        <v>62</v>
      </c>
      <c r="AB1016" s="448" t="s">
        <v>62</v>
      </c>
      <c r="AC1016" s="448" t="s">
        <v>61</v>
      </c>
      <c r="AD1016" s="447"/>
      <c r="AE1016" s="447"/>
      <c r="AF1016" s="447"/>
      <c r="AG1016" s="447"/>
      <c r="AH1016" s="447"/>
      <c r="AI1016" s="447"/>
      <c r="AJ1016" s="447"/>
      <c r="AK1016" s="447"/>
      <c r="AL1016" s="447"/>
      <c r="AM1016" s="447"/>
      <c r="AN1016" s="447"/>
      <c r="AO1016" s="447"/>
      <c r="AP1016" s="447"/>
      <c r="AQ1016" s="447"/>
      <c r="AR1016" s="447"/>
      <c r="AS1016" s="447"/>
      <c r="AT1016" s="447"/>
      <c r="AU1016" s="447"/>
      <c r="AV1016" s="447"/>
      <c r="AW1016" s="447"/>
      <c r="AX1016" s="447"/>
      <c r="AY1016" s="447"/>
      <c r="AZ1016" s="447"/>
      <c r="BA1016" s="448" t="s">
        <v>51</v>
      </c>
      <c r="BB1016" s="448" t="s">
        <v>51</v>
      </c>
      <c r="BC1016" s="447"/>
      <c r="BD1016" s="448" t="s">
        <v>866</v>
      </c>
      <c r="BE1016" s="447">
        <v>390</v>
      </c>
    </row>
    <row r="1017" spans="1:57" ht="30" customHeight="1">
      <c r="A1017" s="494" t="s">
        <v>3338</v>
      </c>
      <c r="B1017" s="494" t="s">
        <v>3340</v>
      </c>
      <c r="C1017" s="495" t="s">
        <v>2568</v>
      </c>
      <c r="D1017" s="1133">
        <v>1</v>
      </c>
      <c r="E1017" s="445">
        <f>'2층전시실산출 '!H414</f>
        <v>1</v>
      </c>
      <c r="F1017" s="1147">
        <v>230000</v>
      </c>
      <c r="G1017" s="1147">
        <v>230000</v>
      </c>
      <c r="H1017" s="450">
        <f>단가대비표!O353</f>
        <v>230000</v>
      </c>
      <c r="I1017" s="450">
        <f t="shared" si="122"/>
        <v>230000</v>
      </c>
      <c r="J1017" s="1147"/>
      <c r="K1017" s="1147">
        <v>0</v>
      </c>
      <c r="L1017" s="450"/>
      <c r="M1017" s="450">
        <f t="shared" si="123"/>
        <v>0</v>
      </c>
      <c r="N1017" s="1147"/>
      <c r="O1017" s="1147">
        <v>0</v>
      </c>
      <c r="P1017" s="450"/>
      <c r="Q1017" s="450">
        <f t="shared" si="121"/>
        <v>0</v>
      </c>
      <c r="R1017" s="1147">
        <v>230000</v>
      </c>
      <c r="S1017" s="1147">
        <v>230000</v>
      </c>
      <c r="T1017" s="450">
        <f t="shared" si="124"/>
        <v>230000</v>
      </c>
      <c r="U1017" s="450">
        <f t="shared" si="125"/>
        <v>230000</v>
      </c>
      <c r="V1017" s="454" t="s">
        <v>51</v>
      </c>
      <c r="W1017" s="448" t="s">
        <v>867</v>
      </c>
      <c r="X1017" s="448" t="s">
        <v>51</v>
      </c>
      <c r="Y1017" s="448" t="s">
        <v>51</v>
      </c>
      <c r="Z1017" s="448" t="s">
        <v>808</v>
      </c>
      <c r="AA1017" s="448" t="s">
        <v>62</v>
      </c>
      <c r="AB1017" s="448" t="s">
        <v>62</v>
      </c>
      <c r="AC1017" s="448" t="s">
        <v>61</v>
      </c>
      <c r="AD1017" s="447"/>
      <c r="AE1017" s="447"/>
      <c r="AF1017" s="447"/>
      <c r="AG1017" s="447"/>
      <c r="AH1017" s="447"/>
      <c r="AI1017" s="447"/>
      <c r="AJ1017" s="447"/>
      <c r="AK1017" s="447"/>
      <c r="AL1017" s="447"/>
      <c r="AM1017" s="447"/>
      <c r="AN1017" s="447"/>
      <c r="AO1017" s="447"/>
      <c r="AP1017" s="447"/>
      <c r="AQ1017" s="447"/>
      <c r="AR1017" s="447"/>
      <c r="AS1017" s="447"/>
      <c r="AT1017" s="447"/>
      <c r="AU1017" s="447"/>
      <c r="AV1017" s="447"/>
      <c r="AW1017" s="447"/>
      <c r="AX1017" s="447"/>
      <c r="AY1017" s="447"/>
      <c r="AZ1017" s="447"/>
      <c r="BA1017" s="448" t="s">
        <v>51</v>
      </c>
      <c r="BB1017" s="448" t="s">
        <v>51</v>
      </c>
      <c r="BC1017" s="447"/>
      <c r="BD1017" s="448" t="s">
        <v>868</v>
      </c>
      <c r="BE1017" s="447">
        <v>391</v>
      </c>
    </row>
    <row r="1018" spans="1:57" ht="30" customHeight="1">
      <c r="A1018" s="494" t="s">
        <v>3338</v>
      </c>
      <c r="B1018" s="494" t="s">
        <v>3341</v>
      </c>
      <c r="C1018" s="495" t="s">
        <v>2568</v>
      </c>
      <c r="D1018" s="1133">
        <v>1</v>
      </c>
      <c r="E1018" s="445">
        <f>'2층전시실산출 '!H415</f>
        <v>1</v>
      </c>
      <c r="F1018" s="1147">
        <v>320000</v>
      </c>
      <c r="G1018" s="1147">
        <v>320000</v>
      </c>
      <c r="H1018" s="450">
        <f>단가대비표!O354</f>
        <v>320000</v>
      </c>
      <c r="I1018" s="450">
        <f t="shared" si="122"/>
        <v>320000</v>
      </c>
      <c r="J1018" s="1147"/>
      <c r="K1018" s="1147">
        <v>0</v>
      </c>
      <c r="L1018" s="450"/>
      <c r="M1018" s="450">
        <f t="shared" si="123"/>
        <v>0</v>
      </c>
      <c r="N1018" s="1147"/>
      <c r="O1018" s="1147">
        <v>0</v>
      </c>
      <c r="P1018" s="450"/>
      <c r="Q1018" s="450">
        <f t="shared" ref="Q1018:Q1049" si="126">TRUNC(P1018*E1018, 0)</f>
        <v>0</v>
      </c>
      <c r="R1018" s="1147">
        <v>320000</v>
      </c>
      <c r="S1018" s="1147">
        <v>320000</v>
      </c>
      <c r="T1018" s="450">
        <f t="shared" si="124"/>
        <v>320000</v>
      </c>
      <c r="U1018" s="450">
        <f t="shared" si="125"/>
        <v>320000</v>
      </c>
      <c r="V1018" s="454" t="s">
        <v>51</v>
      </c>
      <c r="W1018" s="448" t="s">
        <v>869</v>
      </c>
      <c r="X1018" s="448" t="s">
        <v>51</v>
      </c>
      <c r="Y1018" s="448" t="s">
        <v>51</v>
      </c>
      <c r="Z1018" s="448" t="s">
        <v>808</v>
      </c>
      <c r="AA1018" s="448" t="s">
        <v>62</v>
      </c>
      <c r="AB1018" s="448" t="s">
        <v>62</v>
      </c>
      <c r="AC1018" s="448" t="s">
        <v>61</v>
      </c>
      <c r="AD1018" s="447"/>
      <c r="AE1018" s="447"/>
      <c r="AF1018" s="447"/>
      <c r="AG1018" s="447"/>
      <c r="AH1018" s="447"/>
      <c r="AI1018" s="447"/>
      <c r="AJ1018" s="447"/>
      <c r="AK1018" s="447"/>
      <c r="AL1018" s="447"/>
      <c r="AM1018" s="447"/>
      <c r="AN1018" s="447"/>
      <c r="AO1018" s="447"/>
      <c r="AP1018" s="447"/>
      <c r="AQ1018" s="447"/>
      <c r="AR1018" s="447"/>
      <c r="AS1018" s="447"/>
      <c r="AT1018" s="447"/>
      <c r="AU1018" s="447"/>
      <c r="AV1018" s="447"/>
      <c r="AW1018" s="447"/>
      <c r="AX1018" s="447"/>
      <c r="AY1018" s="447"/>
      <c r="AZ1018" s="447"/>
      <c r="BA1018" s="448" t="s">
        <v>51</v>
      </c>
      <c r="BB1018" s="448" t="s">
        <v>51</v>
      </c>
      <c r="BC1018" s="447"/>
      <c r="BD1018" s="448" t="s">
        <v>870</v>
      </c>
      <c r="BE1018" s="447">
        <v>392</v>
      </c>
    </row>
    <row r="1019" spans="1:57" ht="30" customHeight="1">
      <c r="A1019" s="494" t="s">
        <v>3338</v>
      </c>
      <c r="B1019" s="494" t="s">
        <v>3342</v>
      </c>
      <c r="C1019" s="495" t="s">
        <v>2568</v>
      </c>
      <c r="D1019" s="1133">
        <v>1</v>
      </c>
      <c r="E1019" s="445">
        <f>'2층전시실산출 '!H416</f>
        <v>1</v>
      </c>
      <c r="F1019" s="1147">
        <v>230000</v>
      </c>
      <c r="G1019" s="1147">
        <v>230000</v>
      </c>
      <c r="H1019" s="450">
        <f>단가대비표!O355</f>
        <v>230000</v>
      </c>
      <c r="I1019" s="450">
        <f t="shared" si="122"/>
        <v>230000</v>
      </c>
      <c r="J1019" s="1147"/>
      <c r="K1019" s="1147">
        <v>0</v>
      </c>
      <c r="L1019" s="450"/>
      <c r="M1019" s="450">
        <f t="shared" si="123"/>
        <v>0</v>
      </c>
      <c r="N1019" s="1147"/>
      <c r="O1019" s="1147">
        <v>0</v>
      </c>
      <c r="P1019" s="450"/>
      <c r="Q1019" s="450">
        <f t="shared" si="126"/>
        <v>0</v>
      </c>
      <c r="R1019" s="1147">
        <v>230000</v>
      </c>
      <c r="S1019" s="1147">
        <v>230000</v>
      </c>
      <c r="T1019" s="450">
        <f t="shared" si="124"/>
        <v>230000</v>
      </c>
      <c r="U1019" s="450">
        <f t="shared" si="125"/>
        <v>230000</v>
      </c>
      <c r="V1019" s="454" t="s">
        <v>51</v>
      </c>
      <c r="W1019" s="448" t="s">
        <v>847</v>
      </c>
      <c r="X1019" s="448" t="s">
        <v>51</v>
      </c>
      <c r="Y1019" s="448" t="s">
        <v>51</v>
      </c>
      <c r="Z1019" s="448" t="s">
        <v>808</v>
      </c>
      <c r="AA1019" s="448" t="s">
        <v>62</v>
      </c>
      <c r="AB1019" s="448" t="s">
        <v>62</v>
      </c>
      <c r="AC1019" s="448" t="s">
        <v>61</v>
      </c>
      <c r="AD1019" s="447"/>
      <c r="AE1019" s="447"/>
      <c r="AF1019" s="447"/>
      <c r="AG1019" s="447"/>
      <c r="AH1019" s="447"/>
      <c r="AI1019" s="447"/>
      <c r="AJ1019" s="447"/>
      <c r="AK1019" s="447"/>
      <c r="AL1019" s="447"/>
      <c r="AM1019" s="447"/>
      <c r="AN1019" s="447"/>
      <c r="AO1019" s="447"/>
      <c r="AP1019" s="447"/>
      <c r="AQ1019" s="447"/>
      <c r="AR1019" s="447"/>
      <c r="AS1019" s="447"/>
      <c r="AT1019" s="447"/>
      <c r="AU1019" s="447"/>
      <c r="AV1019" s="447"/>
      <c r="AW1019" s="447"/>
      <c r="AX1019" s="447"/>
      <c r="AY1019" s="447"/>
      <c r="AZ1019" s="447"/>
      <c r="BA1019" s="448" t="s">
        <v>51</v>
      </c>
      <c r="BB1019" s="448" t="s">
        <v>51</v>
      </c>
      <c r="BC1019" s="447"/>
      <c r="BD1019" s="448" t="s">
        <v>848</v>
      </c>
      <c r="BE1019" s="447">
        <v>381</v>
      </c>
    </row>
    <row r="1020" spans="1:57" ht="30" customHeight="1">
      <c r="A1020" s="494" t="s">
        <v>3338</v>
      </c>
      <c r="B1020" s="494" t="s">
        <v>3343</v>
      </c>
      <c r="C1020" s="495" t="s">
        <v>2568</v>
      </c>
      <c r="D1020" s="1133">
        <v>1</v>
      </c>
      <c r="E1020" s="445">
        <f>'2층전시실산출 '!H417</f>
        <v>1</v>
      </c>
      <c r="F1020" s="1147">
        <v>260000</v>
      </c>
      <c r="G1020" s="1147">
        <v>260000</v>
      </c>
      <c r="H1020" s="450">
        <f>단가대비표!O356</f>
        <v>260000</v>
      </c>
      <c r="I1020" s="450">
        <f t="shared" si="122"/>
        <v>260000</v>
      </c>
      <c r="J1020" s="1147"/>
      <c r="K1020" s="1147">
        <v>0</v>
      </c>
      <c r="L1020" s="450"/>
      <c r="M1020" s="450">
        <f t="shared" si="123"/>
        <v>0</v>
      </c>
      <c r="N1020" s="1147"/>
      <c r="O1020" s="1147">
        <v>0</v>
      </c>
      <c r="P1020" s="450"/>
      <c r="Q1020" s="450">
        <f t="shared" si="126"/>
        <v>0</v>
      </c>
      <c r="R1020" s="1147">
        <v>260000</v>
      </c>
      <c r="S1020" s="1147">
        <v>260000</v>
      </c>
      <c r="T1020" s="450">
        <f t="shared" si="124"/>
        <v>260000</v>
      </c>
      <c r="U1020" s="450">
        <f t="shared" si="125"/>
        <v>260000</v>
      </c>
      <c r="V1020" s="454" t="s">
        <v>51</v>
      </c>
      <c r="W1020" s="448" t="s">
        <v>847</v>
      </c>
      <c r="X1020" s="448" t="s">
        <v>51</v>
      </c>
      <c r="Y1020" s="448" t="s">
        <v>51</v>
      </c>
      <c r="Z1020" s="448" t="s">
        <v>808</v>
      </c>
      <c r="AA1020" s="448" t="s">
        <v>62</v>
      </c>
      <c r="AB1020" s="448" t="s">
        <v>62</v>
      </c>
      <c r="AC1020" s="448" t="s">
        <v>61</v>
      </c>
      <c r="AD1020" s="447"/>
      <c r="AE1020" s="447"/>
      <c r="AF1020" s="447"/>
      <c r="AG1020" s="447"/>
      <c r="AH1020" s="447"/>
      <c r="AI1020" s="447"/>
      <c r="AJ1020" s="447"/>
      <c r="AK1020" s="447"/>
      <c r="AL1020" s="447"/>
      <c r="AM1020" s="447"/>
      <c r="AN1020" s="447"/>
      <c r="AO1020" s="447"/>
      <c r="AP1020" s="447"/>
      <c r="AQ1020" s="447"/>
      <c r="AR1020" s="447"/>
      <c r="AS1020" s="447"/>
      <c r="AT1020" s="447"/>
      <c r="AU1020" s="447"/>
      <c r="AV1020" s="447"/>
      <c r="AW1020" s="447"/>
      <c r="AX1020" s="447"/>
      <c r="AY1020" s="447"/>
      <c r="AZ1020" s="447"/>
      <c r="BA1020" s="448" t="s">
        <v>51</v>
      </c>
      <c r="BB1020" s="448" t="s">
        <v>51</v>
      </c>
      <c r="BC1020" s="447"/>
      <c r="BD1020" s="448" t="s">
        <v>848</v>
      </c>
      <c r="BE1020" s="447">
        <v>381</v>
      </c>
    </row>
    <row r="1021" spans="1:57" ht="30" customHeight="1">
      <c r="A1021" s="494" t="s">
        <v>3338</v>
      </c>
      <c r="B1021" s="494" t="s">
        <v>3344</v>
      </c>
      <c r="C1021" s="495" t="s">
        <v>2568</v>
      </c>
      <c r="D1021" s="1133">
        <v>1</v>
      </c>
      <c r="E1021" s="445">
        <f>'2층전시실산출 '!H418</f>
        <v>1</v>
      </c>
      <c r="F1021" s="1147">
        <v>230000</v>
      </c>
      <c r="G1021" s="1147">
        <v>230000</v>
      </c>
      <c r="H1021" s="450">
        <f>단가대비표!O357</f>
        <v>230000</v>
      </c>
      <c r="I1021" s="450">
        <f t="shared" si="122"/>
        <v>230000</v>
      </c>
      <c r="J1021" s="1147"/>
      <c r="K1021" s="1147">
        <v>0</v>
      </c>
      <c r="L1021" s="450"/>
      <c r="M1021" s="450">
        <f t="shared" si="123"/>
        <v>0</v>
      </c>
      <c r="N1021" s="1147"/>
      <c r="O1021" s="1147">
        <v>0</v>
      </c>
      <c r="P1021" s="450"/>
      <c r="Q1021" s="450">
        <f t="shared" si="126"/>
        <v>0</v>
      </c>
      <c r="R1021" s="1147">
        <v>230000</v>
      </c>
      <c r="S1021" s="1147">
        <v>230000</v>
      </c>
      <c r="T1021" s="450">
        <f t="shared" si="124"/>
        <v>230000</v>
      </c>
      <c r="U1021" s="450">
        <f t="shared" si="125"/>
        <v>230000</v>
      </c>
      <c r="V1021" s="454" t="s">
        <v>51</v>
      </c>
      <c r="W1021" s="448" t="s">
        <v>847</v>
      </c>
      <c r="X1021" s="448" t="s">
        <v>51</v>
      </c>
      <c r="Y1021" s="448" t="s">
        <v>51</v>
      </c>
      <c r="Z1021" s="448" t="s">
        <v>808</v>
      </c>
      <c r="AA1021" s="448" t="s">
        <v>62</v>
      </c>
      <c r="AB1021" s="448" t="s">
        <v>62</v>
      </c>
      <c r="AC1021" s="448" t="s">
        <v>61</v>
      </c>
      <c r="AD1021" s="447"/>
      <c r="AE1021" s="447"/>
      <c r="AF1021" s="447"/>
      <c r="AG1021" s="447"/>
      <c r="AH1021" s="447"/>
      <c r="AI1021" s="447"/>
      <c r="AJ1021" s="447"/>
      <c r="AK1021" s="447"/>
      <c r="AL1021" s="447"/>
      <c r="AM1021" s="447"/>
      <c r="AN1021" s="447"/>
      <c r="AO1021" s="447"/>
      <c r="AP1021" s="447"/>
      <c r="AQ1021" s="447"/>
      <c r="AR1021" s="447"/>
      <c r="AS1021" s="447"/>
      <c r="AT1021" s="447"/>
      <c r="AU1021" s="447"/>
      <c r="AV1021" s="447"/>
      <c r="AW1021" s="447"/>
      <c r="AX1021" s="447"/>
      <c r="AY1021" s="447"/>
      <c r="AZ1021" s="447"/>
      <c r="BA1021" s="448" t="s">
        <v>51</v>
      </c>
      <c r="BB1021" s="448" t="s">
        <v>51</v>
      </c>
      <c r="BC1021" s="447"/>
      <c r="BD1021" s="448" t="s">
        <v>848</v>
      </c>
      <c r="BE1021" s="447">
        <v>381</v>
      </c>
    </row>
    <row r="1022" spans="1:57" ht="30" customHeight="1">
      <c r="A1022" s="494" t="s">
        <v>3338</v>
      </c>
      <c r="B1022" s="494" t="s">
        <v>3345</v>
      </c>
      <c r="C1022" s="495" t="s">
        <v>2568</v>
      </c>
      <c r="D1022" s="1133">
        <v>1</v>
      </c>
      <c r="E1022" s="445">
        <f>'2층전시실산출 '!H419</f>
        <v>1</v>
      </c>
      <c r="F1022" s="1147">
        <v>350000</v>
      </c>
      <c r="G1022" s="1147">
        <v>350000</v>
      </c>
      <c r="H1022" s="450">
        <f>단가대비표!O358</f>
        <v>350000</v>
      </c>
      <c r="I1022" s="450">
        <f t="shared" si="122"/>
        <v>350000</v>
      </c>
      <c r="J1022" s="1147"/>
      <c r="K1022" s="1147">
        <v>0</v>
      </c>
      <c r="L1022" s="450"/>
      <c r="M1022" s="450">
        <f t="shared" si="123"/>
        <v>0</v>
      </c>
      <c r="N1022" s="1147"/>
      <c r="O1022" s="1147">
        <v>0</v>
      </c>
      <c r="P1022" s="450"/>
      <c r="Q1022" s="450">
        <f t="shared" si="126"/>
        <v>0</v>
      </c>
      <c r="R1022" s="1147">
        <v>350000</v>
      </c>
      <c r="S1022" s="1147">
        <v>350000</v>
      </c>
      <c r="T1022" s="450">
        <f t="shared" si="124"/>
        <v>350000</v>
      </c>
      <c r="U1022" s="450">
        <f t="shared" si="125"/>
        <v>350000</v>
      </c>
      <c r="V1022" s="454" t="s">
        <v>51</v>
      </c>
      <c r="W1022" s="448" t="s">
        <v>847</v>
      </c>
      <c r="X1022" s="448" t="s">
        <v>51</v>
      </c>
      <c r="Y1022" s="448" t="s">
        <v>51</v>
      </c>
      <c r="Z1022" s="448" t="s">
        <v>808</v>
      </c>
      <c r="AA1022" s="448" t="s">
        <v>62</v>
      </c>
      <c r="AB1022" s="448" t="s">
        <v>62</v>
      </c>
      <c r="AC1022" s="448" t="s">
        <v>61</v>
      </c>
      <c r="AD1022" s="447"/>
      <c r="AE1022" s="447"/>
      <c r="AF1022" s="447"/>
      <c r="AG1022" s="447"/>
      <c r="AH1022" s="447"/>
      <c r="AI1022" s="447"/>
      <c r="AJ1022" s="447"/>
      <c r="AK1022" s="447"/>
      <c r="AL1022" s="447"/>
      <c r="AM1022" s="447"/>
      <c r="AN1022" s="447"/>
      <c r="AO1022" s="447"/>
      <c r="AP1022" s="447"/>
      <c r="AQ1022" s="447"/>
      <c r="AR1022" s="447"/>
      <c r="AS1022" s="447"/>
      <c r="AT1022" s="447"/>
      <c r="AU1022" s="447"/>
      <c r="AV1022" s="447"/>
      <c r="AW1022" s="447"/>
      <c r="AX1022" s="447"/>
      <c r="AY1022" s="447"/>
      <c r="AZ1022" s="447"/>
      <c r="BA1022" s="448" t="s">
        <v>51</v>
      </c>
      <c r="BB1022" s="448" t="s">
        <v>51</v>
      </c>
      <c r="BC1022" s="447"/>
      <c r="BD1022" s="448" t="s">
        <v>848</v>
      </c>
      <c r="BE1022" s="447">
        <v>381</v>
      </c>
    </row>
    <row r="1023" spans="1:57" ht="30" customHeight="1">
      <c r="A1023" s="494" t="s">
        <v>3338</v>
      </c>
      <c r="B1023" s="494" t="s">
        <v>3346</v>
      </c>
      <c r="C1023" s="495" t="s">
        <v>2568</v>
      </c>
      <c r="D1023" s="1133">
        <v>1</v>
      </c>
      <c r="E1023" s="445">
        <f>'2층전시실산출 '!H420</f>
        <v>1</v>
      </c>
      <c r="F1023" s="1147">
        <v>380000</v>
      </c>
      <c r="G1023" s="1147">
        <v>380000</v>
      </c>
      <c r="H1023" s="450">
        <f>단가대비표!O359</f>
        <v>380000</v>
      </c>
      <c r="I1023" s="450">
        <f t="shared" si="122"/>
        <v>380000</v>
      </c>
      <c r="J1023" s="1147"/>
      <c r="K1023" s="1147">
        <v>0</v>
      </c>
      <c r="L1023" s="450"/>
      <c r="M1023" s="450">
        <f t="shared" si="123"/>
        <v>0</v>
      </c>
      <c r="N1023" s="1147"/>
      <c r="O1023" s="1147">
        <v>0</v>
      </c>
      <c r="P1023" s="450"/>
      <c r="Q1023" s="450">
        <f t="shared" si="126"/>
        <v>0</v>
      </c>
      <c r="R1023" s="1147">
        <v>380000</v>
      </c>
      <c r="S1023" s="1147">
        <v>380000</v>
      </c>
      <c r="T1023" s="450">
        <f t="shared" si="124"/>
        <v>380000</v>
      </c>
      <c r="U1023" s="450">
        <f t="shared" si="125"/>
        <v>380000</v>
      </c>
      <c r="V1023" s="454" t="s">
        <v>51</v>
      </c>
      <c r="W1023" s="448" t="s">
        <v>847</v>
      </c>
      <c r="X1023" s="448" t="s">
        <v>51</v>
      </c>
      <c r="Y1023" s="448" t="s">
        <v>51</v>
      </c>
      <c r="Z1023" s="448" t="s">
        <v>808</v>
      </c>
      <c r="AA1023" s="448" t="s">
        <v>62</v>
      </c>
      <c r="AB1023" s="448" t="s">
        <v>62</v>
      </c>
      <c r="AC1023" s="448" t="s">
        <v>61</v>
      </c>
      <c r="AD1023" s="447"/>
      <c r="AE1023" s="447"/>
      <c r="AF1023" s="447"/>
      <c r="AG1023" s="447"/>
      <c r="AH1023" s="447"/>
      <c r="AI1023" s="447"/>
      <c r="AJ1023" s="447"/>
      <c r="AK1023" s="447"/>
      <c r="AL1023" s="447"/>
      <c r="AM1023" s="447"/>
      <c r="AN1023" s="447"/>
      <c r="AO1023" s="447"/>
      <c r="AP1023" s="447"/>
      <c r="AQ1023" s="447"/>
      <c r="AR1023" s="447"/>
      <c r="AS1023" s="447"/>
      <c r="AT1023" s="447"/>
      <c r="AU1023" s="447"/>
      <c r="AV1023" s="447"/>
      <c r="AW1023" s="447"/>
      <c r="AX1023" s="447"/>
      <c r="AY1023" s="447"/>
      <c r="AZ1023" s="447"/>
      <c r="BA1023" s="448" t="s">
        <v>51</v>
      </c>
      <c r="BB1023" s="448" t="s">
        <v>51</v>
      </c>
      <c r="BC1023" s="447"/>
      <c r="BD1023" s="448" t="s">
        <v>848</v>
      </c>
      <c r="BE1023" s="447">
        <v>381</v>
      </c>
    </row>
    <row r="1024" spans="1:57" ht="30" customHeight="1">
      <c r="A1024" s="494" t="s">
        <v>3338</v>
      </c>
      <c r="B1024" s="494" t="s">
        <v>3347</v>
      </c>
      <c r="C1024" s="495" t="s">
        <v>2568</v>
      </c>
      <c r="D1024" s="1133">
        <v>1</v>
      </c>
      <c r="E1024" s="445">
        <f>'2층전시실산출 '!H421</f>
        <v>1</v>
      </c>
      <c r="F1024" s="1147">
        <v>250000</v>
      </c>
      <c r="G1024" s="1147">
        <v>250000</v>
      </c>
      <c r="H1024" s="450">
        <f>단가대비표!O360</f>
        <v>250000</v>
      </c>
      <c r="I1024" s="450">
        <f t="shared" si="122"/>
        <v>250000</v>
      </c>
      <c r="J1024" s="1147"/>
      <c r="K1024" s="1147">
        <v>0</v>
      </c>
      <c r="L1024" s="450"/>
      <c r="M1024" s="450">
        <f t="shared" si="123"/>
        <v>0</v>
      </c>
      <c r="N1024" s="1147"/>
      <c r="O1024" s="1147">
        <v>0</v>
      </c>
      <c r="P1024" s="450"/>
      <c r="Q1024" s="450">
        <f t="shared" si="126"/>
        <v>0</v>
      </c>
      <c r="R1024" s="1147">
        <v>250000</v>
      </c>
      <c r="S1024" s="1147">
        <v>250000</v>
      </c>
      <c r="T1024" s="450">
        <f t="shared" si="124"/>
        <v>250000</v>
      </c>
      <c r="U1024" s="450">
        <f t="shared" si="125"/>
        <v>250000</v>
      </c>
      <c r="V1024" s="454" t="s">
        <v>51</v>
      </c>
      <c r="W1024" s="448" t="s">
        <v>847</v>
      </c>
      <c r="X1024" s="448" t="s">
        <v>51</v>
      </c>
      <c r="Y1024" s="448" t="s">
        <v>51</v>
      </c>
      <c r="Z1024" s="448" t="s">
        <v>808</v>
      </c>
      <c r="AA1024" s="448" t="s">
        <v>62</v>
      </c>
      <c r="AB1024" s="448" t="s">
        <v>62</v>
      </c>
      <c r="AC1024" s="448" t="s">
        <v>61</v>
      </c>
      <c r="AD1024" s="447"/>
      <c r="AE1024" s="447"/>
      <c r="AF1024" s="447"/>
      <c r="AG1024" s="447"/>
      <c r="AH1024" s="447"/>
      <c r="AI1024" s="447"/>
      <c r="AJ1024" s="447"/>
      <c r="AK1024" s="447"/>
      <c r="AL1024" s="447"/>
      <c r="AM1024" s="447"/>
      <c r="AN1024" s="447"/>
      <c r="AO1024" s="447"/>
      <c r="AP1024" s="447"/>
      <c r="AQ1024" s="447"/>
      <c r="AR1024" s="447"/>
      <c r="AS1024" s="447"/>
      <c r="AT1024" s="447"/>
      <c r="AU1024" s="447"/>
      <c r="AV1024" s="447"/>
      <c r="AW1024" s="447"/>
      <c r="AX1024" s="447"/>
      <c r="AY1024" s="447"/>
      <c r="AZ1024" s="447"/>
      <c r="BA1024" s="448" t="s">
        <v>51</v>
      </c>
      <c r="BB1024" s="448" t="s">
        <v>51</v>
      </c>
      <c r="BC1024" s="447"/>
      <c r="BD1024" s="448" t="s">
        <v>848</v>
      </c>
      <c r="BE1024" s="447">
        <v>381</v>
      </c>
    </row>
    <row r="1025" spans="1:57" ht="30" customHeight="1">
      <c r="A1025" s="494" t="s">
        <v>3338</v>
      </c>
      <c r="B1025" s="494" t="s">
        <v>3348</v>
      </c>
      <c r="C1025" s="495" t="s">
        <v>2568</v>
      </c>
      <c r="D1025" s="1133">
        <v>1</v>
      </c>
      <c r="E1025" s="445">
        <f>'2층전시실산출 '!H422</f>
        <v>1</v>
      </c>
      <c r="F1025" s="1147">
        <v>230000</v>
      </c>
      <c r="G1025" s="1147">
        <v>230000</v>
      </c>
      <c r="H1025" s="450">
        <f>단가대비표!O361</f>
        <v>230000</v>
      </c>
      <c r="I1025" s="450">
        <f t="shared" si="122"/>
        <v>230000</v>
      </c>
      <c r="J1025" s="1147"/>
      <c r="K1025" s="1147">
        <v>0</v>
      </c>
      <c r="L1025" s="450"/>
      <c r="M1025" s="450">
        <f t="shared" si="123"/>
        <v>0</v>
      </c>
      <c r="N1025" s="1147"/>
      <c r="O1025" s="1147">
        <v>0</v>
      </c>
      <c r="P1025" s="450"/>
      <c r="Q1025" s="450">
        <f t="shared" si="126"/>
        <v>0</v>
      </c>
      <c r="R1025" s="1147">
        <v>230000</v>
      </c>
      <c r="S1025" s="1147">
        <v>230000</v>
      </c>
      <c r="T1025" s="450">
        <f t="shared" si="124"/>
        <v>230000</v>
      </c>
      <c r="U1025" s="450">
        <f t="shared" si="125"/>
        <v>230000</v>
      </c>
      <c r="V1025" s="454" t="s">
        <v>51</v>
      </c>
      <c r="W1025" s="448" t="s">
        <v>847</v>
      </c>
      <c r="X1025" s="448" t="s">
        <v>51</v>
      </c>
      <c r="Y1025" s="448" t="s">
        <v>51</v>
      </c>
      <c r="Z1025" s="448" t="s">
        <v>808</v>
      </c>
      <c r="AA1025" s="448" t="s">
        <v>62</v>
      </c>
      <c r="AB1025" s="448" t="s">
        <v>62</v>
      </c>
      <c r="AC1025" s="448" t="s">
        <v>61</v>
      </c>
      <c r="AD1025" s="447"/>
      <c r="AE1025" s="447"/>
      <c r="AF1025" s="447"/>
      <c r="AG1025" s="447"/>
      <c r="AH1025" s="447"/>
      <c r="AI1025" s="447"/>
      <c r="AJ1025" s="447"/>
      <c r="AK1025" s="447"/>
      <c r="AL1025" s="447"/>
      <c r="AM1025" s="447"/>
      <c r="AN1025" s="447"/>
      <c r="AO1025" s="447"/>
      <c r="AP1025" s="447"/>
      <c r="AQ1025" s="447"/>
      <c r="AR1025" s="447"/>
      <c r="AS1025" s="447"/>
      <c r="AT1025" s="447"/>
      <c r="AU1025" s="447"/>
      <c r="AV1025" s="447"/>
      <c r="AW1025" s="447"/>
      <c r="AX1025" s="447"/>
      <c r="AY1025" s="447"/>
      <c r="AZ1025" s="447"/>
      <c r="BA1025" s="448" t="s">
        <v>51</v>
      </c>
      <c r="BB1025" s="448" t="s">
        <v>51</v>
      </c>
      <c r="BC1025" s="447"/>
      <c r="BD1025" s="448" t="s">
        <v>848</v>
      </c>
      <c r="BE1025" s="447">
        <v>381</v>
      </c>
    </row>
    <row r="1026" spans="1:57" ht="30" customHeight="1">
      <c r="A1026" s="494" t="s">
        <v>3338</v>
      </c>
      <c r="B1026" s="494" t="s">
        <v>3349</v>
      </c>
      <c r="C1026" s="495" t="s">
        <v>2568</v>
      </c>
      <c r="D1026" s="1133">
        <v>1</v>
      </c>
      <c r="E1026" s="445">
        <f>'2층전시실산출 '!H423</f>
        <v>1</v>
      </c>
      <c r="F1026" s="1147">
        <v>270000</v>
      </c>
      <c r="G1026" s="1147">
        <v>270000</v>
      </c>
      <c r="H1026" s="450">
        <f>단가대비표!O362</f>
        <v>270000</v>
      </c>
      <c r="I1026" s="450">
        <f t="shared" si="122"/>
        <v>270000</v>
      </c>
      <c r="J1026" s="1147"/>
      <c r="K1026" s="1147">
        <v>0</v>
      </c>
      <c r="L1026" s="450"/>
      <c r="M1026" s="450">
        <f t="shared" si="123"/>
        <v>0</v>
      </c>
      <c r="N1026" s="1147"/>
      <c r="O1026" s="1147">
        <v>0</v>
      </c>
      <c r="P1026" s="450"/>
      <c r="Q1026" s="450">
        <f t="shared" si="126"/>
        <v>0</v>
      </c>
      <c r="R1026" s="1147">
        <v>270000</v>
      </c>
      <c r="S1026" s="1147">
        <v>270000</v>
      </c>
      <c r="T1026" s="450">
        <f t="shared" si="124"/>
        <v>270000</v>
      </c>
      <c r="U1026" s="450">
        <f t="shared" si="125"/>
        <v>270000</v>
      </c>
      <c r="V1026" s="454" t="s">
        <v>51</v>
      </c>
      <c r="W1026" s="448" t="s">
        <v>847</v>
      </c>
      <c r="X1026" s="448" t="s">
        <v>51</v>
      </c>
      <c r="Y1026" s="448" t="s">
        <v>51</v>
      </c>
      <c r="Z1026" s="448" t="s">
        <v>808</v>
      </c>
      <c r="AA1026" s="448" t="s">
        <v>62</v>
      </c>
      <c r="AB1026" s="448" t="s">
        <v>62</v>
      </c>
      <c r="AC1026" s="448" t="s">
        <v>61</v>
      </c>
      <c r="AD1026" s="447"/>
      <c r="AE1026" s="447"/>
      <c r="AF1026" s="447"/>
      <c r="AG1026" s="447"/>
      <c r="AH1026" s="447"/>
      <c r="AI1026" s="447"/>
      <c r="AJ1026" s="447"/>
      <c r="AK1026" s="447"/>
      <c r="AL1026" s="447"/>
      <c r="AM1026" s="447"/>
      <c r="AN1026" s="447"/>
      <c r="AO1026" s="447"/>
      <c r="AP1026" s="447"/>
      <c r="AQ1026" s="447"/>
      <c r="AR1026" s="447"/>
      <c r="AS1026" s="447"/>
      <c r="AT1026" s="447"/>
      <c r="AU1026" s="447"/>
      <c r="AV1026" s="447"/>
      <c r="AW1026" s="447"/>
      <c r="AX1026" s="447"/>
      <c r="AY1026" s="447"/>
      <c r="AZ1026" s="447"/>
      <c r="BA1026" s="448" t="s">
        <v>51</v>
      </c>
      <c r="BB1026" s="448" t="s">
        <v>51</v>
      </c>
      <c r="BC1026" s="447"/>
      <c r="BD1026" s="448" t="s">
        <v>848</v>
      </c>
      <c r="BE1026" s="447">
        <v>381</v>
      </c>
    </row>
    <row r="1027" spans="1:57" ht="30" customHeight="1">
      <c r="A1027" s="494" t="s">
        <v>3338</v>
      </c>
      <c r="B1027" s="494" t="s">
        <v>3350</v>
      </c>
      <c r="C1027" s="495" t="s">
        <v>2568</v>
      </c>
      <c r="D1027" s="1133">
        <v>1</v>
      </c>
      <c r="E1027" s="445">
        <f>'2층전시실산출 '!H424</f>
        <v>1</v>
      </c>
      <c r="F1027" s="1147">
        <v>640000</v>
      </c>
      <c r="G1027" s="1147">
        <v>640000</v>
      </c>
      <c r="H1027" s="450">
        <f>단가대비표!O363</f>
        <v>640000</v>
      </c>
      <c r="I1027" s="450">
        <f t="shared" si="122"/>
        <v>640000</v>
      </c>
      <c r="J1027" s="1147"/>
      <c r="K1027" s="1147">
        <v>0</v>
      </c>
      <c r="L1027" s="450"/>
      <c r="M1027" s="450">
        <f t="shared" si="123"/>
        <v>0</v>
      </c>
      <c r="N1027" s="1147"/>
      <c r="O1027" s="1147">
        <v>0</v>
      </c>
      <c r="P1027" s="450"/>
      <c r="Q1027" s="450">
        <f t="shared" si="126"/>
        <v>0</v>
      </c>
      <c r="R1027" s="1147">
        <v>640000</v>
      </c>
      <c r="S1027" s="1147">
        <v>640000</v>
      </c>
      <c r="T1027" s="450">
        <f t="shared" si="124"/>
        <v>640000</v>
      </c>
      <c r="U1027" s="450">
        <f t="shared" si="125"/>
        <v>640000</v>
      </c>
      <c r="V1027" s="454" t="s">
        <v>51</v>
      </c>
      <c r="W1027" s="448" t="s">
        <v>847</v>
      </c>
      <c r="X1027" s="448" t="s">
        <v>51</v>
      </c>
      <c r="Y1027" s="448" t="s">
        <v>51</v>
      </c>
      <c r="Z1027" s="448" t="s">
        <v>808</v>
      </c>
      <c r="AA1027" s="448" t="s">
        <v>62</v>
      </c>
      <c r="AB1027" s="448" t="s">
        <v>62</v>
      </c>
      <c r="AC1027" s="448" t="s">
        <v>61</v>
      </c>
      <c r="AD1027" s="447"/>
      <c r="AE1027" s="447"/>
      <c r="AF1027" s="447"/>
      <c r="AG1027" s="447"/>
      <c r="AH1027" s="447"/>
      <c r="AI1027" s="447"/>
      <c r="AJ1027" s="447"/>
      <c r="AK1027" s="447"/>
      <c r="AL1027" s="447"/>
      <c r="AM1027" s="447"/>
      <c r="AN1027" s="447"/>
      <c r="AO1027" s="447"/>
      <c r="AP1027" s="447"/>
      <c r="AQ1027" s="447"/>
      <c r="AR1027" s="447"/>
      <c r="AS1027" s="447"/>
      <c r="AT1027" s="447"/>
      <c r="AU1027" s="447"/>
      <c r="AV1027" s="447"/>
      <c r="AW1027" s="447"/>
      <c r="AX1027" s="447"/>
      <c r="AY1027" s="447"/>
      <c r="AZ1027" s="447"/>
      <c r="BA1027" s="448" t="s">
        <v>51</v>
      </c>
      <c r="BB1027" s="448" t="s">
        <v>51</v>
      </c>
      <c r="BC1027" s="447"/>
      <c r="BD1027" s="448" t="s">
        <v>848</v>
      </c>
      <c r="BE1027" s="447">
        <v>381</v>
      </c>
    </row>
    <row r="1028" spans="1:57" ht="30" customHeight="1">
      <c r="A1028" s="494" t="s">
        <v>3338</v>
      </c>
      <c r="B1028" s="494" t="s">
        <v>3351</v>
      </c>
      <c r="C1028" s="495" t="s">
        <v>2568</v>
      </c>
      <c r="D1028" s="1133">
        <v>1</v>
      </c>
      <c r="E1028" s="445">
        <f>'2층전시실산출 '!H425</f>
        <v>1</v>
      </c>
      <c r="F1028" s="1147">
        <v>520000</v>
      </c>
      <c r="G1028" s="1147">
        <v>520000</v>
      </c>
      <c r="H1028" s="450">
        <f>단가대비표!O364</f>
        <v>520000</v>
      </c>
      <c r="I1028" s="450">
        <f t="shared" si="122"/>
        <v>520000</v>
      </c>
      <c r="J1028" s="1147"/>
      <c r="K1028" s="1147">
        <v>0</v>
      </c>
      <c r="L1028" s="450"/>
      <c r="M1028" s="450">
        <f t="shared" si="123"/>
        <v>0</v>
      </c>
      <c r="N1028" s="1147"/>
      <c r="O1028" s="1147">
        <v>0</v>
      </c>
      <c r="P1028" s="450"/>
      <c r="Q1028" s="450">
        <f t="shared" si="126"/>
        <v>0</v>
      </c>
      <c r="R1028" s="1147">
        <v>520000</v>
      </c>
      <c r="S1028" s="1147">
        <v>520000</v>
      </c>
      <c r="T1028" s="450">
        <f t="shared" si="124"/>
        <v>520000</v>
      </c>
      <c r="U1028" s="450">
        <f t="shared" si="125"/>
        <v>520000</v>
      </c>
      <c r="V1028" s="454" t="s">
        <v>51</v>
      </c>
      <c r="W1028" s="448" t="s">
        <v>847</v>
      </c>
      <c r="X1028" s="448" t="s">
        <v>51</v>
      </c>
      <c r="Y1028" s="448" t="s">
        <v>51</v>
      </c>
      <c r="Z1028" s="448" t="s">
        <v>808</v>
      </c>
      <c r="AA1028" s="448" t="s">
        <v>62</v>
      </c>
      <c r="AB1028" s="448" t="s">
        <v>62</v>
      </c>
      <c r="AC1028" s="448" t="s">
        <v>61</v>
      </c>
      <c r="AD1028" s="447"/>
      <c r="AE1028" s="447"/>
      <c r="AF1028" s="447"/>
      <c r="AG1028" s="447"/>
      <c r="AH1028" s="447"/>
      <c r="AI1028" s="447"/>
      <c r="AJ1028" s="447"/>
      <c r="AK1028" s="447"/>
      <c r="AL1028" s="447"/>
      <c r="AM1028" s="447"/>
      <c r="AN1028" s="447"/>
      <c r="AO1028" s="447"/>
      <c r="AP1028" s="447"/>
      <c r="AQ1028" s="447"/>
      <c r="AR1028" s="447"/>
      <c r="AS1028" s="447"/>
      <c r="AT1028" s="447"/>
      <c r="AU1028" s="447"/>
      <c r="AV1028" s="447"/>
      <c r="AW1028" s="447"/>
      <c r="AX1028" s="447"/>
      <c r="AY1028" s="447"/>
      <c r="AZ1028" s="447"/>
      <c r="BA1028" s="448" t="s">
        <v>51</v>
      </c>
      <c r="BB1028" s="448" t="s">
        <v>51</v>
      </c>
      <c r="BC1028" s="447"/>
      <c r="BD1028" s="448" t="s">
        <v>848</v>
      </c>
      <c r="BE1028" s="447">
        <v>381</v>
      </c>
    </row>
    <row r="1029" spans="1:57" ht="30" customHeight="1">
      <c r="A1029" s="494" t="s">
        <v>3338</v>
      </c>
      <c r="B1029" s="494" t="s">
        <v>3352</v>
      </c>
      <c r="C1029" s="495" t="s">
        <v>2568</v>
      </c>
      <c r="D1029" s="1133">
        <v>1</v>
      </c>
      <c r="E1029" s="445">
        <f>'2층전시실산출 '!H426</f>
        <v>1</v>
      </c>
      <c r="F1029" s="1147">
        <v>500000</v>
      </c>
      <c r="G1029" s="1147">
        <v>500000</v>
      </c>
      <c r="H1029" s="450">
        <f>단가대비표!O365</f>
        <v>500000</v>
      </c>
      <c r="I1029" s="450">
        <f t="shared" si="122"/>
        <v>500000</v>
      </c>
      <c r="J1029" s="1147"/>
      <c r="K1029" s="1147">
        <v>0</v>
      </c>
      <c r="L1029" s="450"/>
      <c r="M1029" s="450">
        <f t="shared" si="123"/>
        <v>0</v>
      </c>
      <c r="N1029" s="1147"/>
      <c r="O1029" s="1147">
        <v>0</v>
      </c>
      <c r="P1029" s="450"/>
      <c r="Q1029" s="450">
        <f t="shared" si="126"/>
        <v>0</v>
      </c>
      <c r="R1029" s="1147">
        <v>500000</v>
      </c>
      <c r="S1029" s="1147">
        <v>500000</v>
      </c>
      <c r="T1029" s="450">
        <f t="shared" si="124"/>
        <v>500000</v>
      </c>
      <c r="U1029" s="450">
        <f t="shared" si="125"/>
        <v>500000</v>
      </c>
      <c r="V1029" s="454" t="s">
        <v>51</v>
      </c>
      <c r="W1029" s="448" t="s">
        <v>847</v>
      </c>
      <c r="X1029" s="448" t="s">
        <v>51</v>
      </c>
      <c r="Y1029" s="448" t="s">
        <v>51</v>
      </c>
      <c r="Z1029" s="448" t="s">
        <v>808</v>
      </c>
      <c r="AA1029" s="448" t="s">
        <v>62</v>
      </c>
      <c r="AB1029" s="448" t="s">
        <v>62</v>
      </c>
      <c r="AC1029" s="448" t="s">
        <v>61</v>
      </c>
      <c r="AD1029" s="447"/>
      <c r="AE1029" s="447"/>
      <c r="AF1029" s="447"/>
      <c r="AG1029" s="447"/>
      <c r="AH1029" s="447"/>
      <c r="AI1029" s="447"/>
      <c r="AJ1029" s="447"/>
      <c r="AK1029" s="447"/>
      <c r="AL1029" s="447"/>
      <c r="AM1029" s="447"/>
      <c r="AN1029" s="447"/>
      <c r="AO1029" s="447"/>
      <c r="AP1029" s="447"/>
      <c r="AQ1029" s="447"/>
      <c r="AR1029" s="447"/>
      <c r="AS1029" s="447"/>
      <c r="AT1029" s="447"/>
      <c r="AU1029" s="447"/>
      <c r="AV1029" s="447"/>
      <c r="AW1029" s="447"/>
      <c r="AX1029" s="447"/>
      <c r="AY1029" s="447"/>
      <c r="AZ1029" s="447"/>
      <c r="BA1029" s="448" t="s">
        <v>51</v>
      </c>
      <c r="BB1029" s="448" t="s">
        <v>51</v>
      </c>
      <c r="BC1029" s="447"/>
      <c r="BD1029" s="448" t="s">
        <v>848</v>
      </c>
      <c r="BE1029" s="447">
        <v>381</v>
      </c>
    </row>
    <row r="1030" spans="1:57" ht="30" customHeight="1">
      <c r="A1030" s="494" t="s">
        <v>3338</v>
      </c>
      <c r="B1030" s="494" t="s">
        <v>3353</v>
      </c>
      <c r="C1030" s="495" t="s">
        <v>2568</v>
      </c>
      <c r="D1030" s="1133">
        <v>1</v>
      </c>
      <c r="E1030" s="445">
        <f>'2층전시실산출 '!H427</f>
        <v>1</v>
      </c>
      <c r="F1030" s="1147">
        <v>320000</v>
      </c>
      <c r="G1030" s="1147">
        <v>320000</v>
      </c>
      <c r="H1030" s="450">
        <f>단가대비표!O366</f>
        <v>320000</v>
      </c>
      <c r="I1030" s="450">
        <f t="shared" si="122"/>
        <v>320000</v>
      </c>
      <c r="J1030" s="1147"/>
      <c r="K1030" s="1147">
        <v>0</v>
      </c>
      <c r="L1030" s="450"/>
      <c r="M1030" s="450">
        <f t="shared" si="123"/>
        <v>0</v>
      </c>
      <c r="N1030" s="1147"/>
      <c r="O1030" s="1147">
        <v>0</v>
      </c>
      <c r="P1030" s="450"/>
      <c r="Q1030" s="450">
        <f t="shared" si="126"/>
        <v>0</v>
      </c>
      <c r="R1030" s="1147">
        <v>320000</v>
      </c>
      <c r="S1030" s="1147">
        <v>320000</v>
      </c>
      <c r="T1030" s="450">
        <f t="shared" si="124"/>
        <v>320000</v>
      </c>
      <c r="U1030" s="450">
        <f t="shared" si="125"/>
        <v>320000</v>
      </c>
      <c r="V1030" s="454" t="s">
        <v>51</v>
      </c>
      <c r="W1030" s="448" t="s">
        <v>847</v>
      </c>
      <c r="X1030" s="448" t="s">
        <v>51</v>
      </c>
      <c r="Y1030" s="448" t="s">
        <v>51</v>
      </c>
      <c r="Z1030" s="448" t="s">
        <v>808</v>
      </c>
      <c r="AA1030" s="448" t="s">
        <v>62</v>
      </c>
      <c r="AB1030" s="448" t="s">
        <v>62</v>
      </c>
      <c r="AC1030" s="448" t="s">
        <v>61</v>
      </c>
      <c r="AD1030" s="447"/>
      <c r="AE1030" s="447"/>
      <c r="AF1030" s="447"/>
      <c r="AG1030" s="447"/>
      <c r="AH1030" s="447"/>
      <c r="AI1030" s="447"/>
      <c r="AJ1030" s="447"/>
      <c r="AK1030" s="447"/>
      <c r="AL1030" s="447"/>
      <c r="AM1030" s="447"/>
      <c r="AN1030" s="447"/>
      <c r="AO1030" s="447"/>
      <c r="AP1030" s="447"/>
      <c r="AQ1030" s="447"/>
      <c r="AR1030" s="447"/>
      <c r="AS1030" s="447"/>
      <c r="AT1030" s="447"/>
      <c r="AU1030" s="447"/>
      <c r="AV1030" s="447"/>
      <c r="AW1030" s="447"/>
      <c r="AX1030" s="447"/>
      <c r="AY1030" s="447"/>
      <c r="AZ1030" s="447"/>
      <c r="BA1030" s="448" t="s">
        <v>51</v>
      </c>
      <c r="BB1030" s="448" t="s">
        <v>51</v>
      </c>
      <c r="BC1030" s="447"/>
      <c r="BD1030" s="448" t="s">
        <v>848</v>
      </c>
      <c r="BE1030" s="447">
        <v>381</v>
      </c>
    </row>
    <row r="1031" spans="1:57" ht="30" customHeight="1">
      <c r="A1031" s="494" t="s">
        <v>3338</v>
      </c>
      <c r="B1031" s="494" t="s">
        <v>3354</v>
      </c>
      <c r="C1031" s="495" t="s">
        <v>2568</v>
      </c>
      <c r="D1031" s="1133">
        <v>3</v>
      </c>
      <c r="E1031" s="445">
        <f>'2층전시실산출 '!H428</f>
        <v>3</v>
      </c>
      <c r="F1031" s="1147">
        <v>320000</v>
      </c>
      <c r="G1031" s="1147">
        <v>960000</v>
      </c>
      <c r="H1031" s="450">
        <f>단가대비표!O367</f>
        <v>320000</v>
      </c>
      <c r="I1031" s="450">
        <f t="shared" si="122"/>
        <v>960000</v>
      </c>
      <c r="J1031" s="1147"/>
      <c r="K1031" s="1147">
        <v>0</v>
      </c>
      <c r="L1031" s="450"/>
      <c r="M1031" s="450">
        <f t="shared" si="123"/>
        <v>0</v>
      </c>
      <c r="N1031" s="1147"/>
      <c r="O1031" s="1147">
        <v>0</v>
      </c>
      <c r="P1031" s="450"/>
      <c r="Q1031" s="450">
        <f t="shared" si="126"/>
        <v>0</v>
      </c>
      <c r="R1031" s="1147">
        <v>320000</v>
      </c>
      <c r="S1031" s="1147">
        <v>960000</v>
      </c>
      <c r="T1031" s="450">
        <f t="shared" si="124"/>
        <v>320000</v>
      </c>
      <c r="U1031" s="450">
        <f t="shared" si="125"/>
        <v>960000</v>
      </c>
      <c r="V1031" s="454" t="s">
        <v>51</v>
      </c>
      <c r="W1031" s="448" t="s">
        <v>847</v>
      </c>
      <c r="X1031" s="448" t="s">
        <v>51</v>
      </c>
      <c r="Y1031" s="448" t="s">
        <v>51</v>
      </c>
      <c r="Z1031" s="448" t="s">
        <v>808</v>
      </c>
      <c r="AA1031" s="448" t="s">
        <v>62</v>
      </c>
      <c r="AB1031" s="448" t="s">
        <v>62</v>
      </c>
      <c r="AC1031" s="448" t="s">
        <v>61</v>
      </c>
      <c r="AD1031" s="447"/>
      <c r="AE1031" s="447"/>
      <c r="AF1031" s="447"/>
      <c r="AG1031" s="447"/>
      <c r="AH1031" s="447"/>
      <c r="AI1031" s="447"/>
      <c r="AJ1031" s="447"/>
      <c r="AK1031" s="447"/>
      <c r="AL1031" s="447"/>
      <c r="AM1031" s="447"/>
      <c r="AN1031" s="447"/>
      <c r="AO1031" s="447"/>
      <c r="AP1031" s="447"/>
      <c r="AQ1031" s="447"/>
      <c r="AR1031" s="447"/>
      <c r="AS1031" s="447"/>
      <c r="AT1031" s="447"/>
      <c r="AU1031" s="447"/>
      <c r="AV1031" s="447"/>
      <c r="AW1031" s="447"/>
      <c r="AX1031" s="447"/>
      <c r="AY1031" s="447"/>
      <c r="AZ1031" s="447"/>
      <c r="BA1031" s="448" t="s">
        <v>51</v>
      </c>
      <c r="BB1031" s="448" t="s">
        <v>51</v>
      </c>
      <c r="BC1031" s="447"/>
      <c r="BD1031" s="448" t="s">
        <v>848</v>
      </c>
      <c r="BE1031" s="447">
        <v>381</v>
      </c>
    </row>
    <row r="1032" spans="1:57" ht="30" customHeight="1">
      <c r="A1032" s="494" t="s">
        <v>3338</v>
      </c>
      <c r="B1032" s="494" t="s">
        <v>3355</v>
      </c>
      <c r="C1032" s="495" t="s">
        <v>2568</v>
      </c>
      <c r="D1032" s="1133">
        <v>1</v>
      </c>
      <c r="E1032" s="445">
        <f>'2층전시실산출 '!H429</f>
        <v>1</v>
      </c>
      <c r="F1032" s="1147">
        <v>360000</v>
      </c>
      <c r="G1032" s="1147">
        <v>360000</v>
      </c>
      <c r="H1032" s="450">
        <f>단가대비표!O368</f>
        <v>360000</v>
      </c>
      <c r="I1032" s="450">
        <f t="shared" si="122"/>
        <v>360000</v>
      </c>
      <c r="J1032" s="1147"/>
      <c r="K1032" s="1147">
        <v>0</v>
      </c>
      <c r="L1032" s="450"/>
      <c r="M1032" s="450">
        <f t="shared" si="123"/>
        <v>0</v>
      </c>
      <c r="N1032" s="1147"/>
      <c r="O1032" s="1147">
        <v>0</v>
      </c>
      <c r="P1032" s="450"/>
      <c r="Q1032" s="450">
        <f t="shared" si="126"/>
        <v>0</v>
      </c>
      <c r="R1032" s="1147">
        <v>360000</v>
      </c>
      <c r="S1032" s="1147">
        <v>360000</v>
      </c>
      <c r="T1032" s="450">
        <f t="shared" si="124"/>
        <v>360000</v>
      </c>
      <c r="U1032" s="450">
        <f t="shared" si="125"/>
        <v>360000</v>
      </c>
      <c r="V1032" s="454" t="s">
        <v>51</v>
      </c>
      <c r="W1032" s="448" t="s">
        <v>847</v>
      </c>
      <c r="X1032" s="448" t="s">
        <v>51</v>
      </c>
      <c r="Y1032" s="448" t="s">
        <v>51</v>
      </c>
      <c r="Z1032" s="448" t="s">
        <v>808</v>
      </c>
      <c r="AA1032" s="448" t="s">
        <v>62</v>
      </c>
      <c r="AB1032" s="448" t="s">
        <v>62</v>
      </c>
      <c r="AC1032" s="448" t="s">
        <v>61</v>
      </c>
      <c r="AD1032" s="447"/>
      <c r="AE1032" s="447"/>
      <c r="AF1032" s="447"/>
      <c r="AG1032" s="447"/>
      <c r="AH1032" s="447"/>
      <c r="AI1032" s="447"/>
      <c r="AJ1032" s="447"/>
      <c r="AK1032" s="447"/>
      <c r="AL1032" s="447"/>
      <c r="AM1032" s="447"/>
      <c r="AN1032" s="447"/>
      <c r="AO1032" s="447"/>
      <c r="AP1032" s="447"/>
      <c r="AQ1032" s="447"/>
      <c r="AR1032" s="447"/>
      <c r="AS1032" s="447"/>
      <c r="AT1032" s="447"/>
      <c r="AU1032" s="447"/>
      <c r="AV1032" s="447"/>
      <c r="AW1032" s="447"/>
      <c r="AX1032" s="447"/>
      <c r="AY1032" s="447"/>
      <c r="AZ1032" s="447"/>
      <c r="BA1032" s="448" t="s">
        <v>51</v>
      </c>
      <c r="BB1032" s="448" t="s">
        <v>51</v>
      </c>
      <c r="BC1032" s="447"/>
      <c r="BD1032" s="448" t="s">
        <v>848</v>
      </c>
      <c r="BE1032" s="447">
        <v>381</v>
      </c>
    </row>
    <row r="1033" spans="1:57" ht="30" customHeight="1">
      <c r="A1033" s="494" t="s">
        <v>3338</v>
      </c>
      <c r="B1033" s="494" t="s">
        <v>3356</v>
      </c>
      <c r="C1033" s="495" t="s">
        <v>2568</v>
      </c>
      <c r="D1033" s="1133">
        <v>2</v>
      </c>
      <c r="E1033" s="445">
        <f>'2층전시실산출 '!H430</f>
        <v>2</v>
      </c>
      <c r="F1033" s="1147">
        <v>250000</v>
      </c>
      <c r="G1033" s="1147">
        <v>500000</v>
      </c>
      <c r="H1033" s="450">
        <f>단가대비표!O369</f>
        <v>250000</v>
      </c>
      <c r="I1033" s="450">
        <f t="shared" si="122"/>
        <v>500000</v>
      </c>
      <c r="J1033" s="1147"/>
      <c r="K1033" s="1147">
        <v>0</v>
      </c>
      <c r="L1033" s="450"/>
      <c r="M1033" s="450">
        <f t="shared" si="123"/>
        <v>0</v>
      </c>
      <c r="N1033" s="1147"/>
      <c r="O1033" s="1147">
        <v>0</v>
      </c>
      <c r="P1033" s="450"/>
      <c r="Q1033" s="450">
        <f t="shared" si="126"/>
        <v>0</v>
      </c>
      <c r="R1033" s="1147">
        <v>250000</v>
      </c>
      <c r="S1033" s="1147">
        <v>500000</v>
      </c>
      <c r="T1033" s="450">
        <f t="shared" si="124"/>
        <v>250000</v>
      </c>
      <c r="U1033" s="450">
        <f t="shared" si="125"/>
        <v>500000</v>
      </c>
      <c r="V1033" s="454" t="s">
        <v>51</v>
      </c>
      <c r="W1033" s="448" t="s">
        <v>847</v>
      </c>
      <c r="X1033" s="448" t="s">
        <v>51</v>
      </c>
      <c r="Y1033" s="448" t="s">
        <v>51</v>
      </c>
      <c r="Z1033" s="448" t="s">
        <v>808</v>
      </c>
      <c r="AA1033" s="448" t="s">
        <v>62</v>
      </c>
      <c r="AB1033" s="448" t="s">
        <v>62</v>
      </c>
      <c r="AC1033" s="448" t="s">
        <v>61</v>
      </c>
      <c r="AD1033" s="447"/>
      <c r="AE1033" s="447"/>
      <c r="AF1033" s="447"/>
      <c r="AG1033" s="447"/>
      <c r="AH1033" s="447"/>
      <c r="AI1033" s="447"/>
      <c r="AJ1033" s="447"/>
      <c r="AK1033" s="447"/>
      <c r="AL1033" s="447"/>
      <c r="AM1033" s="447"/>
      <c r="AN1033" s="447"/>
      <c r="AO1033" s="447"/>
      <c r="AP1033" s="447"/>
      <c r="AQ1033" s="447"/>
      <c r="AR1033" s="447"/>
      <c r="AS1033" s="447"/>
      <c r="AT1033" s="447"/>
      <c r="AU1033" s="447"/>
      <c r="AV1033" s="447"/>
      <c r="AW1033" s="447"/>
      <c r="AX1033" s="447"/>
      <c r="AY1033" s="447"/>
      <c r="AZ1033" s="447"/>
      <c r="BA1033" s="448" t="s">
        <v>51</v>
      </c>
      <c r="BB1033" s="448" t="s">
        <v>51</v>
      </c>
      <c r="BC1033" s="447"/>
      <c r="BD1033" s="448" t="s">
        <v>848</v>
      </c>
      <c r="BE1033" s="447">
        <v>381</v>
      </c>
    </row>
    <row r="1034" spans="1:57" ht="30" customHeight="1">
      <c r="A1034" s="494" t="s">
        <v>3338</v>
      </c>
      <c r="B1034" s="494" t="s">
        <v>3357</v>
      </c>
      <c r="C1034" s="495" t="s">
        <v>2568</v>
      </c>
      <c r="D1034" s="1133">
        <v>2</v>
      </c>
      <c r="E1034" s="445">
        <f>'2층전시실산출 '!H431</f>
        <v>2</v>
      </c>
      <c r="F1034" s="1147">
        <v>270000</v>
      </c>
      <c r="G1034" s="1147">
        <v>540000</v>
      </c>
      <c r="H1034" s="450">
        <f>단가대비표!O370</f>
        <v>270000</v>
      </c>
      <c r="I1034" s="450">
        <f t="shared" si="122"/>
        <v>540000</v>
      </c>
      <c r="J1034" s="1147"/>
      <c r="K1034" s="1147">
        <v>0</v>
      </c>
      <c r="L1034" s="450"/>
      <c r="M1034" s="450">
        <f t="shared" si="123"/>
        <v>0</v>
      </c>
      <c r="N1034" s="1147"/>
      <c r="O1034" s="1147">
        <v>0</v>
      </c>
      <c r="P1034" s="450"/>
      <c r="Q1034" s="450">
        <f t="shared" si="126"/>
        <v>0</v>
      </c>
      <c r="R1034" s="1147">
        <v>270000</v>
      </c>
      <c r="S1034" s="1147">
        <v>540000</v>
      </c>
      <c r="T1034" s="450">
        <f t="shared" si="124"/>
        <v>270000</v>
      </c>
      <c r="U1034" s="450">
        <f t="shared" si="125"/>
        <v>540000</v>
      </c>
      <c r="V1034" s="454" t="s">
        <v>51</v>
      </c>
      <c r="W1034" s="448" t="s">
        <v>847</v>
      </c>
      <c r="X1034" s="448" t="s">
        <v>51</v>
      </c>
      <c r="Y1034" s="448" t="s">
        <v>51</v>
      </c>
      <c r="Z1034" s="448" t="s">
        <v>808</v>
      </c>
      <c r="AA1034" s="448" t="s">
        <v>62</v>
      </c>
      <c r="AB1034" s="448" t="s">
        <v>62</v>
      </c>
      <c r="AC1034" s="448" t="s">
        <v>61</v>
      </c>
      <c r="AD1034" s="447"/>
      <c r="AE1034" s="447"/>
      <c r="AF1034" s="447"/>
      <c r="AG1034" s="447"/>
      <c r="AH1034" s="447"/>
      <c r="AI1034" s="447"/>
      <c r="AJ1034" s="447"/>
      <c r="AK1034" s="447"/>
      <c r="AL1034" s="447"/>
      <c r="AM1034" s="447"/>
      <c r="AN1034" s="447"/>
      <c r="AO1034" s="447"/>
      <c r="AP1034" s="447"/>
      <c r="AQ1034" s="447"/>
      <c r="AR1034" s="447"/>
      <c r="AS1034" s="447"/>
      <c r="AT1034" s="447"/>
      <c r="AU1034" s="447"/>
      <c r="AV1034" s="447"/>
      <c r="AW1034" s="447"/>
      <c r="AX1034" s="447"/>
      <c r="AY1034" s="447"/>
      <c r="AZ1034" s="447"/>
      <c r="BA1034" s="448" t="s">
        <v>51</v>
      </c>
      <c r="BB1034" s="448" t="s">
        <v>51</v>
      </c>
      <c r="BC1034" s="447"/>
      <c r="BD1034" s="448" t="s">
        <v>848</v>
      </c>
      <c r="BE1034" s="447">
        <v>381</v>
      </c>
    </row>
    <row r="1035" spans="1:57" ht="30" customHeight="1">
      <c r="A1035" s="494" t="s">
        <v>3338</v>
      </c>
      <c r="B1035" s="494" t="s">
        <v>3358</v>
      </c>
      <c r="C1035" s="495" t="s">
        <v>2568</v>
      </c>
      <c r="D1035" s="1133">
        <v>1</v>
      </c>
      <c r="E1035" s="445">
        <f>'2층전시실산출 '!H432</f>
        <v>1</v>
      </c>
      <c r="F1035" s="1147">
        <v>280000</v>
      </c>
      <c r="G1035" s="1147">
        <v>280000</v>
      </c>
      <c r="H1035" s="450">
        <f>단가대비표!O371</f>
        <v>280000</v>
      </c>
      <c r="I1035" s="450">
        <f t="shared" si="122"/>
        <v>280000</v>
      </c>
      <c r="J1035" s="1147"/>
      <c r="K1035" s="1147">
        <v>0</v>
      </c>
      <c r="L1035" s="450"/>
      <c r="M1035" s="450">
        <f t="shared" si="123"/>
        <v>0</v>
      </c>
      <c r="N1035" s="1147"/>
      <c r="O1035" s="1147">
        <v>0</v>
      </c>
      <c r="P1035" s="450"/>
      <c r="Q1035" s="450">
        <f t="shared" si="126"/>
        <v>0</v>
      </c>
      <c r="R1035" s="1147">
        <v>280000</v>
      </c>
      <c r="S1035" s="1147">
        <v>280000</v>
      </c>
      <c r="T1035" s="450">
        <f t="shared" si="124"/>
        <v>280000</v>
      </c>
      <c r="U1035" s="450">
        <f t="shared" si="125"/>
        <v>280000</v>
      </c>
      <c r="V1035" s="454" t="s">
        <v>51</v>
      </c>
      <c r="W1035" s="448" t="s">
        <v>847</v>
      </c>
      <c r="X1035" s="448" t="s">
        <v>51</v>
      </c>
      <c r="Y1035" s="448" t="s">
        <v>51</v>
      </c>
      <c r="Z1035" s="448" t="s">
        <v>808</v>
      </c>
      <c r="AA1035" s="448" t="s">
        <v>62</v>
      </c>
      <c r="AB1035" s="448" t="s">
        <v>62</v>
      </c>
      <c r="AC1035" s="448" t="s">
        <v>61</v>
      </c>
      <c r="AD1035" s="447"/>
      <c r="AE1035" s="447"/>
      <c r="AF1035" s="447"/>
      <c r="AG1035" s="447"/>
      <c r="AH1035" s="447"/>
      <c r="AI1035" s="447"/>
      <c r="AJ1035" s="447"/>
      <c r="AK1035" s="447"/>
      <c r="AL1035" s="447"/>
      <c r="AM1035" s="447"/>
      <c r="AN1035" s="447"/>
      <c r="AO1035" s="447"/>
      <c r="AP1035" s="447"/>
      <c r="AQ1035" s="447"/>
      <c r="AR1035" s="447"/>
      <c r="AS1035" s="447"/>
      <c r="AT1035" s="447"/>
      <c r="AU1035" s="447"/>
      <c r="AV1035" s="447"/>
      <c r="AW1035" s="447"/>
      <c r="AX1035" s="447"/>
      <c r="AY1035" s="447"/>
      <c r="AZ1035" s="447"/>
      <c r="BA1035" s="448" t="s">
        <v>51</v>
      </c>
      <c r="BB1035" s="448" t="s">
        <v>51</v>
      </c>
      <c r="BC1035" s="447"/>
      <c r="BD1035" s="448" t="s">
        <v>848</v>
      </c>
      <c r="BE1035" s="447">
        <v>381</v>
      </c>
    </row>
    <row r="1036" spans="1:57" ht="30" customHeight="1">
      <c r="A1036" s="494" t="s">
        <v>3338</v>
      </c>
      <c r="B1036" s="494" t="s">
        <v>3359</v>
      </c>
      <c r="C1036" s="495" t="s">
        <v>2568</v>
      </c>
      <c r="D1036" s="1133">
        <v>1</v>
      </c>
      <c r="E1036" s="445">
        <f>'2층전시실산출 '!H433</f>
        <v>1</v>
      </c>
      <c r="F1036" s="1147">
        <v>250000</v>
      </c>
      <c r="G1036" s="1147">
        <v>250000</v>
      </c>
      <c r="H1036" s="450">
        <f>단가대비표!O372</f>
        <v>250000</v>
      </c>
      <c r="I1036" s="450">
        <f t="shared" si="122"/>
        <v>250000</v>
      </c>
      <c r="J1036" s="1147"/>
      <c r="K1036" s="1147">
        <v>0</v>
      </c>
      <c r="L1036" s="450"/>
      <c r="M1036" s="450">
        <f t="shared" si="123"/>
        <v>0</v>
      </c>
      <c r="N1036" s="1147"/>
      <c r="O1036" s="1147">
        <v>0</v>
      </c>
      <c r="P1036" s="450"/>
      <c r="Q1036" s="450">
        <f t="shared" si="126"/>
        <v>0</v>
      </c>
      <c r="R1036" s="1147">
        <v>250000</v>
      </c>
      <c r="S1036" s="1147">
        <v>250000</v>
      </c>
      <c r="T1036" s="450">
        <f t="shared" si="124"/>
        <v>250000</v>
      </c>
      <c r="U1036" s="450">
        <f t="shared" si="125"/>
        <v>250000</v>
      </c>
      <c r="V1036" s="454" t="s">
        <v>51</v>
      </c>
      <c r="W1036" s="448" t="s">
        <v>847</v>
      </c>
      <c r="X1036" s="448" t="s">
        <v>51</v>
      </c>
      <c r="Y1036" s="448" t="s">
        <v>51</v>
      </c>
      <c r="Z1036" s="448" t="s">
        <v>808</v>
      </c>
      <c r="AA1036" s="448" t="s">
        <v>62</v>
      </c>
      <c r="AB1036" s="448" t="s">
        <v>62</v>
      </c>
      <c r="AC1036" s="448" t="s">
        <v>61</v>
      </c>
      <c r="AD1036" s="447"/>
      <c r="AE1036" s="447"/>
      <c r="AF1036" s="447"/>
      <c r="AG1036" s="447"/>
      <c r="AH1036" s="447"/>
      <c r="AI1036" s="447"/>
      <c r="AJ1036" s="447"/>
      <c r="AK1036" s="447"/>
      <c r="AL1036" s="447"/>
      <c r="AM1036" s="447"/>
      <c r="AN1036" s="447"/>
      <c r="AO1036" s="447"/>
      <c r="AP1036" s="447"/>
      <c r="AQ1036" s="447"/>
      <c r="AR1036" s="447"/>
      <c r="AS1036" s="447"/>
      <c r="AT1036" s="447"/>
      <c r="AU1036" s="447"/>
      <c r="AV1036" s="447"/>
      <c r="AW1036" s="447"/>
      <c r="AX1036" s="447"/>
      <c r="AY1036" s="447"/>
      <c r="AZ1036" s="447"/>
      <c r="BA1036" s="448" t="s">
        <v>51</v>
      </c>
      <c r="BB1036" s="448" t="s">
        <v>51</v>
      </c>
      <c r="BC1036" s="447"/>
      <c r="BD1036" s="448" t="s">
        <v>848</v>
      </c>
      <c r="BE1036" s="447">
        <v>381</v>
      </c>
    </row>
    <row r="1037" spans="1:57" ht="30" customHeight="1">
      <c r="A1037" s="494" t="s">
        <v>3338</v>
      </c>
      <c r="B1037" s="494" t="s">
        <v>3360</v>
      </c>
      <c r="C1037" s="495" t="s">
        <v>2568</v>
      </c>
      <c r="D1037" s="1133">
        <v>1</v>
      </c>
      <c r="E1037" s="445">
        <f>'2층전시실산출 '!H434</f>
        <v>1</v>
      </c>
      <c r="F1037" s="1147">
        <v>230000</v>
      </c>
      <c r="G1037" s="1147">
        <v>230000</v>
      </c>
      <c r="H1037" s="450">
        <f>단가대비표!O373</f>
        <v>230000</v>
      </c>
      <c r="I1037" s="450">
        <f t="shared" si="122"/>
        <v>230000</v>
      </c>
      <c r="J1037" s="1147"/>
      <c r="K1037" s="1147">
        <v>0</v>
      </c>
      <c r="L1037" s="450"/>
      <c r="M1037" s="450">
        <f t="shared" si="123"/>
        <v>0</v>
      </c>
      <c r="N1037" s="1147"/>
      <c r="O1037" s="1147">
        <v>0</v>
      </c>
      <c r="P1037" s="450"/>
      <c r="Q1037" s="450">
        <f t="shared" si="126"/>
        <v>0</v>
      </c>
      <c r="R1037" s="1147">
        <v>230000</v>
      </c>
      <c r="S1037" s="1147">
        <v>230000</v>
      </c>
      <c r="T1037" s="450">
        <f t="shared" si="124"/>
        <v>230000</v>
      </c>
      <c r="U1037" s="450">
        <f t="shared" si="125"/>
        <v>230000</v>
      </c>
      <c r="V1037" s="454" t="s">
        <v>51</v>
      </c>
      <c r="W1037" s="448" t="s">
        <v>847</v>
      </c>
      <c r="X1037" s="448" t="s">
        <v>51</v>
      </c>
      <c r="Y1037" s="448" t="s">
        <v>51</v>
      </c>
      <c r="Z1037" s="448" t="s">
        <v>808</v>
      </c>
      <c r="AA1037" s="448" t="s">
        <v>62</v>
      </c>
      <c r="AB1037" s="448" t="s">
        <v>62</v>
      </c>
      <c r="AC1037" s="448" t="s">
        <v>61</v>
      </c>
      <c r="AD1037" s="447"/>
      <c r="AE1037" s="447"/>
      <c r="AF1037" s="447"/>
      <c r="AG1037" s="447"/>
      <c r="AH1037" s="447"/>
      <c r="AI1037" s="447"/>
      <c r="AJ1037" s="447"/>
      <c r="AK1037" s="447"/>
      <c r="AL1037" s="447"/>
      <c r="AM1037" s="447"/>
      <c r="AN1037" s="447"/>
      <c r="AO1037" s="447"/>
      <c r="AP1037" s="447"/>
      <c r="AQ1037" s="447"/>
      <c r="AR1037" s="447"/>
      <c r="AS1037" s="447"/>
      <c r="AT1037" s="447"/>
      <c r="AU1037" s="447"/>
      <c r="AV1037" s="447"/>
      <c r="AW1037" s="447"/>
      <c r="AX1037" s="447"/>
      <c r="AY1037" s="447"/>
      <c r="AZ1037" s="447"/>
      <c r="BA1037" s="448" t="s">
        <v>51</v>
      </c>
      <c r="BB1037" s="448" t="s">
        <v>51</v>
      </c>
      <c r="BC1037" s="447"/>
      <c r="BD1037" s="448" t="s">
        <v>848</v>
      </c>
      <c r="BE1037" s="447">
        <v>381</v>
      </c>
    </row>
    <row r="1038" spans="1:57" ht="30" customHeight="1">
      <c r="A1038" s="494" t="s">
        <v>3338</v>
      </c>
      <c r="B1038" s="494" t="s">
        <v>3361</v>
      </c>
      <c r="C1038" s="495" t="s">
        <v>2568</v>
      </c>
      <c r="D1038" s="1133">
        <v>1</v>
      </c>
      <c r="E1038" s="445">
        <f>'2층전시실산출 '!H435</f>
        <v>1</v>
      </c>
      <c r="F1038" s="1147">
        <v>250000</v>
      </c>
      <c r="G1038" s="1147">
        <v>250000</v>
      </c>
      <c r="H1038" s="450">
        <f>단가대비표!O374</f>
        <v>250000</v>
      </c>
      <c r="I1038" s="450">
        <f t="shared" si="122"/>
        <v>250000</v>
      </c>
      <c r="J1038" s="1147"/>
      <c r="K1038" s="1147">
        <v>0</v>
      </c>
      <c r="L1038" s="450"/>
      <c r="M1038" s="450">
        <f t="shared" si="123"/>
        <v>0</v>
      </c>
      <c r="N1038" s="1147"/>
      <c r="O1038" s="1147">
        <v>0</v>
      </c>
      <c r="P1038" s="450"/>
      <c r="Q1038" s="450">
        <f t="shared" si="126"/>
        <v>0</v>
      </c>
      <c r="R1038" s="1147">
        <v>250000</v>
      </c>
      <c r="S1038" s="1147">
        <v>250000</v>
      </c>
      <c r="T1038" s="450">
        <f t="shared" si="124"/>
        <v>250000</v>
      </c>
      <c r="U1038" s="450">
        <f t="shared" si="125"/>
        <v>250000</v>
      </c>
      <c r="V1038" s="454" t="s">
        <v>51</v>
      </c>
      <c r="W1038" s="448" t="s">
        <v>847</v>
      </c>
      <c r="X1038" s="448" t="s">
        <v>51</v>
      </c>
      <c r="Y1038" s="448" t="s">
        <v>51</v>
      </c>
      <c r="Z1038" s="448" t="s">
        <v>808</v>
      </c>
      <c r="AA1038" s="448" t="s">
        <v>62</v>
      </c>
      <c r="AB1038" s="448" t="s">
        <v>62</v>
      </c>
      <c r="AC1038" s="448" t="s">
        <v>61</v>
      </c>
      <c r="AD1038" s="447"/>
      <c r="AE1038" s="447"/>
      <c r="AF1038" s="447"/>
      <c r="AG1038" s="447"/>
      <c r="AH1038" s="447"/>
      <c r="AI1038" s="447"/>
      <c r="AJ1038" s="447"/>
      <c r="AK1038" s="447"/>
      <c r="AL1038" s="447"/>
      <c r="AM1038" s="447"/>
      <c r="AN1038" s="447"/>
      <c r="AO1038" s="447"/>
      <c r="AP1038" s="447"/>
      <c r="AQ1038" s="447"/>
      <c r="AR1038" s="447"/>
      <c r="AS1038" s="447"/>
      <c r="AT1038" s="447"/>
      <c r="AU1038" s="447"/>
      <c r="AV1038" s="447"/>
      <c r="AW1038" s="447"/>
      <c r="AX1038" s="447"/>
      <c r="AY1038" s="447"/>
      <c r="AZ1038" s="447"/>
      <c r="BA1038" s="448" t="s">
        <v>51</v>
      </c>
      <c r="BB1038" s="448" t="s">
        <v>51</v>
      </c>
      <c r="BC1038" s="447"/>
      <c r="BD1038" s="448" t="s">
        <v>848</v>
      </c>
      <c r="BE1038" s="447">
        <v>381</v>
      </c>
    </row>
    <row r="1039" spans="1:57" ht="30" customHeight="1">
      <c r="A1039" s="494" t="s">
        <v>3338</v>
      </c>
      <c r="B1039" s="494" t="s">
        <v>3362</v>
      </c>
      <c r="C1039" s="495" t="s">
        <v>2568</v>
      </c>
      <c r="D1039" s="1133">
        <v>1</v>
      </c>
      <c r="E1039" s="445">
        <f>'2층전시실산출 '!H436</f>
        <v>1</v>
      </c>
      <c r="F1039" s="1147">
        <v>250000</v>
      </c>
      <c r="G1039" s="1147">
        <v>250000</v>
      </c>
      <c r="H1039" s="450">
        <f>단가대비표!O375</f>
        <v>250000</v>
      </c>
      <c r="I1039" s="450">
        <f t="shared" si="122"/>
        <v>250000</v>
      </c>
      <c r="J1039" s="1147"/>
      <c r="K1039" s="1147">
        <v>0</v>
      </c>
      <c r="L1039" s="450"/>
      <c r="M1039" s="450">
        <f t="shared" si="123"/>
        <v>0</v>
      </c>
      <c r="N1039" s="1147"/>
      <c r="O1039" s="1147">
        <v>0</v>
      </c>
      <c r="P1039" s="450"/>
      <c r="Q1039" s="450">
        <f t="shared" si="126"/>
        <v>0</v>
      </c>
      <c r="R1039" s="1147">
        <v>250000</v>
      </c>
      <c r="S1039" s="1147">
        <v>250000</v>
      </c>
      <c r="T1039" s="450">
        <f t="shared" si="124"/>
        <v>250000</v>
      </c>
      <c r="U1039" s="450">
        <f t="shared" si="125"/>
        <v>250000</v>
      </c>
      <c r="V1039" s="454" t="s">
        <v>51</v>
      </c>
      <c r="W1039" s="448" t="s">
        <v>847</v>
      </c>
      <c r="X1039" s="448" t="s">
        <v>51</v>
      </c>
      <c r="Y1039" s="448" t="s">
        <v>51</v>
      </c>
      <c r="Z1039" s="448" t="s">
        <v>808</v>
      </c>
      <c r="AA1039" s="448" t="s">
        <v>62</v>
      </c>
      <c r="AB1039" s="448" t="s">
        <v>62</v>
      </c>
      <c r="AC1039" s="448" t="s">
        <v>61</v>
      </c>
      <c r="AD1039" s="447"/>
      <c r="AE1039" s="447"/>
      <c r="AF1039" s="447"/>
      <c r="AG1039" s="447"/>
      <c r="AH1039" s="447"/>
      <c r="AI1039" s="447"/>
      <c r="AJ1039" s="447"/>
      <c r="AK1039" s="447"/>
      <c r="AL1039" s="447"/>
      <c r="AM1039" s="447"/>
      <c r="AN1039" s="447"/>
      <c r="AO1039" s="447"/>
      <c r="AP1039" s="447"/>
      <c r="AQ1039" s="447"/>
      <c r="AR1039" s="447"/>
      <c r="AS1039" s="447"/>
      <c r="AT1039" s="447"/>
      <c r="AU1039" s="447"/>
      <c r="AV1039" s="447"/>
      <c r="AW1039" s="447"/>
      <c r="AX1039" s="447"/>
      <c r="AY1039" s="447"/>
      <c r="AZ1039" s="447"/>
      <c r="BA1039" s="448" t="s">
        <v>51</v>
      </c>
      <c r="BB1039" s="448" t="s">
        <v>51</v>
      </c>
      <c r="BC1039" s="447"/>
      <c r="BD1039" s="448" t="s">
        <v>848</v>
      </c>
      <c r="BE1039" s="447">
        <v>381</v>
      </c>
    </row>
    <row r="1040" spans="1:57" ht="30" customHeight="1">
      <c r="A1040" s="494" t="s">
        <v>3338</v>
      </c>
      <c r="B1040" s="494" t="s">
        <v>3363</v>
      </c>
      <c r="C1040" s="495" t="s">
        <v>2568</v>
      </c>
      <c r="D1040" s="1133">
        <v>1</v>
      </c>
      <c r="E1040" s="445">
        <f>'2층전시실산출 '!H437</f>
        <v>1</v>
      </c>
      <c r="F1040" s="1147">
        <v>280000</v>
      </c>
      <c r="G1040" s="1147">
        <v>280000</v>
      </c>
      <c r="H1040" s="450">
        <f>단가대비표!O376</f>
        <v>280000</v>
      </c>
      <c r="I1040" s="450">
        <f t="shared" si="122"/>
        <v>280000</v>
      </c>
      <c r="J1040" s="1147"/>
      <c r="K1040" s="1147">
        <v>0</v>
      </c>
      <c r="L1040" s="450"/>
      <c r="M1040" s="450">
        <f t="shared" si="123"/>
        <v>0</v>
      </c>
      <c r="N1040" s="1147"/>
      <c r="O1040" s="1147">
        <v>0</v>
      </c>
      <c r="P1040" s="450"/>
      <c r="Q1040" s="450">
        <f t="shared" si="126"/>
        <v>0</v>
      </c>
      <c r="R1040" s="1147">
        <v>280000</v>
      </c>
      <c r="S1040" s="1147">
        <v>280000</v>
      </c>
      <c r="T1040" s="450">
        <f t="shared" si="124"/>
        <v>280000</v>
      </c>
      <c r="U1040" s="450">
        <f t="shared" si="125"/>
        <v>280000</v>
      </c>
      <c r="V1040" s="454" t="s">
        <v>51</v>
      </c>
      <c r="W1040" s="448" t="s">
        <v>847</v>
      </c>
      <c r="X1040" s="448" t="s">
        <v>51</v>
      </c>
      <c r="Y1040" s="448" t="s">
        <v>51</v>
      </c>
      <c r="Z1040" s="448" t="s">
        <v>808</v>
      </c>
      <c r="AA1040" s="448" t="s">
        <v>62</v>
      </c>
      <c r="AB1040" s="448" t="s">
        <v>62</v>
      </c>
      <c r="AC1040" s="448" t="s">
        <v>61</v>
      </c>
      <c r="AD1040" s="447"/>
      <c r="AE1040" s="447"/>
      <c r="AF1040" s="447"/>
      <c r="AG1040" s="447"/>
      <c r="AH1040" s="447"/>
      <c r="AI1040" s="447"/>
      <c r="AJ1040" s="447"/>
      <c r="AK1040" s="447"/>
      <c r="AL1040" s="447"/>
      <c r="AM1040" s="447"/>
      <c r="AN1040" s="447"/>
      <c r="AO1040" s="447"/>
      <c r="AP1040" s="447"/>
      <c r="AQ1040" s="447"/>
      <c r="AR1040" s="447"/>
      <c r="AS1040" s="447"/>
      <c r="AT1040" s="447"/>
      <c r="AU1040" s="447"/>
      <c r="AV1040" s="447"/>
      <c r="AW1040" s="447"/>
      <c r="AX1040" s="447"/>
      <c r="AY1040" s="447"/>
      <c r="AZ1040" s="447"/>
      <c r="BA1040" s="448" t="s">
        <v>51</v>
      </c>
      <c r="BB1040" s="448" t="s">
        <v>51</v>
      </c>
      <c r="BC1040" s="447"/>
      <c r="BD1040" s="448" t="s">
        <v>848</v>
      </c>
      <c r="BE1040" s="447">
        <v>381</v>
      </c>
    </row>
    <row r="1041" spans="1:57" ht="30" customHeight="1">
      <c r="A1041" s="494" t="s">
        <v>3211</v>
      </c>
      <c r="B1041" s="494" t="s">
        <v>3364</v>
      </c>
      <c r="C1041" s="495" t="s">
        <v>2568</v>
      </c>
      <c r="D1041" s="1133">
        <v>1</v>
      </c>
      <c r="E1041" s="445">
        <f>'2층전시실산출 '!H438</f>
        <v>1</v>
      </c>
      <c r="F1041" s="1147">
        <v>230000</v>
      </c>
      <c r="G1041" s="1147">
        <v>230000</v>
      </c>
      <c r="H1041" s="450">
        <f>단가대비표!O377</f>
        <v>230000</v>
      </c>
      <c r="I1041" s="450">
        <f t="shared" si="122"/>
        <v>230000</v>
      </c>
      <c r="J1041" s="1147"/>
      <c r="K1041" s="1147">
        <v>0</v>
      </c>
      <c r="L1041" s="450"/>
      <c r="M1041" s="450">
        <f t="shared" si="123"/>
        <v>0</v>
      </c>
      <c r="N1041" s="1147"/>
      <c r="O1041" s="1147">
        <v>0</v>
      </c>
      <c r="P1041" s="450"/>
      <c r="Q1041" s="450">
        <f t="shared" si="126"/>
        <v>0</v>
      </c>
      <c r="R1041" s="1147">
        <v>230000</v>
      </c>
      <c r="S1041" s="1147">
        <v>230000</v>
      </c>
      <c r="T1041" s="450">
        <f t="shared" si="124"/>
        <v>230000</v>
      </c>
      <c r="U1041" s="450">
        <f t="shared" si="125"/>
        <v>230000</v>
      </c>
      <c r="V1041" s="454" t="s">
        <v>51</v>
      </c>
      <c r="W1041" s="448" t="s">
        <v>847</v>
      </c>
      <c r="X1041" s="448" t="s">
        <v>51</v>
      </c>
      <c r="Y1041" s="448" t="s">
        <v>51</v>
      </c>
      <c r="Z1041" s="448" t="s">
        <v>808</v>
      </c>
      <c r="AA1041" s="448" t="s">
        <v>62</v>
      </c>
      <c r="AB1041" s="448" t="s">
        <v>62</v>
      </c>
      <c r="AC1041" s="448" t="s">
        <v>61</v>
      </c>
      <c r="AD1041" s="447"/>
      <c r="AE1041" s="447"/>
      <c r="AF1041" s="447"/>
      <c r="AG1041" s="447"/>
      <c r="AH1041" s="447"/>
      <c r="AI1041" s="447"/>
      <c r="AJ1041" s="447"/>
      <c r="AK1041" s="447"/>
      <c r="AL1041" s="447"/>
      <c r="AM1041" s="447"/>
      <c r="AN1041" s="447"/>
      <c r="AO1041" s="447"/>
      <c r="AP1041" s="447"/>
      <c r="AQ1041" s="447"/>
      <c r="AR1041" s="447"/>
      <c r="AS1041" s="447"/>
      <c r="AT1041" s="447"/>
      <c r="AU1041" s="447"/>
      <c r="AV1041" s="447"/>
      <c r="AW1041" s="447"/>
      <c r="AX1041" s="447"/>
      <c r="AY1041" s="447"/>
      <c r="AZ1041" s="447"/>
      <c r="BA1041" s="448" t="s">
        <v>51</v>
      </c>
      <c r="BB1041" s="448" t="s">
        <v>51</v>
      </c>
      <c r="BC1041" s="447"/>
      <c r="BD1041" s="448" t="s">
        <v>848</v>
      </c>
      <c r="BE1041" s="447">
        <v>381</v>
      </c>
    </row>
    <row r="1042" spans="1:57" ht="30" customHeight="1">
      <c r="A1042" s="494" t="s">
        <v>3365</v>
      </c>
      <c r="B1042" s="494" t="s">
        <v>3366</v>
      </c>
      <c r="C1042" s="495" t="s">
        <v>2568</v>
      </c>
      <c r="D1042" s="1133">
        <v>1</v>
      </c>
      <c r="E1042" s="445">
        <f>'2층전시실산출 '!H439</f>
        <v>1</v>
      </c>
      <c r="F1042" s="1147">
        <v>70000</v>
      </c>
      <c r="G1042" s="1147">
        <v>70000</v>
      </c>
      <c r="H1042" s="450">
        <f>단가대비표!O378</f>
        <v>70000</v>
      </c>
      <c r="I1042" s="450">
        <f t="shared" si="122"/>
        <v>70000</v>
      </c>
      <c r="J1042" s="1147"/>
      <c r="K1042" s="1147">
        <v>0</v>
      </c>
      <c r="L1042" s="450"/>
      <c r="M1042" s="450">
        <f t="shared" si="123"/>
        <v>0</v>
      </c>
      <c r="N1042" s="1147"/>
      <c r="O1042" s="1147">
        <v>0</v>
      </c>
      <c r="P1042" s="450"/>
      <c r="Q1042" s="450">
        <f t="shared" si="126"/>
        <v>0</v>
      </c>
      <c r="R1042" s="1147">
        <v>70000</v>
      </c>
      <c r="S1042" s="1147">
        <v>70000</v>
      </c>
      <c r="T1042" s="450">
        <f t="shared" si="124"/>
        <v>70000</v>
      </c>
      <c r="U1042" s="450">
        <f t="shared" si="125"/>
        <v>70000</v>
      </c>
      <c r="V1042" s="454" t="s">
        <v>51</v>
      </c>
      <c r="W1042" s="448" t="s">
        <v>847</v>
      </c>
      <c r="X1042" s="448" t="s">
        <v>51</v>
      </c>
      <c r="Y1042" s="448" t="s">
        <v>51</v>
      </c>
      <c r="Z1042" s="448" t="s">
        <v>808</v>
      </c>
      <c r="AA1042" s="448" t="s">
        <v>62</v>
      </c>
      <c r="AB1042" s="448" t="s">
        <v>62</v>
      </c>
      <c r="AC1042" s="448" t="s">
        <v>61</v>
      </c>
      <c r="AD1042" s="447"/>
      <c r="AE1042" s="447"/>
      <c r="AF1042" s="447"/>
      <c r="AG1042" s="447"/>
      <c r="AH1042" s="447"/>
      <c r="AI1042" s="447"/>
      <c r="AJ1042" s="447"/>
      <c r="AK1042" s="447"/>
      <c r="AL1042" s="447"/>
      <c r="AM1042" s="447"/>
      <c r="AN1042" s="447"/>
      <c r="AO1042" s="447"/>
      <c r="AP1042" s="447"/>
      <c r="AQ1042" s="447"/>
      <c r="AR1042" s="447"/>
      <c r="AS1042" s="447"/>
      <c r="AT1042" s="447"/>
      <c r="AU1042" s="447"/>
      <c r="AV1042" s="447"/>
      <c r="AW1042" s="447"/>
      <c r="AX1042" s="447"/>
      <c r="AY1042" s="447"/>
      <c r="AZ1042" s="447"/>
      <c r="BA1042" s="448" t="s">
        <v>51</v>
      </c>
      <c r="BB1042" s="448" t="s">
        <v>51</v>
      </c>
      <c r="BC1042" s="447"/>
      <c r="BD1042" s="448" t="s">
        <v>848</v>
      </c>
      <c r="BE1042" s="447">
        <v>381</v>
      </c>
    </row>
    <row r="1043" spans="1:57" ht="30" customHeight="1">
      <c r="A1043" s="494" t="s">
        <v>3365</v>
      </c>
      <c r="B1043" s="494" t="s">
        <v>3367</v>
      </c>
      <c r="C1043" s="495" t="s">
        <v>2568</v>
      </c>
      <c r="D1043" s="1133">
        <v>1</v>
      </c>
      <c r="E1043" s="445">
        <f>'2층전시실산출 '!H440</f>
        <v>1</v>
      </c>
      <c r="F1043" s="1147">
        <v>20000</v>
      </c>
      <c r="G1043" s="1147">
        <v>20000</v>
      </c>
      <c r="H1043" s="450">
        <f>단가대비표!O379</f>
        <v>20000</v>
      </c>
      <c r="I1043" s="450">
        <f t="shared" si="122"/>
        <v>20000</v>
      </c>
      <c r="J1043" s="1147"/>
      <c r="K1043" s="1147">
        <v>0</v>
      </c>
      <c r="L1043" s="450"/>
      <c r="M1043" s="450">
        <f t="shared" si="123"/>
        <v>0</v>
      </c>
      <c r="N1043" s="1147"/>
      <c r="O1043" s="1147">
        <v>0</v>
      </c>
      <c r="P1043" s="450"/>
      <c r="Q1043" s="450">
        <f t="shared" si="126"/>
        <v>0</v>
      </c>
      <c r="R1043" s="1147">
        <v>20000</v>
      </c>
      <c r="S1043" s="1147">
        <v>20000</v>
      </c>
      <c r="T1043" s="450">
        <f t="shared" si="124"/>
        <v>20000</v>
      </c>
      <c r="U1043" s="450">
        <f t="shared" si="125"/>
        <v>20000</v>
      </c>
      <c r="V1043" s="454" t="s">
        <v>51</v>
      </c>
      <c r="W1043" s="448" t="s">
        <v>847</v>
      </c>
      <c r="X1043" s="448" t="s">
        <v>51</v>
      </c>
      <c r="Y1043" s="448" t="s">
        <v>51</v>
      </c>
      <c r="Z1043" s="448" t="s">
        <v>808</v>
      </c>
      <c r="AA1043" s="448" t="s">
        <v>62</v>
      </c>
      <c r="AB1043" s="448" t="s">
        <v>62</v>
      </c>
      <c r="AC1043" s="448" t="s">
        <v>61</v>
      </c>
      <c r="AD1043" s="447"/>
      <c r="AE1043" s="447"/>
      <c r="AF1043" s="447"/>
      <c r="AG1043" s="447"/>
      <c r="AH1043" s="447"/>
      <c r="AI1043" s="447"/>
      <c r="AJ1043" s="447"/>
      <c r="AK1043" s="447"/>
      <c r="AL1043" s="447"/>
      <c r="AM1043" s="447"/>
      <c r="AN1043" s="447"/>
      <c r="AO1043" s="447"/>
      <c r="AP1043" s="447"/>
      <c r="AQ1043" s="447"/>
      <c r="AR1043" s="447"/>
      <c r="AS1043" s="447"/>
      <c r="AT1043" s="447"/>
      <c r="AU1043" s="447"/>
      <c r="AV1043" s="447"/>
      <c r="AW1043" s="447"/>
      <c r="AX1043" s="447"/>
      <c r="AY1043" s="447"/>
      <c r="AZ1043" s="447"/>
      <c r="BA1043" s="448" t="s">
        <v>51</v>
      </c>
      <c r="BB1043" s="448" t="s">
        <v>51</v>
      </c>
      <c r="BC1043" s="447"/>
      <c r="BD1043" s="448" t="s">
        <v>848</v>
      </c>
      <c r="BE1043" s="447">
        <v>381</v>
      </c>
    </row>
    <row r="1044" spans="1:57" ht="30" customHeight="1">
      <c r="A1044" s="494" t="s">
        <v>3365</v>
      </c>
      <c r="B1044" s="494" t="s">
        <v>3368</v>
      </c>
      <c r="C1044" s="495" t="s">
        <v>2568</v>
      </c>
      <c r="D1044" s="1133">
        <v>1</v>
      </c>
      <c r="E1044" s="445">
        <f>'2층전시실산출 '!H441</f>
        <v>1</v>
      </c>
      <c r="F1044" s="1147">
        <v>70000</v>
      </c>
      <c r="G1044" s="1147">
        <v>70000</v>
      </c>
      <c r="H1044" s="450">
        <f>단가대비표!O380</f>
        <v>70000</v>
      </c>
      <c r="I1044" s="450">
        <f t="shared" ref="I1044:I1075" si="127">E1044*H1044</f>
        <v>70000</v>
      </c>
      <c r="J1044" s="1147"/>
      <c r="K1044" s="1147">
        <v>0</v>
      </c>
      <c r="L1044" s="450"/>
      <c r="M1044" s="450">
        <f t="shared" ref="M1044:M1075" si="128">E1044*L1044</f>
        <v>0</v>
      </c>
      <c r="N1044" s="1147"/>
      <c r="O1044" s="1147">
        <v>0</v>
      </c>
      <c r="P1044" s="450"/>
      <c r="Q1044" s="450">
        <f t="shared" si="126"/>
        <v>0</v>
      </c>
      <c r="R1044" s="1147">
        <v>70000</v>
      </c>
      <c r="S1044" s="1147">
        <v>70000</v>
      </c>
      <c r="T1044" s="450">
        <f t="shared" ref="T1044:T1075" si="129">TRUNC(H1044+L1044+P1044, 0)</f>
        <v>70000</v>
      </c>
      <c r="U1044" s="450">
        <f t="shared" ref="U1044:U1075" si="130">TRUNC(I1044+M1044+Q1044, 0)</f>
        <v>70000</v>
      </c>
      <c r="V1044" s="454" t="s">
        <v>51</v>
      </c>
      <c r="W1044" s="448" t="s">
        <v>847</v>
      </c>
      <c r="X1044" s="448" t="s">
        <v>51</v>
      </c>
      <c r="Y1044" s="448" t="s">
        <v>51</v>
      </c>
      <c r="Z1044" s="448" t="s">
        <v>808</v>
      </c>
      <c r="AA1044" s="448" t="s">
        <v>62</v>
      </c>
      <c r="AB1044" s="448" t="s">
        <v>62</v>
      </c>
      <c r="AC1044" s="448" t="s">
        <v>61</v>
      </c>
      <c r="AD1044" s="447"/>
      <c r="AE1044" s="447"/>
      <c r="AF1044" s="447"/>
      <c r="AG1044" s="447"/>
      <c r="AH1044" s="447"/>
      <c r="AI1044" s="447"/>
      <c r="AJ1044" s="447"/>
      <c r="AK1044" s="447"/>
      <c r="AL1044" s="447"/>
      <c r="AM1044" s="447"/>
      <c r="AN1044" s="447"/>
      <c r="AO1044" s="447"/>
      <c r="AP1044" s="447"/>
      <c r="AQ1044" s="447"/>
      <c r="AR1044" s="447"/>
      <c r="AS1044" s="447"/>
      <c r="AT1044" s="447"/>
      <c r="AU1044" s="447"/>
      <c r="AV1044" s="447"/>
      <c r="AW1044" s="447"/>
      <c r="AX1044" s="447"/>
      <c r="AY1044" s="447"/>
      <c r="AZ1044" s="447"/>
      <c r="BA1044" s="448" t="s">
        <v>51</v>
      </c>
      <c r="BB1044" s="448" t="s">
        <v>51</v>
      </c>
      <c r="BC1044" s="447"/>
      <c r="BD1044" s="448" t="s">
        <v>848</v>
      </c>
      <c r="BE1044" s="447">
        <v>381</v>
      </c>
    </row>
    <row r="1045" spans="1:57" ht="30" customHeight="1">
      <c r="A1045" s="494" t="s">
        <v>3365</v>
      </c>
      <c r="B1045" s="494" t="s">
        <v>3369</v>
      </c>
      <c r="C1045" s="495" t="s">
        <v>2568</v>
      </c>
      <c r="D1045" s="1133">
        <v>1</v>
      </c>
      <c r="E1045" s="445">
        <f>'2층전시실산출 '!H442</f>
        <v>1</v>
      </c>
      <c r="F1045" s="1147">
        <v>10000</v>
      </c>
      <c r="G1045" s="1147">
        <v>10000</v>
      </c>
      <c r="H1045" s="450">
        <f>단가대비표!O381</f>
        <v>10000</v>
      </c>
      <c r="I1045" s="450">
        <f t="shared" si="127"/>
        <v>10000</v>
      </c>
      <c r="J1045" s="1147"/>
      <c r="K1045" s="1147">
        <v>0</v>
      </c>
      <c r="L1045" s="450"/>
      <c r="M1045" s="450">
        <f t="shared" si="128"/>
        <v>0</v>
      </c>
      <c r="N1045" s="1147"/>
      <c r="O1045" s="1147">
        <v>0</v>
      </c>
      <c r="P1045" s="450"/>
      <c r="Q1045" s="450">
        <f t="shared" si="126"/>
        <v>0</v>
      </c>
      <c r="R1045" s="1147">
        <v>10000</v>
      </c>
      <c r="S1045" s="1147">
        <v>10000</v>
      </c>
      <c r="T1045" s="450">
        <f t="shared" si="129"/>
        <v>10000</v>
      </c>
      <c r="U1045" s="450">
        <f t="shared" si="130"/>
        <v>10000</v>
      </c>
      <c r="V1045" s="454" t="s">
        <v>51</v>
      </c>
      <c r="W1045" s="448" t="s">
        <v>847</v>
      </c>
      <c r="X1045" s="448" t="s">
        <v>51</v>
      </c>
      <c r="Y1045" s="448" t="s">
        <v>51</v>
      </c>
      <c r="Z1045" s="448" t="s">
        <v>808</v>
      </c>
      <c r="AA1045" s="448" t="s">
        <v>62</v>
      </c>
      <c r="AB1045" s="448" t="s">
        <v>62</v>
      </c>
      <c r="AC1045" s="448" t="s">
        <v>61</v>
      </c>
      <c r="AD1045" s="447"/>
      <c r="AE1045" s="447"/>
      <c r="AF1045" s="447"/>
      <c r="AG1045" s="447"/>
      <c r="AH1045" s="447"/>
      <c r="AI1045" s="447"/>
      <c r="AJ1045" s="447"/>
      <c r="AK1045" s="447"/>
      <c r="AL1045" s="447"/>
      <c r="AM1045" s="447"/>
      <c r="AN1045" s="447"/>
      <c r="AO1045" s="447"/>
      <c r="AP1045" s="447"/>
      <c r="AQ1045" s="447"/>
      <c r="AR1045" s="447"/>
      <c r="AS1045" s="447"/>
      <c r="AT1045" s="447"/>
      <c r="AU1045" s="447"/>
      <c r="AV1045" s="447"/>
      <c r="AW1045" s="447"/>
      <c r="AX1045" s="447"/>
      <c r="AY1045" s="447"/>
      <c r="AZ1045" s="447"/>
      <c r="BA1045" s="448" t="s">
        <v>51</v>
      </c>
      <c r="BB1045" s="448" t="s">
        <v>51</v>
      </c>
      <c r="BC1045" s="447"/>
      <c r="BD1045" s="448" t="s">
        <v>848</v>
      </c>
      <c r="BE1045" s="447">
        <v>381</v>
      </c>
    </row>
    <row r="1046" spans="1:57" ht="30" customHeight="1">
      <c r="A1046" s="494" t="s">
        <v>3365</v>
      </c>
      <c r="B1046" s="494" t="s">
        <v>3370</v>
      </c>
      <c r="C1046" s="495" t="s">
        <v>2568</v>
      </c>
      <c r="D1046" s="1133">
        <v>1</v>
      </c>
      <c r="E1046" s="445">
        <f>'2층전시실산출 '!H443</f>
        <v>1</v>
      </c>
      <c r="F1046" s="1147">
        <v>10000</v>
      </c>
      <c r="G1046" s="1147">
        <v>10000</v>
      </c>
      <c r="H1046" s="450">
        <f>단가대비표!O382</f>
        <v>10000</v>
      </c>
      <c r="I1046" s="450">
        <f t="shared" si="127"/>
        <v>10000</v>
      </c>
      <c r="J1046" s="1147"/>
      <c r="K1046" s="1147">
        <v>0</v>
      </c>
      <c r="L1046" s="450"/>
      <c r="M1046" s="450">
        <f t="shared" si="128"/>
        <v>0</v>
      </c>
      <c r="N1046" s="1147"/>
      <c r="O1046" s="1147">
        <v>0</v>
      </c>
      <c r="P1046" s="450"/>
      <c r="Q1046" s="450">
        <f t="shared" si="126"/>
        <v>0</v>
      </c>
      <c r="R1046" s="1147">
        <v>10000</v>
      </c>
      <c r="S1046" s="1147">
        <v>10000</v>
      </c>
      <c r="T1046" s="450">
        <f t="shared" si="129"/>
        <v>10000</v>
      </c>
      <c r="U1046" s="450">
        <f t="shared" si="130"/>
        <v>10000</v>
      </c>
      <c r="V1046" s="454" t="s">
        <v>51</v>
      </c>
      <c r="W1046" s="448" t="s">
        <v>847</v>
      </c>
      <c r="X1046" s="448" t="s">
        <v>51</v>
      </c>
      <c r="Y1046" s="448" t="s">
        <v>51</v>
      </c>
      <c r="Z1046" s="448" t="s">
        <v>808</v>
      </c>
      <c r="AA1046" s="448" t="s">
        <v>62</v>
      </c>
      <c r="AB1046" s="448" t="s">
        <v>62</v>
      </c>
      <c r="AC1046" s="448" t="s">
        <v>61</v>
      </c>
      <c r="AD1046" s="447"/>
      <c r="AE1046" s="447"/>
      <c r="AF1046" s="447"/>
      <c r="AG1046" s="447"/>
      <c r="AH1046" s="447"/>
      <c r="AI1046" s="447"/>
      <c r="AJ1046" s="447"/>
      <c r="AK1046" s="447"/>
      <c r="AL1046" s="447"/>
      <c r="AM1046" s="447"/>
      <c r="AN1046" s="447"/>
      <c r="AO1046" s="447"/>
      <c r="AP1046" s="447"/>
      <c r="AQ1046" s="447"/>
      <c r="AR1046" s="447"/>
      <c r="AS1046" s="447"/>
      <c r="AT1046" s="447"/>
      <c r="AU1046" s="447"/>
      <c r="AV1046" s="447"/>
      <c r="AW1046" s="447"/>
      <c r="AX1046" s="447"/>
      <c r="AY1046" s="447"/>
      <c r="AZ1046" s="447"/>
      <c r="BA1046" s="448" t="s">
        <v>51</v>
      </c>
      <c r="BB1046" s="448" t="s">
        <v>51</v>
      </c>
      <c r="BC1046" s="447"/>
      <c r="BD1046" s="448" t="s">
        <v>848</v>
      </c>
      <c r="BE1046" s="447">
        <v>381</v>
      </c>
    </row>
    <row r="1047" spans="1:57" ht="30" customHeight="1">
      <c r="A1047" s="494" t="s">
        <v>3365</v>
      </c>
      <c r="B1047" s="494" t="s">
        <v>3371</v>
      </c>
      <c r="C1047" s="495" t="s">
        <v>2568</v>
      </c>
      <c r="D1047" s="1133">
        <v>1</v>
      </c>
      <c r="E1047" s="445">
        <f>'2층전시실산출 '!H444</f>
        <v>1</v>
      </c>
      <c r="F1047" s="1147">
        <v>80000</v>
      </c>
      <c r="G1047" s="1147">
        <v>80000</v>
      </c>
      <c r="H1047" s="450">
        <f>단가대비표!O383</f>
        <v>80000</v>
      </c>
      <c r="I1047" s="450">
        <f t="shared" si="127"/>
        <v>80000</v>
      </c>
      <c r="J1047" s="1147"/>
      <c r="K1047" s="1147">
        <v>0</v>
      </c>
      <c r="L1047" s="450"/>
      <c r="M1047" s="450">
        <f t="shared" si="128"/>
        <v>0</v>
      </c>
      <c r="N1047" s="1147"/>
      <c r="O1047" s="1147">
        <v>0</v>
      </c>
      <c r="P1047" s="450"/>
      <c r="Q1047" s="450">
        <f t="shared" si="126"/>
        <v>0</v>
      </c>
      <c r="R1047" s="1147">
        <v>80000</v>
      </c>
      <c r="S1047" s="1147">
        <v>80000</v>
      </c>
      <c r="T1047" s="450">
        <f t="shared" si="129"/>
        <v>80000</v>
      </c>
      <c r="U1047" s="450">
        <f t="shared" si="130"/>
        <v>80000</v>
      </c>
      <c r="V1047" s="454" t="s">
        <v>51</v>
      </c>
      <c r="W1047" s="448" t="s">
        <v>847</v>
      </c>
      <c r="X1047" s="448" t="s">
        <v>51</v>
      </c>
      <c r="Y1047" s="448" t="s">
        <v>51</v>
      </c>
      <c r="Z1047" s="448" t="s">
        <v>808</v>
      </c>
      <c r="AA1047" s="448" t="s">
        <v>62</v>
      </c>
      <c r="AB1047" s="448" t="s">
        <v>62</v>
      </c>
      <c r="AC1047" s="448" t="s">
        <v>61</v>
      </c>
      <c r="AD1047" s="447"/>
      <c r="AE1047" s="447"/>
      <c r="AF1047" s="447"/>
      <c r="AG1047" s="447"/>
      <c r="AH1047" s="447"/>
      <c r="AI1047" s="447"/>
      <c r="AJ1047" s="447"/>
      <c r="AK1047" s="447"/>
      <c r="AL1047" s="447"/>
      <c r="AM1047" s="447"/>
      <c r="AN1047" s="447"/>
      <c r="AO1047" s="447"/>
      <c r="AP1047" s="447"/>
      <c r="AQ1047" s="447"/>
      <c r="AR1047" s="447"/>
      <c r="AS1047" s="447"/>
      <c r="AT1047" s="447"/>
      <c r="AU1047" s="447"/>
      <c r="AV1047" s="447"/>
      <c r="AW1047" s="447"/>
      <c r="AX1047" s="447"/>
      <c r="AY1047" s="447"/>
      <c r="AZ1047" s="447"/>
      <c r="BA1047" s="448" t="s">
        <v>51</v>
      </c>
      <c r="BB1047" s="448" t="s">
        <v>51</v>
      </c>
      <c r="BC1047" s="447"/>
      <c r="BD1047" s="448" t="s">
        <v>848</v>
      </c>
      <c r="BE1047" s="447">
        <v>381</v>
      </c>
    </row>
    <row r="1048" spans="1:57" ht="30" customHeight="1">
      <c r="A1048" s="494" t="s">
        <v>3365</v>
      </c>
      <c r="B1048" s="494" t="s">
        <v>3372</v>
      </c>
      <c r="C1048" s="495" t="s">
        <v>2568</v>
      </c>
      <c r="D1048" s="1133">
        <v>2</v>
      </c>
      <c r="E1048" s="445">
        <f>'2층전시실산출 '!H445</f>
        <v>2</v>
      </c>
      <c r="F1048" s="1147">
        <v>80000</v>
      </c>
      <c r="G1048" s="1147">
        <v>160000</v>
      </c>
      <c r="H1048" s="450">
        <f>단가대비표!O384</f>
        <v>80000</v>
      </c>
      <c r="I1048" s="450">
        <f t="shared" si="127"/>
        <v>160000</v>
      </c>
      <c r="J1048" s="1147"/>
      <c r="K1048" s="1147">
        <v>0</v>
      </c>
      <c r="L1048" s="450"/>
      <c r="M1048" s="450">
        <f t="shared" si="128"/>
        <v>0</v>
      </c>
      <c r="N1048" s="1147"/>
      <c r="O1048" s="1147">
        <v>0</v>
      </c>
      <c r="P1048" s="450"/>
      <c r="Q1048" s="450">
        <f t="shared" si="126"/>
        <v>0</v>
      </c>
      <c r="R1048" s="1147">
        <v>80000</v>
      </c>
      <c r="S1048" s="1147">
        <v>160000</v>
      </c>
      <c r="T1048" s="450">
        <f t="shared" si="129"/>
        <v>80000</v>
      </c>
      <c r="U1048" s="450">
        <f t="shared" si="130"/>
        <v>160000</v>
      </c>
      <c r="V1048" s="454" t="s">
        <v>51</v>
      </c>
      <c r="W1048" s="448" t="s">
        <v>847</v>
      </c>
      <c r="X1048" s="448" t="s">
        <v>51</v>
      </c>
      <c r="Y1048" s="448" t="s">
        <v>51</v>
      </c>
      <c r="Z1048" s="448" t="s">
        <v>808</v>
      </c>
      <c r="AA1048" s="448" t="s">
        <v>62</v>
      </c>
      <c r="AB1048" s="448" t="s">
        <v>62</v>
      </c>
      <c r="AC1048" s="448" t="s">
        <v>61</v>
      </c>
      <c r="AD1048" s="447"/>
      <c r="AE1048" s="447"/>
      <c r="AF1048" s="447"/>
      <c r="AG1048" s="447"/>
      <c r="AH1048" s="447"/>
      <c r="AI1048" s="447"/>
      <c r="AJ1048" s="447"/>
      <c r="AK1048" s="447"/>
      <c r="AL1048" s="447"/>
      <c r="AM1048" s="447"/>
      <c r="AN1048" s="447"/>
      <c r="AO1048" s="447"/>
      <c r="AP1048" s="447"/>
      <c r="AQ1048" s="447"/>
      <c r="AR1048" s="447"/>
      <c r="AS1048" s="447"/>
      <c r="AT1048" s="447"/>
      <c r="AU1048" s="447"/>
      <c r="AV1048" s="447"/>
      <c r="AW1048" s="447"/>
      <c r="AX1048" s="447"/>
      <c r="AY1048" s="447"/>
      <c r="AZ1048" s="447"/>
      <c r="BA1048" s="448" t="s">
        <v>51</v>
      </c>
      <c r="BB1048" s="448" t="s">
        <v>51</v>
      </c>
      <c r="BC1048" s="447"/>
      <c r="BD1048" s="448" t="s">
        <v>848</v>
      </c>
      <c r="BE1048" s="447">
        <v>381</v>
      </c>
    </row>
    <row r="1049" spans="1:57" ht="30" customHeight="1">
      <c r="A1049" s="494" t="s">
        <v>3365</v>
      </c>
      <c r="B1049" s="494" t="s">
        <v>3373</v>
      </c>
      <c r="C1049" s="495" t="s">
        <v>2568</v>
      </c>
      <c r="D1049" s="1133">
        <v>1</v>
      </c>
      <c r="E1049" s="445">
        <f>'2층전시실산출 '!H446</f>
        <v>1</v>
      </c>
      <c r="F1049" s="1147">
        <v>80000</v>
      </c>
      <c r="G1049" s="1147">
        <v>80000</v>
      </c>
      <c r="H1049" s="450">
        <f>단가대비표!O385</f>
        <v>80000</v>
      </c>
      <c r="I1049" s="450">
        <f t="shared" si="127"/>
        <v>80000</v>
      </c>
      <c r="J1049" s="1147"/>
      <c r="K1049" s="1147">
        <v>0</v>
      </c>
      <c r="L1049" s="450"/>
      <c r="M1049" s="450">
        <f t="shared" si="128"/>
        <v>0</v>
      </c>
      <c r="N1049" s="1147"/>
      <c r="O1049" s="1147">
        <v>0</v>
      </c>
      <c r="P1049" s="450"/>
      <c r="Q1049" s="450">
        <f t="shared" si="126"/>
        <v>0</v>
      </c>
      <c r="R1049" s="1147">
        <v>80000</v>
      </c>
      <c r="S1049" s="1147">
        <v>80000</v>
      </c>
      <c r="T1049" s="450">
        <f t="shared" si="129"/>
        <v>80000</v>
      </c>
      <c r="U1049" s="450">
        <f t="shared" si="130"/>
        <v>80000</v>
      </c>
      <c r="V1049" s="454" t="s">
        <v>51</v>
      </c>
      <c r="W1049" s="448" t="s">
        <v>847</v>
      </c>
      <c r="X1049" s="448" t="s">
        <v>51</v>
      </c>
      <c r="Y1049" s="448" t="s">
        <v>51</v>
      </c>
      <c r="Z1049" s="448" t="s">
        <v>808</v>
      </c>
      <c r="AA1049" s="448" t="s">
        <v>62</v>
      </c>
      <c r="AB1049" s="448" t="s">
        <v>62</v>
      </c>
      <c r="AC1049" s="448" t="s">
        <v>61</v>
      </c>
      <c r="AD1049" s="447"/>
      <c r="AE1049" s="447"/>
      <c r="AF1049" s="447"/>
      <c r="AG1049" s="447"/>
      <c r="AH1049" s="447"/>
      <c r="AI1049" s="447"/>
      <c r="AJ1049" s="447"/>
      <c r="AK1049" s="447"/>
      <c r="AL1049" s="447"/>
      <c r="AM1049" s="447"/>
      <c r="AN1049" s="447"/>
      <c r="AO1049" s="447"/>
      <c r="AP1049" s="447"/>
      <c r="AQ1049" s="447"/>
      <c r="AR1049" s="447"/>
      <c r="AS1049" s="447"/>
      <c r="AT1049" s="447"/>
      <c r="AU1049" s="447"/>
      <c r="AV1049" s="447"/>
      <c r="AW1049" s="447"/>
      <c r="AX1049" s="447"/>
      <c r="AY1049" s="447"/>
      <c r="AZ1049" s="447"/>
      <c r="BA1049" s="448" t="s">
        <v>51</v>
      </c>
      <c r="BB1049" s="448" t="s">
        <v>51</v>
      </c>
      <c r="BC1049" s="447"/>
      <c r="BD1049" s="448" t="s">
        <v>848</v>
      </c>
      <c r="BE1049" s="447">
        <v>381</v>
      </c>
    </row>
    <row r="1050" spans="1:57" ht="30" customHeight="1">
      <c r="A1050" s="494" t="s">
        <v>3365</v>
      </c>
      <c r="B1050" s="494" t="s">
        <v>3374</v>
      </c>
      <c r="C1050" s="495" t="s">
        <v>2568</v>
      </c>
      <c r="D1050" s="1133">
        <v>1</v>
      </c>
      <c r="E1050" s="445">
        <f>'2층전시실산출 '!H447</f>
        <v>1</v>
      </c>
      <c r="F1050" s="1147">
        <v>70000</v>
      </c>
      <c r="G1050" s="1147">
        <v>70000</v>
      </c>
      <c r="H1050" s="450">
        <f>단가대비표!O386</f>
        <v>70000</v>
      </c>
      <c r="I1050" s="450">
        <f t="shared" si="127"/>
        <v>70000</v>
      </c>
      <c r="J1050" s="1147"/>
      <c r="K1050" s="1147">
        <v>0</v>
      </c>
      <c r="L1050" s="450"/>
      <c r="M1050" s="450">
        <f t="shared" si="128"/>
        <v>0</v>
      </c>
      <c r="N1050" s="1147"/>
      <c r="O1050" s="1147">
        <v>0</v>
      </c>
      <c r="P1050" s="450"/>
      <c r="Q1050" s="450">
        <f t="shared" ref="Q1050:Q1081" si="131">TRUNC(P1050*E1050, 0)</f>
        <v>0</v>
      </c>
      <c r="R1050" s="1147">
        <v>70000</v>
      </c>
      <c r="S1050" s="1147">
        <v>70000</v>
      </c>
      <c r="T1050" s="450">
        <f t="shared" si="129"/>
        <v>70000</v>
      </c>
      <c r="U1050" s="450">
        <f t="shared" si="130"/>
        <v>70000</v>
      </c>
      <c r="V1050" s="454" t="s">
        <v>51</v>
      </c>
      <c r="W1050" s="448" t="s">
        <v>849</v>
      </c>
      <c r="X1050" s="448" t="s">
        <v>51</v>
      </c>
      <c r="Y1050" s="448" t="s">
        <v>51</v>
      </c>
      <c r="Z1050" s="448" t="s">
        <v>808</v>
      </c>
      <c r="AA1050" s="448" t="s">
        <v>62</v>
      </c>
      <c r="AB1050" s="448" t="s">
        <v>62</v>
      </c>
      <c r="AC1050" s="448" t="s">
        <v>61</v>
      </c>
      <c r="AD1050" s="447"/>
      <c r="AE1050" s="447"/>
      <c r="AF1050" s="447"/>
      <c r="AG1050" s="447"/>
      <c r="AH1050" s="447"/>
      <c r="AI1050" s="447"/>
      <c r="AJ1050" s="447"/>
      <c r="AK1050" s="447"/>
      <c r="AL1050" s="447"/>
      <c r="AM1050" s="447"/>
      <c r="AN1050" s="447"/>
      <c r="AO1050" s="447"/>
      <c r="AP1050" s="447"/>
      <c r="AQ1050" s="447"/>
      <c r="AR1050" s="447"/>
      <c r="AS1050" s="447"/>
      <c r="AT1050" s="447"/>
      <c r="AU1050" s="447"/>
      <c r="AV1050" s="447"/>
      <c r="AW1050" s="447"/>
      <c r="AX1050" s="447"/>
      <c r="AY1050" s="447"/>
      <c r="AZ1050" s="447"/>
      <c r="BA1050" s="448" t="s">
        <v>51</v>
      </c>
      <c r="BB1050" s="448" t="s">
        <v>51</v>
      </c>
      <c r="BC1050" s="447"/>
      <c r="BD1050" s="448" t="s">
        <v>850</v>
      </c>
      <c r="BE1050" s="447">
        <v>382</v>
      </c>
    </row>
    <row r="1051" spans="1:57" ht="30" customHeight="1">
      <c r="A1051" s="494" t="s">
        <v>3365</v>
      </c>
      <c r="B1051" s="494" t="s">
        <v>3375</v>
      </c>
      <c r="C1051" s="495" t="s">
        <v>2568</v>
      </c>
      <c r="D1051" s="1133">
        <v>1</v>
      </c>
      <c r="E1051" s="445">
        <f>'2층전시실산출 '!H448</f>
        <v>1</v>
      </c>
      <c r="F1051" s="1147">
        <v>100000</v>
      </c>
      <c r="G1051" s="1147">
        <v>100000</v>
      </c>
      <c r="H1051" s="450">
        <f>단가대비표!O387</f>
        <v>100000</v>
      </c>
      <c r="I1051" s="450">
        <f t="shared" si="127"/>
        <v>100000</v>
      </c>
      <c r="J1051" s="1147"/>
      <c r="K1051" s="1147">
        <v>0</v>
      </c>
      <c r="L1051" s="450"/>
      <c r="M1051" s="450">
        <f t="shared" si="128"/>
        <v>0</v>
      </c>
      <c r="N1051" s="1147"/>
      <c r="O1051" s="1147">
        <v>0</v>
      </c>
      <c r="P1051" s="450"/>
      <c r="Q1051" s="450">
        <f t="shared" si="131"/>
        <v>0</v>
      </c>
      <c r="R1051" s="1147">
        <v>100000</v>
      </c>
      <c r="S1051" s="1147">
        <v>100000</v>
      </c>
      <c r="T1051" s="450">
        <f t="shared" si="129"/>
        <v>100000</v>
      </c>
      <c r="U1051" s="450">
        <f t="shared" si="130"/>
        <v>100000</v>
      </c>
      <c r="V1051" s="454" t="s">
        <v>51</v>
      </c>
      <c r="W1051" s="448" t="s">
        <v>851</v>
      </c>
      <c r="X1051" s="448" t="s">
        <v>51</v>
      </c>
      <c r="Y1051" s="448" t="s">
        <v>51</v>
      </c>
      <c r="Z1051" s="448" t="s">
        <v>808</v>
      </c>
      <c r="AA1051" s="448" t="s">
        <v>62</v>
      </c>
      <c r="AB1051" s="448" t="s">
        <v>62</v>
      </c>
      <c r="AC1051" s="448" t="s">
        <v>61</v>
      </c>
      <c r="AD1051" s="447"/>
      <c r="AE1051" s="447"/>
      <c r="AF1051" s="447"/>
      <c r="AG1051" s="447"/>
      <c r="AH1051" s="447"/>
      <c r="AI1051" s="447"/>
      <c r="AJ1051" s="447"/>
      <c r="AK1051" s="447"/>
      <c r="AL1051" s="447"/>
      <c r="AM1051" s="447"/>
      <c r="AN1051" s="447"/>
      <c r="AO1051" s="447"/>
      <c r="AP1051" s="447"/>
      <c r="AQ1051" s="447"/>
      <c r="AR1051" s="447"/>
      <c r="AS1051" s="447"/>
      <c r="AT1051" s="447"/>
      <c r="AU1051" s="447"/>
      <c r="AV1051" s="447"/>
      <c r="AW1051" s="447"/>
      <c r="AX1051" s="447"/>
      <c r="AY1051" s="447"/>
      <c r="AZ1051" s="447"/>
      <c r="BA1051" s="448" t="s">
        <v>51</v>
      </c>
      <c r="BB1051" s="448" t="s">
        <v>51</v>
      </c>
      <c r="BC1051" s="447"/>
      <c r="BD1051" s="448" t="s">
        <v>852</v>
      </c>
      <c r="BE1051" s="447">
        <v>383</v>
      </c>
    </row>
    <row r="1052" spans="1:57" ht="30" customHeight="1">
      <c r="A1052" s="494" t="s">
        <v>3365</v>
      </c>
      <c r="B1052" s="494" t="s">
        <v>3376</v>
      </c>
      <c r="C1052" s="495" t="s">
        <v>2568</v>
      </c>
      <c r="D1052" s="1133">
        <v>1</v>
      </c>
      <c r="E1052" s="445">
        <f>'2층전시실산출 '!H449</f>
        <v>1</v>
      </c>
      <c r="F1052" s="1147">
        <v>70000</v>
      </c>
      <c r="G1052" s="1147">
        <v>70000</v>
      </c>
      <c r="H1052" s="450">
        <f>단가대비표!O388</f>
        <v>70000</v>
      </c>
      <c r="I1052" s="450">
        <f t="shared" si="127"/>
        <v>70000</v>
      </c>
      <c r="J1052" s="1147"/>
      <c r="K1052" s="1147">
        <v>0</v>
      </c>
      <c r="L1052" s="450"/>
      <c r="M1052" s="450">
        <f t="shared" si="128"/>
        <v>0</v>
      </c>
      <c r="N1052" s="1147"/>
      <c r="O1052" s="1147">
        <v>0</v>
      </c>
      <c r="P1052" s="450"/>
      <c r="Q1052" s="450">
        <f t="shared" si="131"/>
        <v>0</v>
      </c>
      <c r="R1052" s="1147">
        <v>70000</v>
      </c>
      <c r="S1052" s="1147">
        <v>70000</v>
      </c>
      <c r="T1052" s="450">
        <f t="shared" si="129"/>
        <v>70000</v>
      </c>
      <c r="U1052" s="450">
        <f t="shared" si="130"/>
        <v>70000</v>
      </c>
      <c r="V1052" s="454" t="s">
        <v>51</v>
      </c>
      <c r="W1052" s="448" t="s">
        <v>853</v>
      </c>
      <c r="X1052" s="448" t="s">
        <v>51</v>
      </c>
      <c r="Y1052" s="448" t="s">
        <v>51</v>
      </c>
      <c r="Z1052" s="448" t="s">
        <v>808</v>
      </c>
      <c r="AA1052" s="448" t="s">
        <v>62</v>
      </c>
      <c r="AB1052" s="448" t="s">
        <v>62</v>
      </c>
      <c r="AC1052" s="448" t="s">
        <v>61</v>
      </c>
      <c r="AD1052" s="447"/>
      <c r="AE1052" s="447"/>
      <c r="AF1052" s="447"/>
      <c r="AG1052" s="447"/>
      <c r="AH1052" s="447"/>
      <c r="AI1052" s="447"/>
      <c r="AJ1052" s="447"/>
      <c r="AK1052" s="447"/>
      <c r="AL1052" s="447"/>
      <c r="AM1052" s="447"/>
      <c r="AN1052" s="447"/>
      <c r="AO1052" s="447"/>
      <c r="AP1052" s="447"/>
      <c r="AQ1052" s="447"/>
      <c r="AR1052" s="447"/>
      <c r="AS1052" s="447"/>
      <c r="AT1052" s="447"/>
      <c r="AU1052" s="447"/>
      <c r="AV1052" s="447"/>
      <c r="AW1052" s="447"/>
      <c r="AX1052" s="447"/>
      <c r="AY1052" s="447"/>
      <c r="AZ1052" s="447"/>
      <c r="BA1052" s="448" t="s">
        <v>51</v>
      </c>
      <c r="BB1052" s="448" t="s">
        <v>51</v>
      </c>
      <c r="BC1052" s="447"/>
      <c r="BD1052" s="448" t="s">
        <v>854</v>
      </c>
      <c r="BE1052" s="447">
        <v>384</v>
      </c>
    </row>
    <row r="1053" spans="1:57" ht="30" customHeight="1">
      <c r="A1053" s="494" t="s">
        <v>3365</v>
      </c>
      <c r="B1053" s="494" t="s">
        <v>3377</v>
      </c>
      <c r="C1053" s="495" t="s">
        <v>2568</v>
      </c>
      <c r="D1053" s="1133">
        <v>1</v>
      </c>
      <c r="E1053" s="445">
        <f>'2층전시실산출 '!H450</f>
        <v>1</v>
      </c>
      <c r="F1053" s="1147">
        <v>10000</v>
      </c>
      <c r="G1053" s="1147">
        <v>10000</v>
      </c>
      <c r="H1053" s="450">
        <f>단가대비표!O389</f>
        <v>10000</v>
      </c>
      <c r="I1053" s="450">
        <f t="shared" si="127"/>
        <v>10000</v>
      </c>
      <c r="J1053" s="1147"/>
      <c r="K1053" s="1147">
        <v>0</v>
      </c>
      <c r="L1053" s="450"/>
      <c r="M1053" s="450">
        <f t="shared" si="128"/>
        <v>0</v>
      </c>
      <c r="N1053" s="1147"/>
      <c r="O1053" s="1147">
        <v>0</v>
      </c>
      <c r="P1053" s="450"/>
      <c r="Q1053" s="450">
        <f t="shared" si="131"/>
        <v>0</v>
      </c>
      <c r="R1053" s="1147">
        <v>10000</v>
      </c>
      <c r="S1053" s="1147">
        <v>10000</v>
      </c>
      <c r="T1053" s="450">
        <f t="shared" si="129"/>
        <v>10000</v>
      </c>
      <c r="U1053" s="450">
        <f t="shared" si="130"/>
        <v>10000</v>
      </c>
      <c r="V1053" s="454" t="s">
        <v>51</v>
      </c>
      <c r="W1053" s="448" t="s">
        <v>855</v>
      </c>
      <c r="X1053" s="448" t="s">
        <v>51</v>
      </c>
      <c r="Y1053" s="448" t="s">
        <v>51</v>
      </c>
      <c r="Z1053" s="448" t="s">
        <v>808</v>
      </c>
      <c r="AA1053" s="448" t="s">
        <v>62</v>
      </c>
      <c r="AB1053" s="448" t="s">
        <v>62</v>
      </c>
      <c r="AC1053" s="448" t="s">
        <v>61</v>
      </c>
      <c r="AD1053" s="447"/>
      <c r="AE1053" s="447"/>
      <c r="AF1053" s="447"/>
      <c r="AG1053" s="447"/>
      <c r="AH1053" s="447"/>
      <c r="AI1053" s="447"/>
      <c r="AJ1053" s="447"/>
      <c r="AK1053" s="447"/>
      <c r="AL1053" s="447"/>
      <c r="AM1053" s="447"/>
      <c r="AN1053" s="447"/>
      <c r="AO1053" s="447"/>
      <c r="AP1053" s="447"/>
      <c r="AQ1053" s="447"/>
      <c r="AR1053" s="447"/>
      <c r="AS1053" s="447"/>
      <c r="AT1053" s="447"/>
      <c r="AU1053" s="447"/>
      <c r="AV1053" s="447"/>
      <c r="AW1053" s="447"/>
      <c r="AX1053" s="447"/>
      <c r="AY1053" s="447"/>
      <c r="AZ1053" s="447"/>
      <c r="BA1053" s="448" t="s">
        <v>51</v>
      </c>
      <c r="BB1053" s="448" t="s">
        <v>51</v>
      </c>
      <c r="BC1053" s="447"/>
      <c r="BD1053" s="448" t="s">
        <v>856</v>
      </c>
      <c r="BE1053" s="447">
        <v>385</v>
      </c>
    </row>
    <row r="1054" spans="1:57" ht="30" customHeight="1">
      <c r="A1054" s="494" t="s">
        <v>3365</v>
      </c>
      <c r="B1054" s="494" t="s">
        <v>3378</v>
      </c>
      <c r="C1054" s="495" t="s">
        <v>2568</v>
      </c>
      <c r="D1054" s="1133">
        <v>1</v>
      </c>
      <c r="E1054" s="445">
        <f>'2층전시실산출 '!H451</f>
        <v>1</v>
      </c>
      <c r="F1054" s="1147">
        <v>120000</v>
      </c>
      <c r="G1054" s="1147">
        <v>120000</v>
      </c>
      <c r="H1054" s="450">
        <f>단가대비표!O390</f>
        <v>120000</v>
      </c>
      <c r="I1054" s="450">
        <f t="shared" si="127"/>
        <v>120000</v>
      </c>
      <c r="J1054" s="1147"/>
      <c r="K1054" s="1147">
        <v>0</v>
      </c>
      <c r="L1054" s="450"/>
      <c r="M1054" s="450">
        <f t="shared" si="128"/>
        <v>0</v>
      </c>
      <c r="N1054" s="1147"/>
      <c r="O1054" s="1147">
        <v>0</v>
      </c>
      <c r="P1054" s="450"/>
      <c r="Q1054" s="450">
        <f t="shared" si="131"/>
        <v>0</v>
      </c>
      <c r="R1054" s="1147">
        <v>120000</v>
      </c>
      <c r="S1054" s="1147">
        <v>120000</v>
      </c>
      <c r="T1054" s="450">
        <f t="shared" si="129"/>
        <v>120000</v>
      </c>
      <c r="U1054" s="450">
        <f t="shared" si="130"/>
        <v>120000</v>
      </c>
      <c r="V1054" s="454" t="s">
        <v>51</v>
      </c>
      <c r="W1054" s="448" t="s">
        <v>857</v>
      </c>
      <c r="X1054" s="448" t="s">
        <v>51</v>
      </c>
      <c r="Y1054" s="448" t="s">
        <v>51</v>
      </c>
      <c r="Z1054" s="448" t="s">
        <v>808</v>
      </c>
      <c r="AA1054" s="448" t="s">
        <v>62</v>
      </c>
      <c r="AB1054" s="448" t="s">
        <v>62</v>
      </c>
      <c r="AC1054" s="448" t="s">
        <v>61</v>
      </c>
      <c r="AD1054" s="447"/>
      <c r="AE1054" s="447"/>
      <c r="AF1054" s="447"/>
      <c r="AG1054" s="447"/>
      <c r="AH1054" s="447"/>
      <c r="AI1054" s="447"/>
      <c r="AJ1054" s="447"/>
      <c r="AK1054" s="447"/>
      <c r="AL1054" s="447"/>
      <c r="AM1054" s="447"/>
      <c r="AN1054" s="447"/>
      <c r="AO1054" s="447"/>
      <c r="AP1054" s="447"/>
      <c r="AQ1054" s="447"/>
      <c r="AR1054" s="447"/>
      <c r="AS1054" s="447"/>
      <c r="AT1054" s="447"/>
      <c r="AU1054" s="447"/>
      <c r="AV1054" s="447"/>
      <c r="AW1054" s="447"/>
      <c r="AX1054" s="447"/>
      <c r="AY1054" s="447"/>
      <c r="AZ1054" s="447"/>
      <c r="BA1054" s="448" t="s">
        <v>51</v>
      </c>
      <c r="BB1054" s="448" t="s">
        <v>51</v>
      </c>
      <c r="BC1054" s="447"/>
      <c r="BD1054" s="448" t="s">
        <v>858</v>
      </c>
      <c r="BE1054" s="447">
        <v>386</v>
      </c>
    </row>
    <row r="1055" spans="1:57" ht="30" customHeight="1">
      <c r="A1055" s="494" t="s">
        <v>3365</v>
      </c>
      <c r="B1055" s="494" t="s">
        <v>3379</v>
      </c>
      <c r="C1055" s="495" t="s">
        <v>2568</v>
      </c>
      <c r="D1055" s="1133">
        <v>1</v>
      </c>
      <c r="E1055" s="445">
        <f>'2층전시실산출 '!H452</f>
        <v>1</v>
      </c>
      <c r="F1055" s="1147">
        <v>30000</v>
      </c>
      <c r="G1055" s="1147">
        <v>30000</v>
      </c>
      <c r="H1055" s="450">
        <f>단가대비표!O391</f>
        <v>30000</v>
      </c>
      <c r="I1055" s="450">
        <f t="shared" si="127"/>
        <v>30000</v>
      </c>
      <c r="J1055" s="1147"/>
      <c r="K1055" s="1147">
        <v>0</v>
      </c>
      <c r="L1055" s="450"/>
      <c r="M1055" s="450">
        <f t="shared" si="128"/>
        <v>0</v>
      </c>
      <c r="N1055" s="1147"/>
      <c r="O1055" s="1147">
        <v>0</v>
      </c>
      <c r="P1055" s="450"/>
      <c r="Q1055" s="450">
        <f t="shared" si="131"/>
        <v>0</v>
      </c>
      <c r="R1055" s="1147">
        <v>30000</v>
      </c>
      <c r="S1055" s="1147">
        <v>30000</v>
      </c>
      <c r="T1055" s="450">
        <f t="shared" si="129"/>
        <v>30000</v>
      </c>
      <c r="U1055" s="450">
        <f t="shared" si="130"/>
        <v>30000</v>
      </c>
      <c r="V1055" s="454" t="s">
        <v>51</v>
      </c>
      <c r="W1055" s="448" t="s">
        <v>859</v>
      </c>
      <c r="X1055" s="448" t="s">
        <v>51</v>
      </c>
      <c r="Y1055" s="448" t="s">
        <v>51</v>
      </c>
      <c r="Z1055" s="448" t="s">
        <v>808</v>
      </c>
      <c r="AA1055" s="448" t="s">
        <v>62</v>
      </c>
      <c r="AB1055" s="448" t="s">
        <v>62</v>
      </c>
      <c r="AC1055" s="448" t="s">
        <v>61</v>
      </c>
      <c r="AD1055" s="447"/>
      <c r="AE1055" s="447"/>
      <c r="AF1055" s="447"/>
      <c r="AG1055" s="447"/>
      <c r="AH1055" s="447"/>
      <c r="AI1055" s="447"/>
      <c r="AJ1055" s="447"/>
      <c r="AK1055" s="447"/>
      <c r="AL1055" s="447"/>
      <c r="AM1055" s="447"/>
      <c r="AN1055" s="447"/>
      <c r="AO1055" s="447"/>
      <c r="AP1055" s="447"/>
      <c r="AQ1055" s="447"/>
      <c r="AR1055" s="447"/>
      <c r="AS1055" s="447"/>
      <c r="AT1055" s="447"/>
      <c r="AU1055" s="447"/>
      <c r="AV1055" s="447"/>
      <c r="AW1055" s="447"/>
      <c r="AX1055" s="447"/>
      <c r="AY1055" s="447"/>
      <c r="AZ1055" s="447"/>
      <c r="BA1055" s="448" t="s">
        <v>51</v>
      </c>
      <c r="BB1055" s="448" t="s">
        <v>51</v>
      </c>
      <c r="BC1055" s="447"/>
      <c r="BD1055" s="448" t="s">
        <v>860</v>
      </c>
      <c r="BE1055" s="447">
        <v>387</v>
      </c>
    </row>
    <row r="1056" spans="1:57" ht="30" customHeight="1">
      <c r="A1056" s="494" t="s">
        <v>3365</v>
      </c>
      <c r="B1056" s="494" t="s">
        <v>3380</v>
      </c>
      <c r="C1056" s="495" t="s">
        <v>2568</v>
      </c>
      <c r="D1056" s="1133">
        <v>1</v>
      </c>
      <c r="E1056" s="445">
        <f>'2층전시실산출 '!H453</f>
        <v>1</v>
      </c>
      <c r="F1056" s="1147">
        <v>35000</v>
      </c>
      <c r="G1056" s="1147">
        <v>35000</v>
      </c>
      <c r="H1056" s="450">
        <f>단가대비표!O392</f>
        <v>35000</v>
      </c>
      <c r="I1056" s="450">
        <f t="shared" si="127"/>
        <v>35000</v>
      </c>
      <c r="J1056" s="1147"/>
      <c r="K1056" s="1147">
        <v>0</v>
      </c>
      <c r="L1056" s="450"/>
      <c r="M1056" s="450">
        <f t="shared" si="128"/>
        <v>0</v>
      </c>
      <c r="N1056" s="1147"/>
      <c r="O1056" s="1147">
        <v>0</v>
      </c>
      <c r="P1056" s="450"/>
      <c r="Q1056" s="450">
        <f t="shared" si="131"/>
        <v>0</v>
      </c>
      <c r="R1056" s="1147">
        <v>35000</v>
      </c>
      <c r="S1056" s="1147">
        <v>35000</v>
      </c>
      <c r="T1056" s="450">
        <f t="shared" si="129"/>
        <v>35000</v>
      </c>
      <c r="U1056" s="450">
        <f t="shared" si="130"/>
        <v>35000</v>
      </c>
      <c r="V1056" s="454" t="s">
        <v>51</v>
      </c>
      <c r="W1056" s="448" t="s">
        <v>861</v>
      </c>
      <c r="X1056" s="448" t="s">
        <v>51</v>
      </c>
      <c r="Y1056" s="448" t="s">
        <v>51</v>
      </c>
      <c r="Z1056" s="448" t="s">
        <v>808</v>
      </c>
      <c r="AA1056" s="448" t="s">
        <v>62</v>
      </c>
      <c r="AB1056" s="448" t="s">
        <v>62</v>
      </c>
      <c r="AC1056" s="448" t="s">
        <v>61</v>
      </c>
      <c r="AD1056" s="447"/>
      <c r="AE1056" s="447"/>
      <c r="AF1056" s="447"/>
      <c r="AG1056" s="447"/>
      <c r="AH1056" s="447"/>
      <c r="AI1056" s="447"/>
      <c r="AJ1056" s="447"/>
      <c r="AK1056" s="447"/>
      <c r="AL1056" s="447"/>
      <c r="AM1056" s="447"/>
      <c r="AN1056" s="447"/>
      <c r="AO1056" s="447"/>
      <c r="AP1056" s="447"/>
      <c r="AQ1056" s="447"/>
      <c r="AR1056" s="447"/>
      <c r="AS1056" s="447"/>
      <c r="AT1056" s="447"/>
      <c r="AU1056" s="447"/>
      <c r="AV1056" s="447"/>
      <c r="AW1056" s="447"/>
      <c r="AX1056" s="447"/>
      <c r="AY1056" s="447"/>
      <c r="AZ1056" s="447"/>
      <c r="BA1056" s="448" t="s">
        <v>51</v>
      </c>
      <c r="BB1056" s="448" t="s">
        <v>51</v>
      </c>
      <c r="BC1056" s="447"/>
      <c r="BD1056" s="448" t="s">
        <v>862</v>
      </c>
      <c r="BE1056" s="447">
        <v>388</v>
      </c>
    </row>
    <row r="1057" spans="1:57" ht="30" customHeight="1">
      <c r="A1057" s="494" t="s">
        <v>3365</v>
      </c>
      <c r="B1057" s="494" t="s">
        <v>3381</v>
      </c>
      <c r="C1057" s="495" t="s">
        <v>2568</v>
      </c>
      <c r="D1057" s="1133">
        <v>1</v>
      </c>
      <c r="E1057" s="445">
        <f>'2층전시실산출 '!H454</f>
        <v>1</v>
      </c>
      <c r="F1057" s="1147">
        <v>100000</v>
      </c>
      <c r="G1057" s="1147">
        <v>100000</v>
      </c>
      <c r="H1057" s="450">
        <f>단가대비표!O393</f>
        <v>100000</v>
      </c>
      <c r="I1057" s="450">
        <f t="shared" si="127"/>
        <v>100000</v>
      </c>
      <c r="J1057" s="1147"/>
      <c r="K1057" s="1147">
        <v>0</v>
      </c>
      <c r="L1057" s="450"/>
      <c r="M1057" s="450">
        <f t="shared" si="128"/>
        <v>0</v>
      </c>
      <c r="N1057" s="1147"/>
      <c r="O1057" s="1147">
        <v>0</v>
      </c>
      <c r="P1057" s="450"/>
      <c r="Q1057" s="450">
        <f t="shared" si="131"/>
        <v>0</v>
      </c>
      <c r="R1057" s="1147">
        <v>100000</v>
      </c>
      <c r="S1057" s="1147">
        <v>100000</v>
      </c>
      <c r="T1057" s="450">
        <f t="shared" si="129"/>
        <v>100000</v>
      </c>
      <c r="U1057" s="450">
        <f t="shared" si="130"/>
        <v>100000</v>
      </c>
      <c r="V1057" s="454" t="s">
        <v>51</v>
      </c>
      <c r="W1057" s="448" t="s">
        <v>863</v>
      </c>
      <c r="X1057" s="448" t="s">
        <v>51</v>
      </c>
      <c r="Y1057" s="448" t="s">
        <v>51</v>
      </c>
      <c r="Z1057" s="448" t="s">
        <v>808</v>
      </c>
      <c r="AA1057" s="448" t="s">
        <v>62</v>
      </c>
      <c r="AB1057" s="448" t="s">
        <v>62</v>
      </c>
      <c r="AC1057" s="448" t="s">
        <v>61</v>
      </c>
      <c r="AD1057" s="447"/>
      <c r="AE1057" s="447"/>
      <c r="AF1057" s="447"/>
      <c r="AG1057" s="447"/>
      <c r="AH1057" s="447"/>
      <c r="AI1057" s="447"/>
      <c r="AJ1057" s="447"/>
      <c r="AK1057" s="447"/>
      <c r="AL1057" s="447"/>
      <c r="AM1057" s="447"/>
      <c r="AN1057" s="447"/>
      <c r="AO1057" s="447"/>
      <c r="AP1057" s="447"/>
      <c r="AQ1057" s="447"/>
      <c r="AR1057" s="447"/>
      <c r="AS1057" s="447"/>
      <c r="AT1057" s="447"/>
      <c r="AU1057" s="447"/>
      <c r="AV1057" s="447"/>
      <c r="AW1057" s="447"/>
      <c r="AX1057" s="447"/>
      <c r="AY1057" s="447"/>
      <c r="AZ1057" s="447"/>
      <c r="BA1057" s="448" t="s">
        <v>51</v>
      </c>
      <c r="BB1057" s="448" t="s">
        <v>51</v>
      </c>
      <c r="BC1057" s="447"/>
      <c r="BD1057" s="448" t="s">
        <v>864</v>
      </c>
      <c r="BE1057" s="447">
        <v>389</v>
      </c>
    </row>
    <row r="1058" spans="1:57" ht="30" customHeight="1">
      <c r="A1058" s="494" t="s">
        <v>3365</v>
      </c>
      <c r="B1058" s="494" t="s">
        <v>3382</v>
      </c>
      <c r="C1058" s="495" t="s">
        <v>2568</v>
      </c>
      <c r="D1058" s="1133">
        <v>1</v>
      </c>
      <c r="E1058" s="445">
        <f>'2층전시실산출 '!H455</f>
        <v>1</v>
      </c>
      <c r="F1058" s="1147">
        <v>70000</v>
      </c>
      <c r="G1058" s="1147">
        <v>70000</v>
      </c>
      <c r="H1058" s="450">
        <f>단가대비표!O394</f>
        <v>70000</v>
      </c>
      <c r="I1058" s="450">
        <f t="shared" si="127"/>
        <v>70000</v>
      </c>
      <c r="J1058" s="1147"/>
      <c r="K1058" s="1147">
        <v>0</v>
      </c>
      <c r="L1058" s="450"/>
      <c r="M1058" s="450">
        <f t="shared" si="128"/>
        <v>0</v>
      </c>
      <c r="N1058" s="1147"/>
      <c r="O1058" s="1147">
        <v>0</v>
      </c>
      <c r="P1058" s="450"/>
      <c r="Q1058" s="450">
        <f t="shared" si="131"/>
        <v>0</v>
      </c>
      <c r="R1058" s="1147">
        <v>70000</v>
      </c>
      <c r="S1058" s="1147">
        <v>70000</v>
      </c>
      <c r="T1058" s="450">
        <f t="shared" si="129"/>
        <v>70000</v>
      </c>
      <c r="U1058" s="450">
        <f t="shared" si="130"/>
        <v>70000</v>
      </c>
      <c r="V1058" s="454" t="s">
        <v>51</v>
      </c>
      <c r="W1058" s="448" t="s">
        <v>865</v>
      </c>
      <c r="X1058" s="448" t="s">
        <v>51</v>
      </c>
      <c r="Y1058" s="448" t="s">
        <v>51</v>
      </c>
      <c r="Z1058" s="448" t="s">
        <v>808</v>
      </c>
      <c r="AA1058" s="448" t="s">
        <v>62</v>
      </c>
      <c r="AB1058" s="448" t="s">
        <v>62</v>
      </c>
      <c r="AC1058" s="448" t="s">
        <v>61</v>
      </c>
      <c r="AD1058" s="447"/>
      <c r="AE1058" s="447"/>
      <c r="AF1058" s="447"/>
      <c r="AG1058" s="447"/>
      <c r="AH1058" s="447"/>
      <c r="AI1058" s="447"/>
      <c r="AJ1058" s="447"/>
      <c r="AK1058" s="447"/>
      <c r="AL1058" s="447"/>
      <c r="AM1058" s="447"/>
      <c r="AN1058" s="447"/>
      <c r="AO1058" s="447"/>
      <c r="AP1058" s="447"/>
      <c r="AQ1058" s="447"/>
      <c r="AR1058" s="447"/>
      <c r="AS1058" s="447"/>
      <c r="AT1058" s="447"/>
      <c r="AU1058" s="447"/>
      <c r="AV1058" s="447"/>
      <c r="AW1058" s="447"/>
      <c r="AX1058" s="447"/>
      <c r="AY1058" s="447"/>
      <c r="AZ1058" s="447"/>
      <c r="BA1058" s="448" t="s">
        <v>51</v>
      </c>
      <c r="BB1058" s="448" t="s">
        <v>51</v>
      </c>
      <c r="BC1058" s="447"/>
      <c r="BD1058" s="448" t="s">
        <v>866</v>
      </c>
      <c r="BE1058" s="447">
        <v>390</v>
      </c>
    </row>
    <row r="1059" spans="1:57" ht="30" customHeight="1">
      <c r="A1059" s="494" t="s">
        <v>3365</v>
      </c>
      <c r="B1059" s="494" t="s">
        <v>3383</v>
      </c>
      <c r="C1059" s="495" t="s">
        <v>2568</v>
      </c>
      <c r="D1059" s="1133">
        <v>1</v>
      </c>
      <c r="E1059" s="445">
        <f>'2층전시실산출 '!H456</f>
        <v>1</v>
      </c>
      <c r="F1059" s="1147">
        <v>70000</v>
      </c>
      <c r="G1059" s="1147">
        <v>70000</v>
      </c>
      <c r="H1059" s="450">
        <f>단가대비표!O395</f>
        <v>70000</v>
      </c>
      <c r="I1059" s="450">
        <f t="shared" si="127"/>
        <v>70000</v>
      </c>
      <c r="J1059" s="1147"/>
      <c r="K1059" s="1147">
        <v>0</v>
      </c>
      <c r="L1059" s="450"/>
      <c r="M1059" s="450">
        <f t="shared" si="128"/>
        <v>0</v>
      </c>
      <c r="N1059" s="1147"/>
      <c r="O1059" s="1147">
        <v>0</v>
      </c>
      <c r="P1059" s="450"/>
      <c r="Q1059" s="450">
        <f t="shared" si="131"/>
        <v>0</v>
      </c>
      <c r="R1059" s="1147">
        <v>70000</v>
      </c>
      <c r="S1059" s="1147">
        <v>70000</v>
      </c>
      <c r="T1059" s="450">
        <f t="shared" si="129"/>
        <v>70000</v>
      </c>
      <c r="U1059" s="450">
        <f t="shared" si="130"/>
        <v>70000</v>
      </c>
      <c r="V1059" s="454" t="s">
        <v>51</v>
      </c>
      <c r="W1059" s="448" t="s">
        <v>867</v>
      </c>
      <c r="X1059" s="448" t="s">
        <v>51</v>
      </c>
      <c r="Y1059" s="448" t="s">
        <v>51</v>
      </c>
      <c r="Z1059" s="448" t="s">
        <v>808</v>
      </c>
      <c r="AA1059" s="448" t="s">
        <v>62</v>
      </c>
      <c r="AB1059" s="448" t="s">
        <v>62</v>
      </c>
      <c r="AC1059" s="448" t="s">
        <v>61</v>
      </c>
      <c r="AD1059" s="447"/>
      <c r="AE1059" s="447"/>
      <c r="AF1059" s="447"/>
      <c r="AG1059" s="447"/>
      <c r="AH1059" s="447"/>
      <c r="AI1059" s="447"/>
      <c r="AJ1059" s="447"/>
      <c r="AK1059" s="447"/>
      <c r="AL1059" s="447"/>
      <c r="AM1059" s="447"/>
      <c r="AN1059" s="447"/>
      <c r="AO1059" s="447"/>
      <c r="AP1059" s="447"/>
      <c r="AQ1059" s="447"/>
      <c r="AR1059" s="447"/>
      <c r="AS1059" s="447"/>
      <c r="AT1059" s="447"/>
      <c r="AU1059" s="447"/>
      <c r="AV1059" s="447"/>
      <c r="AW1059" s="447"/>
      <c r="AX1059" s="447"/>
      <c r="AY1059" s="447"/>
      <c r="AZ1059" s="447"/>
      <c r="BA1059" s="448" t="s">
        <v>51</v>
      </c>
      <c r="BB1059" s="448" t="s">
        <v>51</v>
      </c>
      <c r="BC1059" s="447"/>
      <c r="BD1059" s="448" t="s">
        <v>868</v>
      </c>
      <c r="BE1059" s="447">
        <v>391</v>
      </c>
    </row>
    <row r="1060" spans="1:57" ht="30" customHeight="1">
      <c r="A1060" s="494" t="s">
        <v>3365</v>
      </c>
      <c r="B1060" s="494" t="s">
        <v>3384</v>
      </c>
      <c r="C1060" s="495" t="s">
        <v>2568</v>
      </c>
      <c r="D1060" s="1133">
        <v>1</v>
      </c>
      <c r="E1060" s="445">
        <f>'2층전시실산출 '!H457</f>
        <v>1</v>
      </c>
      <c r="F1060" s="1147">
        <v>80000</v>
      </c>
      <c r="G1060" s="1147">
        <v>80000</v>
      </c>
      <c r="H1060" s="450">
        <f>단가대비표!O396</f>
        <v>80000</v>
      </c>
      <c r="I1060" s="450">
        <f t="shared" si="127"/>
        <v>80000</v>
      </c>
      <c r="J1060" s="1147"/>
      <c r="K1060" s="1147">
        <v>0</v>
      </c>
      <c r="L1060" s="450"/>
      <c r="M1060" s="450">
        <f t="shared" si="128"/>
        <v>0</v>
      </c>
      <c r="N1060" s="1147"/>
      <c r="O1060" s="1147">
        <v>0</v>
      </c>
      <c r="P1060" s="450"/>
      <c r="Q1060" s="450">
        <f t="shared" si="131"/>
        <v>0</v>
      </c>
      <c r="R1060" s="1147">
        <v>80000</v>
      </c>
      <c r="S1060" s="1147">
        <v>80000</v>
      </c>
      <c r="T1060" s="450">
        <f t="shared" si="129"/>
        <v>80000</v>
      </c>
      <c r="U1060" s="450">
        <f t="shared" si="130"/>
        <v>80000</v>
      </c>
      <c r="V1060" s="454" t="s">
        <v>51</v>
      </c>
      <c r="W1060" s="448" t="s">
        <v>869</v>
      </c>
      <c r="X1060" s="448" t="s">
        <v>51</v>
      </c>
      <c r="Y1060" s="448" t="s">
        <v>51</v>
      </c>
      <c r="Z1060" s="448" t="s">
        <v>808</v>
      </c>
      <c r="AA1060" s="448" t="s">
        <v>62</v>
      </c>
      <c r="AB1060" s="448" t="s">
        <v>62</v>
      </c>
      <c r="AC1060" s="448" t="s">
        <v>61</v>
      </c>
      <c r="AD1060" s="447"/>
      <c r="AE1060" s="447"/>
      <c r="AF1060" s="447"/>
      <c r="AG1060" s="447"/>
      <c r="AH1060" s="447"/>
      <c r="AI1060" s="447"/>
      <c r="AJ1060" s="447"/>
      <c r="AK1060" s="447"/>
      <c r="AL1060" s="447"/>
      <c r="AM1060" s="447"/>
      <c r="AN1060" s="447"/>
      <c r="AO1060" s="447"/>
      <c r="AP1060" s="447"/>
      <c r="AQ1060" s="447"/>
      <c r="AR1060" s="447"/>
      <c r="AS1060" s="447"/>
      <c r="AT1060" s="447"/>
      <c r="AU1060" s="447"/>
      <c r="AV1060" s="447"/>
      <c r="AW1060" s="447"/>
      <c r="AX1060" s="447"/>
      <c r="AY1060" s="447"/>
      <c r="AZ1060" s="447"/>
      <c r="BA1060" s="448" t="s">
        <v>51</v>
      </c>
      <c r="BB1060" s="448" t="s">
        <v>51</v>
      </c>
      <c r="BC1060" s="447"/>
      <c r="BD1060" s="448" t="s">
        <v>870</v>
      </c>
      <c r="BE1060" s="447">
        <v>392</v>
      </c>
    </row>
    <row r="1061" spans="1:57" ht="30" customHeight="1">
      <c r="A1061" s="494" t="s">
        <v>3365</v>
      </c>
      <c r="B1061" s="494" t="s">
        <v>3385</v>
      </c>
      <c r="C1061" s="495" t="s">
        <v>2568</v>
      </c>
      <c r="D1061" s="1133">
        <v>1</v>
      </c>
      <c r="E1061" s="445">
        <f>'2층전시실산출 '!H458</f>
        <v>1</v>
      </c>
      <c r="F1061" s="1147">
        <v>20000</v>
      </c>
      <c r="G1061" s="1147">
        <v>20000</v>
      </c>
      <c r="H1061" s="450">
        <f>단가대비표!O397</f>
        <v>20000</v>
      </c>
      <c r="I1061" s="450">
        <f t="shared" si="127"/>
        <v>20000</v>
      </c>
      <c r="J1061" s="1147"/>
      <c r="K1061" s="1147">
        <v>0</v>
      </c>
      <c r="L1061" s="450"/>
      <c r="M1061" s="450">
        <f t="shared" si="128"/>
        <v>0</v>
      </c>
      <c r="N1061" s="1147"/>
      <c r="O1061" s="1147">
        <v>0</v>
      </c>
      <c r="P1061" s="450"/>
      <c r="Q1061" s="450">
        <f t="shared" si="131"/>
        <v>0</v>
      </c>
      <c r="R1061" s="1147">
        <v>20000</v>
      </c>
      <c r="S1061" s="1147">
        <v>20000</v>
      </c>
      <c r="T1061" s="450">
        <f t="shared" si="129"/>
        <v>20000</v>
      </c>
      <c r="U1061" s="450">
        <f t="shared" si="130"/>
        <v>20000</v>
      </c>
      <c r="V1061" s="454" t="s">
        <v>51</v>
      </c>
      <c r="W1061" s="448" t="s">
        <v>871</v>
      </c>
      <c r="X1061" s="448" t="s">
        <v>51</v>
      </c>
      <c r="Y1061" s="448" t="s">
        <v>51</v>
      </c>
      <c r="Z1061" s="448" t="s">
        <v>808</v>
      </c>
      <c r="AA1061" s="448" t="s">
        <v>62</v>
      </c>
      <c r="AB1061" s="448" t="s">
        <v>62</v>
      </c>
      <c r="AC1061" s="448" t="s">
        <v>61</v>
      </c>
      <c r="AD1061" s="447"/>
      <c r="AE1061" s="447"/>
      <c r="AF1061" s="447"/>
      <c r="AG1061" s="447"/>
      <c r="AH1061" s="447"/>
      <c r="AI1061" s="447"/>
      <c r="AJ1061" s="447"/>
      <c r="AK1061" s="447"/>
      <c r="AL1061" s="447"/>
      <c r="AM1061" s="447"/>
      <c r="AN1061" s="447"/>
      <c r="AO1061" s="447"/>
      <c r="AP1061" s="447"/>
      <c r="AQ1061" s="447"/>
      <c r="AR1061" s="447"/>
      <c r="AS1061" s="447"/>
      <c r="AT1061" s="447"/>
      <c r="AU1061" s="447"/>
      <c r="AV1061" s="447"/>
      <c r="AW1061" s="447"/>
      <c r="AX1061" s="447"/>
      <c r="AY1061" s="447"/>
      <c r="AZ1061" s="447"/>
      <c r="BA1061" s="448" t="s">
        <v>51</v>
      </c>
      <c r="BB1061" s="448" t="s">
        <v>51</v>
      </c>
      <c r="BC1061" s="447"/>
      <c r="BD1061" s="448" t="s">
        <v>872</v>
      </c>
      <c r="BE1061" s="447">
        <v>393</v>
      </c>
    </row>
    <row r="1062" spans="1:57" ht="30" customHeight="1">
      <c r="A1062" s="494" t="s">
        <v>3365</v>
      </c>
      <c r="B1062" s="494" t="s">
        <v>3386</v>
      </c>
      <c r="C1062" s="495" t="s">
        <v>2568</v>
      </c>
      <c r="D1062" s="1133">
        <v>1</v>
      </c>
      <c r="E1062" s="445">
        <f>'2층전시실산출 '!H459</f>
        <v>1</v>
      </c>
      <c r="F1062" s="1147">
        <v>120000</v>
      </c>
      <c r="G1062" s="1147">
        <v>120000</v>
      </c>
      <c r="H1062" s="450">
        <f>단가대비표!O398</f>
        <v>120000</v>
      </c>
      <c r="I1062" s="450">
        <f t="shared" si="127"/>
        <v>120000</v>
      </c>
      <c r="J1062" s="1147"/>
      <c r="K1062" s="1147">
        <v>0</v>
      </c>
      <c r="L1062" s="450"/>
      <c r="M1062" s="450">
        <f t="shared" si="128"/>
        <v>0</v>
      </c>
      <c r="N1062" s="1147"/>
      <c r="O1062" s="1147">
        <v>0</v>
      </c>
      <c r="P1062" s="450"/>
      <c r="Q1062" s="450">
        <f t="shared" si="131"/>
        <v>0</v>
      </c>
      <c r="R1062" s="1147">
        <v>120000</v>
      </c>
      <c r="S1062" s="1147">
        <v>120000</v>
      </c>
      <c r="T1062" s="450">
        <f t="shared" si="129"/>
        <v>120000</v>
      </c>
      <c r="U1062" s="450">
        <f t="shared" si="130"/>
        <v>120000</v>
      </c>
      <c r="V1062" s="454" t="s">
        <v>51</v>
      </c>
      <c r="W1062" s="448" t="s">
        <v>873</v>
      </c>
      <c r="X1062" s="448" t="s">
        <v>51</v>
      </c>
      <c r="Y1062" s="448" t="s">
        <v>51</v>
      </c>
      <c r="Z1062" s="448" t="s">
        <v>808</v>
      </c>
      <c r="AA1062" s="448" t="s">
        <v>62</v>
      </c>
      <c r="AB1062" s="448" t="s">
        <v>62</v>
      </c>
      <c r="AC1062" s="448" t="s">
        <v>61</v>
      </c>
      <c r="AD1062" s="447"/>
      <c r="AE1062" s="447"/>
      <c r="AF1062" s="447"/>
      <c r="AG1062" s="447"/>
      <c r="AH1062" s="447"/>
      <c r="AI1062" s="447"/>
      <c r="AJ1062" s="447"/>
      <c r="AK1062" s="447"/>
      <c r="AL1062" s="447"/>
      <c r="AM1062" s="447"/>
      <c r="AN1062" s="447"/>
      <c r="AO1062" s="447"/>
      <c r="AP1062" s="447"/>
      <c r="AQ1062" s="447"/>
      <c r="AR1062" s="447"/>
      <c r="AS1062" s="447"/>
      <c r="AT1062" s="447"/>
      <c r="AU1062" s="447"/>
      <c r="AV1062" s="447"/>
      <c r="AW1062" s="447"/>
      <c r="AX1062" s="447"/>
      <c r="AY1062" s="447"/>
      <c r="AZ1062" s="447"/>
      <c r="BA1062" s="448" t="s">
        <v>51</v>
      </c>
      <c r="BB1062" s="448" t="s">
        <v>51</v>
      </c>
      <c r="BC1062" s="447"/>
      <c r="BD1062" s="448" t="s">
        <v>874</v>
      </c>
      <c r="BE1062" s="447">
        <v>394</v>
      </c>
    </row>
    <row r="1063" spans="1:57" ht="30" customHeight="1">
      <c r="A1063" s="494" t="s">
        <v>3365</v>
      </c>
      <c r="B1063" s="494" t="s">
        <v>3387</v>
      </c>
      <c r="C1063" s="495" t="s">
        <v>2568</v>
      </c>
      <c r="D1063" s="1133">
        <v>1</v>
      </c>
      <c r="E1063" s="445">
        <f>'2층전시실산출 '!H460</f>
        <v>1</v>
      </c>
      <c r="F1063" s="1147">
        <v>140000</v>
      </c>
      <c r="G1063" s="1147">
        <v>140000</v>
      </c>
      <c r="H1063" s="450">
        <f>단가대비표!O399</f>
        <v>140000</v>
      </c>
      <c r="I1063" s="450">
        <f t="shared" si="127"/>
        <v>140000</v>
      </c>
      <c r="J1063" s="1147"/>
      <c r="K1063" s="1147">
        <v>0</v>
      </c>
      <c r="L1063" s="450"/>
      <c r="M1063" s="450">
        <f t="shared" si="128"/>
        <v>0</v>
      </c>
      <c r="N1063" s="1147"/>
      <c r="O1063" s="1147">
        <v>0</v>
      </c>
      <c r="P1063" s="450"/>
      <c r="Q1063" s="450">
        <f t="shared" si="131"/>
        <v>0</v>
      </c>
      <c r="R1063" s="1147">
        <v>140000</v>
      </c>
      <c r="S1063" s="1147">
        <v>140000</v>
      </c>
      <c r="T1063" s="450">
        <f t="shared" si="129"/>
        <v>140000</v>
      </c>
      <c r="U1063" s="450">
        <f t="shared" si="130"/>
        <v>140000</v>
      </c>
      <c r="V1063" s="454" t="s">
        <v>51</v>
      </c>
      <c r="W1063" s="448" t="s">
        <v>875</v>
      </c>
      <c r="X1063" s="448" t="s">
        <v>51</v>
      </c>
      <c r="Y1063" s="448" t="s">
        <v>51</v>
      </c>
      <c r="Z1063" s="448" t="s">
        <v>808</v>
      </c>
      <c r="AA1063" s="448" t="s">
        <v>62</v>
      </c>
      <c r="AB1063" s="448" t="s">
        <v>62</v>
      </c>
      <c r="AC1063" s="448" t="s">
        <v>61</v>
      </c>
      <c r="AD1063" s="447"/>
      <c r="AE1063" s="447"/>
      <c r="AF1063" s="447"/>
      <c r="AG1063" s="447"/>
      <c r="AH1063" s="447"/>
      <c r="AI1063" s="447"/>
      <c r="AJ1063" s="447"/>
      <c r="AK1063" s="447"/>
      <c r="AL1063" s="447"/>
      <c r="AM1063" s="447"/>
      <c r="AN1063" s="447"/>
      <c r="AO1063" s="447"/>
      <c r="AP1063" s="447"/>
      <c r="AQ1063" s="447"/>
      <c r="AR1063" s="447"/>
      <c r="AS1063" s="447"/>
      <c r="AT1063" s="447"/>
      <c r="AU1063" s="447"/>
      <c r="AV1063" s="447"/>
      <c r="AW1063" s="447"/>
      <c r="AX1063" s="447"/>
      <c r="AY1063" s="447"/>
      <c r="AZ1063" s="447"/>
      <c r="BA1063" s="448" t="s">
        <v>51</v>
      </c>
      <c r="BB1063" s="448" t="s">
        <v>51</v>
      </c>
      <c r="BC1063" s="447"/>
      <c r="BD1063" s="448" t="s">
        <v>876</v>
      </c>
      <c r="BE1063" s="447">
        <v>395</v>
      </c>
    </row>
    <row r="1064" spans="1:57" ht="30" customHeight="1">
      <c r="A1064" s="494" t="s">
        <v>3365</v>
      </c>
      <c r="B1064" s="494" t="s">
        <v>3388</v>
      </c>
      <c r="C1064" s="495" t="s">
        <v>2568</v>
      </c>
      <c r="D1064" s="1133">
        <v>1</v>
      </c>
      <c r="E1064" s="445">
        <f>'2층전시실산출 '!H461</f>
        <v>1</v>
      </c>
      <c r="F1064" s="1147">
        <v>120000</v>
      </c>
      <c r="G1064" s="1147">
        <v>120000</v>
      </c>
      <c r="H1064" s="450">
        <f>단가대비표!O400</f>
        <v>120000</v>
      </c>
      <c r="I1064" s="450">
        <f t="shared" si="127"/>
        <v>120000</v>
      </c>
      <c r="J1064" s="1147"/>
      <c r="K1064" s="1147">
        <v>0</v>
      </c>
      <c r="L1064" s="450"/>
      <c r="M1064" s="450">
        <f t="shared" si="128"/>
        <v>0</v>
      </c>
      <c r="N1064" s="1147"/>
      <c r="O1064" s="1147">
        <v>0</v>
      </c>
      <c r="P1064" s="450"/>
      <c r="Q1064" s="450">
        <f t="shared" si="131"/>
        <v>0</v>
      </c>
      <c r="R1064" s="1147">
        <v>120000</v>
      </c>
      <c r="S1064" s="1147">
        <v>120000</v>
      </c>
      <c r="T1064" s="450">
        <f t="shared" si="129"/>
        <v>120000</v>
      </c>
      <c r="U1064" s="450">
        <f t="shared" si="130"/>
        <v>120000</v>
      </c>
      <c r="V1064" s="454" t="s">
        <v>51</v>
      </c>
      <c r="W1064" s="448" t="s">
        <v>877</v>
      </c>
      <c r="X1064" s="448" t="s">
        <v>51</v>
      </c>
      <c r="Y1064" s="448" t="s">
        <v>51</v>
      </c>
      <c r="Z1064" s="448" t="s">
        <v>808</v>
      </c>
      <c r="AA1064" s="448" t="s">
        <v>62</v>
      </c>
      <c r="AB1064" s="448" t="s">
        <v>62</v>
      </c>
      <c r="AC1064" s="448" t="s">
        <v>61</v>
      </c>
      <c r="AD1064" s="447"/>
      <c r="AE1064" s="447"/>
      <c r="AF1064" s="447"/>
      <c r="AG1064" s="447"/>
      <c r="AH1064" s="447"/>
      <c r="AI1064" s="447"/>
      <c r="AJ1064" s="447"/>
      <c r="AK1064" s="447"/>
      <c r="AL1064" s="447"/>
      <c r="AM1064" s="447"/>
      <c r="AN1064" s="447"/>
      <c r="AO1064" s="447"/>
      <c r="AP1064" s="447"/>
      <c r="AQ1064" s="447"/>
      <c r="AR1064" s="447"/>
      <c r="AS1064" s="447"/>
      <c r="AT1064" s="447"/>
      <c r="AU1064" s="447"/>
      <c r="AV1064" s="447"/>
      <c r="AW1064" s="447"/>
      <c r="AX1064" s="447"/>
      <c r="AY1064" s="447"/>
      <c r="AZ1064" s="447"/>
      <c r="BA1064" s="448" t="s">
        <v>51</v>
      </c>
      <c r="BB1064" s="448" t="s">
        <v>51</v>
      </c>
      <c r="BC1064" s="447"/>
      <c r="BD1064" s="448" t="s">
        <v>878</v>
      </c>
      <c r="BE1064" s="447">
        <v>396</v>
      </c>
    </row>
    <row r="1065" spans="1:57" ht="30" customHeight="1">
      <c r="A1065" s="494" t="s">
        <v>3365</v>
      </c>
      <c r="B1065" s="494" t="s">
        <v>3389</v>
      </c>
      <c r="C1065" s="495" t="s">
        <v>2568</v>
      </c>
      <c r="D1065" s="1133">
        <v>1</v>
      </c>
      <c r="E1065" s="445">
        <f>'2층전시실산출 '!H462</f>
        <v>1</v>
      </c>
      <c r="F1065" s="1147">
        <v>180000</v>
      </c>
      <c r="G1065" s="1147">
        <v>180000</v>
      </c>
      <c r="H1065" s="450">
        <f>단가대비표!O401</f>
        <v>180000</v>
      </c>
      <c r="I1065" s="450">
        <f t="shared" si="127"/>
        <v>180000</v>
      </c>
      <c r="J1065" s="1147"/>
      <c r="K1065" s="1147">
        <v>0</v>
      </c>
      <c r="L1065" s="450"/>
      <c r="M1065" s="450">
        <f t="shared" si="128"/>
        <v>0</v>
      </c>
      <c r="N1065" s="1147"/>
      <c r="O1065" s="1147">
        <v>0</v>
      </c>
      <c r="P1065" s="450"/>
      <c r="Q1065" s="450">
        <f t="shared" si="131"/>
        <v>0</v>
      </c>
      <c r="R1065" s="1147">
        <v>180000</v>
      </c>
      <c r="S1065" s="1147">
        <v>180000</v>
      </c>
      <c r="T1065" s="450">
        <f t="shared" si="129"/>
        <v>180000</v>
      </c>
      <c r="U1065" s="450">
        <f t="shared" si="130"/>
        <v>180000</v>
      </c>
      <c r="V1065" s="454" t="s">
        <v>51</v>
      </c>
      <c r="W1065" s="448" t="s">
        <v>879</v>
      </c>
      <c r="X1065" s="448" t="s">
        <v>51</v>
      </c>
      <c r="Y1065" s="448" t="s">
        <v>51</v>
      </c>
      <c r="Z1065" s="448" t="s">
        <v>808</v>
      </c>
      <c r="AA1065" s="448" t="s">
        <v>62</v>
      </c>
      <c r="AB1065" s="448" t="s">
        <v>62</v>
      </c>
      <c r="AC1065" s="448" t="s">
        <v>61</v>
      </c>
      <c r="AD1065" s="447"/>
      <c r="AE1065" s="447"/>
      <c r="AF1065" s="447"/>
      <c r="AG1065" s="447"/>
      <c r="AH1065" s="447"/>
      <c r="AI1065" s="447"/>
      <c r="AJ1065" s="447"/>
      <c r="AK1065" s="447"/>
      <c r="AL1065" s="447"/>
      <c r="AM1065" s="447"/>
      <c r="AN1065" s="447"/>
      <c r="AO1065" s="447"/>
      <c r="AP1065" s="447"/>
      <c r="AQ1065" s="447"/>
      <c r="AR1065" s="447"/>
      <c r="AS1065" s="447"/>
      <c r="AT1065" s="447"/>
      <c r="AU1065" s="447"/>
      <c r="AV1065" s="447"/>
      <c r="AW1065" s="447"/>
      <c r="AX1065" s="447"/>
      <c r="AY1065" s="447"/>
      <c r="AZ1065" s="447"/>
      <c r="BA1065" s="448" t="s">
        <v>51</v>
      </c>
      <c r="BB1065" s="448" t="s">
        <v>51</v>
      </c>
      <c r="BC1065" s="447"/>
      <c r="BD1065" s="448" t="s">
        <v>880</v>
      </c>
      <c r="BE1065" s="447">
        <v>397</v>
      </c>
    </row>
    <row r="1066" spans="1:57" ht="30" customHeight="1">
      <c r="A1066" s="494" t="s">
        <v>3365</v>
      </c>
      <c r="B1066" s="494" t="s">
        <v>3390</v>
      </c>
      <c r="C1066" s="495" t="s">
        <v>2568</v>
      </c>
      <c r="D1066" s="1133">
        <v>1</v>
      </c>
      <c r="E1066" s="445">
        <f>'2층전시실산출 '!H463</f>
        <v>1</v>
      </c>
      <c r="F1066" s="1147">
        <v>250000</v>
      </c>
      <c r="G1066" s="1147">
        <v>250000</v>
      </c>
      <c r="H1066" s="450">
        <f>단가대비표!O402</f>
        <v>250000</v>
      </c>
      <c r="I1066" s="450">
        <f t="shared" si="127"/>
        <v>250000</v>
      </c>
      <c r="J1066" s="1147"/>
      <c r="K1066" s="1147">
        <v>0</v>
      </c>
      <c r="L1066" s="450"/>
      <c r="M1066" s="450">
        <f t="shared" si="128"/>
        <v>0</v>
      </c>
      <c r="N1066" s="1147"/>
      <c r="O1066" s="1147">
        <v>0</v>
      </c>
      <c r="P1066" s="450"/>
      <c r="Q1066" s="450">
        <f t="shared" si="131"/>
        <v>0</v>
      </c>
      <c r="R1066" s="1147">
        <v>250000</v>
      </c>
      <c r="S1066" s="1147">
        <v>250000</v>
      </c>
      <c r="T1066" s="450">
        <f t="shared" si="129"/>
        <v>250000</v>
      </c>
      <c r="U1066" s="450">
        <f t="shared" si="130"/>
        <v>250000</v>
      </c>
      <c r="V1066" s="454" t="s">
        <v>51</v>
      </c>
      <c r="W1066" s="448" t="s">
        <v>881</v>
      </c>
      <c r="X1066" s="448" t="s">
        <v>51</v>
      </c>
      <c r="Y1066" s="448" t="s">
        <v>51</v>
      </c>
      <c r="Z1066" s="448" t="s">
        <v>808</v>
      </c>
      <c r="AA1066" s="448" t="s">
        <v>62</v>
      </c>
      <c r="AB1066" s="448" t="s">
        <v>62</v>
      </c>
      <c r="AC1066" s="448" t="s">
        <v>61</v>
      </c>
      <c r="AD1066" s="447"/>
      <c r="AE1066" s="447"/>
      <c r="AF1066" s="447"/>
      <c r="AG1066" s="447"/>
      <c r="AH1066" s="447"/>
      <c r="AI1066" s="447"/>
      <c r="AJ1066" s="447"/>
      <c r="AK1066" s="447"/>
      <c r="AL1066" s="447"/>
      <c r="AM1066" s="447"/>
      <c r="AN1066" s="447"/>
      <c r="AO1066" s="447"/>
      <c r="AP1066" s="447"/>
      <c r="AQ1066" s="447"/>
      <c r="AR1066" s="447"/>
      <c r="AS1066" s="447"/>
      <c r="AT1066" s="447"/>
      <c r="AU1066" s="447"/>
      <c r="AV1066" s="447"/>
      <c r="AW1066" s="447"/>
      <c r="AX1066" s="447"/>
      <c r="AY1066" s="447"/>
      <c r="AZ1066" s="447"/>
      <c r="BA1066" s="448" t="s">
        <v>51</v>
      </c>
      <c r="BB1066" s="448" t="s">
        <v>51</v>
      </c>
      <c r="BC1066" s="447"/>
      <c r="BD1066" s="448" t="s">
        <v>882</v>
      </c>
      <c r="BE1066" s="447">
        <v>398</v>
      </c>
    </row>
    <row r="1067" spans="1:57" ht="30" customHeight="1">
      <c r="A1067" s="494" t="s">
        <v>3365</v>
      </c>
      <c r="B1067" s="494" t="s">
        <v>3391</v>
      </c>
      <c r="C1067" s="495" t="s">
        <v>2568</v>
      </c>
      <c r="D1067" s="1133">
        <v>1</v>
      </c>
      <c r="E1067" s="445">
        <f>'2층전시실산출 '!H464</f>
        <v>1</v>
      </c>
      <c r="F1067" s="1147">
        <v>220000</v>
      </c>
      <c r="G1067" s="1147">
        <v>220000</v>
      </c>
      <c r="H1067" s="450">
        <f>단가대비표!O403</f>
        <v>220000</v>
      </c>
      <c r="I1067" s="450">
        <f t="shared" si="127"/>
        <v>220000</v>
      </c>
      <c r="J1067" s="1147"/>
      <c r="K1067" s="1147">
        <v>0</v>
      </c>
      <c r="L1067" s="450"/>
      <c r="M1067" s="450">
        <f t="shared" si="128"/>
        <v>0</v>
      </c>
      <c r="N1067" s="1147"/>
      <c r="O1067" s="1147">
        <v>0</v>
      </c>
      <c r="P1067" s="450"/>
      <c r="Q1067" s="450">
        <f t="shared" si="131"/>
        <v>0</v>
      </c>
      <c r="R1067" s="1147">
        <v>220000</v>
      </c>
      <c r="S1067" s="1147">
        <v>220000</v>
      </c>
      <c r="T1067" s="450">
        <f t="shared" si="129"/>
        <v>220000</v>
      </c>
      <c r="U1067" s="450">
        <f t="shared" si="130"/>
        <v>220000</v>
      </c>
      <c r="V1067" s="454" t="s">
        <v>51</v>
      </c>
      <c r="W1067" s="448" t="s">
        <v>883</v>
      </c>
      <c r="X1067" s="448" t="s">
        <v>51</v>
      </c>
      <c r="Y1067" s="448" t="s">
        <v>51</v>
      </c>
      <c r="Z1067" s="448" t="s">
        <v>808</v>
      </c>
      <c r="AA1067" s="448" t="s">
        <v>62</v>
      </c>
      <c r="AB1067" s="448" t="s">
        <v>62</v>
      </c>
      <c r="AC1067" s="448" t="s">
        <v>61</v>
      </c>
      <c r="AD1067" s="447"/>
      <c r="AE1067" s="447"/>
      <c r="AF1067" s="447"/>
      <c r="AG1067" s="447"/>
      <c r="AH1067" s="447"/>
      <c r="AI1067" s="447"/>
      <c r="AJ1067" s="447"/>
      <c r="AK1067" s="447"/>
      <c r="AL1067" s="447"/>
      <c r="AM1067" s="447"/>
      <c r="AN1067" s="447"/>
      <c r="AO1067" s="447"/>
      <c r="AP1067" s="447"/>
      <c r="AQ1067" s="447"/>
      <c r="AR1067" s="447"/>
      <c r="AS1067" s="447"/>
      <c r="AT1067" s="447"/>
      <c r="AU1067" s="447"/>
      <c r="AV1067" s="447"/>
      <c r="AW1067" s="447"/>
      <c r="AX1067" s="447"/>
      <c r="AY1067" s="447"/>
      <c r="AZ1067" s="447"/>
      <c r="BA1067" s="448" t="s">
        <v>51</v>
      </c>
      <c r="BB1067" s="448" t="s">
        <v>51</v>
      </c>
      <c r="BC1067" s="447"/>
      <c r="BD1067" s="448" t="s">
        <v>884</v>
      </c>
      <c r="BE1067" s="447">
        <v>399</v>
      </c>
    </row>
    <row r="1068" spans="1:57" ht="30" customHeight="1">
      <c r="A1068" s="494" t="s">
        <v>3365</v>
      </c>
      <c r="B1068" s="494" t="s">
        <v>3392</v>
      </c>
      <c r="C1068" s="495" t="s">
        <v>2568</v>
      </c>
      <c r="D1068" s="1133">
        <v>1</v>
      </c>
      <c r="E1068" s="445">
        <f>'2층전시실산출 '!H465</f>
        <v>1</v>
      </c>
      <c r="F1068" s="1147">
        <v>90000</v>
      </c>
      <c r="G1068" s="1147">
        <v>90000</v>
      </c>
      <c r="H1068" s="450">
        <f>단가대비표!O404</f>
        <v>90000</v>
      </c>
      <c r="I1068" s="450">
        <f t="shared" si="127"/>
        <v>90000</v>
      </c>
      <c r="J1068" s="1147"/>
      <c r="K1068" s="1147">
        <v>0</v>
      </c>
      <c r="L1068" s="450"/>
      <c r="M1068" s="450">
        <f t="shared" si="128"/>
        <v>0</v>
      </c>
      <c r="N1068" s="1147"/>
      <c r="O1068" s="1147">
        <v>0</v>
      </c>
      <c r="P1068" s="450"/>
      <c r="Q1068" s="450">
        <f t="shared" si="131"/>
        <v>0</v>
      </c>
      <c r="R1068" s="1147">
        <v>90000</v>
      </c>
      <c r="S1068" s="1147">
        <v>90000</v>
      </c>
      <c r="T1068" s="450">
        <f t="shared" si="129"/>
        <v>90000</v>
      </c>
      <c r="U1068" s="450">
        <f t="shared" si="130"/>
        <v>90000</v>
      </c>
      <c r="V1068" s="454" t="s">
        <v>51</v>
      </c>
      <c r="W1068" s="448" t="s">
        <v>885</v>
      </c>
      <c r="X1068" s="448" t="s">
        <v>51</v>
      </c>
      <c r="Y1068" s="448" t="s">
        <v>51</v>
      </c>
      <c r="Z1068" s="448" t="s">
        <v>808</v>
      </c>
      <c r="AA1068" s="448" t="s">
        <v>62</v>
      </c>
      <c r="AB1068" s="448" t="s">
        <v>62</v>
      </c>
      <c r="AC1068" s="448" t="s">
        <v>61</v>
      </c>
      <c r="AD1068" s="447"/>
      <c r="AE1068" s="447"/>
      <c r="AF1068" s="447"/>
      <c r="AG1068" s="447"/>
      <c r="AH1068" s="447"/>
      <c r="AI1068" s="447"/>
      <c r="AJ1068" s="447"/>
      <c r="AK1068" s="447"/>
      <c r="AL1068" s="447"/>
      <c r="AM1068" s="447"/>
      <c r="AN1068" s="447"/>
      <c r="AO1068" s="447"/>
      <c r="AP1068" s="447"/>
      <c r="AQ1068" s="447"/>
      <c r="AR1068" s="447"/>
      <c r="AS1068" s="447"/>
      <c r="AT1068" s="447"/>
      <c r="AU1068" s="447"/>
      <c r="AV1068" s="447"/>
      <c r="AW1068" s="447"/>
      <c r="AX1068" s="447"/>
      <c r="AY1068" s="447"/>
      <c r="AZ1068" s="447"/>
      <c r="BA1068" s="448" t="s">
        <v>51</v>
      </c>
      <c r="BB1068" s="448" t="s">
        <v>51</v>
      </c>
      <c r="BC1068" s="447"/>
      <c r="BD1068" s="448" t="s">
        <v>886</v>
      </c>
      <c r="BE1068" s="447">
        <v>400</v>
      </c>
    </row>
    <row r="1069" spans="1:57" ht="30" customHeight="1">
      <c r="A1069" s="494" t="s">
        <v>3365</v>
      </c>
      <c r="B1069" s="494" t="s">
        <v>3393</v>
      </c>
      <c r="C1069" s="495" t="s">
        <v>2568</v>
      </c>
      <c r="D1069" s="1133">
        <v>1</v>
      </c>
      <c r="E1069" s="445">
        <f>'2층전시실산출 '!H466</f>
        <v>1</v>
      </c>
      <c r="F1069" s="1147">
        <v>120000</v>
      </c>
      <c r="G1069" s="1147">
        <v>120000</v>
      </c>
      <c r="H1069" s="450">
        <f>단가대비표!O405</f>
        <v>120000</v>
      </c>
      <c r="I1069" s="450">
        <f t="shared" si="127"/>
        <v>120000</v>
      </c>
      <c r="J1069" s="1147"/>
      <c r="K1069" s="1147">
        <v>0</v>
      </c>
      <c r="L1069" s="450"/>
      <c r="M1069" s="450">
        <f t="shared" si="128"/>
        <v>0</v>
      </c>
      <c r="N1069" s="1147"/>
      <c r="O1069" s="1147">
        <v>0</v>
      </c>
      <c r="P1069" s="450"/>
      <c r="Q1069" s="450">
        <f t="shared" si="131"/>
        <v>0</v>
      </c>
      <c r="R1069" s="1147">
        <v>120000</v>
      </c>
      <c r="S1069" s="1147">
        <v>120000</v>
      </c>
      <c r="T1069" s="450">
        <f t="shared" si="129"/>
        <v>120000</v>
      </c>
      <c r="U1069" s="450">
        <f t="shared" si="130"/>
        <v>120000</v>
      </c>
      <c r="V1069" s="454" t="s">
        <v>51</v>
      </c>
      <c r="W1069" s="448" t="s">
        <v>887</v>
      </c>
      <c r="X1069" s="448" t="s">
        <v>51</v>
      </c>
      <c r="Y1069" s="448" t="s">
        <v>51</v>
      </c>
      <c r="Z1069" s="448" t="s">
        <v>808</v>
      </c>
      <c r="AA1069" s="448" t="s">
        <v>62</v>
      </c>
      <c r="AB1069" s="448" t="s">
        <v>62</v>
      </c>
      <c r="AC1069" s="448" t="s">
        <v>61</v>
      </c>
      <c r="AD1069" s="447"/>
      <c r="AE1069" s="447"/>
      <c r="AF1069" s="447"/>
      <c r="AG1069" s="447"/>
      <c r="AH1069" s="447"/>
      <c r="AI1069" s="447"/>
      <c r="AJ1069" s="447"/>
      <c r="AK1069" s="447"/>
      <c r="AL1069" s="447"/>
      <c r="AM1069" s="447"/>
      <c r="AN1069" s="447"/>
      <c r="AO1069" s="447"/>
      <c r="AP1069" s="447"/>
      <c r="AQ1069" s="447"/>
      <c r="AR1069" s="447"/>
      <c r="AS1069" s="447"/>
      <c r="AT1069" s="447"/>
      <c r="AU1069" s="447"/>
      <c r="AV1069" s="447"/>
      <c r="AW1069" s="447"/>
      <c r="AX1069" s="447"/>
      <c r="AY1069" s="447"/>
      <c r="AZ1069" s="447"/>
      <c r="BA1069" s="448" t="s">
        <v>51</v>
      </c>
      <c r="BB1069" s="448" t="s">
        <v>51</v>
      </c>
      <c r="BC1069" s="447"/>
      <c r="BD1069" s="448" t="s">
        <v>888</v>
      </c>
      <c r="BE1069" s="447">
        <v>401</v>
      </c>
    </row>
    <row r="1070" spans="1:57" ht="30" customHeight="1">
      <c r="A1070" s="494" t="s">
        <v>3394</v>
      </c>
      <c r="B1070" s="494" t="s">
        <v>3395</v>
      </c>
      <c r="C1070" s="495" t="s">
        <v>2568</v>
      </c>
      <c r="D1070" s="1133">
        <v>1</v>
      </c>
      <c r="E1070" s="445">
        <f>'2층전시실산출 '!H467</f>
        <v>1</v>
      </c>
      <c r="F1070" s="1147">
        <v>40000</v>
      </c>
      <c r="G1070" s="1147">
        <v>40000</v>
      </c>
      <c r="H1070" s="450">
        <f>단가대비표!O406</f>
        <v>40000</v>
      </c>
      <c r="I1070" s="450">
        <f t="shared" si="127"/>
        <v>40000</v>
      </c>
      <c r="J1070" s="1147"/>
      <c r="K1070" s="1147">
        <v>0</v>
      </c>
      <c r="L1070" s="450"/>
      <c r="M1070" s="450">
        <f t="shared" si="128"/>
        <v>0</v>
      </c>
      <c r="N1070" s="1147"/>
      <c r="O1070" s="1147">
        <v>0</v>
      </c>
      <c r="P1070" s="450"/>
      <c r="Q1070" s="450">
        <f t="shared" si="131"/>
        <v>0</v>
      </c>
      <c r="R1070" s="1147">
        <v>40000</v>
      </c>
      <c r="S1070" s="1147">
        <v>40000</v>
      </c>
      <c r="T1070" s="450">
        <f t="shared" si="129"/>
        <v>40000</v>
      </c>
      <c r="U1070" s="450">
        <f t="shared" si="130"/>
        <v>40000</v>
      </c>
      <c r="V1070" s="454" t="s">
        <v>51</v>
      </c>
      <c r="W1070" s="448" t="s">
        <v>889</v>
      </c>
      <c r="X1070" s="448" t="s">
        <v>51</v>
      </c>
      <c r="Y1070" s="448" t="s">
        <v>51</v>
      </c>
      <c r="Z1070" s="448" t="s">
        <v>808</v>
      </c>
      <c r="AA1070" s="448" t="s">
        <v>62</v>
      </c>
      <c r="AB1070" s="448" t="s">
        <v>62</v>
      </c>
      <c r="AC1070" s="448" t="s">
        <v>61</v>
      </c>
      <c r="AD1070" s="447"/>
      <c r="AE1070" s="447"/>
      <c r="AF1070" s="447"/>
      <c r="AG1070" s="447"/>
      <c r="AH1070" s="447"/>
      <c r="AI1070" s="447"/>
      <c r="AJ1070" s="447"/>
      <c r="AK1070" s="447"/>
      <c r="AL1070" s="447"/>
      <c r="AM1070" s="447"/>
      <c r="AN1070" s="447"/>
      <c r="AO1070" s="447"/>
      <c r="AP1070" s="447"/>
      <c r="AQ1070" s="447"/>
      <c r="AR1070" s="447"/>
      <c r="AS1070" s="447"/>
      <c r="AT1070" s="447"/>
      <c r="AU1070" s="447"/>
      <c r="AV1070" s="447"/>
      <c r="AW1070" s="447"/>
      <c r="AX1070" s="447"/>
      <c r="AY1070" s="447"/>
      <c r="AZ1070" s="447"/>
      <c r="BA1070" s="448" t="s">
        <v>51</v>
      </c>
      <c r="BB1070" s="448" t="s">
        <v>51</v>
      </c>
      <c r="BC1070" s="447"/>
      <c r="BD1070" s="448" t="s">
        <v>890</v>
      </c>
      <c r="BE1070" s="447">
        <v>402</v>
      </c>
    </row>
    <row r="1071" spans="1:57" ht="30" customHeight="1">
      <c r="A1071" s="494" t="s">
        <v>3394</v>
      </c>
      <c r="B1071" s="494" t="s">
        <v>3396</v>
      </c>
      <c r="C1071" s="495" t="s">
        <v>2568</v>
      </c>
      <c r="D1071" s="1133">
        <v>2</v>
      </c>
      <c r="E1071" s="445">
        <f>'2층전시실산출 '!H468</f>
        <v>2</v>
      </c>
      <c r="F1071" s="1147">
        <v>45000</v>
      </c>
      <c r="G1071" s="1147">
        <v>90000</v>
      </c>
      <c r="H1071" s="450">
        <f>단가대비표!O407</f>
        <v>45000</v>
      </c>
      <c r="I1071" s="450">
        <f t="shared" si="127"/>
        <v>90000</v>
      </c>
      <c r="J1071" s="1147"/>
      <c r="K1071" s="1147">
        <v>0</v>
      </c>
      <c r="L1071" s="450"/>
      <c r="M1071" s="450">
        <f t="shared" si="128"/>
        <v>0</v>
      </c>
      <c r="N1071" s="1147"/>
      <c r="O1071" s="1147">
        <v>0</v>
      </c>
      <c r="P1071" s="450"/>
      <c r="Q1071" s="450">
        <f t="shared" si="131"/>
        <v>0</v>
      </c>
      <c r="R1071" s="1147">
        <v>45000</v>
      </c>
      <c r="S1071" s="1147">
        <v>90000</v>
      </c>
      <c r="T1071" s="450">
        <f t="shared" si="129"/>
        <v>45000</v>
      </c>
      <c r="U1071" s="450">
        <f t="shared" si="130"/>
        <v>90000</v>
      </c>
      <c r="V1071" s="454" t="s">
        <v>51</v>
      </c>
      <c r="W1071" s="448" t="s">
        <v>891</v>
      </c>
      <c r="X1071" s="448" t="s">
        <v>51</v>
      </c>
      <c r="Y1071" s="448" t="s">
        <v>51</v>
      </c>
      <c r="Z1071" s="448" t="s">
        <v>808</v>
      </c>
      <c r="AA1071" s="448" t="s">
        <v>62</v>
      </c>
      <c r="AB1071" s="448" t="s">
        <v>62</v>
      </c>
      <c r="AC1071" s="448" t="s">
        <v>61</v>
      </c>
      <c r="AD1071" s="447"/>
      <c r="AE1071" s="447"/>
      <c r="AF1071" s="447"/>
      <c r="AG1071" s="447"/>
      <c r="AH1071" s="447"/>
      <c r="AI1071" s="447"/>
      <c r="AJ1071" s="447"/>
      <c r="AK1071" s="447"/>
      <c r="AL1071" s="447"/>
      <c r="AM1071" s="447"/>
      <c r="AN1071" s="447"/>
      <c r="AO1071" s="447"/>
      <c r="AP1071" s="447"/>
      <c r="AQ1071" s="447"/>
      <c r="AR1071" s="447"/>
      <c r="AS1071" s="447"/>
      <c r="AT1071" s="447"/>
      <c r="AU1071" s="447"/>
      <c r="AV1071" s="447"/>
      <c r="AW1071" s="447"/>
      <c r="AX1071" s="447"/>
      <c r="AY1071" s="447"/>
      <c r="AZ1071" s="447"/>
      <c r="BA1071" s="448" t="s">
        <v>51</v>
      </c>
      <c r="BB1071" s="448" t="s">
        <v>51</v>
      </c>
      <c r="BC1071" s="447"/>
      <c r="BD1071" s="448" t="s">
        <v>892</v>
      </c>
      <c r="BE1071" s="447">
        <v>403</v>
      </c>
    </row>
    <row r="1072" spans="1:57" ht="30" customHeight="1">
      <c r="A1072" s="494" t="s">
        <v>3394</v>
      </c>
      <c r="B1072" s="494" t="s">
        <v>3397</v>
      </c>
      <c r="C1072" s="495" t="s">
        <v>2568</v>
      </c>
      <c r="D1072" s="1133">
        <v>1</v>
      </c>
      <c r="E1072" s="445">
        <f>'2층전시실산출 '!H469</f>
        <v>1</v>
      </c>
      <c r="F1072" s="1147">
        <v>43000</v>
      </c>
      <c r="G1072" s="1147">
        <v>43000</v>
      </c>
      <c r="H1072" s="450">
        <f>단가대비표!O408</f>
        <v>43000</v>
      </c>
      <c r="I1072" s="450">
        <f t="shared" si="127"/>
        <v>43000</v>
      </c>
      <c r="J1072" s="1147"/>
      <c r="K1072" s="1147">
        <v>0</v>
      </c>
      <c r="L1072" s="450"/>
      <c r="M1072" s="450">
        <f t="shared" si="128"/>
        <v>0</v>
      </c>
      <c r="N1072" s="1147"/>
      <c r="O1072" s="1147">
        <v>0</v>
      </c>
      <c r="P1072" s="450"/>
      <c r="Q1072" s="450">
        <f t="shared" si="131"/>
        <v>0</v>
      </c>
      <c r="R1072" s="1147">
        <v>43000</v>
      </c>
      <c r="S1072" s="1147">
        <v>43000</v>
      </c>
      <c r="T1072" s="450">
        <f t="shared" si="129"/>
        <v>43000</v>
      </c>
      <c r="U1072" s="450">
        <f t="shared" si="130"/>
        <v>43000</v>
      </c>
      <c r="V1072" s="454" t="s">
        <v>51</v>
      </c>
      <c r="W1072" s="448" t="s">
        <v>893</v>
      </c>
      <c r="X1072" s="448" t="s">
        <v>51</v>
      </c>
      <c r="Y1072" s="448" t="s">
        <v>51</v>
      </c>
      <c r="Z1072" s="448" t="s">
        <v>808</v>
      </c>
      <c r="AA1072" s="448" t="s">
        <v>62</v>
      </c>
      <c r="AB1072" s="448" t="s">
        <v>62</v>
      </c>
      <c r="AC1072" s="448" t="s">
        <v>61</v>
      </c>
      <c r="AD1072" s="447"/>
      <c r="AE1072" s="447"/>
      <c r="AF1072" s="447"/>
      <c r="AG1072" s="447"/>
      <c r="AH1072" s="447"/>
      <c r="AI1072" s="447"/>
      <c r="AJ1072" s="447"/>
      <c r="AK1072" s="447"/>
      <c r="AL1072" s="447"/>
      <c r="AM1072" s="447"/>
      <c r="AN1072" s="447"/>
      <c r="AO1072" s="447"/>
      <c r="AP1072" s="447"/>
      <c r="AQ1072" s="447"/>
      <c r="AR1072" s="447"/>
      <c r="AS1072" s="447"/>
      <c r="AT1072" s="447"/>
      <c r="AU1072" s="447"/>
      <c r="AV1072" s="447"/>
      <c r="AW1072" s="447"/>
      <c r="AX1072" s="447"/>
      <c r="AY1072" s="447"/>
      <c r="AZ1072" s="447"/>
      <c r="BA1072" s="448" t="s">
        <v>51</v>
      </c>
      <c r="BB1072" s="448" t="s">
        <v>51</v>
      </c>
      <c r="BC1072" s="447"/>
      <c r="BD1072" s="448" t="s">
        <v>894</v>
      </c>
      <c r="BE1072" s="447">
        <v>404</v>
      </c>
    </row>
    <row r="1073" spans="1:57" ht="30" customHeight="1">
      <c r="A1073" s="494" t="s">
        <v>3394</v>
      </c>
      <c r="B1073" s="494" t="s">
        <v>3398</v>
      </c>
      <c r="C1073" s="495" t="s">
        <v>2568</v>
      </c>
      <c r="D1073" s="1133">
        <v>1</v>
      </c>
      <c r="E1073" s="445">
        <f>'2층전시실산출 '!H470</f>
        <v>1</v>
      </c>
      <c r="F1073" s="1147">
        <v>40000</v>
      </c>
      <c r="G1073" s="1147">
        <v>40000</v>
      </c>
      <c r="H1073" s="450">
        <f>단가대비표!O409</f>
        <v>40000</v>
      </c>
      <c r="I1073" s="450">
        <f t="shared" si="127"/>
        <v>40000</v>
      </c>
      <c r="J1073" s="1147"/>
      <c r="K1073" s="1147">
        <v>0</v>
      </c>
      <c r="L1073" s="450"/>
      <c r="M1073" s="450">
        <f t="shared" si="128"/>
        <v>0</v>
      </c>
      <c r="N1073" s="1147"/>
      <c r="O1073" s="1147">
        <v>0</v>
      </c>
      <c r="P1073" s="450"/>
      <c r="Q1073" s="450">
        <f t="shared" si="131"/>
        <v>0</v>
      </c>
      <c r="R1073" s="1147">
        <v>40000</v>
      </c>
      <c r="S1073" s="1147">
        <v>40000</v>
      </c>
      <c r="T1073" s="450">
        <f t="shared" si="129"/>
        <v>40000</v>
      </c>
      <c r="U1073" s="450">
        <f t="shared" si="130"/>
        <v>40000</v>
      </c>
      <c r="V1073" s="454" t="s">
        <v>51</v>
      </c>
      <c r="W1073" s="448" t="s">
        <v>895</v>
      </c>
      <c r="X1073" s="448" t="s">
        <v>51</v>
      </c>
      <c r="Y1073" s="448" t="s">
        <v>51</v>
      </c>
      <c r="Z1073" s="448" t="s">
        <v>808</v>
      </c>
      <c r="AA1073" s="448" t="s">
        <v>62</v>
      </c>
      <c r="AB1073" s="448" t="s">
        <v>62</v>
      </c>
      <c r="AC1073" s="448" t="s">
        <v>61</v>
      </c>
      <c r="AD1073" s="447"/>
      <c r="AE1073" s="447"/>
      <c r="AF1073" s="447"/>
      <c r="AG1073" s="447"/>
      <c r="AH1073" s="447"/>
      <c r="AI1073" s="447"/>
      <c r="AJ1073" s="447"/>
      <c r="AK1073" s="447"/>
      <c r="AL1073" s="447"/>
      <c r="AM1073" s="447"/>
      <c r="AN1073" s="447"/>
      <c r="AO1073" s="447"/>
      <c r="AP1073" s="447"/>
      <c r="AQ1073" s="447"/>
      <c r="AR1073" s="447"/>
      <c r="AS1073" s="447"/>
      <c r="AT1073" s="447"/>
      <c r="AU1073" s="447"/>
      <c r="AV1073" s="447"/>
      <c r="AW1073" s="447"/>
      <c r="AX1073" s="447"/>
      <c r="AY1073" s="447"/>
      <c r="AZ1073" s="447"/>
      <c r="BA1073" s="448" t="s">
        <v>51</v>
      </c>
      <c r="BB1073" s="448" t="s">
        <v>51</v>
      </c>
      <c r="BC1073" s="447"/>
      <c r="BD1073" s="448" t="s">
        <v>896</v>
      </c>
      <c r="BE1073" s="447">
        <v>405</v>
      </c>
    </row>
    <row r="1074" spans="1:57" ht="30" customHeight="1">
      <c r="A1074" s="494" t="s">
        <v>3399</v>
      </c>
      <c r="B1074" s="494" t="s">
        <v>3403</v>
      </c>
      <c r="C1074" s="495" t="s">
        <v>2568</v>
      </c>
      <c r="D1074" s="1133">
        <v>1</v>
      </c>
      <c r="E1074" s="445">
        <f>'2층전시실산출 '!H471</f>
        <v>1</v>
      </c>
      <c r="F1074" s="1147">
        <v>280000</v>
      </c>
      <c r="G1074" s="1147">
        <v>280000</v>
      </c>
      <c r="H1074" s="450">
        <f>단가대비표!O410</f>
        <v>280000</v>
      </c>
      <c r="I1074" s="450">
        <f t="shared" si="127"/>
        <v>280000</v>
      </c>
      <c r="J1074" s="1147"/>
      <c r="K1074" s="1147">
        <v>0</v>
      </c>
      <c r="L1074" s="450"/>
      <c r="M1074" s="450">
        <f t="shared" si="128"/>
        <v>0</v>
      </c>
      <c r="N1074" s="1147"/>
      <c r="O1074" s="1147">
        <v>0</v>
      </c>
      <c r="P1074" s="450"/>
      <c r="Q1074" s="450">
        <f t="shared" si="131"/>
        <v>0</v>
      </c>
      <c r="R1074" s="1147">
        <v>280000</v>
      </c>
      <c r="S1074" s="1147">
        <v>280000</v>
      </c>
      <c r="T1074" s="450">
        <f t="shared" si="129"/>
        <v>280000</v>
      </c>
      <c r="U1074" s="450">
        <f t="shared" si="130"/>
        <v>280000</v>
      </c>
      <c r="V1074" s="454" t="s">
        <v>51</v>
      </c>
      <c r="W1074" s="448" t="s">
        <v>897</v>
      </c>
      <c r="X1074" s="448" t="s">
        <v>51</v>
      </c>
      <c r="Y1074" s="448" t="s">
        <v>51</v>
      </c>
      <c r="Z1074" s="448" t="s">
        <v>808</v>
      </c>
      <c r="AA1074" s="448" t="s">
        <v>62</v>
      </c>
      <c r="AB1074" s="448" t="s">
        <v>62</v>
      </c>
      <c r="AC1074" s="448" t="s">
        <v>61</v>
      </c>
      <c r="AD1074" s="447"/>
      <c r="AE1074" s="447"/>
      <c r="AF1074" s="447"/>
      <c r="AG1074" s="447"/>
      <c r="AH1074" s="447"/>
      <c r="AI1074" s="447"/>
      <c r="AJ1074" s="447"/>
      <c r="AK1074" s="447"/>
      <c r="AL1074" s="447"/>
      <c r="AM1074" s="447"/>
      <c r="AN1074" s="447"/>
      <c r="AO1074" s="447"/>
      <c r="AP1074" s="447"/>
      <c r="AQ1074" s="447"/>
      <c r="AR1074" s="447"/>
      <c r="AS1074" s="447"/>
      <c r="AT1074" s="447"/>
      <c r="AU1074" s="447"/>
      <c r="AV1074" s="447"/>
      <c r="AW1074" s="447"/>
      <c r="AX1074" s="447"/>
      <c r="AY1074" s="447"/>
      <c r="AZ1074" s="447"/>
      <c r="BA1074" s="448" t="s">
        <v>51</v>
      </c>
      <c r="BB1074" s="448" t="s">
        <v>51</v>
      </c>
      <c r="BC1074" s="447"/>
      <c r="BD1074" s="448" t="s">
        <v>898</v>
      </c>
      <c r="BE1074" s="447">
        <v>406</v>
      </c>
    </row>
    <row r="1075" spans="1:57" ht="30" customHeight="1">
      <c r="A1075" s="494" t="s">
        <v>3399</v>
      </c>
      <c r="B1075" s="494" t="s">
        <v>3404</v>
      </c>
      <c r="C1075" s="495" t="s">
        <v>2568</v>
      </c>
      <c r="D1075" s="1133">
        <v>1</v>
      </c>
      <c r="E1075" s="445">
        <f>'2층전시실산출 '!H472</f>
        <v>1</v>
      </c>
      <c r="F1075" s="1147">
        <v>580000</v>
      </c>
      <c r="G1075" s="1147">
        <v>580000</v>
      </c>
      <c r="H1075" s="450">
        <f>단가대비표!O411</f>
        <v>580000</v>
      </c>
      <c r="I1075" s="450">
        <f t="shared" si="127"/>
        <v>580000</v>
      </c>
      <c r="J1075" s="1147"/>
      <c r="K1075" s="1147">
        <v>0</v>
      </c>
      <c r="L1075" s="450"/>
      <c r="M1075" s="450">
        <f t="shared" si="128"/>
        <v>0</v>
      </c>
      <c r="N1075" s="1147"/>
      <c r="O1075" s="1147">
        <v>0</v>
      </c>
      <c r="P1075" s="450"/>
      <c r="Q1075" s="450">
        <f t="shared" si="131"/>
        <v>0</v>
      </c>
      <c r="R1075" s="1147">
        <v>580000</v>
      </c>
      <c r="S1075" s="1147">
        <v>580000</v>
      </c>
      <c r="T1075" s="450">
        <f t="shared" si="129"/>
        <v>580000</v>
      </c>
      <c r="U1075" s="450">
        <f t="shared" si="130"/>
        <v>580000</v>
      </c>
      <c r="V1075" s="454" t="s">
        <v>51</v>
      </c>
      <c r="W1075" s="448" t="s">
        <v>899</v>
      </c>
      <c r="X1075" s="448" t="s">
        <v>51</v>
      </c>
      <c r="Y1075" s="448" t="s">
        <v>51</v>
      </c>
      <c r="Z1075" s="448" t="s">
        <v>808</v>
      </c>
      <c r="AA1075" s="448" t="s">
        <v>62</v>
      </c>
      <c r="AB1075" s="448" t="s">
        <v>62</v>
      </c>
      <c r="AC1075" s="448" t="s">
        <v>61</v>
      </c>
      <c r="AD1075" s="447"/>
      <c r="AE1075" s="447"/>
      <c r="AF1075" s="447"/>
      <c r="AG1075" s="447"/>
      <c r="AH1075" s="447"/>
      <c r="AI1075" s="447"/>
      <c r="AJ1075" s="447"/>
      <c r="AK1075" s="447"/>
      <c r="AL1075" s="447"/>
      <c r="AM1075" s="447"/>
      <c r="AN1075" s="447"/>
      <c r="AO1075" s="447"/>
      <c r="AP1075" s="447"/>
      <c r="AQ1075" s="447"/>
      <c r="AR1075" s="447"/>
      <c r="AS1075" s="447"/>
      <c r="AT1075" s="447"/>
      <c r="AU1075" s="447"/>
      <c r="AV1075" s="447"/>
      <c r="AW1075" s="447"/>
      <c r="AX1075" s="447"/>
      <c r="AY1075" s="447"/>
      <c r="AZ1075" s="447"/>
      <c r="BA1075" s="448" t="s">
        <v>51</v>
      </c>
      <c r="BB1075" s="448" t="s">
        <v>51</v>
      </c>
      <c r="BC1075" s="447"/>
      <c r="BD1075" s="448" t="s">
        <v>900</v>
      </c>
      <c r="BE1075" s="447">
        <v>407</v>
      </c>
    </row>
    <row r="1076" spans="1:57" ht="30" customHeight="1">
      <c r="A1076" s="494" t="s">
        <v>3400</v>
      </c>
      <c r="B1076" s="494" t="s">
        <v>3405</v>
      </c>
      <c r="C1076" s="495" t="s">
        <v>2568</v>
      </c>
      <c r="D1076" s="1133">
        <v>1</v>
      </c>
      <c r="E1076" s="445">
        <f>'2층전시실산출 '!H473</f>
        <v>1</v>
      </c>
      <c r="F1076" s="1147">
        <v>200000</v>
      </c>
      <c r="G1076" s="1147">
        <v>200000</v>
      </c>
      <c r="H1076" s="450">
        <f>단가대비표!O412</f>
        <v>200000</v>
      </c>
      <c r="I1076" s="450">
        <f t="shared" ref="I1076:I1086" si="132">E1076*H1076</f>
        <v>200000</v>
      </c>
      <c r="J1076" s="1147"/>
      <c r="K1076" s="1147">
        <v>0</v>
      </c>
      <c r="L1076" s="450"/>
      <c r="M1076" s="450">
        <f t="shared" ref="M1076:M1086" si="133">E1076*L1076</f>
        <v>0</v>
      </c>
      <c r="N1076" s="1147"/>
      <c r="O1076" s="1147">
        <v>0</v>
      </c>
      <c r="P1076" s="450"/>
      <c r="Q1076" s="450">
        <f t="shared" si="131"/>
        <v>0</v>
      </c>
      <c r="R1076" s="1147">
        <v>200000</v>
      </c>
      <c r="S1076" s="1147">
        <v>200000</v>
      </c>
      <c r="T1076" s="450">
        <f t="shared" ref="T1076:T1086" si="134">TRUNC(H1076+L1076+P1076, 0)</f>
        <v>200000</v>
      </c>
      <c r="U1076" s="450">
        <f t="shared" ref="U1076:U1086" si="135">TRUNC(I1076+M1076+Q1076, 0)</f>
        <v>200000</v>
      </c>
      <c r="V1076" s="454" t="s">
        <v>51</v>
      </c>
      <c r="W1076" s="448" t="s">
        <v>901</v>
      </c>
      <c r="X1076" s="448" t="s">
        <v>51</v>
      </c>
      <c r="Y1076" s="448" t="s">
        <v>51</v>
      </c>
      <c r="Z1076" s="448" t="s">
        <v>808</v>
      </c>
      <c r="AA1076" s="448" t="s">
        <v>62</v>
      </c>
      <c r="AB1076" s="448" t="s">
        <v>62</v>
      </c>
      <c r="AC1076" s="448" t="s">
        <v>61</v>
      </c>
      <c r="AD1076" s="447"/>
      <c r="AE1076" s="447"/>
      <c r="AF1076" s="447"/>
      <c r="AG1076" s="447"/>
      <c r="AH1076" s="447"/>
      <c r="AI1076" s="447"/>
      <c r="AJ1076" s="447"/>
      <c r="AK1076" s="447"/>
      <c r="AL1076" s="447"/>
      <c r="AM1076" s="447"/>
      <c r="AN1076" s="447"/>
      <c r="AO1076" s="447"/>
      <c r="AP1076" s="447"/>
      <c r="AQ1076" s="447"/>
      <c r="AR1076" s="447"/>
      <c r="AS1076" s="447"/>
      <c r="AT1076" s="447"/>
      <c r="AU1076" s="447"/>
      <c r="AV1076" s="447"/>
      <c r="AW1076" s="447"/>
      <c r="AX1076" s="447"/>
      <c r="AY1076" s="447"/>
      <c r="AZ1076" s="447"/>
      <c r="BA1076" s="448" t="s">
        <v>51</v>
      </c>
      <c r="BB1076" s="448" t="s">
        <v>51</v>
      </c>
      <c r="BC1076" s="447"/>
      <c r="BD1076" s="448" t="s">
        <v>902</v>
      </c>
      <c r="BE1076" s="447">
        <v>408</v>
      </c>
    </row>
    <row r="1077" spans="1:57" ht="30" customHeight="1">
      <c r="A1077" s="494" t="s">
        <v>3401</v>
      </c>
      <c r="B1077" s="494" t="s">
        <v>3406</v>
      </c>
      <c r="C1077" s="495" t="s">
        <v>2568</v>
      </c>
      <c r="D1077" s="1133">
        <v>1</v>
      </c>
      <c r="E1077" s="445">
        <f>'2층전시실산출 '!H474</f>
        <v>1</v>
      </c>
      <c r="F1077" s="1147">
        <v>180000</v>
      </c>
      <c r="G1077" s="1147">
        <v>180000</v>
      </c>
      <c r="H1077" s="450">
        <f>단가대비표!O413</f>
        <v>180000</v>
      </c>
      <c r="I1077" s="450">
        <f t="shared" si="132"/>
        <v>180000</v>
      </c>
      <c r="J1077" s="1147"/>
      <c r="K1077" s="1147">
        <v>0</v>
      </c>
      <c r="L1077" s="450"/>
      <c r="M1077" s="450">
        <f t="shared" si="133"/>
        <v>0</v>
      </c>
      <c r="N1077" s="1147"/>
      <c r="O1077" s="1147">
        <v>0</v>
      </c>
      <c r="P1077" s="450"/>
      <c r="Q1077" s="450">
        <f t="shared" si="131"/>
        <v>0</v>
      </c>
      <c r="R1077" s="1147">
        <v>180000</v>
      </c>
      <c r="S1077" s="1147">
        <v>180000</v>
      </c>
      <c r="T1077" s="450">
        <f t="shared" si="134"/>
        <v>180000</v>
      </c>
      <c r="U1077" s="450">
        <f t="shared" si="135"/>
        <v>180000</v>
      </c>
      <c r="V1077" s="454" t="s">
        <v>51</v>
      </c>
      <c r="W1077" s="448" t="s">
        <v>903</v>
      </c>
      <c r="X1077" s="448" t="s">
        <v>51</v>
      </c>
      <c r="Y1077" s="448" t="s">
        <v>51</v>
      </c>
      <c r="Z1077" s="448" t="s">
        <v>808</v>
      </c>
      <c r="AA1077" s="448" t="s">
        <v>62</v>
      </c>
      <c r="AB1077" s="448" t="s">
        <v>62</v>
      </c>
      <c r="AC1077" s="448" t="s">
        <v>61</v>
      </c>
      <c r="AD1077" s="447"/>
      <c r="AE1077" s="447"/>
      <c r="AF1077" s="447"/>
      <c r="AG1077" s="447"/>
      <c r="AH1077" s="447"/>
      <c r="AI1077" s="447"/>
      <c r="AJ1077" s="447"/>
      <c r="AK1077" s="447"/>
      <c r="AL1077" s="447"/>
      <c r="AM1077" s="447"/>
      <c r="AN1077" s="447"/>
      <c r="AO1077" s="447"/>
      <c r="AP1077" s="447"/>
      <c r="AQ1077" s="447"/>
      <c r="AR1077" s="447"/>
      <c r="AS1077" s="447"/>
      <c r="AT1077" s="447"/>
      <c r="AU1077" s="447"/>
      <c r="AV1077" s="447"/>
      <c r="AW1077" s="447"/>
      <c r="AX1077" s="447"/>
      <c r="AY1077" s="447"/>
      <c r="AZ1077" s="447"/>
      <c r="BA1077" s="448" t="s">
        <v>51</v>
      </c>
      <c r="BB1077" s="448" t="s">
        <v>51</v>
      </c>
      <c r="BC1077" s="447"/>
      <c r="BD1077" s="448" t="s">
        <v>904</v>
      </c>
      <c r="BE1077" s="447">
        <v>409</v>
      </c>
    </row>
    <row r="1078" spans="1:57" ht="30" customHeight="1">
      <c r="A1078" s="494" t="s">
        <v>3402</v>
      </c>
      <c r="B1078" s="494">
        <v>1250</v>
      </c>
      <c r="C1078" s="495" t="s">
        <v>2568</v>
      </c>
      <c r="D1078" s="1133">
        <v>1</v>
      </c>
      <c r="E1078" s="445">
        <f>'2층전시실산출 '!H475</f>
        <v>1</v>
      </c>
      <c r="F1078" s="1147">
        <v>12000</v>
      </c>
      <c r="G1078" s="1147">
        <v>12000</v>
      </c>
      <c r="H1078" s="450">
        <f>단가대비표!O414</f>
        <v>12000</v>
      </c>
      <c r="I1078" s="450">
        <f t="shared" si="132"/>
        <v>12000</v>
      </c>
      <c r="J1078" s="1147"/>
      <c r="K1078" s="1147">
        <v>0</v>
      </c>
      <c r="L1078" s="450"/>
      <c r="M1078" s="450">
        <f t="shared" si="133"/>
        <v>0</v>
      </c>
      <c r="N1078" s="1147"/>
      <c r="O1078" s="1147">
        <v>0</v>
      </c>
      <c r="P1078" s="450"/>
      <c r="Q1078" s="450">
        <f t="shared" si="131"/>
        <v>0</v>
      </c>
      <c r="R1078" s="1147">
        <v>12000</v>
      </c>
      <c r="S1078" s="1147">
        <v>12000</v>
      </c>
      <c r="T1078" s="450">
        <f t="shared" si="134"/>
        <v>12000</v>
      </c>
      <c r="U1078" s="450">
        <f t="shared" si="135"/>
        <v>12000</v>
      </c>
      <c r="V1078" s="454" t="s">
        <v>51</v>
      </c>
      <c r="W1078" s="448" t="s">
        <v>905</v>
      </c>
      <c r="X1078" s="448" t="s">
        <v>51</v>
      </c>
      <c r="Y1078" s="448" t="s">
        <v>51</v>
      </c>
      <c r="Z1078" s="448" t="s">
        <v>808</v>
      </c>
      <c r="AA1078" s="448" t="s">
        <v>62</v>
      </c>
      <c r="AB1078" s="448" t="s">
        <v>62</v>
      </c>
      <c r="AC1078" s="448" t="s">
        <v>61</v>
      </c>
      <c r="AD1078" s="447"/>
      <c r="AE1078" s="447"/>
      <c r="AF1078" s="447"/>
      <c r="AG1078" s="447"/>
      <c r="AH1078" s="447"/>
      <c r="AI1078" s="447"/>
      <c r="AJ1078" s="447"/>
      <c r="AK1078" s="447"/>
      <c r="AL1078" s="447"/>
      <c r="AM1078" s="447"/>
      <c r="AN1078" s="447"/>
      <c r="AO1078" s="447"/>
      <c r="AP1078" s="447"/>
      <c r="AQ1078" s="447"/>
      <c r="AR1078" s="447"/>
      <c r="AS1078" s="447"/>
      <c r="AT1078" s="447"/>
      <c r="AU1078" s="447"/>
      <c r="AV1078" s="447"/>
      <c r="AW1078" s="447"/>
      <c r="AX1078" s="447"/>
      <c r="AY1078" s="447"/>
      <c r="AZ1078" s="447"/>
      <c r="BA1078" s="448" t="s">
        <v>51</v>
      </c>
      <c r="BB1078" s="448" t="s">
        <v>51</v>
      </c>
      <c r="BC1078" s="447"/>
      <c r="BD1078" s="448" t="s">
        <v>906</v>
      </c>
      <c r="BE1078" s="447">
        <v>410</v>
      </c>
    </row>
    <row r="1079" spans="1:57" ht="30" customHeight="1">
      <c r="A1079" s="494" t="s">
        <v>3402</v>
      </c>
      <c r="B1079" s="494">
        <v>890</v>
      </c>
      <c r="C1079" s="495" t="s">
        <v>2568</v>
      </c>
      <c r="D1079" s="1133">
        <v>1</v>
      </c>
      <c r="E1079" s="445">
        <f>'2층전시실산출 '!H476</f>
        <v>1</v>
      </c>
      <c r="F1079" s="1147">
        <v>10000</v>
      </c>
      <c r="G1079" s="1147">
        <v>10000</v>
      </c>
      <c r="H1079" s="450">
        <f>단가대비표!O415</f>
        <v>10000</v>
      </c>
      <c r="I1079" s="450">
        <f t="shared" si="132"/>
        <v>10000</v>
      </c>
      <c r="J1079" s="1147"/>
      <c r="K1079" s="1147">
        <v>0</v>
      </c>
      <c r="L1079" s="450"/>
      <c r="M1079" s="450">
        <f t="shared" si="133"/>
        <v>0</v>
      </c>
      <c r="N1079" s="1147"/>
      <c r="O1079" s="1147">
        <v>0</v>
      </c>
      <c r="P1079" s="450"/>
      <c r="Q1079" s="450">
        <f t="shared" si="131"/>
        <v>0</v>
      </c>
      <c r="R1079" s="1147">
        <v>10000</v>
      </c>
      <c r="S1079" s="1147">
        <v>10000</v>
      </c>
      <c r="T1079" s="450">
        <f t="shared" si="134"/>
        <v>10000</v>
      </c>
      <c r="U1079" s="450">
        <f t="shared" si="135"/>
        <v>10000</v>
      </c>
      <c r="V1079" s="454" t="s">
        <v>51</v>
      </c>
      <c r="W1079" s="448" t="s">
        <v>907</v>
      </c>
      <c r="X1079" s="448" t="s">
        <v>51</v>
      </c>
      <c r="Y1079" s="448" t="s">
        <v>51</v>
      </c>
      <c r="Z1079" s="448" t="s">
        <v>808</v>
      </c>
      <c r="AA1079" s="448" t="s">
        <v>62</v>
      </c>
      <c r="AB1079" s="448" t="s">
        <v>62</v>
      </c>
      <c r="AC1079" s="448" t="s">
        <v>61</v>
      </c>
      <c r="AD1079" s="447"/>
      <c r="AE1079" s="447"/>
      <c r="AF1079" s="447"/>
      <c r="AG1079" s="447"/>
      <c r="AH1079" s="447"/>
      <c r="AI1079" s="447"/>
      <c r="AJ1079" s="447"/>
      <c r="AK1079" s="447"/>
      <c r="AL1079" s="447"/>
      <c r="AM1079" s="447"/>
      <c r="AN1079" s="447"/>
      <c r="AO1079" s="447"/>
      <c r="AP1079" s="447"/>
      <c r="AQ1079" s="447"/>
      <c r="AR1079" s="447"/>
      <c r="AS1079" s="447"/>
      <c r="AT1079" s="447"/>
      <c r="AU1079" s="447"/>
      <c r="AV1079" s="447"/>
      <c r="AW1079" s="447"/>
      <c r="AX1079" s="447"/>
      <c r="AY1079" s="447"/>
      <c r="AZ1079" s="447"/>
      <c r="BA1079" s="448" t="s">
        <v>51</v>
      </c>
      <c r="BB1079" s="448" t="s">
        <v>51</v>
      </c>
      <c r="BC1079" s="447"/>
      <c r="BD1079" s="448" t="s">
        <v>908</v>
      </c>
      <c r="BE1079" s="447">
        <v>411</v>
      </c>
    </row>
    <row r="1080" spans="1:57" ht="30" customHeight="1">
      <c r="A1080" s="494" t="s">
        <v>4785</v>
      </c>
      <c r="B1080" s="494">
        <v>800</v>
      </c>
      <c r="C1080" s="495" t="s">
        <v>4786</v>
      </c>
      <c r="D1080" s="1133">
        <v>1</v>
      </c>
      <c r="E1080" s="445">
        <f>'2층전시실산출 '!H477</f>
        <v>1</v>
      </c>
      <c r="F1080" s="1147">
        <v>8000</v>
      </c>
      <c r="G1080" s="1147">
        <v>8000</v>
      </c>
      <c r="H1080" s="450">
        <f>단가대비표!O416</f>
        <v>8000</v>
      </c>
      <c r="I1080" s="450">
        <f t="shared" si="132"/>
        <v>8000</v>
      </c>
      <c r="J1080" s="1147"/>
      <c r="K1080" s="1147">
        <v>0</v>
      </c>
      <c r="L1080" s="450"/>
      <c r="M1080" s="450">
        <f t="shared" si="133"/>
        <v>0</v>
      </c>
      <c r="N1080" s="1147"/>
      <c r="O1080" s="1147">
        <v>0</v>
      </c>
      <c r="P1080" s="450"/>
      <c r="Q1080" s="450">
        <f t="shared" si="131"/>
        <v>0</v>
      </c>
      <c r="R1080" s="1147">
        <v>8000</v>
      </c>
      <c r="S1080" s="1147">
        <v>8000</v>
      </c>
      <c r="T1080" s="450">
        <f t="shared" si="134"/>
        <v>8000</v>
      </c>
      <c r="U1080" s="450">
        <f t="shared" si="135"/>
        <v>8000</v>
      </c>
      <c r="V1080" s="454" t="s">
        <v>51</v>
      </c>
      <c r="W1080" s="448" t="s">
        <v>909</v>
      </c>
      <c r="X1080" s="448" t="s">
        <v>51</v>
      </c>
      <c r="Y1080" s="448" t="s">
        <v>51</v>
      </c>
      <c r="Z1080" s="448" t="s">
        <v>808</v>
      </c>
      <c r="AA1080" s="448" t="s">
        <v>62</v>
      </c>
      <c r="AB1080" s="448" t="s">
        <v>62</v>
      </c>
      <c r="AC1080" s="448" t="s">
        <v>61</v>
      </c>
      <c r="AD1080" s="447"/>
      <c r="AE1080" s="447"/>
      <c r="AF1080" s="447"/>
      <c r="AG1080" s="447"/>
      <c r="AH1080" s="447"/>
      <c r="AI1080" s="447"/>
      <c r="AJ1080" s="447"/>
      <c r="AK1080" s="447"/>
      <c r="AL1080" s="447"/>
      <c r="AM1080" s="447"/>
      <c r="AN1080" s="447"/>
      <c r="AO1080" s="447"/>
      <c r="AP1080" s="447"/>
      <c r="AQ1080" s="447"/>
      <c r="AR1080" s="447"/>
      <c r="AS1080" s="447"/>
      <c r="AT1080" s="447"/>
      <c r="AU1080" s="447"/>
      <c r="AV1080" s="447"/>
      <c r="AW1080" s="447"/>
      <c r="AX1080" s="447"/>
      <c r="AY1080" s="447"/>
      <c r="AZ1080" s="447"/>
      <c r="BA1080" s="448" t="s">
        <v>51</v>
      </c>
      <c r="BB1080" s="448" t="s">
        <v>51</v>
      </c>
      <c r="BC1080" s="447"/>
      <c r="BD1080" s="448" t="s">
        <v>910</v>
      </c>
      <c r="BE1080" s="447">
        <v>412</v>
      </c>
    </row>
    <row r="1081" spans="1:57" ht="30" customHeight="1">
      <c r="A1081" s="494" t="s">
        <v>4785</v>
      </c>
      <c r="B1081" s="494">
        <v>950</v>
      </c>
      <c r="C1081" s="495" t="s">
        <v>4786</v>
      </c>
      <c r="D1081" s="1133">
        <v>1</v>
      </c>
      <c r="E1081" s="445">
        <f>'2층전시실산출 '!H478</f>
        <v>1</v>
      </c>
      <c r="F1081" s="1147">
        <v>8000</v>
      </c>
      <c r="G1081" s="1147">
        <v>8000</v>
      </c>
      <c r="H1081" s="450">
        <f>단가대비표!O417</f>
        <v>8000</v>
      </c>
      <c r="I1081" s="450">
        <f t="shared" si="132"/>
        <v>8000</v>
      </c>
      <c r="J1081" s="1147"/>
      <c r="K1081" s="1147">
        <v>0</v>
      </c>
      <c r="L1081" s="450"/>
      <c r="M1081" s="450">
        <f t="shared" si="133"/>
        <v>0</v>
      </c>
      <c r="N1081" s="1147"/>
      <c r="O1081" s="1147">
        <v>0</v>
      </c>
      <c r="P1081" s="450"/>
      <c r="Q1081" s="450">
        <f t="shared" si="131"/>
        <v>0</v>
      </c>
      <c r="R1081" s="1147">
        <v>8000</v>
      </c>
      <c r="S1081" s="1147">
        <v>8000</v>
      </c>
      <c r="T1081" s="450">
        <f t="shared" si="134"/>
        <v>8000</v>
      </c>
      <c r="U1081" s="450">
        <f t="shared" si="135"/>
        <v>8000</v>
      </c>
      <c r="V1081" s="454" t="s">
        <v>51</v>
      </c>
      <c r="W1081" s="448"/>
      <c r="X1081" s="448"/>
      <c r="Y1081" s="448"/>
      <c r="Z1081" s="448"/>
      <c r="AA1081" s="448"/>
      <c r="AB1081" s="448"/>
      <c r="AC1081" s="448"/>
      <c r="AD1081" s="447"/>
      <c r="AE1081" s="447"/>
      <c r="AF1081" s="447"/>
      <c r="AG1081" s="447"/>
      <c r="AH1081" s="447"/>
      <c r="AI1081" s="447"/>
      <c r="AJ1081" s="447"/>
      <c r="AK1081" s="447"/>
      <c r="AL1081" s="447"/>
      <c r="AM1081" s="447"/>
      <c r="AN1081" s="447"/>
      <c r="AO1081" s="447"/>
      <c r="AP1081" s="447"/>
      <c r="AQ1081" s="447"/>
      <c r="AR1081" s="447"/>
      <c r="AS1081" s="447"/>
      <c r="AT1081" s="447"/>
      <c r="AU1081" s="447"/>
      <c r="AV1081" s="447"/>
      <c r="AW1081" s="447"/>
      <c r="AX1081" s="447"/>
      <c r="AY1081" s="447"/>
      <c r="AZ1081" s="447"/>
      <c r="BA1081" s="448"/>
      <c r="BB1081" s="448"/>
      <c r="BC1081" s="447"/>
      <c r="BD1081" s="448"/>
      <c r="BE1081" s="447"/>
    </row>
    <row r="1082" spans="1:57" ht="30" customHeight="1">
      <c r="A1082" s="494" t="s">
        <v>4787</v>
      </c>
      <c r="B1082" s="494" t="s">
        <v>3408</v>
      </c>
      <c r="C1082" s="495" t="s">
        <v>4786</v>
      </c>
      <c r="D1082" s="1133">
        <v>1</v>
      </c>
      <c r="E1082" s="445">
        <f>'2층전시실산출 '!H479</f>
        <v>1</v>
      </c>
      <c r="F1082" s="1147">
        <v>120000</v>
      </c>
      <c r="G1082" s="1147">
        <v>120000</v>
      </c>
      <c r="H1082" s="450">
        <f>단가대비표!O418</f>
        <v>120000</v>
      </c>
      <c r="I1082" s="450">
        <f t="shared" si="132"/>
        <v>120000</v>
      </c>
      <c r="J1082" s="1147"/>
      <c r="K1082" s="1147">
        <v>0</v>
      </c>
      <c r="L1082" s="450"/>
      <c r="M1082" s="450">
        <f t="shared" si="133"/>
        <v>0</v>
      </c>
      <c r="N1082" s="1147"/>
      <c r="O1082" s="1147">
        <v>0</v>
      </c>
      <c r="P1082" s="450"/>
      <c r="Q1082" s="450">
        <f t="shared" ref="Q1082" si="136">TRUNC(P1082*E1082, 0)</f>
        <v>0</v>
      </c>
      <c r="R1082" s="1147">
        <v>120000</v>
      </c>
      <c r="S1082" s="1147">
        <v>120000</v>
      </c>
      <c r="T1082" s="450">
        <f t="shared" si="134"/>
        <v>120000</v>
      </c>
      <c r="U1082" s="450">
        <f t="shared" si="135"/>
        <v>120000</v>
      </c>
      <c r="V1082" s="454" t="s">
        <v>51</v>
      </c>
      <c r="W1082" s="448"/>
      <c r="X1082" s="448"/>
      <c r="Y1082" s="448"/>
      <c r="Z1082" s="448"/>
      <c r="AA1082" s="448"/>
      <c r="AB1082" s="448"/>
      <c r="AC1082" s="448"/>
      <c r="AD1082" s="447"/>
      <c r="AE1082" s="447"/>
      <c r="AF1082" s="447"/>
      <c r="AG1082" s="447"/>
      <c r="AH1082" s="447"/>
      <c r="AI1082" s="447"/>
      <c r="AJ1082" s="447"/>
      <c r="AK1082" s="447"/>
      <c r="AL1082" s="447"/>
      <c r="AM1082" s="447"/>
      <c r="AN1082" s="447"/>
      <c r="AO1082" s="447"/>
      <c r="AP1082" s="447"/>
      <c r="AQ1082" s="447"/>
      <c r="AR1082" s="447"/>
      <c r="AS1082" s="447"/>
      <c r="AT1082" s="447"/>
      <c r="AU1082" s="447"/>
      <c r="AV1082" s="447"/>
      <c r="AW1082" s="447"/>
      <c r="AX1082" s="447"/>
      <c r="AY1082" s="447"/>
      <c r="AZ1082" s="447"/>
      <c r="BA1082" s="448"/>
      <c r="BB1082" s="448"/>
      <c r="BC1082" s="447"/>
      <c r="BD1082" s="448"/>
      <c r="BE1082" s="447"/>
    </row>
    <row r="1083" spans="1:57" ht="30" customHeight="1">
      <c r="A1083" s="494" t="str">
        <f>'2층전시실산출 '!B480</f>
        <v>스포트조명</v>
      </c>
      <c r="B1083" s="494">
        <f>'2층전시실산출 '!C480</f>
        <v>0</v>
      </c>
      <c r="C1083" s="495" t="str">
        <f>'2층전시실산출 '!D480</f>
        <v>EA</v>
      </c>
      <c r="D1083" s="1133">
        <v>84</v>
      </c>
      <c r="E1083" s="445">
        <f>'2층전시실산출 '!H480</f>
        <v>84</v>
      </c>
      <c r="F1083" s="1147">
        <v>80000</v>
      </c>
      <c r="G1083" s="1147">
        <v>6720000</v>
      </c>
      <c r="H1083" s="450">
        <f>단가대비표!O424</f>
        <v>80000</v>
      </c>
      <c r="I1083" s="450">
        <f t="shared" si="132"/>
        <v>6720000</v>
      </c>
      <c r="J1083" s="1147"/>
      <c r="K1083" s="1147">
        <v>0</v>
      </c>
      <c r="L1083" s="450"/>
      <c r="M1083" s="450">
        <f t="shared" si="133"/>
        <v>0</v>
      </c>
      <c r="N1083" s="1147"/>
      <c r="O1083" s="1147"/>
      <c r="P1083" s="450"/>
      <c r="Q1083" s="450"/>
      <c r="R1083" s="1147">
        <v>80000</v>
      </c>
      <c r="S1083" s="1147">
        <v>6720000</v>
      </c>
      <c r="T1083" s="450">
        <f t="shared" si="134"/>
        <v>80000</v>
      </c>
      <c r="U1083" s="450">
        <f t="shared" si="135"/>
        <v>6720000</v>
      </c>
      <c r="V1083" s="454"/>
      <c r="W1083" s="448"/>
      <c r="X1083" s="448"/>
      <c r="Y1083" s="448"/>
      <c r="Z1083" s="448"/>
      <c r="AA1083" s="448"/>
      <c r="AB1083" s="448"/>
      <c r="AC1083" s="448"/>
      <c r="AD1083" s="447"/>
      <c r="AE1083" s="447"/>
      <c r="AF1083" s="447"/>
      <c r="AG1083" s="447"/>
      <c r="AH1083" s="447"/>
      <c r="AI1083" s="447"/>
      <c r="AJ1083" s="447"/>
      <c r="AK1083" s="447"/>
      <c r="AL1083" s="447"/>
      <c r="AM1083" s="447"/>
      <c r="AN1083" s="447"/>
      <c r="AO1083" s="447"/>
      <c r="AP1083" s="447"/>
      <c r="AQ1083" s="447"/>
      <c r="AR1083" s="447"/>
      <c r="AS1083" s="447"/>
      <c r="AT1083" s="447"/>
      <c r="AU1083" s="447"/>
      <c r="AV1083" s="447"/>
      <c r="AW1083" s="447"/>
      <c r="AX1083" s="447"/>
      <c r="AY1083" s="447"/>
      <c r="AZ1083" s="447"/>
      <c r="BA1083" s="448"/>
      <c r="BB1083" s="448"/>
      <c r="BC1083" s="447"/>
      <c r="BD1083" s="448"/>
      <c r="BE1083" s="447"/>
    </row>
    <row r="1084" spans="1:57" ht="30" customHeight="1">
      <c r="A1084" s="494" t="str">
        <f>'2층전시실산출 '!B481</f>
        <v>LED Bar</v>
      </c>
      <c r="B1084" s="494">
        <f>'2층전시실산출 '!C481</f>
        <v>0</v>
      </c>
      <c r="C1084" s="495" t="str">
        <f>'2층전시실산출 '!D481</f>
        <v>M</v>
      </c>
      <c r="D1084" s="1133">
        <v>5</v>
      </c>
      <c r="E1084" s="445">
        <f>'2층전시실산출 '!H481</f>
        <v>5</v>
      </c>
      <c r="F1084" s="1147">
        <v>12000</v>
      </c>
      <c r="G1084" s="1147">
        <v>60000</v>
      </c>
      <c r="H1084" s="450">
        <f>단가대비표!O425</f>
        <v>12000</v>
      </c>
      <c r="I1084" s="450">
        <f t="shared" si="132"/>
        <v>60000</v>
      </c>
      <c r="J1084" s="1147"/>
      <c r="K1084" s="1147">
        <v>0</v>
      </c>
      <c r="L1084" s="450"/>
      <c r="M1084" s="450">
        <f t="shared" si="133"/>
        <v>0</v>
      </c>
      <c r="N1084" s="1147"/>
      <c r="O1084" s="1147"/>
      <c r="P1084" s="450"/>
      <c r="Q1084" s="450"/>
      <c r="R1084" s="1147">
        <v>12000</v>
      </c>
      <c r="S1084" s="1147">
        <v>60000</v>
      </c>
      <c r="T1084" s="450">
        <f t="shared" si="134"/>
        <v>12000</v>
      </c>
      <c r="U1084" s="450">
        <f t="shared" si="135"/>
        <v>60000</v>
      </c>
      <c r="V1084" s="454"/>
      <c r="W1084" s="448"/>
      <c r="X1084" s="448"/>
      <c r="Y1084" s="448"/>
      <c r="Z1084" s="448"/>
      <c r="AA1084" s="448"/>
      <c r="AB1084" s="448"/>
      <c r="AC1084" s="448"/>
      <c r="AD1084" s="447"/>
      <c r="AE1084" s="447"/>
      <c r="AF1084" s="447"/>
      <c r="AG1084" s="447"/>
      <c r="AH1084" s="447"/>
      <c r="AI1084" s="447"/>
      <c r="AJ1084" s="447"/>
      <c r="AK1084" s="447"/>
      <c r="AL1084" s="447"/>
      <c r="AM1084" s="447"/>
      <c r="AN1084" s="447"/>
      <c r="AO1084" s="447"/>
      <c r="AP1084" s="447"/>
      <c r="AQ1084" s="447"/>
      <c r="AR1084" s="447"/>
      <c r="AS1084" s="447"/>
      <c r="AT1084" s="447"/>
      <c r="AU1084" s="447"/>
      <c r="AV1084" s="447"/>
      <c r="AW1084" s="447"/>
      <c r="AX1084" s="447"/>
      <c r="AY1084" s="447"/>
      <c r="AZ1084" s="447"/>
      <c r="BA1084" s="448"/>
      <c r="BB1084" s="448"/>
      <c r="BC1084" s="447"/>
      <c r="BD1084" s="448"/>
      <c r="BE1084" s="447"/>
    </row>
    <row r="1085" spans="1:57" ht="30" customHeight="1">
      <c r="A1085" s="494" t="str">
        <f>'2층전시실산출 '!B482</f>
        <v>SAMP</v>
      </c>
      <c r="B1085" s="494" t="str">
        <f>'2층전시실산출 '!C482</f>
        <v>60W</v>
      </c>
      <c r="C1085" s="495" t="str">
        <f>'2층전시실산출 '!D482</f>
        <v>EA</v>
      </c>
      <c r="D1085" s="1133">
        <v>5</v>
      </c>
      <c r="E1085" s="445">
        <f>'2층전시실산출 '!H482</f>
        <v>5</v>
      </c>
      <c r="F1085" s="1147">
        <v>22000</v>
      </c>
      <c r="G1085" s="1147">
        <v>110000</v>
      </c>
      <c r="H1085" s="450">
        <f>단가대비표!O426</f>
        <v>22000</v>
      </c>
      <c r="I1085" s="450">
        <f t="shared" si="132"/>
        <v>110000</v>
      </c>
      <c r="J1085" s="1147"/>
      <c r="K1085" s="1147">
        <v>0</v>
      </c>
      <c r="L1085" s="450"/>
      <c r="M1085" s="450">
        <f t="shared" si="133"/>
        <v>0</v>
      </c>
      <c r="N1085" s="1147"/>
      <c r="O1085" s="1147"/>
      <c r="P1085" s="450"/>
      <c r="Q1085" s="450"/>
      <c r="R1085" s="1147">
        <v>22000</v>
      </c>
      <c r="S1085" s="1147">
        <v>110000</v>
      </c>
      <c r="T1085" s="450">
        <f t="shared" si="134"/>
        <v>22000</v>
      </c>
      <c r="U1085" s="450">
        <f t="shared" si="135"/>
        <v>110000</v>
      </c>
      <c r="V1085" s="454"/>
      <c r="W1085" s="448"/>
      <c r="X1085" s="448"/>
      <c r="Y1085" s="448"/>
      <c r="Z1085" s="448"/>
      <c r="AA1085" s="448"/>
      <c r="AB1085" s="448"/>
      <c r="AC1085" s="448"/>
      <c r="AD1085" s="447"/>
      <c r="AE1085" s="447"/>
      <c r="AF1085" s="447"/>
      <c r="AG1085" s="447"/>
      <c r="AH1085" s="447"/>
      <c r="AI1085" s="447"/>
      <c r="AJ1085" s="447"/>
      <c r="AK1085" s="447"/>
      <c r="AL1085" s="447"/>
      <c r="AM1085" s="447"/>
      <c r="AN1085" s="447"/>
      <c r="AO1085" s="447"/>
      <c r="AP1085" s="447"/>
      <c r="AQ1085" s="447"/>
      <c r="AR1085" s="447"/>
      <c r="AS1085" s="447"/>
      <c r="AT1085" s="447"/>
      <c r="AU1085" s="447"/>
      <c r="AV1085" s="447"/>
      <c r="AW1085" s="447"/>
      <c r="AX1085" s="447"/>
      <c r="AY1085" s="447"/>
      <c r="AZ1085" s="447"/>
      <c r="BA1085" s="448"/>
      <c r="BB1085" s="448"/>
      <c r="BC1085" s="447"/>
      <c r="BD1085" s="448"/>
      <c r="BE1085" s="447"/>
    </row>
    <row r="1086" spans="1:57" ht="30" customHeight="1">
      <c r="A1086" s="494" t="str">
        <f>'2층전시실산출 '!B483</f>
        <v>전기설치인건비</v>
      </c>
      <c r="B1086" s="494">
        <f>'2층전시실산출 '!C483</f>
        <v>0</v>
      </c>
      <c r="C1086" s="495" t="str">
        <f>'2층전시실산출 '!D483</f>
        <v>인</v>
      </c>
      <c r="D1086" s="1133">
        <v>13</v>
      </c>
      <c r="E1086" s="445">
        <f>'2층전시실산출 '!H483</f>
        <v>13</v>
      </c>
      <c r="F1086" s="1147"/>
      <c r="G1086" s="1147">
        <v>0</v>
      </c>
      <c r="H1086" s="450"/>
      <c r="I1086" s="450">
        <f t="shared" si="132"/>
        <v>0</v>
      </c>
      <c r="J1086" s="1147">
        <v>233369</v>
      </c>
      <c r="K1086" s="1147">
        <v>3033797</v>
      </c>
      <c r="L1086" s="450">
        <f>단가대비표!P574</f>
        <v>233369</v>
      </c>
      <c r="M1086" s="450">
        <f t="shared" si="133"/>
        <v>3033797</v>
      </c>
      <c r="N1086" s="1147"/>
      <c r="O1086" s="1147"/>
      <c r="P1086" s="450"/>
      <c r="Q1086" s="450"/>
      <c r="R1086" s="1147">
        <v>233369</v>
      </c>
      <c r="S1086" s="1147">
        <v>3033797</v>
      </c>
      <c r="T1086" s="450">
        <f t="shared" si="134"/>
        <v>233369</v>
      </c>
      <c r="U1086" s="450">
        <f t="shared" si="135"/>
        <v>3033797</v>
      </c>
      <c r="V1086" s="454"/>
      <c r="W1086" s="448"/>
      <c r="X1086" s="448"/>
      <c r="Y1086" s="448"/>
      <c r="Z1086" s="448"/>
      <c r="AA1086" s="448"/>
      <c r="AB1086" s="448"/>
      <c r="AC1086" s="448"/>
      <c r="AD1086" s="447"/>
      <c r="AE1086" s="447"/>
      <c r="AF1086" s="447"/>
      <c r="AG1086" s="447"/>
      <c r="AH1086" s="447"/>
      <c r="AI1086" s="447"/>
      <c r="AJ1086" s="447"/>
      <c r="AK1086" s="447"/>
      <c r="AL1086" s="447"/>
      <c r="AM1086" s="447"/>
      <c r="AN1086" s="447"/>
      <c r="AO1086" s="447"/>
      <c r="AP1086" s="447"/>
      <c r="AQ1086" s="447"/>
      <c r="AR1086" s="447"/>
      <c r="AS1086" s="447"/>
      <c r="AT1086" s="447"/>
      <c r="AU1086" s="447"/>
      <c r="AV1086" s="447"/>
      <c r="AW1086" s="447"/>
      <c r="AX1086" s="447"/>
      <c r="AY1086" s="447"/>
      <c r="AZ1086" s="447"/>
      <c r="BA1086" s="448"/>
      <c r="BB1086" s="448"/>
      <c r="BC1086" s="447"/>
      <c r="BD1086" s="448"/>
      <c r="BE1086" s="447"/>
    </row>
    <row r="1087" spans="1:57" ht="30" customHeight="1">
      <c r="A1087" s="497"/>
      <c r="B1087" s="497"/>
      <c r="C1087" s="497"/>
      <c r="D1087" s="1133"/>
      <c r="E1087" s="445"/>
      <c r="F1087" s="1146"/>
      <c r="G1087" s="1147"/>
      <c r="H1087" s="444"/>
      <c r="I1087" s="450"/>
      <c r="J1087" s="1156"/>
      <c r="K1087" s="1147"/>
      <c r="L1087" s="498"/>
      <c r="M1087" s="450"/>
      <c r="N1087" s="1146"/>
      <c r="O1087" s="1146"/>
      <c r="P1087" s="444"/>
      <c r="Q1087" s="444"/>
      <c r="R1087" s="1147"/>
      <c r="S1087" s="1147"/>
      <c r="T1087" s="450"/>
      <c r="U1087" s="450"/>
      <c r="V1087" s="446"/>
    </row>
    <row r="1088" spans="1:57" ht="30" customHeight="1">
      <c r="A1088" s="497"/>
      <c r="B1088" s="497"/>
      <c r="C1088" s="497"/>
      <c r="D1088" s="1133"/>
      <c r="E1088" s="445"/>
      <c r="F1088" s="1146"/>
      <c r="G1088" s="1147"/>
      <c r="H1088" s="444"/>
      <c r="I1088" s="450"/>
      <c r="J1088" s="1156"/>
      <c r="K1088" s="1147"/>
      <c r="L1088" s="498"/>
      <c r="M1088" s="450"/>
      <c r="N1088" s="1146"/>
      <c r="O1088" s="1146"/>
      <c r="P1088" s="444"/>
      <c r="Q1088" s="444"/>
      <c r="R1088" s="1147"/>
      <c r="S1088" s="1147"/>
      <c r="T1088" s="450"/>
      <c r="U1088" s="450"/>
      <c r="V1088" s="446"/>
    </row>
    <row r="1089" spans="1:22" ht="30" customHeight="1">
      <c r="A1089" s="497"/>
      <c r="B1089" s="497"/>
      <c r="C1089" s="497"/>
      <c r="D1089" s="1133"/>
      <c r="E1089" s="445"/>
      <c r="F1089" s="1146"/>
      <c r="G1089" s="1147"/>
      <c r="H1089" s="444"/>
      <c r="I1089" s="450"/>
      <c r="J1089" s="1156"/>
      <c r="K1089" s="1147"/>
      <c r="L1089" s="498"/>
      <c r="M1089" s="450"/>
      <c r="N1089" s="1146"/>
      <c r="O1089" s="1146"/>
      <c r="P1089" s="444"/>
      <c r="Q1089" s="444"/>
      <c r="R1089" s="1147"/>
      <c r="S1089" s="1147"/>
      <c r="T1089" s="450"/>
      <c r="U1089" s="450"/>
      <c r="V1089" s="446"/>
    </row>
    <row r="1090" spans="1:22" ht="30" customHeight="1">
      <c r="A1090" s="497"/>
      <c r="B1090" s="497"/>
      <c r="C1090" s="497"/>
      <c r="D1090" s="1133"/>
      <c r="E1090" s="445"/>
      <c r="F1090" s="1146"/>
      <c r="G1090" s="1147"/>
      <c r="H1090" s="444"/>
      <c r="I1090" s="450"/>
      <c r="J1090" s="1156"/>
      <c r="K1090" s="1147"/>
      <c r="L1090" s="498"/>
      <c r="M1090" s="450"/>
      <c r="N1090" s="1146"/>
      <c r="O1090" s="1146"/>
      <c r="P1090" s="444"/>
      <c r="Q1090" s="444"/>
      <c r="R1090" s="1147"/>
      <c r="S1090" s="1147"/>
      <c r="T1090" s="450"/>
      <c r="U1090" s="450"/>
      <c r="V1090" s="446"/>
    </row>
    <row r="1091" spans="1:22" ht="30" customHeight="1">
      <c r="A1091" s="497"/>
      <c r="B1091" s="497"/>
      <c r="C1091" s="497"/>
      <c r="D1091" s="1133"/>
      <c r="E1091" s="445"/>
      <c r="F1091" s="1146"/>
      <c r="G1091" s="1147"/>
      <c r="H1091" s="444"/>
      <c r="I1091" s="450"/>
      <c r="J1091" s="1156"/>
      <c r="K1091" s="1147"/>
      <c r="L1091" s="498"/>
      <c r="M1091" s="450"/>
      <c r="N1091" s="1146"/>
      <c r="O1091" s="1146"/>
      <c r="P1091" s="444"/>
      <c r="Q1091" s="444"/>
      <c r="R1091" s="1147"/>
      <c r="S1091" s="1147"/>
      <c r="T1091" s="450"/>
      <c r="U1091" s="450"/>
      <c r="V1091" s="446"/>
    </row>
    <row r="1092" spans="1:22" ht="30" customHeight="1">
      <c r="A1092" s="497"/>
      <c r="B1092" s="497"/>
      <c r="C1092" s="497"/>
      <c r="D1092" s="1133"/>
      <c r="E1092" s="445"/>
      <c r="F1092" s="1146"/>
      <c r="G1092" s="1147"/>
      <c r="H1092" s="444"/>
      <c r="I1092" s="450"/>
      <c r="J1092" s="1156"/>
      <c r="K1092" s="1147"/>
      <c r="L1092" s="498"/>
      <c r="M1092" s="450"/>
      <c r="N1092" s="1146"/>
      <c r="O1092" s="1146"/>
      <c r="P1092" s="444"/>
      <c r="Q1092" s="444"/>
      <c r="R1092" s="1147"/>
      <c r="S1092" s="1147"/>
      <c r="T1092" s="450"/>
      <c r="U1092" s="450"/>
      <c r="V1092" s="446"/>
    </row>
    <row r="1093" spans="1:22" ht="30" customHeight="1">
      <c r="A1093" s="497"/>
      <c r="B1093" s="497"/>
      <c r="C1093" s="497"/>
      <c r="D1093" s="1133"/>
      <c r="E1093" s="445"/>
      <c r="F1093" s="1146"/>
      <c r="G1093" s="1147"/>
      <c r="H1093" s="444"/>
      <c r="I1093" s="450"/>
      <c r="J1093" s="1156"/>
      <c r="K1093" s="1147"/>
      <c r="L1093" s="498"/>
      <c r="M1093" s="450"/>
      <c r="N1093" s="1146"/>
      <c r="O1093" s="1146"/>
      <c r="P1093" s="444"/>
      <c r="Q1093" s="444"/>
      <c r="R1093" s="1147"/>
      <c r="S1093" s="1147"/>
      <c r="T1093" s="450"/>
      <c r="U1093" s="450"/>
      <c r="V1093" s="446"/>
    </row>
    <row r="1094" spans="1:22" ht="30" customHeight="1">
      <c r="A1094" s="497"/>
      <c r="B1094" s="497"/>
      <c r="C1094" s="497"/>
      <c r="D1094" s="1133"/>
      <c r="E1094" s="445"/>
      <c r="F1094" s="1146"/>
      <c r="G1094" s="1147"/>
      <c r="H1094" s="444"/>
      <c r="I1094" s="450"/>
      <c r="J1094" s="1156"/>
      <c r="K1094" s="1147"/>
      <c r="L1094" s="498"/>
      <c r="M1094" s="450"/>
      <c r="N1094" s="1146"/>
      <c r="O1094" s="1146"/>
      <c r="P1094" s="444"/>
      <c r="Q1094" s="444"/>
      <c r="R1094" s="1147"/>
      <c r="S1094" s="1147"/>
      <c r="T1094" s="450"/>
      <c r="U1094" s="450"/>
      <c r="V1094" s="446"/>
    </row>
    <row r="1095" spans="1:22" ht="30" customHeight="1">
      <c r="A1095" s="497"/>
      <c r="B1095" s="497"/>
      <c r="C1095" s="497"/>
      <c r="D1095" s="1133"/>
      <c r="E1095" s="445"/>
      <c r="F1095" s="1146"/>
      <c r="G1095" s="1147"/>
      <c r="H1095" s="444"/>
      <c r="I1095" s="450"/>
      <c r="J1095" s="1156"/>
      <c r="K1095" s="1147"/>
      <c r="L1095" s="498"/>
      <c r="M1095" s="450"/>
      <c r="N1095" s="1146"/>
      <c r="O1095" s="1146"/>
      <c r="P1095" s="444"/>
      <c r="Q1095" s="444"/>
      <c r="R1095" s="1147"/>
      <c r="S1095" s="1147"/>
      <c r="T1095" s="450"/>
      <c r="U1095" s="450"/>
      <c r="V1095" s="446"/>
    </row>
    <row r="1096" spans="1:22" ht="30" customHeight="1">
      <c r="A1096" s="497"/>
      <c r="B1096" s="497"/>
      <c r="C1096" s="497"/>
      <c r="D1096" s="1133"/>
      <c r="E1096" s="445"/>
      <c r="F1096" s="1146"/>
      <c r="G1096" s="1147"/>
      <c r="H1096" s="444"/>
      <c r="I1096" s="450"/>
      <c r="J1096" s="1156"/>
      <c r="K1096" s="1147"/>
      <c r="L1096" s="498"/>
      <c r="M1096" s="450"/>
      <c r="N1096" s="1146"/>
      <c r="O1096" s="1146"/>
      <c r="P1096" s="444"/>
      <c r="Q1096" s="444"/>
      <c r="R1096" s="1147"/>
      <c r="S1096" s="1147"/>
      <c r="T1096" s="450"/>
      <c r="U1096" s="450"/>
      <c r="V1096" s="446"/>
    </row>
    <row r="1097" spans="1:22" ht="30" customHeight="1">
      <c r="A1097" s="497"/>
      <c r="B1097" s="497"/>
      <c r="C1097" s="497"/>
      <c r="D1097" s="1133"/>
      <c r="E1097" s="445"/>
      <c r="F1097" s="1146"/>
      <c r="G1097" s="1147"/>
      <c r="H1097" s="444"/>
      <c r="I1097" s="450"/>
      <c r="J1097" s="1156"/>
      <c r="K1097" s="1147"/>
      <c r="L1097" s="498"/>
      <c r="M1097" s="450"/>
      <c r="N1097" s="1146"/>
      <c r="O1097" s="1146"/>
      <c r="P1097" s="444"/>
      <c r="Q1097" s="444"/>
      <c r="R1097" s="1147"/>
      <c r="S1097" s="1147"/>
      <c r="T1097" s="450"/>
      <c r="U1097" s="450"/>
      <c r="V1097" s="446"/>
    </row>
    <row r="1098" spans="1:22" ht="30" customHeight="1">
      <c r="A1098" s="497"/>
      <c r="B1098" s="497"/>
      <c r="C1098" s="497"/>
      <c r="D1098" s="1133"/>
      <c r="E1098" s="445"/>
      <c r="F1098" s="1146"/>
      <c r="G1098" s="1147"/>
      <c r="H1098" s="444"/>
      <c r="I1098" s="450"/>
      <c r="J1098" s="1156"/>
      <c r="K1098" s="1147"/>
      <c r="L1098" s="498"/>
      <c r="M1098" s="450"/>
      <c r="N1098" s="1146"/>
      <c r="O1098" s="1146"/>
      <c r="P1098" s="444"/>
      <c r="Q1098" s="444"/>
      <c r="R1098" s="1147"/>
      <c r="S1098" s="1147"/>
      <c r="T1098" s="450"/>
      <c r="U1098" s="450"/>
      <c r="V1098" s="446"/>
    </row>
    <row r="1099" spans="1:22" ht="30" customHeight="1">
      <c r="A1099" s="497"/>
      <c r="B1099" s="497"/>
      <c r="C1099" s="497"/>
      <c r="D1099" s="1133"/>
      <c r="E1099" s="445"/>
      <c r="F1099" s="1146"/>
      <c r="G1099" s="1147"/>
      <c r="H1099" s="444"/>
      <c r="I1099" s="450"/>
      <c r="J1099" s="1156"/>
      <c r="K1099" s="1147"/>
      <c r="L1099" s="498"/>
      <c r="M1099" s="450"/>
      <c r="N1099" s="1146"/>
      <c r="O1099" s="1146"/>
      <c r="P1099" s="444"/>
      <c r="Q1099" s="444"/>
      <c r="R1099" s="1147"/>
      <c r="S1099" s="1147"/>
      <c r="T1099" s="450"/>
      <c r="U1099" s="450"/>
      <c r="V1099" s="446"/>
    </row>
    <row r="1100" spans="1:22" ht="30" customHeight="1">
      <c r="A1100" s="497"/>
      <c r="B1100" s="497"/>
      <c r="C1100" s="497"/>
      <c r="D1100" s="1133"/>
      <c r="E1100" s="445"/>
      <c r="F1100" s="1146"/>
      <c r="G1100" s="1147"/>
      <c r="H1100" s="444"/>
      <c r="I1100" s="450"/>
      <c r="J1100" s="1156"/>
      <c r="K1100" s="1147"/>
      <c r="L1100" s="498"/>
      <c r="M1100" s="450"/>
      <c r="N1100" s="1146"/>
      <c r="O1100" s="1146"/>
      <c r="P1100" s="444"/>
      <c r="Q1100" s="444"/>
      <c r="R1100" s="1147"/>
      <c r="S1100" s="1147"/>
      <c r="T1100" s="450"/>
      <c r="U1100" s="450"/>
      <c r="V1100" s="446"/>
    </row>
    <row r="1101" spans="1:22" ht="30" customHeight="1">
      <c r="A1101" s="497"/>
      <c r="B1101" s="497"/>
      <c r="C1101" s="497"/>
      <c r="D1101" s="1133"/>
      <c r="E1101" s="445"/>
      <c r="F1101" s="1146"/>
      <c r="G1101" s="1147"/>
      <c r="H1101" s="444"/>
      <c r="I1101" s="450"/>
      <c r="J1101" s="1156"/>
      <c r="K1101" s="1147"/>
      <c r="L1101" s="498"/>
      <c r="M1101" s="450"/>
      <c r="N1101" s="1146"/>
      <c r="O1101" s="1146"/>
      <c r="P1101" s="444"/>
      <c r="Q1101" s="444"/>
      <c r="R1101" s="1147"/>
      <c r="S1101" s="1147"/>
      <c r="T1101" s="450"/>
      <c r="U1101" s="450"/>
      <c r="V1101" s="446"/>
    </row>
    <row r="1102" spans="1:22" ht="30" customHeight="1">
      <c r="A1102" s="497"/>
      <c r="B1102" s="497"/>
      <c r="C1102" s="497"/>
      <c r="D1102" s="1133"/>
      <c r="E1102" s="445"/>
      <c r="F1102" s="1146"/>
      <c r="G1102" s="1147"/>
      <c r="H1102" s="444"/>
      <c r="I1102" s="450"/>
      <c r="J1102" s="1156"/>
      <c r="K1102" s="1147"/>
      <c r="L1102" s="498"/>
      <c r="M1102" s="450"/>
      <c r="N1102" s="1146"/>
      <c r="O1102" s="1146"/>
      <c r="P1102" s="444"/>
      <c r="Q1102" s="444"/>
      <c r="R1102" s="1147"/>
      <c r="S1102" s="1147"/>
      <c r="T1102" s="450"/>
      <c r="U1102" s="450"/>
      <c r="V1102" s="446"/>
    </row>
    <row r="1103" spans="1:22" ht="30" customHeight="1">
      <c r="A1103" s="497"/>
      <c r="B1103" s="497"/>
      <c r="C1103" s="497"/>
      <c r="D1103" s="1133"/>
      <c r="E1103" s="445"/>
      <c r="F1103" s="1146"/>
      <c r="G1103" s="1147"/>
      <c r="H1103" s="444"/>
      <c r="I1103" s="450"/>
      <c r="J1103" s="1156"/>
      <c r="K1103" s="1147"/>
      <c r="L1103" s="498"/>
      <c r="M1103" s="450"/>
      <c r="N1103" s="1146"/>
      <c r="O1103" s="1146"/>
      <c r="P1103" s="444"/>
      <c r="Q1103" s="444"/>
      <c r="R1103" s="1147"/>
      <c r="S1103" s="1147"/>
      <c r="T1103" s="450"/>
      <c r="U1103" s="450"/>
      <c r="V1103" s="446"/>
    </row>
    <row r="1104" spans="1:22" ht="30" customHeight="1">
      <c r="A1104" s="497"/>
      <c r="B1104" s="497"/>
      <c r="C1104" s="497"/>
      <c r="D1104" s="1133"/>
      <c r="E1104" s="445"/>
      <c r="F1104" s="1146"/>
      <c r="G1104" s="1147"/>
      <c r="H1104" s="444"/>
      <c r="I1104" s="450"/>
      <c r="J1104" s="1156"/>
      <c r="K1104" s="1147"/>
      <c r="L1104" s="498"/>
      <c r="M1104" s="450"/>
      <c r="N1104" s="1146"/>
      <c r="O1104" s="1146"/>
      <c r="P1104" s="444"/>
      <c r="Q1104" s="444"/>
      <c r="R1104" s="1147"/>
      <c r="S1104" s="1147"/>
      <c r="T1104" s="450"/>
      <c r="U1104" s="450"/>
      <c r="V1104" s="446"/>
    </row>
    <row r="1105" spans="1:59" ht="30" customHeight="1">
      <c r="A1105" s="497"/>
      <c r="B1105" s="497"/>
      <c r="C1105" s="497"/>
      <c r="D1105" s="1133"/>
      <c r="E1105" s="445"/>
      <c r="F1105" s="1146"/>
      <c r="G1105" s="1147"/>
      <c r="H1105" s="444"/>
      <c r="I1105" s="450"/>
      <c r="J1105" s="1156"/>
      <c r="K1105" s="1147"/>
      <c r="L1105" s="498"/>
      <c r="M1105" s="450"/>
      <c r="N1105" s="1146"/>
      <c r="O1105" s="1146"/>
      <c r="P1105" s="444"/>
      <c r="Q1105" s="444"/>
      <c r="R1105" s="1147"/>
      <c r="S1105" s="1147"/>
      <c r="T1105" s="450"/>
      <c r="U1105" s="450"/>
      <c r="V1105" s="446"/>
    </row>
    <row r="1106" spans="1:59" ht="30" customHeight="1">
      <c r="A1106" s="443" t="s">
        <v>85</v>
      </c>
      <c r="B1106" s="444"/>
      <c r="C1106" s="444"/>
      <c r="D1106" s="1133"/>
      <c r="E1106" s="445"/>
      <c r="F1106" s="1146"/>
      <c r="G1106" s="1147">
        <v>57669840.399999999</v>
      </c>
      <c r="H1106" s="444"/>
      <c r="I1106" s="450">
        <f>SUM(I948:I1105)</f>
        <v>57669840.399999999</v>
      </c>
      <c r="J1106" s="1146"/>
      <c r="K1106" s="1147">
        <v>11795757.4</v>
      </c>
      <c r="L1106" s="444"/>
      <c r="M1106" s="450">
        <f>SUM(M948:M1105)</f>
        <v>11795757.4</v>
      </c>
      <c r="N1106" s="1146"/>
      <c r="O1106" s="1147">
        <v>313814.24000000005</v>
      </c>
      <c r="P1106" s="444"/>
      <c r="Q1106" s="450">
        <f>SUM(Q948:Q1105)</f>
        <v>313814.24000000005</v>
      </c>
      <c r="R1106" s="1146"/>
      <c r="S1106" s="1147">
        <v>69779412</v>
      </c>
      <c r="T1106" s="444"/>
      <c r="U1106" s="450">
        <f>SUM(U948:U1105)</f>
        <v>69779412</v>
      </c>
      <c r="V1106" s="446"/>
      <c r="W1106" s="448" t="s">
        <v>2570</v>
      </c>
      <c r="X1106" s="448" t="s">
        <v>51</v>
      </c>
      <c r="Y1106" s="448" t="s">
        <v>51</v>
      </c>
      <c r="Z1106" s="448" t="s">
        <v>271</v>
      </c>
      <c r="AA1106" s="448" t="s">
        <v>62</v>
      </c>
      <c r="AB1106" s="448" t="s">
        <v>62</v>
      </c>
      <c r="AC1106" s="448" t="s">
        <v>61</v>
      </c>
      <c r="AD1106" s="447"/>
      <c r="AE1106" s="447"/>
      <c r="AF1106" s="447"/>
      <c r="AG1106" s="447"/>
      <c r="AH1106" s="447"/>
      <c r="AI1106" s="447"/>
      <c r="AJ1106" s="447"/>
      <c r="AK1106" s="447"/>
      <c r="AL1106" s="447"/>
      <c r="AM1106" s="447"/>
      <c r="AN1106" s="447"/>
      <c r="AO1106" s="447"/>
      <c r="AP1106" s="447"/>
      <c r="AQ1106" s="447"/>
      <c r="AR1106" s="447"/>
      <c r="AS1106" s="447"/>
      <c r="AT1106" s="447"/>
      <c r="AU1106" s="447"/>
      <c r="AV1106" s="447"/>
      <c r="AW1106" s="447"/>
      <c r="AX1106" s="447"/>
      <c r="AY1106" s="447"/>
      <c r="AZ1106" s="447"/>
      <c r="BA1106" s="448" t="s">
        <v>51</v>
      </c>
      <c r="BB1106" s="448" t="s">
        <v>51</v>
      </c>
      <c r="BC1106" s="447"/>
      <c r="BD1106" s="448" t="s">
        <v>2571</v>
      </c>
      <c r="BE1106" s="447">
        <v>308</v>
      </c>
    </row>
    <row r="1107" spans="1:59" s="416" customFormat="1" ht="30" customHeight="1">
      <c r="A1107" s="409" t="s">
        <v>4799</v>
      </c>
      <c r="B1107" s="409"/>
      <c r="C1107" s="409"/>
      <c r="D1107" s="1137"/>
      <c r="E1107" s="408"/>
      <c r="F1107" s="1102"/>
      <c r="G1107" s="1102"/>
      <c r="H1107" s="410"/>
      <c r="I1107" s="410"/>
      <c r="J1107" s="1102"/>
      <c r="K1107" s="1102"/>
      <c r="L1107" s="410"/>
      <c r="M1107" s="410"/>
      <c r="N1107" s="1102"/>
      <c r="O1107" s="1102"/>
      <c r="P1107" s="410"/>
      <c r="Q1107" s="410"/>
      <c r="R1107" s="1102"/>
      <c r="S1107" s="1102"/>
      <c r="T1107" s="410"/>
      <c r="U1107" s="410"/>
      <c r="V1107" s="409"/>
      <c r="W1107" s="411"/>
      <c r="X1107" s="411"/>
      <c r="Y1107" s="411"/>
      <c r="Z1107" s="411"/>
      <c r="AA1107" s="412"/>
      <c r="AB1107" s="411"/>
      <c r="AC1107" s="413"/>
      <c r="AD1107" s="413"/>
      <c r="AE1107" s="413"/>
      <c r="AF1107" s="413"/>
      <c r="AG1107" s="414"/>
      <c r="AH1107" s="414"/>
      <c r="AI1107" s="414"/>
      <c r="AJ1107" s="415"/>
      <c r="AK1107" s="415"/>
      <c r="AL1107" s="415"/>
      <c r="AM1107" s="415"/>
      <c r="AN1107" s="415"/>
      <c r="AO1107" s="415"/>
      <c r="AP1107" s="415"/>
      <c r="AQ1107" s="415"/>
      <c r="AR1107" s="415"/>
      <c r="AS1107" s="415"/>
      <c r="AT1107" s="415"/>
      <c r="AU1107" s="415"/>
      <c r="AV1107" s="415"/>
      <c r="AW1107" s="415"/>
      <c r="AX1107" s="415"/>
      <c r="AY1107" s="415"/>
      <c r="AZ1107" s="415"/>
      <c r="BA1107" s="415"/>
    </row>
    <row r="1108" spans="1:59" ht="30" customHeight="1">
      <c r="A1108" s="443" t="s">
        <v>4778</v>
      </c>
      <c r="B1108" s="444"/>
      <c r="C1108" s="444"/>
      <c r="D1108" s="1133"/>
      <c r="E1108" s="445"/>
      <c r="F1108" s="1146"/>
      <c r="G1108" s="1146"/>
      <c r="H1108" s="444"/>
      <c r="I1108" s="444"/>
      <c r="J1108" s="1146"/>
      <c r="K1108" s="1146"/>
      <c r="L1108" s="444"/>
      <c r="M1108" s="444"/>
      <c r="N1108" s="1146"/>
      <c r="O1108" s="1146"/>
      <c r="P1108" s="444"/>
      <c r="Q1108" s="444"/>
      <c r="R1108" s="1146"/>
      <c r="S1108" s="1146"/>
      <c r="T1108" s="444"/>
      <c r="U1108" s="444"/>
      <c r="V1108" s="446"/>
      <c r="W1108" s="447"/>
      <c r="X1108" s="447"/>
      <c r="Y1108" s="447"/>
      <c r="Z1108" s="448" t="s">
        <v>88</v>
      </c>
      <c r="AA1108" s="447"/>
      <c r="AB1108" s="447"/>
      <c r="AC1108" s="447"/>
      <c r="AD1108" s="447"/>
      <c r="AE1108" s="447"/>
      <c r="AF1108" s="447"/>
      <c r="AG1108" s="447"/>
      <c r="AH1108" s="447"/>
      <c r="AI1108" s="447"/>
      <c r="AJ1108" s="447"/>
      <c r="AK1108" s="447"/>
      <c r="AL1108" s="447"/>
      <c r="AM1108" s="447"/>
      <c r="AN1108" s="447"/>
      <c r="AO1108" s="447"/>
      <c r="AP1108" s="447"/>
      <c r="AQ1108" s="447"/>
      <c r="AR1108" s="447"/>
      <c r="AS1108" s="447"/>
      <c r="AT1108" s="447"/>
      <c r="AU1108" s="447"/>
      <c r="AV1108" s="447"/>
      <c r="AW1108" s="447"/>
      <c r="AX1108" s="447"/>
      <c r="AY1108" s="447"/>
      <c r="AZ1108" s="447"/>
      <c r="BA1108" s="447"/>
      <c r="BB1108" s="447"/>
      <c r="BC1108" s="447"/>
      <c r="BD1108" s="447"/>
      <c r="BE1108" s="447"/>
    </row>
    <row r="1109" spans="1:59" ht="30" customHeight="1">
      <c r="A1109" s="443" t="s">
        <v>89</v>
      </c>
      <c r="B1109" s="443" t="s">
        <v>90</v>
      </c>
      <c r="C1109" s="443" t="s">
        <v>59</v>
      </c>
      <c r="D1109" s="1133">
        <v>1267.58</v>
      </c>
      <c r="E1109" s="445">
        <f>'1층전시실산출'!H30</f>
        <v>1267.58</v>
      </c>
      <c r="F1109" s="1147">
        <v>0</v>
      </c>
      <c r="G1109" s="1147">
        <v>0</v>
      </c>
      <c r="H1109" s="450">
        <f>TRUNC(일위대가목록!F9,0)</f>
        <v>0</v>
      </c>
      <c r="I1109" s="450">
        <f t="shared" ref="I1109:I1119" si="137">E1109*H1109</f>
        <v>0</v>
      </c>
      <c r="J1109" s="1147">
        <v>15631</v>
      </c>
      <c r="K1109" s="1147">
        <v>19813542.98</v>
      </c>
      <c r="L1109" s="450">
        <f>TRUNC(일위대가목록!H9,0)</f>
        <v>4395</v>
      </c>
      <c r="M1109" s="450">
        <f t="shared" ref="M1109:M1119" si="138">E1109*L1109</f>
        <v>5571014.0999999996</v>
      </c>
      <c r="N1109" s="1147">
        <v>0</v>
      </c>
      <c r="O1109" s="1147">
        <v>0</v>
      </c>
      <c r="P1109" s="450">
        <f>TRUNC(일위대가목록!J9,0)</f>
        <v>0</v>
      </c>
      <c r="Q1109" s="450">
        <f>TRUNC(P1109*E1109, 0)</f>
        <v>0</v>
      </c>
      <c r="R1109" s="1147">
        <v>15631</v>
      </c>
      <c r="S1109" s="1147">
        <v>19813542</v>
      </c>
      <c r="T1109" s="450">
        <f t="shared" ref="T1109:T1119" si="139">TRUNC(H1109+L1109+P1109, 0)</f>
        <v>4395</v>
      </c>
      <c r="U1109" s="450">
        <f t="shared" ref="U1109:U1119" si="140">TRUNC(I1109+M1109+Q1109, 0)</f>
        <v>5571014</v>
      </c>
      <c r="V1109" s="454" t="str">
        <f>일위대가목록!M9</f>
        <v>호표 6</v>
      </c>
      <c r="W1109" s="448" t="s">
        <v>91</v>
      </c>
      <c r="X1109" s="448" t="s">
        <v>51</v>
      </c>
      <c r="Y1109" s="448" t="s">
        <v>51</v>
      </c>
      <c r="Z1109" s="448" t="s">
        <v>88</v>
      </c>
      <c r="AA1109" s="448" t="s">
        <v>61</v>
      </c>
      <c r="AB1109" s="448" t="s">
        <v>62</v>
      </c>
      <c r="AC1109" s="448" t="s">
        <v>62</v>
      </c>
      <c r="AD1109" s="447"/>
      <c r="AE1109" s="447"/>
      <c r="AF1109" s="447"/>
      <c r="AG1109" s="447"/>
      <c r="AH1109" s="447"/>
      <c r="AI1109" s="447"/>
      <c r="AJ1109" s="447"/>
      <c r="AK1109" s="447"/>
      <c r="AL1109" s="447"/>
      <c r="AM1109" s="447"/>
      <c r="AN1109" s="447"/>
      <c r="AO1109" s="447"/>
      <c r="AP1109" s="447"/>
      <c r="AQ1109" s="447"/>
      <c r="AR1109" s="447"/>
      <c r="AS1109" s="447"/>
      <c r="AT1109" s="447"/>
      <c r="AU1109" s="447"/>
      <c r="AV1109" s="447"/>
      <c r="AW1109" s="447"/>
      <c r="AX1109" s="447"/>
      <c r="AY1109" s="447"/>
      <c r="AZ1109" s="447"/>
      <c r="BA1109" s="448" t="s">
        <v>51</v>
      </c>
      <c r="BB1109" s="448" t="s">
        <v>51</v>
      </c>
      <c r="BC1109" s="447"/>
      <c r="BD1109" s="448" t="s">
        <v>92</v>
      </c>
      <c r="BE1109" s="447">
        <v>193</v>
      </c>
    </row>
    <row r="1110" spans="1:59" ht="30" customHeight="1">
      <c r="A1110" s="443" t="s">
        <v>93</v>
      </c>
      <c r="B1110" s="443" t="s">
        <v>94</v>
      </c>
      <c r="C1110" s="443" t="s">
        <v>59</v>
      </c>
      <c r="D1110" s="1133">
        <v>312</v>
      </c>
      <c r="E1110" s="445">
        <f>'1층전시실산출'!H33</f>
        <v>312</v>
      </c>
      <c r="F1110" s="1147">
        <v>888</v>
      </c>
      <c r="G1110" s="1147">
        <v>277056</v>
      </c>
      <c r="H1110" s="450">
        <f>TRUNC(일위대가목록!F10,0)</f>
        <v>888</v>
      </c>
      <c r="I1110" s="450">
        <f t="shared" si="137"/>
        <v>277056</v>
      </c>
      <c r="J1110" s="1147">
        <v>18667</v>
      </c>
      <c r="K1110" s="1147">
        <v>5824104</v>
      </c>
      <c r="L1110" s="450">
        <f>TRUNC(일위대가목록!H10,0)</f>
        <v>18667</v>
      </c>
      <c r="M1110" s="450">
        <f t="shared" si="138"/>
        <v>5824104</v>
      </c>
      <c r="N1110" s="1147">
        <v>0</v>
      </c>
      <c r="O1110" s="1147">
        <v>0</v>
      </c>
      <c r="P1110" s="450">
        <f>TRUNC(일위대가목록!J10,0)</f>
        <v>0</v>
      </c>
      <c r="Q1110" s="450">
        <f>TRUNC(P1110*E1110, 0)</f>
        <v>0</v>
      </c>
      <c r="R1110" s="1147">
        <v>19555</v>
      </c>
      <c r="S1110" s="1147">
        <v>6101160</v>
      </c>
      <c r="T1110" s="450">
        <f t="shared" si="139"/>
        <v>19555</v>
      </c>
      <c r="U1110" s="450">
        <f t="shared" si="140"/>
        <v>6101160</v>
      </c>
      <c r="V1110" s="454" t="str">
        <f>일위대가목록!M10</f>
        <v>호표 7</v>
      </c>
      <c r="W1110" s="448" t="s">
        <v>95</v>
      </c>
      <c r="X1110" s="448" t="s">
        <v>51</v>
      </c>
      <c r="Y1110" s="448" t="s">
        <v>51</v>
      </c>
      <c r="Z1110" s="448" t="s">
        <v>88</v>
      </c>
      <c r="AA1110" s="448" t="s">
        <v>61</v>
      </c>
      <c r="AB1110" s="448" t="s">
        <v>62</v>
      </c>
      <c r="AC1110" s="448" t="s">
        <v>62</v>
      </c>
      <c r="AD1110" s="447"/>
      <c r="AE1110" s="447"/>
      <c r="AF1110" s="447"/>
      <c r="AG1110" s="447"/>
      <c r="AH1110" s="447"/>
      <c r="AI1110" s="447"/>
      <c r="AJ1110" s="447"/>
      <c r="AK1110" s="447"/>
      <c r="AL1110" s="447"/>
      <c r="AM1110" s="447"/>
      <c r="AN1110" s="447"/>
      <c r="AO1110" s="447"/>
      <c r="AP1110" s="447"/>
      <c r="AQ1110" s="447"/>
      <c r="AR1110" s="447"/>
      <c r="AS1110" s="447"/>
      <c r="AT1110" s="447"/>
      <c r="AU1110" s="447"/>
      <c r="AV1110" s="447"/>
      <c r="AW1110" s="447"/>
      <c r="AX1110" s="447"/>
      <c r="AY1110" s="447"/>
      <c r="AZ1110" s="447"/>
      <c r="BA1110" s="448" t="s">
        <v>51</v>
      </c>
      <c r="BB1110" s="448" t="s">
        <v>51</v>
      </c>
      <c r="BC1110" s="447"/>
      <c r="BD1110" s="448" t="s">
        <v>96</v>
      </c>
      <c r="BE1110" s="447">
        <v>192</v>
      </c>
    </row>
    <row r="1111" spans="1:59" ht="30" customHeight="1">
      <c r="A1111" s="443" t="s">
        <v>97</v>
      </c>
      <c r="B1111" s="443" t="s">
        <v>98</v>
      </c>
      <c r="C1111" s="443" t="s">
        <v>59</v>
      </c>
      <c r="D1111" s="1133">
        <v>152.04</v>
      </c>
      <c r="E1111" s="445">
        <f>'1층전시실산출'!H36</f>
        <v>152.04</v>
      </c>
      <c r="F1111" s="1147">
        <v>0</v>
      </c>
      <c r="G1111" s="1147">
        <v>0</v>
      </c>
      <c r="H1111" s="450">
        <f>TRUNC(일위대가목록!F11,0)</f>
        <v>0</v>
      </c>
      <c r="I1111" s="450">
        <f t="shared" si="137"/>
        <v>0</v>
      </c>
      <c r="J1111" s="1147">
        <v>3826</v>
      </c>
      <c r="K1111" s="1147">
        <v>581705.03999999992</v>
      </c>
      <c r="L1111" s="450">
        <f>TRUNC(일위대가목록!H11,0)</f>
        <v>3826</v>
      </c>
      <c r="M1111" s="450">
        <f t="shared" si="138"/>
        <v>581705.03999999992</v>
      </c>
      <c r="N1111" s="1147">
        <v>0</v>
      </c>
      <c r="O1111" s="1147">
        <v>0</v>
      </c>
      <c r="P1111" s="450">
        <f>TRUNC(일위대가목록!J11,0)</f>
        <v>0</v>
      </c>
      <c r="Q1111" s="450">
        <f>TRUNC(P1111*E1111, 0)</f>
        <v>0</v>
      </c>
      <c r="R1111" s="1147">
        <v>3826</v>
      </c>
      <c r="S1111" s="1147">
        <v>581705</v>
      </c>
      <c r="T1111" s="450">
        <f t="shared" si="139"/>
        <v>3826</v>
      </c>
      <c r="U1111" s="450">
        <f t="shared" si="140"/>
        <v>581705</v>
      </c>
      <c r="V1111" s="454" t="str">
        <f>일위대가목록!M11</f>
        <v>호표 8</v>
      </c>
      <c r="W1111" s="448" t="s">
        <v>99</v>
      </c>
      <c r="X1111" s="448" t="s">
        <v>51</v>
      </c>
      <c r="Y1111" s="448" t="s">
        <v>51</v>
      </c>
      <c r="Z1111" s="448" t="s">
        <v>88</v>
      </c>
      <c r="AA1111" s="448" t="s">
        <v>61</v>
      </c>
      <c r="AB1111" s="448" t="s">
        <v>62</v>
      </c>
      <c r="AC1111" s="448" t="s">
        <v>62</v>
      </c>
      <c r="AD1111" s="447"/>
      <c r="AE1111" s="447"/>
      <c r="AF1111" s="447"/>
      <c r="AG1111" s="447"/>
      <c r="AH1111" s="447"/>
      <c r="AI1111" s="447"/>
      <c r="AJ1111" s="447"/>
      <c r="AK1111" s="447"/>
      <c r="AL1111" s="447"/>
      <c r="AM1111" s="447"/>
      <c r="AN1111" s="447"/>
      <c r="AO1111" s="447"/>
      <c r="AP1111" s="447"/>
      <c r="AQ1111" s="447"/>
      <c r="AR1111" s="447"/>
      <c r="AS1111" s="447"/>
      <c r="AT1111" s="447"/>
      <c r="AU1111" s="447"/>
      <c r="AV1111" s="447"/>
      <c r="AW1111" s="447"/>
      <c r="AX1111" s="447"/>
      <c r="AY1111" s="447"/>
      <c r="AZ1111" s="447"/>
      <c r="BA1111" s="448" t="s">
        <v>51</v>
      </c>
      <c r="BB1111" s="448" t="s">
        <v>51</v>
      </c>
      <c r="BC1111" s="447"/>
      <c r="BD1111" s="448" t="s">
        <v>100</v>
      </c>
      <c r="BE1111" s="447">
        <v>205</v>
      </c>
    </row>
    <row r="1112" spans="1:59" ht="30" customHeight="1">
      <c r="A1112" s="443" t="s">
        <v>101</v>
      </c>
      <c r="B1112" s="443" t="s">
        <v>102</v>
      </c>
      <c r="C1112" s="443" t="s">
        <v>59</v>
      </c>
      <c r="D1112" s="1133">
        <v>763.57999999999993</v>
      </c>
      <c r="E1112" s="445">
        <f>'1층전시실산출'!H41</f>
        <v>763.57999999999993</v>
      </c>
      <c r="F1112" s="1147">
        <v>0</v>
      </c>
      <c r="G1112" s="1147">
        <v>0</v>
      </c>
      <c r="H1112" s="450">
        <f>TRUNC(일위대가목록!F12,0)</f>
        <v>0</v>
      </c>
      <c r="I1112" s="450">
        <f t="shared" si="137"/>
        <v>0</v>
      </c>
      <c r="J1112" s="1147">
        <v>5739</v>
      </c>
      <c r="K1112" s="1147">
        <v>4382185.6199999992</v>
      </c>
      <c r="L1112" s="450">
        <f>TRUNC(일위대가목록!H12,0)</f>
        <v>5739</v>
      </c>
      <c r="M1112" s="450">
        <f t="shared" si="138"/>
        <v>4382185.6199999992</v>
      </c>
      <c r="N1112" s="1147">
        <v>0</v>
      </c>
      <c r="O1112" s="1147">
        <v>0</v>
      </c>
      <c r="P1112" s="450">
        <f>TRUNC(일위대가목록!J12,0)</f>
        <v>0</v>
      </c>
      <c r="Q1112" s="450">
        <f>TRUNC(P1112*E1112, 0)</f>
        <v>0</v>
      </c>
      <c r="R1112" s="1147">
        <v>5739</v>
      </c>
      <c r="S1112" s="1147">
        <v>4382185</v>
      </c>
      <c r="T1112" s="450">
        <f t="shared" si="139"/>
        <v>5739</v>
      </c>
      <c r="U1112" s="450">
        <f t="shared" si="140"/>
        <v>4382185</v>
      </c>
      <c r="V1112" s="454" t="str">
        <f>일위대가목록!M12</f>
        <v>호표 9</v>
      </c>
      <c r="W1112" s="448" t="s">
        <v>103</v>
      </c>
      <c r="X1112" s="448" t="s">
        <v>51</v>
      </c>
      <c r="Y1112" s="448" t="s">
        <v>51</v>
      </c>
      <c r="Z1112" s="448" t="s">
        <v>88</v>
      </c>
      <c r="AA1112" s="448" t="s">
        <v>61</v>
      </c>
      <c r="AB1112" s="448" t="s">
        <v>62</v>
      </c>
      <c r="AC1112" s="448" t="s">
        <v>62</v>
      </c>
      <c r="AD1112" s="447"/>
      <c r="AE1112" s="447"/>
      <c r="AF1112" s="447"/>
      <c r="AG1112" s="447"/>
      <c r="AH1112" s="447"/>
      <c r="AI1112" s="447"/>
      <c r="AJ1112" s="447"/>
      <c r="AK1112" s="447"/>
      <c r="AL1112" s="447"/>
      <c r="AM1112" s="447"/>
      <c r="AN1112" s="447"/>
      <c r="AO1112" s="447"/>
      <c r="AP1112" s="447"/>
      <c r="AQ1112" s="447"/>
      <c r="AR1112" s="447"/>
      <c r="AS1112" s="447"/>
      <c r="AT1112" s="447"/>
      <c r="AU1112" s="447"/>
      <c r="AV1112" s="447"/>
      <c r="AW1112" s="447"/>
      <c r="AX1112" s="447"/>
      <c r="AY1112" s="447"/>
      <c r="AZ1112" s="447"/>
      <c r="BA1112" s="448" t="s">
        <v>51</v>
      </c>
      <c r="BB1112" s="448" t="s">
        <v>51</v>
      </c>
      <c r="BC1112" s="447"/>
      <c r="BD1112" s="448" t="s">
        <v>104</v>
      </c>
      <c r="BE1112" s="447">
        <v>14</v>
      </c>
    </row>
    <row r="1113" spans="1:59" ht="30" customHeight="1">
      <c r="A1113" s="1178" t="s">
        <v>105</v>
      </c>
      <c r="B1113" s="1178" t="s">
        <v>106</v>
      </c>
      <c r="C1113" s="1178" t="s">
        <v>59</v>
      </c>
      <c r="D1113" s="1194">
        <v>34.799999999999997</v>
      </c>
      <c r="E1113" s="1222">
        <v>0</v>
      </c>
      <c r="F1113" s="1200">
        <v>421</v>
      </c>
      <c r="G1113" s="1200">
        <v>14650.8</v>
      </c>
      <c r="H1113" s="1198">
        <f>TRUNC(일위대가목록!F13,0)</f>
        <v>421</v>
      </c>
      <c r="I1113" s="1198">
        <f t="shared" si="137"/>
        <v>0</v>
      </c>
      <c r="J1113" s="1200">
        <v>47218</v>
      </c>
      <c r="K1113" s="1200">
        <v>1643186.4</v>
      </c>
      <c r="L1113" s="1198">
        <f>TRUNC(일위대가목록!H13,0)</f>
        <v>47218</v>
      </c>
      <c r="M1113" s="1198">
        <f t="shared" si="138"/>
        <v>0</v>
      </c>
      <c r="N1113" s="1200">
        <v>0</v>
      </c>
      <c r="O1113" s="1200">
        <v>0</v>
      </c>
      <c r="P1113" s="1198">
        <f>TRUNC(일위대가목록!J13,0)</f>
        <v>0</v>
      </c>
      <c r="Q1113" s="1198">
        <f>TRUNC(P1113*E1113, 0)</f>
        <v>0</v>
      </c>
      <c r="R1113" s="1200">
        <v>47639</v>
      </c>
      <c r="S1113" s="1200">
        <v>1657837</v>
      </c>
      <c r="T1113" s="1198">
        <f t="shared" si="139"/>
        <v>47639</v>
      </c>
      <c r="U1113" s="1198">
        <f t="shared" si="140"/>
        <v>0</v>
      </c>
      <c r="V1113" s="1223" t="str">
        <f>일위대가목록!M13</f>
        <v>호표 10</v>
      </c>
      <c r="W1113" s="448" t="s">
        <v>107</v>
      </c>
      <c r="X1113" s="448" t="s">
        <v>51</v>
      </c>
      <c r="Y1113" s="448" t="s">
        <v>51</v>
      </c>
      <c r="Z1113" s="448" t="s">
        <v>88</v>
      </c>
      <c r="AA1113" s="448" t="s">
        <v>61</v>
      </c>
      <c r="AB1113" s="448" t="s">
        <v>62</v>
      </c>
      <c r="AC1113" s="448" t="s">
        <v>62</v>
      </c>
      <c r="AD1113" s="447"/>
      <c r="AE1113" s="447"/>
      <c r="AF1113" s="447"/>
      <c r="AG1113" s="447"/>
      <c r="AH1113" s="447"/>
      <c r="AI1113" s="447"/>
      <c r="AJ1113" s="447"/>
      <c r="AK1113" s="447"/>
      <c r="AL1113" s="447"/>
      <c r="AM1113" s="447"/>
      <c r="AN1113" s="447"/>
      <c r="AO1113" s="447"/>
      <c r="AP1113" s="447"/>
      <c r="AQ1113" s="447"/>
      <c r="AR1113" s="447"/>
      <c r="AS1113" s="447"/>
      <c r="AT1113" s="447"/>
      <c r="AU1113" s="447"/>
      <c r="AV1113" s="447"/>
      <c r="AW1113" s="447"/>
      <c r="AX1113" s="447"/>
      <c r="AY1113" s="447"/>
      <c r="AZ1113" s="447"/>
      <c r="BA1113" s="448" t="s">
        <v>51</v>
      </c>
      <c r="BB1113" s="448" t="s">
        <v>51</v>
      </c>
      <c r="BC1113" s="447"/>
      <c r="BD1113" s="448" t="s">
        <v>108</v>
      </c>
      <c r="BE1113" s="447">
        <v>94</v>
      </c>
      <c r="BF1113" s="449" t="s">
        <v>6720</v>
      </c>
    </row>
    <row r="1114" spans="1:59" ht="30" customHeight="1">
      <c r="A1114" s="1217" t="s">
        <v>4688</v>
      </c>
      <c r="B1114" s="1217" t="s">
        <v>4689</v>
      </c>
      <c r="C1114" s="1217" t="s">
        <v>4695</v>
      </c>
      <c r="D1114" s="1194">
        <v>13</v>
      </c>
      <c r="E1114" s="1222">
        <v>6</v>
      </c>
      <c r="F1114" s="1200"/>
      <c r="G1114" s="1200">
        <v>0</v>
      </c>
      <c r="H1114" s="1198"/>
      <c r="I1114" s="1198">
        <f t="shared" si="137"/>
        <v>0</v>
      </c>
      <c r="J1114" s="1200">
        <v>233369</v>
      </c>
      <c r="K1114" s="1200">
        <v>3033797</v>
      </c>
      <c r="L1114" s="1198">
        <f>단가대비표!P574</f>
        <v>233369</v>
      </c>
      <c r="M1114" s="1198">
        <f t="shared" si="138"/>
        <v>1400214</v>
      </c>
      <c r="N1114" s="1201"/>
      <c r="O1114" s="1201"/>
      <c r="P1114" s="1217"/>
      <c r="Q1114" s="1217"/>
      <c r="R1114" s="1200">
        <v>233369</v>
      </c>
      <c r="S1114" s="1200">
        <v>3033797</v>
      </c>
      <c r="T1114" s="1198">
        <f t="shared" si="139"/>
        <v>233369</v>
      </c>
      <c r="U1114" s="1198">
        <f t="shared" si="140"/>
        <v>1400214</v>
      </c>
      <c r="V1114" s="1203"/>
      <c r="BF1114" s="501">
        <v>13</v>
      </c>
      <c r="BG1114" s="449" t="s">
        <v>6839</v>
      </c>
    </row>
    <row r="1115" spans="1:59" s="17" customFormat="1" ht="30" customHeight="1">
      <c r="A1115" s="1301" t="s">
        <v>2356</v>
      </c>
      <c r="B1115" s="1301" t="s">
        <v>4690</v>
      </c>
      <c r="C1115" s="1301" t="s">
        <v>4696</v>
      </c>
      <c r="D1115" s="1209">
        <v>1</v>
      </c>
      <c r="E1115" s="1302">
        <v>1</v>
      </c>
      <c r="F1115" s="1211">
        <v>91013.91</v>
      </c>
      <c r="G1115" s="1211">
        <v>91013.91</v>
      </c>
      <c r="H1115" s="1212">
        <f>M1114*3%</f>
        <v>42006.42</v>
      </c>
      <c r="I1115" s="1212">
        <f t="shared" si="137"/>
        <v>42006.42</v>
      </c>
      <c r="J1115" s="1211"/>
      <c r="K1115" s="1211">
        <v>0</v>
      </c>
      <c r="L1115" s="1212"/>
      <c r="M1115" s="1212">
        <f t="shared" si="138"/>
        <v>0</v>
      </c>
      <c r="N1115" s="1224"/>
      <c r="O1115" s="1224"/>
      <c r="P1115" s="1301"/>
      <c r="Q1115" s="1301"/>
      <c r="R1115" s="1211">
        <v>91013</v>
      </c>
      <c r="S1115" s="1211">
        <v>91013</v>
      </c>
      <c r="T1115" s="1212">
        <f t="shared" si="139"/>
        <v>42006</v>
      </c>
      <c r="U1115" s="1212">
        <f t="shared" si="140"/>
        <v>42006</v>
      </c>
      <c r="V1115" s="1225"/>
      <c r="BF1115" s="1303">
        <v>1</v>
      </c>
    </row>
    <row r="1116" spans="1:59" ht="30" customHeight="1">
      <c r="A1116" s="1217" t="s">
        <v>4688</v>
      </c>
      <c r="B1116" s="1217" t="s">
        <v>4691</v>
      </c>
      <c r="C1116" s="1217" t="s">
        <v>4695</v>
      </c>
      <c r="D1116" s="1194">
        <v>43</v>
      </c>
      <c r="E1116" s="1222">
        <v>16</v>
      </c>
      <c r="F1116" s="1200"/>
      <c r="G1116" s="1200">
        <v>0</v>
      </c>
      <c r="H1116" s="1198"/>
      <c r="I1116" s="1198">
        <f t="shared" si="137"/>
        <v>0</v>
      </c>
      <c r="J1116" s="1200">
        <v>130264</v>
      </c>
      <c r="K1116" s="1200">
        <v>5601352</v>
      </c>
      <c r="L1116" s="1198">
        <f>단가대비표!P556</f>
        <v>130264</v>
      </c>
      <c r="M1116" s="1198">
        <f t="shared" si="138"/>
        <v>2084224</v>
      </c>
      <c r="N1116" s="1201"/>
      <c r="O1116" s="1201"/>
      <c r="P1116" s="1217"/>
      <c r="Q1116" s="1217"/>
      <c r="R1116" s="1200">
        <v>130264</v>
      </c>
      <c r="S1116" s="1200">
        <v>5601352</v>
      </c>
      <c r="T1116" s="1198">
        <f t="shared" si="139"/>
        <v>130264</v>
      </c>
      <c r="U1116" s="1198">
        <f t="shared" si="140"/>
        <v>2084224</v>
      </c>
      <c r="V1116" s="1203"/>
      <c r="BF1116" s="501">
        <v>43</v>
      </c>
      <c r="BG1116" s="449" t="s">
        <v>6841</v>
      </c>
    </row>
    <row r="1117" spans="1:59" ht="30" customHeight="1">
      <c r="A1117" s="1217" t="s">
        <v>4688</v>
      </c>
      <c r="B1117" s="1217" t="s">
        <v>4692</v>
      </c>
      <c r="C1117" s="1217" t="s">
        <v>4695</v>
      </c>
      <c r="D1117" s="1194">
        <v>60</v>
      </c>
      <c r="E1117" s="1222">
        <v>10</v>
      </c>
      <c r="F1117" s="1200"/>
      <c r="G1117" s="1200">
        <v>0</v>
      </c>
      <c r="H1117" s="1198"/>
      <c r="I1117" s="1198">
        <f t="shared" si="137"/>
        <v>0</v>
      </c>
      <c r="J1117" s="1200">
        <v>186665</v>
      </c>
      <c r="K1117" s="1200">
        <v>11199900</v>
      </c>
      <c r="L1117" s="1198">
        <f>단가대비표!P575</f>
        <v>186665</v>
      </c>
      <c r="M1117" s="1198">
        <f t="shared" si="138"/>
        <v>1866650</v>
      </c>
      <c r="N1117" s="1201"/>
      <c r="O1117" s="1201"/>
      <c r="P1117" s="1217"/>
      <c r="Q1117" s="1217"/>
      <c r="R1117" s="1200">
        <v>186665</v>
      </c>
      <c r="S1117" s="1200">
        <v>11199900</v>
      </c>
      <c r="T1117" s="1198">
        <f t="shared" si="139"/>
        <v>186665</v>
      </c>
      <c r="U1117" s="1198">
        <f t="shared" si="140"/>
        <v>1866650</v>
      </c>
      <c r="V1117" s="1203"/>
      <c r="BF1117" s="501">
        <v>60</v>
      </c>
      <c r="BG1117" s="449" t="s">
        <v>6840</v>
      </c>
    </row>
    <row r="1118" spans="1:59" ht="30" customHeight="1">
      <c r="A1118" s="1217" t="s">
        <v>4688</v>
      </c>
      <c r="B1118" s="1217" t="s">
        <v>4693</v>
      </c>
      <c r="C1118" s="1217" t="s">
        <v>4695</v>
      </c>
      <c r="D1118" s="1194">
        <v>36</v>
      </c>
      <c r="E1118" s="1222">
        <v>6</v>
      </c>
      <c r="F1118" s="1200"/>
      <c r="G1118" s="1200">
        <v>0</v>
      </c>
      <c r="H1118" s="1198"/>
      <c r="I1118" s="1198">
        <f t="shared" si="137"/>
        <v>0</v>
      </c>
      <c r="J1118" s="1200">
        <v>174352</v>
      </c>
      <c r="K1118" s="1200">
        <v>6276672</v>
      </c>
      <c r="L1118" s="1198">
        <f>단가대비표!P576</f>
        <v>174352</v>
      </c>
      <c r="M1118" s="1198">
        <f t="shared" si="138"/>
        <v>1046112</v>
      </c>
      <c r="N1118" s="1201"/>
      <c r="O1118" s="1201"/>
      <c r="P1118" s="1217"/>
      <c r="Q1118" s="1217"/>
      <c r="R1118" s="1200">
        <v>174352</v>
      </c>
      <c r="S1118" s="1200">
        <v>6276672</v>
      </c>
      <c r="T1118" s="1198">
        <f t="shared" si="139"/>
        <v>174352</v>
      </c>
      <c r="U1118" s="1198">
        <f t="shared" si="140"/>
        <v>1046112</v>
      </c>
      <c r="V1118" s="1203"/>
      <c r="BF1118" s="501">
        <v>36</v>
      </c>
      <c r="BG1118" s="449" t="s">
        <v>6839</v>
      </c>
    </row>
    <row r="1119" spans="1:59" ht="30" customHeight="1">
      <c r="A1119" s="1301" t="s">
        <v>2356</v>
      </c>
      <c r="B1119" s="1301" t="s">
        <v>4694</v>
      </c>
      <c r="C1119" s="1301" t="s">
        <v>4696</v>
      </c>
      <c r="D1119" s="1209">
        <v>1</v>
      </c>
      <c r="E1119" s="1302">
        <v>1</v>
      </c>
      <c r="F1119" s="1211">
        <v>461558.48</v>
      </c>
      <c r="G1119" s="1211">
        <v>461558.48</v>
      </c>
      <c r="H1119" s="1212">
        <f>SUM(M1116:M1118)*2%</f>
        <v>99939.72</v>
      </c>
      <c r="I1119" s="1212">
        <f t="shared" si="137"/>
        <v>99939.72</v>
      </c>
      <c r="J1119" s="1211"/>
      <c r="K1119" s="1211">
        <v>0</v>
      </c>
      <c r="L1119" s="1212"/>
      <c r="M1119" s="1212">
        <f t="shared" si="138"/>
        <v>0</v>
      </c>
      <c r="N1119" s="1224"/>
      <c r="O1119" s="1224"/>
      <c r="P1119" s="1301"/>
      <c r="Q1119" s="1301"/>
      <c r="R1119" s="1211">
        <v>461558</v>
      </c>
      <c r="S1119" s="1211">
        <v>461558</v>
      </c>
      <c r="T1119" s="1212">
        <f t="shared" si="139"/>
        <v>99939</v>
      </c>
      <c r="U1119" s="1212">
        <f t="shared" si="140"/>
        <v>99939</v>
      </c>
      <c r="V1119" s="1225"/>
      <c r="BF1119" s="501">
        <v>1</v>
      </c>
      <c r="BG1119" s="449" t="s">
        <v>6720</v>
      </c>
    </row>
    <row r="1120" spans="1:59" ht="30" customHeight="1">
      <c r="A1120" s="444"/>
      <c r="B1120" s="444"/>
      <c r="C1120" s="444"/>
      <c r="D1120" s="1133"/>
      <c r="E1120" s="445"/>
      <c r="F1120" s="1147"/>
      <c r="G1120" s="1146"/>
      <c r="H1120" s="450"/>
      <c r="I1120" s="444"/>
      <c r="J1120" s="1146"/>
      <c r="K1120" s="1146"/>
      <c r="L1120" s="444"/>
      <c r="M1120" s="444"/>
      <c r="N1120" s="1146"/>
      <c r="O1120" s="1146"/>
      <c r="P1120" s="444"/>
      <c r="Q1120" s="444"/>
      <c r="R1120" s="1147"/>
      <c r="S1120" s="1147"/>
      <c r="T1120" s="450"/>
      <c r="U1120" s="450"/>
      <c r="V1120" s="446"/>
    </row>
    <row r="1121" spans="1:57" ht="30" customHeight="1">
      <c r="A1121" s="444"/>
      <c r="B1121" s="444"/>
      <c r="C1121" s="444"/>
      <c r="D1121" s="1133"/>
      <c r="E1121" s="445"/>
      <c r="F1121" s="1146"/>
      <c r="G1121" s="1146"/>
      <c r="H1121" s="444"/>
      <c r="I1121" s="444"/>
      <c r="J1121" s="1146"/>
      <c r="K1121" s="1146"/>
      <c r="L1121" s="444"/>
      <c r="M1121" s="444"/>
      <c r="N1121" s="1146"/>
      <c r="O1121" s="1146"/>
      <c r="P1121" s="444"/>
      <c r="Q1121" s="444"/>
      <c r="R1121" s="1146"/>
      <c r="S1121" s="1146"/>
      <c r="T1121" s="444"/>
      <c r="U1121" s="444"/>
      <c r="V1121" s="446"/>
    </row>
    <row r="1122" spans="1:57" ht="30" customHeight="1">
      <c r="A1122" s="444"/>
      <c r="B1122" s="444"/>
      <c r="C1122" s="444"/>
      <c r="D1122" s="1133"/>
      <c r="E1122" s="445"/>
      <c r="F1122" s="1146"/>
      <c r="G1122" s="1146"/>
      <c r="H1122" s="444"/>
      <c r="I1122" s="444"/>
      <c r="J1122" s="1146"/>
      <c r="K1122" s="1146"/>
      <c r="L1122" s="444"/>
      <c r="M1122" s="444"/>
      <c r="N1122" s="1146"/>
      <c r="O1122" s="1146"/>
      <c r="P1122" s="444"/>
      <c r="Q1122" s="444"/>
      <c r="R1122" s="1146"/>
      <c r="S1122" s="1146"/>
      <c r="T1122" s="444"/>
      <c r="U1122" s="444"/>
      <c r="V1122" s="446"/>
    </row>
    <row r="1123" spans="1:57" ht="30" customHeight="1">
      <c r="A1123" s="444"/>
      <c r="B1123" s="444"/>
      <c r="C1123" s="444"/>
      <c r="D1123" s="1133"/>
      <c r="E1123" s="445"/>
      <c r="F1123" s="1146"/>
      <c r="G1123" s="1146"/>
      <c r="H1123" s="444"/>
      <c r="I1123" s="444"/>
      <c r="J1123" s="1146"/>
      <c r="K1123" s="1146"/>
      <c r="L1123" s="444"/>
      <c r="M1123" s="444"/>
      <c r="N1123" s="1146"/>
      <c r="O1123" s="1146"/>
      <c r="P1123" s="444"/>
      <c r="Q1123" s="444"/>
      <c r="R1123" s="1146"/>
      <c r="S1123" s="1146"/>
      <c r="T1123" s="444"/>
      <c r="U1123" s="444"/>
      <c r="V1123" s="446"/>
    </row>
    <row r="1124" spans="1:57" ht="30" customHeight="1">
      <c r="A1124" s="444"/>
      <c r="B1124" s="444"/>
      <c r="C1124" s="444"/>
      <c r="D1124" s="1133"/>
      <c r="E1124" s="445"/>
      <c r="F1124" s="1146"/>
      <c r="G1124" s="1146"/>
      <c r="H1124" s="444"/>
      <c r="I1124" s="444"/>
      <c r="J1124" s="1146"/>
      <c r="K1124" s="1146"/>
      <c r="L1124" s="444"/>
      <c r="M1124" s="444"/>
      <c r="N1124" s="1146"/>
      <c r="O1124" s="1146"/>
      <c r="P1124" s="444"/>
      <c r="Q1124" s="444"/>
      <c r="R1124" s="1146"/>
      <c r="S1124" s="1146"/>
      <c r="T1124" s="444"/>
      <c r="U1124" s="444"/>
      <c r="V1124" s="446"/>
    </row>
    <row r="1125" spans="1:57" ht="30" customHeight="1">
      <c r="A1125" s="444"/>
      <c r="B1125" s="444"/>
      <c r="C1125" s="444"/>
      <c r="D1125" s="1133"/>
      <c r="E1125" s="445"/>
      <c r="F1125" s="1146"/>
      <c r="G1125" s="1146"/>
      <c r="H1125" s="444"/>
      <c r="I1125" s="444"/>
      <c r="J1125" s="1146"/>
      <c r="K1125" s="1146"/>
      <c r="L1125" s="444"/>
      <c r="M1125" s="444"/>
      <c r="N1125" s="1146"/>
      <c r="O1125" s="1146"/>
      <c r="P1125" s="444"/>
      <c r="Q1125" s="444"/>
      <c r="R1125" s="1146"/>
      <c r="S1125" s="1146"/>
      <c r="T1125" s="444"/>
      <c r="U1125" s="444"/>
      <c r="V1125" s="446"/>
    </row>
    <row r="1126" spans="1:57" ht="30" customHeight="1">
      <c r="A1126" s="444"/>
      <c r="B1126" s="444"/>
      <c r="C1126" s="444"/>
      <c r="D1126" s="1133"/>
      <c r="E1126" s="445"/>
      <c r="F1126" s="1146"/>
      <c r="G1126" s="1146"/>
      <c r="H1126" s="444"/>
      <c r="I1126" s="444"/>
      <c r="J1126" s="1146"/>
      <c r="K1126" s="1146"/>
      <c r="L1126" s="444"/>
      <c r="M1126" s="444"/>
      <c r="N1126" s="1146"/>
      <c r="O1126" s="1146"/>
      <c r="P1126" s="444"/>
      <c r="Q1126" s="444"/>
      <c r="R1126" s="1146"/>
      <c r="S1126" s="1146"/>
      <c r="T1126" s="444"/>
      <c r="U1126" s="444"/>
      <c r="V1126" s="446"/>
    </row>
    <row r="1127" spans="1:57" ht="30" customHeight="1">
      <c r="A1127" s="444"/>
      <c r="B1127" s="444"/>
      <c r="C1127" s="444"/>
      <c r="D1127" s="1133"/>
      <c r="E1127" s="445"/>
      <c r="F1127" s="1146"/>
      <c r="G1127" s="1146"/>
      <c r="H1127" s="444"/>
      <c r="I1127" s="444"/>
      <c r="J1127" s="1146"/>
      <c r="K1127" s="1146"/>
      <c r="L1127" s="444"/>
      <c r="M1127" s="444"/>
      <c r="N1127" s="1146"/>
      <c r="O1127" s="1146"/>
      <c r="P1127" s="444"/>
      <c r="Q1127" s="444"/>
      <c r="R1127" s="1146"/>
      <c r="S1127" s="1146"/>
      <c r="T1127" s="444"/>
      <c r="U1127" s="444"/>
      <c r="V1127" s="446"/>
    </row>
    <row r="1128" spans="1:57" ht="30" customHeight="1">
      <c r="A1128" s="444"/>
      <c r="B1128" s="444"/>
      <c r="C1128" s="444"/>
      <c r="D1128" s="1133"/>
      <c r="E1128" s="445"/>
      <c r="F1128" s="1146"/>
      <c r="G1128" s="1146"/>
      <c r="H1128" s="444"/>
      <c r="I1128" s="444"/>
      <c r="J1128" s="1146"/>
      <c r="K1128" s="1146"/>
      <c r="L1128" s="444"/>
      <c r="M1128" s="444"/>
      <c r="N1128" s="1146"/>
      <c r="O1128" s="1146"/>
      <c r="P1128" s="444"/>
      <c r="Q1128" s="444"/>
      <c r="R1128" s="1146"/>
      <c r="S1128" s="1146"/>
      <c r="T1128" s="444"/>
      <c r="U1128" s="444"/>
      <c r="V1128" s="446"/>
    </row>
    <row r="1129" spans="1:57" ht="30" customHeight="1">
      <c r="A1129" s="443" t="s">
        <v>85</v>
      </c>
      <c r="B1129" s="444"/>
      <c r="C1129" s="444"/>
      <c r="D1129" s="1133"/>
      <c r="E1129" s="445"/>
      <c r="F1129" s="1146"/>
      <c r="G1129" s="1147">
        <v>844279.19</v>
      </c>
      <c r="H1129" s="444"/>
      <c r="I1129" s="450">
        <f>SUM(I1109:I1128)</f>
        <v>419002.14</v>
      </c>
      <c r="J1129" s="1146"/>
      <c r="K1129" s="1147">
        <v>58356445.039999999</v>
      </c>
      <c r="L1129" s="444"/>
      <c r="M1129" s="450">
        <f>SUM(M1109:M1128)</f>
        <v>22756208.759999998</v>
      </c>
      <c r="N1129" s="1146"/>
      <c r="O1129" s="1147">
        <v>0</v>
      </c>
      <c r="P1129" s="444"/>
      <c r="Q1129" s="450">
        <f>SUM(Q1109:Q1128)</f>
        <v>0</v>
      </c>
      <c r="R1129" s="1146"/>
      <c r="S1129" s="1147">
        <v>59200721</v>
      </c>
      <c r="T1129" s="444"/>
      <c r="U1129" s="450">
        <f>SUM(U1109:U1128)</f>
        <v>23175209</v>
      </c>
      <c r="V1129" s="446"/>
      <c r="W1129" s="449" t="s">
        <v>86</v>
      </c>
    </row>
    <row r="1130" spans="1:57" ht="30" customHeight="1">
      <c r="A1130" s="157" t="s">
        <v>4779</v>
      </c>
      <c r="B1130" s="54"/>
      <c r="C1130" s="54"/>
      <c r="D1130" s="1209"/>
      <c r="E1130" s="1210"/>
      <c r="F1130" s="1224"/>
      <c r="G1130" s="1224"/>
      <c r="H1130" s="54"/>
      <c r="I1130" s="54"/>
      <c r="J1130" s="1224"/>
      <c r="K1130" s="1224"/>
      <c r="L1130" s="54"/>
      <c r="M1130" s="54"/>
      <c r="N1130" s="1224"/>
      <c r="O1130" s="1224"/>
      <c r="P1130" s="54"/>
      <c r="Q1130" s="54"/>
      <c r="R1130" s="1224"/>
      <c r="S1130" s="1224"/>
      <c r="T1130" s="54"/>
      <c r="U1130" s="54"/>
      <c r="V1130" s="1225"/>
      <c r="W1130" s="447"/>
      <c r="X1130" s="447"/>
      <c r="Y1130" s="447"/>
      <c r="Z1130" s="448" t="s">
        <v>110</v>
      </c>
      <c r="AA1130" s="447"/>
      <c r="AB1130" s="447"/>
      <c r="AC1130" s="447"/>
      <c r="AD1130" s="447"/>
      <c r="AE1130" s="447"/>
      <c r="AF1130" s="447"/>
      <c r="AG1130" s="447"/>
      <c r="AH1130" s="447"/>
      <c r="AI1130" s="447"/>
      <c r="AJ1130" s="447"/>
      <c r="AK1130" s="447"/>
      <c r="AL1130" s="447"/>
      <c r="AM1130" s="447"/>
      <c r="AN1130" s="447"/>
      <c r="AO1130" s="447"/>
      <c r="AP1130" s="447"/>
      <c r="AQ1130" s="447"/>
      <c r="AR1130" s="447"/>
      <c r="AS1130" s="447"/>
      <c r="AT1130" s="447"/>
      <c r="AU1130" s="447"/>
      <c r="AV1130" s="447"/>
      <c r="AW1130" s="447"/>
      <c r="AX1130" s="447"/>
      <c r="AY1130" s="447"/>
      <c r="AZ1130" s="447"/>
      <c r="BA1130" s="447"/>
      <c r="BB1130" s="447"/>
      <c r="BC1130" s="447"/>
      <c r="BD1130" s="447"/>
      <c r="BE1130" s="447"/>
    </row>
    <row r="1131" spans="1:57" ht="30" customHeight="1">
      <c r="A1131" s="443" t="s">
        <v>111</v>
      </c>
      <c r="B1131" s="443" t="s">
        <v>94</v>
      </c>
      <c r="C1131" s="443" t="s">
        <v>59</v>
      </c>
      <c r="D1131" s="1133">
        <v>884.26</v>
      </c>
      <c r="E1131" s="445">
        <f>'1층전시실산출'!H48</f>
        <v>884.26</v>
      </c>
      <c r="F1131" s="1147">
        <v>888</v>
      </c>
      <c r="G1131" s="1147">
        <v>785222.88</v>
      </c>
      <c r="H1131" s="450">
        <f>TRUNC(일위대가목록!F14,0)</f>
        <v>888</v>
      </c>
      <c r="I1131" s="450">
        <f t="shared" ref="I1131:I1141" si="141">E1131*H1131</f>
        <v>785222.88</v>
      </c>
      <c r="J1131" s="1147">
        <v>18667</v>
      </c>
      <c r="K1131" s="1147">
        <v>16506481.42</v>
      </c>
      <c r="L1131" s="450">
        <f>TRUNC(일위대가목록!H14,0)</f>
        <v>18667</v>
      </c>
      <c r="M1131" s="450">
        <f t="shared" ref="M1131:M1141" si="142">E1131*L1131</f>
        <v>16506481.42</v>
      </c>
      <c r="N1131" s="1147">
        <v>0</v>
      </c>
      <c r="O1131" s="1147">
        <v>0</v>
      </c>
      <c r="P1131" s="450">
        <f>TRUNC(일위대가목록!J14,0)</f>
        <v>0</v>
      </c>
      <c r="Q1131" s="450">
        <f t="shared" ref="Q1131:Q1141" si="143">TRUNC(P1131*E1131, 0)</f>
        <v>0</v>
      </c>
      <c r="R1131" s="1147">
        <v>19555</v>
      </c>
      <c r="S1131" s="1147">
        <v>17291704</v>
      </c>
      <c r="T1131" s="450">
        <f t="shared" ref="T1131:T1140" si="144">TRUNC(H1131+L1131+P1131, 0)</f>
        <v>19555</v>
      </c>
      <c r="U1131" s="450">
        <f t="shared" ref="U1131:U1140" si="145">TRUNC(I1131+M1131+Q1131, 0)</f>
        <v>17291704</v>
      </c>
      <c r="V1131" s="454" t="str">
        <f>일위대가목록!M10</f>
        <v>호표 7</v>
      </c>
      <c r="W1131" s="448" t="s">
        <v>112</v>
      </c>
      <c r="X1131" s="448" t="s">
        <v>51</v>
      </c>
      <c r="Y1131" s="448" t="s">
        <v>51</v>
      </c>
      <c r="Z1131" s="448" t="s">
        <v>110</v>
      </c>
      <c r="AA1131" s="448" t="s">
        <v>61</v>
      </c>
      <c r="AB1131" s="448" t="s">
        <v>62</v>
      </c>
      <c r="AC1131" s="448" t="s">
        <v>62</v>
      </c>
      <c r="AD1131" s="447"/>
      <c r="AE1131" s="447"/>
      <c r="AF1131" s="447"/>
      <c r="AG1131" s="447"/>
      <c r="AH1131" s="447"/>
      <c r="AI1131" s="447"/>
      <c r="AJ1131" s="447"/>
      <c r="AK1131" s="447"/>
      <c r="AL1131" s="447"/>
      <c r="AM1131" s="447"/>
      <c r="AN1131" s="447"/>
      <c r="AO1131" s="447"/>
      <c r="AP1131" s="447"/>
      <c r="AQ1131" s="447"/>
      <c r="AR1131" s="447"/>
      <c r="AS1131" s="447"/>
      <c r="AT1131" s="447"/>
      <c r="AU1131" s="447"/>
      <c r="AV1131" s="447"/>
      <c r="AW1131" s="447"/>
      <c r="AX1131" s="447"/>
      <c r="AY1131" s="447"/>
      <c r="AZ1131" s="447"/>
      <c r="BA1131" s="448" t="s">
        <v>51</v>
      </c>
      <c r="BB1131" s="448" t="s">
        <v>51</v>
      </c>
      <c r="BC1131" s="447"/>
      <c r="BD1131" s="448" t="s">
        <v>113</v>
      </c>
      <c r="BE1131" s="447">
        <v>19</v>
      </c>
    </row>
    <row r="1132" spans="1:57" ht="30" customHeight="1">
      <c r="A1132" s="1178" t="s">
        <v>114</v>
      </c>
      <c r="B1132" s="1178" t="s">
        <v>6771</v>
      </c>
      <c r="C1132" s="1178" t="s">
        <v>59</v>
      </c>
      <c r="D1132" s="1194">
        <v>143.28</v>
      </c>
      <c r="E1132" s="1195">
        <v>0</v>
      </c>
      <c r="F1132" s="1200">
        <v>2294</v>
      </c>
      <c r="G1132" s="1200">
        <v>328684.32</v>
      </c>
      <c r="H1132" s="1198">
        <f>TRUNC(일위대가목록!F15,0)</f>
        <v>2294</v>
      </c>
      <c r="I1132" s="1198">
        <f t="shared" si="141"/>
        <v>0</v>
      </c>
      <c r="J1132" s="1200">
        <v>45897</v>
      </c>
      <c r="K1132" s="1200">
        <v>6576122.1600000001</v>
      </c>
      <c r="L1132" s="1198">
        <f>TRUNC(일위대가목록!H15,0)</f>
        <v>45897</v>
      </c>
      <c r="M1132" s="1198">
        <f t="shared" si="142"/>
        <v>0</v>
      </c>
      <c r="N1132" s="1200">
        <v>0</v>
      </c>
      <c r="O1132" s="1200">
        <v>0</v>
      </c>
      <c r="P1132" s="1198">
        <f>TRUNC(일위대가목록!J15,0)</f>
        <v>0</v>
      </c>
      <c r="Q1132" s="1198">
        <f t="shared" si="143"/>
        <v>0</v>
      </c>
      <c r="R1132" s="1200">
        <v>48191</v>
      </c>
      <c r="S1132" s="1200">
        <v>6904806</v>
      </c>
      <c r="T1132" s="1198">
        <f t="shared" si="144"/>
        <v>48191</v>
      </c>
      <c r="U1132" s="1198">
        <f t="shared" si="145"/>
        <v>0</v>
      </c>
      <c r="V1132" s="1223" t="str">
        <f>일위대가목록!M15</f>
        <v>호표 12</v>
      </c>
      <c r="W1132" s="448" t="s">
        <v>116</v>
      </c>
      <c r="X1132" s="448" t="s">
        <v>51</v>
      </c>
      <c r="Y1132" s="448" t="s">
        <v>51</v>
      </c>
      <c r="Z1132" s="448" t="s">
        <v>110</v>
      </c>
      <c r="AA1132" s="448" t="s">
        <v>61</v>
      </c>
      <c r="AB1132" s="448" t="s">
        <v>62</v>
      </c>
      <c r="AC1132" s="448" t="s">
        <v>62</v>
      </c>
      <c r="AD1132" s="447"/>
      <c r="AE1132" s="447"/>
      <c r="AF1132" s="447"/>
      <c r="AG1132" s="447"/>
      <c r="AH1132" s="447"/>
      <c r="AI1132" s="447"/>
      <c r="AJ1132" s="447"/>
      <c r="AK1132" s="447"/>
      <c r="AL1132" s="447"/>
      <c r="AM1132" s="447"/>
      <c r="AN1132" s="447"/>
      <c r="AO1132" s="447"/>
      <c r="AP1132" s="447"/>
      <c r="AQ1132" s="447"/>
      <c r="AR1132" s="447"/>
      <c r="AS1132" s="447"/>
      <c r="AT1132" s="447"/>
      <c r="AU1132" s="447"/>
      <c r="AV1132" s="447"/>
      <c r="AW1132" s="447"/>
      <c r="AX1132" s="447"/>
      <c r="AY1132" s="447"/>
      <c r="AZ1132" s="447"/>
      <c r="BA1132" s="448" t="s">
        <v>51</v>
      </c>
      <c r="BB1132" s="448" t="s">
        <v>51</v>
      </c>
      <c r="BC1132" s="447"/>
      <c r="BD1132" s="448" t="s">
        <v>117</v>
      </c>
      <c r="BE1132" s="447">
        <v>18</v>
      </c>
    </row>
    <row r="1133" spans="1:57" ht="30" customHeight="1">
      <c r="A1133" s="443" t="s">
        <v>118</v>
      </c>
      <c r="B1133" s="443" t="s">
        <v>51</v>
      </c>
      <c r="C1133" s="443" t="s">
        <v>59</v>
      </c>
      <c r="D1133" s="1133">
        <v>261</v>
      </c>
      <c r="E1133" s="445">
        <f>'1층전시실산출'!H53</f>
        <v>261</v>
      </c>
      <c r="F1133" s="1147">
        <v>181</v>
      </c>
      <c r="G1133" s="1147">
        <v>47241</v>
      </c>
      <c r="H1133" s="450">
        <f>TRUNC(일위대가목록!F16,0)</f>
        <v>0</v>
      </c>
      <c r="I1133" s="450">
        <f t="shared" si="141"/>
        <v>0</v>
      </c>
      <c r="J1133" s="1147">
        <v>3707</v>
      </c>
      <c r="K1133" s="1147">
        <v>967527</v>
      </c>
      <c r="L1133" s="450">
        <f>TRUNC(일위대가목록!H16,0)</f>
        <v>1302</v>
      </c>
      <c r="M1133" s="450">
        <f t="shared" si="142"/>
        <v>339822</v>
      </c>
      <c r="N1133" s="1147">
        <v>0</v>
      </c>
      <c r="O1133" s="1147">
        <v>0</v>
      </c>
      <c r="P1133" s="450">
        <f>TRUNC(일위대가목록!J16,0)</f>
        <v>0</v>
      </c>
      <c r="Q1133" s="450">
        <f t="shared" si="143"/>
        <v>0</v>
      </c>
      <c r="R1133" s="1147">
        <v>3888</v>
      </c>
      <c r="S1133" s="1147">
        <v>1014768</v>
      </c>
      <c r="T1133" s="450">
        <f t="shared" si="144"/>
        <v>1302</v>
      </c>
      <c r="U1133" s="450">
        <f t="shared" si="145"/>
        <v>339822</v>
      </c>
      <c r="V1133" s="454" t="str">
        <f>일위대가목록!M16</f>
        <v>호표 13</v>
      </c>
      <c r="W1133" s="448" t="s">
        <v>119</v>
      </c>
      <c r="X1133" s="448" t="s">
        <v>51</v>
      </c>
      <c r="Y1133" s="448" t="s">
        <v>51</v>
      </c>
      <c r="Z1133" s="448" t="s">
        <v>110</v>
      </c>
      <c r="AA1133" s="448" t="s">
        <v>61</v>
      </c>
      <c r="AB1133" s="448" t="s">
        <v>62</v>
      </c>
      <c r="AC1133" s="448" t="s">
        <v>62</v>
      </c>
      <c r="AD1133" s="447"/>
      <c r="AE1133" s="447"/>
      <c r="AF1133" s="447"/>
      <c r="AG1133" s="447"/>
      <c r="AH1133" s="447"/>
      <c r="AI1133" s="447"/>
      <c r="AJ1133" s="447"/>
      <c r="AK1133" s="447"/>
      <c r="AL1133" s="447"/>
      <c r="AM1133" s="447"/>
      <c r="AN1133" s="447"/>
      <c r="AO1133" s="447"/>
      <c r="AP1133" s="447"/>
      <c r="AQ1133" s="447"/>
      <c r="AR1133" s="447"/>
      <c r="AS1133" s="447"/>
      <c r="AT1133" s="447"/>
      <c r="AU1133" s="447"/>
      <c r="AV1133" s="447"/>
      <c r="AW1133" s="447"/>
      <c r="AX1133" s="447"/>
      <c r="AY1133" s="447"/>
      <c r="AZ1133" s="447"/>
      <c r="BA1133" s="448" t="s">
        <v>51</v>
      </c>
      <c r="BB1133" s="448" t="s">
        <v>51</v>
      </c>
      <c r="BC1133" s="447"/>
      <c r="BD1133" s="448" t="s">
        <v>120</v>
      </c>
      <c r="BE1133" s="447">
        <v>447</v>
      </c>
    </row>
    <row r="1134" spans="1:57" ht="30" customHeight="1">
      <c r="A1134" s="443" t="s">
        <v>121</v>
      </c>
      <c r="B1134" s="443" t="s">
        <v>122</v>
      </c>
      <c r="C1134" s="443" t="s">
        <v>59</v>
      </c>
      <c r="D1134" s="1133">
        <v>1822.0573999999999</v>
      </c>
      <c r="E1134" s="445">
        <f>'1층전시실산출'!H72</f>
        <v>1822.0573999999999</v>
      </c>
      <c r="F1134" s="1147">
        <v>0</v>
      </c>
      <c r="G1134" s="1147">
        <v>0</v>
      </c>
      <c r="H1134" s="450">
        <f>TRUNC(일위대가목록!F17,0)</f>
        <v>0</v>
      </c>
      <c r="I1134" s="450">
        <f t="shared" si="141"/>
        <v>0</v>
      </c>
      <c r="J1134" s="1147">
        <v>11235</v>
      </c>
      <c r="K1134" s="1147">
        <v>20470814.888999999</v>
      </c>
      <c r="L1134" s="450">
        <f>TRUNC(일위대가목록!H17,0)</f>
        <v>11235</v>
      </c>
      <c r="M1134" s="450">
        <f t="shared" si="142"/>
        <v>20470814.888999999</v>
      </c>
      <c r="N1134" s="1147">
        <v>0</v>
      </c>
      <c r="O1134" s="1147">
        <v>0</v>
      </c>
      <c r="P1134" s="450">
        <f>TRUNC(일위대가목록!J17,0)</f>
        <v>0</v>
      </c>
      <c r="Q1134" s="450">
        <f t="shared" si="143"/>
        <v>0</v>
      </c>
      <c r="R1134" s="1147">
        <v>11235</v>
      </c>
      <c r="S1134" s="1147">
        <v>20470814</v>
      </c>
      <c r="T1134" s="450">
        <f t="shared" si="144"/>
        <v>11235</v>
      </c>
      <c r="U1134" s="450">
        <f t="shared" si="145"/>
        <v>20470814</v>
      </c>
      <c r="V1134" s="454" t="str">
        <f>일위대가목록!M17</f>
        <v>호표 14</v>
      </c>
      <c r="W1134" s="448" t="s">
        <v>123</v>
      </c>
      <c r="X1134" s="448" t="s">
        <v>51</v>
      </c>
      <c r="Y1134" s="448" t="s">
        <v>51</v>
      </c>
      <c r="Z1134" s="448" t="s">
        <v>110</v>
      </c>
      <c r="AA1134" s="448" t="s">
        <v>61</v>
      </c>
      <c r="AB1134" s="448" t="s">
        <v>62</v>
      </c>
      <c r="AC1134" s="448" t="s">
        <v>62</v>
      </c>
      <c r="AD1134" s="447"/>
      <c r="AE1134" s="447"/>
      <c r="AF1134" s="447"/>
      <c r="AG1134" s="447"/>
      <c r="AH1134" s="447"/>
      <c r="AI1134" s="447"/>
      <c r="AJ1134" s="447"/>
      <c r="AK1134" s="447"/>
      <c r="AL1134" s="447"/>
      <c r="AM1134" s="447"/>
      <c r="AN1134" s="447"/>
      <c r="AO1134" s="447"/>
      <c r="AP1134" s="447"/>
      <c r="AQ1134" s="447"/>
      <c r="AR1134" s="447"/>
      <c r="AS1134" s="447"/>
      <c r="AT1134" s="447"/>
      <c r="AU1134" s="447"/>
      <c r="AV1134" s="447"/>
      <c r="AW1134" s="447"/>
      <c r="AX1134" s="447"/>
      <c r="AY1134" s="447"/>
      <c r="AZ1134" s="447"/>
      <c r="BA1134" s="448" t="s">
        <v>51</v>
      </c>
      <c r="BB1134" s="448" t="s">
        <v>51</v>
      </c>
      <c r="BC1134" s="447"/>
      <c r="BD1134" s="448" t="s">
        <v>124</v>
      </c>
      <c r="BE1134" s="447">
        <v>20</v>
      </c>
    </row>
    <row r="1135" spans="1:57" ht="30" customHeight="1">
      <c r="A1135" s="157" t="s">
        <v>125</v>
      </c>
      <c r="B1135" s="157" t="s">
        <v>94</v>
      </c>
      <c r="C1135" s="157" t="s">
        <v>59</v>
      </c>
      <c r="D1135" s="1209">
        <v>222.24</v>
      </c>
      <c r="E1135" s="1210">
        <f>'1층전시실산출'!H74</f>
        <v>222.24</v>
      </c>
      <c r="F1135" s="1211">
        <v>0</v>
      </c>
      <c r="G1135" s="1211">
        <v>0</v>
      </c>
      <c r="H1135" s="1212">
        <f>TRUNC(일위대가목록!F18,0)</f>
        <v>0</v>
      </c>
      <c r="I1135" s="1212">
        <f t="shared" si="141"/>
        <v>0</v>
      </c>
      <c r="J1135" s="1211">
        <v>13433</v>
      </c>
      <c r="K1135" s="1211">
        <v>2985349.92</v>
      </c>
      <c r="L1135" s="1212">
        <f>TRUNC(일위대가목록!H18,0)</f>
        <v>13433</v>
      </c>
      <c r="M1135" s="1212">
        <f t="shared" si="142"/>
        <v>2985349.92</v>
      </c>
      <c r="N1135" s="1211">
        <v>0</v>
      </c>
      <c r="O1135" s="1211">
        <v>0</v>
      </c>
      <c r="P1135" s="1212">
        <f>TRUNC(일위대가목록!J18,0)</f>
        <v>0</v>
      </c>
      <c r="Q1135" s="1212">
        <f t="shared" si="143"/>
        <v>0</v>
      </c>
      <c r="R1135" s="1211">
        <v>13433</v>
      </c>
      <c r="S1135" s="1211">
        <v>2985349</v>
      </c>
      <c r="T1135" s="1212">
        <f t="shared" si="144"/>
        <v>13433</v>
      </c>
      <c r="U1135" s="1212">
        <f t="shared" si="145"/>
        <v>2985349</v>
      </c>
      <c r="V1135" s="1213" t="str">
        <f>일위대가목록!M18</f>
        <v>호표 15</v>
      </c>
      <c r="W1135" s="448" t="s">
        <v>126</v>
      </c>
      <c r="X1135" s="448" t="s">
        <v>51</v>
      </c>
      <c r="Y1135" s="448" t="s">
        <v>51</v>
      </c>
      <c r="Z1135" s="448" t="s">
        <v>110</v>
      </c>
      <c r="AA1135" s="448" t="s">
        <v>61</v>
      </c>
      <c r="AB1135" s="448" t="s">
        <v>62</v>
      </c>
      <c r="AC1135" s="448" t="s">
        <v>62</v>
      </c>
      <c r="AD1135" s="447"/>
      <c r="AE1135" s="447"/>
      <c r="AF1135" s="447"/>
      <c r="AG1135" s="447"/>
      <c r="AH1135" s="447"/>
      <c r="AI1135" s="447"/>
      <c r="AJ1135" s="447"/>
      <c r="AK1135" s="447"/>
      <c r="AL1135" s="447"/>
      <c r="AM1135" s="447"/>
      <c r="AN1135" s="447"/>
      <c r="AO1135" s="447"/>
      <c r="AP1135" s="447"/>
      <c r="AQ1135" s="447"/>
      <c r="AR1135" s="447"/>
      <c r="AS1135" s="447"/>
      <c r="AT1135" s="447"/>
      <c r="AU1135" s="447"/>
      <c r="AV1135" s="447"/>
      <c r="AW1135" s="447"/>
      <c r="AX1135" s="447"/>
      <c r="AY1135" s="447"/>
      <c r="AZ1135" s="447"/>
      <c r="BA1135" s="448" t="s">
        <v>51</v>
      </c>
      <c r="BB1135" s="448" t="s">
        <v>51</v>
      </c>
      <c r="BC1135" s="447"/>
      <c r="BD1135" s="448" t="s">
        <v>127</v>
      </c>
      <c r="BE1135" s="447">
        <v>93</v>
      </c>
    </row>
    <row r="1136" spans="1:57" ht="30" customHeight="1">
      <c r="A1136" s="443" t="s">
        <v>128</v>
      </c>
      <c r="B1136" s="443" t="s">
        <v>94</v>
      </c>
      <c r="C1136" s="443" t="s">
        <v>59</v>
      </c>
      <c r="D1136" s="1133">
        <v>2585.5173999999997</v>
      </c>
      <c r="E1136" s="445">
        <f>'1층전시실산출'!H95</f>
        <v>2585.5173999999997</v>
      </c>
      <c r="F1136" s="1147">
        <v>0</v>
      </c>
      <c r="G1136" s="1147">
        <v>0</v>
      </c>
      <c r="H1136" s="450">
        <f>TRUNC(일위대가목록!F19,0)</f>
        <v>0</v>
      </c>
      <c r="I1136" s="450">
        <f t="shared" si="141"/>
        <v>0</v>
      </c>
      <c r="J1136" s="1147">
        <v>3826</v>
      </c>
      <c r="K1136" s="1147">
        <v>9892189.5723999981</v>
      </c>
      <c r="L1136" s="450">
        <f>TRUNC(일위대가목록!H19,0)</f>
        <v>3826</v>
      </c>
      <c r="M1136" s="450">
        <f t="shared" si="142"/>
        <v>9892189.5723999981</v>
      </c>
      <c r="N1136" s="1147">
        <v>0</v>
      </c>
      <c r="O1136" s="1147">
        <v>0</v>
      </c>
      <c r="P1136" s="450">
        <f>TRUNC(일위대가목록!J19,0)</f>
        <v>0</v>
      </c>
      <c r="Q1136" s="450">
        <f t="shared" si="143"/>
        <v>0</v>
      </c>
      <c r="R1136" s="1147">
        <v>3826</v>
      </c>
      <c r="S1136" s="1147">
        <v>9892189</v>
      </c>
      <c r="T1136" s="450">
        <f t="shared" si="144"/>
        <v>3826</v>
      </c>
      <c r="U1136" s="450">
        <f t="shared" si="145"/>
        <v>9892189</v>
      </c>
      <c r="V1136" s="454" t="str">
        <f>일위대가목록!M19</f>
        <v>호표 16</v>
      </c>
      <c r="W1136" s="448" t="s">
        <v>129</v>
      </c>
      <c r="X1136" s="448" t="s">
        <v>51</v>
      </c>
      <c r="Y1136" s="448" t="s">
        <v>51</v>
      </c>
      <c r="Z1136" s="448" t="s">
        <v>110</v>
      </c>
      <c r="AA1136" s="448" t="s">
        <v>61</v>
      </c>
      <c r="AB1136" s="448" t="s">
        <v>62</v>
      </c>
      <c r="AC1136" s="448" t="s">
        <v>62</v>
      </c>
      <c r="AD1136" s="447"/>
      <c r="AE1136" s="447"/>
      <c r="AF1136" s="447"/>
      <c r="AG1136" s="447"/>
      <c r="AH1136" s="447"/>
      <c r="AI1136" s="447"/>
      <c r="AJ1136" s="447"/>
      <c r="AK1136" s="447"/>
      <c r="AL1136" s="447"/>
      <c r="AM1136" s="447"/>
      <c r="AN1136" s="447"/>
      <c r="AO1136" s="447"/>
      <c r="AP1136" s="447"/>
      <c r="AQ1136" s="447"/>
      <c r="AR1136" s="447"/>
      <c r="AS1136" s="447"/>
      <c r="AT1136" s="447"/>
      <c r="AU1136" s="447"/>
      <c r="AV1136" s="447"/>
      <c r="AW1136" s="447"/>
      <c r="AX1136" s="447"/>
      <c r="AY1136" s="447"/>
      <c r="AZ1136" s="447"/>
      <c r="BA1136" s="448" t="s">
        <v>51</v>
      </c>
      <c r="BB1136" s="448" t="s">
        <v>51</v>
      </c>
      <c r="BC1136" s="447"/>
      <c r="BD1136" s="448" t="s">
        <v>130</v>
      </c>
      <c r="BE1136" s="447">
        <v>21</v>
      </c>
    </row>
    <row r="1137" spans="1:58" ht="30" customHeight="1">
      <c r="A1137" s="443" t="s">
        <v>131</v>
      </c>
      <c r="B1137" s="443" t="s">
        <v>94</v>
      </c>
      <c r="C1137" s="443" t="s">
        <v>59</v>
      </c>
      <c r="D1137" s="1133">
        <v>75.124000000000009</v>
      </c>
      <c r="E1137" s="445">
        <f>'1층전시실산출'!H101</f>
        <v>75.124000000000009</v>
      </c>
      <c r="F1137" s="1147">
        <v>421</v>
      </c>
      <c r="G1137" s="1147">
        <v>31627.204000000005</v>
      </c>
      <c r="H1137" s="450">
        <f>TRUNC(일위대가목록!F20,0)</f>
        <v>421</v>
      </c>
      <c r="I1137" s="450">
        <f t="shared" si="141"/>
        <v>31627.204000000005</v>
      </c>
      <c r="J1137" s="1147">
        <v>47218</v>
      </c>
      <c r="K1137" s="1147">
        <v>3547205.0320000006</v>
      </c>
      <c r="L1137" s="450">
        <f>TRUNC(일위대가목록!H20,0)</f>
        <v>47218</v>
      </c>
      <c r="M1137" s="450">
        <f t="shared" si="142"/>
        <v>3547205.0320000006</v>
      </c>
      <c r="N1137" s="1147">
        <v>0</v>
      </c>
      <c r="O1137" s="1147">
        <v>0</v>
      </c>
      <c r="P1137" s="450">
        <f>TRUNC(일위대가목록!J20,0)</f>
        <v>0</v>
      </c>
      <c r="Q1137" s="450">
        <f t="shared" si="143"/>
        <v>0</v>
      </c>
      <c r="R1137" s="1147">
        <v>47639</v>
      </c>
      <c r="S1137" s="1147">
        <v>3578832</v>
      </c>
      <c r="T1137" s="450">
        <f t="shared" si="144"/>
        <v>47639</v>
      </c>
      <c r="U1137" s="450">
        <f t="shared" si="145"/>
        <v>3578832</v>
      </c>
      <c r="V1137" s="454" t="str">
        <f>일위대가목록!M20</f>
        <v>호표 17</v>
      </c>
      <c r="W1137" s="448" t="s">
        <v>132</v>
      </c>
      <c r="X1137" s="448" t="s">
        <v>51</v>
      </c>
      <c r="Y1137" s="448" t="s">
        <v>51</v>
      </c>
      <c r="Z1137" s="448" t="s">
        <v>110</v>
      </c>
      <c r="AA1137" s="448" t="s">
        <v>61</v>
      </c>
      <c r="AB1137" s="448" t="s">
        <v>62</v>
      </c>
      <c r="AC1137" s="448" t="s">
        <v>62</v>
      </c>
      <c r="AD1137" s="447"/>
      <c r="AE1137" s="447"/>
      <c r="AF1137" s="447"/>
      <c r="AG1137" s="447"/>
      <c r="AH1137" s="447"/>
      <c r="AI1137" s="447"/>
      <c r="AJ1137" s="447"/>
      <c r="AK1137" s="447"/>
      <c r="AL1137" s="447"/>
      <c r="AM1137" s="447"/>
      <c r="AN1137" s="447"/>
      <c r="AO1137" s="447"/>
      <c r="AP1137" s="447"/>
      <c r="AQ1137" s="447"/>
      <c r="AR1137" s="447"/>
      <c r="AS1137" s="447"/>
      <c r="AT1137" s="447"/>
      <c r="AU1137" s="447"/>
      <c r="AV1137" s="447"/>
      <c r="AW1137" s="447"/>
      <c r="AX1137" s="447"/>
      <c r="AY1137" s="447"/>
      <c r="AZ1137" s="447"/>
      <c r="BA1137" s="448" t="s">
        <v>51</v>
      </c>
      <c r="BB1137" s="448" t="s">
        <v>51</v>
      </c>
      <c r="BC1137" s="447"/>
      <c r="BD1137" s="448" t="s">
        <v>133</v>
      </c>
      <c r="BE1137" s="447">
        <v>102</v>
      </c>
    </row>
    <row r="1138" spans="1:58" ht="30" customHeight="1">
      <c r="A1138" s="1178" t="s">
        <v>134</v>
      </c>
      <c r="B1138" s="1178" t="s">
        <v>135</v>
      </c>
      <c r="C1138" s="1178" t="s">
        <v>59</v>
      </c>
      <c r="D1138" s="1194">
        <v>282.79000000000002</v>
      </c>
      <c r="E1138" s="1222">
        <v>0</v>
      </c>
      <c r="F1138" s="1200">
        <v>0</v>
      </c>
      <c r="G1138" s="1200">
        <v>0</v>
      </c>
      <c r="H1138" s="1198">
        <f>TRUNC(일위대가목록!F21,0)</f>
        <v>0</v>
      </c>
      <c r="I1138" s="1198">
        <f t="shared" si="141"/>
        <v>0</v>
      </c>
      <c r="J1138" s="1200">
        <v>15304</v>
      </c>
      <c r="K1138" s="1200">
        <v>4327818.16</v>
      </c>
      <c r="L1138" s="1198">
        <f>TRUNC(일위대가목록!H21,0)</f>
        <v>15304</v>
      </c>
      <c r="M1138" s="1198">
        <f t="shared" si="142"/>
        <v>0</v>
      </c>
      <c r="N1138" s="1200">
        <v>0</v>
      </c>
      <c r="O1138" s="1200">
        <v>0</v>
      </c>
      <c r="P1138" s="1198">
        <f>TRUNC(일위대가목록!J21,0)</f>
        <v>0</v>
      </c>
      <c r="Q1138" s="1198">
        <f t="shared" si="143"/>
        <v>0</v>
      </c>
      <c r="R1138" s="1200">
        <v>15304</v>
      </c>
      <c r="S1138" s="1200">
        <v>4327818</v>
      </c>
      <c r="T1138" s="1198">
        <f t="shared" si="144"/>
        <v>15304</v>
      </c>
      <c r="U1138" s="1198">
        <f t="shared" si="145"/>
        <v>0</v>
      </c>
      <c r="V1138" s="1223" t="str">
        <f>일위대가목록!M21</f>
        <v>호표 18</v>
      </c>
      <c r="W1138" s="448" t="s">
        <v>136</v>
      </c>
      <c r="X1138" s="448" t="s">
        <v>51</v>
      </c>
      <c r="Y1138" s="448" t="s">
        <v>51</v>
      </c>
      <c r="Z1138" s="448" t="s">
        <v>110</v>
      </c>
      <c r="AA1138" s="448" t="s">
        <v>61</v>
      </c>
      <c r="AB1138" s="448" t="s">
        <v>62</v>
      </c>
      <c r="AC1138" s="448" t="s">
        <v>62</v>
      </c>
      <c r="AD1138" s="447"/>
      <c r="AE1138" s="447"/>
      <c r="AF1138" s="447"/>
      <c r="AG1138" s="447"/>
      <c r="AH1138" s="447"/>
      <c r="AI1138" s="447"/>
      <c r="AJ1138" s="447"/>
      <c r="AK1138" s="447"/>
      <c r="AL1138" s="447"/>
      <c r="AM1138" s="447"/>
      <c r="AN1138" s="447"/>
      <c r="AO1138" s="447"/>
      <c r="AP1138" s="447"/>
      <c r="AQ1138" s="447"/>
      <c r="AR1138" s="447"/>
      <c r="AS1138" s="447"/>
      <c r="AT1138" s="447"/>
      <c r="AU1138" s="447"/>
      <c r="AV1138" s="447"/>
      <c r="AW1138" s="447"/>
      <c r="AX1138" s="447"/>
      <c r="AY1138" s="447"/>
      <c r="AZ1138" s="447"/>
      <c r="BA1138" s="448" t="s">
        <v>51</v>
      </c>
      <c r="BB1138" s="448" t="s">
        <v>51</v>
      </c>
      <c r="BC1138" s="447"/>
      <c r="BD1138" s="448" t="s">
        <v>137</v>
      </c>
      <c r="BE1138" s="447">
        <v>22</v>
      </c>
      <c r="BF1138" s="449" t="s">
        <v>6825</v>
      </c>
    </row>
    <row r="1139" spans="1:58" ht="30" customHeight="1">
      <c r="A1139" s="157" t="s">
        <v>138</v>
      </c>
      <c r="B1139" s="157" t="s">
        <v>139</v>
      </c>
      <c r="C1139" s="157" t="s">
        <v>140</v>
      </c>
      <c r="D1139" s="1209">
        <v>9</v>
      </c>
      <c r="E1139" s="1210">
        <f>'1층전시실산출'!H107</f>
        <v>9</v>
      </c>
      <c r="F1139" s="1211">
        <v>0</v>
      </c>
      <c r="G1139" s="1211">
        <v>0</v>
      </c>
      <c r="H1139" s="1212">
        <f>TRUNC(일위대가목록!F22,0)</f>
        <v>0</v>
      </c>
      <c r="I1139" s="1212">
        <f t="shared" si="141"/>
        <v>0</v>
      </c>
      <c r="J1139" s="1211">
        <v>97045</v>
      </c>
      <c r="K1139" s="1211">
        <v>873405</v>
      </c>
      <c r="L1139" s="1212">
        <f>TRUNC(일위대가목록!H22,0)</f>
        <v>97045</v>
      </c>
      <c r="M1139" s="1212">
        <f t="shared" si="142"/>
        <v>873405</v>
      </c>
      <c r="N1139" s="1211">
        <v>0</v>
      </c>
      <c r="O1139" s="1211">
        <v>0</v>
      </c>
      <c r="P1139" s="1212">
        <f>TRUNC(일위대가목록!J22,0)</f>
        <v>0</v>
      </c>
      <c r="Q1139" s="1212">
        <f t="shared" si="143"/>
        <v>0</v>
      </c>
      <c r="R1139" s="1211">
        <v>97045</v>
      </c>
      <c r="S1139" s="1211">
        <v>873405</v>
      </c>
      <c r="T1139" s="1212">
        <f t="shared" si="144"/>
        <v>97045</v>
      </c>
      <c r="U1139" s="1212">
        <f t="shared" si="145"/>
        <v>873405</v>
      </c>
      <c r="V1139" s="1213" t="str">
        <f>일위대가목록!M22</f>
        <v>호표 19</v>
      </c>
      <c r="W1139" s="448" t="s">
        <v>141</v>
      </c>
      <c r="X1139" s="448" t="s">
        <v>51</v>
      </c>
      <c r="Y1139" s="448" t="s">
        <v>51</v>
      </c>
      <c r="Z1139" s="448" t="s">
        <v>110</v>
      </c>
      <c r="AA1139" s="448" t="s">
        <v>61</v>
      </c>
      <c r="AB1139" s="448" t="s">
        <v>62</v>
      </c>
      <c r="AC1139" s="448" t="s">
        <v>62</v>
      </c>
      <c r="AD1139" s="447"/>
      <c r="AE1139" s="447"/>
      <c r="AF1139" s="447"/>
      <c r="AG1139" s="447"/>
      <c r="AH1139" s="447"/>
      <c r="AI1139" s="447"/>
      <c r="AJ1139" s="447"/>
      <c r="AK1139" s="447"/>
      <c r="AL1139" s="447"/>
      <c r="AM1139" s="447"/>
      <c r="AN1139" s="447"/>
      <c r="AO1139" s="447"/>
      <c r="AP1139" s="447"/>
      <c r="AQ1139" s="447"/>
      <c r="AR1139" s="447"/>
      <c r="AS1139" s="447"/>
      <c r="AT1139" s="447"/>
      <c r="AU1139" s="447"/>
      <c r="AV1139" s="447"/>
      <c r="AW1139" s="447"/>
      <c r="AX1139" s="447"/>
      <c r="AY1139" s="447"/>
      <c r="AZ1139" s="447"/>
      <c r="BA1139" s="448" t="s">
        <v>51</v>
      </c>
      <c r="BB1139" s="448" t="s">
        <v>51</v>
      </c>
      <c r="BC1139" s="447"/>
      <c r="BD1139" s="448" t="s">
        <v>142</v>
      </c>
      <c r="BE1139" s="447">
        <v>103</v>
      </c>
    </row>
    <row r="1140" spans="1:58" ht="30" customHeight="1">
      <c r="A1140" s="157" t="s">
        <v>138</v>
      </c>
      <c r="B1140" s="157" t="s">
        <v>143</v>
      </c>
      <c r="C1140" s="157" t="s">
        <v>140</v>
      </c>
      <c r="D1140" s="1209">
        <v>4</v>
      </c>
      <c r="E1140" s="1210">
        <f>'1층전시실산출'!H108</f>
        <v>4</v>
      </c>
      <c r="F1140" s="1211">
        <v>0</v>
      </c>
      <c r="G1140" s="1211">
        <v>0</v>
      </c>
      <c r="H1140" s="1212">
        <f>TRUNC(일위대가목록!F23,0)</f>
        <v>0</v>
      </c>
      <c r="I1140" s="1212">
        <f t="shared" si="141"/>
        <v>0</v>
      </c>
      <c r="J1140" s="1211">
        <v>97045</v>
      </c>
      <c r="K1140" s="1211">
        <v>388180</v>
      </c>
      <c r="L1140" s="1212">
        <f>TRUNC(일위대가목록!H23,0)</f>
        <v>97045</v>
      </c>
      <c r="M1140" s="1212">
        <f t="shared" si="142"/>
        <v>388180</v>
      </c>
      <c r="N1140" s="1211">
        <v>0</v>
      </c>
      <c r="O1140" s="1211">
        <v>0</v>
      </c>
      <c r="P1140" s="1212">
        <f>TRUNC(일위대가목록!J23,0)</f>
        <v>0</v>
      </c>
      <c r="Q1140" s="1212">
        <f t="shared" si="143"/>
        <v>0</v>
      </c>
      <c r="R1140" s="1211">
        <v>97045</v>
      </c>
      <c r="S1140" s="1211">
        <v>388180</v>
      </c>
      <c r="T1140" s="1212">
        <f t="shared" si="144"/>
        <v>97045</v>
      </c>
      <c r="U1140" s="1212">
        <f t="shared" si="145"/>
        <v>388180</v>
      </c>
      <c r="V1140" s="1213" t="str">
        <f>일위대가목록!M23</f>
        <v>호표 20</v>
      </c>
      <c r="W1140" s="448" t="s">
        <v>144</v>
      </c>
      <c r="X1140" s="448" t="s">
        <v>51</v>
      </c>
      <c r="Y1140" s="448" t="s">
        <v>51</v>
      </c>
      <c r="Z1140" s="448" t="s">
        <v>110</v>
      </c>
      <c r="AA1140" s="448" t="s">
        <v>61</v>
      </c>
      <c r="AB1140" s="448" t="s">
        <v>62</v>
      </c>
      <c r="AC1140" s="448" t="s">
        <v>62</v>
      </c>
      <c r="AD1140" s="447"/>
      <c r="AE1140" s="447"/>
      <c r="AF1140" s="447"/>
      <c r="AG1140" s="447"/>
      <c r="AH1140" s="447"/>
      <c r="AI1140" s="447"/>
      <c r="AJ1140" s="447"/>
      <c r="AK1140" s="447"/>
      <c r="AL1140" s="447"/>
      <c r="AM1140" s="447"/>
      <c r="AN1140" s="447"/>
      <c r="AO1140" s="447"/>
      <c r="AP1140" s="447"/>
      <c r="AQ1140" s="447"/>
      <c r="AR1140" s="447"/>
      <c r="AS1140" s="447"/>
      <c r="AT1140" s="447"/>
      <c r="AU1140" s="447"/>
      <c r="AV1140" s="447"/>
      <c r="AW1140" s="447"/>
      <c r="AX1140" s="447"/>
      <c r="AY1140" s="447"/>
      <c r="AZ1140" s="447"/>
      <c r="BA1140" s="448" t="s">
        <v>51</v>
      </c>
      <c r="BB1140" s="448" t="s">
        <v>51</v>
      </c>
      <c r="BC1140" s="447"/>
      <c r="BD1140" s="448" t="s">
        <v>145</v>
      </c>
      <c r="BE1140" s="447">
        <v>104</v>
      </c>
    </row>
    <row r="1141" spans="1:58" ht="30" customHeight="1">
      <c r="A1141" s="1215" t="s">
        <v>6770</v>
      </c>
      <c r="B1141" s="1215" t="s">
        <v>115</v>
      </c>
      <c r="C1141" s="1215" t="s">
        <v>6772</v>
      </c>
      <c r="D1141" s="1222"/>
      <c r="E1141" s="1222">
        <f>D1132*0.19</f>
        <v>27.223200000000002</v>
      </c>
      <c r="F1141" s="1215"/>
      <c r="G1141" s="1215"/>
      <c r="H1141" s="1215">
        <f>일위대가목록!$F$137</f>
        <v>800</v>
      </c>
      <c r="I1141" s="1207">
        <f t="shared" si="141"/>
        <v>21778.560000000001</v>
      </c>
      <c r="J1141" s="1215"/>
      <c r="K1141" s="1215"/>
      <c r="L1141" s="1215">
        <f>일위대가목록!$H$137</f>
        <v>80013</v>
      </c>
      <c r="M1141" s="1207">
        <f t="shared" si="142"/>
        <v>2178209.9016</v>
      </c>
      <c r="N1141" s="1215"/>
      <c r="O1141" s="1215"/>
      <c r="P1141" s="1215">
        <f>일위대가목록!$J$137</f>
        <v>544</v>
      </c>
      <c r="Q1141" s="1207">
        <f t="shared" si="143"/>
        <v>14809</v>
      </c>
      <c r="R1141" s="1215"/>
      <c r="S1141" s="1215"/>
      <c r="T1141" s="1207">
        <f t="shared" ref="T1141" si="146">TRUNC(H1141+L1141+P1141, 0)</f>
        <v>81357</v>
      </c>
      <c r="U1141" s="1207">
        <f t="shared" ref="U1141" si="147">TRUNC(I1141+M1141+Q1141, 0)</f>
        <v>2214797</v>
      </c>
      <c r="V1141" s="1234" t="s">
        <v>6773</v>
      </c>
    </row>
    <row r="1142" spans="1:58" ht="30" customHeight="1">
      <c r="A1142" s="444"/>
      <c r="B1142" s="444"/>
      <c r="C1142" s="444"/>
      <c r="D1142" s="1133"/>
      <c r="E1142" s="445"/>
      <c r="F1142" s="1146"/>
      <c r="G1142" s="1146"/>
      <c r="H1142" s="444"/>
      <c r="I1142" s="444"/>
      <c r="J1142" s="1146"/>
      <c r="K1142" s="1146"/>
      <c r="L1142" s="444"/>
      <c r="M1142" s="444"/>
      <c r="N1142" s="1146"/>
      <c r="O1142" s="1146"/>
      <c r="P1142" s="444"/>
      <c r="Q1142" s="444"/>
      <c r="R1142" s="1146"/>
      <c r="S1142" s="1146"/>
      <c r="T1142" s="444"/>
      <c r="U1142" s="444"/>
      <c r="V1142" s="446"/>
    </row>
    <row r="1143" spans="1:58" ht="30" customHeight="1">
      <c r="A1143" s="444"/>
      <c r="B1143" s="444"/>
      <c r="C1143" s="444"/>
      <c r="D1143" s="1133"/>
      <c r="E1143" s="445"/>
      <c r="F1143" s="1146"/>
      <c r="G1143" s="1146"/>
      <c r="H1143" s="444"/>
      <c r="I1143" s="444"/>
      <c r="J1143" s="1146"/>
      <c r="K1143" s="1146"/>
      <c r="L1143" s="444"/>
      <c r="M1143" s="444"/>
      <c r="N1143" s="1146"/>
      <c r="O1143" s="1146"/>
      <c r="P1143" s="444"/>
      <c r="Q1143" s="444"/>
      <c r="R1143" s="1146"/>
      <c r="S1143" s="1146"/>
      <c r="T1143" s="444"/>
      <c r="U1143" s="444"/>
      <c r="V1143" s="446"/>
    </row>
    <row r="1144" spans="1:58" ht="30" customHeight="1">
      <c r="A1144" s="444"/>
      <c r="B1144" s="444"/>
      <c r="C1144" s="444"/>
      <c r="D1144" s="1133"/>
      <c r="E1144" s="445"/>
      <c r="F1144" s="1146"/>
      <c r="G1144" s="1146"/>
      <c r="H1144" s="444"/>
      <c r="I1144" s="444"/>
      <c r="J1144" s="1146"/>
      <c r="K1144" s="1146"/>
      <c r="L1144" s="444"/>
      <c r="M1144" s="444"/>
      <c r="N1144" s="1146"/>
      <c r="O1144" s="1146"/>
      <c r="P1144" s="444"/>
      <c r="Q1144" s="444"/>
      <c r="R1144" s="1146"/>
      <c r="S1144" s="1146"/>
      <c r="T1144" s="444"/>
      <c r="U1144" s="444"/>
      <c r="V1144" s="446"/>
    </row>
    <row r="1145" spans="1:58" ht="30" customHeight="1">
      <c r="A1145" s="444"/>
      <c r="B1145" s="444"/>
      <c r="C1145" s="444"/>
      <c r="D1145" s="1133"/>
      <c r="E1145" s="445"/>
      <c r="F1145" s="1146"/>
      <c r="G1145" s="1146"/>
      <c r="H1145" s="444"/>
      <c r="I1145" s="444"/>
      <c r="J1145" s="1146"/>
      <c r="K1145" s="1146"/>
      <c r="L1145" s="444"/>
      <c r="M1145" s="444"/>
      <c r="N1145" s="1146"/>
      <c r="O1145" s="1146"/>
      <c r="P1145" s="444"/>
      <c r="Q1145" s="444"/>
      <c r="R1145" s="1146"/>
      <c r="S1145" s="1146"/>
      <c r="T1145" s="444"/>
      <c r="U1145" s="444"/>
      <c r="V1145" s="446"/>
    </row>
    <row r="1146" spans="1:58" ht="30" customHeight="1">
      <c r="A1146" s="444"/>
      <c r="B1146" s="444"/>
      <c r="C1146" s="444"/>
      <c r="D1146" s="1133"/>
      <c r="E1146" s="445"/>
      <c r="F1146" s="1146"/>
      <c r="G1146" s="1146"/>
      <c r="H1146" s="444"/>
      <c r="I1146" s="444"/>
      <c r="J1146" s="1146"/>
      <c r="K1146" s="1146"/>
      <c r="L1146" s="444"/>
      <c r="M1146" s="444"/>
      <c r="N1146" s="1146"/>
      <c r="O1146" s="1146"/>
      <c r="P1146" s="444"/>
      <c r="Q1146" s="444"/>
      <c r="R1146" s="1146"/>
      <c r="S1146" s="1146"/>
      <c r="T1146" s="444"/>
      <c r="U1146" s="444"/>
      <c r="V1146" s="446"/>
    </row>
    <row r="1147" spans="1:58" ht="30" customHeight="1">
      <c r="A1147" s="444"/>
      <c r="B1147" s="444"/>
      <c r="C1147" s="444"/>
      <c r="D1147" s="1133"/>
      <c r="E1147" s="445"/>
      <c r="F1147" s="1146"/>
      <c r="G1147" s="1146"/>
      <c r="H1147" s="444"/>
      <c r="I1147" s="444"/>
      <c r="J1147" s="1146"/>
      <c r="K1147" s="1146"/>
      <c r="L1147" s="444"/>
      <c r="M1147" s="444"/>
      <c r="N1147" s="1146"/>
      <c r="O1147" s="1146"/>
      <c r="P1147" s="444"/>
      <c r="Q1147" s="444"/>
      <c r="R1147" s="1146"/>
      <c r="S1147" s="1146"/>
      <c r="T1147" s="444"/>
      <c r="U1147" s="444"/>
      <c r="V1147" s="446"/>
    </row>
    <row r="1148" spans="1:58" ht="30" customHeight="1">
      <c r="A1148" s="444"/>
      <c r="B1148" s="444"/>
      <c r="C1148" s="444"/>
      <c r="D1148" s="1133"/>
      <c r="E1148" s="445"/>
      <c r="F1148" s="1146"/>
      <c r="G1148" s="1146"/>
      <c r="H1148" s="444"/>
      <c r="I1148" s="444"/>
      <c r="J1148" s="1146"/>
      <c r="K1148" s="1146"/>
      <c r="L1148" s="444"/>
      <c r="M1148" s="444"/>
      <c r="N1148" s="1146"/>
      <c r="O1148" s="1146"/>
      <c r="P1148" s="444"/>
      <c r="Q1148" s="444"/>
      <c r="R1148" s="1146"/>
      <c r="S1148" s="1146"/>
      <c r="T1148" s="444"/>
      <c r="U1148" s="444"/>
      <c r="V1148" s="446"/>
    </row>
    <row r="1149" spans="1:58" ht="30" customHeight="1">
      <c r="A1149" s="444"/>
      <c r="B1149" s="444"/>
      <c r="C1149" s="444"/>
      <c r="D1149" s="1133"/>
      <c r="E1149" s="445"/>
      <c r="F1149" s="1146"/>
      <c r="G1149" s="1146"/>
      <c r="H1149" s="444"/>
      <c r="I1149" s="444"/>
      <c r="J1149" s="1146"/>
      <c r="K1149" s="1146"/>
      <c r="L1149" s="444"/>
      <c r="M1149" s="444"/>
      <c r="N1149" s="1146"/>
      <c r="O1149" s="1146"/>
      <c r="P1149" s="444"/>
      <c r="Q1149" s="444"/>
      <c r="R1149" s="1146"/>
      <c r="S1149" s="1146"/>
      <c r="T1149" s="444"/>
      <c r="U1149" s="444"/>
      <c r="V1149" s="446"/>
    </row>
    <row r="1150" spans="1:58" ht="30" customHeight="1">
      <c r="A1150" s="444"/>
      <c r="B1150" s="444"/>
      <c r="C1150" s="444"/>
      <c r="D1150" s="1133"/>
      <c r="E1150" s="445"/>
      <c r="F1150" s="1146"/>
      <c r="G1150" s="1146"/>
      <c r="H1150" s="444"/>
      <c r="I1150" s="444"/>
      <c r="J1150" s="1146"/>
      <c r="K1150" s="1146"/>
      <c r="L1150" s="444"/>
      <c r="M1150" s="444"/>
      <c r="N1150" s="1146"/>
      <c r="O1150" s="1146"/>
      <c r="P1150" s="444"/>
      <c r="Q1150" s="444"/>
      <c r="R1150" s="1146"/>
      <c r="S1150" s="1146"/>
      <c r="T1150" s="444"/>
      <c r="U1150" s="444"/>
      <c r="V1150" s="446"/>
    </row>
    <row r="1151" spans="1:58" ht="30" customHeight="1">
      <c r="A1151" s="444"/>
      <c r="B1151" s="444"/>
      <c r="C1151" s="444"/>
      <c r="D1151" s="1133"/>
      <c r="E1151" s="445"/>
      <c r="F1151" s="1146"/>
      <c r="G1151" s="1146"/>
      <c r="H1151" s="444"/>
      <c r="I1151" s="444"/>
      <c r="J1151" s="1146"/>
      <c r="K1151" s="1146"/>
      <c r="L1151" s="444"/>
      <c r="M1151" s="444"/>
      <c r="N1151" s="1146"/>
      <c r="O1151" s="1146"/>
      <c r="P1151" s="444"/>
      <c r="Q1151" s="444"/>
      <c r="R1151" s="1146"/>
      <c r="S1151" s="1146"/>
      <c r="T1151" s="444"/>
      <c r="U1151" s="444"/>
      <c r="V1151" s="446"/>
    </row>
    <row r="1152" spans="1:58" ht="30" customHeight="1">
      <c r="A1152" s="443" t="s">
        <v>85</v>
      </c>
      <c r="B1152" s="444"/>
      <c r="C1152" s="444"/>
      <c r="D1152" s="1133"/>
      <c r="E1152" s="445"/>
      <c r="F1152" s="1146"/>
      <c r="G1152" s="1147">
        <v>1192775.4039999999</v>
      </c>
      <c r="H1152" s="444"/>
      <c r="I1152" s="450">
        <f>SUM(I1131:I1151)</f>
        <v>838628.64400000009</v>
      </c>
      <c r="J1152" s="1146"/>
      <c r="K1152" s="1147">
        <v>66535093.153399989</v>
      </c>
      <c r="L1152" s="444"/>
      <c r="M1152" s="450">
        <f>SUM(M1131:M1151)</f>
        <v>57181657.734999999</v>
      </c>
      <c r="N1152" s="1146"/>
      <c r="O1152" s="1147">
        <v>0</v>
      </c>
      <c r="P1152" s="444"/>
      <c r="Q1152" s="450">
        <f>SUM(Q1131:Q1151)</f>
        <v>14809</v>
      </c>
      <c r="R1152" s="1146"/>
      <c r="S1152" s="1147">
        <v>67727865</v>
      </c>
      <c r="T1152" s="444"/>
      <c r="U1152" s="450">
        <f>SUM(U1131:U1151)</f>
        <v>58035092</v>
      </c>
      <c r="V1152" s="446"/>
      <c r="W1152" s="449" t="s">
        <v>86</v>
      </c>
    </row>
    <row r="1153" spans="1:57" ht="30" customHeight="1">
      <c r="A1153" s="443" t="s">
        <v>4780</v>
      </c>
      <c r="B1153" s="444"/>
      <c r="C1153" s="444"/>
      <c r="D1153" s="1133"/>
      <c r="E1153" s="445"/>
      <c r="F1153" s="1146"/>
      <c r="G1153" s="1146"/>
      <c r="H1153" s="444"/>
      <c r="I1153" s="444"/>
      <c r="J1153" s="1146"/>
      <c r="K1153" s="1146"/>
      <c r="L1153" s="444"/>
      <c r="M1153" s="444"/>
      <c r="N1153" s="1146"/>
      <c r="O1153" s="1146"/>
      <c r="P1153" s="444"/>
      <c r="Q1153" s="444"/>
      <c r="R1153" s="1146"/>
      <c r="S1153" s="1146"/>
      <c r="T1153" s="444"/>
      <c r="U1153" s="444"/>
      <c r="V1153" s="446"/>
      <c r="W1153" s="447"/>
      <c r="X1153" s="447"/>
      <c r="Y1153" s="447"/>
      <c r="Z1153" s="448" t="s">
        <v>147</v>
      </c>
      <c r="AA1153" s="447"/>
      <c r="AB1153" s="447"/>
      <c r="AC1153" s="447"/>
      <c r="AD1153" s="447"/>
      <c r="AE1153" s="447"/>
      <c r="AF1153" s="447"/>
      <c r="AG1153" s="447"/>
      <c r="AH1153" s="447"/>
      <c r="AI1153" s="447"/>
      <c r="AJ1153" s="447"/>
      <c r="AK1153" s="447"/>
      <c r="AL1153" s="447"/>
      <c r="AM1153" s="447"/>
      <c r="AN1153" s="447"/>
      <c r="AO1153" s="447"/>
      <c r="AP1153" s="447"/>
      <c r="AQ1153" s="447"/>
      <c r="AR1153" s="447"/>
      <c r="AS1153" s="447"/>
      <c r="AT1153" s="447"/>
      <c r="AU1153" s="447"/>
      <c r="AV1153" s="447"/>
      <c r="AW1153" s="447"/>
      <c r="AX1153" s="447"/>
      <c r="AY1153" s="447"/>
      <c r="AZ1153" s="447"/>
      <c r="BA1153" s="447"/>
      <c r="BB1153" s="447"/>
      <c r="BC1153" s="447"/>
      <c r="BD1153" s="447"/>
      <c r="BE1153" s="447"/>
    </row>
    <row r="1154" spans="1:57" ht="30" customHeight="1">
      <c r="A1154" s="443" t="s">
        <v>148</v>
      </c>
      <c r="B1154" s="443" t="s">
        <v>149</v>
      </c>
      <c r="C1154" s="443" t="s">
        <v>59</v>
      </c>
      <c r="D1154" s="1133">
        <v>28.96</v>
      </c>
      <c r="E1154" s="445">
        <f>'1층전시실산출'!H112</f>
        <v>28.96</v>
      </c>
      <c r="F1154" s="1147">
        <v>1401</v>
      </c>
      <c r="G1154" s="1147">
        <v>40572.959999999999</v>
      </c>
      <c r="H1154" s="450">
        <f>TRUNC(일위대가목록!F24,0)</f>
        <v>12</v>
      </c>
      <c r="I1154" s="450">
        <f t="shared" ref="I1154:I1159" si="148">E1154*H1154</f>
        <v>347.52</v>
      </c>
      <c r="J1154" s="1147">
        <v>28021</v>
      </c>
      <c r="K1154" s="1147">
        <v>811488.16</v>
      </c>
      <c r="L1154" s="450">
        <f>TRUNC(일위대가목록!H24,0)</f>
        <v>4800</v>
      </c>
      <c r="M1154" s="450">
        <f t="shared" ref="M1154:M1159" si="149">E1154*L1154</f>
        <v>139008</v>
      </c>
      <c r="N1154" s="1147">
        <v>0</v>
      </c>
      <c r="O1154" s="1147">
        <v>0</v>
      </c>
      <c r="P1154" s="450">
        <f>TRUNC(일위대가목록!J24,0)</f>
        <v>67</v>
      </c>
      <c r="Q1154" s="450">
        <f t="shared" ref="Q1154:Q1159" si="150">TRUNC(P1154*E1154, 0)</f>
        <v>1940</v>
      </c>
      <c r="R1154" s="1147">
        <v>29422</v>
      </c>
      <c r="S1154" s="1147">
        <v>852061</v>
      </c>
      <c r="T1154" s="450">
        <f t="shared" ref="T1154:U1159" si="151">TRUNC(H1154+L1154+P1154, 0)</f>
        <v>4879</v>
      </c>
      <c r="U1154" s="450">
        <f t="shared" si="151"/>
        <v>141295</v>
      </c>
      <c r="V1154" s="454" t="str">
        <f>일위대가목록!M24</f>
        <v>호표 21</v>
      </c>
      <c r="W1154" s="448" t="s">
        <v>150</v>
      </c>
      <c r="X1154" s="448" t="s">
        <v>51</v>
      </c>
      <c r="Y1154" s="448" t="s">
        <v>51</v>
      </c>
      <c r="Z1154" s="448" t="s">
        <v>147</v>
      </c>
      <c r="AA1154" s="448" t="s">
        <v>61</v>
      </c>
      <c r="AB1154" s="448" t="s">
        <v>62</v>
      </c>
      <c r="AC1154" s="448" t="s">
        <v>62</v>
      </c>
      <c r="AD1154" s="447"/>
      <c r="AE1154" s="447"/>
      <c r="AF1154" s="447"/>
      <c r="AG1154" s="447"/>
      <c r="AH1154" s="447"/>
      <c r="AI1154" s="447"/>
      <c r="AJ1154" s="447"/>
      <c r="AK1154" s="447"/>
      <c r="AL1154" s="447"/>
      <c r="AM1154" s="447"/>
      <c r="AN1154" s="447"/>
      <c r="AO1154" s="447"/>
      <c r="AP1154" s="447"/>
      <c r="AQ1154" s="447"/>
      <c r="AR1154" s="447"/>
      <c r="AS1154" s="447"/>
      <c r="AT1154" s="447"/>
      <c r="AU1154" s="447"/>
      <c r="AV1154" s="447"/>
      <c r="AW1154" s="447"/>
      <c r="AX1154" s="447"/>
      <c r="AY1154" s="447"/>
      <c r="AZ1154" s="447"/>
      <c r="BA1154" s="448" t="s">
        <v>51</v>
      </c>
      <c r="BB1154" s="448" t="s">
        <v>51</v>
      </c>
      <c r="BC1154" s="447"/>
      <c r="BD1154" s="448" t="s">
        <v>151</v>
      </c>
      <c r="BE1154" s="447">
        <v>24</v>
      </c>
    </row>
    <row r="1155" spans="1:57" ht="30" customHeight="1">
      <c r="A1155" s="443" t="s">
        <v>152</v>
      </c>
      <c r="B1155" s="443" t="s">
        <v>153</v>
      </c>
      <c r="C1155" s="443" t="s">
        <v>59</v>
      </c>
      <c r="D1155" s="1133">
        <v>150.07</v>
      </c>
      <c r="E1155" s="445">
        <f>'1층전시실산출'!H116</f>
        <v>150.07</v>
      </c>
      <c r="F1155" s="1147">
        <v>2121</v>
      </c>
      <c r="G1155" s="1147">
        <v>318298.46999999997</v>
      </c>
      <c r="H1155" s="450">
        <f>TRUNC(일위대가목록!F25,0)</f>
        <v>0</v>
      </c>
      <c r="I1155" s="450">
        <f t="shared" si="148"/>
        <v>0</v>
      </c>
      <c r="J1155" s="1147">
        <v>28282</v>
      </c>
      <c r="K1155" s="1147">
        <v>4244279.74</v>
      </c>
      <c r="L1155" s="450">
        <f>TRUNC(일위대가목록!H25,0)</f>
        <v>18830</v>
      </c>
      <c r="M1155" s="450">
        <f t="shared" si="149"/>
        <v>2825818.1</v>
      </c>
      <c r="N1155" s="1147">
        <v>0</v>
      </c>
      <c r="O1155" s="1147">
        <v>0</v>
      </c>
      <c r="P1155" s="450">
        <f>TRUNC(일위대가목록!J25,0)</f>
        <v>7</v>
      </c>
      <c r="Q1155" s="450">
        <f t="shared" si="150"/>
        <v>1050</v>
      </c>
      <c r="R1155" s="1147">
        <v>30403</v>
      </c>
      <c r="S1155" s="1147">
        <v>4562578</v>
      </c>
      <c r="T1155" s="450">
        <f t="shared" si="151"/>
        <v>18837</v>
      </c>
      <c r="U1155" s="450">
        <f t="shared" si="151"/>
        <v>2826868</v>
      </c>
      <c r="V1155" s="454" t="str">
        <f>일위대가목록!M25</f>
        <v>호표 22</v>
      </c>
      <c r="W1155" s="448" t="s">
        <v>154</v>
      </c>
      <c r="X1155" s="448" t="s">
        <v>51</v>
      </c>
      <c r="Y1155" s="448" t="s">
        <v>51</v>
      </c>
      <c r="Z1155" s="448" t="s">
        <v>147</v>
      </c>
      <c r="AA1155" s="448" t="s">
        <v>61</v>
      </c>
      <c r="AB1155" s="448" t="s">
        <v>62</v>
      </c>
      <c r="AC1155" s="448" t="s">
        <v>62</v>
      </c>
      <c r="AD1155" s="447"/>
      <c r="AE1155" s="447"/>
      <c r="AF1155" s="447"/>
      <c r="AG1155" s="447"/>
      <c r="AH1155" s="447"/>
      <c r="AI1155" s="447"/>
      <c r="AJ1155" s="447"/>
      <c r="AK1155" s="447"/>
      <c r="AL1155" s="447"/>
      <c r="AM1155" s="447"/>
      <c r="AN1155" s="447"/>
      <c r="AO1155" s="447"/>
      <c r="AP1155" s="447"/>
      <c r="AQ1155" s="447"/>
      <c r="AR1155" s="447"/>
      <c r="AS1155" s="447"/>
      <c r="AT1155" s="447"/>
      <c r="AU1155" s="447"/>
      <c r="AV1155" s="447"/>
      <c r="AW1155" s="447"/>
      <c r="AX1155" s="447"/>
      <c r="AY1155" s="447"/>
      <c r="AZ1155" s="447"/>
      <c r="BA1155" s="448" t="s">
        <v>51</v>
      </c>
      <c r="BB1155" s="448" t="s">
        <v>51</v>
      </c>
      <c r="BC1155" s="447"/>
      <c r="BD1155" s="448" t="s">
        <v>155</v>
      </c>
      <c r="BE1155" s="447">
        <v>201</v>
      </c>
    </row>
    <row r="1156" spans="1:57" ht="30" customHeight="1">
      <c r="A1156" s="443" t="s">
        <v>156</v>
      </c>
      <c r="B1156" s="443" t="s">
        <v>157</v>
      </c>
      <c r="C1156" s="443" t="s">
        <v>59</v>
      </c>
      <c r="D1156" s="1133">
        <v>240.2</v>
      </c>
      <c r="E1156" s="445">
        <f>'1층전시실산출'!H118</f>
        <v>240.2</v>
      </c>
      <c r="F1156" s="1147">
        <v>0</v>
      </c>
      <c r="G1156" s="1147">
        <v>0</v>
      </c>
      <c r="H1156" s="450">
        <f>TRUNC(일위대가목록!F26,0)</f>
        <v>0</v>
      </c>
      <c r="I1156" s="450">
        <f t="shared" si="148"/>
        <v>0</v>
      </c>
      <c r="J1156" s="1147">
        <v>3907</v>
      </c>
      <c r="K1156" s="1147">
        <v>938461.39999999991</v>
      </c>
      <c r="L1156" s="450">
        <f>TRUNC(일위대가목록!H26,0)</f>
        <v>3907</v>
      </c>
      <c r="M1156" s="450">
        <f t="shared" si="149"/>
        <v>938461.39999999991</v>
      </c>
      <c r="N1156" s="1147">
        <v>0</v>
      </c>
      <c r="O1156" s="1147">
        <v>0</v>
      </c>
      <c r="P1156" s="450">
        <f>TRUNC(일위대가목록!J26,0)</f>
        <v>0</v>
      </c>
      <c r="Q1156" s="450">
        <f t="shared" si="150"/>
        <v>0</v>
      </c>
      <c r="R1156" s="1147">
        <v>3907</v>
      </c>
      <c r="S1156" s="1147">
        <v>938461</v>
      </c>
      <c r="T1156" s="450">
        <f t="shared" si="151"/>
        <v>3907</v>
      </c>
      <c r="U1156" s="450">
        <f t="shared" si="151"/>
        <v>938461</v>
      </c>
      <c r="V1156" s="454" t="str">
        <f>일위대가목록!M26</f>
        <v>호표 23</v>
      </c>
      <c r="W1156" s="448" t="s">
        <v>158</v>
      </c>
      <c r="X1156" s="448" t="s">
        <v>51</v>
      </c>
      <c r="Y1156" s="448" t="s">
        <v>51</v>
      </c>
      <c r="Z1156" s="448" t="s">
        <v>147</v>
      </c>
      <c r="AA1156" s="448" t="s">
        <v>61</v>
      </c>
      <c r="AB1156" s="448" t="s">
        <v>62</v>
      </c>
      <c r="AC1156" s="448" t="s">
        <v>62</v>
      </c>
      <c r="AD1156" s="447"/>
      <c r="AE1156" s="447"/>
      <c r="AF1156" s="447"/>
      <c r="AG1156" s="447"/>
      <c r="AH1156" s="447"/>
      <c r="AI1156" s="447"/>
      <c r="AJ1156" s="447"/>
      <c r="AK1156" s="447"/>
      <c r="AL1156" s="447"/>
      <c r="AM1156" s="447"/>
      <c r="AN1156" s="447"/>
      <c r="AO1156" s="447"/>
      <c r="AP1156" s="447"/>
      <c r="AQ1156" s="447"/>
      <c r="AR1156" s="447"/>
      <c r="AS1156" s="447"/>
      <c r="AT1156" s="447"/>
      <c r="AU1156" s="447"/>
      <c r="AV1156" s="447"/>
      <c r="AW1156" s="447"/>
      <c r="AX1156" s="447"/>
      <c r="AY1156" s="447"/>
      <c r="AZ1156" s="447"/>
      <c r="BA1156" s="448" t="s">
        <v>51</v>
      </c>
      <c r="BB1156" s="448" t="s">
        <v>51</v>
      </c>
      <c r="BC1156" s="447"/>
      <c r="BD1156" s="448" t="s">
        <v>159</v>
      </c>
      <c r="BE1156" s="447">
        <v>25</v>
      </c>
    </row>
    <row r="1157" spans="1:57" ht="30" customHeight="1">
      <c r="A1157" s="443" t="s">
        <v>160</v>
      </c>
      <c r="B1157" s="443" t="s">
        <v>157</v>
      </c>
      <c r="C1157" s="443" t="s">
        <v>59</v>
      </c>
      <c r="D1157" s="1133">
        <v>866.85</v>
      </c>
      <c r="E1157" s="445">
        <f>'1층전시실산출'!H121</f>
        <v>866.85</v>
      </c>
      <c r="F1157" s="1147">
        <v>181</v>
      </c>
      <c r="G1157" s="1147">
        <v>156899.85</v>
      </c>
      <c r="H1157" s="450">
        <f>TRUNC(일위대가목록!F27,0)</f>
        <v>0</v>
      </c>
      <c r="I1157" s="450">
        <f t="shared" si="148"/>
        <v>0</v>
      </c>
      <c r="J1157" s="1147">
        <v>3707</v>
      </c>
      <c r="K1157" s="1147">
        <v>3213412.95</v>
      </c>
      <c r="L1157" s="450">
        <f>TRUNC(일위대가목록!H27,0)</f>
        <v>2574</v>
      </c>
      <c r="M1157" s="450">
        <f t="shared" si="149"/>
        <v>2231271.9</v>
      </c>
      <c r="N1157" s="1147">
        <v>0</v>
      </c>
      <c r="O1157" s="1147">
        <v>0</v>
      </c>
      <c r="P1157" s="450">
        <f>TRUNC(일위대가목록!J27,0)</f>
        <v>0</v>
      </c>
      <c r="Q1157" s="450">
        <f t="shared" si="150"/>
        <v>0</v>
      </c>
      <c r="R1157" s="1147">
        <v>3888</v>
      </c>
      <c r="S1157" s="1147">
        <v>3370312</v>
      </c>
      <c r="T1157" s="450">
        <f t="shared" si="151"/>
        <v>2574</v>
      </c>
      <c r="U1157" s="450">
        <f t="shared" si="151"/>
        <v>2231271</v>
      </c>
      <c r="V1157" s="454" t="str">
        <f>일위대가목록!M27</f>
        <v>호표 24</v>
      </c>
      <c r="W1157" s="448" t="s">
        <v>161</v>
      </c>
      <c r="X1157" s="448" t="s">
        <v>51</v>
      </c>
      <c r="Y1157" s="448" t="s">
        <v>51</v>
      </c>
      <c r="Z1157" s="448" t="s">
        <v>147</v>
      </c>
      <c r="AA1157" s="448" t="s">
        <v>61</v>
      </c>
      <c r="AB1157" s="448" t="s">
        <v>62</v>
      </c>
      <c r="AC1157" s="448" t="s">
        <v>62</v>
      </c>
      <c r="AD1157" s="447"/>
      <c r="AE1157" s="447"/>
      <c r="AF1157" s="447"/>
      <c r="AG1157" s="447"/>
      <c r="AH1157" s="447"/>
      <c r="AI1157" s="447"/>
      <c r="AJ1157" s="447"/>
      <c r="AK1157" s="447"/>
      <c r="AL1157" s="447"/>
      <c r="AM1157" s="447"/>
      <c r="AN1157" s="447"/>
      <c r="AO1157" s="447"/>
      <c r="AP1157" s="447"/>
      <c r="AQ1157" s="447"/>
      <c r="AR1157" s="447"/>
      <c r="AS1157" s="447"/>
      <c r="AT1157" s="447"/>
      <c r="AU1157" s="447"/>
      <c r="AV1157" s="447"/>
      <c r="AW1157" s="447"/>
      <c r="AX1157" s="447"/>
      <c r="AY1157" s="447"/>
      <c r="AZ1157" s="447"/>
      <c r="BA1157" s="448" t="s">
        <v>51</v>
      </c>
      <c r="BB1157" s="448" t="s">
        <v>51</v>
      </c>
      <c r="BC1157" s="447"/>
      <c r="BD1157" s="448" t="s">
        <v>162</v>
      </c>
      <c r="BE1157" s="447">
        <v>26</v>
      </c>
    </row>
    <row r="1158" spans="1:57" ht="30" customHeight="1">
      <c r="A1158" s="443" t="s">
        <v>163</v>
      </c>
      <c r="B1158" s="443" t="s">
        <v>94</v>
      </c>
      <c r="C1158" s="443" t="s">
        <v>59</v>
      </c>
      <c r="D1158" s="1133">
        <v>186.29999999999998</v>
      </c>
      <c r="E1158" s="445">
        <f>'1층전시실산출'!H123</f>
        <v>186.29999999999998</v>
      </c>
      <c r="F1158" s="1147">
        <v>1505</v>
      </c>
      <c r="G1158" s="1147">
        <v>280381.5</v>
      </c>
      <c r="H1158" s="450">
        <f>TRUNC(일위대가목록!F28,0)</f>
        <v>0</v>
      </c>
      <c r="I1158" s="450">
        <f t="shared" si="148"/>
        <v>0</v>
      </c>
      <c r="J1158" s="1147">
        <v>30681</v>
      </c>
      <c r="K1158" s="1147">
        <v>5715870.2999999998</v>
      </c>
      <c r="L1158" s="450">
        <f>TRUNC(일위대가목록!H28,0)</f>
        <v>37450</v>
      </c>
      <c r="M1158" s="450">
        <f t="shared" si="149"/>
        <v>6976934.9999999991</v>
      </c>
      <c r="N1158" s="1147">
        <v>0</v>
      </c>
      <c r="O1158" s="1147">
        <v>0</v>
      </c>
      <c r="P1158" s="450">
        <f>TRUNC(일위대가목록!J28,0)</f>
        <v>0</v>
      </c>
      <c r="Q1158" s="450">
        <f t="shared" si="150"/>
        <v>0</v>
      </c>
      <c r="R1158" s="1147">
        <v>32186</v>
      </c>
      <c r="S1158" s="1147">
        <v>5996251</v>
      </c>
      <c r="T1158" s="450">
        <f t="shared" si="151"/>
        <v>37450</v>
      </c>
      <c r="U1158" s="450">
        <f t="shared" si="151"/>
        <v>6976935</v>
      </c>
      <c r="V1158" s="454" t="str">
        <f>일위대가목록!M28</f>
        <v>호표 25</v>
      </c>
      <c r="W1158" s="448" t="s">
        <v>164</v>
      </c>
      <c r="X1158" s="448" t="s">
        <v>51</v>
      </c>
      <c r="Y1158" s="448" t="s">
        <v>51</v>
      </c>
      <c r="Z1158" s="448" t="s">
        <v>147</v>
      </c>
      <c r="AA1158" s="448" t="s">
        <v>61</v>
      </c>
      <c r="AB1158" s="448" t="s">
        <v>62</v>
      </c>
      <c r="AC1158" s="448" t="s">
        <v>62</v>
      </c>
      <c r="AD1158" s="447"/>
      <c r="AE1158" s="447"/>
      <c r="AF1158" s="447"/>
      <c r="AG1158" s="447"/>
      <c r="AH1158" s="447"/>
      <c r="AI1158" s="447"/>
      <c r="AJ1158" s="447"/>
      <c r="AK1158" s="447"/>
      <c r="AL1158" s="447"/>
      <c r="AM1158" s="447"/>
      <c r="AN1158" s="447"/>
      <c r="AO1158" s="447"/>
      <c r="AP1158" s="447"/>
      <c r="AQ1158" s="447"/>
      <c r="AR1158" s="447"/>
      <c r="AS1158" s="447"/>
      <c r="AT1158" s="447"/>
      <c r="AU1158" s="447"/>
      <c r="AV1158" s="447"/>
      <c r="AW1158" s="447"/>
      <c r="AX1158" s="447"/>
      <c r="AY1158" s="447"/>
      <c r="AZ1158" s="447"/>
      <c r="BA1158" s="448" t="s">
        <v>51</v>
      </c>
      <c r="BB1158" s="448" t="s">
        <v>51</v>
      </c>
      <c r="BC1158" s="447"/>
      <c r="BD1158" s="448" t="s">
        <v>165</v>
      </c>
      <c r="BE1158" s="447">
        <v>27</v>
      </c>
    </row>
    <row r="1159" spans="1:57" ht="30" customHeight="1">
      <c r="A1159" s="443" t="s">
        <v>166</v>
      </c>
      <c r="B1159" s="443" t="s">
        <v>94</v>
      </c>
      <c r="C1159" s="443" t="s">
        <v>59</v>
      </c>
      <c r="D1159" s="1133">
        <v>18.399999999999999</v>
      </c>
      <c r="E1159" s="445">
        <f>'1층전시실산출'!H124</f>
        <v>18.399999999999999</v>
      </c>
      <c r="F1159" s="1147">
        <v>0</v>
      </c>
      <c r="G1159" s="1147">
        <v>0</v>
      </c>
      <c r="H1159" s="450">
        <f>TRUNC(일위대가목록!F29,0)</f>
        <v>0</v>
      </c>
      <c r="I1159" s="450">
        <f t="shared" si="148"/>
        <v>0</v>
      </c>
      <c r="J1159" s="1147">
        <v>7438</v>
      </c>
      <c r="K1159" s="1147">
        <v>136859.19999999998</v>
      </c>
      <c r="L1159" s="450">
        <f>TRUNC(일위대가목록!H29,0)</f>
        <v>7438</v>
      </c>
      <c r="M1159" s="450">
        <f t="shared" si="149"/>
        <v>136859.19999999998</v>
      </c>
      <c r="N1159" s="1147">
        <v>0</v>
      </c>
      <c r="O1159" s="1147">
        <v>0</v>
      </c>
      <c r="P1159" s="450">
        <f>TRUNC(일위대가목록!J29,0)</f>
        <v>0</v>
      </c>
      <c r="Q1159" s="450">
        <f t="shared" si="150"/>
        <v>0</v>
      </c>
      <c r="R1159" s="1147">
        <v>7438</v>
      </c>
      <c r="S1159" s="1147">
        <v>136859</v>
      </c>
      <c r="T1159" s="450">
        <f t="shared" si="151"/>
        <v>7438</v>
      </c>
      <c r="U1159" s="450">
        <f t="shared" si="151"/>
        <v>136859</v>
      </c>
      <c r="V1159" s="454" t="str">
        <f>일위대가목록!M29</f>
        <v>호표 26</v>
      </c>
      <c r="W1159" s="448" t="s">
        <v>167</v>
      </c>
      <c r="X1159" s="448" t="s">
        <v>51</v>
      </c>
      <c r="Y1159" s="448" t="s">
        <v>51</v>
      </c>
      <c r="Z1159" s="448" t="s">
        <v>147</v>
      </c>
      <c r="AA1159" s="448" t="s">
        <v>61</v>
      </c>
      <c r="AB1159" s="448" t="s">
        <v>62</v>
      </c>
      <c r="AC1159" s="448" t="s">
        <v>62</v>
      </c>
      <c r="AD1159" s="447"/>
      <c r="AE1159" s="447"/>
      <c r="AF1159" s="447"/>
      <c r="AG1159" s="447"/>
      <c r="AH1159" s="447"/>
      <c r="AI1159" s="447"/>
      <c r="AJ1159" s="447"/>
      <c r="AK1159" s="447"/>
      <c r="AL1159" s="447"/>
      <c r="AM1159" s="447"/>
      <c r="AN1159" s="447"/>
      <c r="AO1159" s="447"/>
      <c r="AP1159" s="447"/>
      <c r="AQ1159" s="447"/>
      <c r="AR1159" s="447"/>
      <c r="AS1159" s="447"/>
      <c r="AT1159" s="447"/>
      <c r="AU1159" s="447"/>
      <c r="AV1159" s="447"/>
      <c r="AW1159" s="447"/>
      <c r="AX1159" s="447"/>
      <c r="AY1159" s="447"/>
      <c r="AZ1159" s="447"/>
      <c r="BA1159" s="448" t="s">
        <v>51</v>
      </c>
      <c r="BB1159" s="448" t="s">
        <v>51</v>
      </c>
      <c r="BC1159" s="447"/>
      <c r="BD1159" s="448" t="s">
        <v>168</v>
      </c>
      <c r="BE1159" s="447">
        <v>105</v>
      </c>
    </row>
    <row r="1160" spans="1:57" ht="30" customHeight="1">
      <c r="A1160" s="444"/>
      <c r="B1160" s="444"/>
      <c r="C1160" s="444"/>
      <c r="D1160" s="1133"/>
      <c r="E1160" s="445"/>
      <c r="F1160" s="1146"/>
      <c r="G1160" s="1146"/>
      <c r="H1160" s="444"/>
      <c r="I1160" s="444"/>
      <c r="J1160" s="1146"/>
      <c r="K1160" s="1146"/>
      <c r="L1160" s="444"/>
      <c r="M1160" s="444"/>
      <c r="N1160" s="1146"/>
      <c r="O1160" s="1146"/>
      <c r="P1160" s="444"/>
      <c r="Q1160" s="444"/>
      <c r="R1160" s="1146"/>
      <c r="S1160" s="1146"/>
      <c r="T1160" s="444"/>
      <c r="U1160" s="444"/>
      <c r="V1160" s="446"/>
    </row>
    <row r="1161" spans="1:57" ht="30" customHeight="1">
      <c r="A1161" s="444"/>
      <c r="B1161" s="444"/>
      <c r="C1161" s="444"/>
      <c r="D1161" s="1133"/>
      <c r="E1161" s="445"/>
      <c r="F1161" s="1146"/>
      <c r="G1161" s="1146"/>
      <c r="H1161" s="444"/>
      <c r="I1161" s="444"/>
      <c r="J1161" s="1146"/>
      <c r="K1161" s="1146"/>
      <c r="L1161" s="444"/>
      <c r="M1161" s="444"/>
      <c r="N1161" s="1146"/>
      <c r="O1161" s="1146"/>
      <c r="P1161" s="444"/>
      <c r="Q1161" s="444"/>
      <c r="R1161" s="1146"/>
      <c r="S1161" s="1146"/>
      <c r="T1161" s="444"/>
      <c r="U1161" s="444"/>
      <c r="V1161" s="446"/>
    </row>
    <row r="1162" spans="1:57" ht="30" customHeight="1">
      <c r="A1162" s="444"/>
      <c r="B1162" s="444"/>
      <c r="C1162" s="444"/>
      <c r="D1162" s="1133"/>
      <c r="E1162" s="445"/>
      <c r="F1162" s="1146"/>
      <c r="G1162" s="1146"/>
      <c r="H1162" s="444"/>
      <c r="I1162" s="444"/>
      <c r="J1162" s="1146"/>
      <c r="K1162" s="1146"/>
      <c r="L1162" s="444"/>
      <c r="M1162" s="444"/>
      <c r="N1162" s="1146"/>
      <c r="O1162" s="1146"/>
      <c r="P1162" s="444"/>
      <c r="Q1162" s="444"/>
      <c r="R1162" s="1146"/>
      <c r="S1162" s="1146"/>
      <c r="T1162" s="444"/>
      <c r="U1162" s="444"/>
      <c r="V1162" s="446"/>
    </row>
    <row r="1163" spans="1:57" ht="30" customHeight="1">
      <c r="A1163" s="444"/>
      <c r="B1163" s="444"/>
      <c r="C1163" s="444"/>
      <c r="D1163" s="1133"/>
      <c r="E1163" s="445"/>
      <c r="F1163" s="1146"/>
      <c r="G1163" s="1146"/>
      <c r="H1163" s="444"/>
      <c r="I1163" s="444"/>
      <c r="J1163" s="1146"/>
      <c r="K1163" s="1146"/>
      <c r="L1163" s="444"/>
      <c r="M1163" s="444"/>
      <c r="N1163" s="1146"/>
      <c r="O1163" s="1146"/>
      <c r="P1163" s="444"/>
      <c r="Q1163" s="444"/>
      <c r="R1163" s="1146"/>
      <c r="S1163" s="1146"/>
      <c r="T1163" s="444"/>
      <c r="U1163" s="444"/>
      <c r="V1163" s="446"/>
    </row>
    <row r="1164" spans="1:57" ht="30" customHeight="1">
      <c r="A1164" s="444"/>
      <c r="B1164" s="444"/>
      <c r="C1164" s="444"/>
      <c r="D1164" s="1133"/>
      <c r="E1164" s="445"/>
      <c r="F1164" s="1146"/>
      <c r="G1164" s="1146"/>
      <c r="H1164" s="444"/>
      <c r="I1164" s="444"/>
      <c r="J1164" s="1146"/>
      <c r="K1164" s="1146"/>
      <c r="L1164" s="444"/>
      <c r="M1164" s="444"/>
      <c r="N1164" s="1146"/>
      <c r="O1164" s="1146"/>
      <c r="P1164" s="444"/>
      <c r="Q1164" s="444"/>
      <c r="R1164" s="1146"/>
      <c r="S1164" s="1146"/>
      <c r="T1164" s="444"/>
      <c r="U1164" s="444"/>
      <c r="V1164" s="446"/>
    </row>
    <row r="1165" spans="1:57" ht="30" customHeight="1">
      <c r="A1165" s="444"/>
      <c r="B1165" s="444"/>
      <c r="C1165" s="444"/>
      <c r="D1165" s="1133"/>
      <c r="E1165" s="445"/>
      <c r="F1165" s="1146"/>
      <c r="G1165" s="1146"/>
      <c r="H1165" s="444"/>
      <c r="I1165" s="444"/>
      <c r="J1165" s="1146"/>
      <c r="K1165" s="1146"/>
      <c r="L1165" s="444"/>
      <c r="M1165" s="444"/>
      <c r="N1165" s="1146"/>
      <c r="O1165" s="1146"/>
      <c r="P1165" s="444"/>
      <c r="Q1165" s="444"/>
      <c r="R1165" s="1146"/>
      <c r="S1165" s="1146"/>
      <c r="T1165" s="444"/>
      <c r="U1165" s="444"/>
      <c r="V1165" s="446"/>
    </row>
    <row r="1166" spans="1:57" ht="30" customHeight="1">
      <c r="A1166" s="444"/>
      <c r="B1166" s="444"/>
      <c r="C1166" s="444"/>
      <c r="D1166" s="1133"/>
      <c r="E1166" s="445"/>
      <c r="F1166" s="1146"/>
      <c r="G1166" s="1146"/>
      <c r="H1166" s="444"/>
      <c r="I1166" s="444"/>
      <c r="J1166" s="1146"/>
      <c r="K1166" s="1146"/>
      <c r="L1166" s="444"/>
      <c r="M1166" s="444"/>
      <c r="N1166" s="1146"/>
      <c r="O1166" s="1146"/>
      <c r="P1166" s="444"/>
      <c r="Q1166" s="444"/>
      <c r="R1166" s="1146"/>
      <c r="S1166" s="1146"/>
      <c r="T1166" s="444"/>
      <c r="U1166" s="444"/>
      <c r="V1166" s="446"/>
    </row>
    <row r="1167" spans="1:57" ht="30" customHeight="1">
      <c r="A1167" s="444"/>
      <c r="B1167" s="444"/>
      <c r="C1167" s="444"/>
      <c r="D1167" s="1133"/>
      <c r="E1167" s="445"/>
      <c r="F1167" s="1146"/>
      <c r="G1167" s="1146"/>
      <c r="H1167" s="444"/>
      <c r="I1167" s="444"/>
      <c r="J1167" s="1146"/>
      <c r="K1167" s="1146"/>
      <c r="L1167" s="444"/>
      <c r="M1167" s="444"/>
      <c r="N1167" s="1146"/>
      <c r="O1167" s="1146"/>
      <c r="P1167" s="444"/>
      <c r="Q1167" s="444"/>
      <c r="R1167" s="1146"/>
      <c r="S1167" s="1146"/>
      <c r="T1167" s="444"/>
      <c r="U1167" s="444"/>
      <c r="V1167" s="446"/>
    </row>
    <row r="1168" spans="1:57" ht="30" customHeight="1">
      <c r="A1168" s="444"/>
      <c r="B1168" s="444"/>
      <c r="C1168" s="444"/>
      <c r="D1168" s="1133"/>
      <c r="E1168" s="445"/>
      <c r="F1168" s="1146"/>
      <c r="G1168" s="1146"/>
      <c r="H1168" s="444"/>
      <c r="I1168" s="444"/>
      <c r="J1168" s="1146"/>
      <c r="K1168" s="1146"/>
      <c r="L1168" s="444"/>
      <c r="M1168" s="444"/>
      <c r="N1168" s="1146"/>
      <c r="O1168" s="1146"/>
      <c r="P1168" s="444"/>
      <c r="Q1168" s="444"/>
      <c r="R1168" s="1146"/>
      <c r="S1168" s="1146"/>
      <c r="T1168" s="444"/>
      <c r="U1168" s="444"/>
      <c r="V1168" s="446"/>
    </row>
    <row r="1169" spans="1:58" ht="30" customHeight="1">
      <c r="A1169" s="444"/>
      <c r="B1169" s="444"/>
      <c r="C1169" s="444"/>
      <c r="D1169" s="1133"/>
      <c r="E1169" s="445"/>
      <c r="F1169" s="1146"/>
      <c r="G1169" s="1146"/>
      <c r="H1169" s="444"/>
      <c r="I1169" s="444"/>
      <c r="J1169" s="1146"/>
      <c r="K1169" s="1146"/>
      <c r="L1169" s="444"/>
      <c r="M1169" s="444"/>
      <c r="N1169" s="1146"/>
      <c r="O1169" s="1146"/>
      <c r="P1169" s="444"/>
      <c r="Q1169" s="444"/>
      <c r="R1169" s="1146"/>
      <c r="S1169" s="1146"/>
      <c r="T1169" s="444"/>
      <c r="U1169" s="444"/>
      <c r="V1169" s="446"/>
    </row>
    <row r="1170" spans="1:58" ht="30" customHeight="1">
      <c r="A1170" s="444"/>
      <c r="B1170" s="444"/>
      <c r="C1170" s="444"/>
      <c r="D1170" s="1133"/>
      <c r="E1170" s="445"/>
      <c r="F1170" s="1146"/>
      <c r="G1170" s="1146"/>
      <c r="H1170" s="444"/>
      <c r="I1170" s="444"/>
      <c r="J1170" s="1146"/>
      <c r="K1170" s="1146"/>
      <c r="L1170" s="444"/>
      <c r="M1170" s="444"/>
      <c r="N1170" s="1146"/>
      <c r="O1170" s="1146"/>
      <c r="P1170" s="444"/>
      <c r="Q1170" s="444"/>
      <c r="R1170" s="1146"/>
      <c r="S1170" s="1146"/>
      <c r="T1170" s="444"/>
      <c r="U1170" s="444"/>
      <c r="V1170" s="446"/>
    </row>
    <row r="1171" spans="1:58" ht="30" customHeight="1">
      <c r="A1171" s="444"/>
      <c r="B1171" s="444"/>
      <c r="C1171" s="444"/>
      <c r="D1171" s="1133"/>
      <c r="E1171" s="445"/>
      <c r="F1171" s="1146"/>
      <c r="G1171" s="1146"/>
      <c r="H1171" s="444"/>
      <c r="I1171" s="444"/>
      <c r="J1171" s="1146"/>
      <c r="K1171" s="1146"/>
      <c r="L1171" s="444"/>
      <c r="M1171" s="444"/>
      <c r="N1171" s="1146"/>
      <c r="O1171" s="1146"/>
      <c r="P1171" s="444"/>
      <c r="Q1171" s="444"/>
      <c r="R1171" s="1146"/>
      <c r="S1171" s="1146"/>
      <c r="T1171" s="444"/>
      <c r="U1171" s="444"/>
      <c r="V1171" s="446"/>
    </row>
    <row r="1172" spans="1:58" ht="30" customHeight="1">
      <c r="A1172" s="444"/>
      <c r="B1172" s="444"/>
      <c r="C1172" s="444"/>
      <c r="D1172" s="1133"/>
      <c r="E1172" s="445"/>
      <c r="F1172" s="1146"/>
      <c r="G1172" s="1146"/>
      <c r="H1172" s="444"/>
      <c r="I1172" s="444"/>
      <c r="J1172" s="1146"/>
      <c r="K1172" s="1146"/>
      <c r="L1172" s="444"/>
      <c r="M1172" s="444"/>
      <c r="N1172" s="1146"/>
      <c r="O1172" s="1146"/>
      <c r="P1172" s="444"/>
      <c r="Q1172" s="444"/>
      <c r="R1172" s="1146"/>
      <c r="S1172" s="1146"/>
      <c r="T1172" s="444"/>
      <c r="U1172" s="444"/>
      <c r="V1172" s="446"/>
    </row>
    <row r="1173" spans="1:58" ht="30" customHeight="1">
      <c r="A1173" s="444"/>
      <c r="B1173" s="444"/>
      <c r="C1173" s="444"/>
      <c r="D1173" s="1133"/>
      <c r="E1173" s="445"/>
      <c r="F1173" s="1146"/>
      <c r="G1173" s="1146"/>
      <c r="H1173" s="444"/>
      <c r="I1173" s="444"/>
      <c r="J1173" s="1146"/>
      <c r="K1173" s="1146"/>
      <c r="L1173" s="444"/>
      <c r="M1173" s="444"/>
      <c r="N1173" s="1146"/>
      <c r="O1173" s="1146"/>
      <c r="P1173" s="444"/>
      <c r="Q1173" s="444"/>
      <c r="R1173" s="1146"/>
      <c r="S1173" s="1146"/>
      <c r="T1173" s="444"/>
      <c r="U1173" s="444"/>
      <c r="V1173" s="446"/>
    </row>
    <row r="1174" spans="1:58" ht="30" customHeight="1">
      <c r="A1174" s="444"/>
      <c r="B1174" s="444"/>
      <c r="C1174" s="444"/>
      <c r="D1174" s="1133"/>
      <c r="E1174" s="445"/>
      <c r="F1174" s="1146"/>
      <c r="G1174" s="1146"/>
      <c r="H1174" s="444"/>
      <c r="I1174" s="444"/>
      <c r="J1174" s="1146"/>
      <c r="K1174" s="1146"/>
      <c r="L1174" s="444"/>
      <c r="M1174" s="444"/>
      <c r="N1174" s="1146"/>
      <c r="O1174" s="1146"/>
      <c r="P1174" s="444"/>
      <c r="Q1174" s="444"/>
      <c r="R1174" s="1146"/>
      <c r="S1174" s="1146"/>
      <c r="T1174" s="444"/>
      <c r="U1174" s="444"/>
      <c r="V1174" s="446"/>
    </row>
    <row r="1175" spans="1:58" ht="30" customHeight="1">
      <c r="A1175" s="443" t="s">
        <v>85</v>
      </c>
      <c r="B1175" s="444"/>
      <c r="C1175" s="444"/>
      <c r="D1175" s="1133"/>
      <c r="E1175" s="445"/>
      <c r="F1175" s="1146"/>
      <c r="G1175" s="1147">
        <v>796152.78</v>
      </c>
      <c r="H1175" s="444"/>
      <c r="I1175" s="450">
        <f>SUM(I1154:I1174)</f>
        <v>347.52</v>
      </c>
      <c r="J1175" s="1146"/>
      <c r="K1175" s="1147">
        <v>15060371.75</v>
      </c>
      <c r="L1175" s="444"/>
      <c r="M1175" s="450">
        <f>SUM(M1154:M1174)</f>
        <v>13248353.599999998</v>
      </c>
      <c r="N1175" s="1146"/>
      <c r="O1175" s="1147">
        <v>0</v>
      </c>
      <c r="P1175" s="444"/>
      <c r="Q1175" s="450">
        <f>SUM(Q1154:Q1174)</f>
        <v>2990</v>
      </c>
      <c r="R1175" s="1146"/>
      <c r="S1175" s="1147">
        <v>15856522</v>
      </c>
      <c r="T1175" s="444"/>
      <c r="U1175" s="450">
        <f>SUM(U1154:U1174)</f>
        <v>13251689</v>
      </c>
      <c r="V1175" s="446"/>
      <c r="W1175" s="449" t="s">
        <v>86</v>
      </c>
    </row>
    <row r="1176" spans="1:58" s="416" customFormat="1" ht="30" customHeight="1">
      <c r="A1176" s="409" t="s">
        <v>4800</v>
      </c>
      <c r="B1176" s="409"/>
      <c r="C1176" s="409"/>
      <c r="D1176" s="1137"/>
      <c r="E1176" s="408"/>
      <c r="F1176" s="1102"/>
      <c r="G1176" s="1102"/>
      <c r="H1176" s="410"/>
      <c r="I1176" s="410"/>
      <c r="J1176" s="1102"/>
      <c r="K1176" s="1102"/>
      <c r="L1176" s="410"/>
      <c r="M1176" s="410"/>
      <c r="N1176" s="1102"/>
      <c r="O1176" s="1102"/>
      <c r="P1176" s="410"/>
      <c r="Q1176" s="410"/>
      <c r="R1176" s="1102"/>
      <c r="S1176" s="1102"/>
      <c r="T1176" s="410"/>
      <c r="U1176" s="410"/>
      <c r="V1176" s="409"/>
      <c r="W1176" s="411"/>
      <c r="X1176" s="411"/>
      <c r="Y1176" s="411"/>
      <c r="Z1176" s="411"/>
      <c r="AA1176" s="412"/>
      <c r="AB1176" s="411"/>
      <c r="AC1176" s="413"/>
      <c r="AD1176" s="413"/>
      <c r="AE1176" s="413"/>
      <c r="AF1176" s="413"/>
      <c r="AG1176" s="414"/>
      <c r="AH1176" s="414"/>
      <c r="AI1176" s="414"/>
      <c r="AJ1176" s="415"/>
      <c r="AK1176" s="415"/>
      <c r="AL1176" s="415"/>
      <c r="AM1176" s="415"/>
      <c r="AN1176" s="415"/>
      <c r="AO1176" s="415"/>
      <c r="AP1176" s="415"/>
      <c r="AQ1176" s="415"/>
      <c r="AR1176" s="415"/>
      <c r="AS1176" s="415"/>
      <c r="AT1176" s="415"/>
      <c r="AU1176" s="415"/>
      <c r="AV1176" s="415"/>
      <c r="AW1176" s="415"/>
      <c r="AX1176" s="415"/>
      <c r="AY1176" s="415"/>
      <c r="AZ1176" s="415"/>
      <c r="BA1176" s="415"/>
    </row>
    <row r="1177" spans="1:58" ht="30" customHeight="1">
      <c r="A1177" s="443" t="s">
        <v>4781</v>
      </c>
      <c r="B1177" s="444"/>
      <c r="C1177" s="444"/>
      <c r="D1177" s="1133"/>
      <c r="E1177" s="445"/>
      <c r="F1177" s="1146"/>
      <c r="G1177" s="1146"/>
      <c r="H1177" s="444"/>
      <c r="I1177" s="444"/>
      <c r="J1177" s="1146"/>
      <c r="K1177" s="1146"/>
      <c r="L1177" s="444"/>
      <c r="M1177" s="444"/>
      <c r="N1177" s="1146"/>
      <c r="O1177" s="1146"/>
      <c r="P1177" s="444"/>
      <c r="Q1177" s="444"/>
      <c r="R1177" s="1146"/>
      <c r="S1177" s="1146"/>
      <c r="T1177" s="444"/>
      <c r="U1177" s="444"/>
      <c r="V1177" s="446"/>
      <c r="W1177" s="448" t="s">
        <v>95</v>
      </c>
      <c r="X1177" s="448" t="s">
        <v>51</v>
      </c>
      <c r="Y1177" s="448" t="s">
        <v>51</v>
      </c>
      <c r="Z1177" s="448" t="s">
        <v>606</v>
      </c>
      <c r="AA1177" s="448" t="s">
        <v>61</v>
      </c>
      <c r="AB1177" s="448" t="s">
        <v>62</v>
      </c>
      <c r="AC1177" s="448" t="s">
        <v>62</v>
      </c>
      <c r="AD1177" s="447"/>
      <c r="AE1177" s="447"/>
      <c r="AF1177" s="447"/>
      <c r="AG1177" s="447"/>
      <c r="AH1177" s="447"/>
      <c r="AI1177" s="447"/>
      <c r="AJ1177" s="447"/>
      <c r="AK1177" s="447"/>
      <c r="AL1177" s="447"/>
      <c r="AM1177" s="447"/>
      <c r="AN1177" s="447"/>
      <c r="AO1177" s="447"/>
      <c r="AP1177" s="447"/>
      <c r="AQ1177" s="447"/>
      <c r="AR1177" s="447"/>
      <c r="AS1177" s="447"/>
      <c r="AT1177" s="447"/>
      <c r="AU1177" s="447"/>
      <c r="AV1177" s="447"/>
      <c r="AW1177" s="447"/>
      <c r="AX1177" s="447"/>
      <c r="AY1177" s="447"/>
      <c r="AZ1177" s="447"/>
      <c r="BA1177" s="448" t="s">
        <v>51</v>
      </c>
      <c r="BB1177" s="448" t="s">
        <v>51</v>
      </c>
      <c r="BC1177" s="447"/>
      <c r="BD1177" s="448" t="s">
        <v>608</v>
      </c>
      <c r="BE1177" s="447">
        <v>195</v>
      </c>
    </row>
    <row r="1178" spans="1:58" ht="30" customHeight="1">
      <c r="A1178" s="443" t="s">
        <v>89</v>
      </c>
      <c r="B1178" s="443" t="s">
        <v>90</v>
      </c>
      <c r="C1178" s="443" t="s">
        <v>59</v>
      </c>
      <c r="D1178" s="1133">
        <v>1120.0999999999999</v>
      </c>
      <c r="E1178" s="445">
        <f>'2층전시실산출 '!H22</f>
        <v>1120.0999999999999</v>
      </c>
      <c r="F1178" s="1147">
        <v>0</v>
      </c>
      <c r="G1178" s="1147">
        <v>0</v>
      </c>
      <c r="H1178" s="450">
        <f>TRUNC(일위대가목록!F9,0)</f>
        <v>0</v>
      </c>
      <c r="I1178" s="450">
        <f>E1178*H1178</f>
        <v>0</v>
      </c>
      <c r="J1178" s="1147">
        <v>15631</v>
      </c>
      <c r="K1178" s="1147">
        <v>17508283.099999998</v>
      </c>
      <c r="L1178" s="450">
        <f>TRUNC(일위대가목록!H9,0)</f>
        <v>4395</v>
      </c>
      <c r="M1178" s="450">
        <f>E1178*L1178</f>
        <v>4922839.5</v>
      </c>
      <c r="N1178" s="1147">
        <v>0</v>
      </c>
      <c r="O1178" s="1147">
        <v>0</v>
      </c>
      <c r="P1178" s="450">
        <f>TRUNC(일위대가목록!J9,0)</f>
        <v>0</v>
      </c>
      <c r="Q1178" s="450">
        <f>TRUNC(P1178*E1178, 0)</f>
        <v>0</v>
      </c>
      <c r="R1178" s="1147">
        <v>15631</v>
      </c>
      <c r="S1178" s="1147">
        <v>17508283</v>
      </c>
      <c r="T1178" s="450">
        <f t="shared" ref="T1178:U1181" si="152">TRUNC(H1178+L1178+P1178, 0)</f>
        <v>4395</v>
      </c>
      <c r="U1178" s="450">
        <f t="shared" si="152"/>
        <v>4922839</v>
      </c>
      <c r="V1178" s="454" t="str">
        <f>일위대가목록!M9</f>
        <v>호표 6</v>
      </c>
      <c r="W1178" s="448" t="s">
        <v>103</v>
      </c>
      <c r="X1178" s="448" t="s">
        <v>51</v>
      </c>
      <c r="Y1178" s="448" t="s">
        <v>51</v>
      </c>
      <c r="Z1178" s="448" t="s">
        <v>606</v>
      </c>
      <c r="AA1178" s="448" t="s">
        <v>61</v>
      </c>
      <c r="AB1178" s="448" t="s">
        <v>62</v>
      </c>
      <c r="AC1178" s="448" t="s">
        <v>62</v>
      </c>
      <c r="AD1178" s="447"/>
      <c r="AE1178" s="447"/>
      <c r="AF1178" s="447"/>
      <c r="AG1178" s="447"/>
      <c r="AH1178" s="447"/>
      <c r="AI1178" s="447"/>
      <c r="AJ1178" s="447"/>
      <c r="AK1178" s="447"/>
      <c r="AL1178" s="447"/>
      <c r="AM1178" s="447"/>
      <c r="AN1178" s="447"/>
      <c r="AO1178" s="447"/>
      <c r="AP1178" s="447"/>
      <c r="AQ1178" s="447"/>
      <c r="AR1178" s="447"/>
      <c r="AS1178" s="447"/>
      <c r="AT1178" s="447"/>
      <c r="AU1178" s="447"/>
      <c r="AV1178" s="447"/>
      <c r="AW1178" s="447"/>
      <c r="AX1178" s="447"/>
      <c r="AY1178" s="447"/>
      <c r="AZ1178" s="447"/>
      <c r="BA1178" s="448" t="s">
        <v>51</v>
      </c>
      <c r="BB1178" s="448" t="s">
        <v>51</v>
      </c>
      <c r="BC1178" s="447"/>
      <c r="BD1178" s="448" t="s">
        <v>609</v>
      </c>
      <c r="BE1178" s="447">
        <v>60</v>
      </c>
    </row>
    <row r="1179" spans="1:58" ht="30" customHeight="1">
      <c r="A1179" s="443" t="s">
        <v>93</v>
      </c>
      <c r="B1179" s="443" t="s">
        <v>94</v>
      </c>
      <c r="C1179" s="443" t="s">
        <v>59</v>
      </c>
      <c r="D1179" s="1133">
        <v>61.199999999999996</v>
      </c>
      <c r="E1179" s="445">
        <f>'2층전시실산출 '!H24</f>
        <v>61.199999999999996</v>
      </c>
      <c r="F1179" s="1147">
        <v>888</v>
      </c>
      <c r="G1179" s="1147">
        <v>54345.599999999999</v>
      </c>
      <c r="H1179" s="450">
        <f>TRUNC(일위대가목록!F10,0)</f>
        <v>888</v>
      </c>
      <c r="I1179" s="450">
        <f>E1179*H1179</f>
        <v>54345.599999999999</v>
      </c>
      <c r="J1179" s="1147">
        <v>18667</v>
      </c>
      <c r="K1179" s="1147">
        <v>1142420.3999999999</v>
      </c>
      <c r="L1179" s="450">
        <f>TRUNC(일위대가목록!H10,0)</f>
        <v>18667</v>
      </c>
      <c r="M1179" s="450">
        <f>E1179*L1179</f>
        <v>1142420.3999999999</v>
      </c>
      <c r="N1179" s="1147">
        <v>0</v>
      </c>
      <c r="O1179" s="1147">
        <v>0</v>
      </c>
      <c r="P1179" s="450">
        <f>TRUNC(일위대가목록!J10,0)</f>
        <v>0</v>
      </c>
      <c r="Q1179" s="450">
        <f>TRUNC(P1179*E1179, 0)</f>
        <v>0</v>
      </c>
      <c r="R1179" s="1147">
        <v>19555</v>
      </c>
      <c r="S1179" s="1147">
        <v>1196766</v>
      </c>
      <c r="T1179" s="450">
        <f t="shared" si="152"/>
        <v>19555</v>
      </c>
      <c r="U1179" s="450">
        <f t="shared" si="152"/>
        <v>1196766</v>
      </c>
      <c r="V1179" s="454" t="str">
        <f>일위대가목록!M10</f>
        <v>호표 7</v>
      </c>
      <c r="W1179" s="448" t="s">
        <v>610</v>
      </c>
      <c r="X1179" s="448" t="s">
        <v>51</v>
      </c>
      <c r="Y1179" s="448" t="s">
        <v>51</v>
      </c>
      <c r="Z1179" s="448" t="s">
        <v>606</v>
      </c>
      <c r="AA1179" s="448" t="s">
        <v>61</v>
      </c>
      <c r="AB1179" s="448" t="s">
        <v>62</v>
      </c>
      <c r="AC1179" s="448" t="s">
        <v>62</v>
      </c>
      <c r="AD1179" s="447"/>
      <c r="AE1179" s="447"/>
      <c r="AF1179" s="447"/>
      <c r="AG1179" s="447"/>
      <c r="AH1179" s="447"/>
      <c r="AI1179" s="447"/>
      <c r="AJ1179" s="447"/>
      <c r="AK1179" s="447"/>
      <c r="AL1179" s="447"/>
      <c r="AM1179" s="447"/>
      <c r="AN1179" s="447"/>
      <c r="AO1179" s="447"/>
      <c r="AP1179" s="447"/>
      <c r="AQ1179" s="447"/>
      <c r="AR1179" s="447"/>
      <c r="AS1179" s="447"/>
      <c r="AT1179" s="447"/>
      <c r="AU1179" s="447"/>
      <c r="AV1179" s="447"/>
      <c r="AW1179" s="447"/>
      <c r="AX1179" s="447"/>
      <c r="AY1179" s="447"/>
      <c r="AZ1179" s="447"/>
      <c r="BA1179" s="448" t="s">
        <v>51</v>
      </c>
      <c r="BB1179" s="448" t="s">
        <v>51</v>
      </c>
      <c r="BC1179" s="447"/>
      <c r="BD1179" s="448" t="s">
        <v>611</v>
      </c>
      <c r="BE1179" s="447">
        <v>61</v>
      </c>
    </row>
    <row r="1180" spans="1:58" ht="30" customHeight="1">
      <c r="A1180" s="443" t="s">
        <v>101</v>
      </c>
      <c r="B1180" s="443" t="s">
        <v>102</v>
      </c>
      <c r="C1180" s="443" t="s">
        <v>59</v>
      </c>
      <c r="D1180" s="1133">
        <v>1120.0999999999999</v>
      </c>
      <c r="E1180" s="445">
        <f>'2층전시실산출 '!H28</f>
        <v>1120.0999999999999</v>
      </c>
      <c r="F1180" s="1147">
        <v>0</v>
      </c>
      <c r="G1180" s="1147">
        <v>0</v>
      </c>
      <c r="H1180" s="450">
        <f>TRUNC(일위대가목록!F12,0)</f>
        <v>0</v>
      </c>
      <c r="I1180" s="450">
        <f>E1180*H1180</f>
        <v>0</v>
      </c>
      <c r="J1180" s="1147">
        <v>5739</v>
      </c>
      <c r="K1180" s="1147">
        <v>6428253.8999999994</v>
      </c>
      <c r="L1180" s="450">
        <f>TRUNC(일위대가목록!H12,0)</f>
        <v>5739</v>
      </c>
      <c r="M1180" s="450">
        <f>E1180*L1180</f>
        <v>6428253.8999999994</v>
      </c>
      <c r="N1180" s="1147">
        <v>0</v>
      </c>
      <c r="O1180" s="1147">
        <v>0</v>
      </c>
      <c r="P1180" s="450">
        <f>TRUNC(일위대가목록!J12,0)</f>
        <v>0</v>
      </c>
      <c r="Q1180" s="450">
        <f>TRUNC(P1180*E1180, 0)</f>
        <v>0</v>
      </c>
      <c r="R1180" s="1147">
        <v>5739</v>
      </c>
      <c r="S1180" s="1147">
        <v>6428253</v>
      </c>
      <c r="T1180" s="450">
        <f t="shared" si="152"/>
        <v>5739</v>
      </c>
      <c r="U1180" s="450">
        <f t="shared" si="152"/>
        <v>6428253</v>
      </c>
      <c r="V1180" s="454" t="str">
        <f>일위대가목록!M12</f>
        <v>호표 9</v>
      </c>
    </row>
    <row r="1181" spans="1:58" ht="30" customHeight="1">
      <c r="A1181" s="1178" t="s">
        <v>105</v>
      </c>
      <c r="B1181" s="1178" t="s">
        <v>94</v>
      </c>
      <c r="C1181" s="1178" t="s">
        <v>6831</v>
      </c>
      <c r="D1181" s="1194">
        <v>136.87200000000001</v>
      </c>
      <c r="E1181" s="1222">
        <v>0</v>
      </c>
      <c r="F1181" s="1200">
        <v>0</v>
      </c>
      <c r="G1181" s="1200">
        <v>0</v>
      </c>
      <c r="H1181" s="1198">
        <f>TRUNC(일위대가목록!F82,0)</f>
        <v>0</v>
      </c>
      <c r="I1181" s="1198">
        <f>E1181*H1181</f>
        <v>0</v>
      </c>
      <c r="J1181" s="1200">
        <v>3826</v>
      </c>
      <c r="K1181" s="1200">
        <v>523672.27200000006</v>
      </c>
      <c r="L1181" s="1198">
        <f>TRUNC(일위대가목록!H82,0)</f>
        <v>3826</v>
      </c>
      <c r="M1181" s="1198">
        <f>E1181*L1181</f>
        <v>0</v>
      </c>
      <c r="N1181" s="1200">
        <v>0</v>
      </c>
      <c r="O1181" s="1200">
        <v>0</v>
      </c>
      <c r="P1181" s="1198">
        <f>TRUNC(일위대가목록!J82,0)</f>
        <v>0</v>
      </c>
      <c r="Q1181" s="1198">
        <f>TRUNC(P1181*E1181, 0)</f>
        <v>0</v>
      </c>
      <c r="R1181" s="1200">
        <v>3826</v>
      </c>
      <c r="S1181" s="1200">
        <v>523672</v>
      </c>
      <c r="T1181" s="1198">
        <f t="shared" si="152"/>
        <v>3826</v>
      </c>
      <c r="U1181" s="1198">
        <f t="shared" si="152"/>
        <v>0</v>
      </c>
      <c r="V1181" s="1223" t="str">
        <f>일위대가목록!M13</f>
        <v>호표 10</v>
      </c>
      <c r="BF1181" s="449" t="s">
        <v>6750</v>
      </c>
    </row>
    <row r="1182" spans="1:58" ht="30" customHeight="1">
      <c r="A1182" s="444"/>
      <c r="B1182" s="444"/>
      <c r="C1182" s="444"/>
      <c r="D1182" s="1133"/>
      <c r="E1182" s="445"/>
      <c r="F1182" s="1146"/>
      <c r="G1182" s="1146"/>
      <c r="H1182" s="444"/>
      <c r="I1182" s="444"/>
      <c r="J1182" s="1146"/>
      <c r="K1182" s="1146"/>
      <c r="L1182" s="444"/>
      <c r="M1182" s="444"/>
      <c r="N1182" s="1146"/>
      <c r="O1182" s="1146"/>
      <c r="P1182" s="444"/>
      <c r="Q1182" s="444"/>
      <c r="R1182" s="1146"/>
      <c r="S1182" s="1146"/>
      <c r="T1182" s="444"/>
      <c r="U1182" s="444"/>
      <c r="V1182" s="446"/>
    </row>
    <row r="1183" spans="1:58" ht="30" customHeight="1">
      <c r="A1183" s="444"/>
      <c r="B1183" s="444"/>
      <c r="C1183" s="444"/>
      <c r="D1183" s="1133"/>
      <c r="E1183" s="445"/>
      <c r="F1183" s="1146"/>
      <c r="G1183" s="1146"/>
      <c r="H1183" s="444"/>
      <c r="I1183" s="444"/>
      <c r="J1183" s="1146"/>
      <c r="K1183" s="1146"/>
      <c r="L1183" s="444"/>
      <c r="M1183" s="444"/>
      <c r="N1183" s="1146"/>
      <c r="O1183" s="1146"/>
      <c r="P1183" s="444"/>
      <c r="Q1183" s="444"/>
      <c r="R1183" s="1146"/>
      <c r="S1183" s="1146"/>
      <c r="T1183" s="444"/>
      <c r="U1183" s="444"/>
      <c r="V1183" s="446"/>
    </row>
    <row r="1184" spans="1:58" ht="30" customHeight="1">
      <c r="A1184" s="444"/>
      <c r="B1184" s="444"/>
      <c r="C1184" s="444"/>
      <c r="D1184" s="1133"/>
      <c r="E1184" s="445"/>
      <c r="F1184" s="1146"/>
      <c r="G1184" s="1146"/>
      <c r="H1184" s="444"/>
      <c r="I1184" s="444"/>
      <c r="J1184" s="1146"/>
      <c r="K1184" s="1146"/>
      <c r="L1184" s="444"/>
      <c r="M1184" s="444"/>
      <c r="N1184" s="1146"/>
      <c r="O1184" s="1146"/>
      <c r="P1184" s="444"/>
      <c r="Q1184" s="444"/>
      <c r="R1184" s="1146"/>
      <c r="S1184" s="1146"/>
      <c r="T1184" s="444"/>
      <c r="U1184" s="444"/>
      <c r="V1184" s="446"/>
    </row>
    <row r="1185" spans="1:57" ht="30" customHeight="1">
      <c r="A1185" s="444"/>
      <c r="B1185" s="444"/>
      <c r="C1185" s="444"/>
      <c r="D1185" s="1133"/>
      <c r="E1185" s="445"/>
      <c r="F1185" s="1146"/>
      <c r="G1185" s="1146"/>
      <c r="H1185" s="444"/>
      <c r="I1185" s="444"/>
      <c r="J1185" s="1146"/>
      <c r="K1185" s="1146"/>
      <c r="L1185" s="444"/>
      <c r="M1185" s="444"/>
      <c r="N1185" s="1146"/>
      <c r="O1185" s="1146"/>
      <c r="P1185" s="444"/>
      <c r="Q1185" s="444"/>
      <c r="R1185" s="1146"/>
      <c r="S1185" s="1146"/>
      <c r="T1185" s="444"/>
      <c r="U1185" s="444"/>
      <c r="V1185" s="446"/>
    </row>
    <row r="1186" spans="1:57" ht="30" customHeight="1">
      <c r="A1186" s="444"/>
      <c r="B1186" s="444"/>
      <c r="C1186" s="444"/>
      <c r="D1186" s="1133"/>
      <c r="E1186" s="445"/>
      <c r="F1186" s="1146"/>
      <c r="G1186" s="1146"/>
      <c r="H1186" s="444"/>
      <c r="I1186" s="444"/>
      <c r="J1186" s="1146"/>
      <c r="K1186" s="1146"/>
      <c r="L1186" s="444"/>
      <c r="M1186" s="444"/>
      <c r="N1186" s="1146"/>
      <c r="O1186" s="1146"/>
      <c r="P1186" s="444"/>
      <c r="Q1186" s="444"/>
      <c r="R1186" s="1146"/>
      <c r="S1186" s="1146"/>
      <c r="T1186" s="444"/>
      <c r="U1186" s="444"/>
      <c r="V1186" s="446"/>
    </row>
    <row r="1187" spans="1:57" ht="30" customHeight="1">
      <c r="A1187" s="444"/>
      <c r="B1187" s="444"/>
      <c r="C1187" s="444"/>
      <c r="D1187" s="1133"/>
      <c r="E1187" s="445"/>
      <c r="F1187" s="1146"/>
      <c r="G1187" s="1146"/>
      <c r="H1187" s="444"/>
      <c r="I1187" s="444"/>
      <c r="J1187" s="1146"/>
      <c r="K1187" s="1146"/>
      <c r="L1187" s="444"/>
      <c r="M1187" s="444"/>
      <c r="N1187" s="1146"/>
      <c r="O1187" s="1146"/>
      <c r="P1187" s="444"/>
      <c r="Q1187" s="444"/>
      <c r="R1187" s="1146"/>
      <c r="S1187" s="1146"/>
      <c r="T1187" s="444"/>
      <c r="U1187" s="444"/>
      <c r="V1187" s="446"/>
    </row>
    <row r="1188" spans="1:57" ht="30" customHeight="1">
      <c r="A1188" s="444"/>
      <c r="B1188" s="444"/>
      <c r="C1188" s="444"/>
      <c r="D1188" s="1133"/>
      <c r="E1188" s="445"/>
      <c r="F1188" s="1146"/>
      <c r="G1188" s="1146"/>
      <c r="H1188" s="444"/>
      <c r="I1188" s="444"/>
      <c r="J1188" s="1146"/>
      <c r="K1188" s="1146"/>
      <c r="L1188" s="444"/>
      <c r="M1188" s="444"/>
      <c r="N1188" s="1146"/>
      <c r="O1188" s="1146"/>
      <c r="P1188" s="444"/>
      <c r="Q1188" s="444"/>
      <c r="R1188" s="1146"/>
      <c r="S1188" s="1146"/>
      <c r="T1188" s="444"/>
      <c r="U1188" s="444"/>
      <c r="V1188" s="446"/>
    </row>
    <row r="1189" spans="1:57" ht="30" customHeight="1">
      <c r="A1189" s="444"/>
      <c r="B1189" s="444"/>
      <c r="C1189" s="444"/>
      <c r="D1189" s="1133"/>
      <c r="E1189" s="445"/>
      <c r="F1189" s="1146"/>
      <c r="G1189" s="1146"/>
      <c r="H1189" s="444"/>
      <c r="I1189" s="444"/>
      <c r="J1189" s="1146"/>
      <c r="K1189" s="1146"/>
      <c r="L1189" s="444"/>
      <c r="M1189" s="444"/>
      <c r="N1189" s="1146"/>
      <c r="O1189" s="1146"/>
      <c r="P1189" s="444"/>
      <c r="Q1189" s="444"/>
      <c r="R1189" s="1146"/>
      <c r="S1189" s="1146"/>
      <c r="T1189" s="444"/>
      <c r="U1189" s="444"/>
      <c r="V1189" s="446"/>
    </row>
    <row r="1190" spans="1:57" ht="30" customHeight="1">
      <c r="A1190" s="444"/>
      <c r="B1190" s="444"/>
      <c r="C1190" s="444"/>
      <c r="D1190" s="1133"/>
      <c r="E1190" s="445"/>
      <c r="F1190" s="1146"/>
      <c r="G1190" s="1146"/>
      <c r="H1190" s="444"/>
      <c r="I1190" s="444"/>
      <c r="J1190" s="1146"/>
      <c r="K1190" s="1146"/>
      <c r="L1190" s="444"/>
      <c r="M1190" s="444"/>
      <c r="N1190" s="1146"/>
      <c r="O1190" s="1146"/>
      <c r="P1190" s="444"/>
      <c r="Q1190" s="444"/>
      <c r="R1190" s="1146"/>
      <c r="S1190" s="1146"/>
      <c r="T1190" s="444"/>
      <c r="U1190" s="444"/>
      <c r="V1190" s="446"/>
    </row>
    <row r="1191" spans="1:57" ht="30" customHeight="1">
      <c r="A1191" s="444"/>
      <c r="B1191" s="444"/>
      <c r="C1191" s="444"/>
      <c r="D1191" s="1133"/>
      <c r="E1191" s="445"/>
      <c r="F1191" s="1146"/>
      <c r="G1191" s="1146"/>
      <c r="H1191" s="444"/>
      <c r="I1191" s="444"/>
      <c r="J1191" s="1146"/>
      <c r="K1191" s="1146"/>
      <c r="L1191" s="444"/>
      <c r="M1191" s="444"/>
      <c r="N1191" s="1146"/>
      <c r="O1191" s="1146"/>
      <c r="P1191" s="444"/>
      <c r="Q1191" s="444"/>
      <c r="R1191" s="1146"/>
      <c r="S1191" s="1146"/>
      <c r="T1191" s="444"/>
      <c r="U1191" s="444"/>
      <c r="V1191" s="446"/>
    </row>
    <row r="1192" spans="1:57" ht="30" customHeight="1">
      <c r="A1192" s="444"/>
      <c r="B1192" s="444"/>
      <c r="C1192" s="444"/>
      <c r="D1192" s="1133"/>
      <c r="E1192" s="445"/>
      <c r="F1192" s="1146"/>
      <c r="G1192" s="1146"/>
      <c r="H1192" s="444"/>
      <c r="I1192" s="444"/>
      <c r="J1192" s="1146"/>
      <c r="K1192" s="1146"/>
      <c r="L1192" s="444"/>
      <c r="M1192" s="444"/>
      <c r="N1192" s="1146"/>
      <c r="O1192" s="1146"/>
      <c r="P1192" s="444"/>
      <c r="Q1192" s="444"/>
      <c r="R1192" s="1146"/>
      <c r="S1192" s="1146"/>
      <c r="T1192" s="444"/>
      <c r="U1192" s="444"/>
      <c r="V1192" s="446"/>
    </row>
    <row r="1193" spans="1:57" ht="30" customHeight="1">
      <c r="A1193" s="444"/>
      <c r="B1193" s="444"/>
      <c r="C1193" s="444"/>
      <c r="D1193" s="1133"/>
      <c r="E1193" s="445"/>
      <c r="F1193" s="1146"/>
      <c r="G1193" s="1146"/>
      <c r="H1193" s="444"/>
      <c r="I1193" s="444"/>
      <c r="J1193" s="1146"/>
      <c r="K1193" s="1146"/>
      <c r="L1193" s="444"/>
      <c r="M1193" s="444"/>
      <c r="N1193" s="1146"/>
      <c r="O1193" s="1146"/>
      <c r="P1193" s="444"/>
      <c r="Q1193" s="444"/>
      <c r="R1193" s="1146"/>
      <c r="S1193" s="1146"/>
      <c r="T1193" s="444"/>
      <c r="U1193" s="444"/>
      <c r="V1193" s="446"/>
    </row>
    <row r="1194" spans="1:57" ht="30" customHeight="1">
      <c r="A1194" s="444"/>
      <c r="B1194" s="444"/>
      <c r="C1194" s="444"/>
      <c r="D1194" s="1133"/>
      <c r="E1194" s="445"/>
      <c r="F1194" s="1146"/>
      <c r="G1194" s="1146"/>
      <c r="H1194" s="444"/>
      <c r="I1194" s="444"/>
      <c r="J1194" s="1146"/>
      <c r="K1194" s="1146"/>
      <c r="L1194" s="444"/>
      <c r="M1194" s="444"/>
      <c r="N1194" s="1146"/>
      <c r="O1194" s="1146"/>
      <c r="P1194" s="444"/>
      <c r="Q1194" s="444"/>
      <c r="R1194" s="1146"/>
      <c r="S1194" s="1146"/>
      <c r="T1194" s="444"/>
      <c r="U1194" s="444"/>
      <c r="V1194" s="446"/>
    </row>
    <row r="1195" spans="1:57" ht="30" customHeight="1">
      <c r="A1195" s="444"/>
      <c r="B1195" s="444"/>
      <c r="C1195" s="444"/>
      <c r="D1195" s="1133"/>
      <c r="E1195" s="445"/>
      <c r="F1195" s="1146"/>
      <c r="G1195" s="1146"/>
      <c r="H1195" s="444"/>
      <c r="I1195" s="444"/>
      <c r="J1195" s="1146"/>
      <c r="K1195" s="1146"/>
      <c r="L1195" s="444"/>
      <c r="M1195" s="444"/>
      <c r="N1195" s="1146"/>
      <c r="O1195" s="1146"/>
      <c r="P1195" s="444"/>
      <c r="Q1195" s="444"/>
      <c r="R1195" s="1146"/>
      <c r="S1195" s="1146"/>
      <c r="T1195" s="444"/>
      <c r="U1195" s="444"/>
      <c r="V1195" s="446"/>
    </row>
    <row r="1196" spans="1:57" ht="30" customHeight="1">
      <c r="A1196" s="444"/>
      <c r="B1196" s="444"/>
      <c r="C1196" s="444"/>
      <c r="D1196" s="1133"/>
      <c r="E1196" s="445"/>
      <c r="F1196" s="1146"/>
      <c r="G1196" s="1146"/>
      <c r="H1196" s="444"/>
      <c r="I1196" s="444"/>
      <c r="J1196" s="1146"/>
      <c r="K1196" s="1146"/>
      <c r="L1196" s="444"/>
      <c r="M1196" s="444"/>
      <c r="N1196" s="1146"/>
      <c r="O1196" s="1146"/>
      <c r="P1196" s="444"/>
      <c r="Q1196" s="444"/>
      <c r="R1196" s="1146"/>
      <c r="S1196" s="1146"/>
      <c r="T1196" s="444"/>
      <c r="U1196" s="444"/>
      <c r="V1196" s="446"/>
      <c r="W1196" s="449" t="s">
        <v>86</v>
      </c>
    </row>
    <row r="1197" spans="1:57" ht="30" customHeight="1">
      <c r="A1197" s="444"/>
      <c r="B1197" s="444"/>
      <c r="C1197" s="444"/>
      <c r="D1197" s="1133"/>
      <c r="E1197" s="445"/>
      <c r="F1197" s="1146"/>
      <c r="G1197" s="1146"/>
      <c r="H1197" s="444"/>
      <c r="I1197" s="444"/>
      <c r="J1197" s="1146"/>
      <c r="K1197" s="1146"/>
      <c r="L1197" s="444"/>
      <c r="M1197" s="444"/>
      <c r="N1197" s="1146"/>
      <c r="O1197" s="1146"/>
      <c r="P1197" s="444"/>
      <c r="Q1197" s="444"/>
      <c r="R1197" s="1146"/>
      <c r="S1197" s="1146"/>
      <c r="T1197" s="444"/>
      <c r="U1197" s="444"/>
      <c r="V1197" s="446"/>
      <c r="W1197" s="447"/>
      <c r="X1197" s="447"/>
      <c r="Y1197" s="447"/>
      <c r="Z1197" s="448" t="s">
        <v>613</v>
      </c>
      <c r="AA1197" s="447"/>
      <c r="AB1197" s="447"/>
      <c r="AC1197" s="447"/>
      <c r="AD1197" s="447"/>
      <c r="AE1197" s="447"/>
      <c r="AF1197" s="447"/>
      <c r="AG1197" s="447"/>
      <c r="AH1197" s="447"/>
      <c r="AI1197" s="447"/>
      <c r="AJ1197" s="447"/>
      <c r="AK1197" s="447"/>
      <c r="AL1197" s="447"/>
      <c r="AM1197" s="447"/>
      <c r="AN1197" s="447"/>
      <c r="AO1197" s="447"/>
      <c r="AP1197" s="447"/>
      <c r="AQ1197" s="447"/>
      <c r="AR1197" s="447"/>
      <c r="AS1197" s="447"/>
      <c r="AT1197" s="447"/>
      <c r="AU1197" s="447"/>
      <c r="AV1197" s="447"/>
      <c r="AW1197" s="447"/>
      <c r="AX1197" s="447"/>
      <c r="AY1197" s="447"/>
      <c r="AZ1197" s="447"/>
      <c r="BA1197" s="447"/>
      <c r="BB1197" s="447"/>
      <c r="BC1197" s="447"/>
      <c r="BD1197" s="447"/>
      <c r="BE1197" s="447"/>
    </row>
    <row r="1198" spans="1:57" ht="30" customHeight="1">
      <c r="A1198" s="443" t="s">
        <v>85</v>
      </c>
      <c r="B1198" s="444"/>
      <c r="C1198" s="444"/>
      <c r="D1198" s="1133"/>
      <c r="E1198" s="445"/>
      <c r="F1198" s="1146"/>
      <c r="G1198" s="1147">
        <v>54345.599999999999</v>
      </c>
      <c r="H1198" s="444"/>
      <c r="I1198" s="450">
        <f>SUM(I1178:I1197)</f>
        <v>54345.599999999999</v>
      </c>
      <c r="J1198" s="1146"/>
      <c r="K1198" s="1147">
        <v>25602629.671999995</v>
      </c>
      <c r="L1198" s="444"/>
      <c r="M1198" s="450">
        <f>SUM(M1178:M1197)</f>
        <v>12493513.800000001</v>
      </c>
      <c r="N1198" s="1146"/>
      <c r="O1198" s="1147">
        <v>0</v>
      </c>
      <c r="P1198" s="444"/>
      <c r="Q1198" s="450">
        <f>SUM(Q1178:Q1197)</f>
        <v>0</v>
      </c>
      <c r="R1198" s="1146"/>
      <c r="S1198" s="1147">
        <v>25656974</v>
      </c>
      <c r="T1198" s="444"/>
      <c r="U1198" s="450">
        <f>SUM(U1178:U1197)</f>
        <v>12547858</v>
      </c>
      <c r="V1198" s="446"/>
      <c r="W1198" s="448" t="s">
        <v>116</v>
      </c>
      <c r="X1198" s="448" t="s">
        <v>51</v>
      </c>
      <c r="Y1198" s="448" t="s">
        <v>51</v>
      </c>
      <c r="Z1198" s="448" t="s">
        <v>613</v>
      </c>
      <c r="AA1198" s="448" t="s">
        <v>61</v>
      </c>
      <c r="AB1198" s="448" t="s">
        <v>62</v>
      </c>
      <c r="AC1198" s="448" t="s">
        <v>62</v>
      </c>
      <c r="AD1198" s="447"/>
      <c r="AE1198" s="447"/>
      <c r="AF1198" s="447"/>
      <c r="AG1198" s="447"/>
      <c r="AH1198" s="447"/>
      <c r="AI1198" s="447"/>
      <c r="AJ1198" s="447"/>
      <c r="AK1198" s="447"/>
      <c r="AL1198" s="447"/>
      <c r="AM1198" s="447"/>
      <c r="AN1198" s="447"/>
      <c r="AO1198" s="447"/>
      <c r="AP1198" s="447"/>
      <c r="AQ1198" s="447"/>
      <c r="AR1198" s="447"/>
      <c r="AS1198" s="447"/>
      <c r="AT1198" s="447"/>
      <c r="AU1198" s="447"/>
      <c r="AV1198" s="447"/>
      <c r="AW1198" s="447"/>
      <c r="AX1198" s="447"/>
      <c r="AY1198" s="447"/>
      <c r="AZ1198" s="447"/>
      <c r="BA1198" s="448" t="s">
        <v>51</v>
      </c>
      <c r="BB1198" s="448" t="s">
        <v>51</v>
      </c>
      <c r="BC1198" s="447"/>
      <c r="BD1198" s="448" t="s">
        <v>614</v>
      </c>
      <c r="BE1198" s="447">
        <v>63</v>
      </c>
    </row>
    <row r="1199" spans="1:57" ht="30" customHeight="1">
      <c r="A1199" s="443" t="s">
        <v>4782</v>
      </c>
      <c r="B1199" s="444"/>
      <c r="C1199" s="444"/>
      <c r="D1199" s="1133"/>
      <c r="E1199" s="445"/>
      <c r="F1199" s="1146"/>
      <c r="G1199" s="1146"/>
      <c r="H1199" s="444"/>
      <c r="I1199" s="444"/>
      <c r="J1199" s="1146"/>
      <c r="K1199" s="1146"/>
      <c r="L1199" s="444"/>
      <c r="M1199" s="444"/>
      <c r="N1199" s="1146"/>
      <c r="O1199" s="1146"/>
      <c r="P1199" s="444"/>
      <c r="Q1199" s="444"/>
      <c r="R1199" s="1146"/>
      <c r="S1199" s="1146"/>
      <c r="T1199" s="444"/>
      <c r="U1199" s="444"/>
      <c r="V1199" s="446"/>
      <c r="W1199" s="448" t="s">
        <v>112</v>
      </c>
      <c r="X1199" s="448" t="s">
        <v>51</v>
      </c>
      <c r="Y1199" s="448" t="s">
        <v>51</v>
      </c>
      <c r="Z1199" s="448" t="s">
        <v>613</v>
      </c>
      <c r="AA1199" s="448" t="s">
        <v>61</v>
      </c>
      <c r="AB1199" s="448" t="s">
        <v>62</v>
      </c>
      <c r="AC1199" s="448" t="s">
        <v>62</v>
      </c>
      <c r="AD1199" s="447"/>
      <c r="AE1199" s="447"/>
      <c r="AF1199" s="447"/>
      <c r="AG1199" s="447"/>
      <c r="AH1199" s="447"/>
      <c r="AI1199" s="447"/>
      <c r="AJ1199" s="447"/>
      <c r="AK1199" s="447"/>
      <c r="AL1199" s="447"/>
      <c r="AM1199" s="447"/>
      <c r="AN1199" s="447"/>
      <c r="AO1199" s="447"/>
      <c r="AP1199" s="447"/>
      <c r="AQ1199" s="447"/>
      <c r="AR1199" s="447"/>
      <c r="AS1199" s="447"/>
      <c r="AT1199" s="447"/>
      <c r="AU1199" s="447"/>
      <c r="AV1199" s="447"/>
      <c r="AW1199" s="447"/>
      <c r="AX1199" s="447"/>
      <c r="AY1199" s="447"/>
      <c r="AZ1199" s="447"/>
      <c r="BA1199" s="448" t="s">
        <v>51</v>
      </c>
      <c r="BB1199" s="448" t="s">
        <v>51</v>
      </c>
      <c r="BC1199" s="447"/>
      <c r="BD1199" s="448" t="s">
        <v>615</v>
      </c>
      <c r="BE1199" s="447">
        <v>64</v>
      </c>
    </row>
    <row r="1200" spans="1:57" ht="30" customHeight="1">
      <c r="A1200" s="1178" t="s">
        <v>114</v>
      </c>
      <c r="B1200" s="1178" t="s">
        <v>115</v>
      </c>
      <c r="C1200" s="1178" t="s">
        <v>59</v>
      </c>
      <c r="D1200" s="1194">
        <v>315.08000000000004</v>
      </c>
      <c r="E1200" s="1222">
        <v>0</v>
      </c>
      <c r="F1200" s="1200">
        <v>2294</v>
      </c>
      <c r="G1200" s="1200">
        <v>722793.52000000014</v>
      </c>
      <c r="H1200" s="1198">
        <f>TRUNC(일위대가목록!F15,0)</f>
        <v>2294</v>
      </c>
      <c r="I1200" s="1198">
        <f t="shared" ref="I1200:I1207" si="153">E1200*H1200</f>
        <v>0</v>
      </c>
      <c r="J1200" s="1200">
        <v>45897</v>
      </c>
      <c r="K1200" s="1200">
        <v>14461226.760000002</v>
      </c>
      <c r="L1200" s="1198">
        <f>TRUNC(일위대가목록!H15,0)</f>
        <v>45897</v>
      </c>
      <c r="M1200" s="1198">
        <f t="shared" ref="M1200:M1207" si="154">E1200*L1200</f>
        <v>0</v>
      </c>
      <c r="N1200" s="1200">
        <v>0</v>
      </c>
      <c r="O1200" s="1200">
        <v>0</v>
      </c>
      <c r="P1200" s="1198">
        <f>TRUNC(일위대가목록!J15,0)</f>
        <v>0</v>
      </c>
      <c r="Q1200" s="1198">
        <f t="shared" ref="Q1200:Q1207" si="155">TRUNC(P1200*E1200, 0)</f>
        <v>0</v>
      </c>
      <c r="R1200" s="1200">
        <v>48191</v>
      </c>
      <c r="S1200" s="1200">
        <v>15184020</v>
      </c>
      <c r="T1200" s="1198">
        <f t="shared" ref="T1200:U1207" si="156">TRUNC(H1200+L1200+P1200, 0)</f>
        <v>48191</v>
      </c>
      <c r="U1200" s="1198">
        <f t="shared" si="156"/>
        <v>0</v>
      </c>
      <c r="V1200" s="1223" t="str">
        <f>일위대가목록!M15</f>
        <v>호표 12</v>
      </c>
      <c r="W1200" s="448" t="s">
        <v>123</v>
      </c>
      <c r="X1200" s="448" t="s">
        <v>51</v>
      </c>
      <c r="Y1200" s="448" t="s">
        <v>51</v>
      </c>
      <c r="Z1200" s="448" t="s">
        <v>613</v>
      </c>
      <c r="AA1200" s="448" t="s">
        <v>61</v>
      </c>
      <c r="AB1200" s="448" t="s">
        <v>62</v>
      </c>
      <c r="AC1200" s="448" t="s">
        <v>62</v>
      </c>
      <c r="AD1200" s="447"/>
      <c r="AE1200" s="447"/>
      <c r="AF1200" s="447"/>
      <c r="AG1200" s="447"/>
      <c r="AH1200" s="447"/>
      <c r="AI1200" s="447"/>
      <c r="AJ1200" s="447"/>
      <c r="AK1200" s="447"/>
      <c r="AL1200" s="447"/>
      <c r="AM1200" s="447"/>
      <c r="AN1200" s="447"/>
      <c r="AO1200" s="447"/>
      <c r="AP1200" s="447"/>
      <c r="AQ1200" s="447"/>
      <c r="AR1200" s="447"/>
      <c r="AS1200" s="447"/>
      <c r="AT1200" s="447"/>
      <c r="AU1200" s="447"/>
      <c r="AV1200" s="447"/>
      <c r="AW1200" s="447"/>
      <c r="AX1200" s="447"/>
      <c r="AY1200" s="447"/>
      <c r="AZ1200" s="447"/>
      <c r="BA1200" s="448" t="s">
        <v>51</v>
      </c>
      <c r="BB1200" s="448" t="s">
        <v>51</v>
      </c>
      <c r="BC1200" s="447"/>
      <c r="BD1200" s="448" t="s">
        <v>616</v>
      </c>
      <c r="BE1200" s="447">
        <v>65</v>
      </c>
    </row>
    <row r="1201" spans="1:57" ht="30" customHeight="1">
      <c r="A1201" s="443" t="s">
        <v>111</v>
      </c>
      <c r="B1201" s="443" t="s">
        <v>94</v>
      </c>
      <c r="C1201" s="443" t="s">
        <v>59</v>
      </c>
      <c r="D1201" s="1133">
        <v>1217.0999999999999</v>
      </c>
      <c r="E1201" s="445">
        <f>'2층전시실산출 '!H39</f>
        <v>1217.0999999999999</v>
      </c>
      <c r="F1201" s="1147">
        <v>888</v>
      </c>
      <c r="G1201" s="1147">
        <v>1080784.7999999998</v>
      </c>
      <c r="H1201" s="450">
        <f>TRUNC(일위대가목록!F14,0)</f>
        <v>888</v>
      </c>
      <c r="I1201" s="450">
        <f t="shared" si="153"/>
        <v>1080784.7999999998</v>
      </c>
      <c r="J1201" s="1147">
        <v>18667</v>
      </c>
      <c r="K1201" s="1147">
        <v>22719605.699999999</v>
      </c>
      <c r="L1201" s="450">
        <f>TRUNC(일위대가목록!H14,0)</f>
        <v>18667</v>
      </c>
      <c r="M1201" s="450">
        <f t="shared" si="154"/>
        <v>22719605.699999999</v>
      </c>
      <c r="N1201" s="1147">
        <v>0</v>
      </c>
      <c r="O1201" s="1147">
        <v>0</v>
      </c>
      <c r="P1201" s="450">
        <f>TRUNC(일위대가목록!J14,0)</f>
        <v>0</v>
      </c>
      <c r="Q1201" s="450">
        <f t="shared" si="155"/>
        <v>0</v>
      </c>
      <c r="R1201" s="1147">
        <v>19555</v>
      </c>
      <c r="S1201" s="1147">
        <v>23800390</v>
      </c>
      <c r="T1201" s="450">
        <f t="shared" si="156"/>
        <v>19555</v>
      </c>
      <c r="U1201" s="450">
        <f t="shared" si="156"/>
        <v>23800390</v>
      </c>
      <c r="V1201" s="454" t="str">
        <f>일위대가목록!M14</f>
        <v>호표 11</v>
      </c>
      <c r="W1201" s="448" t="s">
        <v>129</v>
      </c>
      <c r="X1201" s="448" t="s">
        <v>51</v>
      </c>
      <c r="Y1201" s="448" t="s">
        <v>51</v>
      </c>
      <c r="Z1201" s="448" t="s">
        <v>613</v>
      </c>
      <c r="AA1201" s="448" t="s">
        <v>61</v>
      </c>
      <c r="AB1201" s="448" t="s">
        <v>62</v>
      </c>
      <c r="AC1201" s="448" t="s">
        <v>62</v>
      </c>
      <c r="AD1201" s="447"/>
      <c r="AE1201" s="447"/>
      <c r="AF1201" s="447"/>
      <c r="AG1201" s="447"/>
      <c r="AH1201" s="447"/>
      <c r="AI1201" s="447"/>
      <c r="AJ1201" s="447"/>
      <c r="AK1201" s="447"/>
      <c r="AL1201" s="447"/>
      <c r="AM1201" s="447"/>
      <c r="AN1201" s="447"/>
      <c r="AO1201" s="447"/>
      <c r="AP1201" s="447"/>
      <c r="AQ1201" s="447"/>
      <c r="AR1201" s="447"/>
      <c r="AS1201" s="447"/>
      <c r="AT1201" s="447"/>
      <c r="AU1201" s="447"/>
      <c r="AV1201" s="447"/>
      <c r="AW1201" s="447"/>
      <c r="AX1201" s="447"/>
      <c r="AY1201" s="447"/>
      <c r="AZ1201" s="447"/>
      <c r="BA1201" s="448" t="s">
        <v>51</v>
      </c>
      <c r="BB1201" s="448" t="s">
        <v>51</v>
      </c>
      <c r="BC1201" s="447"/>
      <c r="BD1201" s="448" t="s">
        <v>617</v>
      </c>
      <c r="BE1201" s="447">
        <v>66</v>
      </c>
    </row>
    <row r="1202" spans="1:57" ht="30" customHeight="1">
      <c r="A1202" s="443" t="s">
        <v>121</v>
      </c>
      <c r="B1202" s="443" t="s">
        <v>122</v>
      </c>
      <c r="C1202" s="443" t="s">
        <v>59</v>
      </c>
      <c r="D1202" s="1133">
        <v>2123.3680000000004</v>
      </c>
      <c r="E1202" s="445">
        <f>'2층전시실산출 '!H54</f>
        <v>2123.3680000000004</v>
      </c>
      <c r="F1202" s="1147">
        <v>0</v>
      </c>
      <c r="G1202" s="1147">
        <v>0</v>
      </c>
      <c r="H1202" s="450">
        <f>TRUNC(일위대가목록!F17,0)</f>
        <v>0</v>
      </c>
      <c r="I1202" s="450">
        <f t="shared" si="153"/>
        <v>0</v>
      </c>
      <c r="J1202" s="1147">
        <v>11235</v>
      </c>
      <c r="K1202" s="1147">
        <v>23856039.480000004</v>
      </c>
      <c r="L1202" s="450">
        <f>TRUNC(일위대가목록!H17,0)</f>
        <v>11235</v>
      </c>
      <c r="M1202" s="450">
        <f t="shared" si="154"/>
        <v>23856039.480000004</v>
      </c>
      <c r="N1202" s="1147">
        <v>0</v>
      </c>
      <c r="O1202" s="1147">
        <v>0</v>
      </c>
      <c r="P1202" s="450">
        <f>TRUNC(일위대가목록!J17,0)</f>
        <v>0</v>
      </c>
      <c r="Q1202" s="450">
        <f t="shared" si="155"/>
        <v>0</v>
      </c>
      <c r="R1202" s="1147">
        <v>11235</v>
      </c>
      <c r="S1202" s="1147">
        <v>23856039</v>
      </c>
      <c r="T1202" s="450">
        <f t="shared" si="156"/>
        <v>11235</v>
      </c>
      <c r="U1202" s="450">
        <f t="shared" si="156"/>
        <v>23856039</v>
      </c>
      <c r="V1202" s="454" t="str">
        <f>일위대가목록!M17</f>
        <v>호표 14</v>
      </c>
      <c r="W1202" s="448" t="s">
        <v>619</v>
      </c>
      <c r="X1202" s="448" t="s">
        <v>51</v>
      </c>
      <c r="Y1202" s="448" t="s">
        <v>51</v>
      </c>
      <c r="Z1202" s="448" t="s">
        <v>613</v>
      </c>
      <c r="AA1202" s="448" t="s">
        <v>61</v>
      </c>
      <c r="AB1202" s="448" t="s">
        <v>62</v>
      </c>
      <c r="AC1202" s="448" t="s">
        <v>62</v>
      </c>
      <c r="AD1202" s="447"/>
      <c r="AE1202" s="447"/>
      <c r="AF1202" s="447"/>
      <c r="AG1202" s="447"/>
      <c r="AH1202" s="447"/>
      <c r="AI1202" s="447"/>
      <c r="AJ1202" s="447"/>
      <c r="AK1202" s="447"/>
      <c r="AL1202" s="447"/>
      <c r="AM1202" s="447"/>
      <c r="AN1202" s="447"/>
      <c r="AO1202" s="447"/>
      <c r="AP1202" s="447"/>
      <c r="AQ1202" s="447"/>
      <c r="AR1202" s="447"/>
      <c r="AS1202" s="447"/>
      <c r="AT1202" s="447"/>
      <c r="AU1202" s="447"/>
      <c r="AV1202" s="447"/>
      <c r="AW1202" s="447"/>
      <c r="AX1202" s="447"/>
      <c r="AY1202" s="447"/>
      <c r="AZ1202" s="447"/>
      <c r="BA1202" s="448" t="s">
        <v>51</v>
      </c>
      <c r="BB1202" s="448" t="s">
        <v>51</v>
      </c>
      <c r="BC1202" s="447"/>
      <c r="BD1202" s="448" t="s">
        <v>620</v>
      </c>
      <c r="BE1202" s="447">
        <v>141</v>
      </c>
    </row>
    <row r="1203" spans="1:57" ht="30" customHeight="1">
      <c r="A1203" s="443" t="s">
        <v>128</v>
      </c>
      <c r="B1203" s="443" t="s">
        <v>94</v>
      </c>
      <c r="C1203" s="443" t="s">
        <v>59</v>
      </c>
      <c r="D1203" s="1133">
        <v>3340.4680000000003</v>
      </c>
      <c r="E1203" s="445">
        <f>'2층전시실산출 '!H73</f>
        <v>3340.4680000000003</v>
      </c>
      <c r="F1203" s="1147">
        <v>0</v>
      </c>
      <c r="G1203" s="1147">
        <v>0</v>
      </c>
      <c r="H1203" s="450">
        <f>TRUNC(일위대가목록!F19,0)</f>
        <v>0</v>
      </c>
      <c r="I1203" s="450">
        <f t="shared" si="153"/>
        <v>0</v>
      </c>
      <c r="J1203" s="1147">
        <v>3826</v>
      </c>
      <c r="K1203" s="1147">
        <v>12780630.568000002</v>
      </c>
      <c r="L1203" s="450">
        <f>TRUNC(일위대가목록!H19,0)</f>
        <v>3826</v>
      </c>
      <c r="M1203" s="450">
        <f t="shared" si="154"/>
        <v>12780630.568000002</v>
      </c>
      <c r="N1203" s="1147">
        <v>0</v>
      </c>
      <c r="O1203" s="1147">
        <v>0</v>
      </c>
      <c r="P1203" s="450">
        <f>TRUNC(일위대가목록!J19,0)</f>
        <v>0</v>
      </c>
      <c r="Q1203" s="450">
        <f t="shared" si="155"/>
        <v>0</v>
      </c>
      <c r="R1203" s="1147">
        <v>3826</v>
      </c>
      <c r="S1203" s="1147">
        <v>12780630</v>
      </c>
      <c r="T1203" s="450">
        <f t="shared" si="156"/>
        <v>3826</v>
      </c>
      <c r="U1203" s="450">
        <f t="shared" si="156"/>
        <v>12780630</v>
      </c>
      <c r="V1203" s="454" t="str">
        <f>일위대가목록!M19</f>
        <v>호표 16</v>
      </c>
      <c r="W1203" s="448" t="s">
        <v>132</v>
      </c>
      <c r="X1203" s="448" t="s">
        <v>51</v>
      </c>
      <c r="Y1203" s="448" t="s">
        <v>51</v>
      </c>
      <c r="Z1203" s="448" t="s">
        <v>613</v>
      </c>
      <c r="AA1203" s="448" t="s">
        <v>61</v>
      </c>
      <c r="AB1203" s="448" t="s">
        <v>62</v>
      </c>
      <c r="AC1203" s="448" t="s">
        <v>62</v>
      </c>
      <c r="AD1203" s="447"/>
      <c r="AE1203" s="447"/>
      <c r="AF1203" s="447"/>
      <c r="AG1203" s="447"/>
      <c r="AH1203" s="447"/>
      <c r="AI1203" s="447"/>
      <c r="AJ1203" s="447"/>
      <c r="AK1203" s="447"/>
      <c r="AL1203" s="447"/>
      <c r="AM1203" s="447"/>
      <c r="AN1203" s="447"/>
      <c r="AO1203" s="447"/>
      <c r="AP1203" s="447"/>
      <c r="AQ1203" s="447"/>
      <c r="AR1203" s="447"/>
      <c r="AS1203" s="447"/>
      <c r="AT1203" s="447"/>
      <c r="AU1203" s="447"/>
      <c r="AV1203" s="447"/>
      <c r="AW1203" s="447"/>
      <c r="AX1203" s="447"/>
      <c r="AY1203" s="447"/>
      <c r="AZ1203" s="447"/>
      <c r="BA1203" s="448" t="s">
        <v>51</v>
      </c>
      <c r="BB1203" s="448" t="s">
        <v>51</v>
      </c>
      <c r="BC1203" s="447"/>
      <c r="BD1203" s="448" t="s">
        <v>621</v>
      </c>
      <c r="BE1203" s="447">
        <v>142</v>
      </c>
    </row>
    <row r="1204" spans="1:57" ht="30" customHeight="1">
      <c r="A1204" s="443" t="s">
        <v>618</v>
      </c>
      <c r="B1204" s="443" t="s">
        <v>94</v>
      </c>
      <c r="C1204" s="443" t="s">
        <v>59</v>
      </c>
      <c r="D1204" s="1133">
        <v>247.05</v>
      </c>
      <c r="E1204" s="445">
        <f>'2층전시실산출 '!H75</f>
        <v>247.05</v>
      </c>
      <c r="F1204" s="1147">
        <v>0</v>
      </c>
      <c r="G1204" s="1147">
        <v>0</v>
      </c>
      <c r="H1204" s="450">
        <f>일위대가목록!F82</f>
        <v>0</v>
      </c>
      <c r="I1204" s="450">
        <f t="shared" si="153"/>
        <v>0</v>
      </c>
      <c r="J1204" s="1147">
        <v>3826</v>
      </c>
      <c r="K1204" s="1147">
        <v>945213.3</v>
      </c>
      <c r="L1204" s="450">
        <f>일위대가목록!H82</f>
        <v>3826</v>
      </c>
      <c r="M1204" s="450">
        <f t="shared" si="154"/>
        <v>945213.3</v>
      </c>
      <c r="N1204" s="1147">
        <v>0</v>
      </c>
      <c r="O1204" s="1147">
        <v>0</v>
      </c>
      <c r="P1204" s="450">
        <f>TRUNC(일위대가목록!J83,0)</f>
        <v>0</v>
      </c>
      <c r="Q1204" s="450">
        <f t="shared" si="155"/>
        <v>0</v>
      </c>
      <c r="R1204" s="1147">
        <v>3826</v>
      </c>
      <c r="S1204" s="1147">
        <v>945213</v>
      </c>
      <c r="T1204" s="450">
        <f t="shared" si="156"/>
        <v>3826</v>
      </c>
      <c r="U1204" s="450">
        <f t="shared" si="156"/>
        <v>945213</v>
      </c>
      <c r="V1204" s="454" t="str">
        <f>일위대가목록!M82</f>
        <v>호표 79</v>
      </c>
      <c r="W1204" s="448" t="s">
        <v>136</v>
      </c>
      <c r="X1204" s="448" t="s">
        <v>51</v>
      </c>
      <c r="Y1204" s="448" t="s">
        <v>51</v>
      </c>
      <c r="Z1204" s="448" t="s">
        <v>613</v>
      </c>
      <c r="AA1204" s="448" t="s">
        <v>61</v>
      </c>
      <c r="AB1204" s="448" t="s">
        <v>62</v>
      </c>
      <c r="AC1204" s="448" t="s">
        <v>62</v>
      </c>
      <c r="AD1204" s="447"/>
      <c r="AE1204" s="447"/>
      <c r="AF1204" s="447"/>
      <c r="AG1204" s="447"/>
      <c r="AH1204" s="447"/>
      <c r="AI1204" s="447"/>
      <c r="AJ1204" s="447"/>
      <c r="AK1204" s="447"/>
      <c r="AL1204" s="447"/>
      <c r="AM1204" s="447"/>
      <c r="AN1204" s="447"/>
      <c r="AO1204" s="447"/>
      <c r="AP1204" s="447"/>
      <c r="AQ1204" s="447"/>
      <c r="AR1204" s="447"/>
      <c r="AS1204" s="447"/>
      <c r="AT1204" s="447"/>
      <c r="AU1204" s="447"/>
      <c r="AV1204" s="447"/>
      <c r="AW1204" s="447"/>
      <c r="AX1204" s="447"/>
      <c r="AY1204" s="447"/>
      <c r="AZ1204" s="447"/>
      <c r="BA1204" s="448" t="s">
        <v>51</v>
      </c>
      <c r="BB1204" s="448" t="s">
        <v>51</v>
      </c>
      <c r="BC1204" s="447"/>
      <c r="BD1204" s="448" t="s">
        <v>622</v>
      </c>
      <c r="BE1204" s="447">
        <v>67</v>
      </c>
    </row>
    <row r="1205" spans="1:57" ht="30" customHeight="1">
      <c r="A1205" s="443" t="s">
        <v>131</v>
      </c>
      <c r="B1205" s="443" t="s">
        <v>94</v>
      </c>
      <c r="C1205" s="443" t="s">
        <v>59</v>
      </c>
      <c r="D1205" s="1133">
        <v>24.515999999999998</v>
      </c>
      <c r="E1205" s="445">
        <f>'2층전시실산출 '!H78</f>
        <v>24.515999999999998</v>
      </c>
      <c r="F1205" s="1147">
        <v>421</v>
      </c>
      <c r="G1205" s="1147">
        <v>10321.235999999999</v>
      </c>
      <c r="H1205" s="450">
        <f>TRUNC(일위대가목록!F20,0)</f>
        <v>421</v>
      </c>
      <c r="I1205" s="450">
        <f t="shared" si="153"/>
        <v>10321.235999999999</v>
      </c>
      <c r="J1205" s="1147">
        <v>47218</v>
      </c>
      <c r="K1205" s="1147">
        <v>1157596.4879999999</v>
      </c>
      <c r="L1205" s="450">
        <f>TRUNC(일위대가목록!H20,0)</f>
        <v>47218</v>
      </c>
      <c r="M1205" s="450">
        <f t="shared" si="154"/>
        <v>1157596.4879999999</v>
      </c>
      <c r="N1205" s="1147">
        <v>0</v>
      </c>
      <c r="O1205" s="1147">
        <v>0</v>
      </c>
      <c r="P1205" s="450">
        <f>TRUNC(일위대가목록!J20,0)</f>
        <v>0</v>
      </c>
      <c r="Q1205" s="450">
        <f t="shared" si="155"/>
        <v>0</v>
      </c>
      <c r="R1205" s="1147">
        <v>47639</v>
      </c>
      <c r="S1205" s="1147">
        <v>1167917</v>
      </c>
      <c r="T1205" s="450">
        <f t="shared" si="156"/>
        <v>47639</v>
      </c>
      <c r="U1205" s="450">
        <f t="shared" si="156"/>
        <v>1167917</v>
      </c>
      <c r="V1205" s="454" t="str">
        <f>일위대가목록!M20</f>
        <v>호표 17</v>
      </c>
    </row>
    <row r="1206" spans="1:57" ht="30" customHeight="1">
      <c r="A1206" s="1178" t="s">
        <v>134</v>
      </c>
      <c r="B1206" s="1178" t="s">
        <v>135</v>
      </c>
      <c r="C1206" s="1178" t="s">
        <v>59</v>
      </c>
      <c r="D1206" s="1194">
        <v>346.86</v>
      </c>
      <c r="E1206" s="1222">
        <v>0</v>
      </c>
      <c r="F1206" s="1200">
        <v>0</v>
      </c>
      <c r="G1206" s="1200">
        <v>0</v>
      </c>
      <c r="H1206" s="1198">
        <f>TRUNC(일위대가목록!F21,0)</f>
        <v>0</v>
      </c>
      <c r="I1206" s="1198">
        <f t="shared" si="153"/>
        <v>0</v>
      </c>
      <c r="J1206" s="1200">
        <v>15304</v>
      </c>
      <c r="K1206" s="1200">
        <v>5308345.4400000004</v>
      </c>
      <c r="L1206" s="1198">
        <f>TRUNC(일위대가목록!H21,0)</f>
        <v>15304</v>
      </c>
      <c r="M1206" s="1198">
        <f t="shared" si="154"/>
        <v>0</v>
      </c>
      <c r="N1206" s="1200">
        <v>0</v>
      </c>
      <c r="O1206" s="1200">
        <v>0</v>
      </c>
      <c r="P1206" s="1198">
        <f>TRUNC(일위대가목록!J21,0)</f>
        <v>0</v>
      </c>
      <c r="Q1206" s="1198">
        <f t="shared" si="155"/>
        <v>0</v>
      </c>
      <c r="R1206" s="1200">
        <v>15304</v>
      </c>
      <c r="S1206" s="1200">
        <v>5308345</v>
      </c>
      <c r="T1206" s="1198">
        <f t="shared" si="156"/>
        <v>15304</v>
      </c>
      <c r="U1206" s="1198">
        <f t="shared" si="156"/>
        <v>0</v>
      </c>
      <c r="V1206" s="1223" t="str">
        <f>일위대가목록!M21</f>
        <v>호표 18</v>
      </c>
    </row>
    <row r="1207" spans="1:57" ht="30" customHeight="1">
      <c r="A1207" s="1215" t="s">
        <v>6770</v>
      </c>
      <c r="B1207" s="1215" t="s">
        <v>115</v>
      </c>
      <c r="C1207" s="1215" t="s">
        <v>6772</v>
      </c>
      <c r="D1207" s="1222"/>
      <c r="E1207" s="1222">
        <f>D1200*0.19</f>
        <v>59.865200000000009</v>
      </c>
      <c r="F1207" s="1215"/>
      <c r="G1207" s="1215"/>
      <c r="H1207" s="1215">
        <f>일위대가목록!$F$137</f>
        <v>800</v>
      </c>
      <c r="I1207" s="1207">
        <f t="shared" si="153"/>
        <v>47892.160000000003</v>
      </c>
      <c r="J1207" s="1215"/>
      <c r="K1207" s="1215"/>
      <c r="L1207" s="1204">
        <f>일위대가목록!$H$137</f>
        <v>80013</v>
      </c>
      <c r="M1207" s="1207">
        <f t="shared" si="154"/>
        <v>4789994.2476000004</v>
      </c>
      <c r="N1207" s="1215"/>
      <c r="O1207" s="1215"/>
      <c r="P1207" s="1215">
        <f>일위대가목록!$J$137</f>
        <v>544</v>
      </c>
      <c r="Q1207" s="1207">
        <f t="shared" si="155"/>
        <v>32566</v>
      </c>
      <c r="R1207" s="1215"/>
      <c r="S1207" s="1215"/>
      <c r="T1207" s="1207">
        <f t="shared" si="156"/>
        <v>81357</v>
      </c>
      <c r="U1207" s="1207">
        <f t="shared" si="156"/>
        <v>4870452</v>
      </c>
      <c r="V1207" s="1234" t="s">
        <v>6773</v>
      </c>
    </row>
    <row r="1208" spans="1:57" ht="30" customHeight="1">
      <c r="A1208" s="444"/>
      <c r="B1208" s="444"/>
      <c r="C1208" s="444"/>
      <c r="D1208" s="1133"/>
      <c r="E1208" s="445"/>
      <c r="F1208" s="1146"/>
      <c r="G1208" s="1146"/>
      <c r="H1208" s="444"/>
      <c r="I1208" s="444"/>
      <c r="J1208" s="1146"/>
      <c r="K1208" s="1146"/>
      <c r="L1208" s="444"/>
      <c r="M1208" s="444"/>
      <c r="N1208" s="1146"/>
      <c r="O1208" s="1146"/>
      <c r="P1208" s="444"/>
      <c r="Q1208" s="444"/>
      <c r="R1208" s="1146"/>
      <c r="S1208" s="1146"/>
      <c r="T1208" s="444"/>
      <c r="U1208" s="444"/>
      <c r="V1208" s="446"/>
    </row>
    <row r="1209" spans="1:57" ht="30" customHeight="1">
      <c r="A1209" s="444"/>
      <c r="B1209" s="444"/>
      <c r="C1209" s="444"/>
      <c r="D1209" s="1133"/>
      <c r="E1209" s="445"/>
      <c r="F1209" s="1146"/>
      <c r="G1209" s="1146"/>
      <c r="H1209" s="444"/>
      <c r="I1209" s="444"/>
      <c r="J1209" s="1146"/>
      <c r="K1209" s="1146"/>
      <c r="L1209" s="444"/>
      <c r="M1209" s="444"/>
      <c r="N1209" s="1146"/>
      <c r="O1209" s="1146"/>
      <c r="P1209" s="444"/>
      <c r="Q1209" s="444"/>
      <c r="R1209" s="1146"/>
      <c r="S1209" s="1146"/>
      <c r="T1209" s="444"/>
      <c r="U1209" s="444"/>
      <c r="V1209" s="446"/>
    </row>
    <row r="1210" spans="1:57" ht="30" customHeight="1">
      <c r="A1210" s="444"/>
      <c r="B1210" s="444"/>
      <c r="C1210" s="444"/>
      <c r="D1210" s="1133"/>
      <c r="E1210" s="445"/>
      <c r="F1210" s="1146"/>
      <c r="G1210" s="1146"/>
      <c r="H1210" s="444"/>
      <c r="I1210" s="444"/>
      <c r="J1210" s="1146"/>
      <c r="K1210" s="1146"/>
      <c r="L1210" s="444"/>
      <c r="M1210" s="444"/>
      <c r="N1210" s="1146"/>
      <c r="O1210" s="1146"/>
      <c r="P1210" s="444"/>
      <c r="Q1210" s="444"/>
      <c r="R1210" s="1146"/>
      <c r="S1210" s="1146"/>
      <c r="T1210" s="444"/>
      <c r="U1210" s="444"/>
      <c r="V1210" s="446"/>
    </row>
    <row r="1211" spans="1:57" ht="30" customHeight="1">
      <c r="A1211" s="444"/>
      <c r="B1211" s="444"/>
      <c r="C1211" s="444"/>
      <c r="D1211" s="1133"/>
      <c r="E1211" s="445"/>
      <c r="F1211" s="1146"/>
      <c r="G1211" s="1146"/>
      <c r="H1211" s="444"/>
      <c r="I1211" s="444"/>
      <c r="J1211" s="1146"/>
      <c r="K1211" s="1146"/>
      <c r="L1211" s="444"/>
      <c r="M1211" s="444"/>
      <c r="N1211" s="1146"/>
      <c r="O1211" s="1146"/>
      <c r="P1211" s="444"/>
      <c r="Q1211" s="444"/>
      <c r="R1211" s="1146"/>
      <c r="S1211" s="1146"/>
      <c r="T1211" s="444"/>
      <c r="U1211" s="444"/>
      <c r="V1211" s="446"/>
    </row>
    <row r="1212" spans="1:57" ht="30" customHeight="1">
      <c r="A1212" s="444"/>
      <c r="B1212" s="444"/>
      <c r="C1212" s="444"/>
      <c r="D1212" s="1133"/>
      <c r="E1212" s="445"/>
      <c r="F1212" s="1146"/>
      <c r="G1212" s="1146"/>
      <c r="H1212" s="444"/>
      <c r="I1212" s="444"/>
      <c r="J1212" s="1146"/>
      <c r="K1212" s="1146"/>
      <c r="L1212" s="444"/>
      <c r="M1212" s="444"/>
      <c r="N1212" s="1146"/>
      <c r="O1212" s="1146"/>
      <c r="P1212" s="444"/>
      <c r="Q1212" s="444"/>
      <c r="R1212" s="1146"/>
      <c r="S1212" s="1146"/>
      <c r="T1212" s="444"/>
      <c r="U1212" s="444"/>
      <c r="V1212" s="446"/>
    </row>
    <row r="1213" spans="1:57" ht="30" customHeight="1">
      <c r="A1213" s="444"/>
      <c r="B1213" s="444"/>
      <c r="C1213" s="444"/>
      <c r="D1213" s="1133"/>
      <c r="E1213" s="445"/>
      <c r="F1213" s="1146"/>
      <c r="G1213" s="1146"/>
      <c r="H1213" s="444"/>
      <c r="I1213" s="444"/>
      <c r="J1213" s="1146"/>
      <c r="K1213" s="1146"/>
      <c r="L1213" s="444"/>
      <c r="M1213" s="444"/>
      <c r="N1213" s="1146"/>
      <c r="O1213" s="1146"/>
      <c r="P1213" s="444"/>
      <c r="Q1213" s="444"/>
      <c r="R1213" s="1146"/>
      <c r="S1213" s="1146"/>
      <c r="T1213" s="444"/>
      <c r="U1213" s="444"/>
      <c r="V1213" s="446"/>
    </row>
    <row r="1214" spans="1:57" ht="30" customHeight="1">
      <c r="A1214" s="444"/>
      <c r="B1214" s="444"/>
      <c r="C1214" s="444"/>
      <c r="D1214" s="1133"/>
      <c r="E1214" s="445"/>
      <c r="F1214" s="1146"/>
      <c r="G1214" s="1146"/>
      <c r="H1214" s="444"/>
      <c r="I1214" s="444"/>
      <c r="J1214" s="1146"/>
      <c r="K1214" s="1146"/>
      <c r="L1214" s="444"/>
      <c r="M1214" s="444"/>
      <c r="N1214" s="1146"/>
      <c r="O1214" s="1146"/>
      <c r="P1214" s="444"/>
      <c r="Q1214" s="444"/>
      <c r="R1214" s="1146"/>
      <c r="S1214" s="1146"/>
      <c r="T1214" s="444"/>
      <c r="U1214" s="444"/>
      <c r="V1214" s="446"/>
    </row>
    <row r="1215" spans="1:57" ht="30" customHeight="1">
      <c r="A1215" s="444"/>
      <c r="B1215" s="444"/>
      <c r="C1215" s="444"/>
      <c r="D1215" s="1133"/>
      <c r="E1215" s="445"/>
      <c r="F1215" s="1146"/>
      <c r="G1215" s="1146"/>
      <c r="H1215" s="444"/>
      <c r="I1215" s="444"/>
      <c r="J1215" s="1146"/>
      <c r="K1215" s="1146"/>
      <c r="L1215" s="444"/>
      <c r="M1215" s="444"/>
      <c r="N1215" s="1146"/>
      <c r="O1215" s="1146"/>
      <c r="P1215" s="444"/>
      <c r="Q1215" s="444"/>
      <c r="R1215" s="1146"/>
      <c r="S1215" s="1146"/>
      <c r="T1215" s="444"/>
      <c r="U1215" s="444"/>
      <c r="V1215" s="446"/>
    </row>
    <row r="1216" spans="1:57" ht="30" customHeight="1">
      <c r="A1216" s="444"/>
      <c r="B1216" s="444"/>
      <c r="C1216" s="444"/>
      <c r="D1216" s="1133"/>
      <c r="E1216" s="445"/>
      <c r="F1216" s="1146"/>
      <c r="G1216" s="1146"/>
      <c r="H1216" s="444"/>
      <c r="I1216" s="444"/>
      <c r="J1216" s="1146"/>
      <c r="K1216" s="1146"/>
      <c r="L1216" s="444"/>
      <c r="M1216" s="444"/>
      <c r="N1216" s="1146"/>
      <c r="O1216" s="1146"/>
      <c r="P1216" s="444"/>
      <c r="Q1216" s="444"/>
      <c r="R1216" s="1146"/>
      <c r="S1216" s="1146"/>
      <c r="T1216" s="444"/>
      <c r="U1216" s="444"/>
      <c r="V1216" s="446"/>
    </row>
    <row r="1217" spans="1:57" ht="30" customHeight="1">
      <c r="A1217" s="444"/>
      <c r="B1217" s="444"/>
      <c r="C1217" s="444"/>
      <c r="D1217" s="1133"/>
      <c r="E1217" s="445"/>
      <c r="F1217" s="1146"/>
      <c r="G1217" s="1146"/>
      <c r="H1217" s="444"/>
      <c r="I1217" s="444"/>
      <c r="J1217" s="1146"/>
      <c r="K1217" s="1146"/>
      <c r="L1217" s="444"/>
      <c r="M1217" s="444"/>
      <c r="N1217" s="1146"/>
      <c r="O1217" s="1146"/>
      <c r="P1217" s="444"/>
      <c r="Q1217" s="444"/>
      <c r="R1217" s="1146"/>
      <c r="S1217" s="1146"/>
      <c r="T1217" s="444"/>
      <c r="U1217" s="444"/>
      <c r="V1217" s="446"/>
    </row>
    <row r="1218" spans="1:57" ht="30" customHeight="1">
      <c r="A1218" s="444"/>
      <c r="B1218" s="444"/>
      <c r="C1218" s="444"/>
      <c r="D1218" s="1133"/>
      <c r="E1218" s="445"/>
      <c r="F1218" s="1146"/>
      <c r="G1218" s="1146"/>
      <c r="H1218" s="444"/>
      <c r="I1218" s="444"/>
      <c r="J1218" s="1146"/>
      <c r="K1218" s="1146"/>
      <c r="L1218" s="444"/>
      <c r="M1218" s="444"/>
      <c r="N1218" s="1146"/>
      <c r="O1218" s="1146"/>
      <c r="P1218" s="444"/>
      <c r="Q1218" s="444"/>
      <c r="R1218" s="1146"/>
      <c r="S1218" s="1146"/>
      <c r="T1218" s="444"/>
      <c r="U1218" s="444"/>
      <c r="V1218" s="446"/>
    </row>
    <row r="1219" spans="1:57" ht="30" customHeight="1">
      <c r="A1219" s="444"/>
      <c r="B1219" s="444"/>
      <c r="C1219" s="444"/>
      <c r="D1219" s="1133"/>
      <c r="E1219" s="445"/>
      <c r="F1219" s="1146"/>
      <c r="G1219" s="1146"/>
      <c r="H1219" s="444"/>
      <c r="I1219" s="444"/>
      <c r="J1219" s="1146"/>
      <c r="K1219" s="1146"/>
      <c r="L1219" s="444"/>
      <c r="M1219" s="444"/>
      <c r="N1219" s="1146"/>
      <c r="O1219" s="1146"/>
      <c r="P1219" s="444"/>
      <c r="Q1219" s="444"/>
      <c r="R1219" s="1146"/>
      <c r="S1219" s="1146"/>
      <c r="T1219" s="444"/>
      <c r="U1219" s="444"/>
      <c r="V1219" s="446"/>
      <c r="W1219" s="449" t="s">
        <v>86</v>
      </c>
    </row>
    <row r="1220" spans="1:57" ht="30" customHeight="1">
      <c r="A1220" s="444"/>
      <c r="B1220" s="444"/>
      <c r="C1220" s="444"/>
      <c r="D1220" s="1133"/>
      <c r="E1220" s="445"/>
      <c r="F1220" s="1146"/>
      <c r="G1220" s="1146"/>
      <c r="H1220" s="444"/>
      <c r="I1220" s="444"/>
      <c r="J1220" s="1146"/>
      <c r="K1220" s="1146"/>
      <c r="L1220" s="444"/>
      <c r="M1220" s="444"/>
      <c r="N1220" s="1146"/>
      <c r="O1220" s="1146"/>
      <c r="P1220" s="444"/>
      <c r="Q1220" s="444"/>
      <c r="R1220" s="1146"/>
      <c r="S1220" s="1146"/>
      <c r="T1220" s="444"/>
      <c r="U1220" s="444"/>
      <c r="V1220" s="446"/>
      <c r="W1220" s="447"/>
      <c r="X1220" s="447"/>
      <c r="Y1220" s="447"/>
      <c r="Z1220" s="448" t="s">
        <v>624</v>
      </c>
      <c r="AA1220" s="447"/>
      <c r="AB1220" s="447"/>
      <c r="AC1220" s="447"/>
      <c r="AD1220" s="447"/>
      <c r="AE1220" s="447"/>
      <c r="AF1220" s="447"/>
      <c r="AG1220" s="447"/>
      <c r="AH1220" s="447"/>
      <c r="AI1220" s="447"/>
      <c r="AJ1220" s="447"/>
      <c r="AK1220" s="447"/>
      <c r="AL1220" s="447"/>
      <c r="AM1220" s="447"/>
      <c r="AN1220" s="447"/>
      <c r="AO1220" s="447"/>
      <c r="AP1220" s="447"/>
      <c r="AQ1220" s="447"/>
      <c r="AR1220" s="447"/>
      <c r="AS1220" s="447"/>
      <c r="AT1220" s="447"/>
      <c r="AU1220" s="447"/>
      <c r="AV1220" s="447"/>
      <c r="AW1220" s="447"/>
      <c r="AX1220" s="447"/>
      <c r="AY1220" s="447"/>
      <c r="AZ1220" s="447"/>
      <c r="BA1220" s="447"/>
      <c r="BB1220" s="447"/>
      <c r="BC1220" s="447"/>
      <c r="BD1220" s="447"/>
      <c r="BE1220" s="447"/>
    </row>
    <row r="1221" spans="1:57" ht="30" customHeight="1">
      <c r="A1221" s="443" t="s">
        <v>85</v>
      </c>
      <c r="B1221" s="444"/>
      <c r="C1221" s="444"/>
      <c r="D1221" s="1133"/>
      <c r="E1221" s="445"/>
      <c r="F1221" s="1146"/>
      <c r="G1221" s="1147">
        <v>1813899.5559999999</v>
      </c>
      <c r="H1221" s="444"/>
      <c r="I1221" s="450">
        <f>SUM(I1200:I1220)</f>
        <v>1138998.1959999998</v>
      </c>
      <c r="J1221" s="1146"/>
      <c r="K1221" s="1147">
        <v>81228657.736000001</v>
      </c>
      <c r="L1221" s="444"/>
      <c r="M1221" s="450">
        <f>SUM(M1200:M1220)</f>
        <v>66249079.783600003</v>
      </c>
      <c r="N1221" s="1146"/>
      <c r="O1221" s="1147">
        <v>0</v>
      </c>
      <c r="P1221" s="444"/>
      <c r="Q1221" s="450">
        <f>SUM(Q1200:Q1220)</f>
        <v>32566</v>
      </c>
      <c r="R1221" s="1146"/>
      <c r="S1221" s="1147">
        <v>83042554</v>
      </c>
      <c r="T1221" s="444"/>
      <c r="U1221" s="450">
        <f>SUM(U1200:U1220)</f>
        <v>67420641</v>
      </c>
      <c r="V1221" s="446"/>
      <c r="W1221" s="448" t="s">
        <v>150</v>
      </c>
      <c r="X1221" s="448" t="s">
        <v>51</v>
      </c>
      <c r="Y1221" s="448" t="s">
        <v>51</v>
      </c>
      <c r="Z1221" s="448" t="s">
        <v>624</v>
      </c>
      <c r="AA1221" s="448" t="s">
        <v>61</v>
      </c>
      <c r="AB1221" s="448" t="s">
        <v>62</v>
      </c>
      <c r="AC1221" s="448" t="s">
        <v>62</v>
      </c>
      <c r="AD1221" s="447"/>
      <c r="AE1221" s="447"/>
      <c r="AF1221" s="447"/>
      <c r="AG1221" s="447"/>
      <c r="AH1221" s="447"/>
      <c r="AI1221" s="447"/>
      <c r="AJ1221" s="447"/>
      <c r="AK1221" s="447"/>
      <c r="AL1221" s="447"/>
      <c r="AM1221" s="447"/>
      <c r="AN1221" s="447"/>
      <c r="AO1221" s="447"/>
      <c r="AP1221" s="447"/>
      <c r="AQ1221" s="447"/>
      <c r="AR1221" s="447"/>
      <c r="AS1221" s="447"/>
      <c r="AT1221" s="447"/>
      <c r="AU1221" s="447"/>
      <c r="AV1221" s="447"/>
      <c r="AW1221" s="447"/>
      <c r="AX1221" s="447"/>
      <c r="AY1221" s="447"/>
      <c r="AZ1221" s="447"/>
      <c r="BA1221" s="448" t="s">
        <v>51</v>
      </c>
      <c r="BB1221" s="448" t="s">
        <v>51</v>
      </c>
      <c r="BC1221" s="447"/>
      <c r="BD1221" s="448" t="s">
        <v>625</v>
      </c>
      <c r="BE1221" s="447">
        <v>69</v>
      </c>
    </row>
    <row r="1222" spans="1:57" ht="30" customHeight="1">
      <c r="A1222" s="443" t="s">
        <v>4783</v>
      </c>
      <c r="B1222" s="444"/>
      <c r="C1222" s="444"/>
      <c r="D1222" s="1133"/>
      <c r="E1222" s="445"/>
      <c r="F1222" s="1146"/>
      <c r="G1222" s="1146"/>
      <c r="H1222" s="444"/>
      <c r="I1222" s="444"/>
      <c r="J1222" s="1146"/>
      <c r="K1222" s="1146"/>
      <c r="L1222" s="444"/>
      <c r="M1222" s="444"/>
      <c r="N1222" s="1146"/>
      <c r="O1222" s="1146"/>
      <c r="P1222" s="444"/>
      <c r="Q1222" s="444"/>
      <c r="R1222" s="1146"/>
      <c r="S1222" s="1146"/>
      <c r="T1222" s="444"/>
      <c r="U1222" s="444"/>
      <c r="V1222" s="446"/>
      <c r="W1222" s="448" t="s">
        <v>154</v>
      </c>
      <c r="X1222" s="448" t="s">
        <v>51</v>
      </c>
      <c r="Y1222" s="448" t="s">
        <v>51</v>
      </c>
      <c r="Z1222" s="448" t="s">
        <v>624</v>
      </c>
      <c r="AA1222" s="448" t="s">
        <v>61</v>
      </c>
      <c r="AB1222" s="448" t="s">
        <v>62</v>
      </c>
      <c r="AC1222" s="448" t="s">
        <v>62</v>
      </c>
      <c r="AD1222" s="447"/>
      <c r="AE1222" s="447"/>
      <c r="AF1222" s="447"/>
      <c r="AG1222" s="447"/>
      <c r="AH1222" s="447"/>
      <c r="AI1222" s="447"/>
      <c r="AJ1222" s="447"/>
      <c r="AK1222" s="447"/>
      <c r="AL1222" s="447"/>
      <c r="AM1222" s="447"/>
      <c r="AN1222" s="447"/>
      <c r="AO1222" s="447"/>
      <c r="AP1222" s="447"/>
      <c r="AQ1222" s="447"/>
      <c r="AR1222" s="447"/>
      <c r="AS1222" s="447"/>
      <c r="AT1222" s="447"/>
      <c r="AU1222" s="447"/>
      <c r="AV1222" s="447"/>
      <c r="AW1222" s="447"/>
      <c r="AX1222" s="447"/>
      <c r="AY1222" s="447"/>
      <c r="AZ1222" s="447"/>
      <c r="BA1222" s="448" t="s">
        <v>51</v>
      </c>
      <c r="BB1222" s="448" t="s">
        <v>51</v>
      </c>
      <c r="BC1222" s="447"/>
      <c r="BD1222" s="448" t="s">
        <v>626</v>
      </c>
      <c r="BE1222" s="447">
        <v>143</v>
      </c>
    </row>
    <row r="1223" spans="1:57" ht="30" customHeight="1">
      <c r="A1223" s="443" t="s">
        <v>148</v>
      </c>
      <c r="B1223" s="443" t="s">
        <v>149</v>
      </c>
      <c r="C1223" s="443" t="s">
        <v>59</v>
      </c>
      <c r="D1223" s="1133">
        <v>183.52999999999997</v>
      </c>
      <c r="E1223" s="445">
        <f>'2층전시실산출 '!H90</f>
        <v>183.52999999999997</v>
      </c>
      <c r="F1223" s="1147">
        <v>1401</v>
      </c>
      <c r="G1223" s="1147">
        <v>257125.52999999997</v>
      </c>
      <c r="H1223" s="450">
        <f>TRUNC(일위대가목록!F24,0)</f>
        <v>12</v>
      </c>
      <c r="I1223" s="450">
        <f>E1223*H1223</f>
        <v>2202.3599999999997</v>
      </c>
      <c r="J1223" s="1147">
        <v>28021</v>
      </c>
      <c r="K1223" s="1147">
        <v>5142694.129999999</v>
      </c>
      <c r="L1223" s="450">
        <f>TRUNC(일위대가목록!H24,0)</f>
        <v>4800</v>
      </c>
      <c r="M1223" s="450">
        <f>E1223*L1223</f>
        <v>880943.99999999988</v>
      </c>
      <c r="N1223" s="1147">
        <v>0</v>
      </c>
      <c r="O1223" s="1147">
        <v>0</v>
      </c>
      <c r="P1223" s="450">
        <f>TRUNC(일위대가목록!J24,0)</f>
        <v>67</v>
      </c>
      <c r="Q1223" s="450">
        <f>TRUNC(P1223*E1223, 0)</f>
        <v>12296</v>
      </c>
      <c r="R1223" s="1147">
        <v>29422</v>
      </c>
      <c r="S1223" s="1147">
        <v>5399819</v>
      </c>
      <c r="T1223" s="450">
        <f t="shared" ref="T1223:U1225" si="157">TRUNC(H1223+L1223+P1223, 0)</f>
        <v>4879</v>
      </c>
      <c r="U1223" s="450">
        <f t="shared" si="157"/>
        <v>895442</v>
      </c>
      <c r="V1223" s="454" t="str">
        <f>일위대가목록!M24</f>
        <v>호표 21</v>
      </c>
      <c r="W1223" s="448" t="s">
        <v>158</v>
      </c>
      <c r="X1223" s="448" t="s">
        <v>51</v>
      </c>
      <c r="Y1223" s="448" t="s">
        <v>51</v>
      </c>
      <c r="Z1223" s="448" t="s">
        <v>624</v>
      </c>
      <c r="AA1223" s="448" t="s">
        <v>61</v>
      </c>
      <c r="AB1223" s="448" t="s">
        <v>62</v>
      </c>
      <c r="AC1223" s="448" t="s">
        <v>62</v>
      </c>
      <c r="AD1223" s="447"/>
      <c r="AE1223" s="447"/>
      <c r="AF1223" s="447"/>
      <c r="AG1223" s="447"/>
      <c r="AH1223" s="447"/>
      <c r="AI1223" s="447"/>
      <c r="AJ1223" s="447"/>
      <c r="AK1223" s="447"/>
      <c r="AL1223" s="447"/>
      <c r="AM1223" s="447"/>
      <c r="AN1223" s="447"/>
      <c r="AO1223" s="447"/>
      <c r="AP1223" s="447"/>
      <c r="AQ1223" s="447"/>
      <c r="AR1223" s="447"/>
      <c r="AS1223" s="447"/>
      <c r="AT1223" s="447"/>
      <c r="AU1223" s="447"/>
      <c r="AV1223" s="447"/>
      <c r="AW1223" s="447"/>
      <c r="AX1223" s="447"/>
      <c r="AY1223" s="447"/>
      <c r="AZ1223" s="447"/>
      <c r="BA1223" s="448" t="s">
        <v>51</v>
      </c>
      <c r="BB1223" s="448" t="s">
        <v>51</v>
      </c>
      <c r="BC1223" s="447"/>
      <c r="BD1223" s="448" t="s">
        <v>627</v>
      </c>
      <c r="BE1223" s="447">
        <v>70</v>
      </c>
    </row>
    <row r="1224" spans="1:57" ht="30" customHeight="1">
      <c r="A1224" s="443" t="s">
        <v>152</v>
      </c>
      <c r="B1224" s="443" t="s">
        <v>153</v>
      </c>
      <c r="C1224" s="443" t="s">
        <v>59</v>
      </c>
      <c r="D1224" s="1133">
        <v>152.60000000000002</v>
      </c>
      <c r="E1224" s="445">
        <f>'2층전시실산출 '!H92</f>
        <v>152.60000000000002</v>
      </c>
      <c r="F1224" s="1147">
        <v>2121</v>
      </c>
      <c r="G1224" s="1147">
        <v>323664.60000000003</v>
      </c>
      <c r="H1224" s="450">
        <f>TRUNC(일위대가목록!F25,0)</f>
        <v>0</v>
      </c>
      <c r="I1224" s="450">
        <f>E1224*H1224</f>
        <v>0</v>
      </c>
      <c r="J1224" s="1147">
        <v>28282</v>
      </c>
      <c r="K1224" s="1147">
        <v>4315833.2</v>
      </c>
      <c r="L1224" s="450">
        <f>TRUNC(일위대가목록!H25,0)</f>
        <v>18830</v>
      </c>
      <c r="M1224" s="450">
        <f>E1224*L1224</f>
        <v>2873458.0000000005</v>
      </c>
      <c r="N1224" s="1147">
        <v>0</v>
      </c>
      <c r="O1224" s="1147">
        <v>0</v>
      </c>
      <c r="P1224" s="450">
        <f>TRUNC(일위대가목록!J25,0)</f>
        <v>7</v>
      </c>
      <c r="Q1224" s="450">
        <f>TRUNC(P1224*E1224, 0)</f>
        <v>1068</v>
      </c>
      <c r="R1224" s="1147">
        <v>30403</v>
      </c>
      <c r="S1224" s="1147">
        <v>4639497</v>
      </c>
      <c r="T1224" s="450">
        <f t="shared" si="157"/>
        <v>18837</v>
      </c>
      <c r="U1224" s="450">
        <f t="shared" si="157"/>
        <v>2874526</v>
      </c>
      <c r="V1224" s="454" t="str">
        <f>일위대가목록!M25</f>
        <v>호표 22</v>
      </c>
    </row>
    <row r="1225" spans="1:57" ht="30" customHeight="1">
      <c r="A1225" s="443" t="s">
        <v>156</v>
      </c>
      <c r="B1225" s="443" t="s">
        <v>157</v>
      </c>
      <c r="C1225" s="443" t="s">
        <v>59</v>
      </c>
      <c r="D1225" s="1133">
        <v>1454.8700000000001</v>
      </c>
      <c r="E1225" s="445">
        <f>'2층전시실산출 '!H94</f>
        <v>1454.8700000000001</v>
      </c>
      <c r="F1225" s="1147">
        <v>0</v>
      </c>
      <c r="G1225" s="1147">
        <v>0</v>
      </c>
      <c r="H1225" s="450">
        <f>TRUNC(일위대가목록!F26,0)</f>
        <v>0</v>
      </c>
      <c r="I1225" s="450">
        <f>E1225*H1225</f>
        <v>0</v>
      </c>
      <c r="J1225" s="1147">
        <v>3907</v>
      </c>
      <c r="K1225" s="1147">
        <v>5684177.0900000008</v>
      </c>
      <c r="L1225" s="450">
        <f>TRUNC(일위대가목록!H26,0)</f>
        <v>3907</v>
      </c>
      <c r="M1225" s="450">
        <f>E1225*L1225</f>
        <v>5684177.0900000008</v>
      </c>
      <c r="N1225" s="1147">
        <v>0</v>
      </c>
      <c r="O1225" s="1147">
        <v>0</v>
      </c>
      <c r="P1225" s="450">
        <f>TRUNC(일위대가목록!J26,0)</f>
        <v>0</v>
      </c>
      <c r="Q1225" s="450">
        <f>TRUNC(P1225*E1225, 0)</f>
        <v>0</v>
      </c>
      <c r="R1225" s="1147">
        <v>3907</v>
      </c>
      <c r="S1225" s="1147">
        <v>5684177</v>
      </c>
      <c r="T1225" s="450">
        <f t="shared" si="157"/>
        <v>3907</v>
      </c>
      <c r="U1225" s="450">
        <f t="shared" si="157"/>
        <v>5684177</v>
      </c>
      <c r="V1225" s="454" t="str">
        <f>일위대가목록!M26</f>
        <v>호표 23</v>
      </c>
    </row>
    <row r="1226" spans="1:57" ht="30" customHeight="1">
      <c r="A1226" s="444"/>
      <c r="B1226" s="444"/>
      <c r="C1226" s="444"/>
      <c r="D1226" s="1133"/>
      <c r="E1226" s="445"/>
      <c r="F1226" s="1146"/>
      <c r="G1226" s="1146"/>
      <c r="H1226" s="444"/>
      <c r="I1226" s="444"/>
      <c r="J1226" s="1146"/>
      <c r="K1226" s="1146"/>
      <c r="L1226" s="444"/>
      <c r="M1226" s="444"/>
      <c r="N1226" s="1146"/>
      <c r="O1226" s="1146"/>
      <c r="P1226" s="444"/>
      <c r="Q1226" s="444"/>
      <c r="R1226" s="1146"/>
      <c r="S1226" s="1146"/>
      <c r="T1226" s="444"/>
      <c r="U1226" s="444"/>
      <c r="V1226" s="446"/>
    </row>
    <row r="1227" spans="1:57" ht="30" customHeight="1">
      <c r="A1227" s="444"/>
      <c r="B1227" s="444"/>
      <c r="C1227" s="444"/>
      <c r="D1227" s="1133"/>
      <c r="E1227" s="445"/>
      <c r="F1227" s="1146"/>
      <c r="G1227" s="1146"/>
      <c r="H1227" s="444"/>
      <c r="I1227" s="444"/>
      <c r="J1227" s="1146"/>
      <c r="K1227" s="1146"/>
      <c r="L1227" s="444"/>
      <c r="M1227" s="444"/>
      <c r="N1227" s="1146"/>
      <c r="O1227" s="1146"/>
      <c r="P1227" s="444"/>
      <c r="Q1227" s="444"/>
      <c r="R1227" s="1146"/>
      <c r="S1227" s="1146"/>
      <c r="T1227" s="444"/>
      <c r="U1227" s="444"/>
      <c r="V1227" s="446"/>
    </row>
    <row r="1228" spans="1:57" ht="30" customHeight="1">
      <c r="A1228" s="444"/>
      <c r="B1228" s="444"/>
      <c r="C1228" s="444"/>
      <c r="D1228" s="1133"/>
      <c r="E1228" s="445"/>
      <c r="F1228" s="1146"/>
      <c r="G1228" s="1146"/>
      <c r="H1228" s="444"/>
      <c r="I1228" s="444"/>
      <c r="J1228" s="1146"/>
      <c r="K1228" s="1146"/>
      <c r="L1228" s="444"/>
      <c r="M1228" s="444"/>
      <c r="N1228" s="1146"/>
      <c r="O1228" s="1146"/>
      <c r="P1228" s="444"/>
      <c r="Q1228" s="444"/>
      <c r="R1228" s="1146"/>
      <c r="S1228" s="1146"/>
      <c r="T1228" s="444"/>
      <c r="U1228" s="444"/>
      <c r="V1228" s="446"/>
    </row>
    <row r="1229" spans="1:57" ht="30" customHeight="1">
      <c r="A1229" s="444"/>
      <c r="B1229" s="444"/>
      <c r="C1229" s="444"/>
      <c r="D1229" s="1133"/>
      <c r="E1229" s="445"/>
      <c r="F1229" s="1146"/>
      <c r="G1229" s="1146"/>
      <c r="H1229" s="444"/>
      <c r="I1229" s="444"/>
      <c r="J1229" s="1146"/>
      <c r="K1229" s="1146"/>
      <c r="L1229" s="444"/>
      <c r="M1229" s="444"/>
      <c r="N1229" s="1146"/>
      <c r="O1229" s="1146"/>
      <c r="P1229" s="444"/>
      <c r="Q1229" s="444"/>
      <c r="R1229" s="1146"/>
      <c r="S1229" s="1146"/>
      <c r="T1229" s="444"/>
      <c r="U1229" s="444"/>
      <c r="V1229" s="446"/>
    </row>
    <row r="1230" spans="1:57" ht="30" customHeight="1">
      <c r="A1230" s="444"/>
      <c r="B1230" s="444"/>
      <c r="C1230" s="444"/>
      <c r="D1230" s="1133"/>
      <c r="E1230" s="445"/>
      <c r="F1230" s="1146"/>
      <c r="G1230" s="1146"/>
      <c r="H1230" s="444"/>
      <c r="I1230" s="444"/>
      <c r="J1230" s="1146"/>
      <c r="K1230" s="1146"/>
      <c r="L1230" s="444"/>
      <c r="M1230" s="444"/>
      <c r="N1230" s="1146"/>
      <c r="O1230" s="1146"/>
      <c r="P1230" s="444"/>
      <c r="Q1230" s="444"/>
      <c r="R1230" s="1146"/>
      <c r="S1230" s="1146"/>
      <c r="T1230" s="444"/>
      <c r="U1230" s="444"/>
      <c r="V1230" s="446"/>
    </row>
    <row r="1231" spans="1:57" ht="30" customHeight="1">
      <c r="A1231" s="444"/>
      <c r="B1231" s="444"/>
      <c r="C1231" s="444"/>
      <c r="D1231" s="1133"/>
      <c r="E1231" s="445"/>
      <c r="F1231" s="1146"/>
      <c r="G1231" s="1146"/>
      <c r="H1231" s="444"/>
      <c r="I1231" s="444"/>
      <c r="J1231" s="1146"/>
      <c r="K1231" s="1146"/>
      <c r="L1231" s="444"/>
      <c r="M1231" s="444"/>
      <c r="N1231" s="1146"/>
      <c r="O1231" s="1146"/>
      <c r="P1231" s="444"/>
      <c r="Q1231" s="444"/>
      <c r="R1231" s="1146"/>
      <c r="S1231" s="1146"/>
      <c r="T1231" s="444"/>
      <c r="U1231" s="444"/>
      <c r="V1231" s="446"/>
    </row>
    <row r="1232" spans="1:57" ht="30" customHeight="1">
      <c r="A1232" s="444"/>
      <c r="B1232" s="444"/>
      <c r="C1232" s="444"/>
      <c r="D1232" s="1133"/>
      <c r="E1232" s="445"/>
      <c r="F1232" s="1146"/>
      <c r="G1232" s="1146"/>
      <c r="H1232" s="444"/>
      <c r="I1232" s="444"/>
      <c r="J1232" s="1146"/>
      <c r="K1232" s="1146"/>
      <c r="L1232" s="444"/>
      <c r="M1232" s="444"/>
      <c r="N1232" s="1146"/>
      <c r="O1232" s="1146"/>
      <c r="P1232" s="444"/>
      <c r="Q1232" s="444"/>
      <c r="R1232" s="1146"/>
      <c r="S1232" s="1146"/>
      <c r="T1232" s="444"/>
      <c r="U1232" s="444"/>
      <c r="V1232" s="446"/>
    </row>
    <row r="1233" spans="1:57" ht="30" customHeight="1">
      <c r="A1233" s="444"/>
      <c r="B1233" s="444"/>
      <c r="C1233" s="444"/>
      <c r="D1233" s="1133"/>
      <c r="E1233" s="445"/>
      <c r="F1233" s="1146"/>
      <c r="G1233" s="1146"/>
      <c r="H1233" s="444"/>
      <c r="I1233" s="444"/>
      <c r="J1233" s="1146"/>
      <c r="K1233" s="1146"/>
      <c r="L1233" s="444"/>
      <c r="M1233" s="444"/>
      <c r="N1233" s="1146"/>
      <c r="O1233" s="1146"/>
      <c r="P1233" s="444"/>
      <c r="Q1233" s="444"/>
      <c r="R1233" s="1146"/>
      <c r="S1233" s="1146"/>
      <c r="T1233" s="444"/>
      <c r="U1233" s="444"/>
      <c r="V1233" s="446"/>
    </row>
    <row r="1234" spans="1:57" ht="30" customHeight="1">
      <c r="A1234" s="444"/>
      <c r="B1234" s="444"/>
      <c r="C1234" s="444"/>
      <c r="D1234" s="1133"/>
      <c r="E1234" s="445"/>
      <c r="F1234" s="1146"/>
      <c r="G1234" s="1146"/>
      <c r="H1234" s="444"/>
      <c r="I1234" s="444"/>
      <c r="J1234" s="1146"/>
      <c r="K1234" s="1146"/>
      <c r="L1234" s="444"/>
      <c r="M1234" s="444"/>
      <c r="N1234" s="1146"/>
      <c r="O1234" s="1146"/>
      <c r="P1234" s="444"/>
      <c r="Q1234" s="444"/>
      <c r="R1234" s="1146"/>
      <c r="S1234" s="1146"/>
      <c r="T1234" s="444"/>
      <c r="U1234" s="444"/>
      <c r="V1234" s="446"/>
    </row>
    <row r="1235" spans="1:57" ht="30" customHeight="1">
      <c r="A1235" s="444"/>
      <c r="B1235" s="444"/>
      <c r="C1235" s="444"/>
      <c r="D1235" s="1133"/>
      <c r="E1235" s="445"/>
      <c r="F1235" s="1146"/>
      <c r="G1235" s="1146"/>
      <c r="H1235" s="444"/>
      <c r="I1235" s="444"/>
      <c r="J1235" s="1146"/>
      <c r="K1235" s="1146"/>
      <c r="L1235" s="444"/>
      <c r="M1235" s="444"/>
      <c r="N1235" s="1146"/>
      <c r="O1235" s="1146"/>
      <c r="P1235" s="444"/>
      <c r="Q1235" s="444"/>
      <c r="R1235" s="1146"/>
      <c r="S1235" s="1146"/>
      <c r="T1235" s="444"/>
      <c r="U1235" s="444"/>
      <c r="V1235" s="446"/>
    </row>
    <row r="1236" spans="1:57" ht="30" customHeight="1">
      <c r="A1236" s="444"/>
      <c r="B1236" s="444"/>
      <c r="C1236" s="444"/>
      <c r="D1236" s="1133"/>
      <c r="E1236" s="445"/>
      <c r="F1236" s="1146"/>
      <c r="G1236" s="1146"/>
      <c r="H1236" s="444"/>
      <c r="I1236" s="444"/>
      <c r="J1236" s="1146"/>
      <c r="K1236" s="1146"/>
      <c r="L1236" s="444"/>
      <c r="M1236" s="444"/>
      <c r="N1236" s="1146"/>
      <c r="O1236" s="1146"/>
      <c r="P1236" s="444"/>
      <c r="Q1236" s="444"/>
      <c r="R1236" s="1146"/>
      <c r="S1236" s="1146"/>
      <c r="T1236" s="444"/>
      <c r="U1236" s="444"/>
      <c r="V1236" s="446"/>
    </row>
    <row r="1237" spans="1:57" ht="30" customHeight="1">
      <c r="A1237" s="444"/>
      <c r="B1237" s="444"/>
      <c r="C1237" s="444"/>
      <c r="D1237" s="1133"/>
      <c r="E1237" s="445"/>
      <c r="F1237" s="1146"/>
      <c r="G1237" s="1146"/>
      <c r="H1237" s="444"/>
      <c r="I1237" s="444"/>
      <c r="J1237" s="1146"/>
      <c r="K1237" s="1146"/>
      <c r="L1237" s="444"/>
      <c r="M1237" s="444"/>
      <c r="N1237" s="1146"/>
      <c r="O1237" s="1146"/>
      <c r="P1237" s="444"/>
      <c r="Q1237" s="444"/>
      <c r="R1237" s="1146"/>
      <c r="S1237" s="1146"/>
      <c r="T1237" s="444"/>
      <c r="U1237" s="444"/>
      <c r="V1237" s="446"/>
    </row>
    <row r="1238" spans="1:57" ht="30" customHeight="1">
      <c r="A1238" s="444"/>
      <c r="B1238" s="444"/>
      <c r="C1238" s="444"/>
      <c r="D1238" s="1133"/>
      <c r="E1238" s="445"/>
      <c r="F1238" s="1146"/>
      <c r="G1238" s="1146"/>
      <c r="H1238" s="444"/>
      <c r="I1238" s="444"/>
      <c r="J1238" s="1146"/>
      <c r="K1238" s="1146"/>
      <c r="L1238" s="444"/>
      <c r="M1238" s="444"/>
      <c r="N1238" s="1146"/>
      <c r="O1238" s="1146"/>
      <c r="P1238" s="444"/>
      <c r="Q1238" s="444"/>
      <c r="R1238" s="1146"/>
      <c r="S1238" s="1146"/>
      <c r="T1238" s="444"/>
      <c r="U1238" s="444"/>
      <c r="V1238" s="446"/>
    </row>
    <row r="1239" spans="1:57" ht="30" customHeight="1">
      <c r="A1239" s="444"/>
      <c r="B1239" s="444"/>
      <c r="C1239" s="444"/>
      <c r="D1239" s="1133"/>
      <c r="E1239" s="445"/>
      <c r="F1239" s="1146"/>
      <c r="G1239" s="1146"/>
      <c r="H1239" s="444"/>
      <c r="I1239" s="444"/>
      <c r="J1239" s="1146"/>
      <c r="K1239" s="1146"/>
      <c r="L1239" s="444"/>
      <c r="M1239" s="444"/>
      <c r="N1239" s="1146"/>
      <c r="O1239" s="1146"/>
      <c r="P1239" s="444"/>
      <c r="Q1239" s="444"/>
      <c r="R1239" s="1146"/>
      <c r="S1239" s="1146"/>
      <c r="T1239" s="444"/>
      <c r="U1239" s="444"/>
      <c r="V1239" s="446"/>
    </row>
    <row r="1240" spans="1:57" ht="30" customHeight="1">
      <c r="A1240" s="444"/>
      <c r="B1240" s="444"/>
      <c r="C1240" s="444"/>
      <c r="D1240" s="1133"/>
      <c r="E1240" s="445"/>
      <c r="F1240" s="1146"/>
      <c r="G1240" s="1146"/>
      <c r="H1240" s="444"/>
      <c r="I1240" s="444"/>
      <c r="J1240" s="1146"/>
      <c r="K1240" s="1146"/>
      <c r="L1240" s="444"/>
      <c r="M1240" s="444"/>
      <c r="N1240" s="1146"/>
      <c r="O1240" s="1146"/>
      <c r="P1240" s="444"/>
      <c r="Q1240" s="444"/>
      <c r="R1240" s="1146"/>
      <c r="S1240" s="1146"/>
      <c r="T1240" s="444"/>
      <c r="U1240" s="444"/>
      <c r="V1240" s="446"/>
    </row>
    <row r="1241" spans="1:57" ht="30" customHeight="1">
      <c r="A1241" s="444"/>
      <c r="B1241" s="444"/>
      <c r="C1241" s="444"/>
      <c r="D1241" s="1133"/>
      <c r="E1241" s="445"/>
      <c r="F1241" s="1146"/>
      <c r="G1241" s="1146"/>
      <c r="H1241" s="444"/>
      <c r="I1241" s="444"/>
      <c r="J1241" s="1146"/>
      <c r="K1241" s="1146"/>
      <c r="L1241" s="444"/>
      <c r="M1241" s="444"/>
      <c r="N1241" s="1146"/>
      <c r="O1241" s="1146"/>
      <c r="P1241" s="444"/>
      <c r="Q1241" s="444"/>
      <c r="R1241" s="1146"/>
      <c r="S1241" s="1146"/>
      <c r="T1241" s="444"/>
      <c r="U1241" s="444"/>
      <c r="V1241" s="446"/>
    </row>
    <row r="1242" spans="1:57" ht="30" customHeight="1">
      <c r="A1242" s="444"/>
      <c r="B1242" s="444"/>
      <c r="C1242" s="444"/>
      <c r="D1242" s="1133"/>
      <c r="E1242" s="445"/>
      <c r="F1242" s="1146"/>
      <c r="G1242" s="1146"/>
      <c r="H1242" s="444"/>
      <c r="I1242" s="444"/>
      <c r="J1242" s="1146"/>
      <c r="K1242" s="1146"/>
      <c r="L1242" s="444"/>
      <c r="M1242" s="444"/>
      <c r="N1242" s="1146"/>
      <c r="O1242" s="1146"/>
      <c r="P1242" s="444"/>
      <c r="Q1242" s="444"/>
      <c r="R1242" s="1146"/>
      <c r="S1242" s="1146"/>
      <c r="T1242" s="444"/>
      <c r="U1242" s="444"/>
      <c r="V1242" s="446"/>
    </row>
    <row r="1243" spans="1:57" ht="30" customHeight="1">
      <c r="A1243" s="444"/>
      <c r="B1243" s="444"/>
      <c r="C1243" s="444"/>
      <c r="D1243" s="1133"/>
      <c r="E1243" s="445"/>
      <c r="F1243" s="1146"/>
      <c r="G1243" s="1146"/>
      <c r="H1243" s="444"/>
      <c r="I1243" s="444"/>
      <c r="J1243" s="1146"/>
      <c r="K1243" s="1146"/>
      <c r="L1243" s="444"/>
      <c r="M1243" s="444"/>
      <c r="N1243" s="1146"/>
      <c r="O1243" s="1146"/>
      <c r="P1243" s="444"/>
      <c r="Q1243" s="444"/>
      <c r="R1243" s="1146"/>
      <c r="S1243" s="1146"/>
      <c r="T1243" s="444"/>
      <c r="U1243" s="444"/>
      <c r="V1243" s="446"/>
      <c r="W1243" s="449" t="s">
        <v>86</v>
      </c>
    </row>
    <row r="1244" spans="1:57" ht="30" customHeight="1">
      <c r="A1244" s="443" t="s">
        <v>85</v>
      </c>
      <c r="B1244" s="444"/>
      <c r="C1244" s="444"/>
      <c r="D1244" s="1133"/>
      <c r="E1244" s="445"/>
      <c r="F1244" s="1146"/>
      <c r="G1244" s="1147">
        <v>580790.13</v>
      </c>
      <c r="H1244" s="444"/>
      <c r="I1244" s="450">
        <f>SUM(I1223:I1243)</f>
        <v>2202.3599999999997</v>
      </c>
      <c r="J1244" s="1146"/>
      <c r="K1244" s="1147">
        <v>15142704.419999998</v>
      </c>
      <c r="L1244" s="444"/>
      <c r="M1244" s="450">
        <f>SUM(M1223:M1243)</f>
        <v>9438579.0900000017</v>
      </c>
      <c r="N1244" s="1146"/>
      <c r="O1244" s="1147">
        <v>0</v>
      </c>
      <c r="P1244" s="444"/>
      <c r="Q1244" s="450">
        <f>SUM(Q1223:Q1243)</f>
        <v>13364</v>
      </c>
      <c r="R1244" s="1146"/>
      <c r="S1244" s="1147">
        <v>15723493</v>
      </c>
      <c r="T1244" s="444"/>
      <c r="U1244" s="450">
        <f>SUM(U1223:U1243)</f>
        <v>9454145</v>
      </c>
      <c r="V1244" s="446"/>
      <c r="W1244" s="448" t="s">
        <v>631</v>
      </c>
      <c r="X1244" s="448" t="s">
        <v>51</v>
      </c>
      <c r="Y1244" s="448" t="s">
        <v>51</v>
      </c>
      <c r="Z1244" s="448" t="s">
        <v>628</v>
      </c>
      <c r="AA1244" s="448" t="s">
        <v>61</v>
      </c>
      <c r="AB1244" s="448" t="s">
        <v>62</v>
      </c>
      <c r="AC1244" s="448" t="s">
        <v>62</v>
      </c>
      <c r="AD1244" s="447"/>
      <c r="AE1244" s="447"/>
      <c r="AF1244" s="447"/>
      <c r="AG1244" s="447"/>
      <c r="AH1244" s="447"/>
      <c r="AI1244" s="447"/>
      <c r="AJ1244" s="447"/>
      <c r="AK1244" s="447"/>
      <c r="AL1244" s="447"/>
      <c r="AM1244" s="447"/>
      <c r="AN1244" s="447"/>
      <c r="AO1244" s="447"/>
      <c r="AP1244" s="447"/>
      <c r="AQ1244" s="447"/>
      <c r="AR1244" s="447"/>
      <c r="AS1244" s="447"/>
      <c r="AT1244" s="447"/>
      <c r="AU1244" s="447"/>
      <c r="AV1244" s="447"/>
      <c r="AW1244" s="447"/>
      <c r="AX1244" s="447"/>
      <c r="AY1244" s="447"/>
      <c r="AZ1244" s="447"/>
      <c r="BA1244" s="448" t="s">
        <v>51</v>
      </c>
      <c r="BB1244" s="448" t="s">
        <v>51</v>
      </c>
      <c r="BC1244" s="447"/>
      <c r="BD1244" s="448" t="s">
        <v>632</v>
      </c>
      <c r="BE1244" s="447">
        <v>521</v>
      </c>
    </row>
    <row r="1245" spans="1:57" s="430" customFormat="1" ht="30" customHeight="1">
      <c r="A1245" s="422" t="s">
        <v>4801</v>
      </c>
      <c r="B1245" s="423"/>
      <c r="C1245" s="423"/>
      <c r="D1245" s="1138"/>
      <c r="E1245" s="422"/>
      <c r="F1245" s="1104"/>
      <c r="G1245" s="1104"/>
      <c r="H1245" s="424"/>
      <c r="I1245" s="424"/>
      <c r="J1245" s="1104"/>
      <c r="K1245" s="1104"/>
      <c r="L1245" s="424"/>
      <c r="M1245" s="424"/>
      <c r="N1245" s="1104"/>
      <c r="O1245" s="1104"/>
      <c r="P1245" s="424"/>
      <c r="Q1245" s="424"/>
      <c r="R1245" s="1104"/>
      <c r="S1245" s="1104"/>
      <c r="T1245" s="424"/>
      <c r="U1245" s="424"/>
      <c r="V1245" s="423"/>
      <c r="W1245" s="425"/>
      <c r="X1245" s="425"/>
      <c r="Y1245" s="425"/>
      <c r="Z1245" s="425"/>
      <c r="AA1245" s="426"/>
      <c r="AB1245" s="425"/>
      <c r="AC1245" s="427"/>
      <c r="AD1245" s="427"/>
      <c r="AE1245" s="427"/>
      <c r="AF1245" s="427"/>
      <c r="AG1245" s="428"/>
      <c r="AH1245" s="428"/>
      <c r="AI1245" s="428"/>
      <c r="AJ1245" s="429"/>
      <c r="AK1245" s="429"/>
      <c r="AL1245" s="429"/>
      <c r="AM1245" s="429"/>
      <c r="AN1245" s="429"/>
      <c r="AO1245" s="429"/>
      <c r="AP1245" s="429"/>
      <c r="AQ1245" s="429"/>
      <c r="AR1245" s="429"/>
      <c r="AS1245" s="429"/>
      <c r="AT1245" s="429"/>
      <c r="AU1245" s="429"/>
      <c r="AV1245" s="429"/>
      <c r="AW1245" s="429"/>
      <c r="AX1245" s="429"/>
      <c r="AY1245" s="429"/>
      <c r="AZ1245" s="429"/>
      <c r="BA1245" s="429"/>
    </row>
    <row r="1246" spans="1:57" ht="30" customHeight="1">
      <c r="A1246" s="443" t="s">
        <v>4802</v>
      </c>
      <c r="B1246" s="443"/>
      <c r="C1246" s="443"/>
      <c r="D1246" s="1133"/>
      <c r="E1246" s="445"/>
      <c r="F1246" s="1147"/>
      <c r="G1246" s="1147"/>
      <c r="H1246" s="450"/>
      <c r="I1246" s="450"/>
      <c r="J1246" s="1147"/>
      <c r="K1246" s="1147"/>
      <c r="L1246" s="450"/>
      <c r="M1246" s="450"/>
      <c r="N1246" s="1147"/>
      <c r="O1246" s="1147"/>
      <c r="P1246" s="450"/>
      <c r="Q1246" s="450"/>
      <c r="R1246" s="1147"/>
      <c r="S1246" s="1147"/>
      <c r="T1246" s="450"/>
      <c r="U1246" s="450"/>
      <c r="V1246" s="454"/>
      <c r="W1246" s="448"/>
      <c r="X1246" s="448"/>
      <c r="Y1246" s="448"/>
      <c r="Z1246" s="448"/>
      <c r="AA1246" s="448">
        <v>0</v>
      </c>
      <c r="AB1246" s="448"/>
      <c r="AC1246" s="448"/>
      <c r="AD1246" s="447"/>
      <c r="AE1246" s="447"/>
      <c r="AF1246" s="447"/>
      <c r="AG1246" s="447"/>
      <c r="AH1246" s="447"/>
      <c r="AI1246" s="447"/>
      <c r="AJ1246" s="447">
        <v>1</v>
      </c>
      <c r="AK1246" s="447"/>
      <c r="AL1246" s="447"/>
      <c r="AM1246" s="447"/>
      <c r="AN1246" s="447"/>
      <c r="AO1246" s="447"/>
      <c r="AP1246" s="447"/>
      <c r="AQ1246" s="447"/>
      <c r="AR1246" s="447"/>
      <c r="AS1246" s="447"/>
      <c r="AT1246" s="447"/>
      <c r="AU1246" s="447"/>
      <c r="AV1246" s="447"/>
      <c r="AW1246" s="447"/>
      <c r="AX1246" s="447"/>
      <c r="AY1246" s="447"/>
      <c r="AZ1246" s="447"/>
      <c r="BA1246" s="448"/>
      <c r="BB1246" s="448"/>
      <c r="BC1246" s="447"/>
      <c r="BD1246" s="448" t="s">
        <v>54</v>
      </c>
      <c r="BE1246" s="447" t="s">
        <v>2432</v>
      </c>
    </row>
    <row r="1247" spans="1:57" ht="30" customHeight="1">
      <c r="A1247" s="443" t="s">
        <v>2431</v>
      </c>
      <c r="B1247" s="443" t="s">
        <v>2435</v>
      </c>
      <c r="C1247" s="443" t="s">
        <v>59</v>
      </c>
      <c r="D1247" s="1133">
        <v>631</v>
      </c>
      <c r="E1247" s="445">
        <v>631</v>
      </c>
      <c r="F1247" s="1147">
        <v>14694</v>
      </c>
      <c r="G1247" s="1147">
        <v>9271914</v>
      </c>
      <c r="H1247" s="450">
        <v>11080</v>
      </c>
      <c r="I1247" s="450">
        <v>6991480</v>
      </c>
      <c r="J1247" s="1147">
        <v>63734</v>
      </c>
      <c r="K1247" s="1147">
        <v>40216154</v>
      </c>
      <c r="L1247" s="450">
        <v>33938</v>
      </c>
      <c r="M1247" s="450">
        <v>21414878</v>
      </c>
      <c r="N1247" s="1147">
        <v>0</v>
      </c>
      <c r="O1247" s="1147">
        <v>0</v>
      </c>
      <c r="P1247" s="450">
        <v>0</v>
      </c>
      <c r="Q1247" s="450">
        <v>0</v>
      </c>
      <c r="R1247" s="1147">
        <v>78428</v>
      </c>
      <c r="S1247" s="1147">
        <v>49488068</v>
      </c>
      <c r="T1247" s="450">
        <f t="shared" ref="T1247:T1279" si="158">H1247+L1247+P1247</f>
        <v>45018</v>
      </c>
      <c r="U1247" s="450">
        <f t="shared" ref="U1247:U1279" si="159">I1247+M1247+Q1247</f>
        <v>28406358</v>
      </c>
      <c r="V1247" s="454" t="s">
        <v>2434</v>
      </c>
      <c r="W1247" s="448"/>
      <c r="X1247" s="448"/>
      <c r="Y1247" s="448"/>
      <c r="Z1247" s="448"/>
      <c r="AA1247" s="448">
        <v>0</v>
      </c>
      <c r="AB1247" s="448"/>
      <c r="AC1247" s="448"/>
      <c r="AD1247" s="447"/>
      <c r="AE1247" s="447"/>
      <c r="AF1247" s="447"/>
      <c r="AG1247" s="447"/>
      <c r="AH1247" s="447"/>
      <c r="AI1247" s="447"/>
      <c r="AJ1247" s="447">
        <v>1</v>
      </c>
      <c r="AK1247" s="447"/>
      <c r="AL1247" s="447"/>
      <c r="AM1247" s="447"/>
      <c r="AN1247" s="447"/>
      <c r="AO1247" s="447"/>
      <c r="AP1247" s="447"/>
      <c r="AQ1247" s="447"/>
      <c r="AR1247" s="447"/>
      <c r="AS1247" s="447"/>
      <c r="AT1247" s="447"/>
      <c r="AU1247" s="447"/>
      <c r="AV1247" s="447"/>
      <c r="AW1247" s="447"/>
      <c r="AX1247" s="447"/>
      <c r="AY1247" s="447"/>
      <c r="AZ1247" s="447"/>
      <c r="BA1247" s="448"/>
      <c r="BB1247" s="448"/>
      <c r="BC1247" s="447"/>
      <c r="BD1247" s="448" t="s">
        <v>54</v>
      </c>
      <c r="BE1247" s="447" t="s">
        <v>2429</v>
      </c>
    </row>
    <row r="1248" spans="1:57" ht="30" customHeight="1">
      <c r="A1248" s="443" t="s">
        <v>2431</v>
      </c>
      <c r="B1248" s="443" t="s">
        <v>2433</v>
      </c>
      <c r="C1248" s="443" t="s">
        <v>59</v>
      </c>
      <c r="D1248" s="1133">
        <v>104</v>
      </c>
      <c r="E1248" s="445">
        <v>104</v>
      </c>
      <c r="F1248" s="1147">
        <v>13760</v>
      </c>
      <c r="G1248" s="1147">
        <v>1431040</v>
      </c>
      <c r="H1248" s="450">
        <v>12008</v>
      </c>
      <c r="I1248" s="450">
        <v>1248832</v>
      </c>
      <c r="J1248" s="1147">
        <v>63309</v>
      </c>
      <c r="K1248" s="1147">
        <v>6584136</v>
      </c>
      <c r="L1248" s="450">
        <v>37586</v>
      </c>
      <c r="M1248" s="450">
        <v>3908944</v>
      </c>
      <c r="N1248" s="1147">
        <v>0</v>
      </c>
      <c r="O1248" s="1147">
        <v>0</v>
      </c>
      <c r="P1248" s="450">
        <v>0</v>
      </c>
      <c r="Q1248" s="450">
        <v>0</v>
      </c>
      <c r="R1248" s="1147">
        <v>77069</v>
      </c>
      <c r="S1248" s="1147">
        <v>8015176</v>
      </c>
      <c r="T1248" s="450">
        <f t="shared" si="158"/>
        <v>49594</v>
      </c>
      <c r="U1248" s="450">
        <f t="shared" si="159"/>
        <v>5157776</v>
      </c>
      <c r="V1248" s="454" t="s">
        <v>2432</v>
      </c>
      <c r="W1248" s="448"/>
      <c r="X1248" s="448"/>
      <c r="Y1248" s="448"/>
      <c r="Z1248" s="448"/>
      <c r="AA1248" s="448">
        <v>0</v>
      </c>
      <c r="AB1248" s="448"/>
      <c r="AC1248" s="448"/>
      <c r="AD1248" s="447"/>
      <c r="AE1248" s="447"/>
      <c r="AF1248" s="447"/>
      <c r="AG1248" s="447"/>
      <c r="AH1248" s="447"/>
      <c r="AI1248" s="447"/>
      <c r="AJ1248" s="447">
        <v>1</v>
      </c>
      <c r="AK1248" s="447"/>
      <c r="AL1248" s="447"/>
      <c r="AM1248" s="447"/>
      <c r="AN1248" s="447"/>
      <c r="AO1248" s="447"/>
      <c r="AP1248" s="447"/>
      <c r="AQ1248" s="447"/>
      <c r="AR1248" s="447"/>
      <c r="AS1248" s="447"/>
      <c r="AT1248" s="447"/>
      <c r="AU1248" s="447"/>
      <c r="AV1248" s="447"/>
      <c r="AW1248" s="447"/>
      <c r="AX1248" s="447"/>
      <c r="AY1248" s="447"/>
      <c r="AZ1248" s="447"/>
      <c r="BA1248" s="448"/>
      <c r="BB1248" s="448"/>
      <c r="BC1248" s="447"/>
      <c r="BD1248" s="448" t="s">
        <v>54</v>
      </c>
      <c r="BE1248" s="447" t="s">
        <v>2427</v>
      </c>
    </row>
    <row r="1249" spans="1:57" ht="30" customHeight="1">
      <c r="A1249" s="443" t="s">
        <v>2431</v>
      </c>
      <c r="B1249" s="443" t="s">
        <v>2430</v>
      </c>
      <c r="C1249" s="443" t="s">
        <v>59</v>
      </c>
      <c r="D1249" s="1133">
        <v>23</v>
      </c>
      <c r="E1249" s="445">
        <v>23</v>
      </c>
      <c r="F1249" s="1147">
        <v>15342</v>
      </c>
      <c r="G1249" s="1147">
        <v>352866</v>
      </c>
      <c r="H1249" s="450">
        <v>13951</v>
      </c>
      <c r="I1249" s="450">
        <v>320873</v>
      </c>
      <c r="J1249" s="1147">
        <v>68056</v>
      </c>
      <c r="K1249" s="1147">
        <v>1565288</v>
      </c>
      <c r="L1249" s="450">
        <v>40174</v>
      </c>
      <c r="M1249" s="450">
        <v>924002</v>
      </c>
      <c r="N1249" s="1147">
        <v>0</v>
      </c>
      <c r="O1249" s="1147">
        <v>0</v>
      </c>
      <c r="P1249" s="450">
        <v>0</v>
      </c>
      <c r="Q1249" s="450">
        <v>0</v>
      </c>
      <c r="R1249" s="1147">
        <v>83398</v>
      </c>
      <c r="S1249" s="1147">
        <v>1918154</v>
      </c>
      <c r="T1249" s="450">
        <f t="shared" si="158"/>
        <v>54125</v>
      </c>
      <c r="U1249" s="450">
        <f t="shared" si="159"/>
        <v>1244875</v>
      </c>
      <c r="V1249" s="454" t="s">
        <v>2429</v>
      </c>
      <c r="W1249" s="448"/>
      <c r="X1249" s="448"/>
      <c r="Y1249" s="448"/>
      <c r="Z1249" s="448"/>
      <c r="AA1249" s="448">
        <v>0</v>
      </c>
      <c r="AB1249" s="448"/>
      <c r="AC1249" s="448"/>
      <c r="AD1249" s="447"/>
      <c r="AE1249" s="447"/>
      <c r="AF1249" s="447"/>
      <c r="AG1249" s="447"/>
      <c r="AH1249" s="447"/>
      <c r="AI1249" s="447"/>
      <c r="AJ1249" s="447">
        <v>1</v>
      </c>
      <c r="AK1249" s="447"/>
      <c r="AL1249" s="447"/>
      <c r="AM1249" s="447"/>
      <c r="AN1249" s="447"/>
      <c r="AO1249" s="447"/>
      <c r="AP1249" s="447"/>
      <c r="AQ1249" s="447"/>
      <c r="AR1249" s="447"/>
      <c r="AS1249" s="447"/>
      <c r="AT1249" s="447"/>
      <c r="AU1249" s="447"/>
      <c r="AV1249" s="447"/>
      <c r="AW1249" s="447"/>
      <c r="AX1249" s="447"/>
      <c r="AY1249" s="447"/>
      <c r="AZ1249" s="447"/>
      <c r="BA1249" s="448"/>
      <c r="BB1249" s="448"/>
      <c r="BC1249" s="447"/>
      <c r="BD1249" s="448" t="s">
        <v>54</v>
      </c>
      <c r="BE1249" s="447" t="s">
        <v>2424</v>
      </c>
    </row>
    <row r="1250" spans="1:57" ht="30" customHeight="1">
      <c r="A1250" s="443" t="s">
        <v>2426</v>
      </c>
      <c r="B1250" s="443" t="s">
        <v>2428</v>
      </c>
      <c r="C1250" s="443" t="s">
        <v>204</v>
      </c>
      <c r="D1250" s="1133">
        <v>325</v>
      </c>
      <c r="E1250" s="445">
        <v>325</v>
      </c>
      <c r="F1250" s="1147">
        <v>6300</v>
      </c>
      <c r="G1250" s="1147">
        <v>2047500</v>
      </c>
      <c r="H1250" s="450">
        <v>6300</v>
      </c>
      <c r="I1250" s="450">
        <v>2047500</v>
      </c>
      <c r="J1250" s="1147">
        <v>0</v>
      </c>
      <c r="K1250" s="1147">
        <v>0</v>
      </c>
      <c r="L1250" s="450">
        <v>0</v>
      </c>
      <c r="M1250" s="450">
        <v>0</v>
      </c>
      <c r="N1250" s="1147">
        <v>0</v>
      </c>
      <c r="O1250" s="1147">
        <v>0</v>
      </c>
      <c r="P1250" s="450">
        <v>0</v>
      </c>
      <c r="Q1250" s="450">
        <v>0</v>
      </c>
      <c r="R1250" s="1147">
        <v>6300</v>
      </c>
      <c r="S1250" s="1147">
        <v>2047500</v>
      </c>
      <c r="T1250" s="450">
        <f t="shared" si="158"/>
        <v>6300</v>
      </c>
      <c r="U1250" s="450">
        <f t="shared" si="159"/>
        <v>2047500</v>
      </c>
      <c r="V1250" s="454" t="s">
        <v>51</v>
      </c>
      <c r="W1250" s="448"/>
      <c r="X1250" s="448"/>
      <c r="Y1250" s="448"/>
      <c r="Z1250" s="448"/>
      <c r="AA1250" s="448">
        <v>0</v>
      </c>
      <c r="AB1250" s="448"/>
      <c r="AC1250" s="448"/>
      <c r="AD1250" s="447"/>
      <c r="AE1250" s="447"/>
      <c r="AF1250" s="447"/>
      <c r="AG1250" s="447"/>
      <c r="AH1250" s="447"/>
      <c r="AI1250" s="447"/>
      <c r="AJ1250" s="447">
        <v>1</v>
      </c>
      <c r="AK1250" s="447"/>
      <c r="AL1250" s="447"/>
      <c r="AM1250" s="447"/>
      <c r="AN1250" s="447"/>
      <c r="AO1250" s="447"/>
      <c r="AP1250" s="447"/>
      <c r="AQ1250" s="447"/>
      <c r="AR1250" s="447"/>
      <c r="AS1250" s="447"/>
      <c r="AT1250" s="447"/>
      <c r="AU1250" s="447"/>
      <c r="AV1250" s="447"/>
      <c r="AW1250" s="447"/>
      <c r="AX1250" s="447"/>
      <c r="AY1250" s="447"/>
      <c r="AZ1250" s="447"/>
      <c r="BA1250" s="448"/>
      <c r="BB1250" s="448"/>
      <c r="BC1250" s="447"/>
      <c r="BD1250" s="448" t="s">
        <v>54</v>
      </c>
      <c r="BE1250" s="447" t="s">
        <v>2422</v>
      </c>
    </row>
    <row r="1251" spans="1:57" ht="30" customHeight="1">
      <c r="A1251" s="443" t="s">
        <v>2426</v>
      </c>
      <c r="B1251" s="443" t="s">
        <v>2425</v>
      </c>
      <c r="C1251" s="443" t="s">
        <v>204</v>
      </c>
      <c r="D1251" s="1133">
        <v>220</v>
      </c>
      <c r="E1251" s="445">
        <v>220</v>
      </c>
      <c r="F1251" s="1147">
        <v>7900</v>
      </c>
      <c r="G1251" s="1147">
        <v>1738000</v>
      </c>
      <c r="H1251" s="450">
        <v>7900</v>
      </c>
      <c r="I1251" s="450">
        <v>1738000</v>
      </c>
      <c r="J1251" s="1147">
        <v>0</v>
      </c>
      <c r="K1251" s="1147">
        <v>0</v>
      </c>
      <c r="L1251" s="450">
        <v>0</v>
      </c>
      <c r="M1251" s="450">
        <v>0</v>
      </c>
      <c r="N1251" s="1147">
        <v>0</v>
      </c>
      <c r="O1251" s="1147">
        <v>0</v>
      </c>
      <c r="P1251" s="450">
        <v>0</v>
      </c>
      <c r="Q1251" s="450">
        <v>0</v>
      </c>
      <c r="R1251" s="1147">
        <v>7900</v>
      </c>
      <c r="S1251" s="1147">
        <v>1738000</v>
      </c>
      <c r="T1251" s="450">
        <f t="shared" si="158"/>
        <v>7900</v>
      </c>
      <c r="U1251" s="450">
        <f t="shared" si="159"/>
        <v>1738000</v>
      </c>
      <c r="V1251" s="454" t="s">
        <v>51</v>
      </c>
      <c r="W1251" s="448"/>
      <c r="X1251" s="448"/>
      <c r="Y1251" s="448"/>
      <c r="Z1251" s="448"/>
      <c r="AA1251" s="448">
        <v>0</v>
      </c>
      <c r="AB1251" s="448"/>
      <c r="AC1251" s="448"/>
      <c r="AD1251" s="447"/>
      <c r="AE1251" s="447"/>
      <c r="AF1251" s="447"/>
      <c r="AG1251" s="447"/>
      <c r="AH1251" s="447"/>
      <c r="AI1251" s="447"/>
      <c r="AJ1251" s="447">
        <v>1</v>
      </c>
      <c r="AK1251" s="447"/>
      <c r="AL1251" s="447"/>
      <c r="AM1251" s="447"/>
      <c r="AN1251" s="447"/>
      <c r="AO1251" s="447"/>
      <c r="AP1251" s="447"/>
      <c r="AQ1251" s="447"/>
      <c r="AR1251" s="447"/>
      <c r="AS1251" s="447"/>
      <c r="AT1251" s="447"/>
      <c r="AU1251" s="447"/>
      <c r="AV1251" s="447"/>
      <c r="AW1251" s="447"/>
      <c r="AX1251" s="447"/>
      <c r="AY1251" s="447"/>
      <c r="AZ1251" s="447"/>
      <c r="BA1251" s="448"/>
      <c r="BB1251" s="448"/>
      <c r="BC1251" s="447"/>
      <c r="BD1251" s="448" t="s">
        <v>54</v>
      </c>
      <c r="BE1251" s="447" t="s">
        <v>2420</v>
      </c>
    </row>
    <row r="1252" spans="1:57" ht="30" customHeight="1">
      <c r="A1252" s="443" t="s">
        <v>2417</v>
      </c>
      <c r="B1252" s="443" t="s">
        <v>2423</v>
      </c>
      <c r="C1252" s="443" t="s">
        <v>321</v>
      </c>
      <c r="D1252" s="1133">
        <v>217</v>
      </c>
      <c r="E1252" s="445">
        <v>217</v>
      </c>
      <c r="F1252" s="1147">
        <v>8900</v>
      </c>
      <c r="G1252" s="1147">
        <v>1931300</v>
      </c>
      <c r="H1252" s="450">
        <v>8900</v>
      </c>
      <c r="I1252" s="450">
        <v>1931300</v>
      </c>
      <c r="J1252" s="1147">
        <v>0</v>
      </c>
      <c r="K1252" s="1147">
        <v>0</v>
      </c>
      <c r="L1252" s="450">
        <v>0</v>
      </c>
      <c r="M1252" s="450">
        <v>0</v>
      </c>
      <c r="N1252" s="1147">
        <v>0</v>
      </c>
      <c r="O1252" s="1147">
        <v>0</v>
      </c>
      <c r="P1252" s="450">
        <v>0</v>
      </c>
      <c r="Q1252" s="450">
        <v>0</v>
      </c>
      <c r="R1252" s="1147">
        <v>8900</v>
      </c>
      <c r="S1252" s="1147">
        <v>1931300</v>
      </c>
      <c r="T1252" s="450">
        <f t="shared" si="158"/>
        <v>8900</v>
      </c>
      <c r="U1252" s="450">
        <f t="shared" si="159"/>
        <v>1931300</v>
      </c>
      <c r="V1252" s="454" t="s">
        <v>51</v>
      </c>
      <c r="W1252" s="448"/>
      <c r="X1252" s="448"/>
      <c r="Y1252" s="448"/>
      <c r="Z1252" s="448"/>
      <c r="AA1252" s="448">
        <v>0</v>
      </c>
      <c r="AB1252" s="448"/>
      <c r="AC1252" s="448"/>
      <c r="AD1252" s="447"/>
      <c r="AE1252" s="447"/>
      <c r="AF1252" s="447"/>
      <c r="AG1252" s="447"/>
      <c r="AH1252" s="447"/>
      <c r="AI1252" s="447"/>
      <c r="AJ1252" s="447">
        <v>1</v>
      </c>
      <c r="AK1252" s="447"/>
      <c r="AL1252" s="447"/>
      <c r="AM1252" s="447"/>
      <c r="AN1252" s="447"/>
      <c r="AO1252" s="447"/>
      <c r="AP1252" s="447"/>
      <c r="AQ1252" s="447"/>
      <c r="AR1252" s="447"/>
      <c r="AS1252" s="447"/>
      <c r="AT1252" s="447"/>
      <c r="AU1252" s="447"/>
      <c r="AV1252" s="447"/>
      <c r="AW1252" s="447"/>
      <c r="AX1252" s="447"/>
      <c r="AY1252" s="447"/>
      <c r="AZ1252" s="447"/>
      <c r="BA1252" s="448"/>
      <c r="BB1252" s="448"/>
      <c r="BC1252" s="447"/>
      <c r="BD1252" s="448" t="s">
        <v>54</v>
      </c>
      <c r="BE1252" s="447" t="s">
        <v>2418</v>
      </c>
    </row>
    <row r="1253" spans="1:57" ht="30" customHeight="1">
      <c r="A1253" s="443" t="s">
        <v>2417</v>
      </c>
      <c r="B1253" s="443" t="s">
        <v>2421</v>
      </c>
      <c r="C1253" s="443" t="s">
        <v>321</v>
      </c>
      <c r="D1253" s="1133">
        <v>147</v>
      </c>
      <c r="E1253" s="445">
        <v>147</v>
      </c>
      <c r="F1253" s="1147">
        <v>11000</v>
      </c>
      <c r="G1253" s="1147">
        <v>1617000</v>
      </c>
      <c r="H1253" s="450">
        <v>11000</v>
      </c>
      <c r="I1253" s="450">
        <v>1617000</v>
      </c>
      <c r="J1253" s="1147">
        <v>0</v>
      </c>
      <c r="K1253" s="1147">
        <v>0</v>
      </c>
      <c r="L1253" s="450">
        <v>0</v>
      </c>
      <c r="M1253" s="450">
        <v>0</v>
      </c>
      <c r="N1253" s="1147">
        <v>0</v>
      </c>
      <c r="O1253" s="1147">
        <v>0</v>
      </c>
      <c r="P1253" s="450">
        <v>0</v>
      </c>
      <c r="Q1253" s="450">
        <v>0</v>
      </c>
      <c r="R1253" s="1147">
        <v>11000</v>
      </c>
      <c r="S1253" s="1147">
        <v>1617000</v>
      </c>
      <c r="T1253" s="450">
        <f t="shared" si="158"/>
        <v>11000</v>
      </c>
      <c r="U1253" s="450">
        <f t="shared" si="159"/>
        <v>1617000</v>
      </c>
      <c r="V1253" s="454" t="s">
        <v>51</v>
      </c>
      <c r="W1253" s="448"/>
      <c r="X1253" s="448"/>
      <c r="Y1253" s="448"/>
      <c r="Z1253" s="448"/>
      <c r="AA1253" s="448">
        <v>0</v>
      </c>
      <c r="AB1253" s="448"/>
      <c r="AC1253" s="448"/>
      <c r="AD1253" s="447"/>
      <c r="AE1253" s="447"/>
      <c r="AF1253" s="447"/>
      <c r="AG1253" s="447"/>
      <c r="AH1253" s="447"/>
      <c r="AI1253" s="447"/>
      <c r="AJ1253" s="447">
        <v>1</v>
      </c>
      <c r="AK1253" s="447"/>
      <c r="AL1253" s="447"/>
      <c r="AM1253" s="447"/>
      <c r="AN1253" s="447"/>
      <c r="AO1253" s="447"/>
      <c r="AP1253" s="447"/>
      <c r="AQ1253" s="447"/>
      <c r="AR1253" s="447"/>
      <c r="AS1253" s="447"/>
      <c r="AT1253" s="447"/>
      <c r="AU1253" s="447"/>
      <c r="AV1253" s="447"/>
      <c r="AW1253" s="447"/>
      <c r="AX1253" s="447"/>
      <c r="AY1253" s="447"/>
      <c r="AZ1253" s="447"/>
      <c r="BA1253" s="448"/>
      <c r="BB1253" s="448"/>
      <c r="BC1253" s="447"/>
      <c r="BD1253" s="448" t="s">
        <v>54</v>
      </c>
      <c r="BE1253" s="447" t="s">
        <v>2415</v>
      </c>
    </row>
    <row r="1254" spans="1:57" ht="30" customHeight="1">
      <c r="A1254" s="443" t="s">
        <v>2417</v>
      </c>
      <c r="B1254" s="443" t="s">
        <v>2419</v>
      </c>
      <c r="C1254" s="443" t="s">
        <v>321</v>
      </c>
      <c r="D1254" s="1133">
        <v>434</v>
      </c>
      <c r="E1254" s="445">
        <v>434</v>
      </c>
      <c r="F1254" s="1147">
        <v>2200</v>
      </c>
      <c r="G1254" s="1147">
        <v>954800</v>
      </c>
      <c r="H1254" s="450">
        <v>2200</v>
      </c>
      <c r="I1254" s="450">
        <v>954800</v>
      </c>
      <c r="J1254" s="1147">
        <v>0</v>
      </c>
      <c r="K1254" s="1147">
        <v>0</v>
      </c>
      <c r="L1254" s="450">
        <v>0</v>
      </c>
      <c r="M1254" s="450">
        <v>0</v>
      </c>
      <c r="N1254" s="1147">
        <v>0</v>
      </c>
      <c r="O1254" s="1147">
        <v>0</v>
      </c>
      <c r="P1254" s="450">
        <v>0</v>
      </c>
      <c r="Q1254" s="450">
        <v>0</v>
      </c>
      <c r="R1254" s="1147">
        <v>2200</v>
      </c>
      <c r="S1254" s="1147">
        <v>954800</v>
      </c>
      <c r="T1254" s="450">
        <f t="shared" si="158"/>
        <v>2200</v>
      </c>
      <c r="U1254" s="450">
        <f t="shared" si="159"/>
        <v>954800</v>
      </c>
      <c r="V1254" s="454" t="s">
        <v>51</v>
      </c>
      <c r="W1254" s="448"/>
      <c r="X1254" s="448"/>
      <c r="Y1254" s="448"/>
      <c r="Z1254" s="448"/>
      <c r="AA1254" s="448">
        <v>0</v>
      </c>
      <c r="AB1254" s="448"/>
      <c r="AC1254" s="448"/>
      <c r="AD1254" s="447"/>
      <c r="AE1254" s="447"/>
      <c r="AF1254" s="447"/>
      <c r="AG1254" s="447"/>
      <c r="AH1254" s="447"/>
      <c r="AI1254" s="447"/>
      <c r="AJ1254" s="447">
        <v>1</v>
      </c>
      <c r="AK1254" s="447"/>
      <c r="AL1254" s="447"/>
      <c r="AM1254" s="447"/>
      <c r="AN1254" s="447"/>
      <c r="AO1254" s="447"/>
      <c r="AP1254" s="447"/>
      <c r="AQ1254" s="447"/>
      <c r="AR1254" s="447"/>
      <c r="AS1254" s="447"/>
      <c r="AT1254" s="447"/>
      <c r="AU1254" s="447"/>
      <c r="AV1254" s="447"/>
      <c r="AW1254" s="447"/>
      <c r="AX1254" s="447"/>
      <c r="AY1254" s="447"/>
      <c r="AZ1254" s="447"/>
      <c r="BA1254" s="448"/>
      <c r="BB1254" s="448"/>
      <c r="BC1254" s="447"/>
      <c r="BD1254" s="448" t="s">
        <v>54</v>
      </c>
      <c r="BE1254" s="447" t="s">
        <v>2413</v>
      </c>
    </row>
    <row r="1255" spans="1:57" ht="30" customHeight="1">
      <c r="A1255" s="443" t="s">
        <v>2417</v>
      </c>
      <c r="B1255" s="443" t="s">
        <v>2416</v>
      </c>
      <c r="C1255" s="443" t="s">
        <v>321</v>
      </c>
      <c r="D1255" s="1133">
        <v>294</v>
      </c>
      <c r="E1255" s="445">
        <v>294</v>
      </c>
      <c r="F1255" s="1147">
        <v>2800</v>
      </c>
      <c r="G1255" s="1147">
        <v>823200</v>
      </c>
      <c r="H1255" s="450">
        <v>2800</v>
      </c>
      <c r="I1255" s="450">
        <v>823200</v>
      </c>
      <c r="J1255" s="1147">
        <v>0</v>
      </c>
      <c r="K1255" s="1147">
        <v>0</v>
      </c>
      <c r="L1255" s="450">
        <v>0</v>
      </c>
      <c r="M1255" s="450">
        <v>0</v>
      </c>
      <c r="N1255" s="1147">
        <v>0</v>
      </c>
      <c r="O1255" s="1147">
        <v>0</v>
      </c>
      <c r="P1255" s="450">
        <v>0</v>
      </c>
      <c r="Q1255" s="450">
        <v>0</v>
      </c>
      <c r="R1255" s="1147">
        <v>2800</v>
      </c>
      <c r="S1255" s="1147">
        <v>823200</v>
      </c>
      <c r="T1255" s="450">
        <f t="shared" si="158"/>
        <v>2800</v>
      </c>
      <c r="U1255" s="450">
        <f t="shared" si="159"/>
        <v>823200</v>
      </c>
      <c r="V1255" s="454" t="s">
        <v>51</v>
      </c>
      <c r="W1255" s="448"/>
      <c r="X1255" s="448"/>
      <c r="Y1255" s="448"/>
      <c r="Z1255" s="448"/>
      <c r="AA1255" s="448">
        <v>0</v>
      </c>
      <c r="AB1255" s="448"/>
      <c r="AC1255" s="448"/>
      <c r="AD1255" s="447"/>
      <c r="AE1255" s="447"/>
      <c r="AF1255" s="447"/>
      <c r="AG1255" s="447"/>
      <c r="AH1255" s="447"/>
      <c r="AI1255" s="447"/>
      <c r="AJ1255" s="447">
        <v>1</v>
      </c>
      <c r="AK1255" s="447"/>
      <c r="AL1255" s="447"/>
      <c r="AM1255" s="447"/>
      <c r="AN1255" s="447"/>
      <c r="AO1255" s="447"/>
      <c r="AP1255" s="447"/>
      <c r="AQ1255" s="447"/>
      <c r="AR1255" s="447"/>
      <c r="AS1255" s="447"/>
      <c r="AT1255" s="447"/>
      <c r="AU1255" s="447"/>
      <c r="AV1255" s="447"/>
      <c r="AW1255" s="447"/>
      <c r="AX1255" s="447"/>
      <c r="AY1255" s="447"/>
      <c r="AZ1255" s="447"/>
      <c r="BA1255" s="448"/>
      <c r="BB1255" s="448"/>
      <c r="BC1255" s="447"/>
      <c r="BD1255" s="448" t="s">
        <v>54</v>
      </c>
      <c r="BE1255" s="447" t="s">
        <v>2410</v>
      </c>
    </row>
    <row r="1256" spans="1:57" ht="30" customHeight="1">
      <c r="A1256" s="443" t="s">
        <v>2412</v>
      </c>
      <c r="B1256" s="443" t="s">
        <v>2414</v>
      </c>
      <c r="C1256" s="443" t="s">
        <v>321</v>
      </c>
      <c r="D1256" s="1133">
        <v>217</v>
      </c>
      <c r="E1256" s="445">
        <v>217</v>
      </c>
      <c r="F1256" s="1147">
        <v>21250</v>
      </c>
      <c r="G1256" s="1147">
        <v>4611250</v>
      </c>
      <c r="H1256" s="450">
        <v>21250</v>
      </c>
      <c r="I1256" s="450">
        <v>4611250</v>
      </c>
      <c r="J1256" s="1147">
        <v>0</v>
      </c>
      <c r="K1256" s="1147">
        <v>0</v>
      </c>
      <c r="L1256" s="450">
        <v>0</v>
      </c>
      <c r="M1256" s="450">
        <v>0</v>
      </c>
      <c r="N1256" s="1147">
        <v>0</v>
      </c>
      <c r="O1256" s="1147">
        <v>0</v>
      </c>
      <c r="P1256" s="450">
        <v>0</v>
      </c>
      <c r="Q1256" s="450">
        <v>0</v>
      </c>
      <c r="R1256" s="1147">
        <v>21250</v>
      </c>
      <c r="S1256" s="1147">
        <v>4611250</v>
      </c>
      <c r="T1256" s="450">
        <f t="shared" si="158"/>
        <v>21250</v>
      </c>
      <c r="U1256" s="450">
        <f t="shared" si="159"/>
        <v>4611250</v>
      </c>
      <c r="V1256" s="454" t="s">
        <v>51</v>
      </c>
      <c r="W1256" s="448"/>
      <c r="X1256" s="448"/>
      <c r="Y1256" s="448"/>
      <c r="Z1256" s="448"/>
      <c r="AA1256" s="448">
        <v>0</v>
      </c>
      <c r="AB1256" s="448"/>
      <c r="AC1256" s="448"/>
      <c r="AD1256" s="447"/>
      <c r="AE1256" s="447"/>
      <c r="AF1256" s="447"/>
      <c r="AG1256" s="447"/>
      <c r="AH1256" s="447"/>
      <c r="AI1256" s="447"/>
      <c r="AJ1256" s="447">
        <v>1</v>
      </c>
      <c r="AK1256" s="447"/>
      <c r="AL1256" s="447"/>
      <c r="AM1256" s="447"/>
      <c r="AN1256" s="447"/>
      <c r="AO1256" s="447"/>
      <c r="AP1256" s="447"/>
      <c r="AQ1256" s="447"/>
      <c r="AR1256" s="447"/>
      <c r="AS1256" s="447"/>
      <c r="AT1256" s="447"/>
      <c r="AU1256" s="447"/>
      <c r="AV1256" s="447"/>
      <c r="AW1256" s="447"/>
      <c r="AX1256" s="447"/>
      <c r="AY1256" s="447"/>
      <c r="AZ1256" s="447"/>
      <c r="BA1256" s="448"/>
      <c r="BB1256" s="448"/>
      <c r="BC1256" s="447"/>
      <c r="BD1256" s="448" t="s">
        <v>54</v>
      </c>
      <c r="BE1256" s="447" t="s">
        <v>2408</v>
      </c>
    </row>
    <row r="1257" spans="1:57" ht="30" customHeight="1">
      <c r="A1257" s="443" t="s">
        <v>2412</v>
      </c>
      <c r="B1257" s="443" t="s">
        <v>2411</v>
      </c>
      <c r="C1257" s="443" t="s">
        <v>321</v>
      </c>
      <c r="D1257" s="1133">
        <v>147</v>
      </c>
      <c r="E1257" s="445">
        <v>147</v>
      </c>
      <c r="F1257" s="1147">
        <v>27750</v>
      </c>
      <c r="G1257" s="1147">
        <v>4079250</v>
      </c>
      <c r="H1257" s="450">
        <v>27750</v>
      </c>
      <c r="I1257" s="450">
        <v>4079250</v>
      </c>
      <c r="J1257" s="1147">
        <v>0</v>
      </c>
      <c r="K1257" s="1147">
        <v>0</v>
      </c>
      <c r="L1257" s="450">
        <v>0</v>
      </c>
      <c r="M1257" s="450">
        <v>0</v>
      </c>
      <c r="N1257" s="1147">
        <v>0</v>
      </c>
      <c r="O1257" s="1147">
        <v>0</v>
      </c>
      <c r="P1257" s="450">
        <v>0</v>
      </c>
      <c r="Q1257" s="450">
        <v>0</v>
      </c>
      <c r="R1257" s="1147">
        <v>27750</v>
      </c>
      <c r="S1257" s="1147">
        <v>4079250</v>
      </c>
      <c r="T1257" s="450">
        <f t="shared" si="158"/>
        <v>27750</v>
      </c>
      <c r="U1257" s="450">
        <f t="shared" si="159"/>
        <v>4079250</v>
      </c>
      <c r="V1257" s="454" t="s">
        <v>51</v>
      </c>
      <c r="W1257" s="448"/>
      <c r="X1257" s="448"/>
      <c r="Y1257" s="448"/>
      <c r="Z1257" s="448"/>
      <c r="AA1257" s="448">
        <v>0</v>
      </c>
      <c r="AB1257" s="448"/>
      <c r="AC1257" s="448"/>
      <c r="AD1257" s="447"/>
      <c r="AE1257" s="447"/>
      <c r="AF1257" s="447"/>
      <c r="AG1257" s="447"/>
      <c r="AH1257" s="447"/>
      <c r="AI1257" s="447"/>
      <c r="AJ1257" s="447">
        <v>1</v>
      </c>
      <c r="AK1257" s="447"/>
      <c r="AL1257" s="447"/>
      <c r="AM1257" s="447"/>
      <c r="AN1257" s="447"/>
      <c r="AO1257" s="447"/>
      <c r="AP1257" s="447"/>
      <c r="AQ1257" s="447"/>
      <c r="AR1257" s="447"/>
      <c r="AS1257" s="447"/>
      <c r="AT1257" s="447"/>
      <c r="AU1257" s="447"/>
      <c r="AV1257" s="447"/>
      <c r="AW1257" s="447"/>
      <c r="AX1257" s="447"/>
      <c r="AY1257" s="447"/>
      <c r="AZ1257" s="447"/>
      <c r="BA1257" s="448"/>
      <c r="BB1257" s="448"/>
      <c r="BC1257" s="447"/>
      <c r="BD1257" s="448" t="s">
        <v>54</v>
      </c>
      <c r="BE1257" s="447" t="s">
        <v>2405</v>
      </c>
    </row>
    <row r="1258" spans="1:57" ht="30" customHeight="1">
      <c r="A1258" s="443" t="s">
        <v>2407</v>
      </c>
      <c r="B1258" s="443" t="s">
        <v>2409</v>
      </c>
      <c r="C1258" s="443" t="s">
        <v>321</v>
      </c>
      <c r="D1258" s="1133">
        <v>10</v>
      </c>
      <c r="E1258" s="445">
        <v>10</v>
      </c>
      <c r="F1258" s="1147">
        <v>6000</v>
      </c>
      <c r="G1258" s="1147">
        <v>60000</v>
      </c>
      <c r="H1258" s="450">
        <v>6000</v>
      </c>
      <c r="I1258" s="450">
        <v>60000</v>
      </c>
      <c r="J1258" s="1147">
        <v>0</v>
      </c>
      <c r="K1258" s="1147">
        <v>0</v>
      </c>
      <c r="L1258" s="450">
        <v>0</v>
      </c>
      <c r="M1258" s="450">
        <v>0</v>
      </c>
      <c r="N1258" s="1147">
        <v>0</v>
      </c>
      <c r="O1258" s="1147">
        <v>0</v>
      </c>
      <c r="P1258" s="450">
        <v>0</v>
      </c>
      <c r="Q1258" s="450">
        <v>0</v>
      </c>
      <c r="R1258" s="1147">
        <v>6000</v>
      </c>
      <c r="S1258" s="1147">
        <v>60000</v>
      </c>
      <c r="T1258" s="450">
        <f t="shared" si="158"/>
        <v>6000</v>
      </c>
      <c r="U1258" s="450">
        <f t="shared" si="159"/>
        <v>60000</v>
      </c>
      <c r="V1258" s="454" t="s">
        <v>51</v>
      </c>
      <c r="W1258" s="448"/>
      <c r="X1258" s="448"/>
      <c r="Y1258" s="448"/>
      <c r="Z1258" s="448"/>
      <c r="AA1258" s="448">
        <v>0</v>
      </c>
      <c r="AB1258" s="448"/>
      <c r="AC1258" s="448"/>
      <c r="AD1258" s="447"/>
      <c r="AE1258" s="447"/>
      <c r="AF1258" s="447"/>
      <c r="AG1258" s="447"/>
      <c r="AH1258" s="447"/>
      <c r="AI1258" s="447"/>
      <c r="AJ1258" s="447">
        <v>1</v>
      </c>
      <c r="AK1258" s="447"/>
      <c r="AL1258" s="447"/>
      <c r="AM1258" s="447"/>
      <c r="AN1258" s="447"/>
      <c r="AO1258" s="447"/>
      <c r="AP1258" s="447"/>
      <c r="AQ1258" s="447"/>
      <c r="AR1258" s="447"/>
      <c r="AS1258" s="447"/>
      <c r="AT1258" s="447"/>
      <c r="AU1258" s="447"/>
      <c r="AV1258" s="447"/>
      <c r="AW1258" s="447"/>
      <c r="AX1258" s="447"/>
      <c r="AY1258" s="447"/>
      <c r="AZ1258" s="447"/>
      <c r="BA1258" s="448"/>
      <c r="BB1258" s="448"/>
      <c r="BC1258" s="447"/>
      <c r="BD1258" s="448" t="s">
        <v>54</v>
      </c>
      <c r="BE1258" s="447" t="s">
        <v>2403</v>
      </c>
    </row>
    <row r="1259" spans="1:57" ht="30" customHeight="1">
      <c r="A1259" s="443" t="s">
        <v>2407</v>
      </c>
      <c r="B1259" s="443" t="s">
        <v>2406</v>
      </c>
      <c r="C1259" s="443" t="s">
        <v>321</v>
      </c>
      <c r="D1259" s="1133">
        <v>1</v>
      </c>
      <c r="E1259" s="445">
        <v>1</v>
      </c>
      <c r="F1259" s="1147">
        <v>9000</v>
      </c>
      <c r="G1259" s="1147">
        <v>9000</v>
      </c>
      <c r="H1259" s="450">
        <v>9000</v>
      </c>
      <c r="I1259" s="450">
        <v>9000</v>
      </c>
      <c r="J1259" s="1147">
        <v>0</v>
      </c>
      <c r="K1259" s="1147">
        <v>0</v>
      </c>
      <c r="L1259" s="450">
        <v>0</v>
      </c>
      <c r="M1259" s="450">
        <v>0</v>
      </c>
      <c r="N1259" s="1147">
        <v>0</v>
      </c>
      <c r="O1259" s="1147">
        <v>0</v>
      </c>
      <c r="P1259" s="450">
        <v>0</v>
      </c>
      <c r="Q1259" s="450">
        <v>0</v>
      </c>
      <c r="R1259" s="1147">
        <v>9000</v>
      </c>
      <c r="S1259" s="1147">
        <v>9000</v>
      </c>
      <c r="T1259" s="450">
        <f t="shared" si="158"/>
        <v>9000</v>
      </c>
      <c r="U1259" s="450">
        <f t="shared" si="159"/>
        <v>9000</v>
      </c>
      <c r="V1259" s="454" t="s">
        <v>51</v>
      </c>
      <c r="W1259" s="448"/>
      <c r="X1259" s="448"/>
      <c r="Y1259" s="448"/>
      <c r="Z1259" s="448"/>
      <c r="AA1259" s="448">
        <v>0</v>
      </c>
      <c r="AB1259" s="448"/>
      <c r="AC1259" s="448"/>
      <c r="AD1259" s="447"/>
      <c r="AE1259" s="447"/>
      <c r="AF1259" s="447"/>
      <c r="AG1259" s="447"/>
      <c r="AH1259" s="447"/>
      <c r="AI1259" s="447"/>
      <c r="AJ1259" s="447">
        <v>1</v>
      </c>
      <c r="AK1259" s="447"/>
      <c r="AL1259" s="447"/>
      <c r="AM1259" s="447"/>
      <c r="AN1259" s="447"/>
      <c r="AO1259" s="447"/>
      <c r="AP1259" s="447"/>
      <c r="AQ1259" s="447"/>
      <c r="AR1259" s="447"/>
      <c r="AS1259" s="447"/>
      <c r="AT1259" s="447"/>
      <c r="AU1259" s="447"/>
      <c r="AV1259" s="447"/>
      <c r="AW1259" s="447"/>
      <c r="AX1259" s="447"/>
      <c r="AY1259" s="447"/>
      <c r="AZ1259" s="447"/>
      <c r="BA1259" s="448"/>
      <c r="BB1259" s="448"/>
      <c r="BC1259" s="447"/>
      <c r="BD1259" s="448" t="s">
        <v>54</v>
      </c>
      <c r="BE1259" s="447" t="s">
        <v>2401</v>
      </c>
    </row>
    <row r="1260" spans="1:57" ht="30" customHeight="1">
      <c r="A1260" s="443" t="s">
        <v>2404</v>
      </c>
      <c r="B1260" s="443" t="s">
        <v>51</v>
      </c>
      <c r="C1260" s="443" t="s">
        <v>321</v>
      </c>
      <c r="D1260" s="1133">
        <v>11</v>
      </c>
      <c r="E1260" s="445">
        <v>11</v>
      </c>
      <c r="F1260" s="1147">
        <v>900</v>
      </c>
      <c r="G1260" s="1147">
        <v>9900</v>
      </c>
      <c r="H1260" s="450">
        <v>900</v>
      </c>
      <c r="I1260" s="450">
        <v>9900</v>
      </c>
      <c r="J1260" s="1147">
        <v>0</v>
      </c>
      <c r="K1260" s="1147">
        <v>0</v>
      </c>
      <c r="L1260" s="450">
        <v>0</v>
      </c>
      <c r="M1260" s="450">
        <v>0</v>
      </c>
      <c r="N1260" s="1147">
        <v>0</v>
      </c>
      <c r="O1260" s="1147">
        <v>0</v>
      </c>
      <c r="P1260" s="450">
        <v>0</v>
      </c>
      <c r="Q1260" s="450">
        <v>0</v>
      </c>
      <c r="R1260" s="1147">
        <v>900</v>
      </c>
      <c r="S1260" s="1147">
        <v>9900</v>
      </c>
      <c r="T1260" s="450">
        <f t="shared" si="158"/>
        <v>900</v>
      </c>
      <c r="U1260" s="450">
        <f t="shared" si="159"/>
        <v>9900</v>
      </c>
      <c r="V1260" s="454" t="s">
        <v>51</v>
      </c>
      <c r="W1260" s="448"/>
      <c r="X1260" s="448"/>
      <c r="Y1260" s="448"/>
      <c r="Z1260" s="448"/>
      <c r="AA1260" s="448">
        <v>0</v>
      </c>
      <c r="AB1260" s="448"/>
      <c r="AC1260" s="448"/>
      <c r="AD1260" s="447"/>
      <c r="AE1260" s="447"/>
      <c r="AF1260" s="447"/>
      <c r="AG1260" s="447"/>
      <c r="AH1260" s="447"/>
      <c r="AI1260" s="447"/>
      <c r="AJ1260" s="447">
        <v>1</v>
      </c>
      <c r="AK1260" s="447"/>
      <c r="AL1260" s="447"/>
      <c r="AM1260" s="447"/>
      <c r="AN1260" s="447"/>
      <c r="AO1260" s="447"/>
      <c r="AP1260" s="447"/>
      <c r="AQ1260" s="447"/>
      <c r="AR1260" s="447"/>
      <c r="AS1260" s="447"/>
      <c r="AT1260" s="447"/>
      <c r="AU1260" s="447"/>
      <c r="AV1260" s="447"/>
      <c r="AW1260" s="447"/>
      <c r="AX1260" s="447"/>
      <c r="AY1260" s="447"/>
      <c r="AZ1260" s="447"/>
      <c r="BA1260" s="448"/>
      <c r="BB1260" s="448"/>
      <c r="BC1260" s="447"/>
      <c r="BD1260" s="448" t="s">
        <v>54</v>
      </c>
      <c r="BE1260" s="447" t="s">
        <v>2400</v>
      </c>
    </row>
    <row r="1261" spans="1:57" ht="30" customHeight="1">
      <c r="A1261" s="443" t="s">
        <v>2395</v>
      </c>
      <c r="B1261" s="443" t="s">
        <v>2402</v>
      </c>
      <c r="C1261" s="443" t="s">
        <v>321</v>
      </c>
      <c r="D1261" s="1133">
        <v>1</v>
      </c>
      <c r="E1261" s="445">
        <v>1</v>
      </c>
      <c r="F1261" s="1147">
        <v>63000</v>
      </c>
      <c r="G1261" s="1147">
        <v>63000</v>
      </c>
      <c r="H1261" s="450">
        <v>63000</v>
      </c>
      <c r="I1261" s="450">
        <v>63000</v>
      </c>
      <c r="J1261" s="1147">
        <v>0</v>
      </c>
      <c r="K1261" s="1147">
        <v>0</v>
      </c>
      <c r="L1261" s="450">
        <v>0</v>
      </c>
      <c r="M1261" s="450">
        <v>0</v>
      </c>
      <c r="N1261" s="1147">
        <v>0</v>
      </c>
      <c r="O1261" s="1147">
        <v>0</v>
      </c>
      <c r="P1261" s="450">
        <v>0</v>
      </c>
      <c r="Q1261" s="450">
        <v>0</v>
      </c>
      <c r="R1261" s="1147">
        <v>63000</v>
      </c>
      <c r="S1261" s="1147">
        <v>63000</v>
      </c>
      <c r="T1261" s="450">
        <f t="shared" si="158"/>
        <v>63000</v>
      </c>
      <c r="U1261" s="450">
        <f t="shared" si="159"/>
        <v>63000</v>
      </c>
      <c r="V1261" s="454" t="s">
        <v>51</v>
      </c>
      <c r="W1261" s="448"/>
      <c r="X1261" s="448"/>
      <c r="Y1261" s="448"/>
      <c r="Z1261" s="448"/>
      <c r="AA1261" s="448">
        <v>0</v>
      </c>
      <c r="AB1261" s="448"/>
      <c r="AC1261" s="448"/>
      <c r="AD1261" s="447"/>
      <c r="AE1261" s="447"/>
      <c r="AF1261" s="447"/>
      <c r="AG1261" s="447"/>
      <c r="AH1261" s="447"/>
      <c r="AI1261" s="447"/>
      <c r="AJ1261" s="447">
        <v>1</v>
      </c>
      <c r="AK1261" s="447"/>
      <c r="AL1261" s="447"/>
      <c r="AM1261" s="447"/>
      <c r="AN1261" s="447"/>
      <c r="AO1261" s="447"/>
      <c r="AP1261" s="447"/>
      <c r="AQ1261" s="447"/>
      <c r="AR1261" s="447"/>
      <c r="AS1261" s="447"/>
      <c r="AT1261" s="447"/>
      <c r="AU1261" s="447"/>
      <c r="AV1261" s="447"/>
      <c r="AW1261" s="447"/>
      <c r="AX1261" s="447"/>
      <c r="AY1261" s="447"/>
      <c r="AZ1261" s="447"/>
      <c r="BA1261" s="448"/>
      <c r="BB1261" s="448"/>
      <c r="BC1261" s="447"/>
      <c r="BD1261" s="448" t="s">
        <v>54</v>
      </c>
      <c r="BE1261" s="447" t="s">
        <v>2399</v>
      </c>
    </row>
    <row r="1262" spans="1:57" ht="30" customHeight="1">
      <c r="A1262" s="443" t="s">
        <v>2395</v>
      </c>
      <c r="B1262" s="443" t="s">
        <v>2389</v>
      </c>
      <c r="C1262" s="443" t="s">
        <v>321</v>
      </c>
      <c r="D1262" s="1133">
        <v>5</v>
      </c>
      <c r="E1262" s="445">
        <v>5</v>
      </c>
      <c r="F1262" s="1147">
        <v>20000</v>
      </c>
      <c r="G1262" s="1147">
        <v>100000</v>
      </c>
      <c r="H1262" s="450">
        <v>20000</v>
      </c>
      <c r="I1262" s="450">
        <v>100000</v>
      </c>
      <c r="J1262" s="1147">
        <v>0</v>
      </c>
      <c r="K1262" s="1147">
        <v>0</v>
      </c>
      <c r="L1262" s="450">
        <v>0</v>
      </c>
      <c r="M1262" s="450">
        <v>0</v>
      </c>
      <c r="N1262" s="1147">
        <v>0</v>
      </c>
      <c r="O1262" s="1147">
        <v>0</v>
      </c>
      <c r="P1262" s="450">
        <v>0</v>
      </c>
      <c r="Q1262" s="450">
        <v>0</v>
      </c>
      <c r="R1262" s="1147">
        <v>20000</v>
      </c>
      <c r="S1262" s="1147">
        <v>100000</v>
      </c>
      <c r="T1262" s="450">
        <f t="shared" si="158"/>
        <v>20000</v>
      </c>
      <c r="U1262" s="450">
        <f t="shared" si="159"/>
        <v>100000</v>
      </c>
      <c r="V1262" s="454" t="s">
        <v>51</v>
      </c>
      <c r="W1262" s="448"/>
      <c r="X1262" s="448"/>
      <c r="Y1262" s="448"/>
      <c r="Z1262" s="448"/>
      <c r="AA1262" s="448">
        <v>0</v>
      </c>
      <c r="AB1262" s="448"/>
      <c r="AC1262" s="448"/>
      <c r="AD1262" s="447"/>
      <c r="AE1262" s="447"/>
      <c r="AF1262" s="447"/>
      <c r="AG1262" s="447"/>
      <c r="AH1262" s="447"/>
      <c r="AI1262" s="447"/>
      <c r="AJ1262" s="447">
        <v>1</v>
      </c>
      <c r="AK1262" s="447"/>
      <c r="AL1262" s="447"/>
      <c r="AM1262" s="447"/>
      <c r="AN1262" s="447"/>
      <c r="AO1262" s="447"/>
      <c r="AP1262" s="447"/>
      <c r="AQ1262" s="447"/>
      <c r="AR1262" s="447"/>
      <c r="AS1262" s="447"/>
      <c r="AT1262" s="447"/>
      <c r="AU1262" s="447"/>
      <c r="AV1262" s="447"/>
      <c r="AW1262" s="447"/>
      <c r="AX1262" s="447"/>
      <c r="AY1262" s="447"/>
      <c r="AZ1262" s="447"/>
      <c r="BA1262" s="448"/>
      <c r="BB1262" s="448"/>
      <c r="BC1262" s="447"/>
      <c r="BD1262" s="448" t="s">
        <v>54</v>
      </c>
      <c r="BE1262" s="447" t="s">
        <v>2398</v>
      </c>
    </row>
    <row r="1263" spans="1:57" ht="30" customHeight="1">
      <c r="A1263" s="443" t="s">
        <v>2395</v>
      </c>
      <c r="B1263" s="443" t="s">
        <v>2385</v>
      </c>
      <c r="C1263" s="443" t="s">
        <v>321</v>
      </c>
      <c r="D1263" s="1133">
        <v>2</v>
      </c>
      <c r="E1263" s="445">
        <v>2</v>
      </c>
      <c r="F1263" s="1147">
        <v>20000</v>
      </c>
      <c r="G1263" s="1147">
        <v>40000</v>
      </c>
      <c r="H1263" s="450">
        <v>20000</v>
      </c>
      <c r="I1263" s="450">
        <v>40000</v>
      </c>
      <c r="J1263" s="1147">
        <v>0</v>
      </c>
      <c r="K1263" s="1147">
        <v>0</v>
      </c>
      <c r="L1263" s="450">
        <v>0</v>
      </c>
      <c r="M1263" s="450">
        <v>0</v>
      </c>
      <c r="N1263" s="1147">
        <v>0</v>
      </c>
      <c r="O1263" s="1147">
        <v>0</v>
      </c>
      <c r="P1263" s="450">
        <v>0</v>
      </c>
      <c r="Q1263" s="450">
        <v>0</v>
      </c>
      <c r="R1263" s="1147">
        <v>20000</v>
      </c>
      <c r="S1263" s="1147">
        <v>40000</v>
      </c>
      <c r="T1263" s="450">
        <f t="shared" si="158"/>
        <v>20000</v>
      </c>
      <c r="U1263" s="450">
        <f t="shared" si="159"/>
        <v>40000</v>
      </c>
      <c r="V1263" s="454" t="s">
        <v>51</v>
      </c>
      <c r="W1263" s="448"/>
      <c r="X1263" s="448"/>
      <c r="Y1263" s="448"/>
      <c r="Z1263" s="448"/>
      <c r="AA1263" s="448">
        <v>0</v>
      </c>
      <c r="AB1263" s="448"/>
      <c r="AC1263" s="448"/>
      <c r="AD1263" s="447"/>
      <c r="AE1263" s="447"/>
      <c r="AF1263" s="447"/>
      <c r="AG1263" s="447"/>
      <c r="AH1263" s="447"/>
      <c r="AI1263" s="447"/>
      <c r="AJ1263" s="447">
        <v>1</v>
      </c>
      <c r="AK1263" s="447"/>
      <c r="AL1263" s="447"/>
      <c r="AM1263" s="447"/>
      <c r="AN1263" s="447"/>
      <c r="AO1263" s="447"/>
      <c r="AP1263" s="447"/>
      <c r="AQ1263" s="447"/>
      <c r="AR1263" s="447"/>
      <c r="AS1263" s="447"/>
      <c r="AT1263" s="447"/>
      <c r="AU1263" s="447"/>
      <c r="AV1263" s="447"/>
      <c r="AW1263" s="447"/>
      <c r="AX1263" s="447"/>
      <c r="AY1263" s="447"/>
      <c r="AZ1263" s="447"/>
      <c r="BA1263" s="448"/>
      <c r="BB1263" s="448"/>
      <c r="BC1263" s="447"/>
      <c r="BD1263" s="448" t="s">
        <v>54</v>
      </c>
      <c r="BE1263" s="447" t="s">
        <v>2396</v>
      </c>
    </row>
    <row r="1264" spans="1:57" ht="30" customHeight="1">
      <c r="A1264" s="443" t="s">
        <v>2395</v>
      </c>
      <c r="B1264" s="443" t="s">
        <v>2375</v>
      </c>
      <c r="C1264" s="443" t="s">
        <v>321</v>
      </c>
      <c r="D1264" s="1133">
        <v>1</v>
      </c>
      <c r="E1264" s="445">
        <v>1</v>
      </c>
      <c r="F1264" s="1147">
        <v>20250</v>
      </c>
      <c r="G1264" s="1147">
        <v>20250</v>
      </c>
      <c r="H1264" s="450">
        <v>20250</v>
      </c>
      <c r="I1264" s="450">
        <v>20250</v>
      </c>
      <c r="J1264" s="1147">
        <v>0</v>
      </c>
      <c r="K1264" s="1147">
        <v>0</v>
      </c>
      <c r="L1264" s="450">
        <v>0</v>
      </c>
      <c r="M1264" s="450">
        <v>0</v>
      </c>
      <c r="N1264" s="1147">
        <v>0</v>
      </c>
      <c r="O1264" s="1147">
        <v>0</v>
      </c>
      <c r="P1264" s="450">
        <v>0</v>
      </c>
      <c r="Q1264" s="450">
        <v>0</v>
      </c>
      <c r="R1264" s="1147">
        <v>20250</v>
      </c>
      <c r="S1264" s="1147">
        <v>20250</v>
      </c>
      <c r="T1264" s="450">
        <f t="shared" si="158"/>
        <v>20250</v>
      </c>
      <c r="U1264" s="450">
        <f t="shared" si="159"/>
        <v>20250</v>
      </c>
      <c r="V1264" s="454" t="s">
        <v>51</v>
      </c>
      <c r="W1264" s="448"/>
      <c r="X1264" s="448"/>
      <c r="Y1264" s="448"/>
      <c r="Z1264" s="448"/>
      <c r="AA1264" s="448">
        <v>0</v>
      </c>
      <c r="AB1264" s="448"/>
      <c r="AC1264" s="448"/>
      <c r="AD1264" s="447"/>
      <c r="AE1264" s="447"/>
      <c r="AF1264" s="447"/>
      <c r="AG1264" s="447"/>
      <c r="AH1264" s="447"/>
      <c r="AI1264" s="447"/>
      <c r="AJ1264" s="447">
        <v>1</v>
      </c>
      <c r="AK1264" s="447"/>
      <c r="AL1264" s="447"/>
      <c r="AM1264" s="447"/>
      <c r="AN1264" s="447"/>
      <c r="AO1264" s="447"/>
      <c r="AP1264" s="447"/>
      <c r="AQ1264" s="447"/>
      <c r="AR1264" s="447"/>
      <c r="AS1264" s="447"/>
      <c r="AT1264" s="447"/>
      <c r="AU1264" s="447"/>
      <c r="AV1264" s="447"/>
      <c r="AW1264" s="447"/>
      <c r="AX1264" s="447"/>
      <c r="AY1264" s="447"/>
      <c r="AZ1264" s="447"/>
      <c r="BA1264" s="448"/>
      <c r="BB1264" s="448"/>
      <c r="BC1264" s="447"/>
      <c r="BD1264" s="448" t="s">
        <v>54</v>
      </c>
      <c r="BE1264" s="447" t="s">
        <v>2393</v>
      </c>
    </row>
    <row r="1265" spans="1:57" ht="30" customHeight="1">
      <c r="A1265" s="443" t="s">
        <v>2395</v>
      </c>
      <c r="B1265" s="443" t="s">
        <v>2397</v>
      </c>
      <c r="C1265" s="443" t="s">
        <v>321</v>
      </c>
      <c r="D1265" s="1133">
        <v>1</v>
      </c>
      <c r="E1265" s="445">
        <v>1</v>
      </c>
      <c r="F1265" s="1147">
        <v>29250</v>
      </c>
      <c r="G1265" s="1147">
        <v>29250</v>
      </c>
      <c r="H1265" s="450">
        <v>29250</v>
      </c>
      <c r="I1265" s="450">
        <v>29250</v>
      </c>
      <c r="J1265" s="1147">
        <v>0</v>
      </c>
      <c r="K1265" s="1147">
        <v>0</v>
      </c>
      <c r="L1265" s="450">
        <v>0</v>
      </c>
      <c r="M1265" s="450">
        <v>0</v>
      </c>
      <c r="N1265" s="1147">
        <v>0</v>
      </c>
      <c r="O1265" s="1147">
        <v>0</v>
      </c>
      <c r="P1265" s="450">
        <v>0</v>
      </c>
      <c r="Q1265" s="450">
        <v>0</v>
      </c>
      <c r="R1265" s="1147">
        <v>29250</v>
      </c>
      <c r="S1265" s="1147">
        <v>29250</v>
      </c>
      <c r="T1265" s="450">
        <f t="shared" si="158"/>
        <v>29250</v>
      </c>
      <c r="U1265" s="450">
        <f t="shared" si="159"/>
        <v>29250</v>
      </c>
      <c r="V1265" s="454" t="s">
        <v>51</v>
      </c>
      <c r="W1265" s="448"/>
      <c r="X1265" s="448"/>
      <c r="Y1265" s="448"/>
      <c r="Z1265" s="448"/>
      <c r="AA1265" s="448">
        <v>0</v>
      </c>
      <c r="AB1265" s="448"/>
      <c r="AC1265" s="448"/>
      <c r="AD1265" s="447"/>
      <c r="AE1265" s="447"/>
      <c r="AF1265" s="447"/>
      <c r="AG1265" s="447"/>
      <c r="AH1265" s="447"/>
      <c r="AI1265" s="447"/>
      <c r="AJ1265" s="447">
        <v>1</v>
      </c>
      <c r="AK1265" s="447"/>
      <c r="AL1265" s="447"/>
      <c r="AM1265" s="447"/>
      <c r="AN1265" s="447"/>
      <c r="AO1265" s="447"/>
      <c r="AP1265" s="447"/>
      <c r="AQ1265" s="447"/>
      <c r="AR1265" s="447"/>
      <c r="AS1265" s="447"/>
      <c r="AT1265" s="447"/>
      <c r="AU1265" s="447"/>
      <c r="AV1265" s="447"/>
      <c r="AW1265" s="447"/>
      <c r="AX1265" s="447"/>
      <c r="AY1265" s="447"/>
      <c r="AZ1265" s="447"/>
      <c r="BA1265" s="448"/>
      <c r="BB1265" s="448"/>
      <c r="BC1265" s="447"/>
      <c r="BD1265" s="448" t="s">
        <v>54</v>
      </c>
      <c r="BE1265" s="447" t="s">
        <v>2390</v>
      </c>
    </row>
    <row r="1266" spans="1:57" ht="30" customHeight="1">
      <c r="A1266" s="443" t="s">
        <v>2395</v>
      </c>
      <c r="B1266" s="443" t="s">
        <v>2394</v>
      </c>
      <c r="C1266" s="443" t="s">
        <v>321</v>
      </c>
      <c r="D1266" s="1133">
        <v>1</v>
      </c>
      <c r="E1266" s="445">
        <v>1</v>
      </c>
      <c r="F1266" s="1147">
        <v>31500</v>
      </c>
      <c r="G1266" s="1147">
        <v>31500</v>
      </c>
      <c r="H1266" s="450">
        <v>31500</v>
      </c>
      <c r="I1266" s="450">
        <v>31500</v>
      </c>
      <c r="J1266" s="1147">
        <v>0</v>
      </c>
      <c r="K1266" s="1147">
        <v>0</v>
      </c>
      <c r="L1266" s="450">
        <v>0</v>
      </c>
      <c r="M1266" s="450">
        <v>0</v>
      </c>
      <c r="N1266" s="1147">
        <v>0</v>
      </c>
      <c r="O1266" s="1147">
        <v>0</v>
      </c>
      <c r="P1266" s="450">
        <v>0</v>
      </c>
      <c r="Q1266" s="450">
        <v>0</v>
      </c>
      <c r="R1266" s="1147">
        <v>31500</v>
      </c>
      <c r="S1266" s="1147">
        <v>31500</v>
      </c>
      <c r="T1266" s="450">
        <f t="shared" si="158"/>
        <v>31500</v>
      </c>
      <c r="U1266" s="450">
        <f t="shared" si="159"/>
        <v>31500</v>
      </c>
      <c r="V1266" s="454" t="s">
        <v>51</v>
      </c>
      <c r="W1266" s="448"/>
      <c r="X1266" s="448"/>
      <c r="Y1266" s="448"/>
      <c r="Z1266" s="448"/>
      <c r="AA1266" s="448">
        <v>0</v>
      </c>
      <c r="AB1266" s="448"/>
      <c r="AC1266" s="448"/>
      <c r="AD1266" s="447"/>
      <c r="AE1266" s="447"/>
      <c r="AF1266" s="447"/>
      <c r="AG1266" s="447"/>
      <c r="AH1266" s="447"/>
      <c r="AI1266" s="447"/>
      <c r="AJ1266" s="447">
        <v>1</v>
      </c>
      <c r="AK1266" s="447"/>
      <c r="AL1266" s="447"/>
      <c r="AM1266" s="447"/>
      <c r="AN1266" s="447"/>
      <c r="AO1266" s="447"/>
      <c r="AP1266" s="447"/>
      <c r="AQ1266" s="447"/>
      <c r="AR1266" s="447"/>
      <c r="AS1266" s="447"/>
      <c r="AT1266" s="447"/>
      <c r="AU1266" s="447"/>
      <c r="AV1266" s="447"/>
      <c r="AW1266" s="447"/>
      <c r="AX1266" s="447"/>
      <c r="AY1266" s="447"/>
      <c r="AZ1266" s="447"/>
      <c r="BA1266" s="448"/>
      <c r="BB1266" s="448"/>
      <c r="BC1266" s="447"/>
      <c r="BD1266" s="448" t="s">
        <v>54</v>
      </c>
      <c r="BE1266" s="447" t="s">
        <v>2388</v>
      </c>
    </row>
    <row r="1267" spans="1:57" ht="30" customHeight="1">
      <c r="A1267" s="443" t="s">
        <v>2392</v>
      </c>
      <c r="B1267" s="443" t="s">
        <v>2391</v>
      </c>
      <c r="C1267" s="443" t="s">
        <v>321</v>
      </c>
      <c r="D1267" s="1133">
        <v>4</v>
      </c>
      <c r="E1267" s="445">
        <v>4</v>
      </c>
      <c r="F1267" s="1147">
        <v>54000</v>
      </c>
      <c r="G1267" s="1147">
        <v>216000</v>
      </c>
      <c r="H1267" s="450">
        <v>54000</v>
      </c>
      <c r="I1267" s="450">
        <v>216000</v>
      </c>
      <c r="J1267" s="1147">
        <v>0</v>
      </c>
      <c r="K1267" s="1147">
        <v>0</v>
      </c>
      <c r="L1267" s="450">
        <v>0</v>
      </c>
      <c r="M1267" s="450">
        <v>0</v>
      </c>
      <c r="N1267" s="1147">
        <v>0</v>
      </c>
      <c r="O1267" s="1147">
        <v>0</v>
      </c>
      <c r="P1267" s="450">
        <v>0</v>
      </c>
      <c r="Q1267" s="450">
        <v>0</v>
      </c>
      <c r="R1267" s="1147">
        <v>54000</v>
      </c>
      <c r="S1267" s="1147">
        <v>216000</v>
      </c>
      <c r="T1267" s="450">
        <f t="shared" si="158"/>
        <v>54000</v>
      </c>
      <c r="U1267" s="450">
        <f t="shared" si="159"/>
        <v>216000</v>
      </c>
      <c r="V1267" s="454" t="s">
        <v>51</v>
      </c>
      <c r="W1267" s="448"/>
      <c r="X1267" s="448"/>
      <c r="Y1267" s="448"/>
      <c r="Z1267" s="448"/>
      <c r="AA1267" s="448">
        <v>0</v>
      </c>
      <c r="AB1267" s="448"/>
      <c r="AC1267" s="448"/>
      <c r="AD1267" s="447"/>
      <c r="AE1267" s="447"/>
      <c r="AF1267" s="447"/>
      <c r="AG1267" s="447"/>
      <c r="AH1267" s="447"/>
      <c r="AI1267" s="447"/>
      <c r="AJ1267" s="447">
        <v>1</v>
      </c>
      <c r="AK1267" s="447"/>
      <c r="AL1267" s="447"/>
      <c r="AM1267" s="447"/>
      <c r="AN1267" s="447"/>
      <c r="AO1267" s="447"/>
      <c r="AP1267" s="447"/>
      <c r="AQ1267" s="447"/>
      <c r="AR1267" s="447"/>
      <c r="AS1267" s="447"/>
      <c r="AT1267" s="447"/>
      <c r="AU1267" s="447"/>
      <c r="AV1267" s="447"/>
      <c r="AW1267" s="447"/>
      <c r="AX1267" s="447"/>
      <c r="AY1267" s="447"/>
      <c r="AZ1267" s="447"/>
      <c r="BA1267" s="448"/>
      <c r="BB1267" s="448"/>
      <c r="BC1267" s="447"/>
      <c r="BD1267" s="448" t="s">
        <v>54</v>
      </c>
      <c r="BE1267" s="447" t="s">
        <v>2386</v>
      </c>
    </row>
    <row r="1268" spans="1:57" ht="30" customHeight="1">
      <c r="A1268" s="443" t="s">
        <v>2373</v>
      </c>
      <c r="B1268" s="443" t="s">
        <v>2389</v>
      </c>
      <c r="C1268" s="443" t="s">
        <v>321</v>
      </c>
      <c r="D1268" s="1133">
        <v>60</v>
      </c>
      <c r="E1268" s="445">
        <v>60</v>
      </c>
      <c r="F1268" s="1147">
        <v>20000</v>
      </c>
      <c r="G1268" s="1147">
        <v>1200000</v>
      </c>
      <c r="H1268" s="450">
        <v>20000</v>
      </c>
      <c r="I1268" s="450">
        <v>1200000</v>
      </c>
      <c r="J1268" s="1147">
        <v>0</v>
      </c>
      <c r="K1268" s="1147">
        <v>0</v>
      </c>
      <c r="L1268" s="450">
        <v>0</v>
      </c>
      <c r="M1268" s="450">
        <v>0</v>
      </c>
      <c r="N1268" s="1147">
        <v>0</v>
      </c>
      <c r="O1268" s="1147">
        <v>0</v>
      </c>
      <c r="P1268" s="450">
        <v>0</v>
      </c>
      <c r="Q1268" s="450">
        <v>0</v>
      </c>
      <c r="R1268" s="1147">
        <v>20000</v>
      </c>
      <c r="S1268" s="1147">
        <v>1200000</v>
      </c>
      <c r="T1268" s="450">
        <f t="shared" si="158"/>
        <v>20000</v>
      </c>
      <c r="U1268" s="450">
        <f t="shared" si="159"/>
        <v>1200000</v>
      </c>
      <c r="V1268" s="454" t="s">
        <v>51</v>
      </c>
      <c r="W1268" s="448"/>
      <c r="X1268" s="448"/>
      <c r="Y1268" s="448"/>
      <c r="Z1268" s="448"/>
      <c r="AA1268" s="448">
        <v>0</v>
      </c>
      <c r="AB1268" s="448"/>
      <c r="AC1268" s="448"/>
      <c r="AD1268" s="447"/>
      <c r="AE1268" s="447"/>
      <c r="AF1268" s="447"/>
      <c r="AG1268" s="447"/>
      <c r="AH1268" s="447"/>
      <c r="AI1268" s="447"/>
      <c r="AJ1268" s="447">
        <v>1</v>
      </c>
      <c r="AK1268" s="447"/>
      <c r="AL1268" s="447"/>
      <c r="AM1268" s="447"/>
      <c r="AN1268" s="447"/>
      <c r="AO1268" s="447"/>
      <c r="AP1268" s="447"/>
      <c r="AQ1268" s="447"/>
      <c r="AR1268" s="447"/>
      <c r="AS1268" s="447"/>
      <c r="AT1268" s="447"/>
      <c r="AU1268" s="447"/>
      <c r="AV1268" s="447"/>
      <c r="AW1268" s="447"/>
      <c r="AX1268" s="447"/>
      <c r="AY1268" s="447"/>
      <c r="AZ1268" s="447"/>
      <c r="BA1268" s="448"/>
      <c r="BB1268" s="448"/>
      <c r="BC1268" s="447"/>
      <c r="BD1268" s="448" t="s">
        <v>54</v>
      </c>
      <c r="BE1268" s="447" t="s">
        <v>2384</v>
      </c>
    </row>
    <row r="1269" spans="1:57" ht="30" customHeight="1">
      <c r="A1269" s="443" t="s">
        <v>2373</v>
      </c>
      <c r="B1269" s="443" t="s">
        <v>2387</v>
      </c>
      <c r="C1269" s="443" t="s">
        <v>321</v>
      </c>
      <c r="D1269" s="1133">
        <v>6</v>
      </c>
      <c r="E1269" s="445">
        <v>6</v>
      </c>
      <c r="F1269" s="1147">
        <v>20000</v>
      </c>
      <c r="G1269" s="1147">
        <v>120000</v>
      </c>
      <c r="H1269" s="450">
        <v>20000</v>
      </c>
      <c r="I1269" s="450">
        <v>120000</v>
      </c>
      <c r="J1269" s="1147">
        <v>0</v>
      </c>
      <c r="K1269" s="1147">
        <v>0</v>
      </c>
      <c r="L1269" s="450">
        <v>0</v>
      </c>
      <c r="M1269" s="450">
        <v>0</v>
      </c>
      <c r="N1269" s="1147">
        <v>0</v>
      </c>
      <c r="O1269" s="1147">
        <v>0</v>
      </c>
      <c r="P1269" s="450">
        <v>0</v>
      </c>
      <c r="Q1269" s="450">
        <v>0</v>
      </c>
      <c r="R1269" s="1147">
        <v>20000</v>
      </c>
      <c r="S1269" s="1147">
        <v>120000</v>
      </c>
      <c r="T1269" s="450">
        <f t="shared" si="158"/>
        <v>20000</v>
      </c>
      <c r="U1269" s="450">
        <f t="shared" si="159"/>
        <v>120000</v>
      </c>
      <c r="V1269" s="454" t="s">
        <v>51</v>
      </c>
      <c r="W1269" s="448"/>
      <c r="X1269" s="448"/>
      <c r="Y1269" s="448"/>
      <c r="Z1269" s="448"/>
      <c r="AA1269" s="448">
        <v>0</v>
      </c>
      <c r="AB1269" s="448"/>
      <c r="AC1269" s="448"/>
      <c r="AD1269" s="447"/>
      <c r="AE1269" s="447"/>
      <c r="AF1269" s="447"/>
      <c r="AG1269" s="447"/>
      <c r="AH1269" s="447"/>
      <c r="AI1269" s="447"/>
      <c r="AJ1269" s="447">
        <v>1</v>
      </c>
      <c r="AK1269" s="447"/>
      <c r="AL1269" s="447"/>
      <c r="AM1269" s="447"/>
      <c r="AN1269" s="447"/>
      <c r="AO1269" s="447"/>
      <c r="AP1269" s="447"/>
      <c r="AQ1269" s="447"/>
      <c r="AR1269" s="447"/>
      <c r="AS1269" s="447"/>
      <c r="AT1269" s="447"/>
      <c r="AU1269" s="447"/>
      <c r="AV1269" s="447"/>
      <c r="AW1269" s="447"/>
      <c r="AX1269" s="447"/>
      <c r="AY1269" s="447"/>
      <c r="AZ1269" s="447"/>
      <c r="BA1269" s="448"/>
      <c r="BB1269" s="448"/>
      <c r="BC1269" s="447"/>
      <c r="BD1269" s="448" t="s">
        <v>54</v>
      </c>
      <c r="BE1269" s="447" t="s">
        <v>2382</v>
      </c>
    </row>
    <row r="1270" spans="1:57" ht="30" customHeight="1">
      <c r="A1270" s="443" t="s">
        <v>2373</v>
      </c>
      <c r="B1270" s="443" t="s">
        <v>2385</v>
      </c>
      <c r="C1270" s="443" t="s">
        <v>321</v>
      </c>
      <c r="D1270" s="1133">
        <v>7</v>
      </c>
      <c r="E1270" s="445">
        <v>7</v>
      </c>
      <c r="F1270" s="1147">
        <v>20000</v>
      </c>
      <c r="G1270" s="1147">
        <v>140000</v>
      </c>
      <c r="H1270" s="450">
        <v>20000</v>
      </c>
      <c r="I1270" s="450">
        <v>140000</v>
      </c>
      <c r="J1270" s="1147">
        <v>0</v>
      </c>
      <c r="K1270" s="1147">
        <v>0</v>
      </c>
      <c r="L1270" s="450">
        <v>0</v>
      </c>
      <c r="M1270" s="450">
        <v>0</v>
      </c>
      <c r="N1270" s="1147">
        <v>0</v>
      </c>
      <c r="O1270" s="1147">
        <v>0</v>
      </c>
      <c r="P1270" s="450">
        <v>0</v>
      </c>
      <c r="Q1270" s="450">
        <v>0</v>
      </c>
      <c r="R1270" s="1147">
        <v>20000</v>
      </c>
      <c r="S1270" s="1147">
        <v>140000</v>
      </c>
      <c r="T1270" s="450">
        <f t="shared" si="158"/>
        <v>20000</v>
      </c>
      <c r="U1270" s="450">
        <f t="shared" si="159"/>
        <v>140000</v>
      </c>
      <c r="V1270" s="454" t="s">
        <v>51</v>
      </c>
      <c r="W1270" s="448"/>
      <c r="X1270" s="448"/>
      <c r="Y1270" s="448"/>
      <c r="Z1270" s="448"/>
      <c r="AA1270" s="448">
        <v>0</v>
      </c>
      <c r="AB1270" s="448"/>
      <c r="AC1270" s="448"/>
      <c r="AD1270" s="447"/>
      <c r="AE1270" s="447"/>
      <c r="AF1270" s="447"/>
      <c r="AG1270" s="447"/>
      <c r="AH1270" s="447"/>
      <c r="AI1270" s="447"/>
      <c r="AJ1270" s="447">
        <v>1</v>
      </c>
      <c r="AK1270" s="447"/>
      <c r="AL1270" s="447"/>
      <c r="AM1270" s="447"/>
      <c r="AN1270" s="447"/>
      <c r="AO1270" s="447"/>
      <c r="AP1270" s="447"/>
      <c r="AQ1270" s="447"/>
      <c r="AR1270" s="447"/>
      <c r="AS1270" s="447"/>
      <c r="AT1270" s="447"/>
      <c r="AU1270" s="447"/>
      <c r="AV1270" s="447"/>
      <c r="AW1270" s="447"/>
      <c r="AX1270" s="447"/>
      <c r="AY1270" s="447"/>
      <c r="AZ1270" s="447"/>
      <c r="BA1270" s="448"/>
      <c r="BB1270" s="448"/>
      <c r="BC1270" s="447"/>
      <c r="BD1270" s="448" t="s">
        <v>54</v>
      </c>
      <c r="BE1270" s="447" t="s">
        <v>2380</v>
      </c>
    </row>
    <row r="1271" spans="1:57" ht="30" customHeight="1">
      <c r="A1271" s="443" t="s">
        <v>2373</v>
      </c>
      <c r="B1271" s="443" t="s">
        <v>2383</v>
      </c>
      <c r="C1271" s="443" t="s">
        <v>321</v>
      </c>
      <c r="D1271" s="1133">
        <v>4</v>
      </c>
      <c r="E1271" s="445">
        <v>4</v>
      </c>
      <c r="F1271" s="1147">
        <v>20000</v>
      </c>
      <c r="G1271" s="1147">
        <v>80000</v>
      </c>
      <c r="H1271" s="450">
        <v>20000</v>
      </c>
      <c r="I1271" s="450">
        <v>80000</v>
      </c>
      <c r="J1271" s="1147">
        <v>0</v>
      </c>
      <c r="K1271" s="1147">
        <v>0</v>
      </c>
      <c r="L1271" s="450">
        <v>0</v>
      </c>
      <c r="M1271" s="450">
        <v>0</v>
      </c>
      <c r="N1271" s="1147">
        <v>0</v>
      </c>
      <c r="O1271" s="1147">
        <v>0</v>
      </c>
      <c r="P1271" s="450">
        <v>0</v>
      </c>
      <c r="Q1271" s="450">
        <v>0</v>
      </c>
      <c r="R1271" s="1147">
        <v>20000</v>
      </c>
      <c r="S1271" s="1147">
        <v>80000</v>
      </c>
      <c r="T1271" s="450">
        <f t="shared" si="158"/>
        <v>20000</v>
      </c>
      <c r="U1271" s="450">
        <f t="shared" si="159"/>
        <v>80000</v>
      </c>
      <c r="V1271" s="454" t="s">
        <v>51</v>
      </c>
      <c r="W1271" s="448"/>
      <c r="X1271" s="448"/>
      <c r="Y1271" s="448"/>
      <c r="Z1271" s="448"/>
      <c r="AA1271" s="448">
        <v>0</v>
      </c>
      <c r="AB1271" s="448"/>
      <c r="AC1271" s="448"/>
      <c r="AD1271" s="447"/>
      <c r="AE1271" s="447"/>
      <c r="AF1271" s="447"/>
      <c r="AG1271" s="447"/>
      <c r="AH1271" s="447"/>
      <c r="AI1271" s="447"/>
      <c r="AJ1271" s="447">
        <v>1</v>
      </c>
      <c r="AK1271" s="447"/>
      <c r="AL1271" s="447"/>
      <c r="AM1271" s="447"/>
      <c r="AN1271" s="447"/>
      <c r="AO1271" s="447"/>
      <c r="AP1271" s="447"/>
      <c r="AQ1271" s="447"/>
      <c r="AR1271" s="447"/>
      <c r="AS1271" s="447"/>
      <c r="AT1271" s="447"/>
      <c r="AU1271" s="447"/>
      <c r="AV1271" s="447"/>
      <c r="AW1271" s="447"/>
      <c r="AX1271" s="447"/>
      <c r="AY1271" s="447"/>
      <c r="AZ1271" s="447"/>
      <c r="BA1271" s="448"/>
      <c r="BB1271" s="448"/>
      <c r="BC1271" s="447"/>
      <c r="BD1271" s="448" t="s">
        <v>54</v>
      </c>
      <c r="BE1271" s="447" t="s">
        <v>2378</v>
      </c>
    </row>
    <row r="1272" spans="1:57" ht="30" customHeight="1">
      <c r="A1272" s="443" t="s">
        <v>2373</v>
      </c>
      <c r="B1272" s="443" t="s">
        <v>2381</v>
      </c>
      <c r="C1272" s="443" t="s">
        <v>321</v>
      </c>
      <c r="D1272" s="1133">
        <v>1</v>
      </c>
      <c r="E1272" s="445">
        <v>1</v>
      </c>
      <c r="F1272" s="1147">
        <v>20000</v>
      </c>
      <c r="G1272" s="1147">
        <v>20000</v>
      </c>
      <c r="H1272" s="450">
        <v>20000</v>
      </c>
      <c r="I1272" s="450">
        <v>20000</v>
      </c>
      <c r="J1272" s="1147">
        <v>0</v>
      </c>
      <c r="K1272" s="1147">
        <v>0</v>
      </c>
      <c r="L1272" s="450">
        <v>0</v>
      </c>
      <c r="M1272" s="450">
        <v>0</v>
      </c>
      <c r="N1272" s="1147">
        <v>0</v>
      </c>
      <c r="O1272" s="1147">
        <v>0</v>
      </c>
      <c r="P1272" s="450">
        <v>0</v>
      </c>
      <c r="Q1272" s="450">
        <v>0</v>
      </c>
      <c r="R1272" s="1147">
        <v>20000</v>
      </c>
      <c r="S1272" s="1147">
        <v>20000</v>
      </c>
      <c r="T1272" s="450">
        <f t="shared" si="158"/>
        <v>20000</v>
      </c>
      <c r="U1272" s="450">
        <f t="shared" si="159"/>
        <v>20000</v>
      </c>
      <c r="V1272" s="454" t="s">
        <v>51</v>
      </c>
      <c r="W1272" s="448"/>
      <c r="X1272" s="448"/>
      <c r="Y1272" s="448"/>
      <c r="Z1272" s="448"/>
      <c r="AA1272" s="448">
        <v>0</v>
      </c>
      <c r="AB1272" s="448"/>
      <c r="AC1272" s="448"/>
      <c r="AD1272" s="447"/>
      <c r="AE1272" s="447"/>
      <c r="AF1272" s="447"/>
      <c r="AG1272" s="447"/>
      <c r="AH1272" s="447"/>
      <c r="AI1272" s="447"/>
      <c r="AJ1272" s="447">
        <v>1</v>
      </c>
      <c r="AK1272" s="447"/>
      <c r="AL1272" s="447"/>
      <c r="AM1272" s="447"/>
      <c r="AN1272" s="447"/>
      <c r="AO1272" s="447"/>
      <c r="AP1272" s="447"/>
      <c r="AQ1272" s="447"/>
      <c r="AR1272" s="447"/>
      <c r="AS1272" s="447"/>
      <c r="AT1272" s="447"/>
      <c r="AU1272" s="447"/>
      <c r="AV1272" s="447"/>
      <c r="AW1272" s="447"/>
      <c r="AX1272" s="447"/>
      <c r="AY1272" s="447"/>
      <c r="AZ1272" s="447"/>
      <c r="BA1272" s="448"/>
      <c r="BB1272" s="448"/>
      <c r="BC1272" s="447"/>
      <c r="BD1272" s="448" t="s">
        <v>54</v>
      </c>
      <c r="BE1272" s="447" t="s">
        <v>2376</v>
      </c>
    </row>
    <row r="1273" spans="1:57" ht="30" customHeight="1">
      <c r="A1273" s="443" t="s">
        <v>2373</v>
      </c>
      <c r="B1273" s="443" t="s">
        <v>2379</v>
      </c>
      <c r="C1273" s="443" t="s">
        <v>321</v>
      </c>
      <c r="D1273" s="1133">
        <v>3</v>
      </c>
      <c r="E1273" s="445">
        <v>3</v>
      </c>
      <c r="F1273" s="1147">
        <v>20000</v>
      </c>
      <c r="G1273" s="1147">
        <v>60000</v>
      </c>
      <c r="H1273" s="450">
        <v>20000</v>
      </c>
      <c r="I1273" s="450">
        <v>60000</v>
      </c>
      <c r="J1273" s="1147">
        <v>0</v>
      </c>
      <c r="K1273" s="1147">
        <v>0</v>
      </c>
      <c r="L1273" s="450">
        <v>0</v>
      </c>
      <c r="M1273" s="450">
        <v>0</v>
      </c>
      <c r="N1273" s="1147">
        <v>0</v>
      </c>
      <c r="O1273" s="1147">
        <v>0</v>
      </c>
      <c r="P1273" s="450">
        <v>0</v>
      </c>
      <c r="Q1273" s="450">
        <v>0</v>
      </c>
      <c r="R1273" s="1147">
        <v>20000</v>
      </c>
      <c r="S1273" s="1147">
        <v>60000</v>
      </c>
      <c r="T1273" s="450">
        <f t="shared" si="158"/>
        <v>20000</v>
      </c>
      <c r="U1273" s="450">
        <f t="shared" si="159"/>
        <v>60000</v>
      </c>
      <c r="V1273" s="454" t="s">
        <v>51</v>
      </c>
      <c r="W1273" s="448"/>
      <c r="X1273" s="448"/>
      <c r="Y1273" s="448"/>
      <c r="Z1273" s="448"/>
      <c r="AA1273" s="448">
        <v>0</v>
      </c>
      <c r="AB1273" s="448"/>
      <c r="AC1273" s="448"/>
      <c r="AD1273" s="447"/>
      <c r="AE1273" s="447"/>
      <c r="AF1273" s="447"/>
      <c r="AG1273" s="447"/>
      <c r="AH1273" s="447"/>
      <c r="AI1273" s="447"/>
      <c r="AJ1273" s="447">
        <v>1</v>
      </c>
      <c r="AK1273" s="447"/>
      <c r="AL1273" s="447"/>
      <c r="AM1273" s="447"/>
      <c r="AN1273" s="447"/>
      <c r="AO1273" s="447"/>
      <c r="AP1273" s="447"/>
      <c r="AQ1273" s="447"/>
      <c r="AR1273" s="447"/>
      <c r="AS1273" s="447"/>
      <c r="AT1273" s="447"/>
      <c r="AU1273" s="447"/>
      <c r="AV1273" s="447"/>
      <c r="AW1273" s="447"/>
      <c r="AX1273" s="447"/>
      <c r="AY1273" s="447"/>
      <c r="AZ1273" s="447"/>
      <c r="BA1273" s="448"/>
      <c r="BB1273" s="448"/>
      <c r="BC1273" s="447"/>
      <c r="BD1273" s="448" t="s">
        <v>54</v>
      </c>
      <c r="BE1273" s="447" t="s">
        <v>2374</v>
      </c>
    </row>
    <row r="1274" spans="1:57" ht="30" customHeight="1">
      <c r="A1274" s="443" t="s">
        <v>2373</v>
      </c>
      <c r="B1274" s="443" t="s">
        <v>2377</v>
      </c>
      <c r="C1274" s="443" t="s">
        <v>321</v>
      </c>
      <c r="D1274" s="1133">
        <v>3</v>
      </c>
      <c r="E1274" s="445">
        <v>3</v>
      </c>
      <c r="F1274" s="1147">
        <v>20000</v>
      </c>
      <c r="G1274" s="1147">
        <v>60000</v>
      </c>
      <c r="H1274" s="450">
        <v>20000</v>
      </c>
      <c r="I1274" s="450">
        <v>60000</v>
      </c>
      <c r="J1274" s="1147">
        <v>0</v>
      </c>
      <c r="K1274" s="1147">
        <v>0</v>
      </c>
      <c r="L1274" s="450">
        <v>0</v>
      </c>
      <c r="M1274" s="450">
        <v>0</v>
      </c>
      <c r="N1274" s="1147">
        <v>0</v>
      </c>
      <c r="O1274" s="1147">
        <v>0</v>
      </c>
      <c r="P1274" s="450">
        <v>0</v>
      </c>
      <c r="Q1274" s="450">
        <v>0</v>
      </c>
      <c r="R1274" s="1147">
        <v>20000</v>
      </c>
      <c r="S1274" s="1147">
        <v>60000</v>
      </c>
      <c r="T1274" s="450">
        <f t="shared" si="158"/>
        <v>20000</v>
      </c>
      <c r="U1274" s="450">
        <f t="shared" si="159"/>
        <v>60000</v>
      </c>
      <c r="V1274" s="454" t="s">
        <v>51</v>
      </c>
      <c r="W1274" s="448"/>
      <c r="X1274" s="448"/>
      <c r="Y1274" s="448"/>
      <c r="Z1274" s="448"/>
      <c r="AA1274" s="448">
        <v>0</v>
      </c>
      <c r="AB1274" s="448"/>
      <c r="AC1274" s="448"/>
      <c r="AD1274" s="447"/>
      <c r="AE1274" s="447"/>
      <c r="AF1274" s="447"/>
      <c r="AG1274" s="447"/>
      <c r="AH1274" s="447"/>
      <c r="AI1274" s="447"/>
      <c r="AJ1274" s="447">
        <v>1</v>
      </c>
      <c r="AK1274" s="447"/>
      <c r="AL1274" s="447"/>
      <c r="AM1274" s="447"/>
      <c r="AN1274" s="447"/>
      <c r="AO1274" s="447"/>
      <c r="AP1274" s="447"/>
      <c r="AQ1274" s="447"/>
      <c r="AR1274" s="447"/>
      <c r="AS1274" s="447"/>
      <c r="AT1274" s="447"/>
      <c r="AU1274" s="447"/>
      <c r="AV1274" s="447"/>
      <c r="AW1274" s="447"/>
      <c r="AX1274" s="447"/>
      <c r="AY1274" s="447"/>
      <c r="AZ1274" s="447"/>
      <c r="BA1274" s="448"/>
      <c r="BB1274" s="448"/>
      <c r="BC1274" s="447"/>
      <c r="BD1274" s="448" t="s">
        <v>54</v>
      </c>
      <c r="BE1274" s="447" t="s">
        <v>2371</v>
      </c>
    </row>
    <row r="1275" spans="1:57" ht="30" customHeight="1">
      <c r="A1275" s="443" t="s">
        <v>2373</v>
      </c>
      <c r="B1275" s="443" t="s">
        <v>2375</v>
      </c>
      <c r="C1275" s="443" t="s">
        <v>321</v>
      </c>
      <c r="D1275" s="1133">
        <v>1</v>
      </c>
      <c r="E1275" s="445">
        <v>1</v>
      </c>
      <c r="F1275" s="1147">
        <v>20250</v>
      </c>
      <c r="G1275" s="1147">
        <v>20250</v>
      </c>
      <c r="H1275" s="450">
        <v>20250</v>
      </c>
      <c r="I1275" s="450">
        <v>20250</v>
      </c>
      <c r="J1275" s="1147">
        <v>0</v>
      </c>
      <c r="K1275" s="1147">
        <v>0</v>
      </c>
      <c r="L1275" s="450">
        <v>0</v>
      </c>
      <c r="M1275" s="450">
        <v>0</v>
      </c>
      <c r="N1275" s="1147">
        <v>0</v>
      </c>
      <c r="O1275" s="1147">
        <v>0</v>
      </c>
      <c r="P1275" s="450">
        <v>0</v>
      </c>
      <c r="Q1275" s="450">
        <v>0</v>
      </c>
      <c r="R1275" s="1147">
        <v>20250</v>
      </c>
      <c r="S1275" s="1147">
        <v>20250</v>
      </c>
      <c r="T1275" s="450">
        <f t="shared" si="158"/>
        <v>20250</v>
      </c>
      <c r="U1275" s="450">
        <f t="shared" si="159"/>
        <v>20250</v>
      </c>
      <c r="V1275" s="454" t="s">
        <v>51</v>
      </c>
      <c r="W1275" s="448"/>
      <c r="X1275" s="448"/>
      <c r="Y1275" s="448"/>
      <c r="Z1275" s="448"/>
      <c r="AA1275" s="448">
        <v>0</v>
      </c>
      <c r="AB1275" s="448"/>
      <c r="AC1275" s="448"/>
      <c r="AD1275" s="447">
        <v>3</v>
      </c>
      <c r="AE1275" s="447"/>
      <c r="AF1275" s="447"/>
      <c r="AG1275" s="447"/>
      <c r="AH1275" s="447"/>
      <c r="AI1275" s="447"/>
      <c r="AJ1275" s="447">
        <v>1</v>
      </c>
      <c r="AK1275" s="447"/>
      <c r="AL1275" s="447"/>
      <c r="AM1275" s="447"/>
      <c r="AN1275" s="447"/>
      <c r="AO1275" s="447"/>
      <c r="AP1275" s="447"/>
      <c r="AQ1275" s="447"/>
      <c r="AR1275" s="447"/>
      <c r="AS1275" s="447"/>
      <c r="AT1275" s="447"/>
      <c r="AU1275" s="447"/>
      <c r="AV1275" s="447"/>
      <c r="AW1275" s="447"/>
      <c r="AX1275" s="447"/>
      <c r="AY1275" s="447"/>
      <c r="AZ1275" s="447"/>
      <c r="BA1275" s="448"/>
      <c r="BB1275" s="448"/>
      <c r="BC1275" s="447"/>
      <c r="BD1275" s="448" t="s">
        <v>54</v>
      </c>
      <c r="BE1275" s="447" t="s">
        <v>2370</v>
      </c>
    </row>
    <row r="1276" spans="1:57" ht="30" customHeight="1">
      <c r="A1276" s="443" t="s">
        <v>2373</v>
      </c>
      <c r="B1276" s="443" t="s">
        <v>2372</v>
      </c>
      <c r="C1276" s="443" t="s">
        <v>321</v>
      </c>
      <c r="D1276" s="1133">
        <v>1</v>
      </c>
      <c r="E1276" s="445">
        <v>1</v>
      </c>
      <c r="F1276" s="1147">
        <v>30000</v>
      </c>
      <c r="G1276" s="1147">
        <v>30000</v>
      </c>
      <c r="H1276" s="450">
        <v>30000</v>
      </c>
      <c r="I1276" s="450">
        <v>30000</v>
      </c>
      <c r="J1276" s="1147">
        <v>0</v>
      </c>
      <c r="K1276" s="1147">
        <v>0</v>
      </c>
      <c r="L1276" s="450">
        <v>0</v>
      </c>
      <c r="M1276" s="450">
        <v>0</v>
      </c>
      <c r="N1276" s="1147">
        <v>0</v>
      </c>
      <c r="O1276" s="1147">
        <v>0</v>
      </c>
      <c r="P1276" s="450">
        <v>0</v>
      </c>
      <c r="Q1276" s="450">
        <v>0</v>
      </c>
      <c r="R1276" s="1147">
        <v>30000</v>
      </c>
      <c r="S1276" s="1147">
        <v>30000</v>
      </c>
      <c r="T1276" s="450">
        <f t="shared" si="158"/>
        <v>30000</v>
      </c>
      <c r="U1276" s="450">
        <f t="shared" si="159"/>
        <v>30000</v>
      </c>
      <c r="V1276" s="454" t="s">
        <v>51</v>
      </c>
      <c r="W1276" s="448"/>
      <c r="X1276" s="448"/>
      <c r="Y1276" s="448"/>
      <c r="Z1276" s="448"/>
      <c r="AA1276" s="448">
        <v>0</v>
      </c>
      <c r="AB1276" s="448"/>
      <c r="AC1276" s="448"/>
      <c r="AD1276" s="447">
        <v>3</v>
      </c>
      <c r="AE1276" s="447"/>
      <c r="AF1276" s="447"/>
      <c r="AG1276" s="447"/>
      <c r="AH1276" s="447"/>
      <c r="AI1276" s="447"/>
      <c r="AJ1276" s="447">
        <v>1</v>
      </c>
      <c r="AK1276" s="447"/>
      <c r="AL1276" s="447"/>
      <c r="AM1276" s="447"/>
      <c r="AN1276" s="447"/>
      <c r="AO1276" s="447"/>
      <c r="AP1276" s="447"/>
      <c r="AQ1276" s="447"/>
      <c r="AR1276" s="447"/>
      <c r="AS1276" s="447"/>
      <c r="AT1276" s="447"/>
      <c r="AU1276" s="447"/>
      <c r="AV1276" s="447"/>
      <c r="AW1276" s="447"/>
      <c r="AX1276" s="447"/>
      <c r="AY1276" s="447"/>
      <c r="AZ1276" s="447"/>
      <c r="BA1276" s="448"/>
      <c r="BB1276" s="448"/>
      <c r="BC1276" s="447"/>
      <c r="BD1276" s="448" t="s">
        <v>54</v>
      </c>
      <c r="BE1276" s="447" t="s">
        <v>2369</v>
      </c>
    </row>
    <row r="1277" spans="1:57" ht="30" customHeight="1">
      <c r="A1277" s="443" t="s">
        <v>2358</v>
      </c>
      <c r="B1277" s="443" t="s">
        <v>996</v>
      </c>
      <c r="C1277" s="443" t="s">
        <v>419</v>
      </c>
      <c r="D1277" s="1133">
        <v>14</v>
      </c>
      <c r="E1277" s="445">
        <v>14</v>
      </c>
      <c r="F1277" s="1147">
        <v>0</v>
      </c>
      <c r="G1277" s="1147">
        <v>0</v>
      </c>
      <c r="H1277" s="450">
        <v>0</v>
      </c>
      <c r="I1277" s="450">
        <v>0</v>
      </c>
      <c r="J1277" s="1147">
        <v>130264</v>
      </c>
      <c r="K1277" s="1147">
        <v>1823696</v>
      </c>
      <c r="L1277" s="450">
        <v>130264</v>
      </c>
      <c r="M1277" s="450">
        <v>1823696</v>
      </c>
      <c r="N1277" s="1147">
        <v>0</v>
      </c>
      <c r="O1277" s="1147">
        <v>0</v>
      </c>
      <c r="P1277" s="450">
        <v>0</v>
      </c>
      <c r="Q1277" s="450">
        <v>0</v>
      </c>
      <c r="R1277" s="1147">
        <v>130264</v>
      </c>
      <c r="S1277" s="1147">
        <v>1823696</v>
      </c>
      <c r="T1277" s="450">
        <f t="shared" si="158"/>
        <v>130264</v>
      </c>
      <c r="U1277" s="450">
        <f t="shared" si="159"/>
        <v>1823696</v>
      </c>
      <c r="V1277" s="454" t="s">
        <v>51</v>
      </c>
      <c r="W1277" s="448">
        <v>40</v>
      </c>
      <c r="X1277" s="448"/>
      <c r="Y1277" s="448">
        <v>1</v>
      </c>
      <c r="Z1277" s="448">
        <v>0</v>
      </c>
      <c r="AA1277" s="448">
        <v>0.02</v>
      </c>
      <c r="AB1277" s="448"/>
      <c r="AC1277" s="448"/>
      <c r="AD1277" s="447"/>
      <c r="AE1277" s="447"/>
      <c r="AF1277" s="447"/>
      <c r="AG1277" s="447"/>
      <c r="AH1277" s="447"/>
      <c r="AI1277" s="447"/>
      <c r="AJ1277" s="447">
        <v>1</v>
      </c>
      <c r="AK1277" s="447"/>
      <c r="AL1277" s="447"/>
      <c r="AM1277" s="447"/>
      <c r="AN1277" s="447"/>
      <c r="AO1277" s="447"/>
      <c r="AP1277" s="447"/>
      <c r="AQ1277" s="447"/>
      <c r="AR1277" s="447"/>
      <c r="AS1277" s="447"/>
      <c r="AT1277" s="447"/>
      <c r="AU1277" s="447"/>
      <c r="AV1277" s="447"/>
      <c r="AW1277" s="447"/>
      <c r="AX1277" s="447"/>
      <c r="AY1277" s="447"/>
      <c r="AZ1277" s="447"/>
      <c r="BA1277" s="448"/>
      <c r="BB1277" s="448"/>
      <c r="BC1277" s="447"/>
      <c r="BD1277" s="448" t="s">
        <v>54</v>
      </c>
      <c r="BE1277" s="447" t="s">
        <v>2368</v>
      </c>
    </row>
    <row r="1278" spans="1:57" ht="30" customHeight="1">
      <c r="A1278" s="443" t="s">
        <v>2358</v>
      </c>
      <c r="B1278" s="443" t="s">
        <v>2359</v>
      </c>
      <c r="C1278" s="443" t="s">
        <v>419</v>
      </c>
      <c r="D1278" s="1133">
        <v>331</v>
      </c>
      <c r="E1278" s="445">
        <v>331</v>
      </c>
      <c r="F1278" s="1147">
        <v>0</v>
      </c>
      <c r="G1278" s="1147">
        <v>0</v>
      </c>
      <c r="H1278" s="450">
        <v>0</v>
      </c>
      <c r="I1278" s="450">
        <v>0</v>
      </c>
      <c r="J1278" s="1147">
        <v>164907</v>
      </c>
      <c r="K1278" s="1147">
        <v>54584217</v>
      </c>
      <c r="L1278" s="450">
        <v>164907</v>
      </c>
      <c r="M1278" s="450">
        <v>54584217</v>
      </c>
      <c r="N1278" s="1147">
        <v>0</v>
      </c>
      <c r="O1278" s="1147">
        <v>0</v>
      </c>
      <c r="P1278" s="450">
        <v>0</v>
      </c>
      <c r="Q1278" s="450">
        <v>0</v>
      </c>
      <c r="R1278" s="1147">
        <v>164907</v>
      </c>
      <c r="S1278" s="1147">
        <v>54584217</v>
      </c>
      <c r="T1278" s="450">
        <f t="shared" si="158"/>
        <v>164907</v>
      </c>
      <c r="U1278" s="450">
        <f t="shared" si="159"/>
        <v>54584217</v>
      </c>
      <c r="V1278" s="454" t="s">
        <v>51</v>
      </c>
      <c r="W1278" s="448"/>
      <c r="X1278" s="448"/>
      <c r="Y1278" s="448"/>
      <c r="Z1278" s="448"/>
      <c r="AA1278" s="448"/>
      <c r="AB1278" s="448"/>
      <c r="AC1278" s="448"/>
      <c r="AD1278" s="447"/>
      <c r="AE1278" s="447"/>
      <c r="AF1278" s="447"/>
      <c r="AG1278" s="447"/>
      <c r="AH1278" s="447"/>
      <c r="AI1278" s="447"/>
      <c r="AJ1278" s="447"/>
      <c r="AK1278" s="447"/>
      <c r="AL1278" s="447"/>
      <c r="AM1278" s="447"/>
      <c r="AN1278" s="447"/>
      <c r="AO1278" s="447"/>
      <c r="AP1278" s="447"/>
      <c r="AQ1278" s="447"/>
      <c r="AR1278" s="447"/>
      <c r="AS1278" s="447"/>
      <c r="AT1278" s="447"/>
      <c r="AU1278" s="447"/>
      <c r="AV1278" s="447"/>
      <c r="AW1278" s="447"/>
      <c r="AX1278" s="447"/>
      <c r="AY1278" s="447"/>
      <c r="AZ1278" s="447"/>
      <c r="BA1278" s="448"/>
      <c r="BB1278" s="448"/>
      <c r="BC1278" s="447"/>
      <c r="BD1278" s="448"/>
      <c r="BE1278" s="447"/>
    </row>
    <row r="1279" spans="1:57" ht="30" customHeight="1">
      <c r="A1279" s="443" t="s">
        <v>1134</v>
      </c>
      <c r="B1279" s="443" t="s">
        <v>2355</v>
      </c>
      <c r="C1279" s="443" t="s">
        <v>82</v>
      </c>
      <c r="D1279" s="1133">
        <v>1</v>
      </c>
      <c r="E1279" s="445">
        <v>1</v>
      </c>
      <c r="F1279" s="1147">
        <v>1128158</v>
      </c>
      <c r="G1279" s="1147">
        <v>1128158</v>
      </c>
      <c r="H1279" s="450">
        <v>1128158</v>
      </c>
      <c r="I1279" s="450">
        <v>1128158</v>
      </c>
      <c r="J1279" s="1147">
        <v>0</v>
      </c>
      <c r="K1279" s="1147">
        <v>0</v>
      </c>
      <c r="L1279" s="450">
        <v>0</v>
      </c>
      <c r="M1279" s="450">
        <v>0</v>
      </c>
      <c r="N1279" s="1147">
        <v>0</v>
      </c>
      <c r="O1279" s="1147">
        <v>0</v>
      </c>
      <c r="P1279" s="450">
        <v>0</v>
      </c>
      <c r="Q1279" s="450">
        <v>0</v>
      </c>
      <c r="R1279" s="1147">
        <v>1128158</v>
      </c>
      <c r="S1279" s="1147">
        <v>1128158</v>
      </c>
      <c r="T1279" s="450">
        <f t="shared" si="158"/>
        <v>1128158</v>
      </c>
      <c r="U1279" s="450">
        <f t="shared" si="159"/>
        <v>1128158</v>
      </c>
      <c r="V1279" s="454" t="s">
        <v>51</v>
      </c>
      <c r="W1279" s="448"/>
      <c r="X1279" s="448"/>
      <c r="Y1279" s="448"/>
      <c r="Z1279" s="448"/>
      <c r="AA1279" s="448"/>
      <c r="AB1279" s="448"/>
      <c r="AC1279" s="448"/>
      <c r="AD1279" s="447"/>
      <c r="AE1279" s="447"/>
      <c r="AF1279" s="447"/>
      <c r="AG1279" s="447"/>
      <c r="AH1279" s="447"/>
      <c r="AI1279" s="447"/>
      <c r="AJ1279" s="447"/>
      <c r="AK1279" s="447"/>
      <c r="AL1279" s="447"/>
      <c r="AM1279" s="447"/>
      <c r="AN1279" s="447"/>
      <c r="AO1279" s="447"/>
      <c r="AP1279" s="447"/>
      <c r="AQ1279" s="447"/>
      <c r="AR1279" s="447"/>
      <c r="AS1279" s="447"/>
      <c r="AT1279" s="447"/>
      <c r="AU1279" s="447"/>
      <c r="AV1279" s="447"/>
      <c r="AW1279" s="447"/>
      <c r="AX1279" s="447"/>
      <c r="AY1279" s="447"/>
      <c r="AZ1279" s="447"/>
      <c r="BA1279" s="448"/>
      <c r="BB1279" s="448"/>
      <c r="BC1279" s="447"/>
      <c r="BD1279" s="448"/>
      <c r="BE1279" s="447"/>
    </row>
    <row r="1280" spans="1:57" ht="30" customHeight="1">
      <c r="A1280" s="443"/>
      <c r="B1280" s="443"/>
      <c r="C1280" s="443"/>
      <c r="D1280" s="1133"/>
      <c r="E1280" s="445"/>
      <c r="F1280" s="1147"/>
      <c r="G1280" s="1147"/>
      <c r="H1280" s="450"/>
      <c r="I1280" s="450"/>
      <c r="J1280" s="1147"/>
      <c r="K1280" s="1147"/>
      <c r="L1280" s="450"/>
      <c r="M1280" s="450"/>
      <c r="N1280" s="1147"/>
      <c r="O1280" s="1147"/>
      <c r="P1280" s="450"/>
      <c r="Q1280" s="450"/>
      <c r="R1280" s="1147"/>
      <c r="S1280" s="1147"/>
      <c r="T1280" s="450"/>
      <c r="U1280" s="450"/>
      <c r="V1280" s="454"/>
      <c r="W1280" s="448"/>
      <c r="X1280" s="448"/>
      <c r="Y1280" s="448"/>
      <c r="Z1280" s="448"/>
      <c r="AA1280" s="448"/>
      <c r="AB1280" s="448"/>
      <c r="AC1280" s="448"/>
      <c r="AD1280" s="447"/>
      <c r="AE1280" s="447"/>
      <c r="AF1280" s="447"/>
      <c r="AG1280" s="447"/>
      <c r="AH1280" s="447"/>
      <c r="AI1280" s="447"/>
      <c r="AJ1280" s="447"/>
      <c r="AK1280" s="447"/>
      <c r="AL1280" s="447"/>
      <c r="AM1280" s="447"/>
      <c r="AN1280" s="447"/>
      <c r="AO1280" s="447"/>
      <c r="AP1280" s="447"/>
      <c r="AQ1280" s="447"/>
      <c r="AR1280" s="447"/>
      <c r="AS1280" s="447"/>
      <c r="AT1280" s="447"/>
      <c r="AU1280" s="447"/>
      <c r="AV1280" s="447"/>
      <c r="AW1280" s="447"/>
      <c r="AX1280" s="447"/>
      <c r="AY1280" s="447"/>
      <c r="AZ1280" s="447"/>
      <c r="BA1280" s="448"/>
      <c r="BB1280" s="448"/>
      <c r="BC1280" s="447"/>
      <c r="BD1280" s="448"/>
      <c r="BE1280" s="447"/>
    </row>
    <row r="1281" spans="1:57" ht="30" customHeight="1">
      <c r="A1281" s="443"/>
      <c r="B1281" s="443"/>
      <c r="C1281" s="443"/>
      <c r="D1281" s="1133"/>
      <c r="E1281" s="445"/>
      <c r="F1281" s="1147"/>
      <c r="G1281" s="1147"/>
      <c r="H1281" s="450"/>
      <c r="I1281" s="450"/>
      <c r="J1281" s="1147"/>
      <c r="K1281" s="1147"/>
      <c r="L1281" s="450"/>
      <c r="M1281" s="450"/>
      <c r="N1281" s="1147"/>
      <c r="O1281" s="1147"/>
      <c r="P1281" s="450"/>
      <c r="Q1281" s="450"/>
      <c r="R1281" s="1147"/>
      <c r="S1281" s="1147"/>
      <c r="T1281" s="450"/>
      <c r="U1281" s="450"/>
      <c r="V1281" s="454"/>
      <c r="W1281" s="448"/>
      <c r="X1281" s="448"/>
      <c r="Y1281" s="448"/>
      <c r="Z1281" s="448"/>
      <c r="AA1281" s="448"/>
      <c r="AB1281" s="448"/>
      <c r="AC1281" s="448"/>
      <c r="AD1281" s="447"/>
      <c r="AE1281" s="447"/>
      <c r="AF1281" s="447"/>
      <c r="AG1281" s="447"/>
      <c r="AH1281" s="447"/>
      <c r="AI1281" s="447"/>
      <c r="AJ1281" s="447"/>
      <c r="AK1281" s="447"/>
      <c r="AL1281" s="447"/>
      <c r="AM1281" s="447"/>
      <c r="AN1281" s="447"/>
      <c r="AO1281" s="447"/>
      <c r="AP1281" s="447"/>
      <c r="AQ1281" s="447"/>
      <c r="AR1281" s="447"/>
      <c r="AS1281" s="447"/>
      <c r="AT1281" s="447"/>
      <c r="AU1281" s="447"/>
      <c r="AV1281" s="447"/>
      <c r="AW1281" s="447"/>
      <c r="AX1281" s="447"/>
      <c r="AY1281" s="447"/>
      <c r="AZ1281" s="447"/>
      <c r="BA1281" s="448"/>
      <c r="BB1281" s="448"/>
      <c r="BC1281" s="447"/>
      <c r="BD1281" s="448"/>
      <c r="BE1281" s="447"/>
    </row>
    <row r="1282" spans="1:57" ht="30" customHeight="1">
      <c r="A1282" s="443"/>
      <c r="B1282" s="443"/>
      <c r="C1282" s="443"/>
      <c r="D1282" s="1133"/>
      <c r="E1282" s="445"/>
      <c r="F1282" s="1147"/>
      <c r="G1282" s="1147"/>
      <c r="H1282" s="450"/>
      <c r="I1282" s="450"/>
      <c r="J1282" s="1147"/>
      <c r="K1282" s="1147"/>
      <c r="L1282" s="450"/>
      <c r="M1282" s="450"/>
      <c r="N1282" s="1147"/>
      <c r="O1282" s="1147"/>
      <c r="P1282" s="450"/>
      <c r="Q1282" s="450"/>
      <c r="R1282" s="1147"/>
      <c r="S1282" s="1147"/>
      <c r="T1282" s="450"/>
      <c r="U1282" s="450"/>
      <c r="V1282" s="454"/>
      <c r="W1282" s="448"/>
      <c r="X1282" s="448"/>
      <c r="Y1282" s="448"/>
      <c r="Z1282" s="448"/>
      <c r="AA1282" s="448"/>
      <c r="AB1282" s="448"/>
      <c r="AC1282" s="448"/>
      <c r="AD1282" s="447"/>
      <c r="AE1282" s="447"/>
      <c r="AF1282" s="447"/>
      <c r="AG1282" s="447"/>
      <c r="AH1282" s="447"/>
      <c r="AI1282" s="447"/>
      <c r="AJ1282" s="447"/>
      <c r="AK1282" s="447"/>
      <c r="AL1282" s="447"/>
      <c r="AM1282" s="447"/>
      <c r="AN1282" s="447"/>
      <c r="AO1282" s="447"/>
      <c r="AP1282" s="447"/>
      <c r="AQ1282" s="447"/>
      <c r="AR1282" s="447"/>
      <c r="AS1282" s="447"/>
      <c r="AT1282" s="447"/>
      <c r="AU1282" s="447"/>
      <c r="AV1282" s="447"/>
      <c r="AW1282" s="447"/>
      <c r="AX1282" s="447"/>
      <c r="AY1282" s="447"/>
      <c r="AZ1282" s="447"/>
      <c r="BA1282" s="448"/>
      <c r="BB1282" s="448"/>
      <c r="BC1282" s="447"/>
      <c r="BD1282" s="448"/>
      <c r="BE1282" s="447"/>
    </row>
    <row r="1283" spans="1:57" ht="30" customHeight="1">
      <c r="A1283" s="443"/>
      <c r="B1283" s="443"/>
      <c r="C1283" s="443"/>
      <c r="D1283" s="1133"/>
      <c r="E1283" s="445"/>
      <c r="F1283" s="1147"/>
      <c r="G1283" s="1147"/>
      <c r="H1283" s="450"/>
      <c r="I1283" s="450"/>
      <c r="J1283" s="1147"/>
      <c r="K1283" s="1147"/>
      <c r="L1283" s="450"/>
      <c r="M1283" s="450"/>
      <c r="N1283" s="1147"/>
      <c r="O1283" s="1147"/>
      <c r="P1283" s="450"/>
      <c r="Q1283" s="450"/>
      <c r="R1283" s="1147"/>
      <c r="S1283" s="1147"/>
      <c r="T1283" s="450"/>
      <c r="U1283" s="450"/>
      <c r="V1283" s="454"/>
      <c r="W1283" s="448"/>
      <c r="X1283" s="448"/>
      <c r="Y1283" s="448"/>
      <c r="Z1283" s="448"/>
      <c r="AA1283" s="448"/>
      <c r="AB1283" s="448"/>
      <c r="AC1283" s="448"/>
      <c r="AD1283" s="447"/>
      <c r="AE1283" s="447"/>
      <c r="AF1283" s="447"/>
      <c r="AG1283" s="447"/>
      <c r="AH1283" s="447"/>
      <c r="AI1283" s="447"/>
      <c r="AJ1283" s="447"/>
      <c r="AK1283" s="447"/>
      <c r="AL1283" s="447"/>
      <c r="AM1283" s="447"/>
      <c r="AN1283" s="447"/>
      <c r="AO1283" s="447"/>
      <c r="AP1283" s="447"/>
      <c r="AQ1283" s="447"/>
      <c r="AR1283" s="447"/>
      <c r="AS1283" s="447"/>
      <c r="AT1283" s="447"/>
      <c r="AU1283" s="447"/>
      <c r="AV1283" s="447"/>
      <c r="AW1283" s="447"/>
      <c r="AX1283" s="447"/>
      <c r="AY1283" s="447"/>
      <c r="AZ1283" s="447"/>
      <c r="BA1283" s="448"/>
      <c r="BB1283" s="448"/>
      <c r="BC1283" s="447"/>
      <c r="BD1283" s="448"/>
      <c r="BE1283" s="447"/>
    </row>
    <row r="1284" spans="1:57" ht="30" customHeight="1">
      <c r="A1284" s="443"/>
      <c r="B1284" s="443"/>
      <c r="C1284" s="443"/>
      <c r="D1284" s="1133"/>
      <c r="E1284" s="445"/>
      <c r="F1284" s="1147"/>
      <c r="G1284" s="1147"/>
      <c r="H1284" s="450"/>
      <c r="I1284" s="450"/>
      <c r="J1284" s="1147"/>
      <c r="K1284" s="1147"/>
      <c r="L1284" s="450"/>
      <c r="M1284" s="450"/>
      <c r="N1284" s="1147"/>
      <c r="O1284" s="1147"/>
      <c r="P1284" s="450"/>
      <c r="Q1284" s="450"/>
      <c r="R1284" s="1147"/>
      <c r="S1284" s="1147"/>
      <c r="T1284" s="450"/>
      <c r="U1284" s="450"/>
      <c r="V1284" s="454"/>
      <c r="W1284" s="448"/>
      <c r="X1284" s="448"/>
      <c r="Y1284" s="448"/>
      <c r="Z1284" s="448"/>
      <c r="AA1284" s="448"/>
      <c r="AB1284" s="448"/>
      <c r="AC1284" s="448"/>
      <c r="AD1284" s="447"/>
      <c r="AE1284" s="447"/>
      <c r="AF1284" s="447"/>
      <c r="AG1284" s="447"/>
      <c r="AH1284" s="447"/>
      <c r="AI1284" s="447"/>
      <c r="AJ1284" s="447"/>
      <c r="AK1284" s="447"/>
      <c r="AL1284" s="447"/>
      <c r="AM1284" s="447"/>
      <c r="AN1284" s="447"/>
      <c r="AO1284" s="447"/>
      <c r="AP1284" s="447"/>
      <c r="AQ1284" s="447"/>
      <c r="AR1284" s="447"/>
      <c r="AS1284" s="447"/>
      <c r="AT1284" s="447"/>
      <c r="AU1284" s="447"/>
      <c r="AV1284" s="447"/>
      <c r="AW1284" s="447"/>
      <c r="AX1284" s="447"/>
      <c r="AY1284" s="447"/>
      <c r="AZ1284" s="447"/>
      <c r="BA1284" s="448"/>
      <c r="BB1284" s="448"/>
      <c r="BC1284" s="447"/>
      <c r="BD1284" s="448"/>
      <c r="BE1284" s="447"/>
    </row>
    <row r="1285" spans="1:57" ht="30" customHeight="1">
      <c r="A1285" s="492"/>
      <c r="B1285" s="492"/>
      <c r="C1285" s="492"/>
      <c r="D1285" s="1139"/>
      <c r="E1285" s="491"/>
      <c r="F1285" s="1153"/>
      <c r="G1285" s="1153"/>
      <c r="H1285" s="492"/>
      <c r="I1285" s="492"/>
      <c r="J1285" s="1153"/>
      <c r="K1285" s="1153"/>
      <c r="L1285" s="492"/>
      <c r="M1285" s="492"/>
      <c r="N1285" s="1153"/>
      <c r="O1285" s="1153"/>
      <c r="P1285" s="492"/>
      <c r="Q1285" s="492"/>
      <c r="R1285" s="1153"/>
      <c r="S1285" s="1153"/>
      <c r="T1285" s="492"/>
      <c r="U1285" s="492"/>
      <c r="V1285" s="493"/>
      <c r="BD1285" s="492"/>
      <c r="BE1285" s="492"/>
    </row>
    <row r="1286" spans="1:57" ht="30" customHeight="1">
      <c r="A1286" s="492"/>
      <c r="B1286" s="492"/>
      <c r="C1286" s="492"/>
      <c r="D1286" s="1139"/>
      <c r="E1286" s="491"/>
      <c r="F1286" s="1153"/>
      <c r="G1286" s="1153"/>
      <c r="H1286" s="492"/>
      <c r="I1286" s="492"/>
      <c r="J1286" s="1153"/>
      <c r="K1286" s="1153"/>
      <c r="L1286" s="492"/>
      <c r="M1286" s="492"/>
      <c r="N1286" s="1153"/>
      <c r="O1286" s="1153"/>
      <c r="P1286" s="492"/>
      <c r="Q1286" s="492"/>
      <c r="R1286" s="1153"/>
      <c r="S1286" s="1153"/>
      <c r="T1286" s="492"/>
      <c r="U1286" s="492"/>
      <c r="V1286" s="493"/>
      <c r="BD1286" s="492"/>
      <c r="BE1286" s="492"/>
    </row>
    <row r="1287" spans="1:57" ht="30" customHeight="1">
      <c r="A1287" s="492"/>
      <c r="B1287" s="492"/>
      <c r="C1287" s="492"/>
      <c r="D1287" s="1139"/>
      <c r="E1287" s="491"/>
      <c r="F1287" s="1153"/>
      <c r="G1287" s="1153"/>
      <c r="H1287" s="492"/>
      <c r="I1287" s="492"/>
      <c r="J1287" s="1153"/>
      <c r="K1287" s="1153"/>
      <c r="L1287" s="492"/>
      <c r="M1287" s="492"/>
      <c r="N1287" s="1153"/>
      <c r="O1287" s="1153"/>
      <c r="P1287" s="492"/>
      <c r="Q1287" s="492"/>
      <c r="R1287" s="1153"/>
      <c r="S1287" s="1153"/>
      <c r="T1287" s="492"/>
      <c r="U1287" s="492"/>
      <c r="V1287" s="493"/>
      <c r="BD1287" s="492"/>
      <c r="BE1287" s="492"/>
    </row>
    <row r="1288" spans="1:57" ht="30" customHeight="1">
      <c r="A1288" s="492"/>
      <c r="B1288" s="492"/>
      <c r="C1288" s="492"/>
      <c r="D1288" s="1139"/>
      <c r="E1288" s="491"/>
      <c r="F1288" s="1153"/>
      <c r="G1288" s="1153"/>
      <c r="H1288" s="492"/>
      <c r="I1288" s="492"/>
      <c r="J1288" s="1153"/>
      <c r="K1288" s="1153"/>
      <c r="L1288" s="492"/>
      <c r="M1288" s="492"/>
      <c r="N1288" s="1153"/>
      <c r="O1288" s="1153"/>
      <c r="P1288" s="492"/>
      <c r="Q1288" s="492"/>
      <c r="R1288" s="1153"/>
      <c r="S1288" s="1153"/>
      <c r="T1288" s="492"/>
      <c r="U1288" s="492"/>
      <c r="V1288" s="493"/>
      <c r="BD1288" s="492"/>
      <c r="BE1288" s="492"/>
    </row>
    <row r="1289" spans="1:57" ht="30" customHeight="1">
      <c r="A1289" s="492"/>
      <c r="B1289" s="492"/>
      <c r="C1289" s="492"/>
      <c r="D1289" s="1139"/>
      <c r="E1289" s="491"/>
      <c r="F1289" s="1153"/>
      <c r="G1289" s="1153"/>
      <c r="H1289" s="492"/>
      <c r="I1289" s="492"/>
      <c r="J1289" s="1153"/>
      <c r="K1289" s="1153"/>
      <c r="L1289" s="492"/>
      <c r="M1289" s="492"/>
      <c r="N1289" s="1153"/>
      <c r="O1289" s="1153"/>
      <c r="P1289" s="492"/>
      <c r="Q1289" s="492"/>
      <c r="R1289" s="1153"/>
      <c r="S1289" s="1153"/>
      <c r="T1289" s="492"/>
      <c r="U1289" s="492"/>
      <c r="V1289" s="493"/>
      <c r="BD1289" s="492"/>
      <c r="BE1289" s="492"/>
    </row>
    <row r="1290" spans="1:57" ht="30" customHeight="1">
      <c r="A1290" s="492" t="s">
        <v>85</v>
      </c>
      <c r="B1290" s="492"/>
      <c r="C1290" s="492"/>
      <c r="D1290" s="1139"/>
      <c r="E1290" s="491"/>
      <c r="F1290" s="1153"/>
      <c r="G1290" s="1153">
        <v>32295428</v>
      </c>
      <c r="H1290" s="492"/>
      <c r="I1290" s="492">
        <f>SUM(I1247:I1287)</f>
        <v>29800793</v>
      </c>
      <c r="J1290" s="1153"/>
      <c r="K1290" s="1153">
        <v>104773491</v>
      </c>
      <c r="L1290" s="492"/>
      <c r="M1290" s="492">
        <f>SUM(M1247:M1287)</f>
        <v>82655737</v>
      </c>
      <c r="N1290" s="1153"/>
      <c r="O1290" s="1153">
        <v>0</v>
      </c>
      <c r="P1290" s="492"/>
      <c r="Q1290" s="492">
        <f>SUM(Q1247:Q1287)</f>
        <v>0</v>
      </c>
      <c r="R1290" s="1153"/>
      <c r="S1290" s="1153">
        <v>137068919</v>
      </c>
      <c r="T1290" s="492"/>
      <c r="U1290" s="492">
        <f>SUM(U1247:U1287)</f>
        <v>112456530</v>
      </c>
      <c r="V1290" s="493"/>
      <c r="AA1290" s="449">
        <v>0</v>
      </c>
      <c r="AJ1290" s="449">
        <v>1</v>
      </c>
      <c r="BD1290" s="490" t="s">
        <v>2361</v>
      </c>
      <c r="BE1290" s="490" t="s">
        <v>2364</v>
      </c>
    </row>
    <row r="1291" spans="1:57" ht="30" customHeight="1">
      <c r="A1291" s="443" t="s">
        <v>4803</v>
      </c>
      <c r="B1291" s="443"/>
      <c r="C1291" s="443"/>
      <c r="D1291" s="1133"/>
      <c r="E1291" s="445"/>
      <c r="F1291" s="1147"/>
      <c r="G1291" s="1147"/>
      <c r="H1291" s="450"/>
      <c r="I1291" s="450"/>
      <c r="J1291" s="1147"/>
      <c r="K1291" s="1147"/>
      <c r="L1291" s="450"/>
      <c r="M1291" s="450"/>
      <c r="N1291" s="1147"/>
      <c r="O1291" s="1147"/>
      <c r="P1291" s="450"/>
      <c r="Q1291" s="450"/>
      <c r="R1291" s="1147"/>
      <c r="S1291" s="1147"/>
      <c r="T1291" s="450"/>
      <c r="U1291" s="450"/>
      <c r="V1291" s="454"/>
      <c r="W1291" s="448"/>
      <c r="X1291" s="448"/>
      <c r="Y1291" s="448"/>
      <c r="Z1291" s="448"/>
      <c r="AA1291" s="448"/>
      <c r="AB1291" s="448"/>
      <c r="AC1291" s="448"/>
      <c r="AD1291" s="447"/>
      <c r="AE1291" s="447"/>
      <c r="AF1291" s="447"/>
      <c r="AG1291" s="447"/>
      <c r="AH1291" s="447"/>
      <c r="AI1291" s="447"/>
      <c r="AJ1291" s="447"/>
      <c r="AK1291" s="447"/>
      <c r="AL1291" s="447"/>
      <c r="AM1291" s="447"/>
      <c r="AN1291" s="447"/>
      <c r="AO1291" s="447"/>
      <c r="AP1291" s="447"/>
      <c r="AQ1291" s="447"/>
      <c r="AR1291" s="447"/>
      <c r="AS1291" s="447"/>
      <c r="AT1291" s="447"/>
      <c r="AU1291" s="447"/>
      <c r="AV1291" s="447"/>
      <c r="AW1291" s="447"/>
      <c r="AX1291" s="447"/>
      <c r="AY1291" s="447"/>
      <c r="AZ1291" s="447"/>
      <c r="BA1291" s="448"/>
      <c r="BB1291" s="448"/>
      <c r="BC1291" s="447"/>
      <c r="BD1291" s="448"/>
      <c r="BE1291" s="447"/>
    </row>
    <row r="1292" spans="1:57" ht="30" customHeight="1">
      <c r="A1292" s="443" t="s">
        <v>3814</v>
      </c>
      <c r="B1292" s="443" t="s">
        <v>3815</v>
      </c>
      <c r="C1292" s="443" t="s">
        <v>321</v>
      </c>
      <c r="D1292" s="1133">
        <v>80</v>
      </c>
      <c r="E1292" s="445"/>
      <c r="F1292" s="1147">
        <v>12000</v>
      </c>
      <c r="G1292" s="1147">
        <v>960000</v>
      </c>
      <c r="H1292" s="450">
        <f>단가대비표!O520</f>
        <v>12000</v>
      </c>
      <c r="I1292" s="450">
        <f t="shared" ref="I1292:I1317" si="160">E1292*H1292</f>
        <v>0</v>
      </c>
      <c r="J1292" s="1147"/>
      <c r="K1292" s="1147">
        <v>0</v>
      </c>
      <c r="L1292" s="450"/>
      <c r="M1292" s="450">
        <f t="shared" ref="M1292:M1312" si="161">TRUNC(E1292*L1292,0)</f>
        <v>0</v>
      </c>
      <c r="N1292" s="1147"/>
      <c r="O1292" s="1147"/>
      <c r="P1292" s="450"/>
      <c r="Q1292" s="450"/>
      <c r="R1292" s="1147">
        <v>12000</v>
      </c>
      <c r="S1292" s="1147">
        <v>960000</v>
      </c>
      <c r="T1292" s="450">
        <f t="shared" ref="T1292:T1317" si="162">H1292+L1292+P1292</f>
        <v>12000</v>
      </c>
      <c r="U1292" s="450">
        <f t="shared" ref="U1292:U1317" si="163">I1292+M1292+Q1292</f>
        <v>0</v>
      </c>
      <c r="V1292" s="454"/>
      <c r="W1292" s="448"/>
      <c r="X1292" s="448"/>
      <c r="Y1292" s="448"/>
      <c r="Z1292" s="448"/>
      <c r="AA1292" s="448"/>
      <c r="AB1292" s="448"/>
      <c r="AC1292" s="448"/>
      <c r="AD1292" s="447"/>
      <c r="AE1292" s="447"/>
      <c r="AF1292" s="447"/>
      <c r="AG1292" s="447"/>
      <c r="AH1292" s="447"/>
      <c r="AI1292" s="447"/>
      <c r="AJ1292" s="447"/>
      <c r="AK1292" s="447"/>
      <c r="AL1292" s="447"/>
      <c r="AM1292" s="447"/>
      <c r="AN1292" s="447"/>
      <c r="AO1292" s="447"/>
      <c r="AP1292" s="447"/>
      <c r="AQ1292" s="447"/>
      <c r="AR1292" s="447"/>
      <c r="AS1292" s="447"/>
      <c r="AT1292" s="447"/>
      <c r="AU1292" s="447"/>
      <c r="AV1292" s="447"/>
      <c r="AW1292" s="447"/>
      <c r="AX1292" s="447"/>
      <c r="AY1292" s="447"/>
      <c r="AZ1292" s="447"/>
      <c r="BA1292" s="448"/>
      <c r="BB1292" s="448"/>
      <c r="BC1292" s="447"/>
      <c r="BD1292" s="448"/>
      <c r="BE1292" s="447"/>
    </row>
    <row r="1293" spans="1:57" ht="30" customHeight="1">
      <c r="A1293" s="443" t="s">
        <v>3816</v>
      </c>
      <c r="B1293" s="443" t="s">
        <v>3817</v>
      </c>
      <c r="C1293" s="443" t="s">
        <v>321</v>
      </c>
      <c r="D1293" s="1133">
        <v>26</v>
      </c>
      <c r="E1293" s="445"/>
      <c r="F1293" s="1147">
        <v>55000</v>
      </c>
      <c r="G1293" s="1147">
        <v>1430000</v>
      </c>
      <c r="H1293" s="450">
        <f>단가대비표!O521</f>
        <v>55000</v>
      </c>
      <c r="I1293" s="450">
        <f t="shared" si="160"/>
        <v>0</v>
      </c>
      <c r="J1293" s="1147"/>
      <c r="K1293" s="1147">
        <v>0</v>
      </c>
      <c r="L1293" s="450"/>
      <c r="M1293" s="450">
        <f t="shared" si="161"/>
        <v>0</v>
      </c>
      <c r="N1293" s="1147"/>
      <c r="O1293" s="1147"/>
      <c r="P1293" s="450"/>
      <c r="Q1293" s="450"/>
      <c r="R1293" s="1147">
        <v>55000</v>
      </c>
      <c r="S1293" s="1147">
        <v>1430000</v>
      </c>
      <c r="T1293" s="450">
        <f t="shared" si="162"/>
        <v>55000</v>
      </c>
      <c r="U1293" s="450">
        <f t="shared" si="163"/>
        <v>0</v>
      </c>
      <c r="V1293" s="454"/>
      <c r="W1293" s="448"/>
      <c r="X1293" s="448"/>
      <c r="Y1293" s="448"/>
      <c r="Z1293" s="448"/>
      <c r="AA1293" s="448"/>
      <c r="AB1293" s="448"/>
      <c r="AC1293" s="448"/>
      <c r="AD1293" s="447"/>
      <c r="AE1293" s="447"/>
      <c r="AF1293" s="447"/>
      <c r="AG1293" s="447"/>
      <c r="AH1293" s="447"/>
      <c r="AI1293" s="447"/>
      <c r="AJ1293" s="447"/>
      <c r="AK1293" s="447"/>
      <c r="AL1293" s="447"/>
      <c r="AM1293" s="447"/>
      <c r="AN1293" s="447"/>
      <c r="AO1293" s="447"/>
      <c r="AP1293" s="447"/>
      <c r="AQ1293" s="447"/>
      <c r="AR1293" s="447"/>
      <c r="AS1293" s="447"/>
      <c r="AT1293" s="447"/>
      <c r="AU1293" s="447"/>
      <c r="AV1293" s="447"/>
      <c r="AW1293" s="447"/>
      <c r="AX1293" s="447"/>
      <c r="AY1293" s="447"/>
      <c r="AZ1293" s="447"/>
      <c r="BA1293" s="448"/>
      <c r="BB1293" s="448"/>
      <c r="BC1293" s="447"/>
      <c r="BD1293" s="448"/>
      <c r="BE1293" s="447"/>
    </row>
    <row r="1294" spans="1:57" ht="30" customHeight="1">
      <c r="A1294" s="443" t="s">
        <v>3818</v>
      </c>
      <c r="B1294" s="443" t="s">
        <v>3819</v>
      </c>
      <c r="C1294" s="443" t="s">
        <v>321</v>
      </c>
      <c r="D1294" s="1133">
        <v>7</v>
      </c>
      <c r="E1294" s="445"/>
      <c r="F1294" s="1147">
        <v>165000</v>
      </c>
      <c r="G1294" s="1147">
        <v>1155000</v>
      </c>
      <c r="H1294" s="450">
        <f>단가대비표!O522</f>
        <v>165000</v>
      </c>
      <c r="I1294" s="450">
        <f t="shared" si="160"/>
        <v>0</v>
      </c>
      <c r="J1294" s="1147"/>
      <c r="K1294" s="1147">
        <v>0</v>
      </c>
      <c r="L1294" s="450"/>
      <c r="M1294" s="450">
        <f t="shared" si="161"/>
        <v>0</v>
      </c>
      <c r="N1294" s="1147"/>
      <c r="O1294" s="1147"/>
      <c r="P1294" s="450"/>
      <c r="Q1294" s="450"/>
      <c r="R1294" s="1147">
        <v>165000</v>
      </c>
      <c r="S1294" s="1147">
        <v>1155000</v>
      </c>
      <c r="T1294" s="450">
        <f t="shared" si="162"/>
        <v>165000</v>
      </c>
      <c r="U1294" s="450">
        <f t="shared" si="163"/>
        <v>0</v>
      </c>
      <c r="V1294" s="454"/>
      <c r="W1294" s="448"/>
      <c r="X1294" s="448"/>
      <c r="Y1294" s="448"/>
      <c r="Z1294" s="448"/>
      <c r="AA1294" s="448"/>
      <c r="AB1294" s="448"/>
      <c r="AC1294" s="448"/>
      <c r="AD1294" s="447"/>
      <c r="AE1294" s="447"/>
      <c r="AF1294" s="447"/>
      <c r="AG1294" s="447"/>
      <c r="AH1294" s="447"/>
      <c r="AI1294" s="447"/>
      <c r="AJ1294" s="447"/>
      <c r="AK1294" s="447"/>
      <c r="AL1294" s="447"/>
      <c r="AM1294" s="447"/>
      <c r="AN1294" s="447"/>
      <c r="AO1294" s="447"/>
      <c r="AP1294" s="447"/>
      <c r="AQ1294" s="447"/>
      <c r="AR1294" s="447"/>
      <c r="AS1294" s="447"/>
      <c r="AT1294" s="447"/>
      <c r="AU1294" s="447"/>
      <c r="AV1294" s="447"/>
      <c r="AW1294" s="447"/>
      <c r="AX1294" s="447"/>
      <c r="AY1294" s="447"/>
      <c r="AZ1294" s="447"/>
      <c r="BA1294" s="448"/>
      <c r="BB1294" s="448"/>
      <c r="BC1294" s="447"/>
      <c r="BD1294" s="448"/>
      <c r="BE1294" s="447"/>
    </row>
    <row r="1295" spans="1:57" ht="30" customHeight="1">
      <c r="A1295" s="443" t="s">
        <v>3820</v>
      </c>
      <c r="B1295" s="443" t="s">
        <v>3821</v>
      </c>
      <c r="C1295" s="443" t="s">
        <v>321</v>
      </c>
      <c r="D1295" s="1133">
        <v>14</v>
      </c>
      <c r="E1295" s="445"/>
      <c r="F1295" s="1147">
        <v>98000</v>
      </c>
      <c r="G1295" s="1147">
        <v>1372000</v>
      </c>
      <c r="H1295" s="450">
        <f>단가대비표!O523</f>
        <v>98000</v>
      </c>
      <c r="I1295" s="450">
        <f t="shared" si="160"/>
        <v>0</v>
      </c>
      <c r="J1295" s="1147"/>
      <c r="K1295" s="1147">
        <v>0</v>
      </c>
      <c r="L1295" s="450"/>
      <c r="M1295" s="450">
        <f t="shared" si="161"/>
        <v>0</v>
      </c>
      <c r="N1295" s="1147"/>
      <c r="O1295" s="1147"/>
      <c r="P1295" s="450"/>
      <c r="Q1295" s="450"/>
      <c r="R1295" s="1147">
        <v>98000</v>
      </c>
      <c r="S1295" s="1147">
        <v>1372000</v>
      </c>
      <c r="T1295" s="450">
        <f t="shared" si="162"/>
        <v>98000</v>
      </c>
      <c r="U1295" s="450">
        <f t="shared" si="163"/>
        <v>0</v>
      </c>
      <c r="V1295" s="454"/>
      <c r="W1295" s="448"/>
      <c r="X1295" s="448"/>
      <c r="Y1295" s="448"/>
      <c r="Z1295" s="448"/>
      <c r="AA1295" s="448"/>
      <c r="AB1295" s="448"/>
      <c r="AC1295" s="448"/>
      <c r="AD1295" s="447"/>
      <c r="AE1295" s="447"/>
      <c r="AF1295" s="447"/>
      <c r="AG1295" s="447"/>
      <c r="AH1295" s="447"/>
      <c r="AI1295" s="447"/>
      <c r="AJ1295" s="447"/>
      <c r="AK1295" s="447"/>
      <c r="AL1295" s="447"/>
      <c r="AM1295" s="447"/>
      <c r="AN1295" s="447"/>
      <c r="AO1295" s="447"/>
      <c r="AP1295" s="447"/>
      <c r="AQ1295" s="447"/>
      <c r="AR1295" s="447"/>
      <c r="AS1295" s="447"/>
      <c r="AT1295" s="447"/>
      <c r="AU1295" s="447"/>
      <c r="AV1295" s="447"/>
      <c r="AW1295" s="447"/>
      <c r="AX1295" s="447"/>
      <c r="AY1295" s="447"/>
      <c r="AZ1295" s="447"/>
      <c r="BA1295" s="448"/>
      <c r="BB1295" s="448"/>
      <c r="BC1295" s="447"/>
      <c r="BD1295" s="448"/>
      <c r="BE1295" s="447"/>
    </row>
    <row r="1296" spans="1:57" ht="30" customHeight="1">
      <c r="A1296" s="443" t="s">
        <v>3820</v>
      </c>
      <c r="B1296" s="443" t="s">
        <v>3822</v>
      </c>
      <c r="C1296" s="443" t="s">
        <v>321</v>
      </c>
      <c r="D1296" s="1133">
        <v>7</v>
      </c>
      <c r="E1296" s="445"/>
      <c r="F1296" s="1147">
        <v>85000</v>
      </c>
      <c r="G1296" s="1147">
        <v>595000</v>
      </c>
      <c r="H1296" s="450">
        <f>단가대비표!O524</f>
        <v>85000</v>
      </c>
      <c r="I1296" s="450">
        <f t="shared" si="160"/>
        <v>0</v>
      </c>
      <c r="J1296" s="1147"/>
      <c r="K1296" s="1147">
        <v>0</v>
      </c>
      <c r="L1296" s="450"/>
      <c r="M1296" s="450">
        <f t="shared" si="161"/>
        <v>0</v>
      </c>
      <c r="N1296" s="1147"/>
      <c r="O1296" s="1147"/>
      <c r="P1296" s="450"/>
      <c r="Q1296" s="450"/>
      <c r="R1296" s="1147">
        <v>85000</v>
      </c>
      <c r="S1296" s="1147">
        <v>595000</v>
      </c>
      <c r="T1296" s="450">
        <f t="shared" si="162"/>
        <v>85000</v>
      </c>
      <c r="U1296" s="450">
        <f t="shared" si="163"/>
        <v>0</v>
      </c>
      <c r="V1296" s="454"/>
      <c r="W1296" s="448"/>
      <c r="X1296" s="448"/>
      <c r="Y1296" s="448"/>
      <c r="Z1296" s="448"/>
      <c r="AA1296" s="448"/>
      <c r="AB1296" s="448"/>
      <c r="AC1296" s="448"/>
      <c r="AD1296" s="447"/>
      <c r="AE1296" s="447"/>
      <c r="AF1296" s="447"/>
      <c r="AG1296" s="447"/>
      <c r="AH1296" s="447"/>
      <c r="AI1296" s="447"/>
      <c r="AJ1296" s="447"/>
      <c r="AK1296" s="447"/>
      <c r="AL1296" s="447"/>
      <c r="AM1296" s="447"/>
      <c r="AN1296" s="447"/>
      <c r="AO1296" s="447"/>
      <c r="AP1296" s="447"/>
      <c r="AQ1296" s="447"/>
      <c r="AR1296" s="447"/>
      <c r="AS1296" s="447"/>
      <c r="AT1296" s="447"/>
      <c r="AU1296" s="447"/>
      <c r="AV1296" s="447"/>
      <c r="AW1296" s="447"/>
      <c r="AX1296" s="447"/>
      <c r="AY1296" s="447"/>
      <c r="AZ1296" s="447"/>
      <c r="BA1296" s="448"/>
      <c r="BB1296" s="448"/>
      <c r="BC1296" s="447"/>
      <c r="BD1296" s="448"/>
      <c r="BE1296" s="447"/>
    </row>
    <row r="1297" spans="1:57" ht="30" customHeight="1">
      <c r="A1297" s="443" t="s">
        <v>3820</v>
      </c>
      <c r="B1297" s="443" t="s">
        <v>3823</v>
      </c>
      <c r="C1297" s="443" t="s">
        <v>321</v>
      </c>
      <c r="D1297" s="1133">
        <v>17</v>
      </c>
      <c r="E1297" s="445"/>
      <c r="F1297" s="1147">
        <v>90000</v>
      </c>
      <c r="G1297" s="1147">
        <v>1530000</v>
      </c>
      <c r="H1297" s="450">
        <f>단가대비표!O525</f>
        <v>90000</v>
      </c>
      <c r="I1297" s="450">
        <f t="shared" si="160"/>
        <v>0</v>
      </c>
      <c r="J1297" s="1147"/>
      <c r="K1297" s="1147">
        <v>0</v>
      </c>
      <c r="L1297" s="450"/>
      <c r="M1297" s="450">
        <f t="shared" si="161"/>
        <v>0</v>
      </c>
      <c r="N1297" s="1147"/>
      <c r="O1297" s="1147"/>
      <c r="P1297" s="450"/>
      <c r="Q1297" s="450"/>
      <c r="R1297" s="1147">
        <v>90000</v>
      </c>
      <c r="S1297" s="1147">
        <v>1530000</v>
      </c>
      <c r="T1297" s="450">
        <f t="shared" si="162"/>
        <v>90000</v>
      </c>
      <c r="U1297" s="450">
        <f t="shared" si="163"/>
        <v>0</v>
      </c>
      <c r="V1297" s="454"/>
      <c r="W1297" s="448"/>
      <c r="X1297" s="448"/>
      <c r="Y1297" s="448"/>
      <c r="Z1297" s="448"/>
      <c r="AA1297" s="448"/>
      <c r="AB1297" s="448"/>
      <c r="AC1297" s="448"/>
      <c r="AD1297" s="447"/>
      <c r="AE1297" s="447"/>
      <c r="AF1297" s="447"/>
      <c r="AG1297" s="447"/>
      <c r="AH1297" s="447"/>
      <c r="AI1297" s="447"/>
      <c r="AJ1297" s="447"/>
      <c r="AK1297" s="447"/>
      <c r="AL1297" s="447"/>
      <c r="AM1297" s="447"/>
      <c r="AN1297" s="447"/>
      <c r="AO1297" s="447"/>
      <c r="AP1297" s="447"/>
      <c r="AQ1297" s="447"/>
      <c r="AR1297" s="447"/>
      <c r="AS1297" s="447"/>
      <c r="AT1297" s="447"/>
      <c r="AU1297" s="447"/>
      <c r="AV1297" s="447"/>
      <c r="AW1297" s="447"/>
      <c r="AX1297" s="447"/>
      <c r="AY1297" s="447"/>
      <c r="AZ1297" s="447"/>
      <c r="BA1297" s="448"/>
      <c r="BB1297" s="448"/>
      <c r="BC1297" s="447"/>
      <c r="BD1297" s="448"/>
      <c r="BE1297" s="447"/>
    </row>
    <row r="1298" spans="1:57" ht="30" customHeight="1">
      <c r="A1298" s="443" t="s">
        <v>3824</v>
      </c>
      <c r="B1298" s="443" t="s">
        <v>3825</v>
      </c>
      <c r="C1298" s="443" t="s">
        <v>3855</v>
      </c>
      <c r="D1298" s="1133">
        <v>7</v>
      </c>
      <c r="E1298" s="445"/>
      <c r="F1298" s="1147">
        <v>55000</v>
      </c>
      <c r="G1298" s="1147">
        <v>385000</v>
      </c>
      <c r="H1298" s="450">
        <f>단가대비표!O526</f>
        <v>55000</v>
      </c>
      <c r="I1298" s="450">
        <f t="shared" si="160"/>
        <v>0</v>
      </c>
      <c r="J1298" s="1147"/>
      <c r="K1298" s="1147">
        <v>0</v>
      </c>
      <c r="L1298" s="450"/>
      <c r="M1298" s="450">
        <f t="shared" si="161"/>
        <v>0</v>
      </c>
      <c r="N1298" s="1147"/>
      <c r="O1298" s="1147"/>
      <c r="P1298" s="450"/>
      <c r="Q1298" s="450"/>
      <c r="R1298" s="1147">
        <v>55000</v>
      </c>
      <c r="S1298" s="1147">
        <v>385000</v>
      </c>
      <c r="T1298" s="450">
        <f t="shared" si="162"/>
        <v>55000</v>
      </c>
      <c r="U1298" s="450">
        <f t="shared" si="163"/>
        <v>0</v>
      </c>
      <c r="V1298" s="454"/>
      <c r="W1298" s="448"/>
      <c r="X1298" s="448"/>
      <c r="Y1298" s="448"/>
      <c r="Z1298" s="448"/>
      <c r="AA1298" s="448"/>
      <c r="AB1298" s="448"/>
      <c r="AC1298" s="448"/>
      <c r="AD1298" s="447"/>
      <c r="AE1298" s="447"/>
      <c r="AF1298" s="447"/>
      <c r="AG1298" s="447"/>
      <c r="AH1298" s="447"/>
      <c r="AI1298" s="447"/>
      <c r="AJ1298" s="447"/>
      <c r="AK1298" s="447"/>
      <c r="AL1298" s="447"/>
      <c r="AM1298" s="447"/>
      <c r="AN1298" s="447"/>
      <c r="AO1298" s="447"/>
      <c r="AP1298" s="447"/>
      <c r="AQ1298" s="447"/>
      <c r="AR1298" s="447"/>
      <c r="AS1298" s="447"/>
      <c r="AT1298" s="447"/>
      <c r="AU1298" s="447"/>
      <c r="AV1298" s="447"/>
      <c r="AW1298" s="447"/>
      <c r="AX1298" s="447"/>
      <c r="AY1298" s="447"/>
      <c r="AZ1298" s="447"/>
      <c r="BA1298" s="448"/>
      <c r="BB1298" s="448"/>
      <c r="BC1298" s="447"/>
      <c r="BD1298" s="448"/>
      <c r="BE1298" s="447"/>
    </row>
    <row r="1299" spans="1:57" ht="30" customHeight="1">
      <c r="A1299" s="443" t="s">
        <v>3826</v>
      </c>
      <c r="B1299" s="443" t="s">
        <v>3827</v>
      </c>
      <c r="C1299" s="443" t="s">
        <v>2353</v>
      </c>
      <c r="D1299" s="1133">
        <v>58</v>
      </c>
      <c r="E1299" s="445"/>
      <c r="F1299" s="1147">
        <v>1650</v>
      </c>
      <c r="G1299" s="1147">
        <v>95700</v>
      </c>
      <c r="H1299" s="450">
        <f>단가대비표!O527</f>
        <v>1650</v>
      </c>
      <c r="I1299" s="450">
        <f t="shared" si="160"/>
        <v>0</v>
      </c>
      <c r="J1299" s="1147"/>
      <c r="K1299" s="1147">
        <v>0</v>
      </c>
      <c r="L1299" s="450"/>
      <c r="M1299" s="450">
        <f t="shared" si="161"/>
        <v>0</v>
      </c>
      <c r="N1299" s="1147"/>
      <c r="O1299" s="1147"/>
      <c r="P1299" s="450"/>
      <c r="Q1299" s="450"/>
      <c r="R1299" s="1147">
        <v>1650</v>
      </c>
      <c r="S1299" s="1147">
        <v>95700</v>
      </c>
      <c r="T1299" s="450">
        <f t="shared" si="162"/>
        <v>1650</v>
      </c>
      <c r="U1299" s="450">
        <f t="shared" si="163"/>
        <v>0</v>
      </c>
      <c r="V1299" s="454"/>
      <c r="W1299" s="448"/>
      <c r="X1299" s="448"/>
      <c r="Y1299" s="448"/>
      <c r="Z1299" s="448"/>
      <c r="AA1299" s="448"/>
      <c r="AB1299" s="448"/>
      <c r="AC1299" s="448"/>
      <c r="AD1299" s="447"/>
      <c r="AE1299" s="447"/>
      <c r="AF1299" s="447"/>
      <c r="AG1299" s="447"/>
      <c r="AH1299" s="447"/>
      <c r="AI1299" s="447"/>
      <c r="AJ1299" s="447"/>
      <c r="AK1299" s="447"/>
      <c r="AL1299" s="447"/>
      <c r="AM1299" s="447"/>
      <c r="AN1299" s="447"/>
      <c r="AO1299" s="447"/>
      <c r="AP1299" s="447"/>
      <c r="AQ1299" s="447"/>
      <c r="AR1299" s="447"/>
      <c r="AS1299" s="447"/>
      <c r="AT1299" s="447"/>
      <c r="AU1299" s="447"/>
      <c r="AV1299" s="447"/>
      <c r="AW1299" s="447"/>
      <c r="AX1299" s="447"/>
      <c r="AY1299" s="447"/>
      <c r="AZ1299" s="447"/>
      <c r="BA1299" s="448"/>
      <c r="BB1299" s="448"/>
      <c r="BC1299" s="447"/>
      <c r="BD1299" s="448"/>
      <c r="BE1299" s="447"/>
    </row>
    <row r="1300" spans="1:57" ht="30" customHeight="1">
      <c r="A1300" s="443" t="s">
        <v>3828</v>
      </c>
      <c r="B1300" s="443" t="s">
        <v>3829</v>
      </c>
      <c r="C1300" s="443" t="s">
        <v>321</v>
      </c>
      <c r="D1300" s="1133">
        <v>10</v>
      </c>
      <c r="E1300" s="445"/>
      <c r="F1300" s="1147">
        <v>1700</v>
      </c>
      <c r="G1300" s="1147">
        <v>17000</v>
      </c>
      <c r="H1300" s="450">
        <f>단가대비표!O528</f>
        <v>1700</v>
      </c>
      <c r="I1300" s="450">
        <f t="shared" si="160"/>
        <v>0</v>
      </c>
      <c r="J1300" s="1147"/>
      <c r="K1300" s="1147">
        <v>0</v>
      </c>
      <c r="L1300" s="450"/>
      <c r="M1300" s="450">
        <f t="shared" si="161"/>
        <v>0</v>
      </c>
      <c r="N1300" s="1147"/>
      <c r="O1300" s="1147"/>
      <c r="P1300" s="450"/>
      <c r="Q1300" s="450"/>
      <c r="R1300" s="1147">
        <v>1700</v>
      </c>
      <c r="S1300" s="1147">
        <v>17000</v>
      </c>
      <c r="T1300" s="450">
        <f t="shared" si="162"/>
        <v>1700</v>
      </c>
      <c r="U1300" s="450">
        <f t="shared" si="163"/>
        <v>0</v>
      </c>
      <c r="V1300" s="454"/>
      <c r="W1300" s="448"/>
      <c r="X1300" s="448"/>
      <c r="Y1300" s="448"/>
      <c r="Z1300" s="448"/>
      <c r="AA1300" s="448"/>
      <c r="AB1300" s="448"/>
      <c r="AC1300" s="448"/>
      <c r="AD1300" s="447"/>
      <c r="AE1300" s="447"/>
      <c r="AF1300" s="447"/>
      <c r="AG1300" s="447"/>
      <c r="AH1300" s="447"/>
      <c r="AI1300" s="447"/>
      <c r="AJ1300" s="447"/>
      <c r="AK1300" s="447"/>
      <c r="AL1300" s="447"/>
      <c r="AM1300" s="447"/>
      <c r="AN1300" s="447"/>
      <c r="AO1300" s="447"/>
      <c r="AP1300" s="447"/>
      <c r="AQ1300" s="447"/>
      <c r="AR1300" s="447"/>
      <c r="AS1300" s="447"/>
      <c r="AT1300" s="447"/>
      <c r="AU1300" s="447"/>
      <c r="AV1300" s="447"/>
      <c r="AW1300" s="447"/>
      <c r="AX1300" s="447"/>
      <c r="AY1300" s="447"/>
      <c r="AZ1300" s="447"/>
      <c r="BA1300" s="448"/>
      <c r="BB1300" s="448"/>
      <c r="BC1300" s="447"/>
      <c r="BD1300" s="448"/>
      <c r="BE1300" s="447"/>
    </row>
    <row r="1301" spans="1:57" ht="30" customHeight="1">
      <c r="A1301" s="443" t="s">
        <v>3830</v>
      </c>
      <c r="B1301" s="443" t="s">
        <v>3831</v>
      </c>
      <c r="C1301" s="443" t="s">
        <v>3856</v>
      </c>
      <c r="D1301" s="1133">
        <v>100</v>
      </c>
      <c r="E1301" s="445"/>
      <c r="F1301" s="1147">
        <v>2800</v>
      </c>
      <c r="G1301" s="1147">
        <v>280000</v>
      </c>
      <c r="H1301" s="450">
        <f>단가대비표!O529</f>
        <v>2800</v>
      </c>
      <c r="I1301" s="450">
        <f t="shared" si="160"/>
        <v>0</v>
      </c>
      <c r="J1301" s="1147"/>
      <c r="K1301" s="1147">
        <v>0</v>
      </c>
      <c r="L1301" s="450"/>
      <c r="M1301" s="450">
        <f t="shared" si="161"/>
        <v>0</v>
      </c>
      <c r="N1301" s="1147"/>
      <c r="O1301" s="1147"/>
      <c r="P1301" s="450"/>
      <c r="Q1301" s="450"/>
      <c r="R1301" s="1147">
        <v>2800</v>
      </c>
      <c r="S1301" s="1147">
        <v>280000</v>
      </c>
      <c r="T1301" s="450">
        <f t="shared" si="162"/>
        <v>2800</v>
      </c>
      <c r="U1301" s="450">
        <f t="shared" si="163"/>
        <v>0</v>
      </c>
      <c r="V1301" s="454"/>
      <c r="W1301" s="448"/>
      <c r="X1301" s="448"/>
      <c r="Y1301" s="448"/>
      <c r="Z1301" s="448"/>
      <c r="AA1301" s="448"/>
      <c r="AB1301" s="448"/>
      <c r="AC1301" s="448"/>
      <c r="AD1301" s="447"/>
      <c r="AE1301" s="447"/>
      <c r="AF1301" s="447"/>
      <c r="AG1301" s="447"/>
      <c r="AH1301" s="447"/>
      <c r="AI1301" s="447"/>
      <c r="AJ1301" s="447"/>
      <c r="AK1301" s="447"/>
      <c r="AL1301" s="447"/>
      <c r="AM1301" s="447"/>
      <c r="AN1301" s="447"/>
      <c r="AO1301" s="447"/>
      <c r="AP1301" s="447"/>
      <c r="AQ1301" s="447"/>
      <c r="AR1301" s="447"/>
      <c r="AS1301" s="447"/>
      <c r="AT1301" s="447"/>
      <c r="AU1301" s="447"/>
      <c r="AV1301" s="447"/>
      <c r="AW1301" s="447"/>
      <c r="AX1301" s="447"/>
      <c r="AY1301" s="447"/>
      <c r="AZ1301" s="447"/>
      <c r="BA1301" s="448"/>
      <c r="BB1301" s="448"/>
      <c r="BC1301" s="447"/>
      <c r="BD1301" s="448"/>
      <c r="BE1301" s="447"/>
    </row>
    <row r="1302" spans="1:57" ht="30" customHeight="1">
      <c r="A1302" s="443" t="s">
        <v>3832</v>
      </c>
      <c r="B1302" s="443" t="s">
        <v>3833</v>
      </c>
      <c r="C1302" s="443" t="s">
        <v>321</v>
      </c>
      <c r="D1302" s="1133">
        <v>180</v>
      </c>
      <c r="E1302" s="445"/>
      <c r="F1302" s="1147">
        <v>1200</v>
      </c>
      <c r="G1302" s="1147">
        <v>216000</v>
      </c>
      <c r="H1302" s="450">
        <f>단가대비표!O530</f>
        <v>1200</v>
      </c>
      <c r="I1302" s="450">
        <f t="shared" si="160"/>
        <v>0</v>
      </c>
      <c r="J1302" s="1147"/>
      <c r="K1302" s="1147">
        <v>0</v>
      </c>
      <c r="L1302" s="450"/>
      <c r="M1302" s="450">
        <f t="shared" si="161"/>
        <v>0</v>
      </c>
      <c r="N1302" s="1147"/>
      <c r="O1302" s="1147"/>
      <c r="P1302" s="450"/>
      <c r="Q1302" s="450"/>
      <c r="R1302" s="1147">
        <v>1200</v>
      </c>
      <c r="S1302" s="1147">
        <v>216000</v>
      </c>
      <c r="T1302" s="450">
        <f t="shared" si="162"/>
        <v>1200</v>
      </c>
      <c r="U1302" s="450">
        <f t="shared" si="163"/>
        <v>0</v>
      </c>
      <c r="V1302" s="454"/>
      <c r="W1302" s="448"/>
      <c r="X1302" s="448"/>
      <c r="Y1302" s="448"/>
      <c r="Z1302" s="448"/>
      <c r="AA1302" s="448"/>
      <c r="AB1302" s="448"/>
      <c r="AC1302" s="448"/>
      <c r="AD1302" s="447"/>
      <c r="AE1302" s="447"/>
      <c r="AF1302" s="447"/>
      <c r="AG1302" s="447"/>
      <c r="AH1302" s="447"/>
      <c r="AI1302" s="447"/>
      <c r="AJ1302" s="447"/>
      <c r="AK1302" s="447"/>
      <c r="AL1302" s="447"/>
      <c r="AM1302" s="447"/>
      <c r="AN1302" s="447"/>
      <c r="AO1302" s="447"/>
      <c r="AP1302" s="447"/>
      <c r="AQ1302" s="447"/>
      <c r="AR1302" s="447"/>
      <c r="AS1302" s="447"/>
      <c r="AT1302" s="447"/>
      <c r="AU1302" s="447"/>
      <c r="AV1302" s="447"/>
      <c r="AW1302" s="447"/>
      <c r="AX1302" s="447"/>
      <c r="AY1302" s="447"/>
      <c r="AZ1302" s="447"/>
      <c r="BA1302" s="448"/>
      <c r="BB1302" s="448"/>
      <c r="BC1302" s="447"/>
      <c r="BD1302" s="448"/>
      <c r="BE1302" s="447"/>
    </row>
    <row r="1303" spans="1:57" ht="30" customHeight="1">
      <c r="A1303" s="443" t="s">
        <v>3834</v>
      </c>
      <c r="B1303" s="443" t="s">
        <v>3835</v>
      </c>
      <c r="C1303" s="443" t="s">
        <v>3857</v>
      </c>
      <c r="D1303" s="1133">
        <v>260</v>
      </c>
      <c r="E1303" s="445"/>
      <c r="F1303" s="1147">
        <v>300</v>
      </c>
      <c r="G1303" s="1147">
        <v>78000</v>
      </c>
      <c r="H1303" s="450">
        <f>단가대비표!O531</f>
        <v>300</v>
      </c>
      <c r="I1303" s="450">
        <f t="shared" si="160"/>
        <v>0</v>
      </c>
      <c r="J1303" s="1147"/>
      <c r="K1303" s="1147">
        <v>0</v>
      </c>
      <c r="L1303" s="450"/>
      <c r="M1303" s="450">
        <f t="shared" si="161"/>
        <v>0</v>
      </c>
      <c r="N1303" s="1147"/>
      <c r="O1303" s="1147"/>
      <c r="P1303" s="450"/>
      <c r="Q1303" s="450"/>
      <c r="R1303" s="1147">
        <v>300</v>
      </c>
      <c r="S1303" s="1147">
        <v>78000</v>
      </c>
      <c r="T1303" s="450">
        <f t="shared" si="162"/>
        <v>300</v>
      </c>
      <c r="U1303" s="450">
        <f t="shared" si="163"/>
        <v>0</v>
      </c>
      <c r="V1303" s="454"/>
      <c r="W1303" s="448"/>
      <c r="X1303" s="448"/>
      <c r="Y1303" s="448"/>
      <c r="Z1303" s="448"/>
      <c r="AA1303" s="448"/>
      <c r="AB1303" s="448"/>
      <c r="AC1303" s="448"/>
      <c r="AD1303" s="447"/>
      <c r="AE1303" s="447"/>
      <c r="AF1303" s="447"/>
      <c r="AG1303" s="447"/>
      <c r="AH1303" s="447"/>
      <c r="AI1303" s="447"/>
      <c r="AJ1303" s="447"/>
      <c r="AK1303" s="447"/>
      <c r="AL1303" s="447"/>
      <c r="AM1303" s="447"/>
      <c r="AN1303" s="447"/>
      <c r="AO1303" s="447"/>
      <c r="AP1303" s="447"/>
      <c r="AQ1303" s="447"/>
      <c r="AR1303" s="447"/>
      <c r="AS1303" s="447"/>
      <c r="AT1303" s="447"/>
      <c r="AU1303" s="447"/>
      <c r="AV1303" s="447"/>
      <c r="AW1303" s="447"/>
      <c r="AX1303" s="447"/>
      <c r="AY1303" s="447"/>
      <c r="AZ1303" s="447"/>
      <c r="BA1303" s="448"/>
      <c r="BB1303" s="448"/>
      <c r="BC1303" s="447"/>
      <c r="BD1303" s="448"/>
      <c r="BE1303" s="447"/>
    </row>
    <row r="1304" spans="1:57" ht="30" customHeight="1">
      <c r="A1304" s="443" t="s">
        <v>3836</v>
      </c>
      <c r="B1304" s="443" t="s">
        <v>3837</v>
      </c>
      <c r="C1304" s="443" t="s">
        <v>3858</v>
      </c>
      <c r="D1304" s="1133">
        <v>5</v>
      </c>
      <c r="E1304" s="445"/>
      <c r="F1304" s="1147">
        <v>22000</v>
      </c>
      <c r="G1304" s="1147">
        <v>110000</v>
      </c>
      <c r="H1304" s="450">
        <f>단가대비표!O532</f>
        <v>22000</v>
      </c>
      <c r="I1304" s="450">
        <f t="shared" si="160"/>
        <v>0</v>
      </c>
      <c r="J1304" s="1147"/>
      <c r="K1304" s="1147">
        <v>0</v>
      </c>
      <c r="L1304" s="450"/>
      <c r="M1304" s="450">
        <f t="shared" si="161"/>
        <v>0</v>
      </c>
      <c r="N1304" s="1147"/>
      <c r="O1304" s="1147"/>
      <c r="P1304" s="450"/>
      <c r="Q1304" s="450"/>
      <c r="R1304" s="1147">
        <v>22000</v>
      </c>
      <c r="S1304" s="1147">
        <v>110000</v>
      </c>
      <c r="T1304" s="450">
        <f t="shared" si="162"/>
        <v>22000</v>
      </c>
      <c r="U1304" s="450">
        <f t="shared" si="163"/>
        <v>0</v>
      </c>
      <c r="V1304" s="454"/>
      <c r="W1304" s="448"/>
      <c r="X1304" s="448"/>
      <c r="Y1304" s="448"/>
      <c r="Z1304" s="448"/>
      <c r="AA1304" s="448"/>
      <c r="AB1304" s="448"/>
      <c r="AC1304" s="448"/>
      <c r="AD1304" s="447"/>
      <c r="AE1304" s="447"/>
      <c r="AF1304" s="447"/>
      <c r="AG1304" s="447"/>
      <c r="AH1304" s="447"/>
      <c r="AI1304" s="447"/>
      <c r="AJ1304" s="447"/>
      <c r="AK1304" s="447"/>
      <c r="AL1304" s="447"/>
      <c r="AM1304" s="447"/>
      <c r="AN1304" s="447"/>
      <c r="AO1304" s="447"/>
      <c r="AP1304" s="447"/>
      <c r="AQ1304" s="447"/>
      <c r="AR1304" s="447"/>
      <c r="AS1304" s="447"/>
      <c r="AT1304" s="447"/>
      <c r="AU1304" s="447"/>
      <c r="AV1304" s="447"/>
      <c r="AW1304" s="447"/>
      <c r="AX1304" s="447"/>
      <c r="AY1304" s="447"/>
      <c r="AZ1304" s="447"/>
      <c r="BA1304" s="448"/>
      <c r="BB1304" s="448"/>
      <c r="BC1304" s="447"/>
      <c r="BD1304" s="448"/>
      <c r="BE1304" s="447"/>
    </row>
    <row r="1305" spans="1:57" ht="30" customHeight="1">
      <c r="A1305" s="443" t="s">
        <v>3838</v>
      </c>
      <c r="B1305" s="443" t="s">
        <v>3839</v>
      </c>
      <c r="C1305" s="443" t="s">
        <v>3859</v>
      </c>
      <c r="D1305" s="1133">
        <v>7</v>
      </c>
      <c r="E1305" s="445"/>
      <c r="F1305" s="1147">
        <v>34000</v>
      </c>
      <c r="G1305" s="1147">
        <v>238000</v>
      </c>
      <c r="H1305" s="450">
        <f>단가대비표!O533</f>
        <v>34000</v>
      </c>
      <c r="I1305" s="450">
        <f t="shared" si="160"/>
        <v>0</v>
      </c>
      <c r="J1305" s="1147"/>
      <c r="K1305" s="1147">
        <v>0</v>
      </c>
      <c r="L1305" s="450"/>
      <c r="M1305" s="450">
        <f t="shared" si="161"/>
        <v>0</v>
      </c>
      <c r="N1305" s="1147"/>
      <c r="O1305" s="1147"/>
      <c r="P1305" s="450"/>
      <c r="Q1305" s="450"/>
      <c r="R1305" s="1147">
        <v>34000</v>
      </c>
      <c r="S1305" s="1147">
        <v>238000</v>
      </c>
      <c r="T1305" s="450">
        <f t="shared" si="162"/>
        <v>34000</v>
      </c>
      <c r="U1305" s="450">
        <f t="shared" si="163"/>
        <v>0</v>
      </c>
      <c r="V1305" s="454"/>
      <c r="W1305" s="448"/>
      <c r="X1305" s="448"/>
      <c r="Y1305" s="448"/>
      <c r="Z1305" s="448"/>
      <c r="AA1305" s="448"/>
      <c r="AB1305" s="448"/>
      <c r="AC1305" s="448"/>
      <c r="AD1305" s="447"/>
      <c r="AE1305" s="447"/>
      <c r="AF1305" s="447"/>
      <c r="AG1305" s="447"/>
      <c r="AH1305" s="447"/>
      <c r="AI1305" s="447"/>
      <c r="AJ1305" s="447"/>
      <c r="AK1305" s="447"/>
      <c r="AL1305" s="447"/>
      <c r="AM1305" s="447"/>
      <c r="AN1305" s="447"/>
      <c r="AO1305" s="447"/>
      <c r="AP1305" s="447"/>
      <c r="AQ1305" s="447"/>
      <c r="AR1305" s="447"/>
      <c r="AS1305" s="447"/>
      <c r="AT1305" s="447"/>
      <c r="AU1305" s="447"/>
      <c r="AV1305" s="447"/>
      <c r="AW1305" s="447"/>
      <c r="AX1305" s="447"/>
      <c r="AY1305" s="447"/>
      <c r="AZ1305" s="447"/>
      <c r="BA1305" s="448"/>
      <c r="BB1305" s="448"/>
      <c r="BC1305" s="447"/>
      <c r="BD1305" s="448"/>
      <c r="BE1305" s="447"/>
    </row>
    <row r="1306" spans="1:57" ht="30" customHeight="1">
      <c r="A1306" s="443" t="s">
        <v>3840</v>
      </c>
      <c r="B1306" s="443" t="s">
        <v>3841</v>
      </c>
      <c r="C1306" s="443" t="s">
        <v>3859</v>
      </c>
      <c r="D1306" s="1133">
        <v>14</v>
      </c>
      <c r="E1306" s="445"/>
      <c r="F1306" s="1147">
        <v>35000</v>
      </c>
      <c r="G1306" s="1147">
        <v>490000</v>
      </c>
      <c r="H1306" s="450">
        <f>단가대비표!O534</f>
        <v>35000</v>
      </c>
      <c r="I1306" s="450">
        <f t="shared" si="160"/>
        <v>0</v>
      </c>
      <c r="J1306" s="1147"/>
      <c r="K1306" s="1147">
        <v>0</v>
      </c>
      <c r="L1306" s="450"/>
      <c r="M1306" s="450">
        <f t="shared" si="161"/>
        <v>0</v>
      </c>
      <c r="N1306" s="1147"/>
      <c r="O1306" s="1147"/>
      <c r="P1306" s="450"/>
      <c r="Q1306" s="450"/>
      <c r="R1306" s="1147">
        <v>35000</v>
      </c>
      <c r="S1306" s="1147">
        <v>490000</v>
      </c>
      <c r="T1306" s="450">
        <f t="shared" si="162"/>
        <v>35000</v>
      </c>
      <c r="U1306" s="450">
        <f t="shared" si="163"/>
        <v>0</v>
      </c>
      <c r="V1306" s="454"/>
      <c r="W1306" s="448"/>
      <c r="X1306" s="448"/>
      <c r="Y1306" s="448"/>
      <c r="Z1306" s="448"/>
      <c r="AA1306" s="448"/>
      <c r="AB1306" s="448"/>
      <c r="AC1306" s="448"/>
      <c r="AD1306" s="447"/>
      <c r="AE1306" s="447"/>
      <c r="AF1306" s="447"/>
      <c r="AG1306" s="447"/>
      <c r="AH1306" s="447"/>
      <c r="AI1306" s="447"/>
      <c r="AJ1306" s="447"/>
      <c r="AK1306" s="447"/>
      <c r="AL1306" s="447"/>
      <c r="AM1306" s="447"/>
      <c r="AN1306" s="447"/>
      <c r="AO1306" s="447"/>
      <c r="AP1306" s="447"/>
      <c r="AQ1306" s="447"/>
      <c r="AR1306" s="447"/>
      <c r="AS1306" s="447"/>
      <c r="AT1306" s="447"/>
      <c r="AU1306" s="447"/>
      <c r="AV1306" s="447"/>
      <c r="AW1306" s="447"/>
      <c r="AX1306" s="447"/>
      <c r="AY1306" s="447"/>
      <c r="AZ1306" s="447"/>
      <c r="BA1306" s="448"/>
      <c r="BB1306" s="448"/>
      <c r="BC1306" s="447"/>
      <c r="BD1306" s="448"/>
      <c r="BE1306" s="447"/>
    </row>
    <row r="1307" spans="1:57" ht="30" customHeight="1">
      <c r="A1307" s="443" t="s">
        <v>3842</v>
      </c>
      <c r="B1307" s="443" t="s">
        <v>3843</v>
      </c>
      <c r="C1307" s="443" t="s">
        <v>82</v>
      </c>
      <c r="D1307" s="1133">
        <v>55</v>
      </c>
      <c r="E1307" s="445"/>
      <c r="F1307" s="1147">
        <v>14000</v>
      </c>
      <c r="G1307" s="1147">
        <v>770000</v>
      </c>
      <c r="H1307" s="450">
        <f>단가대비표!O535</f>
        <v>14000</v>
      </c>
      <c r="I1307" s="450">
        <f t="shared" si="160"/>
        <v>0</v>
      </c>
      <c r="J1307" s="1147"/>
      <c r="K1307" s="1147">
        <v>0</v>
      </c>
      <c r="L1307" s="450"/>
      <c r="M1307" s="450">
        <f t="shared" si="161"/>
        <v>0</v>
      </c>
      <c r="N1307" s="1147"/>
      <c r="O1307" s="1147"/>
      <c r="P1307" s="450"/>
      <c r="Q1307" s="450"/>
      <c r="R1307" s="1147">
        <v>14000</v>
      </c>
      <c r="S1307" s="1147">
        <v>770000</v>
      </c>
      <c r="T1307" s="450">
        <f t="shared" si="162"/>
        <v>14000</v>
      </c>
      <c r="U1307" s="450">
        <f t="shared" si="163"/>
        <v>0</v>
      </c>
      <c r="V1307" s="454"/>
      <c r="W1307" s="448"/>
      <c r="X1307" s="448"/>
      <c r="Y1307" s="448"/>
      <c r="Z1307" s="448"/>
      <c r="AA1307" s="448"/>
      <c r="AB1307" s="448"/>
      <c r="AC1307" s="448"/>
      <c r="AD1307" s="447"/>
      <c r="AE1307" s="447"/>
      <c r="AF1307" s="447"/>
      <c r="AG1307" s="447"/>
      <c r="AH1307" s="447"/>
      <c r="AI1307" s="447"/>
      <c r="AJ1307" s="447"/>
      <c r="AK1307" s="447"/>
      <c r="AL1307" s="447"/>
      <c r="AM1307" s="447"/>
      <c r="AN1307" s="447"/>
      <c r="AO1307" s="447"/>
      <c r="AP1307" s="447"/>
      <c r="AQ1307" s="447"/>
      <c r="AR1307" s="447"/>
      <c r="AS1307" s="447"/>
      <c r="AT1307" s="447"/>
      <c r="AU1307" s="447"/>
      <c r="AV1307" s="447"/>
      <c r="AW1307" s="447"/>
      <c r="AX1307" s="447"/>
      <c r="AY1307" s="447"/>
      <c r="AZ1307" s="447"/>
      <c r="BA1307" s="448"/>
      <c r="BB1307" s="448"/>
      <c r="BC1307" s="447"/>
      <c r="BD1307" s="448"/>
      <c r="BE1307" s="447"/>
    </row>
    <row r="1308" spans="1:57" ht="30" customHeight="1">
      <c r="A1308" s="443" t="s">
        <v>3844</v>
      </c>
      <c r="B1308" s="443" t="s">
        <v>3845</v>
      </c>
      <c r="C1308" s="443" t="s">
        <v>377</v>
      </c>
      <c r="D1308" s="1133">
        <v>34</v>
      </c>
      <c r="E1308" s="445"/>
      <c r="F1308" s="1147">
        <v>2700</v>
      </c>
      <c r="G1308" s="1147">
        <v>91800</v>
      </c>
      <c r="H1308" s="450">
        <f>단가대비표!O536</f>
        <v>2700</v>
      </c>
      <c r="I1308" s="450">
        <f t="shared" si="160"/>
        <v>0</v>
      </c>
      <c r="J1308" s="1147"/>
      <c r="K1308" s="1147">
        <v>0</v>
      </c>
      <c r="L1308" s="450"/>
      <c r="M1308" s="450">
        <f t="shared" si="161"/>
        <v>0</v>
      </c>
      <c r="N1308" s="1147"/>
      <c r="O1308" s="1147"/>
      <c r="P1308" s="450"/>
      <c r="Q1308" s="450"/>
      <c r="R1308" s="1147">
        <v>2700</v>
      </c>
      <c r="S1308" s="1147">
        <v>91800</v>
      </c>
      <c r="T1308" s="450">
        <f t="shared" si="162"/>
        <v>2700</v>
      </c>
      <c r="U1308" s="450">
        <f t="shared" si="163"/>
        <v>0</v>
      </c>
      <c r="V1308" s="454"/>
      <c r="W1308" s="448"/>
      <c r="X1308" s="448"/>
      <c r="Y1308" s="448"/>
      <c r="Z1308" s="448"/>
      <c r="AA1308" s="448"/>
      <c r="AB1308" s="448"/>
      <c r="AC1308" s="448"/>
      <c r="AD1308" s="447"/>
      <c r="AE1308" s="447"/>
      <c r="AF1308" s="447"/>
      <c r="AG1308" s="447"/>
      <c r="AH1308" s="447"/>
      <c r="AI1308" s="447"/>
      <c r="AJ1308" s="447"/>
      <c r="AK1308" s="447"/>
      <c r="AL1308" s="447"/>
      <c r="AM1308" s="447"/>
      <c r="AN1308" s="447"/>
      <c r="AO1308" s="447"/>
      <c r="AP1308" s="447"/>
      <c r="AQ1308" s="447"/>
      <c r="AR1308" s="447"/>
      <c r="AS1308" s="447"/>
      <c r="AT1308" s="447"/>
      <c r="AU1308" s="447"/>
      <c r="AV1308" s="447"/>
      <c r="AW1308" s="447"/>
      <c r="AX1308" s="447"/>
      <c r="AY1308" s="447"/>
      <c r="AZ1308" s="447"/>
      <c r="BA1308" s="448"/>
      <c r="BB1308" s="448"/>
      <c r="BC1308" s="447"/>
      <c r="BD1308" s="448"/>
      <c r="BE1308" s="447"/>
    </row>
    <row r="1309" spans="1:57" ht="30" customHeight="1">
      <c r="A1309" s="443" t="s">
        <v>3846</v>
      </c>
      <c r="B1309" s="443" t="s">
        <v>3847</v>
      </c>
      <c r="C1309" s="443" t="s">
        <v>321</v>
      </c>
      <c r="D1309" s="1133">
        <v>9</v>
      </c>
      <c r="E1309" s="445"/>
      <c r="F1309" s="1147">
        <v>3100</v>
      </c>
      <c r="G1309" s="1147">
        <v>27900</v>
      </c>
      <c r="H1309" s="450">
        <f>단가대비표!O537</f>
        <v>3100</v>
      </c>
      <c r="I1309" s="450">
        <f t="shared" si="160"/>
        <v>0</v>
      </c>
      <c r="J1309" s="1147"/>
      <c r="K1309" s="1147">
        <v>0</v>
      </c>
      <c r="L1309" s="450"/>
      <c r="M1309" s="450">
        <f t="shared" si="161"/>
        <v>0</v>
      </c>
      <c r="N1309" s="1147"/>
      <c r="O1309" s="1147"/>
      <c r="P1309" s="450"/>
      <c r="Q1309" s="450"/>
      <c r="R1309" s="1147">
        <v>3100</v>
      </c>
      <c r="S1309" s="1147">
        <v>27900</v>
      </c>
      <c r="T1309" s="450">
        <f t="shared" si="162"/>
        <v>3100</v>
      </c>
      <c r="U1309" s="450">
        <f t="shared" si="163"/>
        <v>0</v>
      </c>
      <c r="V1309" s="454"/>
      <c r="W1309" s="448"/>
      <c r="X1309" s="448"/>
      <c r="Y1309" s="448"/>
      <c r="Z1309" s="448"/>
      <c r="AA1309" s="448"/>
      <c r="AB1309" s="448"/>
      <c r="AC1309" s="448"/>
      <c r="AD1309" s="447"/>
      <c r="AE1309" s="447"/>
      <c r="AF1309" s="447"/>
      <c r="AG1309" s="447"/>
      <c r="AH1309" s="447"/>
      <c r="AI1309" s="447"/>
      <c r="AJ1309" s="447"/>
      <c r="AK1309" s="447"/>
      <c r="AL1309" s="447"/>
      <c r="AM1309" s="447"/>
      <c r="AN1309" s="447"/>
      <c r="AO1309" s="447"/>
      <c r="AP1309" s="447"/>
      <c r="AQ1309" s="447"/>
      <c r="AR1309" s="447"/>
      <c r="AS1309" s="447"/>
      <c r="AT1309" s="447"/>
      <c r="AU1309" s="447"/>
      <c r="AV1309" s="447"/>
      <c r="AW1309" s="447"/>
      <c r="AX1309" s="447"/>
      <c r="AY1309" s="447"/>
      <c r="AZ1309" s="447"/>
      <c r="BA1309" s="448"/>
      <c r="BB1309" s="448"/>
      <c r="BC1309" s="447"/>
      <c r="BD1309" s="448"/>
      <c r="BE1309" s="447"/>
    </row>
    <row r="1310" spans="1:57" ht="30" customHeight="1">
      <c r="A1310" s="443" t="s">
        <v>3848</v>
      </c>
      <c r="B1310" s="443" t="s">
        <v>3849</v>
      </c>
      <c r="C1310" s="443" t="s">
        <v>3860</v>
      </c>
      <c r="D1310" s="1133">
        <v>17</v>
      </c>
      <c r="E1310" s="445"/>
      <c r="F1310" s="1147">
        <v>2200</v>
      </c>
      <c r="G1310" s="1147">
        <v>37400</v>
      </c>
      <c r="H1310" s="450">
        <f>단가대비표!O538</f>
        <v>2200</v>
      </c>
      <c r="I1310" s="450">
        <f t="shared" si="160"/>
        <v>0</v>
      </c>
      <c r="J1310" s="1147"/>
      <c r="K1310" s="1147">
        <v>0</v>
      </c>
      <c r="L1310" s="450"/>
      <c r="M1310" s="450">
        <f t="shared" si="161"/>
        <v>0</v>
      </c>
      <c r="N1310" s="1147"/>
      <c r="O1310" s="1147"/>
      <c r="P1310" s="450"/>
      <c r="Q1310" s="450"/>
      <c r="R1310" s="1147">
        <v>2200</v>
      </c>
      <c r="S1310" s="1147">
        <v>37400</v>
      </c>
      <c r="T1310" s="450">
        <f t="shared" si="162"/>
        <v>2200</v>
      </c>
      <c r="U1310" s="450">
        <f t="shared" si="163"/>
        <v>0</v>
      </c>
      <c r="V1310" s="454"/>
      <c r="W1310" s="448"/>
      <c r="X1310" s="448"/>
      <c r="Y1310" s="448"/>
      <c r="Z1310" s="448"/>
      <c r="AA1310" s="448"/>
      <c r="AB1310" s="448"/>
      <c r="AC1310" s="448"/>
      <c r="AD1310" s="447"/>
      <c r="AE1310" s="447"/>
      <c r="AF1310" s="447"/>
      <c r="AG1310" s="447"/>
      <c r="AH1310" s="447"/>
      <c r="AI1310" s="447"/>
      <c r="AJ1310" s="447"/>
      <c r="AK1310" s="447"/>
      <c r="AL1310" s="447"/>
      <c r="AM1310" s="447"/>
      <c r="AN1310" s="447"/>
      <c r="AO1310" s="447"/>
      <c r="AP1310" s="447"/>
      <c r="AQ1310" s="447"/>
      <c r="AR1310" s="447"/>
      <c r="AS1310" s="447"/>
      <c r="AT1310" s="447"/>
      <c r="AU1310" s="447"/>
      <c r="AV1310" s="447"/>
      <c r="AW1310" s="447"/>
      <c r="AX1310" s="447"/>
      <c r="AY1310" s="447"/>
      <c r="AZ1310" s="447"/>
      <c r="BA1310" s="448"/>
      <c r="BB1310" s="448"/>
      <c r="BC1310" s="447"/>
      <c r="BD1310" s="448"/>
      <c r="BE1310" s="447"/>
    </row>
    <row r="1311" spans="1:57" ht="30" customHeight="1">
      <c r="A1311" s="443" t="s">
        <v>3850</v>
      </c>
      <c r="B1311" s="443" t="s">
        <v>3851</v>
      </c>
      <c r="C1311" s="443" t="s">
        <v>82</v>
      </c>
      <c r="D1311" s="1133">
        <v>1</v>
      </c>
      <c r="E1311" s="445"/>
      <c r="F1311" s="1147">
        <v>197576</v>
      </c>
      <c r="G1311" s="1147">
        <v>197576</v>
      </c>
      <c r="H1311" s="450">
        <f>단가대비표!O539</f>
        <v>197576</v>
      </c>
      <c r="I1311" s="450">
        <f t="shared" si="160"/>
        <v>0</v>
      </c>
      <c r="J1311" s="1147"/>
      <c r="K1311" s="1147">
        <v>0</v>
      </c>
      <c r="L1311" s="450"/>
      <c r="M1311" s="450">
        <f t="shared" si="161"/>
        <v>0</v>
      </c>
      <c r="N1311" s="1147"/>
      <c r="O1311" s="1147"/>
      <c r="P1311" s="450"/>
      <c r="Q1311" s="450"/>
      <c r="R1311" s="1147">
        <v>197576</v>
      </c>
      <c r="S1311" s="1147">
        <v>197576</v>
      </c>
      <c r="T1311" s="450">
        <f t="shared" si="162"/>
        <v>197576</v>
      </c>
      <c r="U1311" s="450">
        <f t="shared" si="163"/>
        <v>0</v>
      </c>
      <c r="V1311" s="454"/>
      <c r="W1311" s="448"/>
      <c r="X1311" s="448"/>
      <c r="Y1311" s="448"/>
      <c r="Z1311" s="448"/>
      <c r="AA1311" s="448"/>
      <c r="AB1311" s="448"/>
      <c r="AC1311" s="448"/>
      <c r="AD1311" s="447"/>
      <c r="AE1311" s="447"/>
      <c r="AF1311" s="447"/>
      <c r="AG1311" s="447"/>
      <c r="AH1311" s="447"/>
      <c r="AI1311" s="447"/>
      <c r="AJ1311" s="447"/>
      <c r="AK1311" s="447"/>
      <c r="AL1311" s="447"/>
      <c r="AM1311" s="447"/>
      <c r="AN1311" s="447"/>
      <c r="AO1311" s="447"/>
      <c r="AP1311" s="447"/>
      <c r="AQ1311" s="447"/>
      <c r="AR1311" s="447"/>
      <c r="AS1311" s="447"/>
      <c r="AT1311" s="447"/>
      <c r="AU1311" s="447"/>
      <c r="AV1311" s="447"/>
      <c r="AW1311" s="447"/>
      <c r="AX1311" s="447"/>
      <c r="AY1311" s="447"/>
      <c r="AZ1311" s="447"/>
      <c r="BA1311" s="448"/>
      <c r="BB1311" s="448"/>
      <c r="BC1311" s="447"/>
      <c r="BD1311" s="448"/>
      <c r="BE1311" s="447"/>
    </row>
    <row r="1312" spans="1:57" ht="30" customHeight="1">
      <c r="A1312" s="443" t="s">
        <v>2358</v>
      </c>
      <c r="B1312" s="443" t="s">
        <v>3852</v>
      </c>
      <c r="C1312" s="443" t="s">
        <v>419</v>
      </c>
      <c r="D1312" s="1133">
        <v>11</v>
      </c>
      <c r="E1312" s="445"/>
      <c r="F1312" s="1147">
        <v>200000</v>
      </c>
      <c r="G1312" s="1147">
        <v>2200000</v>
      </c>
      <c r="H1312" s="450">
        <f>단가대비표!P555</f>
        <v>200000</v>
      </c>
      <c r="I1312" s="450">
        <f t="shared" si="160"/>
        <v>0</v>
      </c>
      <c r="J1312" s="1147"/>
      <c r="K1312" s="1147">
        <v>0</v>
      </c>
      <c r="L1312" s="450"/>
      <c r="M1312" s="450">
        <f t="shared" si="161"/>
        <v>0</v>
      </c>
      <c r="N1312" s="1147"/>
      <c r="O1312" s="1147"/>
      <c r="P1312" s="450"/>
      <c r="Q1312" s="450"/>
      <c r="R1312" s="1147">
        <v>200000</v>
      </c>
      <c r="S1312" s="1147">
        <v>2200000</v>
      </c>
      <c r="T1312" s="450">
        <f t="shared" si="162"/>
        <v>200000</v>
      </c>
      <c r="U1312" s="450">
        <f t="shared" si="163"/>
        <v>0</v>
      </c>
      <c r="V1312" s="454"/>
      <c r="W1312" s="448"/>
      <c r="X1312" s="448"/>
      <c r="Y1312" s="448"/>
      <c r="Z1312" s="448"/>
      <c r="AA1312" s="448"/>
      <c r="AB1312" s="448"/>
      <c r="AC1312" s="448"/>
      <c r="AD1312" s="447"/>
      <c r="AE1312" s="447"/>
      <c r="AF1312" s="447"/>
      <c r="AG1312" s="447"/>
      <c r="AH1312" s="447"/>
      <c r="AI1312" s="447"/>
      <c r="AJ1312" s="447"/>
      <c r="AK1312" s="447"/>
      <c r="AL1312" s="447"/>
      <c r="AM1312" s="447"/>
      <c r="AN1312" s="447"/>
      <c r="AO1312" s="447"/>
      <c r="AP1312" s="447"/>
      <c r="AQ1312" s="447"/>
      <c r="AR1312" s="447"/>
      <c r="AS1312" s="447"/>
      <c r="AT1312" s="447"/>
      <c r="AU1312" s="447"/>
      <c r="AV1312" s="447"/>
      <c r="AW1312" s="447"/>
      <c r="AX1312" s="447"/>
      <c r="AY1312" s="447"/>
      <c r="AZ1312" s="447"/>
      <c r="BA1312" s="448"/>
      <c r="BB1312" s="448"/>
      <c r="BC1312" s="447"/>
      <c r="BD1312" s="448"/>
      <c r="BE1312" s="447"/>
    </row>
    <row r="1313" spans="1:57" ht="30" customHeight="1">
      <c r="A1313" s="443" t="s">
        <v>2358</v>
      </c>
      <c r="B1313" s="443" t="s">
        <v>1130</v>
      </c>
      <c r="C1313" s="443" t="s">
        <v>419</v>
      </c>
      <c r="D1313" s="1133">
        <v>25</v>
      </c>
      <c r="E1313" s="445"/>
      <c r="F1313" s="1147"/>
      <c r="G1313" s="1147">
        <v>0</v>
      </c>
      <c r="H1313" s="450"/>
      <c r="I1313" s="450">
        <f t="shared" si="160"/>
        <v>0</v>
      </c>
      <c r="J1313" s="1147">
        <v>155599</v>
      </c>
      <c r="K1313" s="1147">
        <v>3889975</v>
      </c>
      <c r="L1313" s="450">
        <f>단가대비표!P557</f>
        <v>155599</v>
      </c>
      <c r="M1313" s="450">
        <f>E1313*L1313</f>
        <v>0</v>
      </c>
      <c r="N1313" s="1147"/>
      <c r="O1313" s="1147"/>
      <c r="P1313" s="450"/>
      <c r="Q1313" s="450"/>
      <c r="R1313" s="1147">
        <v>155599</v>
      </c>
      <c r="S1313" s="1147">
        <v>3889975</v>
      </c>
      <c r="T1313" s="450">
        <f t="shared" si="162"/>
        <v>155599</v>
      </c>
      <c r="U1313" s="450">
        <f t="shared" si="163"/>
        <v>0</v>
      </c>
      <c r="V1313" s="454"/>
      <c r="W1313" s="448"/>
      <c r="X1313" s="448"/>
      <c r="Y1313" s="448"/>
      <c r="Z1313" s="448"/>
      <c r="AA1313" s="448"/>
      <c r="AB1313" s="448"/>
      <c r="AC1313" s="448"/>
      <c r="AD1313" s="447"/>
      <c r="AE1313" s="447"/>
      <c r="AF1313" s="447"/>
      <c r="AG1313" s="447"/>
      <c r="AH1313" s="447"/>
      <c r="AI1313" s="447"/>
      <c r="AJ1313" s="447"/>
      <c r="AK1313" s="447"/>
      <c r="AL1313" s="447"/>
      <c r="AM1313" s="447"/>
      <c r="AN1313" s="447"/>
      <c r="AO1313" s="447"/>
      <c r="AP1313" s="447"/>
      <c r="AQ1313" s="447"/>
      <c r="AR1313" s="447"/>
      <c r="AS1313" s="447"/>
      <c r="AT1313" s="447"/>
      <c r="AU1313" s="447"/>
      <c r="AV1313" s="447"/>
      <c r="AW1313" s="447"/>
      <c r="AX1313" s="447"/>
      <c r="AY1313" s="447"/>
      <c r="AZ1313" s="447"/>
      <c r="BA1313" s="448"/>
      <c r="BB1313" s="448"/>
      <c r="BC1313" s="447"/>
      <c r="BD1313" s="448"/>
      <c r="BE1313" s="447"/>
    </row>
    <row r="1314" spans="1:57" ht="30" customHeight="1">
      <c r="A1314" s="443" t="s">
        <v>2358</v>
      </c>
      <c r="B1314" s="443" t="s">
        <v>2359</v>
      </c>
      <c r="C1314" s="443" t="s">
        <v>419</v>
      </c>
      <c r="D1314" s="1133">
        <v>22</v>
      </c>
      <c r="E1314" s="445"/>
      <c r="F1314" s="1147"/>
      <c r="G1314" s="1147">
        <v>0</v>
      </c>
      <c r="H1314" s="450"/>
      <c r="I1314" s="450">
        <f t="shared" si="160"/>
        <v>0</v>
      </c>
      <c r="J1314" s="1147">
        <v>164907</v>
      </c>
      <c r="K1314" s="1147">
        <v>3627954</v>
      </c>
      <c r="L1314" s="450">
        <f>단가대비표!P563</f>
        <v>164907</v>
      </c>
      <c r="M1314" s="450">
        <f>E1314*L1314</f>
        <v>0</v>
      </c>
      <c r="N1314" s="1147"/>
      <c r="O1314" s="1147"/>
      <c r="P1314" s="450"/>
      <c r="Q1314" s="450"/>
      <c r="R1314" s="1147">
        <v>164907</v>
      </c>
      <c r="S1314" s="1147">
        <v>3627954</v>
      </c>
      <c r="T1314" s="450">
        <f t="shared" si="162"/>
        <v>164907</v>
      </c>
      <c r="U1314" s="450">
        <f t="shared" si="163"/>
        <v>0</v>
      </c>
      <c r="V1314" s="454"/>
      <c r="W1314" s="448"/>
      <c r="X1314" s="448"/>
      <c r="Y1314" s="448"/>
      <c r="Z1314" s="448"/>
      <c r="AA1314" s="448"/>
      <c r="AB1314" s="448"/>
      <c r="AC1314" s="448"/>
      <c r="AD1314" s="447"/>
      <c r="AE1314" s="447"/>
      <c r="AF1314" s="447"/>
      <c r="AG1314" s="447"/>
      <c r="AH1314" s="447"/>
      <c r="AI1314" s="447"/>
      <c r="AJ1314" s="447"/>
      <c r="AK1314" s="447"/>
      <c r="AL1314" s="447"/>
      <c r="AM1314" s="447"/>
      <c r="AN1314" s="447"/>
      <c r="AO1314" s="447"/>
      <c r="AP1314" s="447"/>
      <c r="AQ1314" s="447"/>
      <c r="AR1314" s="447"/>
      <c r="AS1314" s="447"/>
      <c r="AT1314" s="447"/>
      <c r="AU1314" s="447"/>
      <c r="AV1314" s="447"/>
      <c r="AW1314" s="447"/>
      <c r="AX1314" s="447"/>
      <c r="AY1314" s="447"/>
      <c r="AZ1314" s="447"/>
      <c r="BA1314" s="448"/>
      <c r="BB1314" s="448"/>
      <c r="BC1314" s="447"/>
      <c r="BD1314" s="448"/>
      <c r="BE1314" s="447"/>
    </row>
    <row r="1315" spans="1:57" ht="30" customHeight="1">
      <c r="A1315" s="443" t="s">
        <v>2358</v>
      </c>
      <c r="B1315" s="443" t="s">
        <v>3853</v>
      </c>
      <c r="C1315" s="443" t="s">
        <v>419</v>
      </c>
      <c r="D1315" s="1133">
        <v>22</v>
      </c>
      <c r="E1315" s="445"/>
      <c r="F1315" s="1147"/>
      <c r="G1315" s="1147">
        <v>0</v>
      </c>
      <c r="H1315" s="450"/>
      <c r="I1315" s="450">
        <f t="shared" si="160"/>
        <v>0</v>
      </c>
      <c r="J1315" s="1147">
        <v>175669</v>
      </c>
      <c r="K1315" s="1147">
        <v>3864718</v>
      </c>
      <c r="L1315" s="450">
        <f>단가대비표!P564</f>
        <v>175669</v>
      </c>
      <c r="M1315" s="450">
        <f>E1315*L1315</f>
        <v>0</v>
      </c>
      <c r="N1315" s="1147"/>
      <c r="O1315" s="1147"/>
      <c r="P1315" s="450"/>
      <c r="Q1315" s="450"/>
      <c r="R1315" s="1147">
        <v>175669</v>
      </c>
      <c r="S1315" s="1147">
        <v>3864718</v>
      </c>
      <c r="T1315" s="450">
        <f t="shared" si="162"/>
        <v>175669</v>
      </c>
      <c r="U1315" s="450">
        <f t="shared" si="163"/>
        <v>0</v>
      </c>
      <c r="V1315" s="454"/>
      <c r="W1315" s="448"/>
      <c r="X1315" s="448"/>
      <c r="Y1315" s="448"/>
      <c r="Z1315" s="448"/>
      <c r="AA1315" s="448"/>
      <c r="AB1315" s="448"/>
      <c r="AC1315" s="448"/>
      <c r="AD1315" s="447"/>
      <c r="AE1315" s="447"/>
      <c r="AF1315" s="447"/>
      <c r="AG1315" s="447"/>
      <c r="AH1315" s="447"/>
      <c r="AI1315" s="447"/>
      <c r="AJ1315" s="447"/>
      <c r="AK1315" s="447"/>
      <c r="AL1315" s="447"/>
      <c r="AM1315" s="447"/>
      <c r="AN1315" s="447"/>
      <c r="AO1315" s="447"/>
      <c r="AP1315" s="447"/>
      <c r="AQ1315" s="447"/>
      <c r="AR1315" s="447"/>
      <c r="AS1315" s="447"/>
      <c r="AT1315" s="447"/>
      <c r="AU1315" s="447"/>
      <c r="AV1315" s="447"/>
      <c r="AW1315" s="447"/>
      <c r="AX1315" s="447"/>
      <c r="AY1315" s="447"/>
      <c r="AZ1315" s="447"/>
      <c r="BA1315" s="448"/>
      <c r="BB1315" s="448"/>
      <c r="BC1315" s="447"/>
      <c r="BD1315" s="448"/>
      <c r="BE1315" s="447"/>
    </row>
    <row r="1316" spans="1:57" ht="30" customHeight="1">
      <c r="A1316" s="443" t="s">
        <v>2358</v>
      </c>
      <c r="B1316" s="443" t="s">
        <v>3854</v>
      </c>
      <c r="C1316" s="443" t="s">
        <v>419</v>
      </c>
      <c r="D1316" s="1133">
        <v>11</v>
      </c>
      <c r="E1316" s="445"/>
      <c r="F1316" s="1147"/>
      <c r="G1316" s="1147">
        <v>0</v>
      </c>
      <c r="H1316" s="450"/>
      <c r="I1316" s="450">
        <f t="shared" si="160"/>
        <v>0</v>
      </c>
      <c r="J1316" s="1147">
        <v>254636</v>
      </c>
      <c r="K1316" s="1147">
        <v>2800996</v>
      </c>
      <c r="L1316" s="450">
        <f>단가대비표!P565</f>
        <v>254636</v>
      </c>
      <c r="M1316" s="450">
        <f>E1316*L1316</f>
        <v>0</v>
      </c>
      <c r="N1316" s="1147"/>
      <c r="O1316" s="1147"/>
      <c r="P1316" s="450"/>
      <c r="Q1316" s="450"/>
      <c r="R1316" s="1147">
        <v>254636</v>
      </c>
      <c r="S1316" s="1147">
        <v>2800996</v>
      </c>
      <c r="T1316" s="450">
        <f t="shared" si="162"/>
        <v>254636</v>
      </c>
      <c r="U1316" s="450">
        <f t="shared" si="163"/>
        <v>0</v>
      </c>
      <c r="V1316" s="454"/>
      <c r="W1316" s="448"/>
      <c r="X1316" s="448"/>
      <c r="Y1316" s="448"/>
      <c r="Z1316" s="448"/>
      <c r="AA1316" s="448"/>
      <c r="AB1316" s="448"/>
      <c r="AC1316" s="448"/>
      <c r="AD1316" s="447"/>
      <c r="AE1316" s="447"/>
      <c r="AF1316" s="447"/>
      <c r="AG1316" s="447"/>
      <c r="AH1316" s="447"/>
      <c r="AI1316" s="447"/>
      <c r="AJ1316" s="447"/>
      <c r="AK1316" s="447"/>
      <c r="AL1316" s="447"/>
      <c r="AM1316" s="447"/>
      <c r="AN1316" s="447"/>
      <c r="AO1316" s="447"/>
      <c r="AP1316" s="447"/>
      <c r="AQ1316" s="447"/>
      <c r="AR1316" s="447"/>
      <c r="AS1316" s="447"/>
      <c r="AT1316" s="447"/>
      <c r="AU1316" s="447"/>
      <c r="AV1316" s="447"/>
      <c r="AW1316" s="447"/>
      <c r="AX1316" s="447"/>
      <c r="AY1316" s="447"/>
      <c r="AZ1316" s="447"/>
      <c r="BA1316" s="448"/>
      <c r="BB1316" s="448"/>
      <c r="BC1316" s="447"/>
      <c r="BD1316" s="448"/>
      <c r="BE1316" s="447"/>
    </row>
    <row r="1317" spans="1:57" ht="30" customHeight="1">
      <c r="A1317" s="443" t="s">
        <v>1134</v>
      </c>
      <c r="B1317" s="443" t="s">
        <v>2355</v>
      </c>
      <c r="C1317" s="443" t="s">
        <v>82</v>
      </c>
      <c r="D1317" s="1133">
        <v>1</v>
      </c>
      <c r="E1317" s="445"/>
      <c r="F1317" s="1147">
        <v>283672</v>
      </c>
      <c r="G1317" s="1147">
        <v>283672</v>
      </c>
      <c r="H1317" s="450">
        <v>283672</v>
      </c>
      <c r="I1317" s="450">
        <f t="shared" si="160"/>
        <v>0</v>
      </c>
      <c r="J1317" s="1147"/>
      <c r="K1317" s="1147">
        <v>0</v>
      </c>
      <c r="L1317" s="450"/>
      <c r="M1317" s="450">
        <f>E1317*L1317</f>
        <v>0</v>
      </c>
      <c r="N1317" s="1147"/>
      <c r="O1317" s="1147"/>
      <c r="P1317" s="450"/>
      <c r="Q1317" s="450"/>
      <c r="R1317" s="1147">
        <v>283672</v>
      </c>
      <c r="S1317" s="1147">
        <v>283672</v>
      </c>
      <c r="T1317" s="450">
        <f t="shared" si="162"/>
        <v>283672</v>
      </c>
      <c r="U1317" s="450">
        <f t="shared" si="163"/>
        <v>0</v>
      </c>
      <c r="V1317" s="454"/>
      <c r="W1317" s="448"/>
      <c r="X1317" s="448"/>
      <c r="Y1317" s="448"/>
      <c r="Z1317" s="448"/>
      <c r="AA1317" s="448"/>
      <c r="AB1317" s="448"/>
      <c r="AC1317" s="448"/>
      <c r="AD1317" s="447"/>
      <c r="AE1317" s="447"/>
      <c r="AF1317" s="447"/>
      <c r="AG1317" s="447"/>
      <c r="AH1317" s="447"/>
      <c r="AI1317" s="447"/>
      <c r="AJ1317" s="447"/>
      <c r="AK1317" s="447"/>
      <c r="AL1317" s="447"/>
      <c r="AM1317" s="447"/>
      <c r="AN1317" s="447"/>
      <c r="AO1317" s="447"/>
      <c r="AP1317" s="447"/>
      <c r="AQ1317" s="447"/>
      <c r="AR1317" s="447"/>
      <c r="AS1317" s="447"/>
      <c r="AT1317" s="447"/>
      <c r="AU1317" s="447"/>
      <c r="AV1317" s="447"/>
      <c r="AW1317" s="447"/>
      <c r="AX1317" s="447"/>
      <c r="AY1317" s="447"/>
      <c r="AZ1317" s="447"/>
      <c r="BA1317" s="448"/>
      <c r="BB1317" s="448"/>
      <c r="BC1317" s="447"/>
      <c r="BD1317" s="448"/>
      <c r="BE1317" s="447"/>
    </row>
    <row r="1318" spans="1:57" ht="30" customHeight="1">
      <c r="A1318" s="443"/>
      <c r="B1318" s="443"/>
      <c r="C1318" s="443"/>
      <c r="D1318" s="1133"/>
      <c r="E1318" s="445"/>
      <c r="F1318" s="1147"/>
      <c r="G1318" s="1147"/>
      <c r="H1318" s="450"/>
      <c r="I1318" s="450"/>
      <c r="J1318" s="1147"/>
      <c r="K1318" s="1147"/>
      <c r="L1318" s="450"/>
      <c r="M1318" s="450"/>
      <c r="N1318" s="1147"/>
      <c r="O1318" s="1147"/>
      <c r="P1318" s="450"/>
      <c r="Q1318" s="450"/>
      <c r="R1318" s="1147"/>
      <c r="S1318" s="1147"/>
      <c r="T1318" s="450"/>
      <c r="U1318" s="450"/>
      <c r="V1318" s="454"/>
      <c r="W1318" s="448"/>
      <c r="X1318" s="448"/>
      <c r="Y1318" s="448"/>
      <c r="Z1318" s="448"/>
      <c r="AA1318" s="448"/>
      <c r="AB1318" s="448"/>
      <c r="AC1318" s="448"/>
      <c r="AD1318" s="447"/>
      <c r="AE1318" s="447"/>
      <c r="AF1318" s="447"/>
      <c r="AG1318" s="447"/>
      <c r="AH1318" s="447"/>
      <c r="AI1318" s="447"/>
      <c r="AJ1318" s="447"/>
      <c r="AK1318" s="447"/>
      <c r="AL1318" s="447"/>
      <c r="AM1318" s="447"/>
      <c r="AN1318" s="447"/>
      <c r="AO1318" s="447"/>
      <c r="AP1318" s="447"/>
      <c r="AQ1318" s="447"/>
      <c r="AR1318" s="447"/>
      <c r="AS1318" s="447"/>
      <c r="AT1318" s="447"/>
      <c r="AU1318" s="447"/>
      <c r="AV1318" s="447"/>
      <c r="AW1318" s="447"/>
      <c r="AX1318" s="447"/>
      <c r="AY1318" s="447"/>
      <c r="AZ1318" s="447"/>
      <c r="BA1318" s="448"/>
      <c r="BB1318" s="448"/>
      <c r="BC1318" s="447"/>
      <c r="BD1318" s="448"/>
      <c r="BE1318" s="447"/>
    </row>
    <row r="1319" spans="1:57" ht="30" customHeight="1">
      <c r="A1319" s="443"/>
      <c r="B1319" s="443"/>
      <c r="C1319" s="443"/>
      <c r="D1319" s="1133"/>
      <c r="E1319" s="445"/>
      <c r="F1319" s="1147"/>
      <c r="G1319" s="1147"/>
      <c r="H1319" s="450"/>
      <c r="I1319" s="450"/>
      <c r="J1319" s="1147"/>
      <c r="K1319" s="1147"/>
      <c r="L1319" s="450"/>
      <c r="M1319" s="450"/>
      <c r="N1319" s="1147"/>
      <c r="O1319" s="1147"/>
      <c r="P1319" s="450"/>
      <c r="Q1319" s="450"/>
      <c r="R1319" s="1147"/>
      <c r="S1319" s="1147"/>
      <c r="T1319" s="450"/>
      <c r="U1319" s="450"/>
      <c r="V1319" s="454"/>
      <c r="W1319" s="448"/>
      <c r="X1319" s="448"/>
      <c r="Y1319" s="448"/>
      <c r="Z1319" s="448"/>
      <c r="AA1319" s="448"/>
      <c r="AB1319" s="448"/>
      <c r="AC1319" s="448"/>
      <c r="AD1319" s="447"/>
      <c r="AE1319" s="447"/>
      <c r="AF1319" s="447"/>
      <c r="AG1319" s="447"/>
      <c r="AH1319" s="447"/>
      <c r="AI1319" s="447"/>
      <c r="AJ1319" s="447"/>
      <c r="AK1319" s="447"/>
      <c r="AL1319" s="447"/>
      <c r="AM1319" s="447"/>
      <c r="AN1319" s="447"/>
      <c r="AO1319" s="447"/>
      <c r="AP1319" s="447"/>
      <c r="AQ1319" s="447"/>
      <c r="AR1319" s="447"/>
      <c r="AS1319" s="447"/>
      <c r="AT1319" s="447"/>
      <c r="AU1319" s="447"/>
      <c r="AV1319" s="447"/>
      <c r="AW1319" s="447"/>
      <c r="AX1319" s="447"/>
      <c r="AY1319" s="447"/>
      <c r="AZ1319" s="447"/>
      <c r="BA1319" s="448"/>
      <c r="BB1319" s="448"/>
      <c r="BC1319" s="447"/>
      <c r="BD1319" s="448"/>
      <c r="BE1319" s="447"/>
    </row>
    <row r="1320" spans="1:57" ht="30" customHeight="1">
      <c r="A1320" s="443"/>
      <c r="B1320" s="443"/>
      <c r="C1320" s="443"/>
      <c r="D1320" s="1133"/>
      <c r="E1320" s="445"/>
      <c r="F1320" s="1147"/>
      <c r="G1320" s="1147"/>
      <c r="H1320" s="450"/>
      <c r="I1320" s="450"/>
      <c r="J1320" s="1147"/>
      <c r="K1320" s="1147"/>
      <c r="L1320" s="450"/>
      <c r="M1320" s="450"/>
      <c r="N1320" s="1147"/>
      <c r="O1320" s="1147"/>
      <c r="P1320" s="450"/>
      <c r="Q1320" s="450"/>
      <c r="R1320" s="1147"/>
      <c r="S1320" s="1147"/>
      <c r="T1320" s="450"/>
      <c r="U1320" s="450"/>
      <c r="V1320" s="454"/>
      <c r="W1320" s="448"/>
      <c r="X1320" s="448"/>
      <c r="Y1320" s="448"/>
      <c r="Z1320" s="448"/>
      <c r="AA1320" s="448"/>
      <c r="AB1320" s="448"/>
      <c r="AC1320" s="448"/>
      <c r="AD1320" s="447"/>
      <c r="AE1320" s="447"/>
      <c r="AF1320" s="447"/>
      <c r="AG1320" s="447"/>
      <c r="AH1320" s="447"/>
      <c r="AI1320" s="447"/>
      <c r="AJ1320" s="447"/>
      <c r="AK1320" s="447"/>
      <c r="AL1320" s="447"/>
      <c r="AM1320" s="447"/>
      <c r="AN1320" s="447"/>
      <c r="AO1320" s="447"/>
      <c r="AP1320" s="447"/>
      <c r="AQ1320" s="447"/>
      <c r="AR1320" s="447"/>
      <c r="AS1320" s="447"/>
      <c r="AT1320" s="447"/>
      <c r="AU1320" s="447"/>
      <c r="AV1320" s="447"/>
      <c r="AW1320" s="447"/>
      <c r="AX1320" s="447"/>
      <c r="AY1320" s="447"/>
      <c r="AZ1320" s="447"/>
      <c r="BA1320" s="448"/>
      <c r="BB1320" s="448"/>
      <c r="BC1320" s="447"/>
      <c r="BD1320" s="448"/>
      <c r="BE1320" s="447"/>
    </row>
    <row r="1321" spans="1:57" ht="30" customHeight="1">
      <c r="A1321" s="492"/>
      <c r="B1321" s="492"/>
      <c r="C1321" s="492"/>
      <c r="D1321" s="1139"/>
      <c r="E1321" s="491"/>
      <c r="F1321" s="1153"/>
      <c r="G1321" s="1153"/>
      <c r="H1321" s="492"/>
      <c r="I1321" s="492"/>
      <c r="J1321" s="1153"/>
      <c r="K1321" s="1153"/>
      <c r="L1321" s="492"/>
      <c r="M1321" s="492"/>
      <c r="N1321" s="1153"/>
      <c r="O1321" s="1153"/>
      <c r="P1321" s="492"/>
      <c r="Q1321" s="492"/>
      <c r="R1321" s="1153"/>
      <c r="S1321" s="1153"/>
      <c r="T1321" s="492"/>
      <c r="U1321" s="492"/>
      <c r="V1321" s="493"/>
      <c r="BD1321" s="490"/>
      <c r="BE1321" s="490"/>
    </row>
    <row r="1322" spans="1:57" ht="30" customHeight="1">
      <c r="A1322" s="492"/>
      <c r="B1322" s="492"/>
      <c r="C1322" s="492"/>
      <c r="D1322" s="1139"/>
      <c r="E1322" s="491"/>
      <c r="F1322" s="1153"/>
      <c r="G1322" s="1153"/>
      <c r="H1322" s="492"/>
      <c r="I1322" s="492"/>
      <c r="J1322" s="1153"/>
      <c r="K1322" s="1153"/>
      <c r="L1322" s="492"/>
      <c r="M1322" s="492"/>
      <c r="N1322" s="1153"/>
      <c r="O1322" s="1153"/>
      <c r="P1322" s="492"/>
      <c r="Q1322" s="492"/>
      <c r="R1322" s="1153"/>
      <c r="S1322" s="1153"/>
      <c r="T1322" s="492"/>
      <c r="U1322" s="492"/>
      <c r="V1322" s="493"/>
      <c r="BD1322" s="490"/>
      <c r="BE1322" s="490"/>
    </row>
    <row r="1323" spans="1:57" ht="30" customHeight="1">
      <c r="A1323" s="492"/>
      <c r="B1323" s="492"/>
      <c r="C1323" s="492"/>
      <c r="D1323" s="1139"/>
      <c r="E1323" s="491"/>
      <c r="F1323" s="1153"/>
      <c r="G1323" s="1153"/>
      <c r="H1323" s="492"/>
      <c r="I1323" s="492"/>
      <c r="J1323" s="1153"/>
      <c r="K1323" s="1153"/>
      <c r="L1323" s="492"/>
      <c r="M1323" s="492"/>
      <c r="N1323" s="1153"/>
      <c r="O1323" s="1153"/>
      <c r="P1323" s="492"/>
      <c r="Q1323" s="492"/>
      <c r="R1323" s="1153"/>
      <c r="S1323" s="1153"/>
      <c r="T1323" s="492"/>
      <c r="U1323" s="492"/>
      <c r="V1323" s="493"/>
      <c r="BD1323" s="490"/>
      <c r="BE1323" s="490"/>
    </row>
    <row r="1324" spans="1:57" ht="30" customHeight="1">
      <c r="A1324" s="492"/>
      <c r="B1324" s="492"/>
      <c r="C1324" s="492"/>
      <c r="D1324" s="1139"/>
      <c r="E1324" s="491"/>
      <c r="F1324" s="1153"/>
      <c r="G1324" s="1153"/>
      <c r="H1324" s="492"/>
      <c r="I1324" s="492"/>
      <c r="J1324" s="1153"/>
      <c r="K1324" s="1153"/>
      <c r="L1324" s="492"/>
      <c r="M1324" s="492"/>
      <c r="N1324" s="1153"/>
      <c r="O1324" s="1153"/>
      <c r="P1324" s="492"/>
      <c r="Q1324" s="492"/>
      <c r="R1324" s="1153"/>
      <c r="S1324" s="1153"/>
      <c r="T1324" s="492"/>
      <c r="U1324" s="492"/>
      <c r="V1324" s="493"/>
      <c r="BD1324" s="490"/>
      <c r="BE1324" s="490"/>
    </row>
    <row r="1325" spans="1:57" ht="30" customHeight="1">
      <c r="A1325" s="492"/>
      <c r="B1325" s="492"/>
      <c r="C1325" s="492"/>
      <c r="D1325" s="1139"/>
      <c r="E1325" s="491"/>
      <c r="F1325" s="1153"/>
      <c r="G1325" s="1153"/>
      <c r="H1325" s="492"/>
      <c r="I1325" s="492"/>
      <c r="J1325" s="1153"/>
      <c r="K1325" s="1153"/>
      <c r="L1325" s="492"/>
      <c r="M1325" s="492"/>
      <c r="N1325" s="1153"/>
      <c r="O1325" s="1153"/>
      <c r="P1325" s="492"/>
      <c r="Q1325" s="492"/>
      <c r="R1325" s="1153"/>
      <c r="S1325" s="1153"/>
      <c r="T1325" s="492"/>
      <c r="U1325" s="492"/>
      <c r="V1325" s="493"/>
      <c r="BD1325" s="490"/>
      <c r="BE1325" s="490"/>
    </row>
    <row r="1326" spans="1:57" ht="30" customHeight="1">
      <c r="A1326" s="492"/>
      <c r="B1326" s="492"/>
      <c r="C1326" s="492"/>
      <c r="D1326" s="1139"/>
      <c r="E1326" s="491"/>
      <c r="F1326" s="1153"/>
      <c r="G1326" s="1153"/>
      <c r="H1326" s="492"/>
      <c r="I1326" s="492"/>
      <c r="J1326" s="1153"/>
      <c r="K1326" s="1153"/>
      <c r="L1326" s="492"/>
      <c r="M1326" s="492"/>
      <c r="N1326" s="1153"/>
      <c r="O1326" s="1153"/>
      <c r="P1326" s="492"/>
      <c r="Q1326" s="492"/>
      <c r="R1326" s="1153"/>
      <c r="S1326" s="1153"/>
      <c r="T1326" s="492"/>
      <c r="U1326" s="492"/>
      <c r="V1326" s="493"/>
      <c r="BD1326" s="490"/>
      <c r="BE1326" s="490"/>
    </row>
    <row r="1327" spans="1:57" ht="30" customHeight="1">
      <c r="A1327" s="492"/>
      <c r="B1327" s="492"/>
      <c r="C1327" s="492"/>
      <c r="D1327" s="1139"/>
      <c r="E1327" s="491"/>
      <c r="F1327" s="1153"/>
      <c r="G1327" s="1153"/>
      <c r="H1327" s="492"/>
      <c r="I1327" s="492"/>
      <c r="J1327" s="1153"/>
      <c r="K1327" s="1153"/>
      <c r="L1327" s="492"/>
      <c r="M1327" s="492"/>
      <c r="N1327" s="1153"/>
      <c r="O1327" s="1153"/>
      <c r="P1327" s="492"/>
      <c r="Q1327" s="492"/>
      <c r="R1327" s="1153"/>
      <c r="S1327" s="1153"/>
      <c r="T1327" s="492"/>
      <c r="U1327" s="492"/>
      <c r="V1327" s="493"/>
      <c r="BD1327" s="490"/>
      <c r="BE1327" s="490"/>
    </row>
    <row r="1328" spans="1:57" ht="30" customHeight="1">
      <c r="A1328" s="492"/>
      <c r="B1328" s="492"/>
      <c r="C1328" s="492"/>
      <c r="D1328" s="1139"/>
      <c r="E1328" s="491"/>
      <c r="F1328" s="1153"/>
      <c r="G1328" s="1153"/>
      <c r="H1328" s="492"/>
      <c r="I1328" s="492"/>
      <c r="J1328" s="1153"/>
      <c r="K1328" s="1153"/>
      <c r="L1328" s="492"/>
      <c r="M1328" s="492"/>
      <c r="N1328" s="1153"/>
      <c r="O1328" s="1153"/>
      <c r="P1328" s="492"/>
      <c r="Q1328" s="492"/>
      <c r="R1328" s="1153"/>
      <c r="S1328" s="1153"/>
      <c r="T1328" s="492"/>
      <c r="U1328" s="492"/>
      <c r="V1328" s="493"/>
      <c r="BD1328" s="490"/>
      <c r="BE1328" s="490"/>
    </row>
    <row r="1329" spans="1:57" ht="30" customHeight="1">
      <c r="A1329" s="492"/>
      <c r="B1329" s="492"/>
      <c r="C1329" s="492"/>
      <c r="D1329" s="1139"/>
      <c r="E1329" s="491"/>
      <c r="F1329" s="1153"/>
      <c r="G1329" s="1153"/>
      <c r="H1329" s="492"/>
      <c r="I1329" s="492"/>
      <c r="J1329" s="1153"/>
      <c r="K1329" s="1153"/>
      <c r="L1329" s="492"/>
      <c r="M1329" s="492"/>
      <c r="N1329" s="1153"/>
      <c r="O1329" s="1153"/>
      <c r="P1329" s="492"/>
      <c r="Q1329" s="492"/>
      <c r="R1329" s="1153"/>
      <c r="S1329" s="1153"/>
      <c r="T1329" s="492"/>
      <c r="U1329" s="492"/>
      <c r="V1329" s="493"/>
      <c r="BD1329" s="490"/>
      <c r="BE1329" s="490"/>
    </row>
    <row r="1330" spans="1:57" ht="30" customHeight="1">
      <c r="A1330" s="492"/>
      <c r="B1330" s="492"/>
      <c r="C1330" s="492"/>
      <c r="D1330" s="1139"/>
      <c r="E1330" s="491"/>
      <c r="F1330" s="1153"/>
      <c r="G1330" s="1153"/>
      <c r="H1330" s="492"/>
      <c r="I1330" s="492"/>
      <c r="J1330" s="1153"/>
      <c r="K1330" s="1153"/>
      <c r="L1330" s="492"/>
      <c r="M1330" s="492"/>
      <c r="N1330" s="1153"/>
      <c r="O1330" s="1153"/>
      <c r="P1330" s="492"/>
      <c r="Q1330" s="492"/>
      <c r="R1330" s="1153"/>
      <c r="S1330" s="1153"/>
      <c r="T1330" s="492"/>
      <c r="U1330" s="492"/>
      <c r="V1330" s="493"/>
      <c r="BD1330" s="490"/>
      <c r="BE1330" s="490"/>
    </row>
    <row r="1331" spans="1:57" ht="30" customHeight="1">
      <c r="A1331" s="492"/>
      <c r="B1331" s="492"/>
      <c r="C1331" s="492"/>
      <c r="D1331" s="1139"/>
      <c r="E1331" s="491"/>
      <c r="F1331" s="1153"/>
      <c r="G1331" s="1153"/>
      <c r="H1331" s="492"/>
      <c r="I1331" s="492"/>
      <c r="J1331" s="1153"/>
      <c r="K1331" s="1153"/>
      <c r="L1331" s="492"/>
      <c r="M1331" s="492"/>
      <c r="N1331" s="1153"/>
      <c r="O1331" s="1153"/>
      <c r="P1331" s="492"/>
      <c r="Q1331" s="492"/>
      <c r="R1331" s="1153"/>
      <c r="S1331" s="1153"/>
      <c r="T1331" s="492"/>
      <c r="U1331" s="492"/>
      <c r="V1331" s="493"/>
      <c r="BD1331" s="490"/>
      <c r="BE1331" s="490"/>
    </row>
    <row r="1332" spans="1:57" ht="30" customHeight="1">
      <c r="A1332" s="492"/>
      <c r="B1332" s="492"/>
      <c r="C1332" s="492"/>
      <c r="D1332" s="1139"/>
      <c r="E1332" s="491"/>
      <c r="F1332" s="1153"/>
      <c r="G1332" s="1153"/>
      <c r="H1332" s="492"/>
      <c r="I1332" s="492"/>
      <c r="J1332" s="1153"/>
      <c r="K1332" s="1153"/>
      <c r="L1332" s="492"/>
      <c r="M1332" s="492"/>
      <c r="N1332" s="1153"/>
      <c r="O1332" s="1153"/>
      <c r="P1332" s="492"/>
      <c r="Q1332" s="492"/>
      <c r="R1332" s="1153"/>
      <c r="S1332" s="1153"/>
      <c r="T1332" s="492"/>
      <c r="U1332" s="492"/>
      <c r="V1332" s="493"/>
      <c r="BD1332" s="490"/>
      <c r="BE1332" s="490"/>
    </row>
    <row r="1333" spans="1:57" ht="30" customHeight="1">
      <c r="A1333" s="492"/>
      <c r="B1333" s="492"/>
      <c r="C1333" s="492"/>
      <c r="D1333" s="1139"/>
      <c r="E1333" s="491"/>
      <c r="F1333" s="1153"/>
      <c r="G1333" s="1153"/>
      <c r="H1333" s="492"/>
      <c r="I1333" s="492"/>
      <c r="J1333" s="1153"/>
      <c r="K1333" s="1153"/>
      <c r="L1333" s="492"/>
      <c r="M1333" s="492"/>
      <c r="N1333" s="1153"/>
      <c r="O1333" s="1153"/>
      <c r="P1333" s="492"/>
      <c r="Q1333" s="492"/>
      <c r="R1333" s="1153"/>
      <c r="S1333" s="1153"/>
      <c r="T1333" s="492"/>
      <c r="U1333" s="492"/>
      <c r="V1333" s="493"/>
      <c r="BD1333" s="490"/>
      <c r="BE1333" s="490"/>
    </row>
    <row r="1334" spans="1:57" ht="30" customHeight="1">
      <c r="A1334" s="492"/>
      <c r="B1334" s="492"/>
      <c r="C1334" s="492"/>
      <c r="D1334" s="1139"/>
      <c r="E1334" s="491"/>
      <c r="F1334" s="1153"/>
      <c r="G1334" s="1153"/>
      <c r="H1334" s="492"/>
      <c r="I1334" s="492"/>
      <c r="J1334" s="1153"/>
      <c r="K1334" s="1153"/>
      <c r="L1334" s="492"/>
      <c r="M1334" s="492"/>
      <c r="N1334" s="1153"/>
      <c r="O1334" s="1153"/>
      <c r="P1334" s="492"/>
      <c r="Q1334" s="492"/>
      <c r="R1334" s="1153"/>
      <c r="S1334" s="1153"/>
      <c r="T1334" s="492"/>
      <c r="U1334" s="492"/>
      <c r="V1334" s="493"/>
      <c r="BD1334" s="490"/>
      <c r="BE1334" s="490"/>
    </row>
    <row r="1335" spans="1:57" ht="30" customHeight="1">
      <c r="A1335" s="492"/>
      <c r="B1335" s="492"/>
      <c r="C1335" s="492"/>
      <c r="D1335" s="1139"/>
      <c r="E1335" s="491"/>
      <c r="F1335" s="1153"/>
      <c r="G1335" s="1153"/>
      <c r="H1335" s="492"/>
      <c r="I1335" s="492"/>
      <c r="J1335" s="1153"/>
      <c r="K1335" s="1153"/>
      <c r="L1335" s="492"/>
      <c r="M1335" s="492"/>
      <c r="N1335" s="1153"/>
      <c r="O1335" s="1153"/>
      <c r="P1335" s="492"/>
      <c r="Q1335" s="492"/>
      <c r="R1335" s="1153"/>
      <c r="S1335" s="1153"/>
      <c r="T1335" s="492"/>
      <c r="U1335" s="492"/>
      <c r="V1335" s="493"/>
      <c r="BD1335" s="490"/>
      <c r="BE1335" s="490"/>
    </row>
    <row r="1336" spans="1:57" ht="30" customHeight="1">
      <c r="A1336" s="492" t="s">
        <v>85</v>
      </c>
      <c r="B1336" s="492"/>
      <c r="C1336" s="492"/>
      <c r="D1336" s="1139"/>
      <c r="E1336" s="491"/>
      <c r="F1336" s="1153"/>
      <c r="G1336" s="1153">
        <v>12560048</v>
      </c>
      <c r="H1336" s="492"/>
      <c r="I1336" s="492">
        <f>SUM(I1292:I1325)</f>
        <v>0</v>
      </c>
      <c r="J1336" s="1153"/>
      <c r="K1336" s="1153">
        <v>14183643</v>
      </c>
      <c r="L1336" s="492"/>
      <c r="M1336" s="492">
        <f>SUM(M1292:M1325)</f>
        <v>0</v>
      </c>
      <c r="N1336" s="1153"/>
      <c r="O1336" s="1153">
        <v>0</v>
      </c>
      <c r="P1336" s="492"/>
      <c r="Q1336" s="492">
        <f>SUM(Q1292:Q1325)</f>
        <v>0</v>
      </c>
      <c r="R1336" s="1153"/>
      <c r="S1336" s="1153">
        <v>26743691</v>
      </c>
      <c r="T1336" s="492"/>
      <c r="U1336" s="492">
        <f>I1336+M1336+Q1336</f>
        <v>0</v>
      </c>
      <c r="V1336" s="493"/>
      <c r="AA1336" s="449">
        <v>0</v>
      </c>
      <c r="AJ1336" s="449">
        <v>1</v>
      </c>
      <c r="BD1336" s="490" t="s">
        <v>2361</v>
      </c>
      <c r="BE1336" s="490" t="s">
        <v>2364</v>
      </c>
    </row>
    <row r="1337" spans="1:57" ht="30" customHeight="1">
      <c r="A1337" s="443" t="s">
        <v>4804</v>
      </c>
      <c r="B1337" s="443"/>
      <c r="C1337" s="443"/>
      <c r="D1337" s="1133"/>
      <c r="E1337" s="445"/>
      <c r="F1337" s="1147"/>
      <c r="G1337" s="1147"/>
      <c r="H1337" s="450"/>
      <c r="I1337" s="450"/>
      <c r="J1337" s="1147"/>
      <c r="K1337" s="1147"/>
      <c r="L1337" s="450"/>
      <c r="M1337" s="450"/>
      <c r="N1337" s="1147"/>
      <c r="O1337" s="1147"/>
      <c r="P1337" s="450"/>
      <c r="Q1337" s="450"/>
      <c r="R1337" s="1147"/>
      <c r="S1337" s="1147"/>
      <c r="T1337" s="450"/>
      <c r="U1337" s="450"/>
      <c r="V1337" s="454"/>
      <c r="W1337" s="448"/>
      <c r="X1337" s="448"/>
      <c r="Y1337" s="448"/>
      <c r="Z1337" s="448"/>
      <c r="AA1337" s="448"/>
      <c r="AB1337" s="448"/>
      <c r="AC1337" s="448"/>
      <c r="AD1337" s="447"/>
      <c r="AE1337" s="447"/>
      <c r="AF1337" s="447"/>
      <c r="AG1337" s="447"/>
      <c r="AH1337" s="447"/>
      <c r="AI1337" s="447"/>
      <c r="AJ1337" s="447"/>
      <c r="AK1337" s="447"/>
      <c r="AL1337" s="447"/>
      <c r="AM1337" s="447"/>
      <c r="AN1337" s="447"/>
      <c r="AO1337" s="447"/>
      <c r="AP1337" s="447"/>
      <c r="AQ1337" s="447"/>
      <c r="AR1337" s="447"/>
      <c r="AS1337" s="447"/>
      <c r="AT1337" s="447"/>
      <c r="AU1337" s="447"/>
      <c r="AV1337" s="447"/>
      <c r="AW1337" s="447"/>
      <c r="AX1337" s="447"/>
      <c r="AY1337" s="447"/>
      <c r="AZ1337" s="447"/>
      <c r="BA1337" s="448"/>
      <c r="BB1337" s="448"/>
      <c r="BC1337" s="447"/>
      <c r="BD1337" s="448"/>
      <c r="BE1337" s="447"/>
    </row>
    <row r="1338" spans="1:57" ht="30" customHeight="1">
      <c r="A1338" s="443" t="s">
        <v>2358</v>
      </c>
      <c r="B1338" s="443" t="s">
        <v>996</v>
      </c>
      <c r="C1338" s="443" t="s">
        <v>419</v>
      </c>
      <c r="D1338" s="1133">
        <v>40</v>
      </c>
      <c r="E1338" s="445">
        <v>40</v>
      </c>
      <c r="F1338" s="1147"/>
      <c r="G1338" s="1147">
        <v>0</v>
      </c>
      <c r="H1338" s="450"/>
      <c r="I1338" s="450">
        <v>0</v>
      </c>
      <c r="J1338" s="1147">
        <v>130264</v>
      </c>
      <c r="K1338" s="1147">
        <v>5210560</v>
      </c>
      <c r="L1338" s="450">
        <v>130264</v>
      </c>
      <c r="M1338" s="450">
        <v>5992144</v>
      </c>
      <c r="N1338" s="1147"/>
      <c r="O1338" s="1147">
        <v>0</v>
      </c>
      <c r="P1338" s="450"/>
      <c r="Q1338" s="450">
        <v>0</v>
      </c>
      <c r="R1338" s="1147">
        <v>130264</v>
      </c>
      <c r="S1338" s="1147">
        <v>5210560</v>
      </c>
      <c r="T1338" s="450">
        <f t="shared" ref="T1338:T1341" si="164">TRUNC(H1338+L1338+P1338, 0)</f>
        <v>130264</v>
      </c>
      <c r="U1338" s="450">
        <f t="shared" ref="U1338:U1341" si="165">TRUNC(I1338+M1338+Q1338, 0)</f>
        <v>5992144</v>
      </c>
      <c r="V1338" s="454" t="s">
        <v>51</v>
      </c>
      <c r="W1338" s="448"/>
      <c r="X1338" s="448"/>
      <c r="Y1338" s="448"/>
      <c r="Z1338" s="448"/>
      <c r="AA1338" s="448"/>
      <c r="AB1338" s="448"/>
      <c r="AC1338" s="448"/>
      <c r="AD1338" s="447"/>
      <c r="AE1338" s="447"/>
      <c r="AF1338" s="447"/>
      <c r="AG1338" s="447"/>
      <c r="AH1338" s="447"/>
      <c r="AI1338" s="447"/>
      <c r="AJ1338" s="447"/>
      <c r="AK1338" s="447"/>
      <c r="AL1338" s="447"/>
      <c r="AM1338" s="447"/>
      <c r="AN1338" s="447"/>
      <c r="AO1338" s="447"/>
      <c r="AP1338" s="447"/>
      <c r="AQ1338" s="447"/>
      <c r="AR1338" s="447"/>
      <c r="AS1338" s="447"/>
      <c r="AT1338" s="447"/>
      <c r="AU1338" s="447"/>
      <c r="AV1338" s="447"/>
      <c r="AW1338" s="447"/>
      <c r="AX1338" s="447"/>
      <c r="AY1338" s="447"/>
      <c r="AZ1338" s="447"/>
      <c r="BA1338" s="448"/>
      <c r="BB1338" s="448"/>
      <c r="BC1338" s="447"/>
      <c r="BD1338" s="448"/>
      <c r="BE1338" s="447"/>
    </row>
    <row r="1339" spans="1:57" ht="30" customHeight="1">
      <c r="A1339" s="443" t="s">
        <v>2358</v>
      </c>
      <c r="B1339" s="443" t="s">
        <v>2359</v>
      </c>
      <c r="C1339" s="443" t="s">
        <v>419</v>
      </c>
      <c r="D1339" s="1133">
        <v>93</v>
      </c>
      <c r="E1339" s="445">
        <v>93</v>
      </c>
      <c r="F1339" s="1147"/>
      <c r="G1339" s="1147">
        <v>0</v>
      </c>
      <c r="H1339" s="450"/>
      <c r="I1339" s="450">
        <v>0</v>
      </c>
      <c r="J1339" s="1147">
        <v>164907</v>
      </c>
      <c r="K1339" s="1147">
        <v>15336351</v>
      </c>
      <c r="L1339" s="450">
        <v>164907</v>
      </c>
      <c r="M1339" s="450">
        <v>14511816</v>
      </c>
      <c r="N1339" s="1147"/>
      <c r="O1339" s="1147">
        <v>0</v>
      </c>
      <c r="P1339" s="450"/>
      <c r="Q1339" s="450">
        <v>0</v>
      </c>
      <c r="R1339" s="1147">
        <v>164907</v>
      </c>
      <c r="S1339" s="1147">
        <v>15336351</v>
      </c>
      <c r="T1339" s="450">
        <f t="shared" si="164"/>
        <v>164907</v>
      </c>
      <c r="U1339" s="450">
        <f t="shared" si="165"/>
        <v>14511816</v>
      </c>
      <c r="V1339" s="454" t="s">
        <v>51</v>
      </c>
      <c r="W1339" s="448"/>
      <c r="X1339" s="448"/>
      <c r="Y1339" s="448"/>
      <c r="Z1339" s="448"/>
      <c r="AA1339" s="448"/>
      <c r="AB1339" s="448"/>
      <c r="AC1339" s="448"/>
      <c r="AD1339" s="447"/>
      <c r="AE1339" s="447"/>
      <c r="AF1339" s="447"/>
      <c r="AG1339" s="447"/>
      <c r="AH1339" s="447"/>
      <c r="AI1339" s="447"/>
      <c r="AJ1339" s="447"/>
      <c r="AK1339" s="447"/>
      <c r="AL1339" s="447"/>
      <c r="AM1339" s="447"/>
      <c r="AN1339" s="447"/>
      <c r="AO1339" s="447"/>
      <c r="AP1339" s="447"/>
      <c r="AQ1339" s="447"/>
      <c r="AR1339" s="447"/>
      <c r="AS1339" s="447"/>
      <c r="AT1339" s="447"/>
      <c r="AU1339" s="447"/>
      <c r="AV1339" s="447"/>
      <c r="AW1339" s="447"/>
      <c r="AX1339" s="447"/>
      <c r="AY1339" s="447"/>
      <c r="AZ1339" s="447"/>
      <c r="BA1339" s="448"/>
      <c r="BB1339" s="448"/>
      <c r="BC1339" s="447"/>
      <c r="BD1339" s="448"/>
      <c r="BE1339" s="447"/>
    </row>
    <row r="1340" spans="1:57" ht="30" customHeight="1">
      <c r="A1340" s="443" t="s">
        <v>2358</v>
      </c>
      <c r="B1340" s="443" t="s">
        <v>2357</v>
      </c>
      <c r="C1340" s="443" t="s">
        <v>419</v>
      </c>
      <c r="D1340" s="1133">
        <v>186</v>
      </c>
      <c r="E1340" s="445">
        <v>186</v>
      </c>
      <c r="F1340" s="1147"/>
      <c r="G1340" s="1147">
        <v>0</v>
      </c>
      <c r="H1340" s="450"/>
      <c r="I1340" s="450">
        <v>0</v>
      </c>
      <c r="J1340" s="1147">
        <v>174352</v>
      </c>
      <c r="K1340" s="1147">
        <v>32429472</v>
      </c>
      <c r="L1340" s="450">
        <v>174352</v>
      </c>
      <c r="M1340" s="450">
        <v>32429472</v>
      </c>
      <c r="N1340" s="1147"/>
      <c r="O1340" s="1147">
        <v>0</v>
      </c>
      <c r="P1340" s="450"/>
      <c r="Q1340" s="450">
        <v>0</v>
      </c>
      <c r="R1340" s="1147">
        <v>174352</v>
      </c>
      <c r="S1340" s="1147">
        <v>32429472</v>
      </c>
      <c r="T1340" s="450">
        <f t="shared" si="164"/>
        <v>174352</v>
      </c>
      <c r="U1340" s="450">
        <f t="shared" si="165"/>
        <v>32429472</v>
      </c>
      <c r="V1340" s="454" t="s">
        <v>51</v>
      </c>
      <c r="W1340" s="448"/>
      <c r="X1340" s="448"/>
      <c r="Y1340" s="448"/>
      <c r="Z1340" s="448"/>
      <c r="AA1340" s="448"/>
      <c r="AB1340" s="448"/>
      <c r="AC1340" s="448"/>
      <c r="AD1340" s="447"/>
      <c r="AE1340" s="447"/>
      <c r="AF1340" s="447"/>
      <c r="AG1340" s="447"/>
      <c r="AH1340" s="447"/>
      <c r="AI1340" s="447"/>
      <c r="AJ1340" s="447"/>
      <c r="AK1340" s="447"/>
      <c r="AL1340" s="447"/>
      <c r="AM1340" s="447"/>
      <c r="AN1340" s="447"/>
      <c r="AO1340" s="447"/>
      <c r="AP1340" s="447"/>
      <c r="AQ1340" s="447"/>
      <c r="AR1340" s="447"/>
      <c r="AS1340" s="447"/>
      <c r="AT1340" s="447"/>
      <c r="AU1340" s="447"/>
      <c r="AV1340" s="447"/>
      <c r="AW1340" s="447"/>
      <c r="AX1340" s="447"/>
      <c r="AY1340" s="447"/>
      <c r="AZ1340" s="447"/>
      <c r="BA1340" s="448"/>
      <c r="BB1340" s="448"/>
      <c r="BC1340" s="447"/>
      <c r="BD1340" s="448"/>
      <c r="BE1340" s="447"/>
    </row>
    <row r="1341" spans="1:57" ht="30" customHeight="1">
      <c r="A1341" s="443" t="s">
        <v>2356</v>
      </c>
      <c r="B1341" s="443" t="s">
        <v>2355</v>
      </c>
      <c r="C1341" s="443" t="s">
        <v>82</v>
      </c>
      <c r="D1341" s="1133">
        <v>1</v>
      </c>
      <c r="E1341" s="445">
        <v>1</v>
      </c>
      <c r="F1341" s="1147">
        <v>1059527.6599999999</v>
      </c>
      <c r="G1341" s="1147">
        <v>1059527.6599999999</v>
      </c>
      <c r="H1341" s="450">
        <v>1058668.6400000001</v>
      </c>
      <c r="I1341" s="450">
        <v>1058668.6400000001</v>
      </c>
      <c r="J1341" s="1147"/>
      <c r="K1341" s="1147">
        <v>0</v>
      </c>
      <c r="L1341" s="450"/>
      <c r="M1341" s="450">
        <v>0</v>
      </c>
      <c r="N1341" s="1147"/>
      <c r="O1341" s="1147">
        <v>0</v>
      </c>
      <c r="P1341" s="450"/>
      <c r="Q1341" s="450">
        <v>0</v>
      </c>
      <c r="R1341" s="1147">
        <v>1059527</v>
      </c>
      <c r="S1341" s="1147">
        <v>1059527</v>
      </c>
      <c r="T1341" s="450">
        <f t="shared" si="164"/>
        <v>1058668</v>
      </c>
      <c r="U1341" s="450">
        <f t="shared" si="165"/>
        <v>1058668</v>
      </c>
      <c r="V1341" s="454" t="s">
        <v>51</v>
      </c>
      <c r="W1341" s="448"/>
      <c r="X1341" s="448"/>
      <c r="Y1341" s="448"/>
      <c r="Z1341" s="448"/>
      <c r="AA1341" s="448"/>
      <c r="AB1341" s="448"/>
      <c r="AC1341" s="448"/>
      <c r="AD1341" s="447"/>
      <c r="AE1341" s="447"/>
      <c r="AF1341" s="447"/>
      <c r="AG1341" s="447"/>
      <c r="AH1341" s="447"/>
      <c r="AI1341" s="447"/>
      <c r="AJ1341" s="447"/>
      <c r="AK1341" s="447"/>
      <c r="AL1341" s="447"/>
      <c r="AM1341" s="447"/>
      <c r="AN1341" s="447"/>
      <c r="AO1341" s="447"/>
      <c r="AP1341" s="447"/>
      <c r="AQ1341" s="447"/>
      <c r="AR1341" s="447"/>
      <c r="AS1341" s="447"/>
      <c r="AT1341" s="447"/>
      <c r="AU1341" s="447"/>
      <c r="AV1341" s="447"/>
      <c r="AW1341" s="447"/>
      <c r="AX1341" s="447"/>
      <c r="AY1341" s="447"/>
      <c r="AZ1341" s="447"/>
      <c r="BA1341" s="448"/>
      <c r="BB1341" s="448"/>
      <c r="BC1341" s="447"/>
      <c r="BD1341" s="448"/>
      <c r="BE1341" s="447"/>
    </row>
    <row r="1342" spans="1:57" ht="30" customHeight="1">
      <c r="A1342" s="443"/>
      <c r="B1342" s="443"/>
      <c r="C1342" s="443"/>
      <c r="D1342" s="1133"/>
      <c r="E1342" s="445"/>
      <c r="F1342" s="1147"/>
      <c r="G1342" s="1147"/>
      <c r="H1342" s="450"/>
      <c r="I1342" s="450"/>
      <c r="J1342" s="1147"/>
      <c r="K1342" s="1147"/>
      <c r="L1342" s="450"/>
      <c r="M1342" s="450"/>
      <c r="N1342" s="1147"/>
      <c r="O1342" s="1147"/>
      <c r="P1342" s="450"/>
      <c r="Q1342" s="450"/>
      <c r="R1342" s="1147"/>
      <c r="S1342" s="1147"/>
      <c r="T1342" s="450"/>
      <c r="U1342" s="450"/>
      <c r="V1342" s="454"/>
      <c r="W1342" s="448"/>
      <c r="X1342" s="448"/>
      <c r="Y1342" s="448"/>
      <c r="Z1342" s="448"/>
      <c r="AA1342" s="448"/>
      <c r="AB1342" s="448"/>
      <c r="AC1342" s="448"/>
      <c r="AD1342" s="447"/>
      <c r="AE1342" s="447"/>
      <c r="AF1342" s="447"/>
      <c r="AG1342" s="447"/>
      <c r="AH1342" s="447"/>
      <c r="AI1342" s="447"/>
      <c r="AJ1342" s="447"/>
      <c r="AK1342" s="447"/>
      <c r="AL1342" s="447"/>
      <c r="AM1342" s="447"/>
      <c r="AN1342" s="447"/>
      <c r="AO1342" s="447"/>
      <c r="AP1342" s="447"/>
      <c r="AQ1342" s="447"/>
      <c r="AR1342" s="447"/>
      <c r="AS1342" s="447"/>
      <c r="AT1342" s="447"/>
      <c r="AU1342" s="447"/>
      <c r="AV1342" s="447"/>
      <c r="AW1342" s="447"/>
      <c r="AX1342" s="447"/>
      <c r="AY1342" s="447"/>
      <c r="AZ1342" s="447"/>
      <c r="BA1342" s="448"/>
      <c r="BB1342" s="448"/>
      <c r="BC1342" s="447"/>
      <c r="BD1342" s="448"/>
      <c r="BE1342" s="447"/>
    </row>
    <row r="1343" spans="1:57" ht="30" customHeight="1">
      <c r="A1343" s="443"/>
      <c r="B1343" s="443"/>
      <c r="C1343" s="443"/>
      <c r="D1343" s="1133"/>
      <c r="E1343" s="445"/>
      <c r="F1343" s="1147"/>
      <c r="G1343" s="1147"/>
      <c r="H1343" s="450"/>
      <c r="I1343" s="450"/>
      <c r="J1343" s="1147"/>
      <c r="K1343" s="1147"/>
      <c r="L1343" s="450"/>
      <c r="M1343" s="450"/>
      <c r="N1343" s="1147"/>
      <c r="O1343" s="1147"/>
      <c r="P1343" s="450"/>
      <c r="Q1343" s="450"/>
      <c r="R1343" s="1147"/>
      <c r="S1343" s="1147"/>
      <c r="T1343" s="450"/>
      <c r="U1343" s="450"/>
      <c r="V1343" s="454"/>
      <c r="W1343" s="448"/>
      <c r="X1343" s="448"/>
      <c r="Y1343" s="448"/>
      <c r="Z1343" s="448"/>
      <c r="AA1343" s="448"/>
      <c r="AB1343" s="448"/>
      <c r="AC1343" s="448"/>
      <c r="AD1343" s="447"/>
      <c r="AE1343" s="447"/>
      <c r="AF1343" s="447"/>
      <c r="AG1343" s="447"/>
      <c r="AH1343" s="447"/>
      <c r="AI1343" s="447"/>
      <c r="AJ1343" s="447"/>
      <c r="AK1343" s="447"/>
      <c r="AL1343" s="447"/>
      <c r="AM1343" s="447"/>
      <c r="AN1343" s="447"/>
      <c r="AO1343" s="447"/>
      <c r="AP1343" s="447"/>
      <c r="AQ1343" s="447"/>
      <c r="AR1343" s="447"/>
      <c r="AS1343" s="447"/>
      <c r="AT1343" s="447"/>
      <c r="AU1343" s="447"/>
      <c r="AV1343" s="447"/>
      <c r="AW1343" s="447"/>
      <c r="AX1343" s="447"/>
      <c r="AY1343" s="447"/>
      <c r="AZ1343" s="447"/>
      <c r="BA1343" s="448"/>
      <c r="BB1343" s="448"/>
      <c r="BC1343" s="447"/>
      <c r="BD1343" s="448"/>
      <c r="BE1343" s="447"/>
    </row>
    <row r="1344" spans="1:57" ht="30" customHeight="1">
      <c r="A1344" s="443"/>
      <c r="B1344" s="443"/>
      <c r="C1344" s="443"/>
      <c r="D1344" s="1133"/>
      <c r="E1344" s="445"/>
      <c r="F1344" s="1147"/>
      <c r="G1344" s="1147"/>
      <c r="H1344" s="450"/>
      <c r="I1344" s="450"/>
      <c r="J1344" s="1147"/>
      <c r="K1344" s="1147"/>
      <c r="L1344" s="450"/>
      <c r="M1344" s="450"/>
      <c r="N1344" s="1147"/>
      <c r="O1344" s="1147"/>
      <c r="P1344" s="450"/>
      <c r="Q1344" s="450"/>
      <c r="R1344" s="1147"/>
      <c r="S1344" s="1147"/>
      <c r="T1344" s="450"/>
      <c r="U1344" s="450"/>
      <c r="V1344" s="454"/>
      <c r="W1344" s="448"/>
      <c r="X1344" s="448"/>
      <c r="Y1344" s="448"/>
      <c r="Z1344" s="448"/>
      <c r="AA1344" s="448"/>
      <c r="AB1344" s="448"/>
      <c r="AC1344" s="448"/>
      <c r="AD1344" s="447"/>
      <c r="AE1344" s="447"/>
      <c r="AF1344" s="447"/>
      <c r="AG1344" s="447"/>
      <c r="AH1344" s="447"/>
      <c r="AI1344" s="447"/>
      <c r="AJ1344" s="447"/>
      <c r="AK1344" s="447"/>
      <c r="AL1344" s="447"/>
      <c r="AM1344" s="447"/>
      <c r="AN1344" s="447"/>
      <c r="AO1344" s="447"/>
      <c r="AP1344" s="447"/>
      <c r="AQ1344" s="447"/>
      <c r="AR1344" s="447"/>
      <c r="AS1344" s="447"/>
      <c r="AT1344" s="447"/>
      <c r="AU1344" s="447"/>
      <c r="AV1344" s="447"/>
      <c r="AW1344" s="447"/>
      <c r="AX1344" s="447"/>
      <c r="AY1344" s="447"/>
      <c r="AZ1344" s="447"/>
      <c r="BA1344" s="448"/>
      <c r="BB1344" s="448"/>
      <c r="BC1344" s="447"/>
      <c r="BD1344" s="448"/>
      <c r="BE1344" s="447"/>
    </row>
    <row r="1345" spans="1:57" ht="30" customHeight="1">
      <c r="A1345" s="443"/>
      <c r="B1345" s="443"/>
      <c r="C1345" s="443"/>
      <c r="D1345" s="1133"/>
      <c r="E1345" s="445"/>
      <c r="F1345" s="1147"/>
      <c r="G1345" s="1147"/>
      <c r="H1345" s="450"/>
      <c r="I1345" s="450"/>
      <c r="J1345" s="1147"/>
      <c r="K1345" s="1147"/>
      <c r="L1345" s="450"/>
      <c r="M1345" s="450"/>
      <c r="N1345" s="1147"/>
      <c r="O1345" s="1147"/>
      <c r="P1345" s="450"/>
      <c r="Q1345" s="450"/>
      <c r="R1345" s="1147"/>
      <c r="S1345" s="1147"/>
      <c r="T1345" s="450"/>
      <c r="U1345" s="450"/>
      <c r="V1345" s="454"/>
      <c r="W1345" s="448"/>
      <c r="X1345" s="448"/>
      <c r="Y1345" s="448"/>
      <c r="Z1345" s="448"/>
      <c r="AA1345" s="448"/>
      <c r="AB1345" s="448"/>
      <c r="AC1345" s="448"/>
      <c r="AD1345" s="447"/>
      <c r="AE1345" s="447"/>
      <c r="AF1345" s="447"/>
      <c r="AG1345" s="447"/>
      <c r="AH1345" s="447"/>
      <c r="AI1345" s="447"/>
      <c r="AJ1345" s="447"/>
      <c r="AK1345" s="447"/>
      <c r="AL1345" s="447"/>
      <c r="AM1345" s="447"/>
      <c r="AN1345" s="447"/>
      <c r="AO1345" s="447"/>
      <c r="AP1345" s="447"/>
      <c r="AQ1345" s="447"/>
      <c r="AR1345" s="447"/>
      <c r="AS1345" s="447"/>
      <c r="AT1345" s="447"/>
      <c r="AU1345" s="447"/>
      <c r="AV1345" s="447"/>
      <c r="AW1345" s="447"/>
      <c r="AX1345" s="447"/>
      <c r="AY1345" s="447"/>
      <c r="AZ1345" s="447"/>
      <c r="BA1345" s="448"/>
      <c r="BB1345" s="448"/>
      <c r="BC1345" s="447"/>
      <c r="BD1345" s="448"/>
      <c r="BE1345" s="447"/>
    </row>
    <row r="1346" spans="1:57" ht="30" customHeight="1">
      <c r="A1346" s="443"/>
      <c r="B1346" s="443"/>
      <c r="C1346" s="443"/>
      <c r="D1346" s="1133"/>
      <c r="E1346" s="445"/>
      <c r="F1346" s="1147"/>
      <c r="G1346" s="1147"/>
      <c r="H1346" s="450"/>
      <c r="I1346" s="450"/>
      <c r="J1346" s="1147"/>
      <c r="K1346" s="1147"/>
      <c r="L1346" s="450"/>
      <c r="M1346" s="450"/>
      <c r="N1346" s="1147"/>
      <c r="O1346" s="1147"/>
      <c r="P1346" s="450"/>
      <c r="Q1346" s="450"/>
      <c r="R1346" s="1147"/>
      <c r="S1346" s="1147"/>
      <c r="T1346" s="450"/>
      <c r="U1346" s="450"/>
      <c r="V1346" s="454"/>
      <c r="W1346" s="448"/>
      <c r="X1346" s="448"/>
      <c r="Y1346" s="448"/>
      <c r="Z1346" s="448"/>
      <c r="AA1346" s="448"/>
      <c r="AB1346" s="448"/>
      <c r="AC1346" s="448"/>
      <c r="AD1346" s="447"/>
      <c r="AE1346" s="447"/>
      <c r="AF1346" s="447"/>
      <c r="AG1346" s="447"/>
      <c r="AH1346" s="447"/>
      <c r="AI1346" s="447"/>
      <c r="AJ1346" s="447"/>
      <c r="AK1346" s="447"/>
      <c r="AL1346" s="447"/>
      <c r="AM1346" s="447"/>
      <c r="AN1346" s="447"/>
      <c r="AO1346" s="447"/>
      <c r="AP1346" s="447"/>
      <c r="AQ1346" s="447"/>
      <c r="AR1346" s="447"/>
      <c r="AS1346" s="447"/>
      <c r="AT1346" s="447"/>
      <c r="AU1346" s="447"/>
      <c r="AV1346" s="447"/>
      <c r="AW1346" s="447"/>
      <c r="AX1346" s="447"/>
      <c r="AY1346" s="447"/>
      <c r="AZ1346" s="447"/>
      <c r="BA1346" s="448"/>
      <c r="BB1346" s="448"/>
      <c r="BC1346" s="447"/>
      <c r="BD1346" s="448"/>
      <c r="BE1346" s="447"/>
    </row>
    <row r="1347" spans="1:57" ht="30" customHeight="1">
      <c r="A1347" s="443" t="s">
        <v>2354</v>
      </c>
      <c r="B1347" s="444" t="s">
        <v>6545</v>
      </c>
      <c r="C1347" s="443" t="s">
        <v>2353</v>
      </c>
      <c r="D1347" s="1133"/>
      <c r="E1347" s="445"/>
      <c r="F1347" s="1147">
        <v>220</v>
      </c>
      <c r="G1347" s="1147"/>
      <c r="H1347" s="450">
        <v>220</v>
      </c>
      <c r="I1347" s="450"/>
      <c r="J1347" s="1147"/>
      <c r="K1347" s="1147"/>
      <c r="L1347" s="450"/>
      <c r="M1347" s="450"/>
      <c r="N1347" s="1147"/>
      <c r="O1347" s="1147"/>
      <c r="P1347" s="450"/>
      <c r="Q1347" s="450"/>
      <c r="R1347" s="1147"/>
      <c r="S1347" s="1147"/>
      <c r="T1347" s="450"/>
      <c r="U1347" s="450"/>
      <c r="V1347" s="454">
        <v>-4732.8729999999996</v>
      </c>
      <c r="W1347" s="448"/>
      <c r="X1347" s="448"/>
      <c r="Y1347" s="448"/>
      <c r="Z1347" s="448"/>
      <c r="AA1347" s="448"/>
      <c r="AB1347" s="448"/>
      <c r="AC1347" s="448"/>
      <c r="AD1347" s="447"/>
      <c r="AE1347" s="447"/>
      <c r="AF1347" s="447"/>
      <c r="AG1347" s="447"/>
      <c r="AH1347" s="447"/>
      <c r="AI1347" s="447"/>
      <c r="AJ1347" s="447"/>
      <c r="AK1347" s="447"/>
      <c r="AL1347" s="447"/>
      <c r="AM1347" s="447"/>
      <c r="AN1347" s="447"/>
      <c r="AO1347" s="447"/>
      <c r="AP1347" s="447"/>
      <c r="AQ1347" s="447"/>
      <c r="AR1347" s="447"/>
      <c r="AS1347" s="447"/>
      <c r="AT1347" s="447"/>
      <c r="AU1347" s="447"/>
      <c r="AV1347" s="447"/>
      <c r="AW1347" s="447"/>
      <c r="AX1347" s="447"/>
      <c r="AY1347" s="447"/>
      <c r="AZ1347" s="447"/>
      <c r="BA1347" s="448"/>
      <c r="BB1347" s="448"/>
      <c r="BC1347" s="447"/>
      <c r="BD1347" s="448"/>
      <c r="BE1347" s="447"/>
    </row>
    <row r="1348" spans="1:57" ht="30" customHeight="1">
      <c r="A1348" s="443" t="s">
        <v>2352</v>
      </c>
      <c r="B1348" s="444" t="s">
        <v>6545</v>
      </c>
      <c r="C1348" s="443" t="s">
        <v>591</v>
      </c>
      <c r="D1348" s="1133"/>
      <c r="E1348" s="445"/>
      <c r="F1348" s="1147">
        <v>5500</v>
      </c>
      <c r="G1348" s="1147"/>
      <c r="H1348" s="450">
        <v>5500</v>
      </c>
      <c r="I1348" s="450"/>
      <c r="J1348" s="1147"/>
      <c r="K1348" s="1147"/>
      <c r="L1348" s="450"/>
      <c r="M1348" s="450"/>
      <c r="N1348" s="1147"/>
      <c r="O1348" s="1147"/>
      <c r="P1348" s="450"/>
      <c r="Q1348" s="450"/>
      <c r="R1348" s="1147"/>
      <c r="S1348" s="1147"/>
      <c r="T1348" s="450"/>
      <c r="U1348" s="450"/>
      <c r="V1348" s="454">
        <v>10</v>
      </c>
      <c r="W1348" s="448"/>
      <c r="X1348" s="448"/>
      <c r="Y1348" s="448"/>
      <c r="Z1348" s="448"/>
      <c r="AA1348" s="448"/>
      <c r="AB1348" s="448"/>
      <c r="AC1348" s="448"/>
      <c r="AD1348" s="447"/>
      <c r="AE1348" s="447"/>
      <c r="AF1348" s="447"/>
      <c r="AG1348" s="447"/>
      <c r="AH1348" s="447"/>
      <c r="AI1348" s="447"/>
      <c r="AJ1348" s="447"/>
      <c r="AK1348" s="447"/>
      <c r="AL1348" s="447"/>
      <c r="AM1348" s="447"/>
      <c r="AN1348" s="447"/>
      <c r="AO1348" s="447"/>
      <c r="AP1348" s="447"/>
      <c r="AQ1348" s="447"/>
      <c r="AR1348" s="447"/>
      <c r="AS1348" s="447"/>
      <c r="AT1348" s="447"/>
      <c r="AU1348" s="447"/>
      <c r="AV1348" s="447"/>
      <c r="AW1348" s="447"/>
      <c r="AX1348" s="447"/>
      <c r="AY1348" s="447"/>
      <c r="AZ1348" s="447"/>
      <c r="BA1348" s="448"/>
      <c r="BB1348" s="448"/>
      <c r="BC1348" s="447"/>
      <c r="BD1348" s="448"/>
      <c r="BE1348" s="447"/>
    </row>
    <row r="1349" spans="1:57" ht="30" customHeight="1">
      <c r="A1349" s="444"/>
      <c r="B1349" s="444"/>
      <c r="C1349" s="446"/>
      <c r="D1349" s="1133"/>
      <c r="E1349" s="445"/>
      <c r="F1349" s="1146"/>
      <c r="G1349" s="1146"/>
      <c r="H1349" s="444"/>
      <c r="I1349" s="444"/>
      <c r="J1349" s="1146"/>
      <c r="K1349" s="1146"/>
      <c r="L1349" s="444"/>
      <c r="M1349" s="444"/>
      <c r="N1349" s="1146"/>
      <c r="O1349" s="1146"/>
      <c r="P1349" s="444"/>
      <c r="Q1349" s="444"/>
      <c r="R1349" s="1146"/>
      <c r="S1349" s="1146"/>
      <c r="T1349" s="444"/>
      <c r="U1349" s="444"/>
      <c r="V1349" s="446"/>
    </row>
    <row r="1350" spans="1:57" ht="30" customHeight="1">
      <c r="A1350" s="444"/>
      <c r="B1350" s="444"/>
      <c r="C1350" s="446"/>
      <c r="D1350" s="1133"/>
      <c r="E1350" s="445"/>
      <c r="F1350" s="1146"/>
      <c r="G1350" s="1146"/>
      <c r="H1350" s="444"/>
      <c r="I1350" s="444"/>
      <c r="J1350" s="1146"/>
      <c r="K1350" s="1146"/>
      <c r="L1350" s="444"/>
      <c r="M1350" s="444"/>
      <c r="N1350" s="1146"/>
      <c r="O1350" s="1146"/>
      <c r="P1350" s="444"/>
      <c r="Q1350" s="444"/>
      <c r="R1350" s="1146"/>
      <c r="S1350" s="1146"/>
      <c r="T1350" s="444"/>
      <c r="U1350" s="444"/>
      <c r="V1350" s="446"/>
    </row>
    <row r="1351" spans="1:57" ht="30" customHeight="1">
      <c r="A1351" s="444"/>
      <c r="B1351" s="444"/>
      <c r="C1351" s="446"/>
      <c r="D1351" s="1133"/>
      <c r="E1351" s="445"/>
      <c r="F1351" s="1146"/>
      <c r="G1351" s="1146"/>
      <c r="H1351" s="444"/>
      <c r="I1351" s="444"/>
      <c r="J1351" s="1146"/>
      <c r="K1351" s="1146"/>
      <c r="L1351" s="444"/>
      <c r="M1351" s="444"/>
      <c r="N1351" s="1146"/>
      <c r="O1351" s="1146"/>
      <c r="P1351" s="444"/>
      <c r="Q1351" s="444"/>
      <c r="R1351" s="1146"/>
      <c r="S1351" s="1146"/>
      <c r="T1351" s="444"/>
      <c r="U1351" s="444"/>
      <c r="V1351" s="446"/>
    </row>
    <row r="1352" spans="1:57" ht="30" customHeight="1">
      <c r="A1352" s="444"/>
      <c r="B1352" s="444"/>
      <c r="C1352" s="446"/>
      <c r="D1352" s="1133"/>
      <c r="E1352" s="445"/>
      <c r="F1352" s="1146"/>
      <c r="G1352" s="1146"/>
      <c r="H1352" s="444"/>
      <c r="I1352" s="444"/>
      <c r="J1352" s="1146"/>
      <c r="K1352" s="1146"/>
      <c r="L1352" s="444"/>
      <c r="M1352" s="444"/>
      <c r="N1352" s="1146"/>
      <c r="O1352" s="1146"/>
      <c r="P1352" s="444"/>
      <c r="Q1352" s="444"/>
      <c r="R1352" s="1146"/>
      <c r="S1352" s="1146"/>
      <c r="T1352" s="444"/>
      <c r="U1352" s="444"/>
      <c r="V1352" s="446"/>
    </row>
    <row r="1353" spans="1:57" ht="30" customHeight="1">
      <c r="A1353" s="444"/>
      <c r="B1353" s="444"/>
      <c r="C1353" s="446"/>
      <c r="D1353" s="1133"/>
      <c r="E1353" s="445"/>
      <c r="F1353" s="1146"/>
      <c r="G1353" s="1146"/>
      <c r="H1353" s="444"/>
      <c r="I1353" s="444"/>
      <c r="J1353" s="1146"/>
      <c r="K1353" s="1146"/>
      <c r="L1353" s="444"/>
      <c r="M1353" s="444"/>
      <c r="N1353" s="1146"/>
      <c r="O1353" s="1146"/>
      <c r="P1353" s="444"/>
      <c r="Q1353" s="444"/>
      <c r="R1353" s="1146"/>
      <c r="S1353" s="1146"/>
      <c r="T1353" s="444"/>
      <c r="U1353" s="444"/>
      <c r="V1353" s="446"/>
      <c r="W1353" s="449" t="s">
        <v>86</v>
      </c>
    </row>
    <row r="1354" spans="1:57" ht="30" customHeight="1">
      <c r="A1354" s="444"/>
      <c r="B1354" s="444"/>
      <c r="C1354" s="446"/>
      <c r="D1354" s="1133"/>
      <c r="E1354" s="445"/>
      <c r="F1354" s="1146"/>
      <c r="G1354" s="1146"/>
      <c r="H1354" s="444"/>
      <c r="I1354" s="444"/>
      <c r="J1354" s="1146"/>
      <c r="K1354" s="1146"/>
      <c r="L1354" s="444"/>
      <c r="M1354" s="444"/>
      <c r="N1354" s="1146"/>
      <c r="O1354" s="1146"/>
      <c r="P1354" s="444"/>
      <c r="Q1354" s="444"/>
      <c r="R1354" s="1146"/>
      <c r="S1354" s="1146"/>
      <c r="T1354" s="444"/>
      <c r="U1354" s="444"/>
      <c r="V1354" s="446"/>
    </row>
    <row r="1355" spans="1:57" ht="30" customHeight="1">
      <c r="A1355" s="444"/>
      <c r="B1355" s="444"/>
      <c r="C1355" s="446"/>
      <c r="D1355" s="1133"/>
      <c r="E1355" s="445"/>
      <c r="F1355" s="1146"/>
      <c r="G1355" s="1146"/>
      <c r="H1355" s="444"/>
      <c r="I1355" s="444"/>
      <c r="J1355" s="1146"/>
      <c r="K1355" s="1146"/>
      <c r="L1355" s="444"/>
      <c r="M1355" s="444"/>
      <c r="N1355" s="1146"/>
      <c r="O1355" s="1146"/>
      <c r="P1355" s="444"/>
      <c r="Q1355" s="444"/>
      <c r="R1355" s="1146"/>
      <c r="S1355" s="1146"/>
      <c r="T1355" s="444"/>
      <c r="U1355" s="444"/>
      <c r="V1355" s="446"/>
    </row>
    <row r="1356" spans="1:57" ht="30" customHeight="1">
      <c r="A1356" s="444"/>
      <c r="B1356" s="444"/>
      <c r="C1356" s="446"/>
      <c r="D1356" s="1133"/>
      <c r="E1356" s="445"/>
      <c r="F1356" s="1146"/>
      <c r="G1356" s="1146"/>
      <c r="H1356" s="444"/>
      <c r="I1356" s="444"/>
      <c r="J1356" s="1146"/>
      <c r="K1356" s="1146"/>
      <c r="L1356" s="444"/>
      <c r="M1356" s="444"/>
      <c r="N1356" s="1146"/>
      <c r="O1356" s="1146"/>
      <c r="P1356" s="444"/>
      <c r="Q1356" s="444"/>
      <c r="R1356" s="1146"/>
      <c r="S1356" s="1146"/>
      <c r="T1356" s="444"/>
      <c r="U1356" s="444"/>
      <c r="V1356" s="446"/>
      <c r="W1356" s="448"/>
      <c r="X1356" s="448"/>
      <c r="Y1356" s="448"/>
      <c r="Z1356" s="448"/>
      <c r="AA1356" s="448"/>
      <c r="AB1356" s="448"/>
      <c r="AC1356" s="448"/>
      <c r="AD1356" s="447"/>
      <c r="AE1356" s="447"/>
      <c r="AF1356" s="447"/>
      <c r="AG1356" s="447"/>
      <c r="AH1356" s="447"/>
      <c r="AI1356" s="447"/>
      <c r="AJ1356" s="447"/>
      <c r="AK1356" s="447"/>
      <c r="AL1356" s="447"/>
      <c r="AM1356" s="447"/>
      <c r="AN1356" s="447"/>
      <c r="AO1356" s="447"/>
      <c r="AP1356" s="447"/>
      <c r="AQ1356" s="447"/>
      <c r="AR1356" s="447"/>
      <c r="AS1356" s="447"/>
      <c r="AT1356" s="447"/>
      <c r="AU1356" s="447"/>
      <c r="AV1356" s="447"/>
      <c r="AW1356" s="447"/>
      <c r="AX1356" s="447"/>
      <c r="AY1356" s="447"/>
      <c r="AZ1356" s="447"/>
      <c r="BA1356" s="448"/>
      <c r="BB1356" s="448"/>
      <c r="BC1356" s="447"/>
      <c r="BD1356" s="448"/>
      <c r="BE1356" s="447"/>
    </row>
    <row r="1357" spans="1:57" ht="30" customHeight="1">
      <c r="A1357" s="444"/>
      <c r="B1357" s="444"/>
      <c r="C1357" s="446"/>
      <c r="D1357" s="1133"/>
      <c r="E1357" s="445"/>
      <c r="F1357" s="1146"/>
      <c r="G1357" s="1146"/>
      <c r="H1357" s="444"/>
      <c r="I1357" s="444"/>
      <c r="J1357" s="1146"/>
      <c r="K1357" s="1146"/>
      <c r="L1357" s="444"/>
      <c r="M1357" s="444"/>
      <c r="N1357" s="1146"/>
      <c r="O1357" s="1146"/>
      <c r="P1357" s="444"/>
      <c r="Q1357" s="444"/>
      <c r="R1357" s="1146"/>
      <c r="S1357" s="1146"/>
      <c r="T1357" s="444"/>
      <c r="U1357" s="444"/>
      <c r="V1357" s="446"/>
      <c r="W1357" s="448"/>
      <c r="X1357" s="448"/>
      <c r="Y1357" s="448"/>
      <c r="Z1357" s="448"/>
      <c r="AA1357" s="448"/>
      <c r="AB1357" s="448"/>
      <c r="AC1357" s="448"/>
      <c r="AD1357" s="447"/>
      <c r="AE1357" s="447"/>
      <c r="AF1357" s="447"/>
      <c r="AG1357" s="447"/>
      <c r="AH1357" s="447"/>
      <c r="AI1357" s="447"/>
      <c r="AJ1357" s="447"/>
      <c r="AK1357" s="447"/>
      <c r="AL1357" s="447"/>
      <c r="AM1357" s="447"/>
      <c r="AN1357" s="447"/>
      <c r="AO1357" s="447"/>
      <c r="AP1357" s="447"/>
      <c r="AQ1357" s="447"/>
      <c r="AR1357" s="447"/>
      <c r="AS1357" s="447"/>
      <c r="AT1357" s="447"/>
      <c r="AU1357" s="447"/>
      <c r="AV1357" s="447"/>
      <c r="AW1357" s="447"/>
      <c r="AX1357" s="447"/>
      <c r="AY1357" s="447"/>
      <c r="AZ1357" s="447"/>
      <c r="BA1357" s="448"/>
      <c r="BB1357" s="448"/>
      <c r="BC1357" s="447"/>
      <c r="BD1357" s="448"/>
      <c r="BE1357" s="447"/>
    </row>
    <row r="1358" spans="1:57" ht="30" customHeight="1">
      <c r="A1358" s="444"/>
      <c r="B1358" s="444"/>
      <c r="C1358" s="446"/>
      <c r="D1358" s="1133"/>
      <c r="E1358" s="445"/>
      <c r="F1358" s="1146"/>
      <c r="G1358" s="1146"/>
      <c r="H1358" s="444"/>
      <c r="I1358" s="444"/>
      <c r="J1358" s="1146"/>
      <c r="K1358" s="1146"/>
      <c r="L1358" s="444"/>
      <c r="M1358" s="444"/>
      <c r="N1358" s="1146"/>
      <c r="O1358" s="1146"/>
      <c r="P1358" s="444"/>
      <c r="Q1358" s="444"/>
      <c r="R1358" s="1146"/>
      <c r="S1358" s="1146"/>
      <c r="T1358" s="444"/>
      <c r="U1358" s="444"/>
      <c r="V1358" s="446"/>
      <c r="W1358" s="448"/>
      <c r="X1358" s="448"/>
      <c r="Y1358" s="448"/>
      <c r="Z1358" s="448"/>
      <c r="AA1358" s="448"/>
      <c r="AB1358" s="448"/>
      <c r="AC1358" s="448"/>
      <c r="AD1358" s="447"/>
      <c r="AE1358" s="447"/>
      <c r="AF1358" s="447"/>
      <c r="AG1358" s="447"/>
      <c r="AH1358" s="447"/>
      <c r="AI1358" s="447"/>
      <c r="AJ1358" s="447"/>
      <c r="AK1358" s="447"/>
      <c r="AL1358" s="447"/>
      <c r="AM1358" s="447"/>
      <c r="AN1358" s="447"/>
      <c r="AO1358" s="447"/>
      <c r="AP1358" s="447"/>
      <c r="AQ1358" s="447"/>
      <c r="AR1358" s="447"/>
      <c r="AS1358" s="447"/>
      <c r="AT1358" s="447"/>
      <c r="AU1358" s="447"/>
      <c r="AV1358" s="447"/>
      <c r="AW1358" s="447"/>
      <c r="AX1358" s="447"/>
      <c r="AY1358" s="447"/>
      <c r="AZ1358" s="447"/>
      <c r="BA1358" s="448"/>
      <c r="BB1358" s="448"/>
      <c r="BC1358" s="447"/>
      <c r="BD1358" s="448"/>
      <c r="BE1358" s="447"/>
    </row>
    <row r="1359" spans="1:57" ht="30" customHeight="1">
      <c r="A1359" s="443" t="s">
        <v>85</v>
      </c>
      <c r="B1359" s="444"/>
      <c r="C1359" s="446"/>
      <c r="D1359" s="1133"/>
      <c r="E1359" s="445"/>
      <c r="F1359" s="1146"/>
      <c r="G1359" s="1147">
        <v>1059527.6599999999</v>
      </c>
      <c r="H1359" s="444"/>
      <c r="I1359" s="450">
        <f>SUM(I1338:I1358)</f>
        <v>1058668.6400000001</v>
      </c>
      <c r="J1359" s="1146"/>
      <c r="K1359" s="1147">
        <v>52976383</v>
      </c>
      <c r="L1359" s="444"/>
      <c r="M1359" s="450">
        <f>SUM(M1338:M1358)</f>
        <v>52933432</v>
      </c>
      <c r="N1359" s="1146"/>
      <c r="O1359" s="1147">
        <v>0</v>
      </c>
      <c r="P1359" s="444"/>
      <c r="Q1359" s="450">
        <f>SUM(Q1338:Q1358)</f>
        <v>0</v>
      </c>
      <c r="R1359" s="1146"/>
      <c r="S1359" s="1147">
        <v>54035910</v>
      </c>
      <c r="T1359" s="444"/>
      <c r="U1359" s="450">
        <f>SUM(U1338:U1358)</f>
        <v>53992100</v>
      </c>
      <c r="V1359" s="446"/>
    </row>
    <row r="1360" spans="1:57" s="434" customFormat="1" ht="30" customHeight="1">
      <c r="A1360" s="433" t="s">
        <v>4805</v>
      </c>
      <c r="B1360" s="433"/>
      <c r="C1360" s="433"/>
      <c r="D1360" s="1140"/>
      <c r="E1360" s="433"/>
      <c r="F1360" s="1106"/>
      <c r="G1360" s="1112"/>
      <c r="H1360" s="508"/>
      <c r="I1360" s="509"/>
      <c r="J1360" s="1106"/>
      <c r="K1360" s="1112"/>
      <c r="L1360" s="508"/>
      <c r="M1360" s="509"/>
      <c r="N1360" s="1106"/>
      <c r="O1360" s="1112"/>
      <c r="P1360" s="508"/>
      <c r="Q1360" s="509"/>
      <c r="R1360" s="1112"/>
      <c r="S1360" s="1112"/>
      <c r="T1360" s="509"/>
      <c r="U1360" s="509"/>
      <c r="V1360" s="510"/>
      <c r="AC1360" s="435"/>
      <c r="AD1360" s="435"/>
      <c r="AE1360" s="435"/>
      <c r="AF1360" s="435"/>
      <c r="AG1360" s="436"/>
      <c r="AH1360" s="436"/>
      <c r="AI1360" s="436"/>
      <c r="AJ1360" s="437"/>
      <c r="AK1360" s="437"/>
      <c r="AL1360" s="437"/>
      <c r="AM1360" s="437"/>
      <c r="AN1360" s="437"/>
      <c r="AO1360" s="437"/>
      <c r="AP1360" s="437"/>
      <c r="AQ1360" s="437"/>
      <c r="AR1360" s="437"/>
      <c r="AS1360" s="437"/>
      <c r="AT1360" s="437"/>
      <c r="AU1360" s="437"/>
      <c r="AV1360" s="437"/>
      <c r="AW1360" s="437"/>
      <c r="AX1360" s="437"/>
      <c r="AY1360" s="437"/>
      <c r="AZ1360" s="437"/>
      <c r="BA1360" s="437"/>
    </row>
    <row r="1361" spans="1:57" s="483" customFormat="1" ht="30" customHeight="1">
      <c r="A1361" s="476" t="s">
        <v>4749</v>
      </c>
      <c r="B1361" s="477"/>
      <c r="C1361" s="480"/>
      <c r="D1361" s="1141"/>
      <c r="E1361" s="478"/>
      <c r="F1361" s="1154"/>
      <c r="G1361" s="1155"/>
      <c r="H1361" s="477"/>
      <c r="I1361" s="479"/>
      <c r="J1361" s="1154"/>
      <c r="K1361" s="1155"/>
      <c r="L1361" s="477"/>
      <c r="M1361" s="479"/>
      <c r="N1361" s="1154"/>
      <c r="O1361" s="1155"/>
      <c r="P1361" s="477"/>
      <c r="Q1361" s="479"/>
      <c r="R1361" s="1154"/>
      <c r="S1361" s="1155"/>
      <c r="T1361" s="477"/>
      <c r="U1361" s="479"/>
      <c r="V1361" s="480"/>
    </row>
    <row r="1362" spans="1:57" ht="30" customHeight="1">
      <c r="A1362" s="455" t="s">
        <v>4837</v>
      </c>
      <c r="B1362" s="456"/>
      <c r="C1362" s="456"/>
      <c r="D1362" s="1134"/>
      <c r="E1362" s="457"/>
      <c r="F1362" s="1148"/>
      <c r="G1362" s="1148"/>
      <c r="H1362" s="456"/>
      <c r="I1362" s="456"/>
      <c r="J1362" s="1148"/>
      <c r="K1362" s="1148"/>
      <c r="L1362" s="456"/>
      <c r="M1362" s="456"/>
      <c r="N1362" s="1148"/>
      <c r="O1362" s="1148"/>
      <c r="P1362" s="456"/>
      <c r="Q1362" s="456"/>
      <c r="R1362" s="1148"/>
      <c r="S1362" s="1148"/>
      <c r="T1362" s="456"/>
      <c r="U1362" s="456"/>
      <c r="V1362" s="458"/>
      <c r="W1362" s="448" t="s">
        <v>577</v>
      </c>
      <c r="X1362" s="448" t="s">
        <v>51</v>
      </c>
      <c r="Y1362" s="448" t="s">
        <v>51</v>
      </c>
      <c r="Z1362" s="448" t="s">
        <v>576</v>
      </c>
      <c r="AA1362" s="448" t="s">
        <v>62</v>
      </c>
      <c r="AB1362" s="448" t="s">
        <v>62</v>
      </c>
      <c r="AC1362" s="448" t="s">
        <v>61</v>
      </c>
      <c r="AD1362" s="447"/>
      <c r="AE1362" s="447"/>
      <c r="AF1362" s="447"/>
      <c r="AG1362" s="447"/>
      <c r="AH1362" s="447"/>
      <c r="AI1362" s="447"/>
      <c r="AJ1362" s="447"/>
      <c r="AK1362" s="447"/>
      <c r="AL1362" s="447"/>
      <c r="AM1362" s="447"/>
      <c r="AN1362" s="447"/>
      <c r="AO1362" s="447"/>
      <c r="AP1362" s="447"/>
      <c r="AQ1362" s="447"/>
      <c r="AR1362" s="447"/>
      <c r="AS1362" s="447"/>
      <c r="AT1362" s="447"/>
      <c r="AU1362" s="447"/>
      <c r="AV1362" s="447"/>
      <c r="AW1362" s="447"/>
      <c r="AX1362" s="447"/>
      <c r="AY1362" s="447"/>
      <c r="AZ1362" s="447"/>
      <c r="BA1362" s="448" t="s">
        <v>51</v>
      </c>
      <c r="BB1362" s="448" t="s">
        <v>51</v>
      </c>
      <c r="BC1362" s="447"/>
      <c r="BD1362" s="448" t="s">
        <v>578</v>
      </c>
      <c r="BE1362" s="447">
        <v>309</v>
      </c>
    </row>
    <row r="1363" spans="1:57" ht="30" customHeight="1">
      <c r="A1363" s="443" t="str">
        <f>'2층전시실산출 '!B486</f>
        <v>디지털액자</v>
      </c>
      <c r="B1363" s="443" t="str">
        <f>'2층전시실산출 '!C486</f>
        <v>20"</v>
      </c>
      <c r="C1363" s="443" t="s">
        <v>321</v>
      </c>
      <c r="D1363" s="1133">
        <v>22</v>
      </c>
      <c r="E1363" s="445">
        <f>'2층전시실산출 '!H486</f>
        <v>22</v>
      </c>
      <c r="F1363" s="1147">
        <v>280000</v>
      </c>
      <c r="G1363" s="1147">
        <v>6160000</v>
      </c>
      <c r="H1363" s="450">
        <f>단가대비표!O137</f>
        <v>280000</v>
      </c>
      <c r="I1363" s="450">
        <f t="shared" ref="I1363:I1368" si="166">E1363*H1363</f>
        <v>6160000</v>
      </c>
      <c r="J1363" s="1147"/>
      <c r="K1363" s="1147">
        <v>0</v>
      </c>
      <c r="L1363" s="450"/>
      <c r="M1363" s="450">
        <f>TRUNC(L1363*E1363, 0)</f>
        <v>0</v>
      </c>
      <c r="N1363" s="1147"/>
      <c r="O1363" s="1147">
        <v>0</v>
      </c>
      <c r="P1363" s="450"/>
      <c r="Q1363" s="450">
        <f>TRUNC(P1363*E1363, 0)</f>
        <v>0</v>
      </c>
      <c r="R1363" s="1147">
        <v>280000</v>
      </c>
      <c r="S1363" s="1147">
        <v>6160000</v>
      </c>
      <c r="T1363" s="450">
        <f>TRUNC(H1363+L1363+P1363, 0)</f>
        <v>280000</v>
      </c>
      <c r="U1363" s="450">
        <f>TRUNC(I1363+M1363+Q1363, 0)</f>
        <v>6160000</v>
      </c>
      <c r="V1363" s="454" t="s">
        <v>51</v>
      </c>
      <c r="W1363" s="448" t="s">
        <v>580</v>
      </c>
      <c r="X1363" s="448" t="s">
        <v>51</v>
      </c>
      <c r="Y1363" s="448" t="s">
        <v>51</v>
      </c>
      <c r="Z1363" s="448" t="s">
        <v>576</v>
      </c>
      <c r="AA1363" s="448" t="s">
        <v>62</v>
      </c>
      <c r="AB1363" s="448" t="s">
        <v>62</v>
      </c>
      <c r="AC1363" s="448" t="s">
        <v>61</v>
      </c>
      <c r="AD1363" s="447"/>
      <c r="AE1363" s="447"/>
      <c r="AF1363" s="447"/>
      <c r="AG1363" s="447"/>
      <c r="AH1363" s="447"/>
      <c r="AI1363" s="447"/>
      <c r="AJ1363" s="447"/>
      <c r="AK1363" s="447"/>
      <c r="AL1363" s="447"/>
      <c r="AM1363" s="447"/>
      <c r="AN1363" s="447"/>
      <c r="AO1363" s="447"/>
      <c r="AP1363" s="447"/>
      <c r="AQ1363" s="447"/>
      <c r="AR1363" s="447"/>
      <c r="AS1363" s="447"/>
      <c r="AT1363" s="447"/>
      <c r="AU1363" s="447"/>
      <c r="AV1363" s="447"/>
      <c r="AW1363" s="447"/>
      <c r="AX1363" s="447"/>
      <c r="AY1363" s="447"/>
      <c r="AZ1363" s="447"/>
      <c r="BA1363" s="448" t="s">
        <v>51</v>
      </c>
      <c r="BB1363" s="448" t="s">
        <v>51</v>
      </c>
      <c r="BC1363" s="447"/>
      <c r="BD1363" s="448" t="s">
        <v>581</v>
      </c>
      <c r="BE1363" s="447">
        <v>310</v>
      </c>
    </row>
    <row r="1364" spans="1:57" ht="30" customHeight="1">
      <c r="A1364" s="443" t="str">
        <f>'2층전시실산출 '!B487</f>
        <v>디지털액자</v>
      </c>
      <c r="B1364" s="443" t="str">
        <f>'2층전시실산출 '!C487</f>
        <v>40"</v>
      </c>
      <c r="C1364" s="443" t="s">
        <v>321</v>
      </c>
      <c r="D1364" s="1133">
        <v>2</v>
      </c>
      <c r="E1364" s="445">
        <f>'2층전시실산출 '!H487</f>
        <v>2</v>
      </c>
      <c r="F1364" s="1147">
        <v>450000</v>
      </c>
      <c r="G1364" s="1147">
        <v>900000</v>
      </c>
      <c r="H1364" s="450">
        <f>단가대비표!O138</f>
        <v>450000</v>
      </c>
      <c r="I1364" s="450">
        <f t="shared" si="166"/>
        <v>900000</v>
      </c>
      <c r="J1364" s="1147"/>
      <c r="K1364" s="1147">
        <v>0</v>
      </c>
      <c r="L1364" s="450"/>
      <c r="M1364" s="450">
        <f>TRUNC(L1364*E1364, 0)</f>
        <v>0</v>
      </c>
      <c r="N1364" s="1147">
        <v>0</v>
      </c>
      <c r="O1364" s="1147">
        <v>0</v>
      </c>
      <c r="P1364" s="450">
        <f>TRUNC(단가대비표!V137,0)</f>
        <v>0</v>
      </c>
      <c r="Q1364" s="450">
        <f>TRUNC(P1364*E1364, 0)</f>
        <v>0</v>
      </c>
      <c r="R1364" s="1147">
        <v>450000</v>
      </c>
      <c r="S1364" s="1147">
        <v>900000</v>
      </c>
      <c r="T1364" s="450">
        <f>TRUNC(H1364+L1364+P1364, 0)</f>
        <v>450000</v>
      </c>
      <c r="U1364" s="450">
        <f>TRUNC(I1364+M1364+Q1364, 0)</f>
        <v>900000</v>
      </c>
      <c r="V1364" s="454" t="s">
        <v>51</v>
      </c>
      <c r="W1364" s="448" t="s">
        <v>584</v>
      </c>
      <c r="X1364" s="448" t="s">
        <v>51</v>
      </c>
      <c r="Y1364" s="448" t="s">
        <v>51</v>
      </c>
      <c r="Z1364" s="448" t="s">
        <v>576</v>
      </c>
      <c r="AA1364" s="448" t="s">
        <v>62</v>
      </c>
      <c r="AB1364" s="448" t="s">
        <v>62</v>
      </c>
      <c r="AC1364" s="448" t="s">
        <v>61</v>
      </c>
      <c r="AD1364" s="447"/>
      <c r="AE1364" s="447"/>
      <c r="AF1364" s="447"/>
      <c r="AG1364" s="447"/>
      <c r="AH1364" s="447"/>
      <c r="AI1364" s="447"/>
      <c r="AJ1364" s="447"/>
      <c r="AK1364" s="447"/>
      <c r="AL1364" s="447"/>
      <c r="AM1364" s="447"/>
      <c r="AN1364" s="447"/>
      <c r="AO1364" s="447"/>
      <c r="AP1364" s="447"/>
      <c r="AQ1364" s="447"/>
      <c r="AR1364" s="447"/>
      <c r="AS1364" s="447"/>
      <c r="AT1364" s="447"/>
      <c r="AU1364" s="447"/>
      <c r="AV1364" s="447"/>
      <c r="AW1364" s="447"/>
      <c r="AX1364" s="447"/>
      <c r="AY1364" s="447"/>
      <c r="AZ1364" s="447"/>
      <c r="BA1364" s="448" t="s">
        <v>51</v>
      </c>
      <c r="BB1364" s="448" t="s">
        <v>51</v>
      </c>
      <c r="BC1364" s="447"/>
      <c r="BD1364" s="448" t="s">
        <v>585</v>
      </c>
      <c r="BE1364" s="447">
        <v>311</v>
      </c>
    </row>
    <row r="1365" spans="1:57" ht="30" customHeight="1">
      <c r="A1365" s="443" t="str">
        <f>'2층전시실산출 '!B488</f>
        <v>터치모니터</v>
      </c>
      <c r="B1365" s="443" t="str">
        <f>'2층전시실산출 '!C488</f>
        <v>20"</v>
      </c>
      <c r="C1365" s="443" t="s">
        <v>321</v>
      </c>
      <c r="D1365" s="1133">
        <v>1</v>
      </c>
      <c r="E1365" s="445">
        <f>'2층전시실산출 '!H488</f>
        <v>1</v>
      </c>
      <c r="F1365" s="1147">
        <v>320000</v>
      </c>
      <c r="G1365" s="1147">
        <v>320000</v>
      </c>
      <c r="H1365" s="450">
        <f>단가대비표!O139</f>
        <v>320000</v>
      </c>
      <c r="I1365" s="450">
        <f t="shared" si="166"/>
        <v>320000</v>
      </c>
      <c r="J1365" s="1147">
        <v>0</v>
      </c>
      <c r="K1365" s="1147"/>
      <c r="L1365" s="450">
        <f>TRUNC(단가대비표!P138,0)</f>
        <v>0</v>
      </c>
      <c r="M1365" s="450"/>
      <c r="N1365" s="1147">
        <v>0</v>
      </c>
      <c r="O1365" s="1147"/>
      <c r="P1365" s="450">
        <f>TRUNC(단가대비표!V138,0)</f>
        <v>0</v>
      </c>
      <c r="Q1365" s="450"/>
      <c r="R1365" s="1147">
        <v>320000</v>
      </c>
      <c r="S1365" s="1147">
        <v>320000</v>
      </c>
      <c r="T1365" s="450">
        <f t="shared" ref="T1365" si="167">TRUNC(H1365+L1365+P1365, 0)</f>
        <v>320000</v>
      </c>
      <c r="U1365" s="450">
        <f t="shared" ref="U1365" si="168">TRUNC(I1365+M1365+Q1365, 0)</f>
        <v>320000</v>
      </c>
      <c r="V1365" s="454"/>
      <c r="W1365" s="448"/>
      <c r="X1365" s="448"/>
      <c r="Y1365" s="448"/>
      <c r="Z1365" s="448"/>
      <c r="AA1365" s="448"/>
      <c r="AB1365" s="448"/>
      <c r="AC1365" s="448"/>
      <c r="AD1365" s="447"/>
      <c r="AE1365" s="447"/>
      <c r="AF1365" s="447"/>
      <c r="AG1365" s="447"/>
      <c r="AH1365" s="447"/>
      <c r="AI1365" s="447"/>
      <c r="AJ1365" s="447"/>
      <c r="AK1365" s="447"/>
      <c r="AL1365" s="447"/>
      <c r="AM1365" s="447"/>
      <c r="AN1365" s="447"/>
      <c r="AO1365" s="447"/>
      <c r="AP1365" s="447"/>
      <c r="AQ1365" s="447"/>
      <c r="AR1365" s="447"/>
      <c r="AS1365" s="447"/>
      <c r="AT1365" s="447"/>
      <c r="AU1365" s="447"/>
      <c r="AV1365" s="447"/>
      <c r="AW1365" s="447"/>
      <c r="AX1365" s="447"/>
      <c r="AY1365" s="447"/>
      <c r="AZ1365" s="447"/>
      <c r="BA1365" s="448"/>
      <c r="BB1365" s="448"/>
      <c r="BC1365" s="447"/>
      <c r="BD1365" s="448"/>
      <c r="BE1365" s="447"/>
    </row>
    <row r="1366" spans="1:57" ht="30" customHeight="1">
      <c r="A1366" s="443" t="str">
        <f>'2층전시실산출 '!B489</f>
        <v>빔프로젝터</v>
      </c>
      <c r="B1366" s="443" t="str">
        <f>'2층전시실산출 '!C489</f>
        <v>4000ANSI</v>
      </c>
      <c r="C1366" s="443" t="s">
        <v>321</v>
      </c>
      <c r="D1366" s="1133">
        <v>8</v>
      </c>
      <c r="E1366" s="445">
        <f>'2층전시실산출 '!H489</f>
        <v>8</v>
      </c>
      <c r="F1366" s="1147">
        <v>2400000</v>
      </c>
      <c r="G1366" s="1147">
        <v>19200000</v>
      </c>
      <c r="H1366" s="450">
        <f>TRUNC(단가대비표!O140,0)</f>
        <v>2400000</v>
      </c>
      <c r="I1366" s="450">
        <f t="shared" si="166"/>
        <v>19200000</v>
      </c>
      <c r="J1366" s="1147">
        <v>0</v>
      </c>
      <c r="K1366" s="1147">
        <v>0</v>
      </c>
      <c r="L1366" s="450">
        <f>TRUNC(단가대비표!P140,0)</f>
        <v>0</v>
      </c>
      <c r="M1366" s="450">
        <f>TRUNC(L1366*E1366, 0)</f>
        <v>0</v>
      </c>
      <c r="N1366" s="1147">
        <v>0</v>
      </c>
      <c r="O1366" s="1147">
        <v>0</v>
      </c>
      <c r="P1366" s="450">
        <f>TRUNC(단가대비표!V140,0)</f>
        <v>0</v>
      </c>
      <c r="Q1366" s="450">
        <f>TRUNC(P1366*E1366, 0)</f>
        <v>0</v>
      </c>
      <c r="R1366" s="1147">
        <v>2400000</v>
      </c>
      <c r="S1366" s="1147">
        <v>19200000</v>
      </c>
      <c r="T1366" s="450">
        <f>TRUNC(H1366+L1366+P1366, 0)</f>
        <v>2400000</v>
      </c>
      <c r="U1366" s="450">
        <f>TRUNC(I1366+M1366+Q1366, 0)</f>
        <v>19200000</v>
      </c>
      <c r="V1366" s="454" t="s">
        <v>51</v>
      </c>
      <c r="W1366" s="448"/>
      <c r="X1366" s="448"/>
      <c r="Y1366" s="448"/>
      <c r="Z1366" s="448"/>
      <c r="AA1366" s="448"/>
      <c r="AB1366" s="448"/>
      <c r="AC1366" s="448"/>
      <c r="AD1366" s="447"/>
      <c r="AE1366" s="447"/>
      <c r="AF1366" s="447"/>
      <c r="AG1366" s="447"/>
      <c r="AH1366" s="447"/>
      <c r="AI1366" s="447"/>
      <c r="AJ1366" s="447"/>
      <c r="AK1366" s="447"/>
      <c r="AL1366" s="447"/>
      <c r="AM1366" s="447"/>
      <c r="AN1366" s="447"/>
      <c r="AO1366" s="447"/>
      <c r="AP1366" s="447"/>
      <c r="AQ1366" s="447"/>
      <c r="AR1366" s="447"/>
      <c r="AS1366" s="447"/>
      <c r="AT1366" s="447"/>
      <c r="AU1366" s="447"/>
      <c r="AV1366" s="447"/>
      <c r="AW1366" s="447"/>
      <c r="AX1366" s="447"/>
      <c r="AY1366" s="447"/>
      <c r="AZ1366" s="447"/>
      <c r="BA1366" s="448"/>
      <c r="BB1366" s="448"/>
      <c r="BC1366" s="447"/>
      <c r="BD1366" s="448"/>
      <c r="BE1366" s="447"/>
    </row>
    <row r="1367" spans="1:57" ht="30" customHeight="1">
      <c r="A1367" s="443" t="str">
        <f>'2층전시실산출 '!B490</f>
        <v>브라켓 및 케이블</v>
      </c>
      <c r="B1367" s="443" t="str">
        <f>'2층전시실산출 '!C490</f>
        <v>전시실</v>
      </c>
      <c r="C1367" s="443" t="s">
        <v>398</v>
      </c>
      <c r="D1367" s="1133">
        <v>4</v>
      </c>
      <c r="E1367" s="445">
        <f>'2층전시실산출 '!H490</f>
        <v>4</v>
      </c>
      <c r="F1367" s="1147">
        <v>80000</v>
      </c>
      <c r="G1367" s="1147">
        <v>320000</v>
      </c>
      <c r="H1367" s="450">
        <f>TRUNC(단가대비표!O141,0)</f>
        <v>80000</v>
      </c>
      <c r="I1367" s="450">
        <f t="shared" si="166"/>
        <v>320000</v>
      </c>
      <c r="J1367" s="1147">
        <v>0</v>
      </c>
      <c r="K1367" s="1147">
        <v>0</v>
      </c>
      <c r="L1367" s="450">
        <f>TRUNC(단가대비표!P141,0)</f>
        <v>0</v>
      </c>
      <c r="M1367" s="450">
        <f>TRUNC(L1367*E1367, 0)</f>
        <v>0</v>
      </c>
      <c r="N1367" s="1147">
        <v>0</v>
      </c>
      <c r="O1367" s="1147">
        <v>0</v>
      </c>
      <c r="P1367" s="450">
        <f>TRUNC(단가대비표!V141,0)</f>
        <v>0</v>
      </c>
      <c r="Q1367" s="450">
        <f>TRUNC(P1367*E1367, 0)</f>
        <v>0</v>
      </c>
      <c r="R1367" s="1147">
        <v>80000</v>
      </c>
      <c r="S1367" s="1147">
        <v>320000</v>
      </c>
      <c r="T1367" s="450">
        <f>TRUNC(H1367+L1367+P1367, 0)</f>
        <v>80000</v>
      </c>
      <c r="U1367" s="450">
        <f>TRUNC(I1367+M1367+Q1367, 0)</f>
        <v>320000</v>
      </c>
      <c r="V1367" s="454" t="s">
        <v>51</v>
      </c>
      <c r="W1367" s="448"/>
      <c r="X1367" s="448"/>
      <c r="Y1367" s="448"/>
      <c r="Z1367" s="448"/>
      <c r="AA1367" s="448"/>
      <c r="AB1367" s="448"/>
      <c r="AC1367" s="448"/>
      <c r="AD1367" s="447"/>
      <c r="AE1367" s="447"/>
      <c r="AF1367" s="447"/>
      <c r="AG1367" s="447"/>
      <c r="AH1367" s="447"/>
      <c r="AI1367" s="447"/>
      <c r="AJ1367" s="447"/>
      <c r="AK1367" s="447"/>
      <c r="AL1367" s="447"/>
      <c r="AM1367" s="447"/>
      <c r="AN1367" s="447"/>
      <c r="AO1367" s="447"/>
      <c r="AP1367" s="447"/>
      <c r="AQ1367" s="447"/>
      <c r="AR1367" s="447"/>
      <c r="AS1367" s="447"/>
      <c r="AT1367" s="447"/>
      <c r="AU1367" s="447"/>
      <c r="AV1367" s="447"/>
      <c r="AW1367" s="447"/>
      <c r="AX1367" s="447"/>
      <c r="AY1367" s="447"/>
      <c r="AZ1367" s="447"/>
      <c r="BA1367" s="448"/>
      <c r="BB1367" s="448"/>
      <c r="BC1367" s="447"/>
      <c r="BD1367" s="448"/>
      <c r="BE1367" s="447"/>
    </row>
    <row r="1368" spans="1:57" ht="30" customHeight="1">
      <c r="A1368" s="443" t="str">
        <f>'2층전시실산출 '!B491</f>
        <v>LED라이트패널</v>
      </c>
      <c r="B1368" s="443" t="str">
        <f>'2층전시실산출 '!C491</f>
        <v>750×1050</v>
      </c>
      <c r="C1368" s="443" t="s">
        <v>321</v>
      </c>
      <c r="D1368" s="1133">
        <v>2</v>
      </c>
      <c r="E1368" s="445">
        <f>'2층전시실산출 '!H491</f>
        <v>2</v>
      </c>
      <c r="F1368" s="1147">
        <v>240000</v>
      </c>
      <c r="G1368" s="1147">
        <v>480000</v>
      </c>
      <c r="H1368" s="450">
        <f>단가대비표!O142</f>
        <v>240000</v>
      </c>
      <c r="I1368" s="450">
        <f t="shared" si="166"/>
        <v>480000</v>
      </c>
      <c r="J1368" s="1147"/>
      <c r="K1368" s="1147"/>
      <c r="L1368" s="450"/>
      <c r="M1368" s="450"/>
      <c r="N1368" s="1147"/>
      <c r="O1368" s="1147"/>
      <c r="P1368" s="450"/>
      <c r="Q1368" s="450"/>
      <c r="R1368" s="1147">
        <v>240000</v>
      </c>
      <c r="S1368" s="1147">
        <v>480000</v>
      </c>
      <c r="T1368" s="450">
        <f t="shared" ref="T1368" si="169">TRUNC(H1368+L1368+P1368, 0)</f>
        <v>240000</v>
      </c>
      <c r="U1368" s="450">
        <f t="shared" ref="U1368" si="170">TRUNC(I1368+M1368+Q1368, 0)</f>
        <v>480000</v>
      </c>
      <c r="V1368" s="454"/>
    </row>
    <row r="1369" spans="1:57" ht="30" customHeight="1">
      <c r="A1369" s="444"/>
      <c r="B1369" s="443"/>
      <c r="C1369" s="443"/>
      <c r="D1369" s="1133"/>
      <c r="E1369" s="445"/>
      <c r="F1369" s="1147"/>
      <c r="G1369" s="1147"/>
      <c r="H1369" s="450"/>
      <c r="I1369" s="450"/>
      <c r="J1369" s="1147"/>
      <c r="K1369" s="1147"/>
      <c r="L1369" s="450"/>
      <c r="M1369" s="450"/>
      <c r="N1369" s="1147"/>
      <c r="O1369" s="1147"/>
      <c r="P1369" s="450"/>
      <c r="Q1369" s="450"/>
      <c r="R1369" s="1147"/>
      <c r="S1369" s="1147"/>
      <c r="T1369" s="450"/>
      <c r="U1369" s="450"/>
      <c r="V1369" s="454"/>
    </row>
    <row r="1370" spans="1:57" ht="30" customHeight="1">
      <c r="A1370" s="444"/>
      <c r="B1370" s="444"/>
      <c r="C1370" s="444"/>
      <c r="D1370" s="1133"/>
      <c r="E1370" s="445"/>
      <c r="F1370" s="1146"/>
      <c r="G1370" s="1146"/>
      <c r="H1370" s="444"/>
      <c r="I1370" s="444"/>
      <c r="J1370" s="1146"/>
      <c r="K1370" s="1146"/>
      <c r="L1370" s="444"/>
      <c r="M1370" s="444"/>
      <c r="N1370" s="1146"/>
      <c r="O1370" s="1146"/>
      <c r="P1370" s="444"/>
      <c r="Q1370" s="444"/>
      <c r="R1370" s="1146"/>
      <c r="S1370" s="1146"/>
      <c r="T1370" s="444"/>
      <c r="U1370" s="444"/>
      <c r="V1370" s="446"/>
    </row>
    <row r="1371" spans="1:57" ht="30" customHeight="1">
      <c r="A1371" s="444"/>
      <c r="B1371" s="444"/>
      <c r="C1371" s="444"/>
      <c r="D1371" s="1133"/>
      <c r="E1371" s="445"/>
      <c r="F1371" s="1146"/>
      <c r="G1371" s="1146"/>
      <c r="H1371" s="444"/>
      <c r="I1371" s="444"/>
      <c r="J1371" s="1146"/>
      <c r="K1371" s="1146"/>
      <c r="L1371" s="444"/>
      <c r="M1371" s="444"/>
      <c r="N1371" s="1146"/>
      <c r="O1371" s="1146"/>
      <c r="P1371" s="444"/>
      <c r="Q1371" s="444"/>
      <c r="R1371" s="1146"/>
      <c r="S1371" s="1146"/>
      <c r="T1371" s="444"/>
      <c r="U1371" s="444"/>
      <c r="V1371" s="446"/>
    </row>
    <row r="1372" spans="1:57" ht="30" customHeight="1">
      <c r="A1372" s="444"/>
      <c r="B1372" s="444"/>
      <c r="C1372" s="444"/>
      <c r="D1372" s="1133"/>
      <c r="E1372" s="445"/>
      <c r="F1372" s="1146"/>
      <c r="G1372" s="1146"/>
      <c r="H1372" s="444"/>
      <c r="I1372" s="444"/>
      <c r="J1372" s="1146"/>
      <c r="K1372" s="1146"/>
      <c r="L1372" s="444"/>
      <c r="M1372" s="444"/>
      <c r="N1372" s="1146"/>
      <c r="O1372" s="1146"/>
      <c r="P1372" s="444"/>
      <c r="Q1372" s="444"/>
      <c r="R1372" s="1146"/>
      <c r="S1372" s="1146"/>
      <c r="T1372" s="444"/>
      <c r="U1372" s="444"/>
      <c r="V1372" s="446"/>
    </row>
    <row r="1373" spans="1:57" ht="30" customHeight="1">
      <c r="A1373" s="444"/>
      <c r="B1373" s="444"/>
      <c r="C1373" s="444"/>
      <c r="D1373" s="1133"/>
      <c r="E1373" s="445"/>
      <c r="F1373" s="1146"/>
      <c r="G1373" s="1146"/>
      <c r="H1373" s="444"/>
      <c r="I1373" s="444"/>
      <c r="J1373" s="1146"/>
      <c r="K1373" s="1146"/>
      <c r="L1373" s="444"/>
      <c r="M1373" s="444"/>
      <c r="N1373" s="1146"/>
      <c r="O1373" s="1146"/>
      <c r="P1373" s="444"/>
      <c r="Q1373" s="444"/>
      <c r="R1373" s="1146"/>
      <c r="S1373" s="1146"/>
      <c r="T1373" s="444"/>
      <c r="U1373" s="444"/>
      <c r="V1373" s="446"/>
    </row>
    <row r="1374" spans="1:57" ht="30" customHeight="1">
      <c r="A1374" s="444"/>
      <c r="B1374" s="444"/>
      <c r="C1374" s="444"/>
      <c r="D1374" s="1133"/>
      <c r="E1374" s="445"/>
      <c r="F1374" s="1146"/>
      <c r="G1374" s="1146"/>
      <c r="H1374" s="444"/>
      <c r="I1374" s="444"/>
      <c r="J1374" s="1146"/>
      <c r="K1374" s="1146"/>
      <c r="L1374" s="444"/>
      <c r="M1374" s="444"/>
      <c r="N1374" s="1146"/>
      <c r="O1374" s="1146"/>
      <c r="P1374" s="444"/>
      <c r="Q1374" s="444"/>
      <c r="R1374" s="1146"/>
      <c r="S1374" s="1146"/>
      <c r="T1374" s="444"/>
      <c r="U1374" s="444"/>
      <c r="V1374" s="446"/>
    </row>
    <row r="1375" spans="1:57" ht="30" customHeight="1">
      <c r="A1375" s="444"/>
      <c r="B1375" s="444"/>
      <c r="C1375" s="444"/>
      <c r="D1375" s="1133"/>
      <c r="E1375" s="445"/>
      <c r="F1375" s="1146"/>
      <c r="G1375" s="1146"/>
      <c r="H1375" s="444"/>
      <c r="I1375" s="444"/>
      <c r="J1375" s="1146"/>
      <c r="K1375" s="1146"/>
      <c r="L1375" s="444"/>
      <c r="M1375" s="444"/>
      <c r="N1375" s="1146"/>
      <c r="O1375" s="1146"/>
      <c r="P1375" s="444"/>
      <c r="Q1375" s="444"/>
      <c r="R1375" s="1146"/>
      <c r="S1375" s="1146"/>
      <c r="T1375" s="444"/>
      <c r="U1375" s="444"/>
      <c r="V1375" s="446"/>
    </row>
    <row r="1376" spans="1:57" ht="30" customHeight="1">
      <c r="A1376" s="444"/>
      <c r="B1376" s="444"/>
      <c r="C1376" s="444"/>
      <c r="D1376" s="1133"/>
      <c r="E1376" s="445"/>
      <c r="F1376" s="1146"/>
      <c r="G1376" s="1146"/>
      <c r="H1376" s="444"/>
      <c r="I1376" s="444"/>
      <c r="J1376" s="1146"/>
      <c r="K1376" s="1146"/>
      <c r="L1376" s="444"/>
      <c r="M1376" s="444"/>
      <c r="N1376" s="1146"/>
      <c r="O1376" s="1146"/>
      <c r="P1376" s="444"/>
      <c r="Q1376" s="444"/>
      <c r="R1376" s="1146"/>
      <c r="S1376" s="1146"/>
      <c r="T1376" s="444"/>
      <c r="U1376" s="444"/>
      <c r="V1376" s="446"/>
    </row>
    <row r="1377" spans="1:57" ht="30" customHeight="1">
      <c r="A1377" s="444"/>
      <c r="B1377" s="444"/>
      <c r="C1377" s="444"/>
      <c r="D1377" s="1133"/>
      <c r="E1377" s="445"/>
      <c r="F1377" s="1146"/>
      <c r="G1377" s="1146"/>
      <c r="H1377" s="444"/>
      <c r="I1377" s="444"/>
      <c r="J1377" s="1146"/>
      <c r="K1377" s="1146"/>
      <c r="L1377" s="444"/>
      <c r="M1377" s="444"/>
      <c r="N1377" s="1146"/>
      <c r="O1377" s="1146"/>
      <c r="P1377" s="444"/>
      <c r="Q1377" s="444"/>
      <c r="R1377" s="1146"/>
      <c r="S1377" s="1146"/>
      <c r="T1377" s="444"/>
      <c r="U1377" s="444"/>
      <c r="V1377" s="446"/>
    </row>
    <row r="1378" spans="1:57" ht="30" customHeight="1">
      <c r="A1378" s="444"/>
      <c r="B1378" s="444"/>
      <c r="C1378" s="444"/>
      <c r="D1378" s="1133"/>
      <c r="E1378" s="445"/>
      <c r="F1378" s="1146"/>
      <c r="G1378" s="1146"/>
      <c r="H1378" s="444"/>
      <c r="I1378" s="444"/>
      <c r="J1378" s="1146"/>
      <c r="K1378" s="1146"/>
      <c r="L1378" s="444"/>
      <c r="M1378" s="444"/>
      <c r="N1378" s="1146"/>
      <c r="O1378" s="1146"/>
      <c r="P1378" s="444"/>
      <c r="Q1378" s="444"/>
      <c r="R1378" s="1146"/>
      <c r="S1378" s="1146"/>
      <c r="T1378" s="444"/>
      <c r="U1378" s="444"/>
      <c r="V1378" s="446"/>
    </row>
    <row r="1379" spans="1:57" ht="30" customHeight="1">
      <c r="A1379" s="444"/>
      <c r="B1379" s="444"/>
      <c r="C1379" s="444"/>
      <c r="D1379" s="1133"/>
      <c r="E1379" s="445"/>
      <c r="F1379" s="1146"/>
      <c r="G1379" s="1146"/>
      <c r="H1379" s="444"/>
      <c r="I1379" s="444"/>
      <c r="J1379" s="1146"/>
      <c r="K1379" s="1146"/>
      <c r="L1379" s="444"/>
      <c r="M1379" s="444"/>
      <c r="N1379" s="1146"/>
      <c r="O1379" s="1146"/>
      <c r="P1379" s="444"/>
      <c r="Q1379" s="444"/>
      <c r="R1379" s="1146"/>
      <c r="S1379" s="1146"/>
      <c r="T1379" s="444"/>
      <c r="U1379" s="444"/>
      <c r="V1379" s="446"/>
    </row>
    <row r="1380" spans="1:57" ht="30" customHeight="1">
      <c r="A1380" s="444"/>
      <c r="B1380" s="444"/>
      <c r="C1380" s="444"/>
      <c r="D1380" s="1133"/>
      <c r="E1380" s="445"/>
      <c r="F1380" s="1146"/>
      <c r="G1380" s="1146"/>
      <c r="H1380" s="444"/>
      <c r="I1380" s="444"/>
      <c r="J1380" s="1146"/>
      <c r="K1380" s="1146"/>
      <c r="L1380" s="444"/>
      <c r="M1380" s="444"/>
      <c r="N1380" s="1146"/>
      <c r="O1380" s="1146"/>
      <c r="P1380" s="444"/>
      <c r="Q1380" s="444"/>
      <c r="R1380" s="1146"/>
      <c r="S1380" s="1146"/>
      <c r="T1380" s="444"/>
      <c r="U1380" s="444"/>
      <c r="V1380" s="446"/>
    </row>
    <row r="1381" spans="1:57" ht="30" customHeight="1">
      <c r="A1381" s="444"/>
      <c r="B1381" s="444"/>
      <c r="C1381" s="444"/>
      <c r="D1381" s="1133"/>
      <c r="E1381" s="445"/>
      <c r="F1381" s="1146"/>
      <c r="G1381" s="1146"/>
      <c r="H1381" s="444"/>
      <c r="I1381" s="444"/>
      <c r="J1381" s="1146"/>
      <c r="K1381" s="1146"/>
      <c r="L1381" s="444"/>
      <c r="M1381" s="444"/>
      <c r="N1381" s="1146"/>
      <c r="O1381" s="1146"/>
      <c r="P1381" s="444"/>
      <c r="Q1381" s="444"/>
      <c r="R1381" s="1146"/>
      <c r="S1381" s="1146"/>
      <c r="T1381" s="444"/>
      <c r="U1381" s="444"/>
      <c r="V1381" s="446"/>
    </row>
    <row r="1382" spans="1:57" ht="30" customHeight="1">
      <c r="A1382" s="443" t="s">
        <v>85</v>
      </c>
      <c r="B1382" s="444"/>
      <c r="C1382" s="444"/>
      <c r="D1382" s="1133"/>
      <c r="E1382" s="445"/>
      <c r="F1382" s="1146"/>
      <c r="G1382" s="1147">
        <v>27380000</v>
      </c>
      <c r="H1382" s="444"/>
      <c r="I1382" s="450">
        <f>SUM(I1363:I1381)</f>
        <v>27380000</v>
      </c>
      <c r="J1382" s="1146"/>
      <c r="K1382" s="1147">
        <v>0</v>
      </c>
      <c r="L1382" s="444"/>
      <c r="M1382" s="450">
        <f>SUM(M1363:M1381)</f>
        <v>0</v>
      </c>
      <c r="N1382" s="1146"/>
      <c r="O1382" s="1147">
        <v>0</v>
      </c>
      <c r="P1382" s="444"/>
      <c r="Q1382" s="450">
        <f>SUM(Q1363:Q1381)</f>
        <v>0</v>
      </c>
      <c r="R1382" s="1146"/>
      <c r="S1382" s="1147">
        <v>27380000</v>
      </c>
      <c r="T1382" s="444"/>
      <c r="U1382" s="450">
        <f>SUM(U1363:U1381)</f>
        <v>27380000</v>
      </c>
      <c r="V1382" s="446"/>
      <c r="W1382" s="448" t="s">
        <v>2570</v>
      </c>
      <c r="X1382" s="448" t="s">
        <v>51</v>
      </c>
      <c r="Y1382" s="448" t="s">
        <v>51</v>
      </c>
      <c r="Z1382" s="448" t="s">
        <v>671</v>
      </c>
      <c r="AA1382" s="448" t="s">
        <v>62</v>
      </c>
      <c r="AB1382" s="448" t="s">
        <v>62</v>
      </c>
      <c r="AC1382" s="448" t="s">
        <v>61</v>
      </c>
      <c r="AD1382" s="447"/>
      <c r="AE1382" s="447"/>
      <c r="AF1382" s="447"/>
      <c r="AG1382" s="447"/>
      <c r="AH1382" s="447"/>
      <c r="AI1382" s="447"/>
      <c r="AJ1382" s="447"/>
      <c r="AK1382" s="447"/>
      <c r="AL1382" s="447"/>
      <c r="AM1382" s="447"/>
      <c r="AN1382" s="447"/>
      <c r="AO1382" s="447"/>
      <c r="AP1382" s="447"/>
      <c r="AQ1382" s="447"/>
      <c r="AR1382" s="447"/>
      <c r="AS1382" s="447"/>
      <c r="AT1382" s="447"/>
      <c r="AU1382" s="447"/>
      <c r="AV1382" s="447"/>
      <c r="AW1382" s="447"/>
      <c r="AX1382" s="447"/>
      <c r="AY1382" s="447"/>
      <c r="AZ1382" s="447"/>
      <c r="BA1382" s="448" t="s">
        <v>51</v>
      </c>
      <c r="BB1382" s="448" t="s">
        <v>51</v>
      </c>
      <c r="BC1382" s="447"/>
      <c r="BD1382" s="448" t="s">
        <v>2569</v>
      </c>
      <c r="BE1382" s="447">
        <v>427</v>
      </c>
    </row>
    <row r="1383" spans="1:57" s="483" customFormat="1" ht="30" customHeight="1">
      <c r="A1383" s="476" t="s">
        <v>4750</v>
      </c>
      <c r="B1383" s="477"/>
      <c r="C1383" s="477"/>
      <c r="D1383" s="1141"/>
      <c r="E1383" s="478"/>
      <c r="F1383" s="1154"/>
      <c r="G1383" s="1155"/>
      <c r="H1383" s="477"/>
      <c r="I1383" s="479"/>
      <c r="J1383" s="1154"/>
      <c r="K1383" s="1155"/>
      <c r="L1383" s="477"/>
      <c r="M1383" s="479"/>
      <c r="N1383" s="1154"/>
      <c r="O1383" s="1155"/>
      <c r="P1383" s="477"/>
      <c r="Q1383" s="479"/>
      <c r="R1383" s="1154"/>
      <c r="S1383" s="1155"/>
      <c r="T1383" s="477"/>
      <c r="U1383" s="479"/>
      <c r="V1383" s="480"/>
      <c r="W1383" s="482"/>
      <c r="X1383" s="482"/>
      <c r="Y1383" s="482"/>
      <c r="Z1383" s="481"/>
      <c r="AA1383" s="482"/>
      <c r="AB1383" s="482"/>
      <c r="AC1383" s="482"/>
      <c r="AD1383" s="482"/>
      <c r="AE1383" s="482"/>
      <c r="AF1383" s="482"/>
      <c r="AG1383" s="482"/>
      <c r="AH1383" s="482"/>
      <c r="AI1383" s="482"/>
      <c r="AJ1383" s="482"/>
      <c r="AK1383" s="482"/>
      <c r="AL1383" s="482"/>
      <c r="AM1383" s="482"/>
      <c r="AN1383" s="482"/>
      <c r="AO1383" s="482"/>
      <c r="AP1383" s="482"/>
      <c r="AQ1383" s="482"/>
      <c r="AR1383" s="482"/>
      <c r="AS1383" s="482"/>
      <c r="AT1383" s="482"/>
      <c r="AU1383" s="482"/>
      <c r="AV1383" s="482"/>
      <c r="AW1383" s="482"/>
      <c r="AX1383" s="482"/>
      <c r="AY1383" s="482"/>
      <c r="AZ1383" s="482"/>
      <c r="BA1383" s="482"/>
      <c r="BB1383" s="482"/>
      <c r="BC1383" s="482"/>
      <c r="BD1383" s="482"/>
      <c r="BE1383" s="482"/>
    </row>
    <row r="1384" spans="1:57" ht="30" customHeight="1">
      <c r="A1384" s="455" t="s">
        <v>4838</v>
      </c>
      <c r="B1384" s="456"/>
      <c r="C1384" s="456"/>
      <c r="D1384" s="1134"/>
      <c r="E1384" s="457"/>
      <c r="F1384" s="1148"/>
      <c r="G1384" s="1148"/>
      <c r="H1384" s="456"/>
      <c r="I1384" s="456"/>
      <c r="J1384" s="1148"/>
      <c r="K1384" s="1148"/>
      <c r="L1384" s="456"/>
      <c r="M1384" s="456"/>
      <c r="N1384" s="1148"/>
      <c r="O1384" s="1148"/>
      <c r="P1384" s="456"/>
      <c r="Q1384" s="456"/>
      <c r="R1384" s="1148"/>
      <c r="S1384" s="1148"/>
      <c r="T1384" s="456"/>
      <c r="U1384" s="456"/>
      <c r="V1384" s="458"/>
      <c r="W1384" s="448" t="s">
        <v>924</v>
      </c>
      <c r="X1384" s="448" t="s">
        <v>51</v>
      </c>
      <c r="Y1384" s="448" t="s">
        <v>51</v>
      </c>
      <c r="Z1384" s="448" t="s">
        <v>922</v>
      </c>
      <c r="AA1384" s="448" t="s">
        <v>62</v>
      </c>
      <c r="AB1384" s="448" t="s">
        <v>62</v>
      </c>
      <c r="AC1384" s="448" t="s">
        <v>61</v>
      </c>
      <c r="AD1384" s="447"/>
      <c r="AE1384" s="447"/>
      <c r="AF1384" s="447"/>
      <c r="AG1384" s="447"/>
      <c r="AH1384" s="447"/>
      <c r="AI1384" s="447"/>
      <c r="AJ1384" s="447"/>
      <c r="AK1384" s="447"/>
      <c r="AL1384" s="447"/>
      <c r="AM1384" s="447"/>
      <c r="AN1384" s="447"/>
      <c r="AO1384" s="447"/>
      <c r="AP1384" s="447"/>
      <c r="AQ1384" s="447"/>
      <c r="AR1384" s="447"/>
      <c r="AS1384" s="447"/>
      <c r="AT1384" s="447"/>
      <c r="AU1384" s="447"/>
      <c r="AV1384" s="447"/>
      <c r="AW1384" s="447"/>
      <c r="AX1384" s="447"/>
      <c r="AY1384" s="447"/>
      <c r="AZ1384" s="447"/>
      <c r="BA1384" s="448" t="s">
        <v>51</v>
      </c>
      <c r="BB1384" s="448" t="s">
        <v>51</v>
      </c>
      <c r="BC1384" s="447"/>
      <c r="BD1384" s="448" t="s">
        <v>925</v>
      </c>
      <c r="BE1384" s="447">
        <v>429</v>
      </c>
    </row>
    <row r="1385" spans="1:57" ht="30" customHeight="1">
      <c r="A1385" s="494" t="s">
        <v>3188</v>
      </c>
      <c r="B1385" s="494" t="s">
        <v>3189</v>
      </c>
      <c r="C1385" s="495" t="s">
        <v>2568</v>
      </c>
      <c r="D1385" s="1133">
        <v>22</v>
      </c>
      <c r="E1385" s="445">
        <f>'2층전시실산출 '!H486</f>
        <v>22</v>
      </c>
      <c r="F1385" s="1156">
        <v>280000</v>
      </c>
      <c r="G1385" s="1147">
        <v>6160000</v>
      </c>
      <c r="H1385" s="498">
        <f>단가대비표!O137</f>
        <v>280000</v>
      </c>
      <c r="I1385" s="450">
        <f t="shared" ref="I1385:I1390" si="171">E1385*H1385</f>
        <v>6160000</v>
      </c>
      <c r="J1385" s="1146"/>
      <c r="K1385" s="1146"/>
      <c r="L1385" s="444"/>
      <c r="M1385" s="444"/>
      <c r="N1385" s="1146"/>
      <c r="O1385" s="1146"/>
      <c r="P1385" s="444"/>
      <c r="Q1385" s="444"/>
      <c r="R1385" s="1147">
        <v>280000</v>
      </c>
      <c r="S1385" s="1147">
        <v>6160000</v>
      </c>
      <c r="T1385" s="450">
        <f t="shared" ref="T1385:T1389" si="172">TRUNC(H1385+L1385+P1385, 0)</f>
        <v>280000</v>
      </c>
      <c r="U1385" s="450">
        <f t="shared" ref="U1385:U1389" si="173">TRUNC(I1385+M1385+Q1385, 0)</f>
        <v>6160000</v>
      </c>
      <c r="V1385" s="446"/>
    </row>
    <row r="1386" spans="1:57" ht="30" customHeight="1">
      <c r="A1386" s="494" t="s">
        <v>4807</v>
      </c>
      <c r="B1386" s="494" t="s">
        <v>4808</v>
      </c>
      <c r="C1386" s="495" t="s">
        <v>4786</v>
      </c>
      <c r="D1386" s="1133">
        <v>2</v>
      </c>
      <c r="E1386" s="445">
        <f>'2층전시실산출 '!H487</f>
        <v>2</v>
      </c>
      <c r="F1386" s="1156">
        <v>450000</v>
      </c>
      <c r="G1386" s="1147">
        <v>900000</v>
      </c>
      <c r="H1386" s="498">
        <f>단가대비표!O138</f>
        <v>450000</v>
      </c>
      <c r="I1386" s="450">
        <f t="shared" si="171"/>
        <v>900000</v>
      </c>
      <c r="J1386" s="1146"/>
      <c r="K1386" s="1146"/>
      <c r="L1386" s="444"/>
      <c r="M1386" s="444"/>
      <c r="N1386" s="1146"/>
      <c r="O1386" s="1146"/>
      <c r="P1386" s="444"/>
      <c r="Q1386" s="444"/>
      <c r="R1386" s="1147">
        <v>450000</v>
      </c>
      <c r="S1386" s="1147">
        <v>900000</v>
      </c>
      <c r="T1386" s="450">
        <f t="shared" si="172"/>
        <v>450000</v>
      </c>
      <c r="U1386" s="450">
        <f t="shared" si="173"/>
        <v>900000</v>
      </c>
      <c r="V1386" s="446"/>
    </row>
    <row r="1387" spans="1:57" ht="30" customHeight="1">
      <c r="A1387" s="494" t="s">
        <v>3213</v>
      </c>
      <c r="B1387" s="494" t="s">
        <v>3189</v>
      </c>
      <c r="C1387" s="495" t="s">
        <v>2568</v>
      </c>
      <c r="D1387" s="1133">
        <v>1</v>
      </c>
      <c r="E1387" s="445">
        <f>'2층전시실산출 '!H488</f>
        <v>1</v>
      </c>
      <c r="F1387" s="1156">
        <v>320000</v>
      </c>
      <c r="G1387" s="1147">
        <v>320000</v>
      </c>
      <c r="H1387" s="498">
        <f>단가대비표!O139</f>
        <v>320000</v>
      </c>
      <c r="I1387" s="450">
        <f t="shared" si="171"/>
        <v>320000</v>
      </c>
      <c r="J1387" s="1146"/>
      <c r="K1387" s="1146"/>
      <c r="L1387" s="444"/>
      <c r="M1387" s="444"/>
      <c r="N1387" s="1146"/>
      <c r="O1387" s="1146"/>
      <c r="P1387" s="444"/>
      <c r="Q1387" s="444"/>
      <c r="R1387" s="1147">
        <v>320000</v>
      </c>
      <c r="S1387" s="1147">
        <v>320000</v>
      </c>
      <c r="T1387" s="450">
        <f t="shared" si="172"/>
        <v>320000</v>
      </c>
      <c r="U1387" s="450">
        <f t="shared" si="173"/>
        <v>320000</v>
      </c>
      <c r="V1387" s="446"/>
    </row>
    <row r="1388" spans="1:57" ht="30" customHeight="1">
      <c r="A1388" s="443" t="s">
        <v>579</v>
      </c>
      <c r="B1388" s="443" t="s">
        <v>923</v>
      </c>
      <c r="C1388" s="454" t="s">
        <v>321</v>
      </c>
      <c r="D1388" s="1133">
        <v>4</v>
      </c>
      <c r="E1388" s="445">
        <v>4</v>
      </c>
      <c r="F1388" s="1147">
        <v>2400000</v>
      </c>
      <c r="G1388" s="1147">
        <v>9600000</v>
      </c>
      <c r="H1388" s="450">
        <f>단가대비표!O140</f>
        <v>2400000</v>
      </c>
      <c r="I1388" s="450">
        <f t="shared" si="171"/>
        <v>9600000</v>
      </c>
      <c r="J1388" s="1146"/>
      <c r="K1388" s="1146"/>
      <c r="L1388" s="444"/>
      <c r="M1388" s="444"/>
      <c r="N1388" s="1146"/>
      <c r="O1388" s="1146"/>
      <c r="P1388" s="444"/>
      <c r="Q1388" s="444"/>
      <c r="R1388" s="1147">
        <v>2400000</v>
      </c>
      <c r="S1388" s="1147">
        <v>9600000</v>
      </c>
      <c r="T1388" s="450">
        <f t="shared" si="172"/>
        <v>2400000</v>
      </c>
      <c r="U1388" s="450">
        <f t="shared" si="173"/>
        <v>9600000</v>
      </c>
      <c r="V1388" s="454" t="s">
        <v>51</v>
      </c>
    </row>
    <row r="1389" spans="1:57" ht="30" customHeight="1">
      <c r="A1389" s="443" t="s">
        <v>582</v>
      </c>
      <c r="B1389" s="443" t="s">
        <v>583</v>
      </c>
      <c r="C1389" s="454" t="s">
        <v>398</v>
      </c>
      <c r="D1389" s="1133">
        <v>4</v>
      </c>
      <c r="E1389" s="445">
        <v>4</v>
      </c>
      <c r="F1389" s="1147">
        <v>80000</v>
      </c>
      <c r="G1389" s="1147">
        <v>320000</v>
      </c>
      <c r="H1389" s="450">
        <f>TRUNC(단가대비표!O141,0)</f>
        <v>80000</v>
      </c>
      <c r="I1389" s="450">
        <f t="shared" si="171"/>
        <v>320000</v>
      </c>
      <c r="J1389" s="1146"/>
      <c r="K1389" s="1146"/>
      <c r="L1389" s="444"/>
      <c r="M1389" s="444"/>
      <c r="N1389" s="1146"/>
      <c r="O1389" s="1146"/>
      <c r="P1389" s="444"/>
      <c r="Q1389" s="444"/>
      <c r="R1389" s="1147">
        <v>80000</v>
      </c>
      <c r="S1389" s="1147">
        <v>320000</v>
      </c>
      <c r="T1389" s="450">
        <f t="shared" si="172"/>
        <v>80000</v>
      </c>
      <c r="U1389" s="450">
        <f t="shared" si="173"/>
        <v>320000</v>
      </c>
      <c r="V1389" s="454" t="s">
        <v>51</v>
      </c>
    </row>
    <row r="1390" spans="1:57" ht="30" customHeight="1">
      <c r="A1390" s="499" t="s">
        <v>3741</v>
      </c>
      <c r="B1390" s="499" t="s">
        <v>3742</v>
      </c>
      <c r="C1390" s="500" t="s">
        <v>3743</v>
      </c>
      <c r="D1390" s="1133">
        <v>2</v>
      </c>
      <c r="E1390" s="445">
        <f>'2층전시실산출 '!H491</f>
        <v>2</v>
      </c>
      <c r="F1390" s="1147">
        <v>240000</v>
      </c>
      <c r="G1390" s="1147">
        <v>480000</v>
      </c>
      <c r="H1390" s="450">
        <f>TRUNC(단가대비표!O142,0)</f>
        <v>240000</v>
      </c>
      <c r="I1390" s="450">
        <f t="shared" si="171"/>
        <v>480000</v>
      </c>
      <c r="J1390" s="1146"/>
      <c r="K1390" s="1146"/>
      <c r="L1390" s="444"/>
      <c r="M1390" s="444"/>
      <c r="N1390" s="1146"/>
      <c r="O1390" s="1146"/>
      <c r="P1390" s="444"/>
      <c r="Q1390" s="444"/>
      <c r="R1390" s="1147">
        <v>240000</v>
      </c>
      <c r="S1390" s="1147">
        <v>480000</v>
      </c>
      <c r="T1390" s="450">
        <f t="shared" ref="T1390:T1392" si="174">TRUNC(H1390+L1390+P1390, 0)</f>
        <v>240000</v>
      </c>
      <c r="U1390" s="450">
        <f t="shared" ref="U1390:U1392" si="175">TRUNC(I1390+M1390+Q1390, 0)</f>
        <v>480000</v>
      </c>
      <c r="V1390" s="446"/>
    </row>
    <row r="1391" spans="1:57" ht="30" customHeight="1">
      <c r="A1391" s="443"/>
      <c r="B1391" s="443"/>
      <c r="C1391" s="443"/>
      <c r="D1391" s="1133"/>
      <c r="E1391" s="445"/>
      <c r="F1391" s="1147"/>
      <c r="G1391" s="1147"/>
      <c r="H1391" s="450"/>
      <c r="I1391" s="450"/>
      <c r="J1391" s="1147"/>
      <c r="K1391" s="1147"/>
      <c r="L1391" s="450"/>
      <c r="M1391" s="450"/>
      <c r="N1391" s="1147"/>
      <c r="O1391" s="1147"/>
      <c r="P1391" s="450"/>
      <c r="Q1391" s="450"/>
      <c r="R1391" s="1147"/>
      <c r="S1391" s="1147"/>
      <c r="T1391" s="450"/>
      <c r="U1391" s="450"/>
      <c r="V1391" s="454"/>
      <c r="W1391" s="448"/>
      <c r="X1391" s="448"/>
      <c r="Y1391" s="448"/>
      <c r="Z1391" s="448"/>
      <c r="AA1391" s="448"/>
      <c r="AB1391" s="448"/>
      <c r="AC1391" s="448"/>
      <c r="AD1391" s="447"/>
      <c r="AE1391" s="447"/>
      <c r="AF1391" s="447"/>
      <c r="AG1391" s="447"/>
      <c r="AH1391" s="447"/>
      <c r="AI1391" s="447"/>
      <c r="AJ1391" s="447"/>
      <c r="AK1391" s="447"/>
      <c r="AL1391" s="447"/>
      <c r="AM1391" s="447"/>
      <c r="AN1391" s="447"/>
      <c r="AO1391" s="447"/>
      <c r="AP1391" s="447"/>
      <c r="AQ1391" s="447"/>
      <c r="AR1391" s="447"/>
      <c r="AS1391" s="447"/>
      <c r="AT1391" s="447"/>
      <c r="AU1391" s="447"/>
      <c r="AV1391" s="447"/>
      <c r="AW1391" s="447"/>
      <c r="AX1391" s="447"/>
      <c r="AY1391" s="447"/>
      <c r="AZ1391" s="447"/>
      <c r="BA1391" s="448"/>
      <c r="BB1391" s="448"/>
      <c r="BC1391" s="447"/>
      <c r="BD1391" s="448"/>
      <c r="BE1391" s="447"/>
    </row>
    <row r="1392" spans="1:57" ht="30" customHeight="1">
      <c r="A1392" s="494"/>
      <c r="B1392" s="494"/>
      <c r="C1392" s="495"/>
      <c r="D1392" s="1133"/>
      <c r="E1392" s="445"/>
      <c r="F1392" s="1146"/>
      <c r="G1392" s="1147">
        <v>0</v>
      </c>
      <c r="H1392" s="444"/>
      <c r="I1392" s="450">
        <f>TRUNC(H1392*E1392, 0)</f>
        <v>0</v>
      </c>
      <c r="J1392" s="1146"/>
      <c r="K1392" s="1146"/>
      <c r="L1392" s="444"/>
      <c r="M1392" s="444"/>
      <c r="N1392" s="1146"/>
      <c r="O1392" s="1146"/>
      <c r="P1392" s="444"/>
      <c r="Q1392" s="444"/>
      <c r="R1392" s="1147">
        <v>0</v>
      </c>
      <c r="S1392" s="1147">
        <v>0</v>
      </c>
      <c r="T1392" s="450">
        <f t="shared" si="174"/>
        <v>0</v>
      </c>
      <c r="U1392" s="450">
        <f t="shared" si="175"/>
        <v>0</v>
      </c>
      <c r="V1392" s="446"/>
    </row>
    <row r="1393" spans="1:57" ht="30" customHeight="1">
      <c r="A1393" s="494"/>
      <c r="B1393" s="494"/>
      <c r="C1393" s="495"/>
      <c r="D1393" s="1133"/>
      <c r="E1393" s="445"/>
      <c r="F1393" s="1146"/>
      <c r="G1393" s="1146"/>
      <c r="H1393" s="444"/>
      <c r="I1393" s="444"/>
      <c r="J1393" s="1146"/>
      <c r="K1393" s="1146"/>
      <c r="L1393" s="444"/>
      <c r="M1393" s="444"/>
      <c r="N1393" s="1146"/>
      <c r="O1393" s="1146"/>
      <c r="P1393" s="444"/>
      <c r="Q1393" s="444"/>
      <c r="R1393" s="1146"/>
      <c r="S1393" s="1146"/>
      <c r="T1393" s="444"/>
      <c r="U1393" s="444"/>
      <c r="V1393" s="446"/>
    </row>
    <row r="1394" spans="1:57" ht="30" customHeight="1">
      <c r="A1394" s="444"/>
      <c r="B1394" s="444"/>
      <c r="C1394" s="444"/>
      <c r="D1394" s="1133"/>
      <c r="E1394" s="445"/>
      <c r="F1394" s="1146"/>
      <c r="G1394" s="1146"/>
      <c r="H1394" s="444"/>
      <c r="I1394" s="444"/>
      <c r="J1394" s="1146"/>
      <c r="K1394" s="1146"/>
      <c r="L1394" s="444"/>
      <c r="M1394" s="444"/>
      <c r="N1394" s="1146"/>
      <c r="O1394" s="1146"/>
      <c r="P1394" s="444"/>
      <c r="Q1394" s="444"/>
      <c r="R1394" s="1146"/>
      <c r="S1394" s="1146"/>
      <c r="T1394" s="444"/>
      <c r="U1394" s="444"/>
      <c r="V1394" s="446"/>
    </row>
    <row r="1395" spans="1:57" ht="30" customHeight="1">
      <c r="A1395" s="444"/>
      <c r="B1395" s="444"/>
      <c r="C1395" s="444"/>
      <c r="D1395" s="1133"/>
      <c r="E1395" s="445"/>
      <c r="F1395" s="1146"/>
      <c r="G1395" s="1146"/>
      <c r="H1395" s="444"/>
      <c r="I1395" s="444"/>
      <c r="J1395" s="1146"/>
      <c r="K1395" s="1146"/>
      <c r="L1395" s="444"/>
      <c r="M1395" s="444"/>
      <c r="N1395" s="1146"/>
      <c r="O1395" s="1146"/>
      <c r="P1395" s="444"/>
      <c r="Q1395" s="444"/>
      <c r="R1395" s="1146"/>
      <c r="S1395" s="1146"/>
      <c r="T1395" s="444"/>
      <c r="U1395" s="444"/>
      <c r="V1395" s="446"/>
    </row>
    <row r="1396" spans="1:57" ht="30" customHeight="1">
      <c r="A1396" s="444"/>
      <c r="B1396" s="444"/>
      <c r="C1396" s="444"/>
      <c r="D1396" s="1133"/>
      <c r="E1396" s="445"/>
      <c r="F1396" s="1146"/>
      <c r="G1396" s="1146"/>
      <c r="H1396" s="444"/>
      <c r="I1396" s="444"/>
      <c r="J1396" s="1146"/>
      <c r="K1396" s="1146"/>
      <c r="L1396" s="444"/>
      <c r="M1396" s="444"/>
      <c r="N1396" s="1146"/>
      <c r="O1396" s="1146"/>
      <c r="P1396" s="444"/>
      <c r="Q1396" s="444"/>
      <c r="R1396" s="1146"/>
      <c r="S1396" s="1146"/>
      <c r="T1396" s="444"/>
      <c r="U1396" s="444"/>
      <c r="V1396" s="446"/>
    </row>
    <row r="1397" spans="1:57" ht="30" customHeight="1">
      <c r="A1397" s="444"/>
      <c r="B1397" s="444"/>
      <c r="C1397" s="444"/>
      <c r="D1397" s="1133"/>
      <c r="E1397" s="445"/>
      <c r="F1397" s="1146"/>
      <c r="G1397" s="1146"/>
      <c r="H1397" s="444"/>
      <c r="I1397" s="444"/>
      <c r="J1397" s="1146"/>
      <c r="K1397" s="1146"/>
      <c r="L1397" s="444"/>
      <c r="M1397" s="444"/>
      <c r="N1397" s="1146"/>
      <c r="O1397" s="1146"/>
      <c r="P1397" s="444"/>
      <c r="Q1397" s="444"/>
      <c r="R1397" s="1146"/>
      <c r="S1397" s="1146"/>
      <c r="T1397" s="444"/>
      <c r="U1397" s="444"/>
      <c r="V1397" s="446"/>
    </row>
    <row r="1398" spans="1:57" ht="30" customHeight="1">
      <c r="A1398" s="444"/>
      <c r="B1398" s="444"/>
      <c r="C1398" s="444"/>
      <c r="D1398" s="1133"/>
      <c r="E1398" s="445"/>
      <c r="F1398" s="1146"/>
      <c r="G1398" s="1146"/>
      <c r="H1398" s="444"/>
      <c r="I1398" s="444"/>
      <c r="J1398" s="1146"/>
      <c r="K1398" s="1146"/>
      <c r="L1398" s="444"/>
      <c r="M1398" s="444"/>
      <c r="N1398" s="1146"/>
      <c r="O1398" s="1146"/>
      <c r="P1398" s="444"/>
      <c r="Q1398" s="444"/>
      <c r="R1398" s="1146"/>
      <c r="S1398" s="1146"/>
      <c r="T1398" s="444"/>
      <c r="U1398" s="444"/>
      <c r="V1398" s="446"/>
    </row>
    <row r="1399" spans="1:57" ht="30" customHeight="1">
      <c r="A1399" s="444"/>
      <c r="B1399" s="444"/>
      <c r="C1399" s="444"/>
      <c r="D1399" s="1133"/>
      <c r="E1399" s="445"/>
      <c r="F1399" s="1146"/>
      <c r="G1399" s="1146"/>
      <c r="H1399" s="444"/>
      <c r="I1399" s="444"/>
      <c r="J1399" s="1146"/>
      <c r="K1399" s="1146"/>
      <c r="L1399" s="444"/>
      <c r="M1399" s="444"/>
      <c r="N1399" s="1146"/>
      <c r="O1399" s="1146"/>
      <c r="P1399" s="444"/>
      <c r="Q1399" s="444"/>
      <c r="R1399" s="1146"/>
      <c r="S1399" s="1146"/>
      <c r="T1399" s="444"/>
      <c r="U1399" s="444"/>
      <c r="V1399" s="446"/>
    </row>
    <row r="1400" spans="1:57" ht="30" customHeight="1">
      <c r="A1400" s="444"/>
      <c r="B1400" s="444"/>
      <c r="C1400" s="444"/>
      <c r="D1400" s="1133"/>
      <c r="E1400" s="445"/>
      <c r="F1400" s="1146"/>
      <c r="G1400" s="1146"/>
      <c r="H1400" s="444"/>
      <c r="I1400" s="444"/>
      <c r="J1400" s="1146"/>
      <c r="K1400" s="1146"/>
      <c r="L1400" s="444"/>
      <c r="M1400" s="444"/>
      <c r="N1400" s="1146"/>
      <c r="O1400" s="1146"/>
      <c r="P1400" s="444"/>
      <c r="Q1400" s="444"/>
      <c r="R1400" s="1146"/>
      <c r="S1400" s="1146"/>
      <c r="T1400" s="444"/>
      <c r="U1400" s="444"/>
      <c r="V1400" s="446"/>
    </row>
    <row r="1401" spans="1:57" ht="30" customHeight="1">
      <c r="A1401" s="444"/>
      <c r="B1401" s="444"/>
      <c r="C1401" s="444"/>
      <c r="D1401" s="1133"/>
      <c r="E1401" s="445"/>
      <c r="F1401" s="1146"/>
      <c r="G1401" s="1146"/>
      <c r="H1401" s="444"/>
      <c r="I1401" s="444"/>
      <c r="J1401" s="1146"/>
      <c r="K1401" s="1146"/>
      <c r="L1401" s="444"/>
      <c r="M1401" s="444"/>
      <c r="N1401" s="1146"/>
      <c r="O1401" s="1146"/>
      <c r="P1401" s="444"/>
      <c r="Q1401" s="444"/>
      <c r="R1401" s="1146"/>
      <c r="S1401" s="1146"/>
      <c r="T1401" s="444"/>
      <c r="U1401" s="444"/>
      <c r="V1401" s="446"/>
    </row>
    <row r="1402" spans="1:57" ht="30" customHeight="1">
      <c r="A1402" s="444"/>
      <c r="B1402" s="444"/>
      <c r="C1402" s="444"/>
      <c r="D1402" s="1133"/>
      <c r="E1402" s="445"/>
      <c r="F1402" s="1146"/>
      <c r="G1402" s="1146"/>
      <c r="H1402" s="444"/>
      <c r="I1402" s="444"/>
      <c r="J1402" s="1146"/>
      <c r="K1402" s="1146"/>
      <c r="L1402" s="444"/>
      <c r="M1402" s="444"/>
      <c r="N1402" s="1146"/>
      <c r="O1402" s="1146"/>
      <c r="P1402" s="444"/>
      <c r="Q1402" s="444"/>
      <c r="R1402" s="1146"/>
      <c r="S1402" s="1146"/>
      <c r="T1402" s="444"/>
      <c r="U1402" s="444"/>
      <c r="V1402" s="446"/>
    </row>
    <row r="1403" spans="1:57" ht="30" customHeight="1">
      <c r="A1403" s="444"/>
      <c r="B1403" s="444"/>
      <c r="C1403" s="444"/>
      <c r="D1403" s="1133"/>
      <c r="E1403" s="445"/>
      <c r="F1403" s="1146"/>
      <c r="G1403" s="1146"/>
      <c r="H1403" s="444"/>
      <c r="I1403" s="444"/>
      <c r="J1403" s="1146"/>
      <c r="K1403" s="1146"/>
      <c r="L1403" s="444"/>
      <c r="M1403" s="444"/>
      <c r="N1403" s="1146"/>
      <c r="O1403" s="1146"/>
      <c r="P1403" s="444"/>
      <c r="Q1403" s="444"/>
      <c r="R1403" s="1146"/>
      <c r="S1403" s="1146"/>
      <c r="T1403" s="444"/>
      <c r="U1403" s="444"/>
      <c r="V1403" s="446"/>
      <c r="W1403" s="449" t="s">
        <v>86</v>
      </c>
    </row>
    <row r="1404" spans="1:57" ht="30" customHeight="1">
      <c r="A1404" s="444"/>
      <c r="B1404" s="444"/>
      <c r="C1404" s="444"/>
      <c r="D1404" s="1133"/>
      <c r="E1404" s="445"/>
      <c r="F1404" s="1146"/>
      <c r="G1404" s="1146"/>
      <c r="H1404" s="444"/>
      <c r="I1404" s="444"/>
      <c r="J1404" s="1146"/>
      <c r="K1404" s="1146"/>
      <c r="L1404" s="444"/>
      <c r="M1404" s="444"/>
      <c r="N1404" s="1146"/>
      <c r="O1404" s="1146"/>
      <c r="P1404" s="444"/>
      <c r="Q1404" s="444"/>
      <c r="R1404" s="1146"/>
      <c r="S1404" s="1146"/>
      <c r="T1404" s="444"/>
      <c r="U1404" s="444"/>
      <c r="V1404" s="446"/>
    </row>
    <row r="1405" spans="1:57" ht="30" customHeight="1">
      <c r="A1405" s="443" t="s">
        <v>85</v>
      </c>
      <c r="B1405" s="444"/>
      <c r="C1405" s="444"/>
      <c r="D1405" s="1133"/>
      <c r="E1405" s="445"/>
      <c r="F1405" s="1146"/>
      <c r="G1405" s="1147">
        <v>17780000</v>
      </c>
      <c r="H1405" s="444"/>
      <c r="I1405" s="450">
        <f>SUM(I1385:I1404)</f>
        <v>17780000</v>
      </c>
      <c r="J1405" s="1146"/>
      <c r="K1405" s="1147">
        <v>0</v>
      </c>
      <c r="L1405" s="444"/>
      <c r="M1405" s="450">
        <f>SUM(M1388:M1404)</f>
        <v>0</v>
      </c>
      <c r="N1405" s="1146"/>
      <c r="O1405" s="1147">
        <v>0</v>
      </c>
      <c r="P1405" s="444"/>
      <c r="Q1405" s="450">
        <f>SUM(Q1388:Q1404)</f>
        <v>0</v>
      </c>
      <c r="R1405" s="1146"/>
      <c r="S1405" s="1147">
        <v>17780000</v>
      </c>
      <c r="T1405" s="444"/>
      <c r="U1405" s="450">
        <f>SUM(U1385:U1404)</f>
        <v>17780000</v>
      </c>
      <c r="V1405" s="446"/>
    </row>
    <row r="1406" spans="1:57" ht="30" customHeight="1">
      <c r="A1406" s="487" t="s">
        <v>4784</v>
      </c>
      <c r="B1406" s="487"/>
      <c r="C1406" s="487"/>
      <c r="D1406" s="1142"/>
      <c r="E1406" s="488"/>
      <c r="F1406" s="1157"/>
      <c r="G1406" s="1157"/>
      <c r="H1406" s="487"/>
      <c r="I1406" s="487"/>
      <c r="J1406" s="1157"/>
      <c r="K1406" s="1157"/>
      <c r="L1406" s="487"/>
      <c r="M1406" s="487"/>
      <c r="N1406" s="1157"/>
      <c r="O1406" s="1157"/>
      <c r="P1406" s="487"/>
      <c r="Q1406" s="487"/>
      <c r="R1406" s="1157"/>
      <c r="S1406" s="1157"/>
      <c r="T1406" s="487"/>
      <c r="U1406" s="487"/>
      <c r="V1406" s="489"/>
      <c r="AA1406" s="449">
        <v>0</v>
      </c>
      <c r="AJ1406" s="449">
        <v>1</v>
      </c>
      <c r="BD1406" s="490" t="s">
        <v>2361</v>
      </c>
      <c r="BE1406" s="490" t="s">
        <v>2360</v>
      </c>
    </row>
    <row r="1407" spans="1:57" ht="30" customHeight="1">
      <c r="A1407" s="494" t="s">
        <v>4791</v>
      </c>
      <c r="B1407" s="494" t="s">
        <v>4809</v>
      </c>
      <c r="C1407" s="495" t="s">
        <v>4792</v>
      </c>
      <c r="D1407" s="1133">
        <v>1555</v>
      </c>
      <c r="E1407" s="445">
        <v>1555</v>
      </c>
      <c r="F1407" s="1156">
        <v>8300</v>
      </c>
      <c r="G1407" s="1147">
        <v>12906500</v>
      </c>
      <c r="H1407" s="498">
        <f>TRUNC('단가대비표(기계'!O60,0)</f>
        <v>8300</v>
      </c>
      <c r="I1407" s="450">
        <f>E1407*H1407</f>
        <v>12906500</v>
      </c>
      <c r="J1407" s="1161">
        <v>34220</v>
      </c>
      <c r="K1407" s="1161">
        <v>53212100</v>
      </c>
      <c r="L1407" s="462">
        <v>34220</v>
      </c>
      <c r="M1407" s="462">
        <f>E1407*L1407</f>
        <v>53212100</v>
      </c>
      <c r="N1407" s="1162"/>
      <c r="O1407" s="1162"/>
      <c r="P1407" s="444"/>
      <c r="Q1407" s="444"/>
      <c r="R1407" s="1147">
        <v>42520</v>
      </c>
      <c r="S1407" s="1147">
        <v>66118600</v>
      </c>
      <c r="T1407" s="450">
        <f>H1407+L1407+P1407</f>
        <v>42520</v>
      </c>
      <c r="U1407" s="450">
        <f>I1407+M1407+Q1407</f>
        <v>66118600</v>
      </c>
      <c r="V1407" s="446" t="s">
        <v>51</v>
      </c>
    </row>
    <row r="1408" spans="1:57" ht="30" customHeight="1">
      <c r="A1408" s="494" t="s">
        <v>4793</v>
      </c>
      <c r="B1408" s="494" t="s">
        <v>4810</v>
      </c>
      <c r="C1408" s="495" t="s">
        <v>2602</v>
      </c>
      <c r="D1408" s="1133">
        <v>1</v>
      </c>
      <c r="E1408" s="445">
        <v>1</v>
      </c>
      <c r="F1408" s="1156">
        <v>357040</v>
      </c>
      <c r="G1408" s="1147">
        <v>357040</v>
      </c>
      <c r="H1408" s="498">
        <f>TRUNC('단가대비표(기계'!O61,0)</f>
        <v>357040</v>
      </c>
      <c r="I1408" s="450">
        <f>E1408*H1408</f>
        <v>357040</v>
      </c>
      <c r="J1408" s="1161"/>
      <c r="K1408" s="1161"/>
      <c r="L1408" s="462"/>
      <c r="M1408" s="462"/>
      <c r="N1408" s="1162"/>
      <c r="O1408" s="1162"/>
      <c r="P1408" s="444"/>
      <c r="Q1408" s="444"/>
      <c r="R1408" s="1147">
        <v>357040</v>
      </c>
      <c r="S1408" s="1147">
        <v>357040</v>
      </c>
      <c r="T1408" s="450">
        <f>H1408+L1408+P1408</f>
        <v>357040</v>
      </c>
      <c r="U1408" s="450">
        <f>I1408+M1408+Q1408</f>
        <v>357040</v>
      </c>
      <c r="V1408" s="446" t="s">
        <v>51</v>
      </c>
    </row>
    <row r="1409" spans="1:58" ht="30" customHeight="1">
      <c r="A1409" s="492"/>
      <c r="B1409" s="492"/>
      <c r="C1409" s="492"/>
      <c r="D1409" s="1139"/>
      <c r="E1409" s="491"/>
      <c r="F1409" s="1158"/>
      <c r="G1409" s="1158"/>
      <c r="H1409" s="515"/>
      <c r="I1409" s="515"/>
      <c r="J1409" s="1158"/>
      <c r="K1409" s="1158"/>
      <c r="L1409" s="515"/>
      <c r="M1409" s="515"/>
      <c r="N1409" s="1158"/>
      <c r="O1409" s="1158"/>
      <c r="P1409" s="515"/>
      <c r="Q1409" s="515"/>
      <c r="R1409" s="1158"/>
      <c r="S1409" s="1158"/>
      <c r="T1409" s="515"/>
      <c r="U1409" s="515"/>
      <c r="V1409" s="516"/>
      <c r="W1409" s="505"/>
      <c r="X1409" s="505"/>
      <c r="Y1409" s="505"/>
      <c r="Z1409" s="505"/>
      <c r="AA1409" s="505"/>
      <c r="AB1409" s="505"/>
      <c r="AC1409" s="505"/>
      <c r="AD1409" s="505"/>
      <c r="AE1409" s="505"/>
      <c r="AF1409" s="505"/>
      <c r="AG1409" s="505"/>
      <c r="AH1409" s="505"/>
      <c r="AI1409" s="505"/>
      <c r="AJ1409" s="505"/>
      <c r="AK1409" s="505"/>
      <c r="AL1409" s="505"/>
      <c r="AM1409" s="505"/>
      <c r="AN1409" s="505"/>
      <c r="AO1409" s="505"/>
      <c r="AP1409" s="505"/>
      <c r="AQ1409" s="505"/>
      <c r="AR1409" s="505"/>
      <c r="AS1409" s="505"/>
      <c r="AT1409" s="505"/>
      <c r="AU1409" s="505"/>
      <c r="AV1409" s="505"/>
      <c r="AW1409" s="505"/>
      <c r="AX1409" s="505"/>
      <c r="AY1409" s="505"/>
      <c r="AZ1409" s="505"/>
      <c r="BA1409" s="505"/>
      <c r="BB1409" s="505"/>
      <c r="BC1409" s="505"/>
      <c r="BD1409" s="515"/>
      <c r="BE1409" s="515"/>
      <c r="BF1409" s="505"/>
    </row>
    <row r="1410" spans="1:58" ht="30" customHeight="1">
      <c r="A1410" s="492"/>
      <c r="B1410" s="492"/>
      <c r="C1410" s="492"/>
      <c r="D1410" s="1139"/>
      <c r="E1410" s="491"/>
      <c r="F1410" s="1153"/>
      <c r="G1410" s="1153"/>
      <c r="H1410" s="492"/>
      <c r="I1410" s="492"/>
      <c r="J1410" s="1153"/>
      <c r="K1410" s="1153"/>
      <c r="L1410" s="492"/>
      <c r="M1410" s="492"/>
      <c r="N1410" s="1153"/>
      <c r="O1410" s="1153"/>
      <c r="P1410" s="492"/>
      <c r="Q1410" s="492"/>
      <c r="R1410" s="1153"/>
      <c r="S1410" s="1153"/>
      <c r="T1410" s="492"/>
      <c r="U1410" s="492"/>
      <c r="V1410" s="493"/>
      <c r="BD1410" s="492"/>
      <c r="BE1410" s="492"/>
    </row>
    <row r="1411" spans="1:58" ht="30" customHeight="1">
      <c r="A1411" s="492"/>
      <c r="B1411" s="492"/>
      <c r="C1411" s="492"/>
      <c r="D1411" s="1139"/>
      <c r="E1411" s="491"/>
      <c r="F1411" s="1153"/>
      <c r="G1411" s="1153"/>
      <c r="H1411" s="492"/>
      <c r="I1411" s="492"/>
      <c r="J1411" s="1153"/>
      <c r="K1411" s="1153"/>
      <c r="L1411" s="492"/>
      <c r="M1411" s="492"/>
      <c r="N1411" s="1153"/>
      <c r="O1411" s="1153"/>
      <c r="P1411" s="492"/>
      <c r="Q1411" s="492"/>
      <c r="R1411" s="1153"/>
      <c r="S1411" s="1153"/>
      <c r="T1411" s="492"/>
      <c r="U1411" s="492"/>
      <c r="V1411" s="493"/>
      <c r="BD1411" s="492"/>
      <c r="BE1411" s="492"/>
    </row>
    <row r="1412" spans="1:58" ht="30" customHeight="1">
      <c r="A1412" s="492"/>
      <c r="B1412" s="492"/>
      <c r="C1412" s="492"/>
      <c r="D1412" s="1139"/>
      <c r="E1412" s="491"/>
      <c r="F1412" s="1153"/>
      <c r="G1412" s="1153"/>
      <c r="H1412" s="492"/>
      <c r="I1412" s="492"/>
      <c r="J1412" s="1153"/>
      <c r="K1412" s="1153"/>
      <c r="L1412" s="492"/>
      <c r="M1412" s="492"/>
      <c r="N1412" s="1153"/>
      <c r="O1412" s="1153"/>
      <c r="P1412" s="492"/>
      <c r="Q1412" s="492"/>
      <c r="R1412" s="1153"/>
      <c r="S1412" s="1153"/>
      <c r="T1412" s="492"/>
      <c r="U1412" s="492"/>
      <c r="V1412" s="493"/>
      <c r="BD1412" s="492"/>
      <c r="BE1412" s="492"/>
    </row>
    <row r="1413" spans="1:58" ht="30" customHeight="1">
      <c r="A1413" s="492"/>
      <c r="B1413" s="492"/>
      <c r="C1413" s="492"/>
      <c r="D1413" s="1139"/>
      <c r="E1413" s="491"/>
      <c r="F1413" s="1153"/>
      <c r="G1413" s="1153"/>
      <c r="H1413" s="492"/>
      <c r="I1413" s="492"/>
      <c r="J1413" s="1153"/>
      <c r="K1413" s="1153"/>
      <c r="L1413" s="492"/>
      <c r="M1413" s="492"/>
      <c r="N1413" s="1153"/>
      <c r="O1413" s="1153"/>
      <c r="P1413" s="492"/>
      <c r="Q1413" s="492"/>
      <c r="R1413" s="1153"/>
      <c r="S1413" s="1153"/>
      <c r="T1413" s="492"/>
      <c r="U1413" s="492"/>
      <c r="V1413" s="493"/>
      <c r="BD1413" s="492"/>
      <c r="BE1413" s="492"/>
    </row>
    <row r="1414" spans="1:58" ht="30" customHeight="1">
      <c r="A1414" s="492"/>
      <c r="B1414" s="492"/>
      <c r="C1414" s="492"/>
      <c r="D1414" s="1139"/>
      <c r="E1414" s="491"/>
      <c r="F1414" s="1153"/>
      <c r="G1414" s="1153"/>
      <c r="H1414" s="492"/>
      <c r="I1414" s="492"/>
      <c r="J1414" s="1153"/>
      <c r="K1414" s="1153"/>
      <c r="L1414" s="492"/>
      <c r="M1414" s="492"/>
      <c r="N1414" s="1153"/>
      <c r="O1414" s="1153"/>
      <c r="P1414" s="492"/>
      <c r="Q1414" s="492"/>
      <c r="R1414" s="1153"/>
      <c r="S1414" s="1153"/>
      <c r="T1414" s="492"/>
      <c r="U1414" s="492"/>
      <c r="V1414" s="493"/>
      <c r="BD1414" s="492"/>
      <c r="BE1414" s="492"/>
    </row>
    <row r="1415" spans="1:58" ht="30" customHeight="1">
      <c r="A1415" s="492"/>
      <c r="B1415" s="492"/>
      <c r="C1415" s="492"/>
      <c r="D1415" s="1139"/>
      <c r="E1415" s="491"/>
      <c r="F1415" s="1153"/>
      <c r="G1415" s="1153"/>
      <c r="H1415" s="492"/>
      <c r="I1415" s="492"/>
      <c r="J1415" s="1153"/>
      <c r="K1415" s="1153"/>
      <c r="L1415" s="492"/>
      <c r="M1415" s="492"/>
      <c r="N1415" s="1153"/>
      <c r="O1415" s="1153"/>
      <c r="P1415" s="492"/>
      <c r="Q1415" s="492"/>
      <c r="R1415" s="1153"/>
      <c r="S1415" s="1153"/>
      <c r="T1415" s="492"/>
      <c r="U1415" s="492"/>
      <c r="V1415" s="493"/>
      <c r="BD1415" s="492"/>
      <c r="BE1415" s="492"/>
    </row>
    <row r="1416" spans="1:58" ht="30" customHeight="1">
      <c r="A1416" s="492"/>
      <c r="B1416" s="492"/>
      <c r="C1416" s="492"/>
      <c r="D1416" s="1139"/>
      <c r="E1416" s="491"/>
      <c r="F1416" s="1153"/>
      <c r="G1416" s="1153"/>
      <c r="H1416" s="492"/>
      <c r="I1416" s="492"/>
      <c r="J1416" s="1153"/>
      <c r="K1416" s="1153"/>
      <c r="L1416" s="492"/>
      <c r="M1416" s="492"/>
      <c r="N1416" s="1153"/>
      <c r="O1416" s="1153"/>
      <c r="P1416" s="492"/>
      <c r="Q1416" s="492"/>
      <c r="R1416" s="1153"/>
      <c r="S1416" s="1153"/>
      <c r="T1416" s="492"/>
      <c r="U1416" s="492"/>
      <c r="V1416" s="493"/>
      <c r="BD1416" s="492"/>
      <c r="BE1416" s="492"/>
    </row>
    <row r="1417" spans="1:58" ht="30" customHeight="1">
      <c r="A1417" s="492"/>
      <c r="B1417" s="492"/>
      <c r="C1417" s="492"/>
      <c r="D1417" s="1139"/>
      <c r="E1417" s="491"/>
      <c r="F1417" s="1153"/>
      <c r="G1417" s="1153"/>
      <c r="H1417" s="492"/>
      <c r="I1417" s="492"/>
      <c r="J1417" s="1153"/>
      <c r="K1417" s="1153"/>
      <c r="L1417" s="492"/>
      <c r="M1417" s="492"/>
      <c r="N1417" s="1153"/>
      <c r="O1417" s="1153"/>
      <c r="P1417" s="492"/>
      <c r="Q1417" s="492"/>
      <c r="R1417" s="1153"/>
      <c r="S1417" s="1153"/>
      <c r="T1417" s="492"/>
      <c r="U1417" s="492"/>
      <c r="V1417" s="493"/>
      <c r="BD1417" s="492"/>
      <c r="BE1417" s="492"/>
    </row>
    <row r="1418" spans="1:58" ht="30" customHeight="1">
      <c r="A1418" s="492"/>
      <c r="B1418" s="492"/>
      <c r="C1418" s="492"/>
      <c r="D1418" s="1139"/>
      <c r="E1418" s="491"/>
      <c r="F1418" s="1153"/>
      <c r="G1418" s="1153"/>
      <c r="H1418" s="492"/>
      <c r="I1418" s="492"/>
      <c r="J1418" s="1153"/>
      <c r="K1418" s="1153"/>
      <c r="L1418" s="492"/>
      <c r="M1418" s="492"/>
      <c r="N1418" s="1153"/>
      <c r="O1418" s="1153"/>
      <c r="P1418" s="492"/>
      <c r="Q1418" s="492"/>
      <c r="R1418" s="1153"/>
      <c r="S1418" s="1153"/>
      <c r="T1418" s="492"/>
      <c r="U1418" s="492"/>
      <c r="V1418" s="493"/>
      <c r="BD1418" s="492"/>
      <c r="BE1418" s="492"/>
    </row>
    <row r="1419" spans="1:58" ht="30" customHeight="1">
      <c r="A1419" s="492"/>
      <c r="B1419" s="492"/>
      <c r="C1419" s="492"/>
      <c r="D1419" s="1139"/>
      <c r="E1419" s="491"/>
      <c r="F1419" s="1153"/>
      <c r="G1419" s="1153"/>
      <c r="H1419" s="492"/>
      <c r="I1419" s="492"/>
      <c r="J1419" s="1153"/>
      <c r="K1419" s="1153"/>
      <c r="L1419" s="492"/>
      <c r="M1419" s="492"/>
      <c r="N1419" s="1153"/>
      <c r="O1419" s="1153"/>
      <c r="P1419" s="492"/>
      <c r="Q1419" s="492"/>
      <c r="R1419" s="1153"/>
      <c r="S1419" s="1153"/>
      <c r="T1419" s="492"/>
      <c r="U1419" s="492"/>
      <c r="V1419" s="493"/>
      <c r="BD1419" s="492"/>
      <c r="BE1419" s="492"/>
    </row>
    <row r="1420" spans="1:58" ht="30" customHeight="1">
      <c r="A1420" s="492"/>
      <c r="B1420" s="492"/>
      <c r="C1420" s="492"/>
      <c r="D1420" s="1139"/>
      <c r="E1420" s="491"/>
      <c r="F1420" s="1153"/>
      <c r="G1420" s="1153"/>
      <c r="H1420" s="492"/>
      <c r="I1420" s="492"/>
      <c r="J1420" s="1153"/>
      <c r="K1420" s="1153"/>
      <c r="L1420" s="492"/>
      <c r="M1420" s="492"/>
      <c r="N1420" s="1153"/>
      <c r="O1420" s="1153"/>
      <c r="P1420" s="492"/>
      <c r="Q1420" s="492"/>
      <c r="R1420" s="1153"/>
      <c r="S1420" s="1153"/>
      <c r="T1420" s="492"/>
      <c r="U1420" s="492"/>
      <c r="V1420" s="493"/>
      <c r="BD1420" s="492"/>
      <c r="BE1420" s="492"/>
    </row>
    <row r="1421" spans="1:58" ht="30" customHeight="1">
      <c r="A1421" s="492"/>
      <c r="B1421" s="492"/>
      <c r="C1421" s="492"/>
      <c r="D1421" s="1139"/>
      <c r="E1421" s="491"/>
      <c r="F1421" s="1153"/>
      <c r="G1421" s="1153"/>
      <c r="H1421" s="492"/>
      <c r="I1421" s="492"/>
      <c r="J1421" s="1153"/>
      <c r="K1421" s="1153"/>
      <c r="L1421" s="492"/>
      <c r="M1421" s="492"/>
      <c r="N1421" s="1153"/>
      <c r="O1421" s="1153"/>
      <c r="P1421" s="492"/>
      <c r="Q1421" s="492"/>
      <c r="R1421" s="1153"/>
      <c r="S1421" s="1153"/>
      <c r="T1421" s="492"/>
      <c r="U1421" s="492"/>
      <c r="V1421" s="493"/>
      <c r="BD1421" s="492"/>
      <c r="BE1421" s="492"/>
    </row>
    <row r="1422" spans="1:58" ht="30" customHeight="1">
      <c r="A1422" s="492"/>
      <c r="B1422" s="492"/>
      <c r="C1422" s="492"/>
      <c r="D1422" s="1139"/>
      <c r="E1422" s="491"/>
      <c r="F1422" s="1153"/>
      <c r="G1422" s="1153"/>
      <c r="H1422" s="492"/>
      <c r="I1422" s="492"/>
      <c r="J1422" s="1153"/>
      <c r="K1422" s="1153"/>
      <c r="L1422" s="492"/>
      <c r="M1422" s="492"/>
      <c r="N1422" s="1153"/>
      <c r="O1422" s="1153"/>
      <c r="P1422" s="492"/>
      <c r="Q1422" s="492"/>
      <c r="R1422" s="1153"/>
      <c r="S1422" s="1153"/>
      <c r="T1422" s="492"/>
      <c r="U1422" s="492"/>
      <c r="V1422" s="493"/>
      <c r="BD1422" s="492"/>
      <c r="BE1422" s="492"/>
    </row>
    <row r="1423" spans="1:58" ht="30" customHeight="1">
      <c r="A1423" s="492"/>
      <c r="B1423" s="492"/>
      <c r="C1423" s="492"/>
      <c r="D1423" s="1139"/>
      <c r="E1423" s="491"/>
      <c r="F1423" s="1153"/>
      <c r="G1423" s="1153"/>
      <c r="H1423" s="492"/>
      <c r="I1423" s="492"/>
      <c r="J1423" s="1153"/>
      <c r="K1423" s="1153"/>
      <c r="L1423" s="492"/>
      <c r="M1423" s="492"/>
      <c r="N1423" s="1153"/>
      <c r="O1423" s="1153"/>
      <c r="P1423" s="492"/>
      <c r="Q1423" s="492"/>
      <c r="R1423" s="1153"/>
      <c r="S1423" s="1153"/>
      <c r="T1423" s="492"/>
      <c r="U1423" s="492"/>
      <c r="V1423" s="493"/>
      <c r="BD1423" s="492"/>
      <c r="BE1423" s="492"/>
    </row>
    <row r="1424" spans="1:58" ht="30" customHeight="1">
      <c r="A1424" s="492"/>
      <c r="B1424" s="492"/>
      <c r="C1424" s="492"/>
      <c r="D1424" s="1139"/>
      <c r="E1424" s="491"/>
      <c r="F1424" s="1153"/>
      <c r="G1424" s="1153"/>
      <c r="H1424" s="492"/>
      <c r="I1424" s="492"/>
      <c r="J1424" s="1153"/>
      <c r="K1424" s="1153"/>
      <c r="L1424" s="492"/>
      <c r="M1424" s="492"/>
      <c r="N1424" s="1153"/>
      <c r="O1424" s="1153"/>
      <c r="P1424" s="492"/>
      <c r="Q1424" s="492"/>
      <c r="R1424" s="1153"/>
      <c r="S1424" s="1153"/>
      <c r="T1424" s="492"/>
      <c r="U1424" s="492"/>
      <c r="V1424" s="493"/>
      <c r="BD1424" s="492"/>
      <c r="BE1424" s="492"/>
    </row>
    <row r="1425" spans="1:57" ht="30" customHeight="1">
      <c r="A1425" s="492"/>
      <c r="B1425" s="492"/>
      <c r="C1425" s="492"/>
      <c r="D1425" s="1139"/>
      <c r="E1425" s="491"/>
      <c r="F1425" s="1153"/>
      <c r="G1425" s="1153"/>
      <c r="H1425" s="492"/>
      <c r="I1425" s="492"/>
      <c r="J1425" s="1153"/>
      <c r="K1425" s="1153"/>
      <c r="L1425" s="492"/>
      <c r="M1425" s="492"/>
      <c r="N1425" s="1153"/>
      <c r="O1425" s="1153"/>
      <c r="P1425" s="492"/>
      <c r="Q1425" s="492"/>
      <c r="R1425" s="1153"/>
      <c r="S1425" s="1153"/>
      <c r="T1425" s="492"/>
      <c r="U1425" s="492"/>
      <c r="V1425" s="493"/>
      <c r="BD1425" s="492"/>
      <c r="BE1425" s="492"/>
    </row>
    <row r="1426" spans="1:57" ht="30" customHeight="1">
      <c r="A1426" s="492"/>
      <c r="B1426" s="492"/>
      <c r="C1426" s="492"/>
      <c r="D1426" s="1139"/>
      <c r="E1426" s="491"/>
      <c r="F1426" s="1153"/>
      <c r="G1426" s="1153"/>
      <c r="H1426" s="492"/>
      <c r="I1426" s="492"/>
      <c r="J1426" s="1153"/>
      <c r="K1426" s="1153"/>
      <c r="L1426" s="492"/>
      <c r="M1426" s="492"/>
      <c r="N1426" s="1153"/>
      <c r="O1426" s="1153"/>
      <c r="P1426" s="492"/>
      <c r="Q1426" s="492"/>
      <c r="R1426" s="1153"/>
      <c r="S1426" s="1153"/>
      <c r="T1426" s="492"/>
      <c r="U1426" s="492"/>
      <c r="V1426" s="493"/>
      <c r="BD1426" s="492"/>
      <c r="BE1426" s="492"/>
    </row>
    <row r="1427" spans="1:57" ht="30" customHeight="1">
      <c r="A1427" s="492"/>
      <c r="B1427" s="492"/>
      <c r="C1427" s="492"/>
      <c r="D1427" s="1139"/>
      <c r="E1427" s="491"/>
      <c r="F1427" s="1153"/>
      <c r="G1427" s="1153"/>
      <c r="H1427" s="492"/>
      <c r="I1427" s="492"/>
      <c r="J1427" s="1153"/>
      <c r="K1427" s="1153"/>
      <c r="L1427" s="492"/>
      <c r="M1427" s="492"/>
      <c r="N1427" s="1153"/>
      <c r="O1427" s="1153"/>
      <c r="P1427" s="492"/>
      <c r="Q1427" s="492"/>
      <c r="R1427" s="1153"/>
      <c r="S1427" s="1153"/>
      <c r="T1427" s="492"/>
      <c r="U1427" s="492"/>
      <c r="V1427" s="493"/>
      <c r="W1427" s="448"/>
      <c r="X1427" s="448"/>
      <c r="Y1427" s="448"/>
      <c r="Z1427" s="448"/>
      <c r="AA1427" s="448"/>
      <c r="AB1427" s="448"/>
      <c r="AC1427" s="448"/>
      <c r="AD1427" s="447"/>
      <c r="AE1427" s="447"/>
      <c r="AF1427" s="447"/>
      <c r="AG1427" s="447"/>
      <c r="AH1427" s="447"/>
      <c r="AI1427" s="447"/>
      <c r="AJ1427" s="447"/>
      <c r="AK1427" s="447"/>
      <c r="AL1427" s="447"/>
      <c r="AM1427" s="447"/>
      <c r="AN1427" s="447"/>
      <c r="AO1427" s="447"/>
      <c r="AP1427" s="447"/>
      <c r="AQ1427" s="447"/>
      <c r="AR1427" s="447"/>
      <c r="AS1427" s="447"/>
      <c r="AT1427" s="447"/>
      <c r="AU1427" s="447"/>
      <c r="AV1427" s="447"/>
      <c r="AW1427" s="447"/>
      <c r="AX1427" s="447"/>
      <c r="AY1427" s="447"/>
      <c r="AZ1427" s="447"/>
      <c r="BA1427" s="448"/>
      <c r="BB1427" s="448"/>
      <c r="BC1427" s="447"/>
      <c r="BD1427" s="448"/>
      <c r="BE1427" s="447"/>
    </row>
    <row r="1428" spans="1:57" ht="30" customHeight="1">
      <c r="A1428" s="443" t="s">
        <v>85</v>
      </c>
      <c r="B1428" s="444"/>
      <c r="C1428" s="444"/>
      <c r="D1428" s="1133"/>
      <c r="E1428" s="445"/>
      <c r="F1428" s="1146"/>
      <c r="G1428" s="1147">
        <v>13263540</v>
      </c>
      <c r="H1428" s="444"/>
      <c r="I1428" s="450">
        <f>SUM(I1407:I1421)</f>
        <v>13263540</v>
      </c>
      <c r="J1428" s="1146"/>
      <c r="K1428" s="1147">
        <v>53212100</v>
      </c>
      <c r="L1428" s="444"/>
      <c r="M1428" s="450">
        <f>SUM(M1407:M1421)</f>
        <v>53212100</v>
      </c>
      <c r="N1428" s="1146"/>
      <c r="O1428" s="1147">
        <v>0</v>
      </c>
      <c r="P1428" s="444"/>
      <c r="Q1428" s="450">
        <f ca="1">ROUNDDOWN(SUMIF(AJ1290:AJ1425, 1, Q1407:Q1427), 0)</f>
        <v>0</v>
      </c>
      <c r="R1428" s="1146"/>
      <c r="S1428" s="1147">
        <v>66475640</v>
      </c>
      <c r="T1428" s="444"/>
      <c r="U1428" s="450">
        <f ca="1">I1428+M1428+Q1428</f>
        <v>66475640</v>
      </c>
      <c r="V1428" s="446"/>
    </row>
    <row r="1429" spans="1:57" s="421" customFormat="1" ht="30" customHeight="1">
      <c r="A1429" s="417" t="s">
        <v>4806</v>
      </c>
      <c r="B1429" s="417"/>
      <c r="C1429" s="417"/>
      <c r="D1429" s="1143"/>
      <c r="E1429" s="417"/>
      <c r="F1429" s="1108"/>
      <c r="G1429" s="1108"/>
      <c r="H1429" s="511"/>
      <c r="I1429" s="511"/>
      <c r="J1429" s="1108"/>
      <c r="K1429" s="1122"/>
      <c r="L1429" s="511"/>
      <c r="M1429" s="418"/>
      <c r="N1429" s="1163"/>
      <c r="O1429" s="1131"/>
      <c r="P1429" s="431"/>
      <c r="Q1429" s="418"/>
      <c r="R1429" s="1131"/>
      <c r="S1429" s="1131"/>
      <c r="T1429" s="418"/>
      <c r="U1429" s="418"/>
      <c r="V1429" s="417"/>
      <c r="AC1429" s="432"/>
      <c r="AD1429" s="432"/>
      <c r="AE1429" s="432"/>
      <c r="AF1429" s="432"/>
      <c r="AG1429" s="419"/>
      <c r="AH1429" s="419"/>
      <c r="AI1429" s="419"/>
      <c r="AJ1429" s="420"/>
      <c r="AK1429" s="420"/>
      <c r="AL1429" s="420"/>
      <c r="AM1429" s="420"/>
      <c r="AN1429" s="420"/>
      <c r="AO1429" s="420"/>
      <c r="AP1429" s="420"/>
      <c r="AQ1429" s="420"/>
      <c r="AR1429" s="420"/>
      <c r="AS1429" s="420"/>
      <c r="AT1429" s="420"/>
      <c r="AU1429" s="420"/>
      <c r="AV1429" s="420"/>
      <c r="AW1429" s="420"/>
      <c r="AX1429" s="420"/>
      <c r="AY1429" s="420"/>
      <c r="AZ1429" s="420"/>
      <c r="BA1429" s="420"/>
    </row>
    <row r="1430" spans="1:57" ht="30" customHeight="1">
      <c r="A1430" s="494" t="s">
        <v>4788</v>
      </c>
      <c r="B1430" s="494" t="s">
        <v>81</v>
      </c>
      <c r="C1430" s="495" t="s">
        <v>4789</v>
      </c>
      <c r="D1430" s="1133">
        <v>54.17</v>
      </c>
      <c r="E1430" s="445">
        <f>'1층전시실산출'!H11</f>
        <v>54.17</v>
      </c>
      <c r="F1430" s="1147"/>
      <c r="G1430" s="1147"/>
      <c r="H1430" s="450"/>
      <c r="I1430" s="450"/>
      <c r="J1430" s="1147"/>
      <c r="K1430" s="1147"/>
      <c r="L1430" s="450"/>
      <c r="M1430" s="450"/>
      <c r="N1430" s="1147">
        <v>7500</v>
      </c>
      <c r="O1430" s="1147">
        <v>406275</v>
      </c>
      <c r="P1430" s="450">
        <f>TRUNC(단가대비표!O519,0)</f>
        <v>7500</v>
      </c>
      <c r="Q1430" s="450">
        <f>E1430*P1430</f>
        <v>406275</v>
      </c>
      <c r="R1430" s="1147">
        <v>7500</v>
      </c>
      <c r="S1430" s="1147">
        <v>406275</v>
      </c>
      <c r="T1430" s="450">
        <f>TRUNC(H1430+L1430+P1430, 0)</f>
        <v>7500</v>
      </c>
      <c r="U1430" s="450">
        <f>TRUNC(I1430+M1430+Q1430, 0)</f>
        <v>406275</v>
      </c>
      <c r="V1430" s="454" t="s">
        <v>51</v>
      </c>
      <c r="W1430" s="448" t="s">
        <v>83</v>
      </c>
      <c r="X1430" s="448" t="s">
        <v>51</v>
      </c>
      <c r="Y1430" s="448" t="s">
        <v>51</v>
      </c>
      <c r="Z1430" s="448" t="s">
        <v>56</v>
      </c>
      <c r="AA1430" s="448" t="s">
        <v>62</v>
      </c>
      <c r="AB1430" s="448" t="s">
        <v>62</v>
      </c>
      <c r="AC1430" s="448" t="s">
        <v>61</v>
      </c>
      <c r="AD1430" s="447"/>
      <c r="AE1430" s="447"/>
      <c r="AF1430" s="447"/>
      <c r="AG1430" s="447"/>
      <c r="AH1430" s="447"/>
      <c r="AI1430" s="447"/>
      <c r="AJ1430" s="447"/>
      <c r="AK1430" s="447"/>
      <c r="AL1430" s="447"/>
      <c r="AM1430" s="447"/>
      <c r="AN1430" s="447"/>
      <c r="AO1430" s="447"/>
      <c r="AP1430" s="447"/>
      <c r="AQ1430" s="447"/>
      <c r="AR1430" s="447"/>
      <c r="AS1430" s="447"/>
      <c r="AT1430" s="447"/>
      <c r="AU1430" s="447"/>
      <c r="AV1430" s="447"/>
      <c r="AW1430" s="447"/>
      <c r="AX1430" s="447"/>
      <c r="AY1430" s="447"/>
      <c r="AZ1430" s="447"/>
      <c r="BA1430" s="448" t="s">
        <v>51</v>
      </c>
      <c r="BB1430" s="448" t="s">
        <v>51</v>
      </c>
      <c r="BC1430" s="447"/>
      <c r="BD1430" s="448" t="s">
        <v>84</v>
      </c>
      <c r="BE1430" s="447">
        <v>445</v>
      </c>
    </row>
    <row r="1431" spans="1:57" ht="30" customHeight="1">
      <c r="A1431" s="494" t="s">
        <v>4790</v>
      </c>
      <c r="B1431" s="494" t="s">
        <v>81</v>
      </c>
      <c r="C1431" s="495" t="s">
        <v>4789</v>
      </c>
      <c r="D1431" s="1133">
        <v>843.71399999999994</v>
      </c>
      <c r="E1431" s="445">
        <f>'2층전시실산출 '!H11</f>
        <v>843.71399999999994</v>
      </c>
      <c r="F1431" s="1147"/>
      <c r="G1431" s="1147"/>
      <c r="H1431" s="450"/>
      <c r="I1431" s="450"/>
      <c r="J1431" s="1147"/>
      <c r="K1431" s="1147"/>
      <c r="L1431" s="450"/>
      <c r="M1431" s="450"/>
      <c r="N1431" s="1147">
        <v>7500</v>
      </c>
      <c r="O1431" s="1147">
        <v>6327855</v>
      </c>
      <c r="P1431" s="450">
        <f>단가대비표!O519</f>
        <v>7500</v>
      </c>
      <c r="Q1431" s="450">
        <f>E1431*P1431</f>
        <v>6327855</v>
      </c>
      <c r="R1431" s="1147">
        <v>7500</v>
      </c>
      <c r="S1431" s="1147">
        <v>6327855</v>
      </c>
      <c r="T1431" s="450">
        <f>TRUNC(H1431+L1431+P1431, 0)</f>
        <v>7500</v>
      </c>
      <c r="U1431" s="450">
        <f>TRUNC(I1431+M1431+Q1431, 0)</f>
        <v>6327855</v>
      </c>
      <c r="V1431" s="454" t="s">
        <v>51</v>
      </c>
      <c r="W1431" s="448" t="s">
        <v>83</v>
      </c>
      <c r="X1431" s="448" t="s">
        <v>51</v>
      </c>
      <c r="Y1431" s="448" t="s">
        <v>51</v>
      </c>
      <c r="Z1431" s="448" t="s">
        <v>56</v>
      </c>
      <c r="AA1431" s="448" t="s">
        <v>62</v>
      </c>
      <c r="AB1431" s="448" t="s">
        <v>62</v>
      </c>
      <c r="AC1431" s="448" t="s">
        <v>61</v>
      </c>
      <c r="AD1431" s="447"/>
      <c r="AE1431" s="447"/>
      <c r="AF1431" s="447"/>
      <c r="AG1431" s="447"/>
      <c r="AH1431" s="447"/>
      <c r="AI1431" s="447"/>
      <c r="AJ1431" s="447"/>
      <c r="AK1431" s="447"/>
      <c r="AL1431" s="447"/>
      <c r="AM1431" s="447"/>
      <c r="AN1431" s="447"/>
      <c r="AO1431" s="447"/>
      <c r="AP1431" s="447"/>
      <c r="AQ1431" s="447"/>
      <c r="AR1431" s="447"/>
      <c r="AS1431" s="447"/>
      <c r="AT1431" s="447"/>
      <c r="AU1431" s="447"/>
      <c r="AV1431" s="447"/>
      <c r="AW1431" s="447"/>
      <c r="AX1431" s="447"/>
      <c r="AY1431" s="447"/>
      <c r="AZ1431" s="447"/>
      <c r="BA1431" s="448" t="s">
        <v>51</v>
      </c>
      <c r="BB1431" s="448" t="s">
        <v>51</v>
      </c>
      <c r="BC1431" s="447"/>
      <c r="BD1431" s="448" t="s">
        <v>84</v>
      </c>
      <c r="BE1431" s="447">
        <v>445</v>
      </c>
    </row>
    <row r="1432" spans="1:57" ht="30" customHeight="1">
      <c r="A1432" s="492"/>
      <c r="B1432" s="492"/>
      <c r="C1432" s="492"/>
      <c r="D1432" s="1139"/>
      <c r="E1432" s="491"/>
      <c r="F1432" s="1153"/>
      <c r="G1432" s="1153"/>
      <c r="H1432" s="492"/>
      <c r="I1432" s="492"/>
      <c r="J1432" s="1153"/>
      <c r="K1432" s="1153"/>
      <c r="L1432" s="492"/>
      <c r="M1432" s="492"/>
      <c r="N1432" s="1153"/>
      <c r="O1432" s="1153"/>
      <c r="P1432" s="492"/>
      <c r="Q1432" s="492"/>
      <c r="R1432" s="1153"/>
      <c r="S1432" s="1153"/>
      <c r="T1432" s="492"/>
      <c r="U1432" s="492"/>
      <c r="V1432" s="493"/>
      <c r="W1432" s="448"/>
      <c r="X1432" s="448"/>
      <c r="Y1432" s="448"/>
      <c r="Z1432" s="448"/>
      <c r="AA1432" s="448"/>
      <c r="AB1432" s="448"/>
      <c r="AC1432" s="448"/>
      <c r="AD1432" s="447"/>
      <c r="AE1432" s="447"/>
      <c r="AF1432" s="447"/>
      <c r="AG1432" s="447"/>
      <c r="AH1432" s="447"/>
      <c r="AI1432" s="447"/>
      <c r="AJ1432" s="447"/>
      <c r="AK1432" s="447"/>
      <c r="AL1432" s="447"/>
      <c r="AM1432" s="447"/>
      <c r="AN1432" s="447"/>
      <c r="AO1432" s="447"/>
      <c r="AP1432" s="447"/>
      <c r="AQ1432" s="447"/>
      <c r="AR1432" s="447"/>
      <c r="AS1432" s="447"/>
      <c r="AT1432" s="447"/>
      <c r="AU1432" s="447"/>
      <c r="AV1432" s="447"/>
      <c r="AW1432" s="447"/>
      <c r="AX1432" s="447"/>
      <c r="AY1432" s="447"/>
      <c r="AZ1432" s="447"/>
      <c r="BA1432" s="448"/>
      <c r="BB1432" s="448"/>
      <c r="BC1432" s="447"/>
      <c r="BD1432" s="448"/>
      <c r="BE1432" s="447"/>
    </row>
    <row r="1433" spans="1:57" ht="30" customHeight="1">
      <c r="A1433" s="492"/>
      <c r="B1433" s="492"/>
      <c r="C1433" s="492"/>
      <c r="D1433" s="1139"/>
      <c r="E1433" s="491"/>
      <c r="F1433" s="1153"/>
      <c r="G1433" s="1153"/>
      <c r="H1433" s="492"/>
      <c r="I1433" s="492"/>
      <c r="J1433" s="1153"/>
      <c r="K1433" s="1153"/>
      <c r="L1433" s="492"/>
      <c r="M1433" s="492"/>
      <c r="N1433" s="1153"/>
      <c r="O1433" s="1153"/>
      <c r="P1433" s="492"/>
      <c r="Q1433" s="492"/>
      <c r="R1433" s="1153"/>
      <c r="S1433" s="1153"/>
      <c r="T1433" s="492"/>
      <c r="U1433" s="492"/>
      <c r="V1433" s="493"/>
      <c r="W1433" s="448"/>
      <c r="X1433" s="448"/>
      <c r="Y1433" s="448"/>
      <c r="Z1433" s="448"/>
      <c r="AA1433" s="448"/>
      <c r="AB1433" s="448"/>
      <c r="AC1433" s="448"/>
      <c r="AD1433" s="447"/>
      <c r="AE1433" s="447"/>
      <c r="AF1433" s="447"/>
      <c r="AG1433" s="447"/>
      <c r="AH1433" s="447"/>
      <c r="AI1433" s="447"/>
      <c r="AJ1433" s="447"/>
      <c r="AK1433" s="447"/>
      <c r="AL1433" s="447"/>
      <c r="AM1433" s="447"/>
      <c r="AN1433" s="447"/>
      <c r="AO1433" s="447"/>
      <c r="AP1433" s="447"/>
      <c r="AQ1433" s="447"/>
      <c r="AR1433" s="447"/>
      <c r="AS1433" s="447"/>
      <c r="AT1433" s="447"/>
      <c r="AU1433" s="447"/>
      <c r="AV1433" s="447"/>
      <c r="AW1433" s="447"/>
      <c r="AX1433" s="447"/>
      <c r="AY1433" s="447"/>
      <c r="AZ1433" s="447"/>
      <c r="BA1433" s="448"/>
      <c r="BB1433" s="448"/>
      <c r="BC1433" s="447"/>
      <c r="BD1433" s="448"/>
      <c r="BE1433" s="447"/>
    </row>
    <row r="1434" spans="1:57" ht="30" customHeight="1">
      <c r="A1434" s="492"/>
      <c r="B1434" s="492"/>
      <c r="C1434" s="492"/>
      <c r="D1434" s="1139"/>
      <c r="E1434" s="491"/>
      <c r="F1434" s="1153"/>
      <c r="G1434" s="1153"/>
      <c r="H1434" s="492"/>
      <c r="I1434" s="492"/>
      <c r="J1434" s="1153"/>
      <c r="K1434" s="1153"/>
      <c r="L1434" s="492"/>
      <c r="M1434" s="492"/>
      <c r="N1434" s="1153"/>
      <c r="O1434" s="1153"/>
      <c r="P1434" s="492"/>
      <c r="Q1434" s="492"/>
      <c r="R1434" s="1153"/>
      <c r="S1434" s="1153"/>
      <c r="T1434" s="492"/>
      <c r="U1434" s="492"/>
      <c r="V1434" s="493"/>
      <c r="W1434" s="448"/>
      <c r="X1434" s="448"/>
      <c r="Y1434" s="448"/>
      <c r="Z1434" s="448"/>
      <c r="AA1434" s="448"/>
      <c r="AB1434" s="448"/>
      <c r="AC1434" s="448"/>
      <c r="AD1434" s="447"/>
      <c r="AE1434" s="447"/>
      <c r="AF1434" s="447"/>
      <c r="AG1434" s="447"/>
      <c r="AH1434" s="447"/>
      <c r="AI1434" s="447"/>
      <c r="AJ1434" s="447"/>
      <c r="AK1434" s="447"/>
      <c r="AL1434" s="447"/>
      <c r="AM1434" s="447"/>
      <c r="AN1434" s="447"/>
      <c r="AO1434" s="447"/>
      <c r="AP1434" s="447"/>
      <c r="AQ1434" s="447"/>
      <c r="AR1434" s="447"/>
      <c r="AS1434" s="447"/>
      <c r="AT1434" s="447"/>
      <c r="AU1434" s="447"/>
      <c r="AV1434" s="447"/>
      <c r="AW1434" s="447"/>
      <c r="AX1434" s="447"/>
      <c r="AY1434" s="447"/>
      <c r="AZ1434" s="447"/>
      <c r="BA1434" s="448"/>
      <c r="BB1434" s="448"/>
      <c r="BC1434" s="447"/>
      <c r="BD1434" s="448"/>
      <c r="BE1434" s="447"/>
    </row>
    <row r="1435" spans="1:57" ht="30" customHeight="1">
      <c r="A1435" s="492"/>
      <c r="B1435" s="492"/>
      <c r="C1435" s="492"/>
      <c r="D1435" s="1139"/>
      <c r="E1435" s="491"/>
      <c r="F1435" s="1153"/>
      <c r="G1435" s="1153"/>
      <c r="H1435" s="492"/>
      <c r="I1435" s="492"/>
      <c r="J1435" s="1153"/>
      <c r="K1435" s="1153"/>
      <c r="L1435" s="492"/>
      <c r="M1435" s="492"/>
      <c r="N1435" s="1153"/>
      <c r="O1435" s="1153"/>
      <c r="P1435" s="492"/>
      <c r="Q1435" s="492"/>
      <c r="R1435" s="1153"/>
      <c r="S1435" s="1153"/>
      <c r="T1435" s="492"/>
      <c r="U1435" s="492"/>
      <c r="V1435" s="493"/>
      <c r="W1435" s="448"/>
      <c r="X1435" s="448"/>
      <c r="Y1435" s="448"/>
      <c r="Z1435" s="448"/>
      <c r="AA1435" s="448"/>
      <c r="AB1435" s="448"/>
      <c r="AC1435" s="448"/>
      <c r="AD1435" s="447"/>
      <c r="AE1435" s="447"/>
      <c r="AF1435" s="447"/>
      <c r="AG1435" s="447"/>
      <c r="AH1435" s="447"/>
      <c r="AI1435" s="447"/>
      <c r="AJ1435" s="447"/>
      <c r="AK1435" s="447"/>
      <c r="AL1435" s="447"/>
      <c r="AM1435" s="447"/>
      <c r="AN1435" s="447"/>
      <c r="AO1435" s="447"/>
      <c r="AP1435" s="447"/>
      <c r="AQ1435" s="447"/>
      <c r="AR1435" s="447"/>
      <c r="AS1435" s="447"/>
      <c r="AT1435" s="447"/>
      <c r="AU1435" s="447"/>
      <c r="AV1435" s="447"/>
      <c r="AW1435" s="447"/>
      <c r="AX1435" s="447"/>
      <c r="AY1435" s="447"/>
      <c r="AZ1435" s="447"/>
      <c r="BA1435" s="448"/>
      <c r="BB1435" s="448"/>
      <c r="BC1435" s="447"/>
      <c r="BD1435" s="448"/>
      <c r="BE1435" s="447"/>
    </row>
    <row r="1436" spans="1:57" ht="30" customHeight="1">
      <c r="A1436" s="492"/>
      <c r="B1436" s="492"/>
      <c r="C1436" s="492"/>
      <c r="D1436" s="1139"/>
      <c r="E1436" s="491"/>
      <c r="F1436" s="1153"/>
      <c r="G1436" s="1153"/>
      <c r="H1436" s="492"/>
      <c r="I1436" s="492"/>
      <c r="J1436" s="1153"/>
      <c r="K1436" s="1153"/>
      <c r="L1436" s="492"/>
      <c r="M1436" s="492"/>
      <c r="N1436" s="1153"/>
      <c r="O1436" s="1153"/>
      <c r="P1436" s="492"/>
      <c r="Q1436" s="492"/>
      <c r="R1436" s="1153"/>
      <c r="S1436" s="1153"/>
      <c r="T1436" s="492"/>
      <c r="U1436" s="492"/>
      <c r="V1436" s="493"/>
      <c r="W1436" s="448"/>
      <c r="X1436" s="448"/>
      <c r="Y1436" s="448"/>
      <c r="Z1436" s="448"/>
      <c r="AA1436" s="448"/>
      <c r="AB1436" s="448"/>
      <c r="AC1436" s="448"/>
      <c r="AD1436" s="447"/>
      <c r="AE1436" s="447"/>
      <c r="AF1436" s="447"/>
      <c r="AG1436" s="447"/>
      <c r="AH1436" s="447"/>
      <c r="AI1436" s="447"/>
      <c r="AJ1436" s="447"/>
      <c r="AK1436" s="447"/>
      <c r="AL1436" s="447"/>
      <c r="AM1436" s="447"/>
      <c r="AN1436" s="447"/>
      <c r="AO1436" s="447"/>
      <c r="AP1436" s="447"/>
      <c r="AQ1436" s="447"/>
      <c r="AR1436" s="447"/>
      <c r="AS1436" s="447"/>
      <c r="AT1436" s="447"/>
      <c r="AU1436" s="447"/>
      <c r="AV1436" s="447"/>
      <c r="AW1436" s="447"/>
      <c r="AX1436" s="447"/>
      <c r="AY1436" s="447"/>
      <c r="AZ1436" s="447"/>
      <c r="BA1436" s="448"/>
      <c r="BB1436" s="448"/>
      <c r="BC1436" s="447"/>
      <c r="BD1436" s="448"/>
      <c r="BE1436" s="447"/>
    </row>
    <row r="1437" spans="1:57" ht="30" customHeight="1">
      <c r="A1437" s="492"/>
      <c r="B1437" s="492"/>
      <c r="C1437" s="492"/>
      <c r="D1437" s="1139"/>
      <c r="E1437" s="491"/>
      <c r="F1437" s="1153"/>
      <c r="G1437" s="1153"/>
      <c r="H1437" s="492"/>
      <c r="I1437" s="492"/>
      <c r="J1437" s="1153"/>
      <c r="K1437" s="1153"/>
      <c r="L1437" s="492"/>
      <c r="M1437" s="492"/>
      <c r="N1437" s="1153"/>
      <c r="O1437" s="1153"/>
      <c r="P1437" s="492"/>
      <c r="Q1437" s="492"/>
      <c r="R1437" s="1153"/>
      <c r="S1437" s="1153"/>
      <c r="T1437" s="492"/>
      <c r="U1437" s="492"/>
      <c r="V1437" s="493"/>
      <c r="W1437" s="448"/>
      <c r="X1437" s="448"/>
      <c r="Y1437" s="448"/>
      <c r="Z1437" s="448"/>
      <c r="AA1437" s="448"/>
      <c r="AB1437" s="448"/>
      <c r="AC1437" s="448"/>
      <c r="AD1437" s="447"/>
      <c r="AE1437" s="447"/>
      <c r="AF1437" s="447"/>
      <c r="AG1437" s="447"/>
      <c r="AH1437" s="447"/>
      <c r="AI1437" s="447"/>
      <c r="AJ1437" s="447"/>
      <c r="AK1437" s="447"/>
      <c r="AL1437" s="447"/>
      <c r="AM1437" s="447"/>
      <c r="AN1437" s="447"/>
      <c r="AO1437" s="447"/>
      <c r="AP1437" s="447"/>
      <c r="AQ1437" s="447"/>
      <c r="AR1437" s="447"/>
      <c r="AS1437" s="447"/>
      <c r="AT1437" s="447"/>
      <c r="AU1437" s="447"/>
      <c r="AV1437" s="447"/>
      <c r="AW1437" s="447"/>
      <c r="AX1437" s="447"/>
      <c r="AY1437" s="447"/>
      <c r="AZ1437" s="447"/>
      <c r="BA1437" s="448"/>
      <c r="BB1437" s="448"/>
      <c r="BC1437" s="447"/>
      <c r="BD1437" s="448"/>
      <c r="BE1437" s="447"/>
    </row>
    <row r="1438" spans="1:57" ht="30" customHeight="1">
      <c r="A1438" s="492"/>
      <c r="B1438" s="492"/>
      <c r="C1438" s="492"/>
      <c r="D1438" s="1139"/>
      <c r="E1438" s="491"/>
      <c r="F1438" s="1153"/>
      <c r="G1438" s="1153"/>
      <c r="H1438" s="492"/>
      <c r="I1438" s="492"/>
      <c r="J1438" s="1153"/>
      <c r="K1438" s="1153"/>
      <c r="L1438" s="492"/>
      <c r="M1438" s="492"/>
      <c r="N1438" s="1153"/>
      <c r="O1438" s="1153"/>
      <c r="P1438" s="492"/>
      <c r="Q1438" s="492"/>
      <c r="R1438" s="1153"/>
      <c r="S1438" s="1153"/>
      <c r="T1438" s="492"/>
      <c r="U1438" s="492"/>
      <c r="V1438" s="493"/>
      <c r="W1438" s="448"/>
      <c r="X1438" s="448"/>
      <c r="Y1438" s="448"/>
      <c r="Z1438" s="448"/>
      <c r="AA1438" s="448"/>
      <c r="AB1438" s="448"/>
      <c r="AC1438" s="448"/>
      <c r="AD1438" s="447"/>
      <c r="AE1438" s="447"/>
      <c r="AF1438" s="447"/>
      <c r="AG1438" s="447"/>
      <c r="AH1438" s="447"/>
      <c r="AI1438" s="447"/>
      <c r="AJ1438" s="447"/>
      <c r="AK1438" s="447"/>
      <c r="AL1438" s="447"/>
      <c r="AM1438" s="447"/>
      <c r="AN1438" s="447"/>
      <c r="AO1438" s="447"/>
      <c r="AP1438" s="447"/>
      <c r="AQ1438" s="447"/>
      <c r="AR1438" s="447"/>
      <c r="AS1438" s="447"/>
      <c r="AT1438" s="447"/>
      <c r="AU1438" s="447"/>
      <c r="AV1438" s="447"/>
      <c r="AW1438" s="447"/>
      <c r="AX1438" s="447"/>
      <c r="AY1438" s="447"/>
      <c r="AZ1438" s="447"/>
      <c r="BA1438" s="448"/>
      <c r="BB1438" s="448"/>
      <c r="BC1438" s="447"/>
      <c r="BD1438" s="448"/>
      <c r="BE1438" s="447"/>
    </row>
    <row r="1439" spans="1:57" ht="30" customHeight="1">
      <c r="A1439" s="492"/>
      <c r="B1439" s="492"/>
      <c r="C1439" s="492"/>
      <c r="D1439" s="1139"/>
      <c r="E1439" s="491"/>
      <c r="F1439" s="1153"/>
      <c r="G1439" s="1153"/>
      <c r="H1439" s="492"/>
      <c r="I1439" s="492"/>
      <c r="J1439" s="1153"/>
      <c r="K1439" s="1153"/>
      <c r="L1439" s="492"/>
      <c r="M1439" s="492"/>
      <c r="N1439" s="1153"/>
      <c r="O1439" s="1153"/>
      <c r="P1439" s="492"/>
      <c r="Q1439" s="492"/>
      <c r="R1439" s="1153"/>
      <c r="S1439" s="1153"/>
      <c r="T1439" s="492"/>
      <c r="U1439" s="492"/>
      <c r="V1439" s="493"/>
      <c r="W1439" s="448"/>
      <c r="X1439" s="448"/>
      <c r="Y1439" s="448"/>
      <c r="Z1439" s="448"/>
      <c r="AA1439" s="448"/>
      <c r="AB1439" s="448"/>
      <c r="AC1439" s="448"/>
      <c r="AD1439" s="447"/>
      <c r="AE1439" s="447"/>
      <c r="AF1439" s="447"/>
      <c r="AG1439" s="447"/>
      <c r="AH1439" s="447"/>
      <c r="AI1439" s="447"/>
      <c r="AJ1439" s="447"/>
      <c r="AK1439" s="447"/>
      <c r="AL1439" s="447"/>
      <c r="AM1439" s="447"/>
      <c r="AN1439" s="447"/>
      <c r="AO1439" s="447"/>
      <c r="AP1439" s="447"/>
      <c r="AQ1439" s="447"/>
      <c r="AR1439" s="447"/>
      <c r="AS1439" s="447"/>
      <c r="AT1439" s="447"/>
      <c r="AU1439" s="447"/>
      <c r="AV1439" s="447"/>
      <c r="AW1439" s="447"/>
      <c r="AX1439" s="447"/>
      <c r="AY1439" s="447"/>
      <c r="AZ1439" s="447"/>
      <c r="BA1439" s="448"/>
      <c r="BB1439" s="448"/>
      <c r="BC1439" s="447"/>
      <c r="BD1439" s="448"/>
      <c r="BE1439" s="447"/>
    </row>
    <row r="1440" spans="1:57" ht="30" customHeight="1">
      <c r="A1440" s="492"/>
      <c r="B1440" s="492"/>
      <c r="C1440" s="492"/>
      <c r="D1440" s="1139"/>
      <c r="E1440" s="491"/>
      <c r="F1440" s="1153"/>
      <c r="G1440" s="1153"/>
      <c r="H1440" s="492"/>
      <c r="I1440" s="492"/>
      <c r="J1440" s="1153"/>
      <c r="K1440" s="1153"/>
      <c r="L1440" s="492"/>
      <c r="M1440" s="492"/>
      <c r="N1440" s="1153"/>
      <c r="O1440" s="1153"/>
      <c r="P1440" s="492"/>
      <c r="Q1440" s="492"/>
      <c r="R1440" s="1153"/>
      <c r="S1440" s="1153"/>
      <c r="T1440" s="492"/>
      <c r="U1440" s="492"/>
      <c r="V1440" s="493"/>
      <c r="W1440" s="448"/>
      <c r="X1440" s="448"/>
      <c r="Y1440" s="448"/>
      <c r="Z1440" s="448"/>
      <c r="AA1440" s="448"/>
      <c r="AB1440" s="448"/>
      <c r="AC1440" s="448"/>
      <c r="AD1440" s="447"/>
      <c r="AE1440" s="447"/>
      <c r="AF1440" s="447"/>
      <c r="AG1440" s="447"/>
      <c r="AH1440" s="447"/>
      <c r="AI1440" s="447"/>
      <c r="AJ1440" s="447"/>
      <c r="AK1440" s="447"/>
      <c r="AL1440" s="447"/>
      <c r="AM1440" s="447"/>
      <c r="AN1440" s="447"/>
      <c r="AO1440" s="447"/>
      <c r="AP1440" s="447"/>
      <c r="AQ1440" s="447"/>
      <c r="AR1440" s="447"/>
      <c r="AS1440" s="447"/>
      <c r="AT1440" s="447"/>
      <c r="AU1440" s="447"/>
      <c r="AV1440" s="447"/>
      <c r="AW1440" s="447"/>
      <c r="AX1440" s="447"/>
      <c r="AY1440" s="447"/>
      <c r="AZ1440" s="447"/>
      <c r="BA1440" s="448"/>
      <c r="BB1440" s="448"/>
      <c r="BC1440" s="447"/>
      <c r="BD1440" s="448"/>
      <c r="BE1440" s="447"/>
    </row>
    <row r="1441" spans="1:57" ht="30" customHeight="1">
      <c r="A1441" s="492"/>
      <c r="B1441" s="492"/>
      <c r="C1441" s="492"/>
      <c r="D1441" s="1139"/>
      <c r="E1441" s="491"/>
      <c r="F1441" s="1153"/>
      <c r="G1441" s="1153"/>
      <c r="H1441" s="492"/>
      <c r="I1441" s="492"/>
      <c r="J1441" s="1153"/>
      <c r="K1441" s="1153"/>
      <c r="L1441" s="492"/>
      <c r="M1441" s="492"/>
      <c r="N1441" s="1153"/>
      <c r="O1441" s="1153"/>
      <c r="P1441" s="492"/>
      <c r="Q1441" s="492"/>
      <c r="R1441" s="1153"/>
      <c r="S1441" s="1153"/>
      <c r="T1441" s="492"/>
      <c r="U1441" s="492"/>
      <c r="V1441" s="493"/>
      <c r="W1441" s="448"/>
      <c r="X1441" s="448"/>
      <c r="Y1441" s="448"/>
      <c r="Z1441" s="448"/>
      <c r="AA1441" s="448"/>
      <c r="AB1441" s="448"/>
      <c r="AC1441" s="448"/>
      <c r="AD1441" s="447"/>
      <c r="AE1441" s="447"/>
      <c r="AF1441" s="447"/>
      <c r="AG1441" s="447"/>
      <c r="AH1441" s="447"/>
      <c r="AI1441" s="447"/>
      <c r="AJ1441" s="447"/>
      <c r="AK1441" s="447"/>
      <c r="AL1441" s="447"/>
      <c r="AM1441" s="447"/>
      <c r="AN1441" s="447"/>
      <c r="AO1441" s="447"/>
      <c r="AP1441" s="447"/>
      <c r="AQ1441" s="447"/>
      <c r="AR1441" s="447"/>
      <c r="AS1441" s="447"/>
      <c r="AT1441" s="447"/>
      <c r="AU1441" s="447"/>
      <c r="AV1441" s="447"/>
      <c r="AW1441" s="447"/>
      <c r="AX1441" s="447"/>
      <c r="AY1441" s="447"/>
      <c r="AZ1441" s="447"/>
      <c r="BA1441" s="448"/>
      <c r="BB1441" s="448"/>
      <c r="BC1441" s="447"/>
      <c r="BD1441" s="448"/>
      <c r="BE1441" s="447"/>
    </row>
    <row r="1442" spans="1:57" ht="30" customHeight="1">
      <c r="A1442" s="492"/>
      <c r="B1442" s="492"/>
      <c r="C1442" s="492"/>
      <c r="D1442" s="1139"/>
      <c r="E1442" s="491"/>
      <c r="F1442" s="1153"/>
      <c r="G1442" s="1153"/>
      <c r="H1442" s="492"/>
      <c r="I1442" s="492"/>
      <c r="J1442" s="1153"/>
      <c r="K1442" s="1153"/>
      <c r="L1442" s="492"/>
      <c r="M1442" s="492"/>
      <c r="N1442" s="1153"/>
      <c r="O1442" s="1153"/>
      <c r="P1442" s="492"/>
      <c r="Q1442" s="492"/>
      <c r="R1442" s="1153"/>
      <c r="S1442" s="1153"/>
      <c r="T1442" s="492"/>
      <c r="U1442" s="492"/>
      <c r="V1442" s="493"/>
      <c r="W1442" s="448"/>
      <c r="X1442" s="448"/>
      <c r="Y1442" s="448"/>
      <c r="Z1442" s="448"/>
      <c r="AA1442" s="448"/>
      <c r="AB1442" s="448"/>
      <c r="AC1442" s="448"/>
      <c r="AD1442" s="447"/>
      <c r="AE1442" s="447"/>
      <c r="AF1442" s="447"/>
      <c r="AG1442" s="447"/>
      <c r="AH1442" s="447"/>
      <c r="AI1442" s="447"/>
      <c r="AJ1442" s="447"/>
      <c r="AK1442" s="447"/>
      <c r="AL1442" s="447"/>
      <c r="AM1442" s="447"/>
      <c r="AN1442" s="447"/>
      <c r="AO1442" s="447"/>
      <c r="AP1442" s="447"/>
      <c r="AQ1442" s="447"/>
      <c r="AR1442" s="447"/>
      <c r="AS1442" s="447"/>
      <c r="AT1442" s="447"/>
      <c r="AU1442" s="447"/>
      <c r="AV1442" s="447"/>
      <c r="AW1442" s="447"/>
      <c r="AX1442" s="447"/>
      <c r="AY1442" s="447"/>
      <c r="AZ1442" s="447"/>
      <c r="BA1442" s="448"/>
      <c r="BB1442" s="448"/>
      <c r="BC1442" s="447"/>
      <c r="BD1442" s="448"/>
      <c r="BE1442" s="447"/>
    </row>
    <row r="1443" spans="1:57" ht="30" customHeight="1">
      <c r="A1443" s="492"/>
      <c r="B1443" s="492"/>
      <c r="C1443" s="492"/>
      <c r="D1443" s="1139"/>
      <c r="E1443" s="491"/>
      <c r="F1443" s="1153"/>
      <c r="G1443" s="1153"/>
      <c r="H1443" s="492"/>
      <c r="I1443" s="492"/>
      <c r="J1443" s="1153"/>
      <c r="K1443" s="1153"/>
      <c r="L1443" s="492"/>
      <c r="M1443" s="492"/>
      <c r="N1443" s="1153"/>
      <c r="O1443" s="1153"/>
      <c r="P1443" s="492"/>
      <c r="Q1443" s="492"/>
      <c r="R1443" s="1153"/>
      <c r="S1443" s="1153"/>
      <c r="T1443" s="492"/>
      <c r="U1443" s="492"/>
      <c r="V1443" s="493"/>
      <c r="W1443" s="448"/>
      <c r="X1443" s="448"/>
      <c r="Y1443" s="448"/>
      <c r="Z1443" s="448"/>
      <c r="AA1443" s="448"/>
      <c r="AB1443" s="448"/>
      <c r="AC1443" s="448"/>
      <c r="AD1443" s="447"/>
      <c r="AE1443" s="447"/>
      <c r="AF1443" s="447"/>
      <c r="AG1443" s="447"/>
      <c r="AH1443" s="447"/>
      <c r="AI1443" s="447"/>
      <c r="AJ1443" s="447"/>
      <c r="AK1443" s="447"/>
      <c r="AL1443" s="447"/>
      <c r="AM1443" s="447"/>
      <c r="AN1443" s="447"/>
      <c r="AO1443" s="447"/>
      <c r="AP1443" s="447"/>
      <c r="AQ1443" s="447"/>
      <c r="AR1443" s="447"/>
      <c r="AS1443" s="447"/>
      <c r="AT1443" s="447"/>
      <c r="AU1443" s="447"/>
      <c r="AV1443" s="447"/>
      <c r="AW1443" s="447"/>
      <c r="AX1443" s="447"/>
      <c r="AY1443" s="447"/>
      <c r="AZ1443" s="447"/>
      <c r="BA1443" s="448"/>
      <c r="BB1443" s="448"/>
      <c r="BC1443" s="447"/>
      <c r="BD1443" s="448"/>
      <c r="BE1443" s="447"/>
    </row>
    <row r="1444" spans="1:57" ht="30" customHeight="1">
      <c r="A1444" s="492"/>
      <c r="B1444" s="492"/>
      <c r="C1444" s="492"/>
      <c r="D1444" s="1139"/>
      <c r="E1444" s="491"/>
      <c r="F1444" s="1153"/>
      <c r="G1444" s="1153"/>
      <c r="H1444" s="492"/>
      <c r="I1444" s="492"/>
      <c r="J1444" s="1153"/>
      <c r="K1444" s="1153"/>
      <c r="L1444" s="492"/>
      <c r="M1444" s="492"/>
      <c r="N1444" s="1153"/>
      <c r="O1444" s="1153"/>
      <c r="P1444" s="492"/>
      <c r="Q1444" s="492"/>
      <c r="R1444" s="1153"/>
      <c r="S1444" s="1153"/>
      <c r="T1444" s="492"/>
      <c r="U1444" s="492"/>
      <c r="V1444" s="493"/>
      <c r="W1444" s="448"/>
      <c r="X1444" s="448"/>
      <c r="Y1444" s="448"/>
      <c r="Z1444" s="448"/>
      <c r="AA1444" s="448"/>
      <c r="AB1444" s="448"/>
      <c r="AC1444" s="448"/>
      <c r="AD1444" s="447"/>
      <c r="AE1444" s="447"/>
      <c r="AF1444" s="447"/>
      <c r="AG1444" s="447"/>
      <c r="AH1444" s="447"/>
      <c r="AI1444" s="447"/>
      <c r="AJ1444" s="447"/>
      <c r="AK1444" s="447"/>
      <c r="AL1444" s="447"/>
      <c r="AM1444" s="447"/>
      <c r="AN1444" s="447"/>
      <c r="AO1444" s="447"/>
      <c r="AP1444" s="447"/>
      <c r="AQ1444" s="447"/>
      <c r="AR1444" s="447"/>
      <c r="AS1444" s="447"/>
      <c r="AT1444" s="447"/>
      <c r="AU1444" s="447"/>
      <c r="AV1444" s="447"/>
      <c r="AW1444" s="447"/>
      <c r="AX1444" s="447"/>
      <c r="AY1444" s="447"/>
      <c r="AZ1444" s="447"/>
      <c r="BA1444" s="448"/>
      <c r="BB1444" s="448"/>
      <c r="BC1444" s="447"/>
      <c r="BD1444" s="448"/>
      <c r="BE1444" s="447"/>
    </row>
    <row r="1445" spans="1:57" ht="30" customHeight="1">
      <c r="A1445" s="492"/>
      <c r="B1445" s="492"/>
      <c r="C1445" s="492"/>
      <c r="D1445" s="1139"/>
      <c r="E1445" s="491"/>
      <c r="F1445" s="1153"/>
      <c r="G1445" s="1153"/>
      <c r="H1445" s="492"/>
      <c r="I1445" s="492"/>
      <c r="J1445" s="1153"/>
      <c r="K1445" s="1153"/>
      <c r="L1445" s="492"/>
      <c r="M1445" s="492"/>
      <c r="N1445" s="1153"/>
      <c r="O1445" s="1153"/>
      <c r="P1445" s="492"/>
      <c r="Q1445" s="492"/>
      <c r="R1445" s="1153"/>
      <c r="S1445" s="1153"/>
      <c r="T1445" s="492"/>
      <c r="U1445" s="492"/>
      <c r="V1445" s="493"/>
      <c r="W1445" s="448"/>
      <c r="X1445" s="448"/>
      <c r="Y1445" s="448"/>
      <c r="Z1445" s="448"/>
      <c r="AA1445" s="448"/>
      <c r="AB1445" s="448"/>
      <c r="AC1445" s="448"/>
      <c r="AD1445" s="447"/>
      <c r="AE1445" s="447"/>
      <c r="AF1445" s="447"/>
      <c r="AG1445" s="447"/>
      <c r="AH1445" s="447"/>
      <c r="AI1445" s="447"/>
      <c r="AJ1445" s="447"/>
      <c r="AK1445" s="447"/>
      <c r="AL1445" s="447"/>
      <c r="AM1445" s="447"/>
      <c r="AN1445" s="447"/>
      <c r="AO1445" s="447"/>
      <c r="AP1445" s="447"/>
      <c r="AQ1445" s="447"/>
      <c r="AR1445" s="447"/>
      <c r="AS1445" s="447"/>
      <c r="AT1445" s="447"/>
      <c r="AU1445" s="447"/>
      <c r="AV1445" s="447"/>
      <c r="AW1445" s="447"/>
      <c r="AX1445" s="447"/>
      <c r="AY1445" s="447"/>
      <c r="AZ1445" s="447"/>
      <c r="BA1445" s="448"/>
      <c r="BB1445" s="448"/>
      <c r="BC1445" s="447"/>
      <c r="BD1445" s="448"/>
      <c r="BE1445" s="447"/>
    </row>
    <row r="1446" spans="1:57" ht="30" customHeight="1">
      <c r="A1446" s="492"/>
      <c r="B1446" s="492"/>
      <c r="C1446" s="492"/>
      <c r="D1446" s="1139"/>
      <c r="E1446" s="491"/>
      <c r="F1446" s="1153"/>
      <c r="G1446" s="1153"/>
      <c r="H1446" s="492"/>
      <c r="I1446" s="492"/>
      <c r="J1446" s="1153"/>
      <c r="K1446" s="1153"/>
      <c r="L1446" s="492"/>
      <c r="M1446" s="492"/>
      <c r="N1446" s="1153"/>
      <c r="O1446" s="1153"/>
      <c r="P1446" s="492"/>
      <c r="Q1446" s="492"/>
      <c r="R1446" s="1153"/>
      <c r="S1446" s="1153"/>
      <c r="T1446" s="492"/>
      <c r="U1446" s="492"/>
      <c r="V1446" s="493"/>
      <c r="W1446" s="448"/>
      <c r="X1446" s="448"/>
      <c r="Y1446" s="448"/>
      <c r="Z1446" s="448"/>
      <c r="AA1446" s="448"/>
      <c r="AB1446" s="448"/>
      <c r="AC1446" s="448"/>
      <c r="AD1446" s="447"/>
      <c r="AE1446" s="447"/>
      <c r="AF1446" s="447"/>
      <c r="AG1446" s="447"/>
      <c r="AH1446" s="447"/>
      <c r="AI1446" s="447"/>
      <c r="AJ1446" s="447"/>
      <c r="AK1446" s="447"/>
      <c r="AL1446" s="447"/>
      <c r="AM1446" s="447"/>
      <c r="AN1446" s="447"/>
      <c r="AO1446" s="447"/>
      <c r="AP1446" s="447"/>
      <c r="AQ1446" s="447"/>
      <c r="AR1446" s="447"/>
      <c r="AS1446" s="447"/>
      <c r="AT1446" s="447"/>
      <c r="AU1446" s="447"/>
      <c r="AV1446" s="447"/>
      <c r="AW1446" s="447"/>
      <c r="AX1446" s="447"/>
      <c r="AY1446" s="447"/>
      <c r="AZ1446" s="447"/>
      <c r="BA1446" s="448"/>
      <c r="BB1446" s="448"/>
      <c r="BC1446" s="447"/>
      <c r="BD1446" s="448"/>
      <c r="BE1446" s="447"/>
    </row>
    <row r="1447" spans="1:57" ht="30" customHeight="1">
      <c r="A1447" s="492"/>
      <c r="B1447" s="492"/>
      <c r="C1447" s="492"/>
      <c r="D1447" s="1139"/>
      <c r="E1447" s="491"/>
      <c r="F1447" s="1153"/>
      <c r="G1447" s="1153"/>
      <c r="H1447" s="492"/>
      <c r="I1447" s="492"/>
      <c r="J1447" s="1153"/>
      <c r="K1447" s="1153"/>
      <c r="L1447" s="492"/>
      <c r="M1447" s="492"/>
      <c r="N1447" s="1153"/>
      <c r="O1447" s="1153"/>
      <c r="P1447" s="492"/>
      <c r="Q1447" s="492"/>
      <c r="R1447" s="1153"/>
      <c r="S1447" s="1153"/>
      <c r="T1447" s="492"/>
      <c r="U1447" s="492"/>
      <c r="V1447" s="493"/>
      <c r="W1447" s="448"/>
      <c r="X1447" s="448"/>
      <c r="Y1447" s="448"/>
      <c r="Z1447" s="448"/>
      <c r="AA1447" s="448"/>
      <c r="AB1447" s="448"/>
      <c r="AC1447" s="448"/>
      <c r="AD1447" s="447"/>
      <c r="AE1447" s="447"/>
      <c r="AF1447" s="447"/>
      <c r="AG1447" s="447"/>
      <c r="AH1447" s="447"/>
      <c r="AI1447" s="447"/>
      <c r="AJ1447" s="447"/>
      <c r="AK1447" s="447"/>
      <c r="AL1447" s="447"/>
      <c r="AM1447" s="447"/>
      <c r="AN1447" s="447"/>
      <c r="AO1447" s="447"/>
      <c r="AP1447" s="447"/>
      <c r="AQ1447" s="447"/>
      <c r="AR1447" s="447"/>
      <c r="AS1447" s="447"/>
      <c r="AT1447" s="447"/>
      <c r="AU1447" s="447"/>
      <c r="AV1447" s="447"/>
      <c r="AW1447" s="447"/>
      <c r="AX1447" s="447"/>
      <c r="AY1447" s="447"/>
      <c r="AZ1447" s="447"/>
      <c r="BA1447" s="448"/>
      <c r="BB1447" s="448"/>
      <c r="BC1447" s="447"/>
      <c r="BD1447" s="448"/>
      <c r="BE1447" s="447"/>
    </row>
    <row r="1448" spans="1:57" ht="30" customHeight="1">
      <c r="A1448" s="492"/>
      <c r="B1448" s="492"/>
      <c r="C1448" s="492"/>
      <c r="D1448" s="1139"/>
      <c r="E1448" s="491"/>
      <c r="F1448" s="1153"/>
      <c r="G1448" s="1153"/>
      <c r="H1448" s="492"/>
      <c r="I1448" s="492"/>
      <c r="J1448" s="1153"/>
      <c r="K1448" s="1153"/>
      <c r="L1448" s="492"/>
      <c r="M1448" s="492"/>
      <c r="N1448" s="1153"/>
      <c r="O1448" s="1153"/>
      <c r="P1448" s="492"/>
      <c r="Q1448" s="492"/>
      <c r="R1448" s="1153"/>
      <c r="S1448" s="1153"/>
      <c r="T1448" s="492"/>
      <c r="U1448" s="492"/>
      <c r="V1448" s="493"/>
      <c r="W1448" s="448"/>
      <c r="X1448" s="448"/>
      <c r="Y1448" s="448"/>
      <c r="Z1448" s="448"/>
      <c r="AA1448" s="448"/>
      <c r="AB1448" s="448"/>
      <c r="AC1448" s="448"/>
      <c r="AD1448" s="447"/>
      <c r="AE1448" s="447"/>
      <c r="AF1448" s="447"/>
      <c r="AG1448" s="447"/>
      <c r="AH1448" s="447"/>
      <c r="AI1448" s="447"/>
      <c r="AJ1448" s="447"/>
      <c r="AK1448" s="447"/>
      <c r="AL1448" s="447"/>
      <c r="AM1448" s="447"/>
      <c r="AN1448" s="447"/>
      <c r="AO1448" s="447"/>
      <c r="AP1448" s="447"/>
      <c r="AQ1448" s="447"/>
      <c r="AR1448" s="447"/>
      <c r="AS1448" s="447"/>
      <c r="AT1448" s="447"/>
      <c r="AU1448" s="447"/>
      <c r="AV1448" s="447"/>
      <c r="AW1448" s="447"/>
      <c r="AX1448" s="447"/>
      <c r="AY1448" s="447"/>
      <c r="AZ1448" s="447"/>
      <c r="BA1448" s="448"/>
      <c r="BB1448" s="448"/>
      <c r="BC1448" s="447"/>
      <c r="BD1448" s="448"/>
      <c r="BE1448" s="447"/>
    </row>
    <row r="1449" spans="1:57" ht="30" customHeight="1">
      <c r="A1449" s="492"/>
      <c r="B1449" s="492"/>
      <c r="C1449" s="492"/>
      <c r="D1449" s="1139"/>
      <c r="E1449" s="491"/>
      <c r="F1449" s="1153"/>
      <c r="G1449" s="1153"/>
      <c r="H1449" s="492"/>
      <c r="I1449" s="492"/>
      <c r="J1449" s="1153"/>
      <c r="K1449" s="1153"/>
      <c r="L1449" s="492"/>
      <c r="M1449" s="492"/>
      <c r="N1449" s="1153"/>
      <c r="O1449" s="1153"/>
      <c r="P1449" s="492"/>
      <c r="Q1449" s="492"/>
      <c r="R1449" s="1153"/>
      <c r="S1449" s="1153"/>
      <c r="T1449" s="492"/>
      <c r="U1449" s="492"/>
      <c r="V1449" s="493"/>
      <c r="W1449" s="448"/>
      <c r="X1449" s="448"/>
      <c r="Y1449" s="448"/>
      <c r="Z1449" s="448"/>
      <c r="AA1449" s="448"/>
      <c r="AB1449" s="448"/>
      <c r="AC1449" s="448"/>
      <c r="AD1449" s="447"/>
      <c r="AE1449" s="447"/>
      <c r="AF1449" s="447"/>
      <c r="AG1449" s="447"/>
      <c r="AH1449" s="447"/>
      <c r="AI1449" s="447"/>
      <c r="AJ1449" s="447"/>
      <c r="AK1449" s="447"/>
      <c r="AL1449" s="447"/>
      <c r="AM1449" s="447"/>
      <c r="AN1449" s="447"/>
      <c r="AO1449" s="447"/>
      <c r="AP1449" s="447"/>
      <c r="AQ1449" s="447"/>
      <c r="AR1449" s="447"/>
      <c r="AS1449" s="447"/>
      <c r="AT1449" s="447"/>
      <c r="AU1449" s="447"/>
      <c r="AV1449" s="447"/>
      <c r="AW1449" s="447"/>
      <c r="AX1449" s="447"/>
      <c r="AY1449" s="447"/>
      <c r="AZ1449" s="447"/>
      <c r="BA1449" s="448"/>
      <c r="BB1449" s="448"/>
      <c r="BC1449" s="447"/>
      <c r="BD1449" s="448"/>
      <c r="BE1449" s="447"/>
    </row>
    <row r="1450" spans="1:57" ht="30" customHeight="1">
      <c r="A1450" s="492"/>
      <c r="B1450" s="492"/>
      <c r="C1450" s="492"/>
      <c r="D1450" s="1139"/>
      <c r="E1450" s="491"/>
      <c r="F1450" s="1153"/>
      <c r="G1450" s="1153"/>
      <c r="H1450" s="492"/>
      <c r="I1450" s="492"/>
      <c r="J1450" s="1153"/>
      <c r="K1450" s="1153"/>
      <c r="L1450" s="492"/>
      <c r="M1450" s="492"/>
      <c r="N1450" s="1153"/>
      <c r="O1450" s="1153"/>
      <c r="P1450" s="492"/>
      <c r="Q1450" s="492"/>
      <c r="R1450" s="1153"/>
      <c r="S1450" s="1153"/>
      <c r="T1450" s="492"/>
      <c r="U1450" s="492"/>
      <c r="V1450" s="493"/>
      <c r="W1450" s="448"/>
      <c r="X1450" s="448"/>
      <c r="Y1450" s="448"/>
      <c r="Z1450" s="448"/>
      <c r="AA1450" s="448"/>
      <c r="AB1450" s="448"/>
      <c r="AC1450" s="448"/>
      <c r="AD1450" s="447"/>
      <c r="AE1450" s="447"/>
      <c r="AF1450" s="447"/>
      <c r="AG1450" s="447"/>
      <c r="AH1450" s="447"/>
      <c r="AI1450" s="447"/>
      <c r="AJ1450" s="447"/>
      <c r="AK1450" s="447"/>
      <c r="AL1450" s="447"/>
      <c r="AM1450" s="447"/>
      <c r="AN1450" s="447"/>
      <c r="AO1450" s="447"/>
      <c r="AP1450" s="447"/>
      <c r="AQ1450" s="447"/>
      <c r="AR1450" s="447"/>
      <c r="AS1450" s="447"/>
      <c r="AT1450" s="447"/>
      <c r="AU1450" s="447"/>
      <c r="AV1450" s="447"/>
      <c r="AW1450" s="447"/>
      <c r="AX1450" s="447"/>
      <c r="AY1450" s="447"/>
      <c r="AZ1450" s="447"/>
      <c r="BA1450" s="448"/>
      <c r="BB1450" s="448"/>
      <c r="BC1450" s="447"/>
      <c r="BD1450" s="448"/>
      <c r="BE1450" s="447"/>
    </row>
    <row r="1451" spans="1:57" ht="30" customHeight="1">
      <c r="A1451" s="443" t="s">
        <v>85</v>
      </c>
      <c r="B1451" s="444"/>
      <c r="C1451" s="444"/>
      <c r="D1451" s="1133"/>
      <c r="E1451" s="445"/>
      <c r="F1451" s="1146"/>
      <c r="G1451" s="1147">
        <v>0</v>
      </c>
      <c r="H1451" s="444"/>
      <c r="I1451" s="450">
        <f>SUM(I1430:I1450)</f>
        <v>0</v>
      </c>
      <c r="J1451" s="1146"/>
      <c r="K1451" s="1147">
        <v>0</v>
      </c>
      <c r="L1451" s="444"/>
      <c r="M1451" s="450">
        <f>SUM(M1430:M1450)</f>
        <v>0</v>
      </c>
      <c r="N1451" s="1146"/>
      <c r="O1451" s="1147">
        <v>6734130</v>
      </c>
      <c r="P1451" s="444"/>
      <c r="Q1451" s="450">
        <f>SUM(Q1430:Q1450)</f>
        <v>6734130</v>
      </c>
      <c r="R1451" s="1146"/>
      <c r="S1451" s="1147">
        <v>6734130</v>
      </c>
      <c r="T1451" s="444"/>
      <c r="U1451" s="450">
        <f>SUM(U1430:U1450)</f>
        <v>6734130</v>
      </c>
      <c r="V1451" s="446"/>
      <c r="W1451" s="448" t="s">
        <v>2570</v>
      </c>
      <c r="X1451" s="448" t="s">
        <v>51</v>
      </c>
      <c r="Y1451" s="448" t="s">
        <v>51</v>
      </c>
      <c r="Z1451" s="448" t="s">
        <v>271</v>
      </c>
      <c r="AA1451" s="448" t="s">
        <v>62</v>
      </c>
      <c r="AB1451" s="448" t="s">
        <v>62</v>
      </c>
      <c r="AC1451" s="448" t="s">
        <v>61</v>
      </c>
      <c r="AD1451" s="447"/>
      <c r="AE1451" s="447"/>
      <c r="AF1451" s="447"/>
      <c r="AG1451" s="447"/>
      <c r="AH1451" s="447"/>
      <c r="AI1451" s="447"/>
      <c r="AJ1451" s="447"/>
      <c r="AK1451" s="447"/>
      <c r="AL1451" s="447"/>
      <c r="AM1451" s="447"/>
      <c r="AN1451" s="447"/>
      <c r="AO1451" s="447"/>
      <c r="AP1451" s="447"/>
      <c r="AQ1451" s="447"/>
      <c r="AR1451" s="447"/>
      <c r="AS1451" s="447"/>
      <c r="AT1451" s="447"/>
      <c r="AU1451" s="447"/>
      <c r="AV1451" s="447"/>
      <c r="AW1451" s="447"/>
      <c r="AX1451" s="447"/>
      <c r="AY1451" s="447"/>
      <c r="AZ1451" s="447"/>
      <c r="BA1451" s="448" t="s">
        <v>51</v>
      </c>
      <c r="BB1451" s="448" t="s">
        <v>51</v>
      </c>
      <c r="BC1451" s="447"/>
      <c r="BD1451" s="448" t="s">
        <v>2571</v>
      </c>
      <c r="BE1451" s="447">
        <v>308</v>
      </c>
    </row>
  </sheetData>
  <sortState ref="A1617:M1626">
    <sortCondition ref="B482:B491"/>
  </sortState>
  <mergeCells count="50">
    <mergeCell ref="D2:D3"/>
    <mergeCell ref="F2:G2"/>
    <mergeCell ref="J2:K2"/>
    <mergeCell ref="N2:O2"/>
    <mergeCell ref="R2:S2"/>
    <mergeCell ref="BB2:BB3"/>
    <mergeCell ref="BC2:BC3"/>
    <mergeCell ref="AN2:AN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A2:AA3"/>
    <mergeCell ref="BD2:BD3"/>
    <mergeCell ref="BE2:BE3"/>
    <mergeCell ref="AZ2:AZ3"/>
    <mergeCell ref="AO2:AO3"/>
    <mergeCell ref="AP2:AP3"/>
    <mergeCell ref="AQ2:AQ3"/>
    <mergeCell ref="AR2:AR3"/>
    <mergeCell ref="AS2:AS3"/>
    <mergeCell ref="AT2:AT3"/>
    <mergeCell ref="AU2:AU3"/>
    <mergeCell ref="AV2:AV3"/>
    <mergeCell ref="AW2:AW3"/>
    <mergeCell ref="AX2:AX3"/>
    <mergeCell ref="AY2:AY3"/>
    <mergeCell ref="BA2:BA3"/>
    <mergeCell ref="A1:V1"/>
    <mergeCell ref="AM2:AM3"/>
    <mergeCell ref="AB2:AB3"/>
    <mergeCell ref="A2:A3"/>
    <mergeCell ref="B2:B3"/>
    <mergeCell ref="C2:C3"/>
    <mergeCell ref="E2:E3"/>
    <mergeCell ref="H2:I2"/>
    <mergeCell ref="L2:M2"/>
    <mergeCell ref="P2:Q2"/>
    <mergeCell ref="T2:U2"/>
    <mergeCell ref="V2:V3"/>
    <mergeCell ref="W2:W3"/>
    <mergeCell ref="X2:X3"/>
    <mergeCell ref="Y2:Y3"/>
    <mergeCell ref="Z2:Z3"/>
  </mergeCells>
  <phoneticPr fontId="1" type="noConversion"/>
  <pageMargins left="0.39370078740157483" right="0" top="0.39370078740157483" bottom="0.39370078740157483" header="0" footer="0"/>
  <pageSetup paperSize="9" scale="41" fitToHeight="0" orientation="landscape" horizontalDpi="4294967293" verticalDpi="4294967293" r:id="rId1"/>
  <headerFooter>
    <oddFooter>&amp;C&amp;P&amp;R공종별 내역서</oddFooter>
  </headerFooter>
  <rowBreaks count="41" manualBreakCount="41">
    <brk id="26" max="12" man="1"/>
    <brk id="49" max="12" man="1"/>
    <brk id="72" max="12" man="1"/>
    <brk id="95" max="12" man="1"/>
    <brk id="118" max="12" man="1"/>
    <brk id="141" max="12" man="1"/>
    <brk id="164" max="12" man="1"/>
    <brk id="187" max="12" man="1"/>
    <brk id="210" max="12" man="1"/>
    <brk id="233" max="12" man="1"/>
    <brk id="256" max="12" man="1"/>
    <brk id="279" max="12" man="1"/>
    <brk id="302" max="12" man="1"/>
    <brk id="325" max="12" man="1"/>
    <brk id="463" max="12" man="1"/>
    <brk id="486" max="12" man="1"/>
    <brk id="509" max="12" man="1"/>
    <brk id="532" max="12" man="1"/>
    <brk id="555" max="12" man="1"/>
    <brk id="578" max="12" man="1"/>
    <brk id="601" max="12" man="1"/>
    <brk id="624" max="12" man="1"/>
    <brk id="647" max="12" man="1"/>
    <brk id="670" max="12" man="1"/>
    <brk id="693" max="12" man="1"/>
    <brk id="716" max="12" man="1"/>
    <brk id="739" max="12" man="1"/>
    <brk id="762" max="12" man="1"/>
    <brk id="785" max="12" man="1"/>
    <brk id="808" max="12" man="1"/>
    <brk id="831" max="12" man="1"/>
    <brk id="877" max="12" man="1"/>
    <brk id="900" max="12" man="1"/>
    <brk id="1083" max="12" man="1"/>
    <brk id="1152" max="12" man="1"/>
    <brk id="1175" max="12" man="1"/>
    <brk id="1198" max="12" man="1"/>
    <brk id="1221" max="12" man="1"/>
    <brk id="1359" max="12" man="1"/>
    <brk id="348" max="12" man="1"/>
    <brk id="1083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44"/>
  <sheetViews>
    <sheetView view="pageBreakPreview" topLeftCell="B1" zoomScale="86" zoomScaleSheetLayoutView="86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sqref="A1:N1"/>
    </sheetView>
  </sheetViews>
  <sheetFormatPr defaultRowHeight="16.5"/>
  <cols>
    <col min="1" max="1" width="11.625" hidden="1" customWidth="1"/>
    <col min="2" max="3" width="30.625" customWidth="1"/>
    <col min="4" max="4" width="4.625" customWidth="1"/>
    <col min="5" max="5" width="13.625" style="1111" customWidth="1"/>
    <col min="6" max="6" width="13.625" customWidth="1"/>
    <col min="7" max="7" width="13.625" style="1111" customWidth="1"/>
    <col min="8" max="8" width="13.625" customWidth="1"/>
    <col min="9" max="9" width="13.625" style="1111" customWidth="1"/>
    <col min="10" max="10" width="13.625" customWidth="1"/>
    <col min="11" max="11" width="13.625" style="1111" customWidth="1"/>
    <col min="12" max="12" width="13.625" customWidth="1"/>
    <col min="13" max="13" width="8.625" customWidth="1"/>
    <col min="14" max="14" width="12.625" customWidth="1"/>
    <col min="15" max="18" width="2.625" hidden="1" customWidth="1"/>
  </cols>
  <sheetData>
    <row r="1" spans="1:18" ht="30" customHeight="1">
      <c r="A1" s="1383" t="s">
        <v>926</v>
      </c>
      <c r="B1" s="1383"/>
      <c r="C1" s="1383"/>
      <c r="D1" s="1383"/>
      <c r="E1" s="1383"/>
      <c r="F1" s="1383"/>
      <c r="G1" s="1383"/>
      <c r="H1" s="1383"/>
      <c r="I1" s="1383"/>
      <c r="J1" s="1383"/>
      <c r="K1" s="1383"/>
      <c r="L1" s="1383"/>
      <c r="M1" s="1383"/>
      <c r="N1" s="1383"/>
    </row>
    <row r="2" spans="1:18" ht="30" customHeight="1">
      <c r="A2" s="1384" t="s">
        <v>4794</v>
      </c>
      <c r="B2" s="1384"/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  <c r="O2" s="1384"/>
      <c r="P2" s="1384"/>
      <c r="Q2" s="1384"/>
    </row>
    <row r="3" spans="1:18" ht="30" customHeight="1">
      <c r="A3" s="4" t="s">
        <v>927</v>
      </c>
      <c r="B3" s="4" t="s">
        <v>1</v>
      </c>
      <c r="C3" s="4" t="s">
        <v>2</v>
      </c>
      <c r="D3" s="4" t="s">
        <v>3</v>
      </c>
      <c r="E3" s="1168" t="s">
        <v>6656</v>
      </c>
      <c r="F3" s="1058" t="s">
        <v>6657</v>
      </c>
      <c r="G3" s="1168" t="s">
        <v>6658</v>
      </c>
      <c r="H3" s="1058" t="s">
        <v>6659</v>
      </c>
      <c r="I3" s="1168" t="s">
        <v>6660</v>
      </c>
      <c r="J3" s="1058" t="s">
        <v>6661</v>
      </c>
      <c r="K3" s="1168" t="s">
        <v>6662</v>
      </c>
      <c r="L3" s="1058" t="s">
        <v>6663</v>
      </c>
      <c r="M3" s="4" t="s">
        <v>931</v>
      </c>
      <c r="N3" s="4" t="s">
        <v>932</v>
      </c>
      <c r="O3" s="1" t="s">
        <v>933</v>
      </c>
      <c r="P3" s="1" t="s">
        <v>934</v>
      </c>
      <c r="Q3" s="1" t="s">
        <v>935</v>
      </c>
      <c r="R3" s="1" t="s">
        <v>936</v>
      </c>
    </row>
    <row r="4" spans="1:18" ht="30" customHeight="1">
      <c r="A4" s="8" t="s">
        <v>60</v>
      </c>
      <c r="B4" s="8" t="s">
        <v>57</v>
      </c>
      <c r="C4" s="8" t="s">
        <v>58</v>
      </c>
      <c r="D4" s="8" t="s">
        <v>59</v>
      </c>
      <c r="E4" s="1169">
        <v>0</v>
      </c>
      <c r="F4" s="12">
        <f>일위대가!F6</f>
        <v>0</v>
      </c>
      <c r="G4" s="1169">
        <v>2442</v>
      </c>
      <c r="H4" s="12">
        <f>일위대가!H6</f>
        <v>1017</v>
      </c>
      <c r="I4" s="1169">
        <v>0</v>
      </c>
      <c r="J4" s="12">
        <f>일위대가!J6</f>
        <v>0</v>
      </c>
      <c r="K4" s="1169">
        <v>2442</v>
      </c>
      <c r="L4" s="12">
        <f t="shared" ref="L4:L36" si="0">F4+H4+J4</f>
        <v>1017</v>
      </c>
      <c r="M4" s="8" t="s">
        <v>945</v>
      </c>
      <c r="N4" s="8" t="s">
        <v>51</v>
      </c>
      <c r="O4" s="2" t="s">
        <v>51</v>
      </c>
      <c r="P4" s="2" t="s">
        <v>51</v>
      </c>
      <c r="Q4" s="2" t="s">
        <v>51</v>
      </c>
      <c r="R4" s="2" t="s">
        <v>51</v>
      </c>
    </row>
    <row r="5" spans="1:18" ht="30" customHeight="1">
      <c r="A5" s="8" t="s">
        <v>67</v>
      </c>
      <c r="B5" s="8" t="s">
        <v>64</v>
      </c>
      <c r="C5" s="8" t="s">
        <v>65</v>
      </c>
      <c r="D5" s="8" t="s">
        <v>66</v>
      </c>
      <c r="E5" s="1169">
        <v>33280</v>
      </c>
      <c r="F5" s="12">
        <f>일위대가!F19</f>
        <v>33280</v>
      </c>
      <c r="G5" s="1169">
        <v>75352</v>
      </c>
      <c r="H5" s="12">
        <f>일위대가!H19</f>
        <v>75352</v>
      </c>
      <c r="I5" s="1169">
        <v>0</v>
      </c>
      <c r="J5" s="12">
        <f>일위대가!J19</f>
        <v>0</v>
      </c>
      <c r="K5" s="1169">
        <v>108632</v>
      </c>
      <c r="L5" s="12">
        <f t="shared" si="0"/>
        <v>108632</v>
      </c>
      <c r="M5" s="8" t="s">
        <v>952</v>
      </c>
      <c r="N5" s="8" t="s">
        <v>51</v>
      </c>
      <c r="O5" s="2" t="s">
        <v>51</v>
      </c>
      <c r="P5" s="2" t="s">
        <v>51</v>
      </c>
      <c r="Q5" s="2" t="s">
        <v>51</v>
      </c>
      <c r="R5" s="2" t="s">
        <v>51</v>
      </c>
    </row>
    <row r="6" spans="1:18" ht="30" customHeight="1">
      <c r="A6" s="8" t="s">
        <v>74</v>
      </c>
      <c r="B6" s="8" t="s">
        <v>72</v>
      </c>
      <c r="C6" s="8" t="s">
        <v>73</v>
      </c>
      <c r="D6" s="8" t="s">
        <v>59</v>
      </c>
      <c r="E6" s="1169">
        <v>532</v>
      </c>
      <c r="F6" s="12">
        <f>일위대가!F25</f>
        <v>532</v>
      </c>
      <c r="G6" s="1169">
        <v>1302</v>
      </c>
      <c r="H6" s="12">
        <f>일위대가!H25</f>
        <v>1302</v>
      </c>
      <c r="I6" s="1169">
        <v>0</v>
      </c>
      <c r="J6" s="12">
        <f>일위대가!J25</f>
        <v>0</v>
      </c>
      <c r="K6" s="1169">
        <v>1834</v>
      </c>
      <c r="L6" s="12">
        <f t="shared" si="0"/>
        <v>1834</v>
      </c>
      <c r="M6" s="8" t="s">
        <v>986</v>
      </c>
      <c r="N6" s="8" t="s">
        <v>51</v>
      </c>
      <c r="O6" s="2" t="s">
        <v>51</v>
      </c>
      <c r="P6" s="2" t="s">
        <v>51</v>
      </c>
      <c r="Q6" s="2" t="s">
        <v>51</v>
      </c>
      <c r="R6" s="2" t="s">
        <v>51</v>
      </c>
    </row>
    <row r="7" spans="1:18" ht="30" customHeight="1">
      <c r="A7" s="8" t="s">
        <v>78</v>
      </c>
      <c r="B7" s="8" t="s">
        <v>76</v>
      </c>
      <c r="C7" s="8" t="s">
        <v>77</v>
      </c>
      <c r="D7" s="8" t="s">
        <v>59</v>
      </c>
      <c r="E7" s="1169">
        <v>0</v>
      </c>
      <c r="F7" s="12">
        <f>일위대가!F29</f>
        <v>0</v>
      </c>
      <c r="G7" s="1169">
        <v>9118</v>
      </c>
      <c r="H7" s="12">
        <f>일위대가!H29</f>
        <v>9118</v>
      </c>
      <c r="I7" s="1169">
        <v>0</v>
      </c>
      <c r="J7" s="12">
        <f>일위대가!J29</f>
        <v>0</v>
      </c>
      <c r="K7" s="1169">
        <v>9118</v>
      </c>
      <c r="L7" s="12">
        <f t="shared" si="0"/>
        <v>9118</v>
      </c>
      <c r="M7" s="8" t="s">
        <v>1000</v>
      </c>
      <c r="N7" s="8" t="s">
        <v>51</v>
      </c>
      <c r="O7" s="2" t="s">
        <v>51</v>
      </c>
      <c r="P7" s="2" t="s">
        <v>51</v>
      </c>
      <c r="Q7" s="2" t="s">
        <v>51</v>
      </c>
      <c r="R7" s="2" t="s">
        <v>51</v>
      </c>
    </row>
    <row r="8" spans="1:18" ht="30" customHeight="1">
      <c r="A8" s="8"/>
      <c r="B8" s="8" t="s">
        <v>4464</v>
      </c>
      <c r="C8" s="8" t="s">
        <v>4465</v>
      </c>
      <c r="D8" s="8" t="s">
        <v>59</v>
      </c>
      <c r="E8" s="1169">
        <v>9898</v>
      </c>
      <c r="F8" s="252">
        <f>일위대가!F34</f>
        <v>3094</v>
      </c>
      <c r="G8" s="1169">
        <v>11723.7</v>
      </c>
      <c r="H8" s="252">
        <f>일위대가!H34</f>
        <v>11723.7</v>
      </c>
      <c r="I8" s="1169">
        <v>0</v>
      </c>
      <c r="J8" s="252">
        <f>일위대가!J34</f>
        <v>0</v>
      </c>
      <c r="K8" s="1169">
        <v>21621.7</v>
      </c>
      <c r="L8" s="252">
        <f t="shared" si="0"/>
        <v>14817.7</v>
      </c>
      <c r="M8" s="8" t="s">
        <v>1002</v>
      </c>
      <c r="N8" s="8"/>
      <c r="O8" s="2"/>
      <c r="P8" s="2"/>
      <c r="Q8" s="2"/>
      <c r="R8" s="2"/>
    </row>
    <row r="9" spans="1:18" ht="30" customHeight="1">
      <c r="A9" s="8" t="s">
        <v>91</v>
      </c>
      <c r="B9" s="8" t="s">
        <v>89</v>
      </c>
      <c r="C9" s="8" t="s">
        <v>90</v>
      </c>
      <c r="D9" s="8" t="s">
        <v>59</v>
      </c>
      <c r="E9" s="1169">
        <v>0</v>
      </c>
      <c r="F9" s="12">
        <f>일위대가!F39</f>
        <v>0</v>
      </c>
      <c r="G9" s="1169">
        <v>15631</v>
      </c>
      <c r="H9" s="12">
        <f>일위대가!H39</f>
        <v>4395</v>
      </c>
      <c r="I9" s="1169">
        <v>0</v>
      </c>
      <c r="J9" s="12">
        <f>일위대가!J39</f>
        <v>0</v>
      </c>
      <c r="K9" s="1169">
        <v>15631</v>
      </c>
      <c r="L9" s="12">
        <f t="shared" si="0"/>
        <v>4395</v>
      </c>
      <c r="M9" s="8" t="s">
        <v>1004</v>
      </c>
      <c r="N9" s="8" t="s">
        <v>51</v>
      </c>
      <c r="O9" s="2" t="s">
        <v>51</v>
      </c>
      <c r="P9" s="2" t="s">
        <v>51</v>
      </c>
      <c r="Q9" s="2" t="s">
        <v>51</v>
      </c>
      <c r="R9" s="2" t="s">
        <v>51</v>
      </c>
    </row>
    <row r="10" spans="1:18" ht="30" customHeight="1">
      <c r="A10" s="8" t="s">
        <v>95</v>
      </c>
      <c r="B10" s="8" t="s">
        <v>93</v>
      </c>
      <c r="C10" s="8" t="s">
        <v>94</v>
      </c>
      <c r="D10" s="8" t="s">
        <v>59</v>
      </c>
      <c r="E10" s="1169">
        <v>888</v>
      </c>
      <c r="F10" s="12">
        <f>일위대가!F45</f>
        <v>888</v>
      </c>
      <c r="G10" s="1169">
        <v>18667</v>
      </c>
      <c r="H10" s="12">
        <f>일위대가!H45</f>
        <v>18667</v>
      </c>
      <c r="I10" s="1169">
        <v>0</v>
      </c>
      <c r="J10" s="12">
        <f>일위대가!J45</f>
        <v>0</v>
      </c>
      <c r="K10" s="1169">
        <v>19555</v>
      </c>
      <c r="L10" s="12">
        <f t="shared" si="0"/>
        <v>19555</v>
      </c>
      <c r="M10" s="8" t="s">
        <v>1013</v>
      </c>
      <c r="N10" s="8" t="s">
        <v>51</v>
      </c>
      <c r="O10" s="2" t="s">
        <v>51</v>
      </c>
      <c r="P10" s="2" t="s">
        <v>51</v>
      </c>
      <c r="Q10" s="2" t="s">
        <v>51</v>
      </c>
      <c r="R10" s="2" t="s">
        <v>51</v>
      </c>
    </row>
    <row r="11" spans="1:18" ht="30" customHeight="1">
      <c r="A11" s="8" t="s">
        <v>99</v>
      </c>
      <c r="B11" s="8" t="s">
        <v>97</v>
      </c>
      <c r="C11" s="8" t="s">
        <v>98</v>
      </c>
      <c r="D11" s="8" t="s">
        <v>59</v>
      </c>
      <c r="E11" s="1169">
        <v>0</v>
      </c>
      <c r="F11" s="12">
        <f>일위대가!F50</f>
        <v>0</v>
      </c>
      <c r="G11" s="1169">
        <v>3826</v>
      </c>
      <c r="H11" s="12">
        <f>일위대가!H50</f>
        <v>3826</v>
      </c>
      <c r="I11" s="1169">
        <v>0</v>
      </c>
      <c r="J11" s="12">
        <f>일위대가!J50</f>
        <v>0</v>
      </c>
      <c r="K11" s="1169">
        <v>3826</v>
      </c>
      <c r="L11" s="12">
        <f t="shared" si="0"/>
        <v>3826</v>
      </c>
      <c r="M11" s="8" t="s">
        <v>1016</v>
      </c>
      <c r="N11" s="8" t="s">
        <v>51</v>
      </c>
      <c r="O11" s="2" t="s">
        <v>51</v>
      </c>
      <c r="P11" s="2" t="s">
        <v>51</v>
      </c>
      <c r="Q11" s="2" t="s">
        <v>51</v>
      </c>
      <c r="R11" s="2" t="s">
        <v>51</v>
      </c>
    </row>
    <row r="12" spans="1:18" ht="30" customHeight="1">
      <c r="A12" s="8" t="s">
        <v>103</v>
      </c>
      <c r="B12" s="8" t="s">
        <v>101</v>
      </c>
      <c r="C12" s="8" t="s">
        <v>102</v>
      </c>
      <c r="D12" s="8" t="s">
        <v>59</v>
      </c>
      <c r="E12" s="1169">
        <v>0</v>
      </c>
      <c r="F12" s="12">
        <f>일위대가!F55</f>
        <v>0</v>
      </c>
      <c r="G12" s="1169">
        <v>5739</v>
      </c>
      <c r="H12" s="12">
        <f>일위대가!H55</f>
        <v>5739</v>
      </c>
      <c r="I12" s="1169">
        <v>0</v>
      </c>
      <c r="J12" s="12">
        <f>일위대가!J55</f>
        <v>0</v>
      </c>
      <c r="K12" s="1169">
        <v>5739</v>
      </c>
      <c r="L12" s="12">
        <f t="shared" si="0"/>
        <v>5739</v>
      </c>
      <c r="M12" s="8" t="s">
        <v>1019</v>
      </c>
      <c r="N12" s="8" t="s">
        <v>51</v>
      </c>
      <c r="O12" s="2" t="s">
        <v>51</v>
      </c>
      <c r="P12" s="2" t="s">
        <v>51</v>
      </c>
      <c r="Q12" s="2" t="s">
        <v>51</v>
      </c>
      <c r="R12" s="2" t="s">
        <v>51</v>
      </c>
    </row>
    <row r="13" spans="1:18" ht="30" customHeight="1">
      <c r="A13" s="8" t="s">
        <v>107</v>
      </c>
      <c r="B13" s="8" t="s">
        <v>105</v>
      </c>
      <c r="C13" s="8" t="s">
        <v>106</v>
      </c>
      <c r="D13" s="8" t="s">
        <v>59</v>
      </c>
      <c r="E13" s="1169">
        <v>421</v>
      </c>
      <c r="F13" s="12">
        <f>일위대가!F61</f>
        <v>421</v>
      </c>
      <c r="G13" s="1169">
        <v>47218</v>
      </c>
      <c r="H13" s="12">
        <f>일위대가!H61</f>
        <v>47218</v>
      </c>
      <c r="I13" s="1169">
        <v>0</v>
      </c>
      <c r="J13" s="12">
        <f>일위대가!J61</f>
        <v>0</v>
      </c>
      <c r="K13" s="1169">
        <v>47639</v>
      </c>
      <c r="L13" s="12">
        <f t="shared" si="0"/>
        <v>47639</v>
      </c>
      <c r="M13" s="8" t="s">
        <v>1025</v>
      </c>
      <c r="N13" s="8" t="s">
        <v>51</v>
      </c>
      <c r="O13" s="2" t="s">
        <v>51</v>
      </c>
      <c r="P13" s="2" t="s">
        <v>51</v>
      </c>
      <c r="Q13" s="2" t="s">
        <v>51</v>
      </c>
      <c r="R13" s="2" t="s">
        <v>51</v>
      </c>
    </row>
    <row r="14" spans="1:18" ht="30" customHeight="1">
      <c r="A14" s="8" t="s">
        <v>112</v>
      </c>
      <c r="B14" s="8" t="s">
        <v>111</v>
      </c>
      <c r="C14" s="8" t="s">
        <v>94</v>
      </c>
      <c r="D14" s="8" t="s">
        <v>59</v>
      </c>
      <c r="E14" s="1169">
        <v>888</v>
      </c>
      <c r="F14" s="12">
        <f>일위대가!F67</f>
        <v>888</v>
      </c>
      <c r="G14" s="1169">
        <v>18667</v>
      </c>
      <c r="H14" s="12">
        <f>일위대가!H67</f>
        <v>18667</v>
      </c>
      <c r="I14" s="1169">
        <v>0</v>
      </c>
      <c r="J14" s="12">
        <f>일위대가!J67</f>
        <v>0</v>
      </c>
      <c r="K14" s="1169">
        <v>19555</v>
      </c>
      <c r="L14" s="12">
        <f t="shared" si="0"/>
        <v>19555</v>
      </c>
      <c r="M14" s="8" t="s">
        <v>1029</v>
      </c>
      <c r="N14" s="8" t="s">
        <v>51</v>
      </c>
      <c r="O14" s="2" t="s">
        <v>51</v>
      </c>
      <c r="P14" s="2" t="s">
        <v>51</v>
      </c>
      <c r="Q14" s="2" t="s">
        <v>51</v>
      </c>
      <c r="R14" s="2" t="s">
        <v>51</v>
      </c>
    </row>
    <row r="15" spans="1:18" ht="30" customHeight="1">
      <c r="A15" s="8" t="s">
        <v>116</v>
      </c>
      <c r="B15" s="8" t="s">
        <v>114</v>
      </c>
      <c r="C15" s="8" t="s">
        <v>115</v>
      </c>
      <c r="D15" s="8" t="s">
        <v>59</v>
      </c>
      <c r="E15" s="1169">
        <v>2294</v>
      </c>
      <c r="F15" s="12">
        <f>일위대가!F73</f>
        <v>2294</v>
      </c>
      <c r="G15" s="1169">
        <v>45897</v>
      </c>
      <c r="H15" s="12">
        <f>일위대가!H73</f>
        <v>45897</v>
      </c>
      <c r="I15" s="1169">
        <v>0</v>
      </c>
      <c r="J15" s="12">
        <f>일위대가!J73</f>
        <v>0</v>
      </c>
      <c r="K15" s="1169">
        <v>48191</v>
      </c>
      <c r="L15" s="12">
        <f t="shared" si="0"/>
        <v>48191</v>
      </c>
      <c r="M15" s="8" t="s">
        <v>1038</v>
      </c>
      <c r="N15" s="8" t="s">
        <v>51</v>
      </c>
      <c r="O15" s="2" t="s">
        <v>51</v>
      </c>
      <c r="P15" s="2" t="s">
        <v>51</v>
      </c>
      <c r="Q15" s="2" t="s">
        <v>51</v>
      </c>
      <c r="R15" s="2" t="s">
        <v>51</v>
      </c>
    </row>
    <row r="16" spans="1:18" ht="30" customHeight="1">
      <c r="A16" s="8" t="s">
        <v>119</v>
      </c>
      <c r="B16" s="8" t="s">
        <v>118</v>
      </c>
      <c r="C16" s="8" t="s">
        <v>51</v>
      </c>
      <c r="D16" s="8" t="s">
        <v>59</v>
      </c>
      <c r="E16" s="1169">
        <v>181</v>
      </c>
      <c r="F16" s="12">
        <f>일위대가!F79</f>
        <v>0</v>
      </c>
      <c r="G16" s="1169">
        <v>3707</v>
      </c>
      <c r="H16" s="12">
        <f>일위대가!H79</f>
        <v>1302</v>
      </c>
      <c r="I16" s="1169">
        <v>0</v>
      </c>
      <c r="J16" s="12">
        <f>일위대가!J79</f>
        <v>0</v>
      </c>
      <c r="K16" s="1169">
        <v>3888</v>
      </c>
      <c r="L16" s="12">
        <f t="shared" si="0"/>
        <v>1302</v>
      </c>
      <c r="M16" s="8" t="s">
        <v>1046</v>
      </c>
      <c r="N16" s="8" t="s">
        <v>51</v>
      </c>
      <c r="O16" s="2" t="s">
        <v>51</v>
      </c>
      <c r="P16" s="2" t="s">
        <v>51</v>
      </c>
      <c r="Q16" s="2" t="s">
        <v>51</v>
      </c>
      <c r="R16" s="2" t="s">
        <v>51</v>
      </c>
    </row>
    <row r="17" spans="1:18" ht="30" customHeight="1">
      <c r="A17" s="8" t="s">
        <v>123</v>
      </c>
      <c r="B17" s="8" t="s">
        <v>121</v>
      </c>
      <c r="C17" s="8" t="s">
        <v>122</v>
      </c>
      <c r="D17" s="8" t="s">
        <v>59</v>
      </c>
      <c r="E17" s="1169">
        <v>0</v>
      </c>
      <c r="F17" s="12">
        <f>일위대가!F84</f>
        <v>0</v>
      </c>
      <c r="G17" s="1169">
        <v>11235</v>
      </c>
      <c r="H17" s="12">
        <f>일위대가!H84</f>
        <v>11235</v>
      </c>
      <c r="I17" s="1169">
        <v>0</v>
      </c>
      <c r="J17" s="12">
        <f>일위대가!J84</f>
        <v>0</v>
      </c>
      <c r="K17" s="1169">
        <v>11235</v>
      </c>
      <c r="L17" s="12">
        <f t="shared" si="0"/>
        <v>11235</v>
      </c>
      <c r="M17" s="8" t="s">
        <v>1049</v>
      </c>
      <c r="N17" s="8" t="s">
        <v>51</v>
      </c>
      <c r="O17" s="2" t="s">
        <v>51</v>
      </c>
      <c r="P17" s="2" t="s">
        <v>51</v>
      </c>
      <c r="Q17" s="2" t="s">
        <v>51</v>
      </c>
      <c r="R17" s="2" t="s">
        <v>51</v>
      </c>
    </row>
    <row r="18" spans="1:18" ht="30" customHeight="1">
      <c r="A18" s="8" t="s">
        <v>126</v>
      </c>
      <c r="B18" s="8" t="s">
        <v>125</v>
      </c>
      <c r="C18" s="8" t="s">
        <v>94</v>
      </c>
      <c r="D18" s="8" t="s">
        <v>59</v>
      </c>
      <c r="E18" s="1169">
        <v>0</v>
      </c>
      <c r="F18" s="12">
        <f>일위대가!F89</f>
        <v>0</v>
      </c>
      <c r="G18" s="1169">
        <v>13433</v>
      </c>
      <c r="H18" s="12">
        <f>일위대가!H89</f>
        <v>13433</v>
      </c>
      <c r="I18" s="1169">
        <v>0</v>
      </c>
      <c r="J18" s="12">
        <f>일위대가!J89</f>
        <v>0</v>
      </c>
      <c r="K18" s="1169">
        <v>13433</v>
      </c>
      <c r="L18" s="12">
        <f t="shared" si="0"/>
        <v>13433</v>
      </c>
      <c r="M18" s="8" t="s">
        <v>1052</v>
      </c>
      <c r="N18" s="8" t="s">
        <v>51</v>
      </c>
      <c r="O18" s="2" t="s">
        <v>51</v>
      </c>
      <c r="P18" s="2" t="s">
        <v>51</v>
      </c>
      <c r="Q18" s="2" t="s">
        <v>51</v>
      </c>
      <c r="R18" s="2" t="s">
        <v>51</v>
      </c>
    </row>
    <row r="19" spans="1:18" ht="30" customHeight="1">
      <c r="A19" s="8" t="s">
        <v>129</v>
      </c>
      <c r="B19" s="8" t="s">
        <v>128</v>
      </c>
      <c r="C19" s="8" t="s">
        <v>94</v>
      </c>
      <c r="D19" s="8" t="s">
        <v>59</v>
      </c>
      <c r="E19" s="1169">
        <v>0</v>
      </c>
      <c r="F19" s="12">
        <f>일위대가!F94</f>
        <v>0</v>
      </c>
      <c r="G19" s="1169">
        <v>3826</v>
      </c>
      <c r="H19" s="12">
        <f>일위대가!H94</f>
        <v>3826</v>
      </c>
      <c r="I19" s="1169">
        <v>0</v>
      </c>
      <c r="J19" s="12">
        <f>일위대가!J94</f>
        <v>0</v>
      </c>
      <c r="K19" s="1169">
        <v>3826</v>
      </c>
      <c r="L19" s="12">
        <f t="shared" si="0"/>
        <v>3826</v>
      </c>
      <c r="M19" s="8" t="s">
        <v>1055</v>
      </c>
      <c r="N19" s="8" t="s">
        <v>51</v>
      </c>
      <c r="O19" s="2" t="s">
        <v>51</v>
      </c>
      <c r="P19" s="2" t="s">
        <v>51</v>
      </c>
      <c r="Q19" s="2" t="s">
        <v>51</v>
      </c>
      <c r="R19" s="2" t="s">
        <v>51</v>
      </c>
    </row>
    <row r="20" spans="1:18" ht="30" customHeight="1">
      <c r="A20" s="8" t="s">
        <v>132</v>
      </c>
      <c r="B20" s="8" t="s">
        <v>131</v>
      </c>
      <c r="C20" s="8" t="s">
        <v>94</v>
      </c>
      <c r="D20" s="8" t="s">
        <v>59</v>
      </c>
      <c r="E20" s="1169">
        <v>421</v>
      </c>
      <c r="F20" s="12">
        <f>일위대가!F100</f>
        <v>421</v>
      </c>
      <c r="G20" s="1169">
        <v>47218</v>
      </c>
      <c r="H20" s="12">
        <f>일위대가!H100</f>
        <v>47218</v>
      </c>
      <c r="I20" s="1169">
        <v>0</v>
      </c>
      <c r="J20" s="12">
        <f>일위대가!J100</f>
        <v>0</v>
      </c>
      <c r="K20" s="1169">
        <v>47639</v>
      </c>
      <c r="L20" s="12">
        <f t="shared" si="0"/>
        <v>47639</v>
      </c>
      <c r="M20" s="8" t="s">
        <v>1059</v>
      </c>
      <c r="N20" s="8" t="s">
        <v>51</v>
      </c>
      <c r="O20" s="2" t="s">
        <v>51</v>
      </c>
      <c r="P20" s="2" t="s">
        <v>51</v>
      </c>
      <c r="Q20" s="2" t="s">
        <v>51</v>
      </c>
      <c r="R20" s="2" t="s">
        <v>51</v>
      </c>
    </row>
    <row r="21" spans="1:18" ht="30" customHeight="1">
      <c r="A21" s="8" t="s">
        <v>136</v>
      </c>
      <c r="B21" s="8" t="s">
        <v>134</v>
      </c>
      <c r="C21" s="8" t="s">
        <v>135</v>
      </c>
      <c r="D21" s="8" t="s">
        <v>59</v>
      </c>
      <c r="E21" s="1169">
        <v>0</v>
      </c>
      <c r="F21" s="12">
        <f>일위대가!F106</f>
        <v>0</v>
      </c>
      <c r="G21" s="1169">
        <v>15304</v>
      </c>
      <c r="H21" s="12">
        <f>일위대가!H106</f>
        <v>15304</v>
      </c>
      <c r="I21" s="1169">
        <v>0</v>
      </c>
      <c r="J21" s="12">
        <f>일위대가!J106</f>
        <v>0</v>
      </c>
      <c r="K21" s="1169">
        <v>15304</v>
      </c>
      <c r="L21" s="12">
        <f t="shared" si="0"/>
        <v>15304</v>
      </c>
      <c r="M21" s="8" t="s">
        <v>1067</v>
      </c>
      <c r="N21" s="8" t="s">
        <v>51</v>
      </c>
      <c r="O21" s="2" t="s">
        <v>51</v>
      </c>
      <c r="P21" s="2" t="s">
        <v>51</v>
      </c>
      <c r="Q21" s="2" t="s">
        <v>51</v>
      </c>
      <c r="R21" s="2" t="s">
        <v>51</v>
      </c>
    </row>
    <row r="22" spans="1:18" ht="30" customHeight="1">
      <c r="A22" s="8" t="s">
        <v>141</v>
      </c>
      <c r="B22" s="8" t="s">
        <v>138</v>
      </c>
      <c r="C22" s="8" t="s">
        <v>139</v>
      </c>
      <c r="D22" s="8" t="s">
        <v>140</v>
      </c>
      <c r="E22" s="1169">
        <v>0</v>
      </c>
      <c r="F22" s="12">
        <f>일위대가!F112</f>
        <v>0</v>
      </c>
      <c r="G22" s="1169">
        <v>97045</v>
      </c>
      <c r="H22" s="12">
        <f>일위대가!H112</f>
        <v>97045</v>
      </c>
      <c r="I22" s="1169">
        <v>0</v>
      </c>
      <c r="J22" s="12">
        <f>일위대가!J112</f>
        <v>0</v>
      </c>
      <c r="K22" s="1169">
        <v>97045</v>
      </c>
      <c r="L22" s="12">
        <f t="shared" si="0"/>
        <v>97045</v>
      </c>
      <c r="M22" s="8" t="s">
        <v>1073</v>
      </c>
      <c r="N22" s="8" t="s">
        <v>51</v>
      </c>
      <c r="O22" s="2" t="s">
        <v>51</v>
      </c>
      <c r="P22" s="2" t="s">
        <v>51</v>
      </c>
      <c r="Q22" s="2" t="s">
        <v>51</v>
      </c>
      <c r="R22" s="2" t="s">
        <v>51</v>
      </c>
    </row>
    <row r="23" spans="1:18" ht="30" customHeight="1">
      <c r="A23" s="8" t="s">
        <v>144</v>
      </c>
      <c r="B23" s="8" t="s">
        <v>138</v>
      </c>
      <c r="C23" s="8" t="s">
        <v>143</v>
      </c>
      <c r="D23" s="8" t="s">
        <v>140</v>
      </c>
      <c r="E23" s="1169">
        <v>0</v>
      </c>
      <c r="F23" s="12">
        <f>일위대가!F118</f>
        <v>0</v>
      </c>
      <c r="G23" s="1169">
        <v>97045</v>
      </c>
      <c r="H23" s="12">
        <f>일위대가!H118</f>
        <v>97045</v>
      </c>
      <c r="I23" s="1169">
        <v>0</v>
      </c>
      <c r="J23" s="12">
        <f>일위대가!J118</f>
        <v>0</v>
      </c>
      <c r="K23" s="1169">
        <v>97045</v>
      </c>
      <c r="L23" s="12">
        <f t="shared" si="0"/>
        <v>97045</v>
      </c>
      <c r="M23" s="8" t="s">
        <v>1077</v>
      </c>
      <c r="N23" s="8" t="s">
        <v>51</v>
      </c>
      <c r="O23" s="2" t="s">
        <v>51</v>
      </c>
      <c r="P23" s="2" t="s">
        <v>51</v>
      </c>
      <c r="Q23" s="2" t="s">
        <v>51</v>
      </c>
      <c r="R23" s="2" t="s">
        <v>51</v>
      </c>
    </row>
    <row r="24" spans="1:18" ht="30" customHeight="1">
      <c r="A24" s="8" t="s">
        <v>150</v>
      </c>
      <c r="B24" s="8" t="s">
        <v>148</v>
      </c>
      <c r="C24" s="8" t="s">
        <v>149</v>
      </c>
      <c r="D24" s="8" t="s">
        <v>59</v>
      </c>
      <c r="E24" s="1169">
        <v>1401</v>
      </c>
      <c r="F24" s="12">
        <f>일위대가!F126</f>
        <v>12</v>
      </c>
      <c r="G24" s="1169">
        <v>28021</v>
      </c>
      <c r="H24" s="12">
        <f>일위대가!H126</f>
        <v>4800</v>
      </c>
      <c r="I24" s="1169">
        <v>0</v>
      </c>
      <c r="J24" s="12">
        <f>일위대가!J126</f>
        <v>67</v>
      </c>
      <c r="K24" s="1169">
        <v>29422</v>
      </c>
      <c r="L24" s="12">
        <f t="shared" si="0"/>
        <v>4879</v>
      </c>
      <c r="M24" s="8" t="s">
        <v>1081</v>
      </c>
      <c r="N24" s="8" t="s">
        <v>51</v>
      </c>
      <c r="O24" s="2" t="s">
        <v>51</v>
      </c>
      <c r="P24" s="2" t="s">
        <v>51</v>
      </c>
      <c r="Q24" s="2" t="s">
        <v>51</v>
      </c>
      <c r="R24" s="2" t="s">
        <v>51</v>
      </c>
    </row>
    <row r="25" spans="1:18" ht="30" customHeight="1">
      <c r="A25" s="8" t="s">
        <v>154</v>
      </c>
      <c r="B25" s="8" t="s">
        <v>152</v>
      </c>
      <c r="C25" s="8" t="s">
        <v>153</v>
      </c>
      <c r="D25" s="8" t="s">
        <v>59</v>
      </c>
      <c r="E25" s="1169">
        <v>2121</v>
      </c>
      <c r="F25" s="12">
        <f>일위대가!F134</f>
        <v>0</v>
      </c>
      <c r="G25" s="1169">
        <v>28282</v>
      </c>
      <c r="H25" s="12">
        <f>일위대가!H134</f>
        <v>18830</v>
      </c>
      <c r="I25" s="1169">
        <v>0</v>
      </c>
      <c r="J25" s="12">
        <f>일위대가!J134</f>
        <v>7</v>
      </c>
      <c r="K25" s="1169">
        <v>30403</v>
      </c>
      <c r="L25" s="12">
        <f t="shared" si="0"/>
        <v>18837</v>
      </c>
      <c r="M25" s="8" t="s">
        <v>1085</v>
      </c>
      <c r="N25" s="8" t="s">
        <v>51</v>
      </c>
      <c r="O25" s="2" t="s">
        <v>51</v>
      </c>
      <c r="P25" s="2" t="s">
        <v>51</v>
      </c>
      <c r="Q25" s="2" t="s">
        <v>51</v>
      </c>
      <c r="R25" s="2" t="s">
        <v>51</v>
      </c>
    </row>
    <row r="26" spans="1:18" ht="30" customHeight="1">
      <c r="A26" s="8" t="s">
        <v>158</v>
      </c>
      <c r="B26" s="8" t="s">
        <v>156</v>
      </c>
      <c r="C26" s="8" t="s">
        <v>157</v>
      </c>
      <c r="D26" s="8" t="s">
        <v>59</v>
      </c>
      <c r="E26" s="1169">
        <v>0</v>
      </c>
      <c r="F26" s="12">
        <f>일위대가!F138</f>
        <v>0</v>
      </c>
      <c r="G26" s="1169">
        <v>3907</v>
      </c>
      <c r="H26" s="12">
        <f>일위대가!H138</f>
        <v>3907</v>
      </c>
      <c r="I26" s="1169">
        <v>0</v>
      </c>
      <c r="J26" s="12">
        <f>일위대가!J138</f>
        <v>0</v>
      </c>
      <c r="K26" s="1169">
        <v>3907</v>
      </c>
      <c r="L26" s="12">
        <f t="shared" si="0"/>
        <v>3907</v>
      </c>
      <c r="M26" s="8" t="s">
        <v>1089</v>
      </c>
      <c r="N26" s="8" t="s">
        <v>51</v>
      </c>
      <c r="O26" s="2" t="s">
        <v>51</v>
      </c>
      <c r="P26" s="2" t="s">
        <v>51</v>
      </c>
      <c r="Q26" s="2" t="s">
        <v>51</v>
      </c>
      <c r="R26" s="2" t="s">
        <v>51</v>
      </c>
    </row>
    <row r="27" spans="1:18" ht="30" customHeight="1">
      <c r="A27" s="8" t="s">
        <v>161</v>
      </c>
      <c r="B27" s="8" t="s">
        <v>160</v>
      </c>
      <c r="C27" s="8" t="s">
        <v>157</v>
      </c>
      <c r="D27" s="8" t="s">
        <v>59</v>
      </c>
      <c r="E27" s="1169">
        <v>181</v>
      </c>
      <c r="F27" s="12">
        <f>일위대가!F144</f>
        <v>0</v>
      </c>
      <c r="G27" s="1169">
        <v>3707</v>
      </c>
      <c r="H27" s="12">
        <f>일위대가!H144</f>
        <v>2574</v>
      </c>
      <c r="I27" s="1169">
        <v>0</v>
      </c>
      <c r="J27" s="12">
        <f>일위대가!J144</f>
        <v>0</v>
      </c>
      <c r="K27" s="1169">
        <v>3888</v>
      </c>
      <c r="L27" s="12">
        <f t="shared" si="0"/>
        <v>2574</v>
      </c>
      <c r="M27" s="8" t="s">
        <v>1095</v>
      </c>
      <c r="N27" s="8" t="s">
        <v>51</v>
      </c>
      <c r="O27" s="2" t="s">
        <v>51</v>
      </c>
      <c r="P27" s="2" t="s">
        <v>51</v>
      </c>
      <c r="Q27" s="2" t="s">
        <v>51</v>
      </c>
      <c r="R27" s="2" t="s">
        <v>51</v>
      </c>
    </row>
    <row r="28" spans="1:18" ht="30" customHeight="1">
      <c r="A28" s="8" t="s">
        <v>164</v>
      </c>
      <c r="B28" s="8" t="s">
        <v>163</v>
      </c>
      <c r="C28" s="8" t="s">
        <v>94</v>
      </c>
      <c r="D28" s="8" t="s">
        <v>59</v>
      </c>
      <c r="E28" s="1169">
        <v>1505</v>
      </c>
      <c r="F28" s="12">
        <f>일위대가!F150</f>
        <v>0</v>
      </c>
      <c r="G28" s="1169">
        <v>30681</v>
      </c>
      <c r="H28" s="12">
        <f>일위대가!H150</f>
        <v>37450</v>
      </c>
      <c r="I28" s="1169">
        <v>0</v>
      </c>
      <c r="J28" s="12">
        <f>일위대가!J150</f>
        <v>0</v>
      </c>
      <c r="K28" s="1169">
        <v>32186</v>
      </c>
      <c r="L28" s="12">
        <f t="shared" si="0"/>
        <v>37450</v>
      </c>
      <c r="M28" s="8" t="s">
        <v>1101</v>
      </c>
      <c r="N28" s="8" t="s">
        <v>51</v>
      </c>
      <c r="O28" s="2" t="s">
        <v>51</v>
      </c>
      <c r="P28" s="2" t="s">
        <v>51</v>
      </c>
      <c r="Q28" s="2" t="s">
        <v>51</v>
      </c>
      <c r="R28" s="2" t="s">
        <v>51</v>
      </c>
    </row>
    <row r="29" spans="1:18" ht="30" customHeight="1">
      <c r="A29" s="8" t="s">
        <v>167</v>
      </c>
      <c r="B29" s="8" t="s">
        <v>166</v>
      </c>
      <c r="C29" s="8" t="s">
        <v>94</v>
      </c>
      <c r="D29" s="8" t="s">
        <v>59</v>
      </c>
      <c r="E29" s="1169">
        <v>0</v>
      </c>
      <c r="F29" s="12">
        <f>일위대가!F154</f>
        <v>0</v>
      </c>
      <c r="G29" s="1169">
        <v>7438</v>
      </c>
      <c r="H29" s="12">
        <f>일위대가!H154</f>
        <v>7438</v>
      </c>
      <c r="I29" s="1169">
        <v>0</v>
      </c>
      <c r="J29" s="12">
        <f>일위대가!J154</f>
        <v>0</v>
      </c>
      <c r="K29" s="1169">
        <v>7438</v>
      </c>
      <c r="L29" s="12">
        <f t="shared" si="0"/>
        <v>7438</v>
      </c>
      <c r="M29" s="8" t="s">
        <v>1103</v>
      </c>
      <c r="N29" s="8" t="s">
        <v>51</v>
      </c>
      <c r="O29" s="2" t="s">
        <v>51</v>
      </c>
      <c r="P29" s="2" t="s">
        <v>51</v>
      </c>
      <c r="Q29" s="2" t="s">
        <v>51</v>
      </c>
      <c r="R29" s="2" t="s">
        <v>51</v>
      </c>
    </row>
    <row r="30" spans="1:18" ht="30" customHeight="1">
      <c r="A30" s="8" t="s">
        <v>172</v>
      </c>
      <c r="B30" s="8" t="s">
        <v>170</v>
      </c>
      <c r="C30" s="8" t="s">
        <v>171</v>
      </c>
      <c r="D30" s="8" t="s">
        <v>59</v>
      </c>
      <c r="E30" s="1169">
        <v>734</v>
      </c>
      <c r="F30" s="12">
        <f>일위대가!F160</f>
        <v>734</v>
      </c>
      <c r="G30" s="1169">
        <v>13975</v>
      </c>
      <c r="H30" s="12">
        <f>일위대가!H160</f>
        <v>1629</v>
      </c>
      <c r="I30" s="1169">
        <v>0</v>
      </c>
      <c r="J30" s="12">
        <f>일위대가!J160</f>
        <v>122</v>
      </c>
      <c r="K30" s="1169">
        <v>14709</v>
      </c>
      <c r="L30" s="12">
        <f t="shared" si="0"/>
        <v>2485</v>
      </c>
      <c r="M30" s="8" t="s">
        <v>4718</v>
      </c>
      <c r="N30" s="8" t="s">
        <v>51</v>
      </c>
      <c r="O30" s="2" t="s">
        <v>51</v>
      </c>
      <c r="P30" s="2" t="s">
        <v>51</v>
      </c>
      <c r="Q30" s="2" t="s">
        <v>51</v>
      </c>
      <c r="R30" s="2" t="s">
        <v>51</v>
      </c>
    </row>
    <row r="31" spans="1:18" ht="30" customHeight="1">
      <c r="A31" s="8" t="s">
        <v>177</v>
      </c>
      <c r="B31" s="8" t="s">
        <v>175</v>
      </c>
      <c r="C31" s="8" t="s">
        <v>176</v>
      </c>
      <c r="D31" s="8" t="s">
        <v>59</v>
      </c>
      <c r="E31" s="1169">
        <v>9977</v>
      </c>
      <c r="F31" s="12">
        <f>일위대가!F171</f>
        <v>9977</v>
      </c>
      <c r="G31" s="1169">
        <v>25424</v>
      </c>
      <c r="H31" s="12">
        <f>일위대가!H171</f>
        <v>25424</v>
      </c>
      <c r="I31" s="1169">
        <v>0</v>
      </c>
      <c r="J31" s="12">
        <f>일위대가!J171</f>
        <v>0</v>
      </c>
      <c r="K31" s="1169">
        <v>35401</v>
      </c>
      <c r="L31" s="12">
        <f t="shared" si="0"/>
        <v>35401</v>
      </c>
      <c r="M31" s="8" t="s">
        <v>1138</v>
      </c>
      <c r="N31" s="8" t="s">
        <v>51</v>
      </c>
      <c r="O31" s="2" t="s">
        <v>51</v>
      </c>
      <c r="P31" s="2" t="s">
        <v>51</v>
      </c>
      <c r="Q31" s="2" t="s">
        <v>51</v>
      </c>
      <c r="R31" s="2" t="s">
        <v>51</v>
      </c>
    </row>
    <row r="32" spans="1:18" ht="30" customHeight="1">
      <c r="A32" s="8" t="s">
        <v>181</v>
      </c>
      <c r="B32" s="8" t="s">
        <v>179</v>
      </c>
      <c r="C32" s="8" t="s">
        <v>180</v>
      </c>
      <c r="D32" s="8" t="s">
        <v>59</v>
      </c>
      <c r="E32" s="1169">
        <v>3600</v>
      </c>
      <c r="F32" s="12">
        <f>일위대가!F176</f>
        <v>3600</v>
      </c>
      <c r="G32" s="1169">
        <v>5393</v>
      </c>
      <c r="H32" s="12">
        <f>일위대가!H176</f>
        <v>5393</v>
      </c>
      <c r="I32" s="1169">
        <v>0</v>
      </c>
      <c r="J32" s="12">
        <f>일위대가!J176</f>
        <v>0</v>
      </c>
      <c r="K32" s="1169">
        <v>8993</v>
      </c>
      <c r="L32" s="12">
        <f t="shared" si="0"/>
        <v>8993</v>
      </c>
      <c r="M32" s="8" t="s">
        <v>1147</v>
      </c>
      <c r="N32" s="8" t="s">
        <v>51</v>
      </c>
      <c r="O32" s="2" t="s">
        <v>51</v>
      </c>
      <c r="P32" s="2" t="s">
        <v>51</v>
      </c>
      <c r="Q32" s="2" t="s">
        <v>51</v>
      </c>
      <c r="R32" s="2" t="s">
        <v>51</v>
      </c>
    </row>
    <row r="33" spans="1:18" ht="30" customHeight="1">
      <c r="A33" s="8" t="s">
        <v>184</v>
      </c>
      <c r="B33" s="8" t="s">
        <v>182</v>
      </c>
      <c r="C33" s="8" t="s">
        <v>183</v>
      </c>
      <c r="D33" s="8" t="s">
        <v>59</v>
      </c>
      <c r="E33" s="1169">
        <v>3542</v>
      </c>
      <c r="F33" s="12">
        <f>일위대가!F182</f>
        <v>3542</v>
      </c>
      <c r="G33" s="1169">
        <v>7235</v>
      </c>
      <c r="H33" s="12">
        <f>일위대가!H182</f>
        <v>7235</v>
      </c>
      <c r="I33" s="1169">
        <v>0</v>
      </c>
      <c r="J33" s="12">
        <f>일위대가!J182</f>
        <v>0</v>
      </c>
      <c r="K33" s="1169">
        <v>10777</v>
      </c>
      <c r="L33" s="12">
        <f t="shared" si="0"/>
        <v>10777</v>
      </c>
      <c r="M33" s="8" t="s">
        <v>1155</v>
      </c>
      <c r="N33" s="8" t="s">
        <v>51</v>
      </c>
      <c r="O33" s="2" t="s">
        <v>51</v>
      </c>
      <c r="P33" s="2" t="s">
        <v>51</v>
      </c>
      <c r="Q33" s="2" t="s">
        <v>51</v>
      </c>
      <c r="R33" s="2" t="s">
        <v>51</v>
      </c>
    </row>
    <row r="34" spans="1:18" ht="30" customHeight="1">
      <c r="A34" s="8" t="s">
        <v>187</v>
      </c>
      <c r="B34" s="8" t="s">
        <v>185</v>
      </c>
      <c r="C34" s="8" t="s">
        <v>186</v>
      </c>
      <c r="D34" s="8" t="s">
        <v>59</v>
      </c>
      <c r="E34" s="1169">
        <v>2611</v>
      </c>
      <c r="F34" s="12">
        <f>일위대가!F188</f>
        <v>2611</v>
      </c>
      <c r="G34" s="1169">
        <v>7235</v>
      </c>
      <c r="H34" s="12">
        <f>일위대가!H188</f>
        <v>7235</v>
      </c>
      <c r="I34" s="1169">
        <v>0</v>
      </c>
      <c r="J34" s="12">
        <f>일위대가!J188</f>
        <v>0</v>
      </c>
      <c r="K34" s="1169">
        <v>9846</v>
      </c>
      <c r="L34" s="12">
        <f t="shared" si="0"/>
        <v>9846</v>
      </c>
      <c r="M34" s="8" t="s">
        <v>1161</v>
      </c>
      <c r="N34" s="8" t="s">
        <v>51</v>
      </c>
      <c r="O34" s="2" t="s">
        <v>51</v>
      </c>
      <c r="P34" s="2" t="s">
        <v>51</v>
      </c>
      <c r="Q34" s="2" t="s">
        <v>51</v>
      </c>
      <c r="R34" s="2" t="s">
        <v>51</v>
      </c>
    </row>
    <row r="35" spans="1:18" ht="30" customHeight="1">
      <c r="A35" s="8" t="s">
        <v>189</v>
      </c>
      <c r="B35" s="8" t="s">
        <v>185</v>
      </c>
      <c r="C35" s="8" t="s">
        <v>188</v>
      </c>
      <c r="D35" s="8" t="s">
        <v>59</v>
      </c>
      <c r="E35" s="1169">
        <v>5162</v>
      </c>
      <c r="F35" s="12">
        <f>일위대가!F197</f>
        <v>5667</v>
      </c>
      <c r="G35" s="1169">
        <v>14470</v>
      </c>
      <c r="H35" s="12">
        <f>일위대가!H197</f>
        <v>16860</v>
      </c>
      <c r="I35" s="1169">
        <v>0</v>
      </c>
      <c r="J35" s="12">
        <f>일위대가!J197</f>
        <v>0</v>
      </c>
      <c r="K35" s="1169">
        <v>19632</v>
      </c>
      <c r="L35" s="12">
        <f t="shared" si="0"/>
        <v>22527</v>
      </c>
      <c r="M35" s="8" t="s">
        <v>1167</v>
      </c>
      <c r="N35" s="8" t="s">
        <v>51</v>
      </c>
      <c r="O35" s="2" t="s">
        <v>51</v>
      </c>
      <c r="P35" s="2" t="s">
        <v>51</v>
      </c>
      <c r="Q35" s="2" t="s">
        <v>51</v>
      </c>
      <c r="R35" s="2" t="s">
        <v>51</v>
      </c>
    </row>
    <row r="36" spans="1:18" ht="30" customHeight="1">
      <c r="A36" s="8" t="s">
        <v>192</v>
      </c>
      <c r="B36" s="8" t="s">
        <v>182</v>
      </c>
      <c r="C36" s="8" t="s">
        <v>191</v>
      </c>
      <c r="D36" s="8" t="s">
        <v>59</v>
      </c>
      <c r="E36" s="1169">
        <v>9392</v>
      </c>
      <c r="F36" s="12">
        <f>일위대가!F206</f>
        <v>7618</v>
      </c>
      <c r="G36" s="1169">
        <v>14470</v>
      </c>
      <c r="H36" s="12">
        <f>일위대가!H206</f>
        <v>16860</v>
      </c>
      <c r="I36" s="1169">
        <v>0</v>
      </c>
      <c r="J36" s="12">
        <f>일위대가!J206</f>
        <v>0</v>
      </c>
      <c r="K36" s="1169">
        <v>23862</v>
      </c>
      <c r="L36" s="12">
        <f t="shared" si="0"/>
        <v>24478</v>
      </c>
      <c r="M36" s="8" t="s">
        <v>1171</v>
      </c>
      <c r="N36" s="8" t="s">
        <v>51</v>
      </c>
      <c r="O36" s="2" t="s">
        <v>51</v>
      </c>
      <c r="P36" s="2" t="s">
        <v>51</v>
      </c>
      <c r="Q36" s="2" t="s">
        <v>51</v>
      </c>
      <c r="R36" s="2" t="s">
        <v>51</v>
      </c>
    </row>
    <row r="37" spans="1:18" ht="30" customHeight="1">
      <c r="A37" s="8" t="s">
        <v>196</v>
      </c>
      <c r="B37" s="8" t="s">
        <v>194</v>
      </c>
      <c r="C37" s="8" t="s">
        <v>195</v>
      </c>
      <c r="D37" s="8" t="s">
        <v>59</v>
      </c>
      <c r="E37" s="1169">
        <v>4117</v>
      </c>
      <c r="F37" s="12">
        <f>일위대가!F213</f>
        <v>4117</v>
      </c>
      <c r="G37" s="1169">
        <v>12993</v>
      </c>
      <c r="H37" s="12">
        <f>일위대가!H213</f>
        <v>12993</v>
      </c>
      <c r="I37" s="1169">
        <v>259</v>
      </c>
      <c r="J37" s="12">
        <f>일위대가!J213</f>
        <v>259</v>
      </c>
      <c r="K37" s="1169">
        <v>17369</v>
      </c>
      <c r="L37" s="12">
        <f t="shared" ref="L37:L68" si="1">F37+H37+J37</f>
        <v>17369</v>
      </c>
      <c r="M37" s="8" t="s">
        <v>1180</v>
      </c>
      <c r="N37" s="8" t="s">
        <v>51</v>
      </c>
      <c r="O37" s="2" t="s">
        <v>51</v>
      </c>
      <c r="P37" s="2" t="s">
        <v>51</v>
      </c>
      <c r="Q37" s="2" t="s">
        <v>51</v>
      </c>
      <c r="R37" s="2" t="s">
        <v>51</v>
      </c>
    </row>
    <row r="38" spans="1:18" ht="30" customHeight="1">
      <c r="A38" s="8" t="s">
        <v>200</v>
      </c>
      <c r="B38" s="8" t="s">
        <v>198</v>
      </c>
      <c r="C38" s="8" t="s">
        <v>199</v>
      </c>
      <c r="D38" s="8" t="s">
        <v>59</v>
      </c>
      <c r="E38" s="1169">
        <v>3925.3</v>
      </c>
      <c r="F38" s="12">
        <f>일위대가!F220</f>
        <v>3925.3</v>
      </c>
      <c r="G38" s="1169">
        <v>12993.4</v>
      </c>
      <c r="H38" s="12">
        <f>일위대가!H220</f>
        <v>12993.4</v>
      </c>
      <c r="I38" s="1169">
        <v>259.8</v>
      </c>
      <c r="J38" s="12">
        <f>일위대가!J220</f>
        <v>259.8</v>
      </c>
      <c r="K38" s="1169">
        <v>17178.5</v>
      </c>
      <c r="L38" s="12">
        <f t="shared" si="1"/>
        <v>17178.5</v>
      </c>
      <c r="M38" s="8" t="s">
        <v>1188</v>
      </c>
      <c r="N38" s="8" t="s">
        <v>51</v>
      </c>
      <c r="O38" s="2" t="s">
        <v>51</v>
      </c>
      <c r="P38" s="2" t="s">
        <v>51</v>
      </c>
      <c r="Q38" s="2" t="s">
        <v>51</v>
      </c>
      <c r="R38" s="2" t="s">
        <v>51</v>
      </c>
    </row>
    <row r="39" spans="1:18" ht="30" customHeight="1">
      <c r="A39" s="8" t="s">
        <v>205</v>
      </c>
      <c r="B39" s="8" t="s">
        <v>202</v>
      </c>
      <c r="C39" s="8" t="s">
        <v>203</v>
      </c>
      <c r="D39" s="8" t="s">
        <v>204</v>
      </c>
      <c r="E39" s="1169">
        <v>2500</v>
      </c>
      <c r="F39" s="12">
        <f>일위대가!F227</f>
        <v>2500</v>
      </c>
      <c r="G39" s="1169">
        <v>2568</v>
      </c>
      <c r="H39" s="12">
        <f>일위대가!H227</f>
        <v>2568</v>
      </c>
      <c r="I39" s="1169">
        <v>51</v>
      </c>
      <c r="J39" s="12">
        <f>일위대가!J227</f>
        <v>51</v>
      </c>
      <c r="K39" s="1169">
        <v>5119</v>
      </c>
      <c r="L39" s="12">
        <f t="shared" si="1"/>
        <v>5119</v>
      </c>
      <c r="M39" s="8" t="s">
        <v>1196</v>
      </c>
      <c r="N39" s="8" t="s">
        <v>51</v>
      </c>
      <c r="O39" s="2" t="s">
        <v>51</v>
      </c>
      <c r="P39" s="2" t="s">
        <v>51</v>
      </c>
      <c r="Q39" s="2" t="s">
        <v>51</v>
      </c>
      <c r="R39" s="2" t="s">
        <v>51</v>
      </c>
    </row>
    <row r="40" spans="1:18" ht="30" customHeight="1">
      <c r="A40" s="8" t="s">
        <v>209</v>
      </c>
      <c r="B40" s="8" t="s">
        <v>207</v>
      </c>
      <c r="C40" s="8" t="s">
        <v>208</v>
      </c>
      <c r="D40" s="8" t="s">
        <v>59</v>
      </c>
      <c r="E40" s="1169">
        <v>4200</v>
      </c>
      <c r="F40" s="12">
        <f>일위대가!F234</f>
        <v>4200</v>
      </c>
      <c r="G40" s="1169">
        <v>7107</v>
      </c>
      <c r="H40" s="12">
        <f>일위대가!H234</f>
        <v>7107</v>
      </c>
      <c r="I40" s="1169">
        <v>142</v>
      </c>
      <c r="J40" s="12">
        <f>일위대가!J234</f>
        <v>142</v>
      </c>
      <c r="K40" s="1169">
        <v>11449</v>
      </c>
      <c r="L40" s="12">
        <f t="shared" si="1"/>
        <v>11449</v>
      </c>
      <c r="M40" s="8" t="s">
        <v>1203</v>
      </c>
      <c r="N40" s="8" t="s">
        <v>51</v>
      </c>
      <c r="O40" s="2" t="s">
        <v>51</v>
      </c>
      <c r="P40" s="2" t="s">
        <v>51</v>
      </c>
      <c r="Q40" s="2" t="s">
        <v>51</v>
      </c>
      <c r="R40" s="2" t="s">
        <v>51</v>
      </c>
    </row>
    <row r="41" spans="1:18" ht="30" customHeight="1">
      <c r="A41" s="8" t="s">
        <v>212</v>
      </c>
      <c r="B41" s="8" t="s">
        <v>194</v>
      </c>
      <c r="C41" s="8" t="s">
        <v>211</v>
      </c>
      <c r="D41" s="8" t="s">
        <v>59</v>
      </c>
      <c r="E41" s="1169">
        <v>8526</v>
      </c>
      <c r="F41" s="12">
        <f>일위대가!F241</f>
        <v>8526</v>
      </c>
      <c r="G41" s="1169">
        <v>12993</v>
      </c>
      <c r="H41" s="12">
        <f>일위대가!H241</f>
        <v>12993</v>
      </c>
      <c r="I41" s="1169">
        <v>259</v>
      </c>
      <c r="J41" s="12">
        <f>일위대가!J241</f>
        <v>259</v>
      </c>
      <c r="K41" s="1169">
        <v>21778</v>
      </c>
      <c r="L41" s="12">
        <f t="shared" si="1"/>
        <v>21778</v>
      </c>
      <c r="M41" s="8" t="s">
        <v>1210</v>
      </c>
      <c r="N41" s="8" t="s">
        <v>51</v>
      </c>
      <c r="O41" s="2" t="s">
        <v>51</v>
      </c>
      <c r="P41" s="2" t="s">
        <v>51</v>
      </c>
      <c r="Q41" s="2" t="s">
        <v>51</v>
      </c>
      <c r="R41" s="2" t="s">
        <v>51</v>
      </c>
    </row>
    <row r="42" spans="1:18" ht="30" customHeight="1">
      <c r="A42" s="8" t="s">
        <v>216</v>
      </c>
      <c r="B42" s="8" t="s">
        <v>3428</v>
      </c>
      <c r="C42" s="8" t="s">
        <v>215</v>
      </c>
      <c r="D42" s="8" t="s">
        <v>204</v>
      </c>
      <c r="E42" s="1169">
        <v>4803</v>
      </c>
      <c r="F42" s="12">
        <f>일위대가!F248</f>
        <v>4803</v>
      </c>
      <c r="G42" s="1169">
        <v>7123.6</v>
      </c>
      <c r="H42" s="12">
        <f>일위대가!H248</f>
        <v>7123.6</v>
      </c>
      <c r="I42" s="1169">
        <v>0</v>
      </c>
      <c r="J42" s="248">
        <f>일위대가!I248</f>
        <v>0</v>
      </c>
      <c r="K42" s="1169">
        <v>11926.6</v>
      </c>
      <c r="L42" s="12">
        <f t="shared" si="1"/>
        <v>11926.6</v>
      </c>
      <c r="M42" s="8" t="s">
        <v>1220</v>
      </c>
      <c r="N42" s="8" t="s">
        <v>51</v>
      </c>
      <c r="O42" s="2" t="s">
        <v>51</v>
      </c>
      <c r="P42" s="2" t="s">
        <v>51</v>
      </c>
      <c r="Q42" s="2" t="s">
        <v>51</v>
      </c>
      <c r="R42" s="2" t="s">
        <v>51</v>
      </c>
    </row>
    <row r="43" spans="1:18" ht="30" customHeight="1">
      <c r="A43" s="8" t="s">
        <v>220</v>
      </c>
      <c r="B43" s="8" t="s">
        <v>218</v>
      </c>
      <c r="C43" s="8" t="s">
        <v>219</v>
      </c>
      <c r="D43" s="8" t="s">
        <v>59</v>
      </c>
      <c r="E43" s="1169">
        <v>1908</v>
      </c>
      <c r="F43" s="12">
        <f>일위대가!F259</f>
        <v>1800</v>
      </c>
      <c r="G43" s="1169">
        <v>7912</v>
      </c>
      <c r="H43" s="12">
        <f>일위대가!H259</f>
        <v>3300</v>
      </c>
      <c r="I43" s="1169">
        <v>0</v>
      </c>
      <c r="J43" s="12">
        <f>일위대가!J259</f>
        <v>0</v>
      </c>
      <c r="K43" s="1169">
        <v>9820</v>
      </c>
      <c r="L43" s="12">
        <f t="shared" si="1"/>
        <v>5100</v>
      </c>
      <c r="M43" s="8" t="s">
        <v>1239</v>
      </c>
      <c r="N43" s="8" t="s">
        <v>51</v>
      </c>
      <c r="O43" s="2" t="s">
        <v>51</v>
      </c>
      <c r="P43" s="2" t="s">
        <v>51</v>
      </c>
      <c r="Q43" s="2" t="s">
        <v>51</v>
      </c>
      <c r="R43" s="2" t="s">
        <v>51</v>
      </c>
    </row>
    <row r="44" spans="1:18" ht="30" customHeight="1">
      <c r="A44" s="8" t="s">
        <v>224</v>
      </c>
      <c r="B44" s="8" t="s">
        <v>222</v>
      </c>
      <c r="C44" s="8" t="s">
        <v>223</v>
      </c>
      <c r="D44" s="8" t="s">
        <v>59</v>
      </c>
      <c r="E44" s="1169">
        <v>2312</v>
      </c>
      <c r="F44" s="12">
        <f>일위대가!F268</f>
        <v>2097</v>
      </c>
      <c r="G44" s="1169">
        <v>10764</v>
      </c>
      <c r="H44" s="12">
        <f>일위대가!H268</f>
        <v>5053</v>
      </c>
      <c r="I44" s="1169">
        <v>0</v>
      </c>
      <c r="J44" s="12">
        <f>일위대가!J268</f>
        <v>0</v>
      </c>
      <c r="K44" s="1169">
        <v>13076</v>
      </c>
      <c r="L44" s="12">
        <f t="shared" si="1"/>
        <v>7150</v>
      </c>
      <c r="M44" s="8" t="s">
        <v>1253</v>
      </c>
      <c r="N44" s="8" t="s">
        <v>51</v>
      </c>
      <c r="O44" s="2" t="s">
        <v>51</v>
      </c>
      <c r="P44" s="2" t="s">
        <v>51</v>
      </c>
      <c r="Q44" s="2" t="s">
        <v>51</v>
      </c>
      <c r="R44" s="2" t="s">
        <v>51</v>
      </c>
    </row>
    <row r="45" spans="1:18" ht="30" customHeight="1">
      <c r="A45" s="8" t="s">
        <v>226</v>
      </c>
      <c r="B45" s="8" t="s">
        <v>3719</v>
      </c>
      <c r="C45" s="8" t="s">
        <v>208</v>
      </c>
      <c r="D45" s="8" t="s">
        <v>59</v>
      </c>
      <c r="E45" s="1169">
        <v>8530.1999999999989</v>
      </c>
      <c r="F45" s="12">
        <f>일위대가!F281</f>
        <v>8530.1999999999989</v>
      </c>
      <c r="G45" s="1169">
        <v>36448.800000000003</v>
      </c>
      <c r="H45" s="12">
        <f>일위대가!H281</f>
        <v>36448.800000000003</v>
      </c>
      <c r="I45" s="1169">
        <v>0</v>
      </c>
      <c r="J45" s="12">
        <f>일위대가!J281</f>
        <v>0</v>
      </c>
      <c r="K45" s="1169">
        <v>44979</v>
      </c>
      <c r="L45" s="12">
        <f t="shared" si="1"/>
        <v>44979</v>
      </c>
      <c r="M45" s="8" t="s">
        <v>1274</v>
      </c>
      <c r="N45" s="8" t="s">
        <v>51</v>
      </c>
      <c r="O45" s="2" t="s">
        <v>51</v>
      </c>
      <c r="P45" s="2" t="s">
        <v>51</v>
      </c>
      <c r="Q45" s="2" t="s">
        <v>51</v>
      </c>
      <c r="R45" s="2" t="s">
        <v>51</v>
      </c>
    </row>
    <row r="46" spans="1:18" ht="30" customHeight="1">
      <c r="A46" s="8" t="s">
        <v>230</v>
      </c>
      <c r="B46" s="8" t="s">
        <v>228</v>
      </c>
      <c r="C46" s="8" t="s">
        <v>229</v>
      </c>
      <c r="D46" s="8" t="s">
        <v>59</v>
      </c>
      <c r="E46" s="1169">
        <v>1772</v>
      </c>
      <c r="F46" s="12">
        <f>일위대가!F290</f>
        <v>1749</v>
      </c>
      <c r="G46" s="1169">
        <v>8687</v>
      </c>
      <c r="H46" s="12">
        <f>일위대가!H290</f>
        <v>8596</v>
      </c>
      <c r="I46" s="1169">
        <v>0</v>
      </c>
      <c r="J46" s="12">
        <f>일위대가!J290</f>
        <v>0</v>
      </c>
      <c r="K46" s="1169">
        <v>10459</v>
      </c>
      <c r="L46" s="12">
        <f t="shared" si="1"/>
        <v>10345</v>
      </c>
      <c r="M46" s="8" t="s">
        <v>1285</v>
      </c>
      <c r="N46" s="8" t="s">
        <v>51</v>
      </c>
      <c r="O46" s="2" t="s">
        <v>51</v>
      </c>
      <c r="P46" s="2" t="s">
        <v>51</v>
      </c>
      <c r="Q46" s="2" t="s">
        <v>51</v>
      </c>
      <c r="R46" s="2" t="s">
        <v>51</v>
      </c>
    </row>
    <row r="47" spans="1:18" ht="30" customHeight="1">
      <c r="A47" s="8" t="s">
        <v>234</v>
      </c>
      <c r="B47" s="8" t="s">
        <v>233</v>
      </c>
      <c r="C47" s="8" t="s">
        <v>153</v>
      </c>
      <c r="D47" s="8" t="s">
        <v>59</v>
      </c>
      <c r="E47" s="1169">
        <v>2167</v>
      </c>
      <c r="F47" s="12">
        <f>일위대가!F298</f>
        <v>2139</v>
      </c>
      <c r="G47" s="1169">
        <v>34936</v>
      </c>
      <c r="H47" s="12">
        <f>일위대가!H298</f>
        <v>4558</v>
      </c>
      <c r="I47" s="1169">
        <v>0</v>
      </c>
      <c r="J47" s="12">
        <f>일위대가!J298</f>
        <v>0</v>
      </c>
      <c r="K47" s="1169">
        <v>37103</v>
      </c>
      <c r="L47" s="12">
        <f t="shared" si="1"/>
        <v>6697</v>
      </c>
      <c r="M47" s="8" t="s">
        <v>1299</v>
      </c>
      <c r="N47" s="8" t="s">
        <v>51</v>
      </c>
      <c r="O47" s="2" t="s">
        <v>51</v>
      </c>
      <c r="P47" s="2" t="s">
        <v>51</v>
      </c>
      <c r="Q47" s="2" t="s">
        <v>51</v>
      </c>
      <c r="R47" s="2" t="s">
        <v>51</v>
      </c>
    </row>
    <row r="48" spans="1:18" ht="30" customHeight="1">
      <c r="A48" s="8" t="s">
        <v>238</v>
      </c>
      <c r="B48" s="8" t="s">
        <v>236</v>
      </c>
      <c r="C48" s="8" t="s">
        <v>237</v>
      </c>
      <c r="D48" s="8" t="s">
        <v>59</v>
      </c>
      <c r="E48" s="1169">
        <v>7050</v>
      </c>
      <c r="F48" s="12">
        <f>일위대가!F305</f>
        <v>7050</v>
      </c>
      <c r="G48" s="1169">
        <v>10986</v>
      </c>
      <c r="H48" s="12">
        <f>일위대가!H305</f>
        <v>10986</v>
      </c>
      <c r="I48" s="1169">
        <v>0</v>
      </c>
      <c r="J48" s="12">
        <f>일위대가!J305</f>
        <v>0</v>
      </c>
      <c r="K48" s="1169">
        <v>18036</v>
      </c>
      <c r="L48" s="12">
        <f t="shared" si="1"/>
        <v>18036</v>
      </c>
      <c r="M48" s="8" t="s">
        <v>1309</v>
      </c>
      <c r="N48" s="8" t="s">
        <v>51</v>
      </c>
      <c r="O48" s="2" t="s">
        <v>51</v>
      </c>
      <c r="P48" s="2" t="s">
        <v>51</v>
      </c>
      <c r="Q48" s="2" t="s">
        <v>51</v>
      </c>
      <c r="R48" s="2" t="s">
        <v>51</v>
      </c>
    </row>
    <row r="49" spans="1:18" ht="30" customHeight="1">
      <c r="A49" s="8" t="s">
        <v>242</v>
      </c>
      <c r="B49" s="8" t="s">
        <v>240</v>
      </c>
      <c r="C49" s="8" t="s">
        <v>241</v>
      </c>
      <c r="D49" s="8" t="s">
        <v>59</v>
      </c>
      <c r="E49" s="1169">
        <v>64510</v>
      </c>
      <c r="F49" s="12">
        <f>일위대가!F315</f>
        <v>64510</v>
      </c>
      <c r="G49" s="1169">
        <v>35743</v>
      </c>
      <c r="H49" s="12">
        <f>일위대가!H315</f>
        <v>35743</v>
      </c>
      <c r="I49" s="1169">
        <v>0</v>
      </c>
      <c r="J49" s="12">
        <f>일위대가!J315</f>
        <v>0</v>
      </c>
      <c r="K49" s="1169">
        <v>100253</v>
      </c>
      <c r="L49" s="12">
        <f t="shared" si="1"/>
        <v>100253</v>
      </c>
      <c r="M49" s="8" t="s">
        <v>1324</v>
      </c>
      <c r="N49" s="8" t="s">
        <v>51</v>
      </c>
      <c r="O49" s="2" t="s">
        <v>51</v>
      </c>
      <c r="P49" s="2" t="s">
        <v>51</v>
      </c>
      <c r="Q49" s="2" t="s">
        <v>51</v>
      </c>
      <c r="R49" s="2" t="s">
        <v>51</v>
      </c>
    </row>
    <row r="50" spans="1:18" ht="30" customHeight="1">
      <c r="A50" s="8" t="s">
        <v>246</v>
      </c>
      <c r="B50" s="8" t="s">
        <v>244</v>
      </c>
      <c r="C50" s="8" t="s">
        <v>245</v>
      </c>
      <c r="D50" s="8" t="s">
        <v>204</v>
      </c>
      <c r="E50" s="1169">
        <v>3866</v>
      </c>
      <c r="F50" s="12">
        <f>일위대가!F325</f>
        <v>3558</v>
      </c>
      <c r="G50" s="1169">
        <v>13852</v>
      </c>
      <c r="H50" s="12">
        <f>일위대가!H325</f>
        <v>13852</v>
      </c>
      <c r="I50" s="1169">
        <v>439</v>
      </c>
      <c r="J50" s="12">
        <f>일위대가!J325</f>
        <v>439</v>
      </c>
      <c r="K50" s="1169">
        <v>18157</v>
      </c>
      <c r="L50" s="12">
        <f t="shared" si="1"/>
        <v>17849</v>
      </c>
      <c r="M50" s="8" t="s">
        <v>1348</v>
      </c>
      <c r="N50" s="8" t="s">
        <v>51</v>
      </c>
      <c r="O50" s="2" t="s">
        <v>51</v>
      </c>
      <c r="P50" s="2" t="s">
        <v>51</v>
      </c>
      <c r="Q50" s="2" t="s">
        <v>51</v>
      </c>
      <c r="R50" s="2" t="s">
        <v>51</v>
      </c>
    </row>
    <row r="51" spans="1:18" ht="30" customHeight="1">
      <c r="A51" s="8" t="s">
        <v>254</v>
      </c>
      <c r="B51" s="8" t="s">
        <v>252</v>
      </c>
      <c r="C51" s="8" t="s">
        <v>253</v>
      </c>
      <c r="D51" s="8" t="s">
        <v>59</v>
      </c>
      <c r="E51" s="1169">
        <v>4671</v>
      </c>
      <c r="F51" s="12">
        <f>일위대가!F331</f>
        <v>3542</v>
      </c>
      <c r="G51" s="1169">
        <v>7235</v>
      </c>
      <c r="H51" s="12">
        <f>일위대가!H331</f>
        <v>7235</v>
      </c>
      <c r="I51" s="1169">
        <v>0</v>
      </c>
      <c r="J51" s="12">
        <f>일위대가!J331</f>
        <v>0</v>
      </c>
      <c r="K51" s="1169">
        <v>11906</v>
      </c>
      <c r="L51" s="12">
        <f t="shared" si="1"/>
        <v>10777</v>
      </c>
      <c r="M51" s="8" t="s">
        <v>1354</v>
      </c>
      <c r="N51" s="8" t="s">
        <v>51</v>
      </c>
      <c r="O51" s="2" t="s">
        <v>51</v>
      </c>
      <c r="P51" s="2" t="s">
        <v>51</v>
      </c>
      <c r="Q51" s="2" t="s">
        <v>51</v>
      </c>
      <c r="R51" s="2" t="s">
        <v>51</v>
      </c>
    </row>
    <row r="52" spans="1:18" ht="30" customHeight="1">
      <c r="A52" s="8" t="s">
        <v>256</v>
      </c>
      <c r="B52" s="8" t="s">
        <v>185</v>
      </c>
      <c r="C52" s="8" t="s">
        <v>255</v>
      </c>
      <c r="D52" s="8" t="s">
        <v>59</v>
      </c>
      <c r="E52" s="1169">
        <v>2722</v>
      </c>
      <c r="F52" s="12">
        <f>일위대가!F337</f>
        <v>2722</v>
      </c>
      <c r="G52" s="1169">
        <v>7235</v>
      </c>
      <c r="H52" s="12">
        <f>일위대가!H337</f>
        <v>7235</v>
      </c>
      <c r="I52" s="1169">
        <v>0</v>
      </c>
      <c r="J52" s="12">
        <f>일위대가!J337</f>
        <v>0</v>
      </c>
      <c r="K52" s="1169">
        <v>9957</v>
      </c>
      <c r="L52" s="12">
        <f t="shared" si="1"/>
        <v>9957</v>
      </c>
      <c r="M52" s="8" t="s">
        <v>1358</v>
      </c>
      <c r="N52" s="8" t="s">
        <v>51</v>
      </c>
      <c r="O52" s="2" t="s">
        <v>51</v>
      </c>
      <c r="P52" s="2" t="s">
        <v>51</v>
      </c>
      <c r="Q52" s="2" t="s">
        <v>51</v>
      </c>
      <c r="R52" s="2" t="s">
        <v>51</v>
      </c>
    </row>
    <row r="53" spans="1:18" ht="30" customHeight="1">
      <c r="A53" s="8" t="s">
        <v>258</v>
      </c>
      <c r="B53" s="8" t="s">
        <v>185</v>
      </c>
      <c r="C53" s="8" t="s">
        <v>257</v>
      </c>
      <c r="D53" s="8" t="s">
        <v>59</v>
      </c>
      <c r="E53" s="1169">
        <v>4262</v>
      </c>
      <c r="F53" s="12">
        <f>일위대가!F346</f>
        <v>4767</v>
      </c>
      <c r="G53" s="1169">
        <v>13537</v>
      </c>
      <c r="H53" s="12">
        <f>일위대가!H346</f>
        <v>16860</v>
      </c>
      <c r="I53" s="1169">
        <v>0</v>
      </c>
      <c r="J53" s="12">
        <f>일위대가!J346</f>
        <v>0</v>
      </c>
      <c r="K53" s="1169">
        <v>17799</v>
      </c>
      <c r="L53" s="12">
        <f t="shared" si="1"/>
        <v>21627</v>
      </c>
      <c r="M53" s="8" t="s">
        <v>1362</v>
      </c>
      <c r="N53" s="8" t="s">
        <v>51</v>
      </c>
      <c r="O53" s="2" t="s">
        <v>51</v>
      </c>
      <c r="P53" s="2" t="s">
        <v>51</v>
      </c>
      <c r="Q53" s="2" t="s">
        <v>51</v>
      </c>
      <c r="R53" s="2" t="s">
        <v>51</v>
      </c>
    </row>
    <row r="54" spans="1:18" ht="30" customHeight="1">
      <c r="A54" s="8" t="s">
        <v>275</v>
      </c>
      <c r="B54" s="8" t="s">
        <v>273</v>
      </c>
      <c r="C54" s="8" t="s">
        <v>274</v>
      </c>
      <c r="D54" s="8" t="s">
        <v>59</v>
      </c>
      <c r="E54" s="1169">
        <v>16990</v>
      </c>
      <c r="F54" s="12">
        <f>일위대가!F355</f>
        <v>16990</v>
      </c>
      <c r="G54" s="1169">
        <v>81255</v>
      </c>
      <c r="H54" s="12">
        <f>일위대가!H355</f>
        <v>81255</v>
      </c>
      <c r="I54" s="1169">
        <v>0</v>
      </c>
      <c r="J54" s="12">
        <f>일위대가!J355</f>
        <v>0</v>
      </c>
      <c r="K54" s="1169">
        <v>98245</v>
      </c>
      <c r="L54" s="12">
        <f t="shared" si="1"/>
        <v>98245</v>
      </c>
      <c r="M54" s="8" t="s">
        <v>1377</v>
      </c>
      <c r="N54" s="8" t="s">
        <v>51</v>
      </c>
      <c r="O54" s="2" t="s">
        <v>51</v>
      </c>
      <c r="P54" s="2" t="s">
        <v>51</v>
      </c>
      <c r="Q54" s="2" t="s">
        <v>51</v>
      </c>
      <c r="R54" s="2" t="s">
        <v>51</v>
      </c>
    </row>
    <row r="55" spans="1:18" ht="30" customHeight="1">
      <c r="A55" s="8" t="s">
        <v>279</v>
      </c>
      <c r="B55" s="8" t="s">
        <v>277</v>
      </c>
      <c r="C55" s="8" t="s">
        <v>278</v>
      </c>
      <c r="D55" s="8" t="s">
        <v>59</v>
      </c>
      <c r="E55" s="1169">
        <v>23127</v>
      </c>
      <c r="F55" s="12">
        <f>일위대가!F368</f>
        <v>23127</v>
      </c>
      <c r="G55" s="1169">
        <v>88619</v>
      </c>
      <c r="H55" s="12">
        <f>일위대가!H368</f>
        <v>88619</v>
      </c>
      <c r="I55" s="1169">
        <v>0</v>
      </c>
      <c r="J55" s="12">
        <f>일위대가!J368</f>
        <v>0</v>
      </c>
      <c r="K55" s="1169">
        <v>111746</v>
      </c>
      <c r="L55" s="12">
        <f t="shared" si="1"/>
        <v>111746</v>
      </c>
      <c r="M55" s="8" t="s">
        <v>1402</v>
      </c>
      <c r="N55" s="8" t="s">
        <v>51</v>
      </c>
      <c r="O55" s="2" t="s">
        <v>51</v>
      </c>
      <c r="P55" s="2" t="s">
        <v>51</v>
      </c>
      <c r="Q55" s="2" t="s">
        <v>51</v>
      </c>
      <c r="R55" s="2" t="s">
        <v>51</v>
      </c>
    </row>
    <row r="56" spans="1:18" ht="30" customHeight="1">
      <c r="A56" s="8" t="s">
        <v>282</v>
      </c>
      <c r="B56" s="8" t="s">
        <v>185</v>
      </c>
      <c r="C56" s="8" t="s">
        <v>281</v>
      </c>
      <c r="D56" s="8" t="s">
        <v>59</v>
      </c>
      <c r="E56" s="1169">
        <v>2054</v>
      </c>
      <c r="F56" s="12">
        <f>일위대가!F374</f>
        <v>2054</v>
      </c>
      <c r="G56" s="1169">
        <v>6768</v>
      </c>
      <c r="H56" s="12">
        <f>일위대가!H374</f>
        <v>6768</v>
      </c>
      <c r="I56" s="1169">
        <v>0</v>
      </c>
      <c r="J56" s="12">
        <f>일위대가!J374</f>
        <v>0</v>
      </c>
      <c r="K56" s="1169">
        <v>8822</v>
      </c>
      <c r="L56" s="12">
        <f t="shared" si="1"/>
        <v>8822</v>
      </c>
      <c r="M56" s="8" t="s">
        <v>1406</v>
      </c>
      <c r="N56" s="8" t="s">
        <v>51</v>
      </c>
      <c r="O56" s="2" t="s">
        <v>51</v>
      </c>
      <c r="P56" s="2" t="s">
        <v>51</v>
      </c>
      <c r="Q56" s="2" t="s">
        <v>51</v>
      </c>
      <c r="R56" s="2" t="s">
        <v>51</v>
      </c>
    </row>
    <row r="57" spans="1:18" ht="30" customHeight="1">
      <c r="A57" s="8" t="s">
        <v>285</v>
      </c>
      <c r="B57" s="8" t="s">
        <v>194</v>
      </c>
      <c r="C57" s="8" t="s">
        <v>284</v>
      </c>
      <c r="D57" s="8" t="s">
        <v>59</v>
      </c>
      <c r="E57" s="1169">
        <v>9674</v>
      </c>
      <c r="F57" s="12">
        <f>일위대가!F381</f>
        <v>9674</v>
      </c>
      <c r="G57" s="1169">
        <v>12993</v>
      </c>
      <c r="H57" s="12">
        <f>일위대가!H381</f>
        <v>12993</v>
      </c>
      <c r="I57" s="1169">
        <v>259</v>
      </c>
      <c r="J57" s="12">
        <f>일위대가!J381</f>
        <v>259</v>
      </c>
      <c r="K57" s="1169">
        <v>22926</v>
      </c>
      <c r="L57" s="12">
        <f t="shared" si="1"/>
        <v>22926</v>
      </c>
      <c r="M57" s="8" t="s">
        <v>1413</v>
      </c>
      <c r="N57" s="8" t="s">
        <v>51</v>
      </c>
      <c r="O57" s="2" t="s">
        <v>51</v>
      </c>
      <c r="P57" s="2" t="s">
        <v>51</v>
      </c>
      <c r="Q57" s="2" t="s">
        <v>51</v>
      </c>
      <c r="R57" s="2" t="s">
        <v>51</v>
      </c>
    </row>
    <row r="58" spans="1:18" ht="30" customHeight="1">
      <c r="A58" s="8" t="s">
        <v>292</v>
      </c>
      <c r="B58" s="8" t="s">
        <v>3790</v>
      </c>
      <c r="C58" s="8" t="s">
        <v>208</v>
      </c>
      <c r="D58" s="8" t="s">
        <v>59</v>
      </c>
      <c r="E58" s="1169">
        <v>7669</v>
      </c>
      <c r="F58" s="12">
        <f>일위대가!F389</f>
        <v>7669</v>
      </c>
      <c r="G58" s="1169">
        <v>7554</v>
      </c>
      <c r="H58" s="12">
        <f>일위대가!H389</f>
        <v>7554</v>
      </c>
      <c r="I58" s="1169">
        <v>0</v>
      </c>
      <c r="J58" s="12">
        <f>일위대가!J389</f>
        <v>0</v>
      </c>
      <c r="K58" s="1169">
        <v>15223</v>
      </c>
      <c r="L58" s="12">
        <f t="shared" si="1"/>
        <v>15223</v>
      </c>
      <c r="M58" s="8" t="s">
        <v>1419</v>
      </c>
      <c r="N58" s="8"/>
      <c r="O58" s="2" t="s">
        <v>51</v>
      </c>
      <c r="P58" s="2" t="s">
        <v>51</v>
      </c>
      <c r="Q58" s="2" t="s">
        <v>51</v>
      </c>
      <c r="R58" s="2" t="s">
        <v>51</v>
      </c>
    </row>
    <row r="59" spans="1:18" ht="30" customHeight="1">
      <c r="A59" s="8" t="s">
        <v>302</v>
      </c>
      <c r="B59" s="8" t="s">
        <v>301</v>
      </c>
      <c r="C59" s="8" t="s">
        <v>3806</v>
      </c>
      <c r="D59" s="8" t="s">
        <v>59</v>
      </c>
      <c r="E59" s="1169">
        <v>18228</v>
      </c>
      <c r="F59" s="12">
        <f>일위대가!F396</f>
        <v>18228</v>
      </c>
      <c r="G59" s="1169">
        <v>12993.4</v>
      </c>
      <c r="H59" s="12">
        <f>일위대가!H396</f>
        <v>12993.4</v>
      </c>
      <c r="I59" s="1169">
        <v>259.8</v>
      </c>
      <c r="J59" s="12">
        <f>일위대가!J396</f>
        <v>259.8</v>
      </c>
      <c r="K59" s="1169">
        <v>31481.200000000001</v>
      </c>
      <c r="L59" s="12">
        <f t="shared" si="1"/>
        <v>31481.200000000001</v>
      </c>
      <c r="M59" s="8" t="s">
        <v>1424</v>
      </c>
      <c r="N59" s="8" t="s">
        <v>51</v>
      </c>
      <c r="O59" s="2" t="s">
        <v>51</v>
      </c>
      <c r="P59" s="2" t="s">
        <v>51</v>
      </c>
      <c r="Q59" s="2" t="s">
        <v>51</v>
      </c>
      <c r="R59" s="2" t="s">
        <v>51</v>
      </c>
    </row>
    <row r="60" spans="1:18" ht="30" customHeight="1">
      <c r="A60" s="8" t="s">
        <v>306</v>
      </c>
      <c r="B60" s="8" t="s">
        <v>305</v>
      </c>
      <c r="C60" s="8" t="s">
        <v>208</v>
      </c>
      <c r="D60" s="8" t="s">
        <v>59</v>
      </c>
      <c r="E60" s="1169">
        <v>42000</v>
      </c>
      <c r="F60" s="12">
        <f>일위대가!F403</f>
        <v>46000</v>
      </c>
      <c r="G60" s="1169">
        <v>10580</v>
      </c>
      <c r="H60" s="12">
        <f>일위대가!H403</f>
        <v>1501</v>
      </c>
      <c r="I60" s="1169">
        <v>0</v>
      </c>
      <c r="J60" s="12">
        <f>일위대가!J403</f>
        <v>0</v>
      </c>
      <c r="K60" s="1169">
        <v>52580</v>
      </c>
      <c r="L60" s="12">
        <f t="shared" si="1"/>
        <v>47501</v>
      </c>
      <c r="M60" s="8" t="s">
        <v>1430</v>
      </c>
      <c r="N60" s="8" t="s">
        <v>51</v>
      </c>
      <c r="O60" s="2" t="s">
        <v>51</v>
      </c>
      <c r="P60" s="2" t="s">
        <v>51</v>
      </c>
      <c r="Q60" s="2" t="s">
        <v>51</v>
      </c>
      <c r="R60" s="2" t="s">
        <v>51</v>
      </c>
    </row>
    <row r="61" spans="1:18" ht="30" customHeight="1">
      <c r="A61" s="8" t="s">
        <v>311</v>
      </c>
      <c r="B61" s="8" t="s">
        <v>309</v>
      </c>
      <c r="C61" s="8" t="s">
        <v>310</v>
      </c>
      <c r="D61" s="8" t="s">
        <v>59</v>
      </c>
      <c r="E61" s="1169">
        <v>17332</v>
      </c>
      <c r="F61" s="12">
        <f>일위대가!F412</f>
        <v>17332</v>
      </c>
      <c r="G61" s="1169">
        <v>81255</v>
      </c>
      <c r="H61" s="12">
        <f>일위대가!H412</f>
        <v>81255</v>
      </c>
      <c r="I61" s="1169">
        <v>0</v>
      </c>
      <c r="J61" s="12">
        <f>일위대가!J412</f>
        <v>0</v>
      </c>
      <c r="K61" s="1169">
        <v>98587</v>
      </c>
      <c r="L61" s="12">
        <f t="shared" si="1"/>
        <v>98587</v>
      </c>
      <c r="M61" s="8" t="s">
        <v>1437</v>
      </c>
      <c r="N61" s="8" t="s">
        <v>51</v>
      </c>
      <c r="O61" s="2" t="s">
        <v>51</v>
      </c>
      <c r="P61" s="2" t="s">
        <v>51</v>
      </c>
      <c r="Q61" s="2" t="s">
        <v>51</v>
      </c>
      <c r="R61" s="2" t="s">
        <v>51</v>
      </c>
    </row>
    <row r="62" spans="1:18" ht="30" customHeight="1">
      <c r="A62" s="8" t="s">
        <v>314</v>
      </c>
      <c r="B62" s="8" t="s">
        <v>194</v>
      </c>
      <c r="C62" s="8" t="s">
        <v>313</v>
      </c>
      <c r="D62" s="8" t="s">
        <v>59</v>
      </c>
      <c r="E62" s="1169">
        <v>8120</v>
      </c>
      <c r="F62" s="12">
        <f>일위대가!F419</f>
        <v>8120</v>
      </c>
      <c r="G62" s="1169">
        <v>26630</v>
      </c>
      <c r="H62" s="12">
        <f>일위대가!H419</f>
        <v>26630</v>
      </c>
      <c r="I62" s="1169">
        <v>532</v>
      </c>
      <c r="J62" s="12">
        <f>일위대가!J419</f>
        <v>532</v>
      </c>
      <c r="K62" s="1169">
        <v>35282</v>
      </c>
      <c r="L62" s="12">
        <f t="shared" si="1"/>
        <v>35282</v>
      </c>
      <c r="M62" s="8" t="s">
        <v>1442</v>
      </c>
      <c r="N62" s="8" t="s">
        <v>51</v>
      </c>
      <c r="O62" s="2" t="s">
        <v>51</v>
      </c>
      <c r="P62" s="2" t="s">
        <v>51</v>
      </c>
      <c r="Q62" s="2" t="s">
        <v>51</v>
      </c>
      <c r="R62" s="2" t="s">
        <v>51</v>
      </c>
    </row>
    <row r="63" spans="1:18" s="384" customFormat="1" ht="30" customHeight="1">
      <c r="A63" s="8" t="s">
        <v>316</v>
      </c>
      <c r="B63" s="8" t="s">
        <v>2689</v>
      </c>
      <c r="C63" s="8" t="s">
        <v>3444</v>
      </c>
      <c r="D63" s="8" t="s">
        <v>59</v>
      </c>
      <c r="E63" s="1169">
        <v>46860</v>
      </c>
      <c r="F63" s="403">
        <f>일위대가!F425</f>
        <v>46860</v>
      </c>
      <c r="G63" s="1169">
        <v>50003</v>
      </c>
      <c r="H63" s="403">
        <f>일위대가!H425</f>
        <v>50003</v>
      </c>
      <c r="I63" s="1169">
        <v>0</v>
      </c>
      <c r="J63" s="403">
        <f>일위대가!J425</f>
        <v>0</v>
      </c>
      <c r="K63" s="1169">
        <v>96863</v>
      </c>
      <c r="L63" s="403">
        <f t="shared" si="1"/>
        <v>96863</v>
      </c>
      <c r="M63" s="8" t="s">
        <v>1450</v>
      </c>
      <c r="N63" s="8" t="s">
        <v>51</v>
      </c>
      <c r="O63" s="400" t="s">
        <v>51</v>
      </c>
      <c r="P63" s="400" t="s">
        <v>51</v>
      </c>
      <c r="Q63" s="400" t="s">
        <v>51</v>
      </c>
      <c r="R63" s="400" t="s">
        <v>51</v>
      </c>
    </row>
    <row r="64" spans="1:18" ht="30" customHeight="1">
      <c r="A64" s="8" t="s">
        <v>322</v>
      </c>
      <c r="B64" s="8" t="s">
        <v>319</v>
      </c>
      <c r="C64" s="8"/>
      <c r="D64" s="8" t="s">
        <v>321</v>
      </c>
      <c r="E64" s="1169">
        <v>3600000</v>
      </c>
      <c r="F64" s="12">
        <f>일위대가!F430</f>
        <v>3600000</v>
      </c>
      <c r="G64" s="1169">
        <v>1593540</v>
      </c>
      <c r="H64" s="12">
        <f>일위대가!H430</f>
        <v>1593540</v>
      </c>
      <c r="I64" s="1169">
        <v>0</v>
      </c>
      <c r="J64" s="12">
        <f>일위대가!J430</f>
        <v>0</v>
      </c>
      <c r="K64" s="1169">
        <v>5193540</v>
      </c>
      <c r="L64" s="12">
        <f t="shared" si="1"/>
        <v>5193540</v>
      </c>
      <c r="M64" s="8" t="s">
        <v>1455</v>
      </c>
      <c r="N64" s="8" t="s">
        <v>51</v>
      </c>
      <c r="O64" s="2" t="s">
        <v>51</v>
      </c>
      <c r="P64" s="2" t="s">
        <v>51</v>
      </c>
      <c r="Q64" s="2" t="s">
        <v>51</v>
      </c>
      <c r="R64" s="2" t="s">
        <v>51</v>
      </c>
    </row>
    <row r="65" spans="1:18" ht="30" customHeight="1">
      <c r="A65" s="8" t="s">
        <v>326</v>
      </c>
      <c r="B65" s="8" t="s">
        <v>324</v>
      </c>
      <c r="C65" s="8"/>
      <c r="D65" s="8" t="s">
        <v>321</v>
      </c>
      <c r="E65" s="1169">
        <v>3037500</v>
      </c>
      <c r="F65" s="12">
        <f>일위대가!F435</f>
        <v>3037500</v>
      </c>
      <c r="G65" s="1169">
        <v>1266660</v>
      </c>
      <c r="H65" s="12">
        <f>일위대가!H435</f>
        <v>1266660</v>
      </c>
      <c r="I65" s="1169">
        <v>0</v>
      </c>
      <c r="J65" s="12">
        <f>일위대가!J435</f>
        <v>0</v>
      </c>
      <c r="K65" s="1169">
        <v>4304160</v>
      </c>
      <c r="L65" s="12">
        <f t="shared" si="1"/>
        <v>4304160</v>
      </c>
      <c r="M65" s="8" t="s">
        <v>1460</v>
      </c>
      <c r="N65" s="8" t="s">
        <v>51</v>
      </c>
      <c r="O65" s="2" t="s">
        <v>51</v>
      </c>
      <c r="P65" s="2" t="s">
        <v>51</v>
      </c>
      <c r="Q65" s="2" t="s">
        <v>51</v>
      </c>
      <c r="R65" s="2" t="s">
        <v>51</v>
      </c>
    </row>
    <row r="66" spans="1:18" ht="30" customHeight="1">
      <c r="A66" s="8" t="s">
        <v>330</v>
      </c>
      <c r="B66" s="8" t="s">
        <v>328</v>
      </c>
      <c r="C66" s="8"/>
      <c r="D66" s="8" t="s">
        <v>321</v>
      </c>
      <c r="E66" s="1169">
        <v>1350000</v>
      </c>
      <c r="F66" s="12">
        <f>일위대가!F440</f>
        <v>1350000</v>
      </c>
      <c r="G66" s="1169">
        <v>1012500</v>
      </c>
      <c r="H66" s="12">
        <f>일위대가!H440</f>
        <v>1012500</v>
      </c>
      <c r="I66" s="1169">
        <v>0</v>
      </c>
      <c r="J66" s="12">
        <f>일위대가!J440</f>
        <v>0</v>
      </c>
      <c r="K66" s="1169">
        <v>2362500</v>
      </c>
      <c r="L66" s="12">
        <f t="shared" si="1"/>
        <v>2362500</v>
      </c>
      <c r="M66" s="8" t="s">
        <v>1465</v>
      </c>
      <c r="N66" s="8" t="s">
        <v>51</v>
      </c>
      <c r="O66" s="2" t="s">
        <v>51</v>
      </c>
      <c r="P66" s="2" t="s">
        <v>51</v>
      </c>
      <c r="Q66" s="2" t="s">
        <v>51</v>
      </c>
      <c r="R66" s="2" t="s">
        <v>51</v>
      </c>
    </row>
    <row r="67" spans="1:18" ht="30" customHeight="1">
      <c r="A67" s="8" t="s">
        <v>334</v>
      </c>
      <c r="B67" s="8" t="s">
        <v>332</v>
      </c>
      <c r="C67" s="8"/>
      <c r="D67" s="8" t="s">
        <v>321</v>
      </c>
      <c r="E67" s="1169">
        <v>4612500</v>
      </c>
      <c r="F67" s="12">
        <f>일위대가!F445</f>
        <v>4612500</v>
      </c>
      <c r="G67" s="1169">
        <v>449460</v>
      </c>
      <c r="H67" s="12">
        <f>일위대가!H445</f>
        <v>449460</v>
      </c>
      <c r="I67" s="1169">
        <v>0</v>
      </c>
      <c r="J67" s="12">
        <f>일위대가!J445</f>
        <v>0</v>
      </c>
      <c r="K67" s="1169">
        <v>5061960</v>
      </c>
      <c r="L67" s="12">
        <f t="shared" si="1"/>
        <v>5061960</v>
      </c>
      <c r="M67" s="8" t="s">
        <v>1470</v>
      </c>
      <c r="N67" s="8" t="s">
        <v>51</v>
      </c>
      <c r="O67" s="2" t="s">
        <v>51</v>
      </c>
      <c r="P67" s="2" t="s">
        <v>51</v>
      </c>
      <c r="Q67" s="2" t="s">
        <v>51</v>
      </c>
      <c r="R67" s="2" t="s">
        <v>51</v>
      </c>
    </row>
    <row r="68" spans="1:18" ht="30" customHeight="1">
      <c r="A68" s="8" t="s">
        <v>337</v>
      </c>
      <c r="B68" s="8" t="s">
        <v>336</v>
      </c>
      <c r="C68" s="8"/>
      <c r="D68" s="8" t="s">
        <v>321</v>
      </c>
      <c r="E68" s="1169">
        <v>3268800</v>
      </c>
      <c r="F68" s="12">
        <f>일위대가!F450</f>
        <v>3268800</v>
      </c>
      <c r="G68" s="1169">
        <v>1676700</v>
      </c>
      <c r="H68" s="12">
        <f>일위대가!H450</f>
        <v>1676700</v>
      </c>
      <c r="I68" s="1169">
        <v>0</v>
      </c>
      <c r="J68" s="12">
        <f>일위대가!J450</f>
        <v>0</v>
      </c>
      <c r="K68" s="1169">
        <v>4945500</v>
      </c>
      <c r="L68" s="12">
        <f t="shared" si="1"/>
        <v>4945500</v>
      </c>
      <c r="M68" s="8" t="s">
        <v>1475</v>
      </c>
      <c r="N68" s="8" t="s">
        <v>51</v>
      </c>
      <c r="O68" s="2" t="s">
        <v>51</v>
      </c>
      <c r="P68" s="2" t="s">
        <v>51</v>
      </c>
      <c r="Q68" s="2" t="s">
        <v>51</v>
      </c>
      <c r="R68" s="2" t="s">
        <v>51</v>
      </c>
    </row>
    <row r="69" spans="1:18" ht="30" customHeight="1">
      <c r="A69" s="8" t="s">
        <v>340</v>
      </c>
      <c r="B69" s="8" t="s">
        <v>339</v>
      </c>
      <c r="C69" s="8"/>
      <c r="D69" s="8" t="s">
        <v>321</v>
      </c>
      <c r="E69" s="1169">
        <v>4188150</v>
      </c>
      <c r="F69" s="12">
        <f>일위대가!F455</f>
        <v>4188150</v>
      </c>
      <c r="G69" s="1169">
        <v>1341360</v>
      </c>
      <c r="H69" s="12">
        <f>일위대가!H455</f>
        <v>1341360</v>
      </c>
      <c r="I69" s="1169">
        <v>0</v>
      </c>
      <c r="J69" s="12">
        <f>일위대가!J455</f>
        <v>0</v>
      </c>
      <c r="K69" s="1169">
        <v>5529510</v>
      </c>
      <c r="L69" s="12">
        <f t="shared" ref="L69:L96" si="2">F69+H69+J69</f>
        <v>5529510</v>
      </c>
      <c r="M69" s="8" t="s">
        <v>1480</v>
      </c>
      <c r="N69" s="8" t="s">
        <v>51</v>
      </c>
      <c r="O69" s="2" t="s">
        <v>51</v>
      </c>
      <c r="P69" s="2" t="s">
        <v>51</v>
      </c>
      <c r="Q69" s="2" t="s">
        <v>51</v>
      </c>
      <c r="R69" s="2" t="s">
        <v>51</v>
      </c>
    </row>
    <row r="70" spans="1:18" ht="30" customHeight="1">
      <c r="A70" s="8" t="s">
        <v>344</v>
      </c>
      <c r="B70" s="8" t="s">
        <v>342</v>
      </c>
      <c r="C70" s="8"/>
      <c r="D70" s="8" t="s">
        <v>321</v>
      </c>
      <c r="E70" s="1169">
        <v>550000</v>
      </c>
      <c r="F70" s="12">
        <f>일위대가!F460</f>
        <v>550000</v>
      </c>
      <c r="G70" s="1169">
        <v>180000</v>
      </c>
      <c r="H70" s="12">
        <f>일위대가!H460</f>
        <v>180000</v>
      </c>
      <c r="I70" s="1169">
        <v>0</v>
      </c>
      <c r="J70" s="12">
        <f>일위대가!J460</f>
        <v>0</v>
      </c>
      <c r="K70" s="1169">
        <v>730000</v>
      </c>
      <c r="L70" s="12">
        <f t="shared" si="2"/>
        <v>730000</v>
      </c>
      <c r="M70" s="8" t="s">
        <v>1485</v>
      </c>
      <c r="N70" s="8" t="s">
        <v>51</v>
      </c>
      <c r="O70" s="2" t="s">
        <v>51</v>
      </c>
      <c r="P70" s="2" t="s">
        <v>51</v>
      </c>
      <c r="Q70" s="2" t="s">
        <v>51</v>
      </c>
      <c r="R70" s="2" t="s">
        <v>51</v>
      </c>
    </row>
    <row r="71" spans="1:18" ht="30" customHeight="1">
      <c r="A71" s="8" t="s">
        <v>347</v>
      </c>
      <c r="B71" s="8" t="s">
        <v>346</v>
      </c>
      <c r="C71" s="8"/>
      <c r="D71" s="8" t="s">
        <v>321</v>
      </c>
      <c r="E71" s="1169">
        <v>495000</v>
      </c>
      <c r="F71" s="12">
        <f>일위대가!F465</f>
        <v>495000</v>
      </c>
      <c r="G71" s="1169">
        <v>162000</v>
      </c>
      <c r="H71" s="12">
        <f>일위대가!H465</f>
        <v>162000</v>
      </c>
      <c r="I71" s="1169">
        <v>0</v>
      </c>
      <c r="J71" s="12">
        <f>일위대가!J465</f>
        <v>0</v>
      </c>
      <c r="K71" s="1169">
        <v>657000</v>
      </c>
      <c r="L71" s="12">
        <f t="shared" si="2"/>
        <v>657000</v>
      </c>
      <c r="M71" s="8" t="s">
        <v>1490</v>
      </c>
      <c r="N71" s="8" t="s">
        <v>51</v>
      </c>
      <c r="O71" s="2" t="s">
        <v>51</v>
      </c>
      <c r="P71" s="2" t="s">
        <v>51</v>
      </c>
      <c r="Q71" s="2" t="s">
        <v>51</v>
      </c>
      <c r="R71" s="2" t="s">
        <v>51</v>
      </c>
    </row>
    <row r="72" spans="1:18" ht="30" customHeight="1">
      <c r="A72" s="8" t="s">
        <v>351</v>
      </c>
      <c r="B72" s="8" t="s">
        <v>349</v>
      </c>
      <c r="C72" s="8"/>
      <c r="D72" s="8" t="s">
        <v>321</v>
      </c>
      <c r="E72" s="1169">
        <v>453600</v>
      </c>
      <c r="F72" s="12">
        <f>일위대가!F470</f>
        <v>453600</v>
      </c>
      <c r="G72" s="1169">
        <v>194400</v>
      </c>
      <c r="H72" s="12">
        <f>일위대가!H470</f>
        <v>194400</v>
      </c>
      <c r="I72" s="1169">
        <v>0</v>
      </c>
      <c r="J72" s="12">
        <f>일위대가!J470</f>
        <v>0</v>
      </c>
      <c r="K72" s="1169">
        <v>648000</v>
      </c>
      <c r="L72" s="12">
        <f t="shared" si="2"/>
        <v>648000</v>
      </c>
      <c r="M72" s="8" t="s">
        <v>1495</v>
      </c>
      <c r="N72" s="8" t="s">
        <v>51</v>
      </c>
      <c r="O72" s="2" t="s">
        <v>51</v>
      </c>
      <c r="P72" s="2" t="s">
        <v>51</v>
      </c>
      <c r="Q72" s="2" t="s">
        <v>51</v>
      </c>
      <c r="R72" s="2" t="s">
        <v>51</v>
      </c>
    </row>
    <row r="73" spans="1:18" ht="30" customHeight="1">
      <c r="A73" s="8" t="s">
        <v>354</v>
      </c>
      <c r="B73" s="8" t="s">
        <v>353</v>
      </c>
      <c r="C73" s="8"/>
      <c r="D73" s="8" t="s">
        <v>321</v>
      </c>
      <c r="E73" s="1169">
        <v>2366400</v>
      </c>
      <c r="F73" s="12">
        <f>일위대가!F475</f>
        <v>2366400</v>
      </c>
      <c r="G73" s="1169">
        <v>1166400</v>
      </c>
      <c r="H73" s="12">
        <f>일위대가!H475</f>
        <v>1166400</v>
      </c>
      <c r="I73" s="1169">
        <v>0</v>
      </c>
      <c r="J73" s="12">
        <f>일위대가!J475</f>
        <v>0</v>
      </c>
      <c r="K73" s="1169">
        <v>3532800</v>
      </c>
      <c r="L73" s="12">
        <f t="shared" si="2"/>
        <v>3532800</v>
      </c>
      <c r="M73" s="8" t="s">
        <v>1500</v>
      </c>
      <c r="N73" s="8" t="s">
        <v>51</v>
      </c>
      <c r="O73" s="2" t="s">
        <v>51</v>
      </c>
      <c r="P73" s="2" t="s">
        <v>51</v>
      </c>
      <c r="Q73" s="2" t="s">
        <v>51</v>
      </c>
      <c r="R73" s="2" t="s">
        <v>51</v>
      </c>
    </row>
    <row r="74" spans="1:18" ht="30" customHeight="1">
      <c r="A74" s="8" t="s">
        <v>357</v>
      </c>
      <c r="B74" s="8" t="s">
        <v>356</v>
      </c>
      <c r="C74" s="8"/>
      <c r="D74" s="8" t="s">
        <v>321</v>
      </c>
      <c r="E74" s="1169">
        <v>2366400</v>
      </c>
      <c r="F74" s="12">
        <f>일위대가!F480</f>
        <v>2366400</v>
      </c>
      <c r="G74" s="1169">
        <v>1555200</v>
      </c>
      <c r="H74" s="12">
        <f>일위대가!H480</f>
        <v>1555200</v>
      </c>
      <c r="I74" s="1169">
        <v>0</v>
      </c>
      <c r="J74" s="12">
        <f>일위대가!J480</f>
        <v>0</v>
      </c>
      <c r="K74" s="1169">
        <v>3921600</v>
      </c>
      <c r="L74" s="12">
        <f t="shared" si="2"/>
        <v>3921600</v>
      </c>
      <c r="M74" s="8" t="s">
        <v>1505</v>
      </c>
      <c r="N74" s="8" t="s">
        <v>51</v>
      </c>
      <c r="O74" s="2" t="s">
        <v>51</v>
      </c>
      <c r="P74" s="2" t="s">
        <v>51</v>
      </c>
      <c r="Q74" s="2" t="s">
        <v>51</v>
      </c>
      <c r="R74" s="2" t="s">
        <v>51</v>
      </c>
    </row>
    <row r="75" spans="1:18" ht="30" customHeight="1">
      <c r="A75" s="8" t="s">
        <v>360</v>
      </c>
      <c r="B75" s="8" t="s">
        <v>359</v>
      </c>
      <c r="C75" s="8"/>
      <c r="D75" s="8" t="s">
        <v>321</v>
      </c>
      <c r="E75" s="1169">
        <v>5875200</v>
      </c>
      <c r="F75" s="12">
        <f>일위대가!F485</f>
        <v>5875200</v>
      </c>
      <c r="G75" s="1169">
        <v>1832500</v>
      </c>
      <c r="H75" s="12">
        <f>일위대가!H485</f>
        <v>1832500</v>
      </c>
      <c r="I75" s="1169">
        <v>0</v>
      </c>
      <c r="J75" s="12">
        <f>일위대가!J485</f>
        <v>0</v>
      </c>
      <c r="K75" s="1169">
        <v>7707700</v>
      </c>
      <c r="L75" s="12">
        <f t="shared" si="2"/>
        <v>7707700</v>
      </c>
      <c r="M75" s="8" t="s">
        <v>1510</v>
      </c>
      <c r="N75" s="8" t="s">
        <v>51</v>
      </c>
      <c r="O75" s="2" t="s">
        <v>51</v>
      </c>
      <c r="P75" s="2" t="s">
        <v>51</v>
      </c>
      <c r="Q75" s="2" t="s">
        <v>51</v>
      </c>
      <c r="R75" s="2" t="s">
        <v>51</v>
      </c>
    </row>
    <row r="76" spans="1:18" ht="30" customHeight="1">
      <c r="A76" s="8" t="s">
        <v>364</v>
      </c>
      <c r="B76" s="8" t="s">
        <v>362</v>
      </c>
      <c r="C76" s="8"/>
      <c r="D76" s="8" t="s">
        <v>321</v>
      </c>
      <c r="E76" s="1169">
        <v>153000</v>
      </c>
      <c r="F76" s="12">
        <f>일위대가!F490</f>
        <v>153000</v>
      </c>
      <c r="G76" s="1169">
        <v>162000</v>
      </c>
      <c r="H76" s="12">
        <f>일위대가!H490</f>
        <v>162000</v>
      </c>
      <c r="I76" s="1169">
        <v>0</v>
      </c>
      <c r="J76" s="12">
        <f>일위대가!J490</f>
        <v>0</v>
      </c>
      <c r="K76" s="1169">
        <v>315000</v>
      </c>
      <c r="L76" s="12">
        <f t="shared" si="2"/>
        <v>315000</v>
      </c>
      <c r="M76" s="8" t="s">
        <v>1515</v>
      </c>
      <c r="N76" s="8" t="s">
        <v>51</v>
      </c>
      <c r="O76" s="2" t="s">
        <v>51</v>
      </c>
      <c r="P76" s="2" t="s">
        <v>51</v>
      </c>
      <c r="Q76" s="2" t="s">
        <v>51</v>
      </c>
      <c r="R76" s="2" t="s">
        <v>51</v>
      </c>
    </row>
    <row r="77" spans="1:18" ht="30" customHeight="1">
      <c r="A77" s="8" t="s">
        <v>368</v>
      </c>
      <c r="B77" s="8" t="s">
        <v>366</v>
      </c>
      <c r="C77" s="8"/>
      <c r="D77" s="8" t="s">
        <v>321</v>
      </c>
      <c r="E77" s="1169">
        <v>2692800</v>
      </c>
      <c r="F77" s="12">
        <f>일위대가!F495</f>
        <v>2692800</v>
      </c>
      <c r="G77" s="1169">
        <v>1609200</v>
      </c>
      <c r="H77" s="12">
        <f>일위대가!H495</f>
        <v>1609200</v>
      </c>
      <c r="I77" s="1169">
        <v>0</v>
      </c>
      <c r="J77" s="12">
        <f>일위대가!J495</f>
        <v>0</v>
      </c>
      <c r="K77" s="1169">
        <v>4302000</v>
      </c>
      <c r="L77" s="12">
        <f t="shared" si="2"/>
        <v>4302000</v>
      </c>
      <c r="M77" s="8" t="s">
        <v>1520</v>
      </c>
      <c r="N77" s="8" t="s">
        <v>51</v>
      </c>
      <c r="O77" s="2" t="s">
        <v>51</v>
      </c>
      <c r="P77" s="2" t="s">
        <v>51</v>
      </c>
      <c r="Q77" s="2" t="s">
        <v>51</v>
      </c>
      <c r="R77" s="2" t="s">
        <v>51</v>
      </c>
    </row>
    <row r="78" spans="1:18" ht="30" customHeight="1">
      <c r="A78" s="8" t="s">
        <v>392</v>
      </c>
      <c r="B78" s="8" t="s">
        <v>390</v>
      </c>
      <c r="C78" s="8" t="s">
        <v>391</v>
      </c>
      <c r="D78" s="8" t="s">
        <v>204</v>
      </c>
      <c r="E78" s="1169">
        <v>1883</v>
      </c>
      <c r="F78" s="12">
        <f>일위대가!F500</f>
        <v>1883</v>
      </c>
      <c r="G78" s="1169">
        <v>4417</v>
      </c>
      <c r="H78" s="12">
        <f>일위대가!H500</f>
        <v>4417</v>
      </c>
      <c r="I78" s="1169">
        <v>0</v>
      </c>
      <c r="J78" s="12">
        <f>일위대가!J500</f>
        <v>0</v>
      </c>
      <c r="K78" s="1169">
        <v>6300</v>
      </c>
      <c r="L78" s="12">
        <f t="shared" si="2"/>
        <v>6300</v>
      </c>
      <c r="M78" s="8" t="s">
        <v>4564</v>
      </c>
      <c r="N78" s="8" t="s">
        <v>51</v>
      </c>
      <c r="O78" s="2" t="s">
        <v>51</v>
      </c>
      <c r="P78" s="2" t="s">
        <v>51</v>
      </c>
      <c r="Q78" s="2" t="s">
        <v>51</v>
      </c>
      <c r="R78" s="2" t="s">
        <v>51</v>
      </c>
    </row>
    <row r="79" spans="1:18" ht="30" customHeight="1">
      <c r="A79" s="8" t="s">
        <v>395</v>
      </c>
      <c r="B79" s="8" t="s">
        <v>488</v>
      </c>
      <c r="C79" s="8" t="s">
        <v>489</v>
      </c>
      <c r="D79" s="8" t="s">
        <v>419</v>
      </c>
      <c r="E79" s="1169">
        <v>0</v>
      </c>
      <c r="F79" s="12">
        <f>일위대가!F504</f>
        <v>0</v>
      </c>
      <c r="G79" s="1169">
        <v>192305</v>
      </c>
      <c r="H79" s="12">
        <f>일위대가!H504</f>
        <v>192305</v>
      </c>
      <c r="I79" s="1169">
        <v>0</v>
      </c>
      <c r="J79" s="12">
        <f>일위대가!J504</f>
        <v>0</v>
      </c>
      <c r="K79" s="1169">
        <v>192305</v>
      </c>
      <c r="L79" s="12">
        <f t="shared" si="2"/>
        <v>192305</v>
      </c>
      <c r="M79" s="8" t="s">
        <v>1529</v>
      </c>
      <c r="N79" s="8" t="s">
        <v>51</v>
      </c>
      <c r="O79" s="2" t="s">
        <v>51</v>
      </c>
      <c r="P79" s="2" t="s">
        <v>51</v>
      </c>
      <c r="Q79" s="2" t="s">
        <v>51</v>
      </c>
      <c r="R79" s="2" t="s">
        <v>51</v>
      </c>
    </row>
    <row r="80" spans="1:18" ht="30" customHeight="1">
      <c r="A80" s="8" t="s">
        <v>490</v>
      </c>
      <c r="B80" s="8" t="s">
        <v>4748</v>
      </c>
      <c r="C80" s="8" t="s">
        <v>489</v>
      </c>
      <c r="D80" s="8" t="s">
        <v>321</v>
      </c>
      <c r="E80" s="1169">
        <v>45000</v>
      </c>
      <c r="F80" s="12">
        <f>일위대가!F509</f>
        <v>16461</v>
      </c>
      <c r="G80" s="1169">
        <v>20353</v>
      </c>
      <c r="H80" s="12">
        <f>일위대가!H509</f>
        <v>20353</v>
      </c>
      <c r="I80" s="1169">
        <v>0</v>
      </c>
      <c r="J80" s="12">
        <f>일위대가!J509</f>
        <v>0</v>
      </c>
      <c r="K80" s="1169">
        <v>65353</v>
      </c>
      <c r="L80" s="12">
        <f t="shared" si="2"/>
        <v>36814</v>
      </c>
      <c r="M80" s="8" t="s">
        <v>1531</v>
      </c>
      <c r="N80" s="8" t="s">
        <v>51</v>
      </c>
      <c r="O80" s="2" t="s">
        <v>51</v>
      </c>
      <c r="P80" s="2" t="s">
        <v>51</v>
      </c>
      <c r="Q80" s="2" t="s">
        <v>51</v>
      </c>
      <c r="R80" s="2" t="s">
        <v>51</v>
      </c>
    </row>
    <row r="81" spans="1:18" ht="30" customHeight="1">
      <c r="A81" s="8" t="s">
        <v>592</v>
      </c>
      <c r="B81" s="8" t="s">
        <v>105</v>
      </c>
      <c r="C81" s="8" t="s">
        <v>94</v>
      </c>
      <c r="D81" s="8" t="s">
        <v>204</v>
      </c>
      <c r="E81" s="1169">
        <v>0</v>
      </c>
      <c r="F81" s="12">
        <f>일위대가!F514</f>
        <v>0</v>
      </c>
      <c r="G81" s="1169">
        <v>6675</v>
      </c>
      <c r="H81" s="12">
        <f>일위대가!H514</f>
        <v>6675</v>
      </c>
      <c r="I81" s="1169">
        <v>0</v>
      </c>
      <c r="J81" s="12">
        <f>일위대가!J514</f>
        <v>0</v>
      </c>
      <c r="K81" s="1169">
        <v>6675</v>
      </c>
      <c r="L81" s="12">
        <f t="shared" si="2"/>
        <v>6675</v>
      </c>
      <c r="M81" s="8" t="s">
        <v>1534</v>
      </c>
      <c r="N81" s="8" t="s">
        <v>51</v>
      </c>
      <c r="O81" s="2" t="s">
        <v>51</v>
      </c>
      <c r="P81" s="2" t="s">
        <v>51</v>
      </c>
      <c r="Q81" s="2" t="s">
        <v>51</v>
      </c>
      <c r="R81" s="2" t="s">
        <v>51</v>
      </c>
    </row>
    <row r="82" spans="1:18" ht="30" customHeight="1">
      <c r="A82" s="8" t="s">
        <v>610</v>
      </c>
      <c r="B82" s="8" t="s">
        <v>618</v>
      </c>
      <c r="C82" s="8" t="s">
        <v>94</v>
      </c>
      <c r="D82" s="8" t="s">
        <v>59</v>
      </c>
      <c r="E82" s="1169">
        <v>0</v>
      </c>
      <c r="F82" s="12">
        <f>일위대가!F519</f>
        <v>0</v>
      </c>
      <c r="G82" s="1169">
        <v>3826</v>
      </c>
      <c r="H82" s="12">
        <f>일위대가!H519</f>
        <v>3826</v>
      </c>
      <c r="I82" s="1169">
        <v>0</v>
      </c>
      <c r="J82" s="12">
        <f>일위대가!J519</f>
        <v>0</v>
      </c>
      <c r="K82" s="1169">
        <v>3826</v>
      </c>
      <c r="L82" s="12">
        <f t="shared" si="2"/>
        <v>3826</v>
      </c>
      <c r="M82" s="8" t="s">
        <v>1535</v>
      </c>
      <c r="N82" s="8" t="s">
        <v>51</v>
      </c>
      <c r="O82" s="2" t="s">
        <v>51</v>
      </c>
      <c r="P82" s="2" t="s">
        <v>51</v>
      </c>
      <c r="Q82" s="2" t="s">
        <v>51</v>
      </c>
      <c r="R82" s="2" t="s">
        <v>51</v>
      </c>
    </row>
    <row r="83" spans="1:18" ht="30" customHeight="1">
      <c r="A83" s="8" t="s">
        <v>619</v>
      </c>
      <c r="B83" s="8" t="s">
        <v>629</v>
      </c>
      <c r="C83" s="8" t="s">
        <v>630</v>
      </c>
      <c r="D83" s="8" t="s">
        <v>59</v>
      </c>
      <c r="E83" s="1169">
        <v>16769</v>
      </c>
      <c r="F83" s="12">
        <f>일위대가!F538</f>
        <v>5597</v>
      </c>
      <c r="G83" s="1169">
        <v>37271</v>
      </c>
      <c r="H83" s="12">
        <f>일위대가!H538</f>
        <v>8790</v>
      </c>
      <c r="I83" s="1169">
        <v>0</v>
      </c>
      <c r="J83" s="12">
        <f>일위대가!J538</f>
        <v>0</v>
      </c>
      <c r="K83" s="1169">
        <v>54040</v>
      </c>
      <c r="L83" s="12">
        <f t="shared" si="2"/>
        <v>14387</v>
      </c>
      <c r="M83" s="8" t="s">
        <v>1536</v>
      </c>
      <c r="N83" s="8" t="s">
        <v>51</v>
      </c>
      <c r="O83" s="2" t="s">
        <v>51</v>
      </c>
      <c r="P83" s="2" t="s">
        <v>51</v>
      </c>
      <c r="Q83" s="2" t="s">
        <v>51</v>
      </c>
      <c r="R83" s="2" t="s">
        <v>51</v>
      </c>
    </row>
    <row r="84" spans="1:18" ht="30" customHeight="1">
      <c r="A84" s="8" t="s">
        <v>631</v>
      </c>
      <c r="B84" s="8" t="s">
        <v>633</v>
      </c>
      <c r="C84" s="8" t="s">
        <v>634</v>
      </c>
      <c r="D84" s="8" t="s">
        <v>59</v>
      </c>
      <c r="E84" s="1169">
        <v>4880</v>
      </c>
      <c r="F84" s="12">
        <f>일위대가!F546</f>
        <v>4880</v>
      </c>
      <c r="G84" s="1169">
        <v>15394</v>
      </c>
      <c r="H84" s="12">
        <f>일위대가!H546</f>
        <v>15394</v>
      </c>
      <c r="I84" s="1169">
        <v>118</v>
      </c>
      <c r="J84" s="12">
        <f>일위대가!J546</f>
        <v>118</v>
      </c>
      <c r="K84" s="1169">
        <v>20392</v>
      </c>
      <c r="L84" s="12">
        <f t="shared" si="2"/>
        <v>20392</v>
      </c>
      <c r="M84" s="8" t="s">
        <v>1537</v>
      </c>
      <c r="N84" s="8" t="s">
        <v>51</v>
      </c>
      <c r="O84" s="2" t="s">
        <v>51</v>
      </c>
      <c r="P84" s="2" t="s">
        <v>51</v>
      </c>
      <c r="Q84" s="2" t="s">
        <v>51</v>
      </c>
      <c r="R84" s="2" t="s">
        <v>51</v>
      </c>
    </row>
    <row r="85" spans="1:18" ht="30" customHeight="1">
      <c r="A85" s="8" t="s">
        <v>635</v>
      </c>
      <c r="B85" s="8" t="s">
        <v>637</v>
      </c>
      <c r="C85" s="8" t="s">
        <v>208</v>
      </c>
      <c r="D85" s="8" t="s">
        <v>59</v>
      </c>
      <c r="E85" s="1169">
        <v>1701</v>
      </c>
      <c r="F85" s="12">
        <f>일위대가!F555</f>
        <v>4200</v>
      </c>
      <c r="G85" s="1169">
        <v>12917</v>
      </c>
      <c r="H85" s="12">
        <f>일위대가!H555</f>
        <v>9200</v>
      </c>
      <c r="I85" s="1169">
        <v>0</v>
      </c>
      <c r="J85" s="12">
        <f>일위대가!J555</f>
        <v>0</v>
      </c>
      <c r="K85" s="1169">
        <v>14618</v>
      </c>
      <c r="L85" s="12">
        <f t="shared" si="2"/>
        <v>13400</v>
      </c>
      <c r="M85" s="8" t="s">
        <v>1538</v>
      </c>
      <c r="N85" s="8" t="s">
        <v>51</v>
      </c>
      <c r="O85" s="2" t="s">
        <v>51</v>
      </c>
      <c r="P85" s="2" t="s">
        <v>51</v>
      </c>
      <c r="Q85" s="2" t="s">
        <v>51</v>
      </c>
      <c r="R85" s="2" t="s">
        <v>51</v>
      </c>
    </row>
    <row r="86" spans="1:18" ht="30" customHeight="1">
      <c r="A86" s="8" t="s">
        <v>638</v>
      </c>
      <c r="B86" s="8" t="s">
        <v>198</v>
      </c>
      <c r="C86" s="8" t="s">
        <v>644</v>
      </c>
      <c r="D86" s="8" t="s">
        <v>59</v>
      </c>
      <c r="E86" s="1169">
        <v>3426</v>
      </c>
      <c r="F86" s="12">
        <f>일위대가!F560</f>
        <v>3426</v>
      </c>
      <c r="G86" s="1169">
        <v>12993</v>
      </c>
      <c r="H86" s="12">
        <f>일위대가!H560</f>
        <v>12993</v>
      </c>
      <c r="I86" s="1169">
        <v>259</v>
      </c>
      <c r="J86" s="12">
        <f>일위대가!J560</f>
        <v>259</v>
      </c>
      <c r="K86" s="1169">
        <v>16678</v>
      </c>
      <c r="L86" s="12">
        <f t="shared" si="2"/>
        <v>16678</v>
      </c>
      <c r="M86" s="8" t="s">
        <v>1541</v>
      </c>
      <c r="N86" s="8" t="s">
        <v>51</v>
      </c>
      <c r="O86" s="2" t="s">
        <v>51</v>
      </c>
      <c r="P86" s="2" t="s">
        <v>51</v>
      </c>
      <c r="Q86" s="2" t="s">
        <v>51</v>
      </c>
      <c r="R86" s="2" t="s">
        <v>51</v>
      </c>
    </row>
    <row r="87" spans="1:18" ht="30" customHeight="1">
      <c r="A87" s="8" t="s">
        <v>645</v>
      </c>
      <c r="B87" s="8" t="s">
        <v>672</v>
      </c>
      <c r="C87" s="8" t="s">
        <v>673</v>
      </c>
      <c r="D87" s="8" t="s">
        <v>59</v>
      </c>
      <c r="E87" s="1169">
        <v>10000</v>
      </c>
      <c r="F87" s="12">
        <f>일위대가!F566</f>
        <v>10000</v>
      </c>
      <c r="G87" s="1169">
        <v>11201</v>
      </c>
      <c r="H87" s="12">
        <f>일위대가!H566</f>
        <v>11201</v>
      </c>
      <c r="I87" s="1169">
        <v>0</v>
      </c>
      <c r="J87" s="12">
        <f>일위대가!J566</f>
        <v>0</v>
      </c>
      <c r="K87" s="1169">
        <v>21201</v>
      </c>
      <c r="L87" s="12">
        <f t="shared" si="2"/>
        <v>21201</v>
      </c>
      <c r="M87" s="8" t="s">
        <v>1544</v>
      </c>
      <c r="N87" s="8" t="s">
        <v>51</v>
      </c>
      <c r="O87" s="2" t="s">
        <v>51</v>
      </c>
      <c r="P87" s="2" t="s">
        <v>51</v>
      </c>
      <c r="Q87" s="2" t="s">
        <v>51</v>
      </c>
      <c r="R87" s="2" t="s">
        <v>51</v>
      </c>
    </row>
    <row r="88" spans="1:18" ht="30" customHeight="1">
      <c r="A88" s="8" t="s">
        <v>674</v>
      </c>
      <c r="B88" s="8" t="s">
        <v>677</v>
      </c>
      <c r="C88" s="8" t="s">
        <v>678</v>
      </c>
      <c r="D88" s="8" t="s">
        <v>59</v>
      </c>
      <c r="E88" s="1169">
        <v>13590</v>
      </c>
      <c r="F88" s="12">
        <f>일위대가!F582</f>
        <v>13590</v>
      </c>
      <c r="G88" s="1169">
        <v>26598</v>
      </c>
      <c r="H88" s="12">
        <f>일위대가!H582</f>
        <v>26598</v>
      </c>
      <c r="I88" s="1169">
        <v>849</v>
      </c>
      <c r="J88" s="12">
        <f>일위대가!J582</f>
        <v>849</v>
      </c>
      <c r="K88" s="1169">
        <v>41037</v>
      </c>
      <c r="L88" s="12">
        <f t="shared" si="2"/>
        <v>41037</v>
      </c>
      <c r="M88" s="8" t="s">
        <v>1589</v>
      </c>
      <c r="N88" s="8" t="s">
        <v>51</v>
      </c>
      <c r="O88" s="2" t="s">
        <v>51</v>
      </c>
      <c r="P88" s="2" t="s">
        <v>51</v>
      </c>
      <c r="Q88" s="2" t="s">
        <v>51</v>
      </c>
      <c r="R88" s="2" t="s">
        <v>51</v>
      </c>
    </row>
    <row r="89" spans="1:18" ht="30" customHeight="1">
      <c r="A89" s="8" t="s">
        <v>679</v>
      </c>
      <c r="B89" s="8" t="s">
        <v>683</v>
      </c>
      <c r="C89" s="8" t="s">
        <v>684</v>
      </c>
      <c r="D89" s="8" t="s">
        <v>204</v>
      </c>
      <c r="E89" s="1169">
        <v>4500</v>
      </c>
      <c r="F89" s="12">
        <f>일위대가!F588</f>
        <v>4500</v>
      </c>
      <c r="G89" s="1169">
        <v>7123</v>
      </c>
      <c r="H89" s="12">
        <f>일위대가!H588</f>
        <v>7123</v>
      </c>
      <c r="I89" s="1169">
        <v>284</v>
      </c>
      <c r="J89" s="12">
        <f>일위대가!J588</f>
        <v>284</v>
      </c>
      <c r="K89" s="1169">
        <v>11907</v>
      </c>
      <c r="L89" s="12">
        <f t="shared" si="2"/>
        <v>11907</v>
      </c>
      <c r="M89" s="8" t="s">
        <v>1598</v>
      </c>
      <c r="N89" s="8" t="s">
        <v>51</v>
      </c>
      <c r="O89" s="2" t="s">
        <v>51</v>
      </c>
      <c r="P89" s="2" t="s">
        <v>51</v>
      </c>
      <c r="Q89" s="2" t="s">
        <v>51</v>
      </c>
      <c r="R89" s="2" t="s">
        <v>51</v>
      </c>
    </row>
    <row r="90" spans="1:18" ht="30" customHeight="1">
      <c r="A90" s="8" t="s">
        <v>685</v>
      </c>
      <c r="B90" s="8" t="s">
        <v>708</v>
      </c>
      <c r="C90" s="8" t="s">
        <v>709</v>
      </c>
      <c r="D90" s="8" t="s">
        <v>59</v>
      </c>
      <c r="E90" s="1169">
        <v>52635</v>
      </c>
      <c r="F90" s="12">
        <f>일위대가!F594</f>
        <v>35200</v>
      </c>
      <c r="G90" s="1169">
        <v>95162</v>
      </c>
      <c r="H90" s="12">
        <f>일위대가!H594</f>
        <v>95162</v>
      </c>
      <c r="I90" s="1169">
        <v>925</v>
      </c>
      <c r="J90" s="12">
        <f>일위대가!J594</f>
        <v>925</v>
      </c>
      <c r="K90" s="1169">
        <v>148722</v>
      </c>
      <c r="L90" s="12">
        <f t="shared" si="2"/>
        <v>131287</v>
      </c>
      <c r="M90" s="8" t="s">
        <v>1606</v>
      </c>
      <c r="N90" s="8" t="s">
        <v>51</v>
      </c>
      <c r="O90" s="2" t="s">
        <v>51</v>
      </c>
      <c r="P90" s="2" t="s">
        <v>51</v>
      </c>
      <c r="Q90" s="2" t="s">
        <v>51</v>
      </c>
      <c r="R90" s="2" t="s">
        <v>51</v>
      </c>
    </row>
    <row r="91" spans="1:18" ht="30" customHeight="1">
      <c r="A91" s="8" t="s">
        <v>710</v>
      </c>
      <c r="B91" s="8" t="s">
        <v>717</v>
      </c>
      <c r="C91" s="8"/>
      <c r="D91" s="8" t="s">
        <v>321</v>
      </c>
      <c r="E91" s="1169">
        <v>3937500</v>
      </c>
      <c r="F91" s="12">
        <f>일위대가!F599</f>
        <v>3937500</v>
      </c>
      <c r="G91" s="1169">
        <v>1287090</v>
      </c>
      <c r="H91" s="12">
        <f>일위대가!H599</f>
        <v>1287090</v>
      </c>
      <c r="I91" s="1169">
        <v>0</v>
      </c>
      <c r="J91" s="12">
        <f>일위대가!J599</f>
        <v>0</v>
      </c>
      <c r="K91" s="1169">
        <v>5224590</v>
      </c>
      <c r="L91" s="12">
        <f t="shared" si="2"/>
        <v>5224590</v>
      </c>
      <c r="M91" s="8" t="s">
        <v>1611</v>
      </c>
      <c r="N91" s="8" t="s">
        <v>51</v>
      </c>
      <c r="O91" s="2" t="s">
        <v>51</v>
      </c>
      <c r="P91" s="2" t="s">
        <v>51</v>
      </c>
      <c r="Q91" s="2" t="s">
        <v>51</v>
      </c>
      <c r="R91" s="2" t="s">
        <v>51</v>
      </c>
    </row>
    <row r="92" spans="1:18" ht="30" customHeight="1">
      <c r="A92" s="8" t="s">
        <v>718</v>
      </c>
      <c r="B92" s="8" t="s">
        <v>720</v>
      </c>
      <c r="C92" s="8"/>
      <c r="D92" s="8" t="s">
        <v>321</v>
      </c>
      <c r="E92" s="1169">
        <v>3250000</v>
      </c>
      <c r="F92" s="12">
        <f>일위대가!F604</f>
        <v>3250000</v>
      </c>
      <c r="G92" s="1169">
        <v>1066500</v>
      </c>
      <c r="H92" s="12">
        <f>일위대가!H604</f>
        <v>1066500</v>
      </c>
      <c r="I92" s="1169">
        <v>0</v>
      </c>
      <c r="J92" s="12">
        <f>일위대가!J604</f>
        <v>0</v>
      </c>
      <c r="K92" s="1169">
        <v>4316500</v>
      </c>
      <c r="L92" s="12">
        <f t="shared" si="2"/>
        <v>4316500</v>
      </c>
      <c r="M92" s="8" t="s">
        <v>1617</v>
      </c>
      <c r="N92" s="8" t="s">
        <v>51</v>
      </c>
      <c r="O92" s="2" t="s">
        <v>51</v>
      </c>
      <c r="P92" s="2" t="s">
        <v>51</v>
      </c>
      <c r="Q92" s="2" t="s">
        <v>51</v>
      </c>
      <c r="R92" s="2" t="s">
        <v>51</v>
      </c>
    </row>
    <row r="93" spans="1:18" ht="30" customHeight="1">
      <c r="A93" s="8" t="s">
        <v>721</v>
      </c>
      <c r="B93" s="8" t="s">
        <v>723</v>
      </c>
      <c r="C93" s="8"/>
      <c r="D93" s="8" t="s">
        <v>321</v>
      </c>
      <c r="E93" s="1169">
        <v>3150000</v>
      </c>
      <c r="F93" s="12">
        <f>일위대가!F609</f>
        <v>3150000</v>
      </c>
      <c r="G93" s="1169">
        <v>1031400</v>
      </c>
      <c r="H93" s="12">
        <f>일위대가!H609</f>
        <v>1031400</v>
      </c>
      <c r="I93" s="1169">
        <v>0</v>
      </c>
      <c r="J93" s="12">
        <f>일위대가!J609</f>
        <v>0</v>
      </c>
      <c r="K93" s="1169">
        <v>4181400</v>
      </c>
      <c r="L93" s="12">
        <f t="shared" si="2"/>
        <v>4181400</v>
      </c>
      <c r="M93" s="8" t="s">
        <v>1656</v>
      </c>
      <c r="N93" s="8" t="s">
        <v>51</v>
      </c>
      <c r="O93" s="2" t="s">
        <v>51</v>
      </c>
      <c r="P93" s="2" t="s">
        <v>51</v>
      </c>
      <c r="Q93" s="2" t="s">
        <v>51</v>
      </c>
      <c r="R93" s="2" t="s">
        <v>51</v>
      </c>
    </row>
    <row r="94" spans="1:18" ht="30" customHeight="1">
      <c r="A94" s="8" t="s">
        <v>724</v>
      </c>
      <c r="B94" s="8" t="s">
        <v>726</v>
      </c>
      <c r="C94" s="8"/>
      <c r="D94" s="8" t="s">
        <v>321</v>
      </c>
      <c r="E94" s="1169">
        <v>3100000</v>
      </c>
      <c r="F94" s="12">
        <f>일위대가!F614</f>
        <v>3100000</v>
      </c>
      <c r="G94" s="1169">
        <v>1103220</v>
      </c>
      <c r="H94" s="12">
        <f>일위대가!H614</f>
        <v>1103220</v>
      </c>
      <c r="I94" s="1169">
        <v>0</v>
      </c>
      <c r="J94" s="12">
        <f>일위대가!J614</f>
        <v>0</v>
      </c>
      <c r="K94" s="1169">
        <v>4203220</v>
      </c>
      <c r="L94" s="12">
        <f t="shared" si="2"/>
        <v>4203220</v>
      </c>
      <c r="M94" s="8" t="s">
        <v>1664</v>
      </c>
      <c r="N94" s="8" t="s">
        <v>51</v>
      </c>
      <c r="O94" s="2" t="s">
        <v>51</v>
      </c>
      <c r="P94" s="2" t="s">
        <v>51</v>
      </c>
      <c r="Q94" s="2" t="s">
        <v>51</v>
      </c>
      <c r="R94" s="2" t="s">
        <v>51</v>
      </c>
    </row>
    <row r="95" spans="1:18" ht="30" customHeight="1">
      <c r="A95" s="8" t="s">
        <v>727</v>
      </c>
      <c r="B95" s="8" t="s">
        <v>729</v>
      </c>
      <c r="C95" s="8"/>
      <c r="D95" s="8" t="s">
        <v>321</v>
      </c>
      <c r="E95" s="1169">
        <v>7150500</v>
      </c>
      <c r="F95" s="12">
        <f>일위대가!F619</f>
        <v>7150500</v>
      </c>
      <c r="G95" s="1169">
        <v>2347380</v>
      </c>
      <c r="H95" s="12">
        <f>일위대가!H619</f>
        <v>2347380</v>
      </c>
      <c r="I95" s="1169">
        <v>0</v>
      </c>
      <c r="J95" s="12">
        <f>일위대가!J619</f>
        <v>0</v>
      </c>
      <c r="K95" s="1169">
        <v>9497880</v>
      </c>
      <c r="L95" s="12">
        <f t="shared" si="2"/>
        <v>9497880</v>
      </c>
      <c r="M95" s="8" t="s">
        <v>1680</v>
      </c>
      <c r="N95" s="8" t="s">
        <v>51</v>
      </c>
      <c r="O95" s="2" t="s">
        <v>51</v>
      </c>
      <c r="P95" s="2" t="s">
        <v>51</v>
      </c>
      <c r="Q95" s="2" t="s">
        <v>51</v>
      </c>
      <c r="R95" s="2" t="s">
        <v>51</v>
      </c>
    </row>
    <row r="96" spans="1:18" ht="30" customHeight="1">
      <c r="A96" s="8" t="s">
        <v>730</v>
      </c>
      <c r="B96" s="8" t="s">
        <v>732</v>
      </c>
      <c r="C96" s="8"/>
      <c r="D96" s="8" t="s">
        <v>321</v>
      </c>
      <c r="E96" s="1169">
        <v>2962350</v>
      </c>
      <c r="F96" s="12">
        <f>일위대가!F624</f>
        <v>2962350</v>
      </c>
      <c r="G96" s="1169">
        <v>972540</v>
      </c>
      <c r="H96" s="12">
        <f>일위대가!H624</f>
        <v>972540</v>
      </c>
      <c r="I96" s="1169">
        <v>0</v>
      </c>
      <c r="J96" s="12">
        <f>일위대가!J624</f>
        <v>0</v>
      </c>
      <c r="K96" s="1169">
        <v>3934890</v>
      </c>
      <c r="L96" s="12">
        <f t="shared" si="2"/>
        <v>3934890</v>
      </c>
      <c r="M96" s="8" t="s">
        <v>1685</v>
      </c>
      <c r="N96" s="8" t="s">
        <v>51</v>
      </c>
      <c r="O96" s="2" t="s">
        <v>51</v>
      </c>
      <c r="P96" s="2" t="s">
        <v>51</v>
      </c>
      <c r="Q96" s="2" t="s">
        <v>51</v>
      </c>
      <c r="R96" s="2" t="s">
        <v>51</v>
      </c>
    </row>
    <row r="97" spans="1:18" ht="30" customHeight="1">
      <c r="A97" s="8" t="s">
        <v>733</v>
      </c>
      <c r="B97" s="8" t="s">
        <v>735</v>
      </c>
      <c r="C97" s="8"/>
      <c r="D97" s="8" t="s">
        <v>321</v>
      </c>
      <c r="E97" s="1169">
        <v>2851600</v>
      </c>
      <c r="F97" s="12">
        <f>일위대가!F629</f>
        <v>2851600</v>
      </c>
      <c r="G97" s="1169">
        <v>972540</v>
      </c>
      <c r="H97" s="12">
        <f>일위대가!H629</f>
        <v>972540</v>
      </c>
      <c r="I97" s="1169">
        <v>0</v>
      </c>
      <c r="J97" s="12">
        <f>일위대가!J629</f>
        <v>0</v>
      </c>
      <c r="K97" s="1169">
        <v>3824140</v>
      </c>
      <c r="L97" s="12">
        <f t="shared" ref="L97:L130" si="3">F97+H97+J97</f>
        <v>3824140</v>
      </c>
      <c r="M97" s="8" t="s">
        <v>1690</v>
      </c>
      <c r="N97" s="8" t="s">
        <v>51</v>
      </c>
      <c r="O97" s="2" t="s">
        <v>51</v>
      </c>
      <c r="P97" s="2" t="s">
        <v>51</v>
      </c>
      <c r="Q97" s="2" t="s">
        <v>51</v>
      </c>
      <c r="R97" s="2" t="s">
        <v>51</v>
      </c>
    </row>
    <row r="98" spans="1:18" ht="30" customHeight="1">
      <c r="A98" s="8" t="s">
        <v>736</v>
      </c>
      <c r="B98" s="8" t="s">
        <v>342</v>
      </c>
      <c r="C98" s="8"/>
      <c r="D98" s="8" t="s">
        <v>321</v>
      </c>
      <c r="E98" s="1169">
        <v>525000</v>
      </c>
      <c r="F98" s="12">
        <f>일위대가!F634</f>
        <v>525000</v>
      </c>
      <c r="G98" s="1169">
        <v>180000</v>
      </c>
      <c r="H98" s="12">
        <f>일위대가!H634</f>
        <v>180000</v>
      </c>
      <c r="I98" s="1169">
        <v>0</v>
      </c>
      <c r="J98" s="12">
        <f>일위대가!J634</f>
        <v>0</v>
      </c>
      <c r="K98" s="1169">
        <v>705000</v>
      </c>
      <c r="L98" s="12">
        <f t="shared" si="3"/>
        <v>705000</v>
      </c>
      <c r="M98" s="8" t="s">
        <v>1695</v>
      </c>
      <c r="N98" s="8" t="s">
        <v>51</v>
      </c>
      <c r="O98" s="2" t="s">
        <v>51</v>
      </c>
      <c r="P98" s="2" t="s">
        <v>51</v>
      </c>
      <c r="Q98" s="2" t="s">
        <v>51</v>
      </c>
      <c r="R98" s="2" t="s">
        <v>51</v>
      </c>
    </row>
    <row r="99" spans="1:18" ht="30" customHeight="1">
      <c r="A99" s="8" t="s">
        <v>738</v>
      </c>
      <c r="B99" s="8" t="s">
        <v>741</v>
      </c>
      <c r="C99" s="8"/>
      <c r="D99" s="8" t="s">
        <v>321</v>
      </c>
      <c r="E99" s="1169">
        <v>112200</v>
      </c>
      <c r="F99" s="12">
        <f>일위대가!F639</f>
        <v>112200</v>
      </c>
      <c r="G99" s="1169">
        <v>122400</v>
      </c>
      <c r="H99" s="12">
        <f>일위대가!H639</f>
        <v>122400</v>
      </c>
      <c r="I99" s="1169">
        <v>0</v>
      </c>
      <c r="J99" s="12">
        <f>일위대가!J639</f>
        <v>0</v>
      </c>
      <c r="K99" s="1169">
        <v>234600</v>
      </c>
      <c r="L99" s="12">
        <f t="shared" si="3"/>
        <v>234600</v>
      </c>
      <c r="M99" s="8" t="s">
        <v>1700</v>
      </c>
      <c r="N99" s="8" t="s">
        <v>51</v>
      </c>
      <c r="O99" s="2" t="s">
        <v>51</v>
      </c>
      <c r="P99" s="2" t="s">
        <v>51</v>
      </c>
      <c r="Q99" s="2" t="s">
        <v>51</v>
      </c>
      <c r="R99" s="2" t="s">
        <v>51</v>
      </c>
    </row>
    <row r="100" spans="1:18" ht="30" customHeight="1">
      <c r="A100" s="8" t="s">
        <v>742</v>
      </c>
      <c r="B100" s="8" t="s">
        <v>745</v>
      </c>
      <c r="C100" s="8" t="s">
        <v>746</v>
      </c>
      <c r="D100" s="8" t="s">
        <v>59</v>
      </c>
      <c r="E100" s="1169">
        <v>798</v>
      </c>
      <c r="F100" s="12">
        <f>일위대가!F646</f>
        <v>798</v>
      </c>
      <c r="G100" s="1169">
        <v>96580</v>
      </c>
      <c r="H100" s="12">
        <f>일위대가!H646</f>
        <v>25873</v>
      </c>
      <c r="I100" s="1169">
        <v>0</v>
      </c>
      <c r="J100" s="12">
        <f>일위대가!J646</f>
        <v>0</v>
      </c>
      <c r="K100" s="1169">
        <v>97378</v>
      </c>
      <c r="L100" s="12">
        <f t="shared" si="3"/>
        <v>26671</v>
      </c>
      <c r="M100" s="8" t="s">
        <v>1705</v>
      </c>
      <c r="N100" s="8" t="s">
        <v>51</v>
      </c>
      <c r="O100" s="2" t="s">
        <v>51</v>
      </c>
      <c r="P100" s="2" t="s">
        <v>51</v>
      </c>
      <c r="Q100" s="2" t="s">
        <v>51</v>
      </c>
      <c r="R100" s="2" t="s">
        <v>51</v>
      </c>
    </row>
    <row r="101" spans="1:18" ht="30" customHeight="1">
      <c r="A101" s="8" t="s">
        <v>753</v>
      </c>
      <c r="B101" s="8" t="s">
        <v>745</v>
      </c>
      <c r="C101" s="8" t="s">
        <v>752</v>
      </c>
      <c r="D101" s="8" t="s">
        <v>59</v>
      </c>
      <c r="E101" s="1169">
        <v>798</v>
      </c>
      <c r="F101" s="12">
        <f>일위대가!F653</f>
        <v>798</v>
      </c>
      <c r="G101" s="1169">
        <v>64238</v>
      </c>
      <c r="H101" s="12">
        <f>일위대가!H653</f>
        <v>26254</v>
      </c>
      <c r="I101" s="1169">
        <v>0</v>
      </c>
      <c r="J101" s="12">
        <f>일위대가!J653</f>
        <v>0</v>
      </c>
      <c r="K101" s="1169">
        <v>65036</v>
      </c>
      <c r="L101" s="12">
        <f t="shared" si="3"/>
        <v>27052</v>
      </c>
      <c r="M101" s="8" t="s">
        <v>1710</v>
      </c>
      <c r="N101" s="8" t="s">
        <v>51</v>
      </c>
      <c r="O101" s="2" t="s">
        <v>51</v>
      </c>
      <c r="P101" s="2" t="s">
        <v>51</v>
      </c>
      <c r="Q101" s="2" t="s">
        <v>51</v>
      </c>
      <c r="R101" s="2" t="s">
        <v>51</v>
      </c>
    </row>
    <row r="102" spans="1:18" ht="30" customHeight="1">
      <c r="A102" s="8" t="s">
        <v>809</v>
      </c>
      <c r="B102" s="8" t="s">
        <v>3794</v>
      </c>
      <c r="C102" s="8" t="s">
        <v>2799</v>
      </c>
      <c r="D102" s="8" t="s">
        <v>204</v>
      </c>
      <c r="E102" s="1169">
        <v>6079.5</v>
      </c>
      <c r="F102" s="12">
        <f>일위대가!F661</f>
        <v>6079.5</v>
      </c>
      <c r="G102" s="1169">
        <v>52279.600000000006</v>
      </c>
      <c r="H102" s="12">
        <f>일위대가!H661</f>
        <v>52279.600000000006</v>
      </c>
      <c r="I102" s="1169">
        <v>1872.4</v>
      </c>
      <c r="J102" s="12">
        <f>일위대가!J661</f>
        <v>1872.4</v>
      </c>
      <c r="K102" s="1169">
        <v>60231.500000000007</v>
      </c>
      <c r="L102" s="12">
        <f t="shared" si="3"/>
        <v>60231.500000000007</v>
      </c>
      <c r="M102" s="8" t="s">
        <v>1715</v>
      </c>
      <c r="N102" s="8" t="s">
        <v>51</v>
      </c>
      <c r="O102" s="2" t="s">
        <v>51</v>
      </c>
      <c r="P102" s="2" t="s">
        <v>51</v>
      </c>
      <c r="Q102" s="2" t="s">
        <v>51</v>
      </c>
      <c r="R102" s="2" t="s">
        <v>51</v>
      </c>
    </row>
    <row r="103" spans="1:18" ht="30" customHeight="1">
      <c r="A103" s="8" t="s">
        <v>983</v>
      </c>
      <c r="B103" s="8" t="s">
        <v>64</v>
      </c>
      <c r="C103" s="8" t="s">
        <v>982</v>
      </c>
      <c r="D103" s="8" t="s">
        <v>66</v>
      </c>
      <c r="E103" s="1169">
        <v>0</v>
      </c>
      <c r="F103" s="12">
        <f>일위대가!F666</f>
        <v>0</v>
      </c>
      <c r="G103" s="1169">
        <v>75352</v>
      </c>
      <c r="H103" s="12">
        <f>일위대가!H666</f>
        <v>75352</v>
      </c>
      <c r="I103" s="1169">
        <v>0</v>
      </c>
      <c r="J103" s="12">
        <f>일위대가!J666</f>
        <v>0</v>
      </c>
      <c r="K103" s="1169">
        <v>75352</v>
      </c>
      <c r="L103" s="12">
        <f t="shared" si="3"/>
        <v>75352</v>
      </c>
      <c r="M103" s="8" t="s">
        <v>1720</v>
      </c>
      <c r="N103" s="8" t="s">
        <v>51</v>
      </c>
      <c r="O103" s="2" t="s">
        <v>51</v>
      </c>
      <c r="P103" s="2" t="s">
        <v>51</v>
      </c>
      <c r="Q103" s="2" t="s">
        <v>51</v>
      </c>
      <c r="R103" s="2" t="s">
        <v>51</v>
      </c>
    </row>
    <row r="104" spans="1:18" ht="30" customHeight="1">
      <c r="A104" s="8" t="s">
        <v>1087</v>
      </c>
      <c r="B104" s="8" t="s">
        <v>1086</v>
      </c>
      <c r="C104" s="8" t="s">
        <v>157</v>
      </c>
      <c r="D104" s="8" t="s">
        <v>59</v>
      </c>
      <c r="E104" s="1169">
        <v>0</v>
      </c>
      <c r="F104" s="12">
        <f>일위대가!F670</f>
        <v>0</v>
      </c>
      <c r="G104" s="1169">
        <v>3907</v>
      </c>
      <c r="H104" s="12">
        <f>일위대가!H670</f>
        <v>3907</v>
      </c>
      <c r="I104" s="1169">
        <v>0</v>
      </c>
      <c r="J104" s="12">
        <f>일위대가!J670</f>
        <v>0</v>
      </c>
      <c r="K104" s="1169">
        <v>3907</v>
      </c>
      <c r="L104" s="12">
        <f t="shared" si="3"/>
        <v>3907</v>
      </c>
      <c r="M104" s="8" t="s">
        <v>1725</v>
      </c>
      <c r="N104" s="8" t="s">
        <v>51</v>
      </c>
      <c r="O104" s="2" t="s">
        <v>51</v>
      </c>
      <c r="P104" s="2" t="s">
        <v>51</v>
      </c>
      <c r="Q104" s="2" t="s">
        <v>51</v>
      </c>
      <c r="R104" s="2" t="s">
        <v>51</v>
      </c>
    </row>
    <row r="105" spans="1:18" ht="30" customHeight="1">
      <c r="A105" s="8" t="s">
        <v>1105</v>
      </c>
      <c r="B105" s="8" t="s">
        <v>170</v>
      </c>
      <c r="C105" s="8" t="s">
        <v>1104</v>
      </c>
      <c r="D105" s="8" t="s">
        <v>59</v>
      </c>
      <c r="E105" s="1169">
        <v>734</v>
      </c>
      <c r="F105" s="12">
        <f>일위대가!F678</f>
        <v>734</v>
      </c>
      <c r="G105" s="1169">
        <v>6987.5</v>
      </c>
      <c r="H105" s="12">
        <f>일위대가!H678</f>
        <v>1358</v>
      </c>
      <c r="I105" s="1169">
        <v>0</v>
      </c>
      <c r="J105" s="12">
        <f>일위대가!J678</f>
        <v>122</v>
      </c>
      <c r="K105" s="1169">
        <v>7721.5</v>
      </c>
      <c r="L105" s="12">
        <f t="shared" si="3"/>
        <v>2214</v>
      </c>
      <c r="M105" s="8" t="s">
        <v>1734</v>
      </c>
      <c r="N105" s="8" t="s">
        <v>51</v>
      </c>
      <c r="O105" s="2" t="s">
        <v>51</v>
      </c>
      <c r="P105" s="2" t="s">
        <v>51</v>
      </c>
      <c r="Q105" s="2" t="s">
        <v>51</v>
      </c>
      <c r="R105" s="2" t="s">
        <v>51</v>
      </c>
    </row>
    <row r="106" spans="1:18" ht="30" customHeight="1">
      <c r="A106" s="8" t="s">
        <v>1145</v>
      </c>
      <c r="B106" s="8" t="s">
        <v>1143</v>
      </c>
      <c r="C106" s="8" t="s">
        <v>1144</v>
      </c>
      <c r="D106" s="8" t="s">
        <v>59</v>
      </c>
      <c r="E106" s="1169">
        <v>0</v>
      </c>
      <c r="F106" s="12">
        <f>일위대가!F682</f>
        <v>0</v>
      </c>
      <c r="G106" s="1169">
        <v>5393</v>
      </c>
      <c r="H106" s="12">
        <f>일위대가!H682</f>
        <v>5393</v>
      </c>
      <c r="I106" s="1169">
        <v>0</v>
      </c>
      <c r="J106" s="12">
        <f>일위대가!J682</f>
        <v>0</v>
      </c>
      <c r="K106" s="1169">
        <v>5393</v>
      </c>
      <c r="L106" s="12">
        <f t="shared" si="3"/>
        <v>5393</v>
      </c>
      <c r="M106" s="8" t="s">
        <v>1739</v>
      </c>
      <c r="N106" s="8" t="s">
        <v>51</v>
      </c>
      <c r="O106" s="2" t="s">
        <v>51</v>
      </c>
      <c r="P106" s="2" t="s">
        <v>51</v>
      </c>
      <c r="Q106" s="2" t="s">
        <v>51</v>
      </c>
      <c r="R106" s="2" t="s">
        <v>51</v>
      </c>
    </row>
    <row r="107" spans="1:18" ht="30" customHeight="1">
      <c r="A107" s="8" t="s">
        <v>1187</v>
      </c>
      <c r="B107" s="8" t="s">
        <v>1185</v>
      </c>
      <c r="C107" s="8" t="s">
        <v>1186</v>
      </c>
      <c r="D107" s="8" t="s">
        <v>59</v>
      </c>
      <c r="E107" s="1169">
        <v>0</v>
      </c>
      <c r="F107" s="12">
        <f>일위대가!F688</f>
        <v>0</v>
      </c>
      <c r="G107" s="1169">
        <v>12993</v>
      </c>
      <c r="H107" s="12">
        <f>일위대가!H688</f>
        <v>12993</v>
      </c>
      <c r="I107" s="1169">
        <v>259</v>
      </c>
      <c r="J107" s="12">
        <f>일위대가!J688</f>
        <v>259</v>
      </c>
      <c r="K107" s="1169">
        <v>13252</v>
      </c>
      <c r="L107" s="12">
        <f t="shared" si="3"/>
        <v>13252</v>
      </c>
      <c r="M107" s="8" t="s">
        <v>1744</v>
      </c>
      <c r="N107" s="8" t="s">
        <v>51</v>
      </c>
      <c r="O107" s="2" t="s">
        <v>51</v>
      </c>
      <c r="P107" s="2" t="s">
        <v>51</v>
      </c>
      <c r="Q107" s="2" t="s">
        <v>51</v>
      </c>
      <c r="R107" s="2" t="s">
        <v>51</v>
      </c>
    </row>
    <row r="108" spans="1:18" ht="30" customHeight="1">
      <c r="A108" s="8" t="s">
        <v>1219</v>
      </c>
      <c r="B108" s="8" t="s">
        <v>1217</v>
      </c>
      <c r="C108" s="8" t="s">
        <v>1218</v>
      </c>
      <c r="D108" s="8" t="s">
        <v>59</v>
      </c>
      <c r="E108" s="1169">
        <v>5643</v>
      </c>
      <c r="F108" s="12">
        <f>일위대가!F701</f>
        <v>5506</v>
      </c>
      <c r="G108" s="1169">
        <v>73653</v>
      </c>
      <c r="H108" s="12">
        <f>일위대가!H701</f>
        <v>73653</v>
      </c>
      <c r="I108" s="1169">
        <v>0</v>
      </c>
      <c r="J108" s="12">
        <f>일위대가!J701</f>
        <v>0</v>
      </c>
      <c r="K108" s="1169">
        <v>79296</v>
      </c>
      <c r="L108" s="12">
        <f t="shared" si="3"/>
        <v>79159</v>
      </c>
      <c r="M108" s="8" t="s">
        <v>1749</v>
      </c>
      <c r="N108" s="8" t="s">
        <v>51</v>
      </c>
      <c r="O108" s="2" t="s">
        <v>51</v>
      </c>
      <c r="P108" s="2" t="s">
        <v>51</v>
      </c>
      <c r="Q108" s="2" t="s">
        <v>51</v>
      </c>
      <c r="R108" s="2" t="s">
        <v>51</v>
      </c>
    </row>
    <row r="109" spans="1:18" ht="30" customHeight="1">
      <c r="A109" s="8" t="s">
        <v>1241</v>
      </c>
      <c r="B109" s="8" t="s">
        <v>1240</v>
      </c>
      <c r="C109" s="8" t="s">
        <v>51</v>
      </c>
      <c r="D109" s="8" t="s">
        <v>59</v>
      </c>
      <c r="E109" s="1169">
        <v>126</v>
      </c>
      <c r="F109" s="12">
        <f>일위대가!F708</f>
        <v>126</v>
      </c>
      <c r="G109" s="1169">
        <v>2018</v>
      </c>
      <c r="H109" s="12">
        <f>일위대가!H708</f>
        <v>2018</v>
      </c>
      <c r="I109" s="1169">
        <v>0</v>
      </c>
      <c r="J109" s="12">
        <f>일위대가!J708</f>
        <v>0</v>
      </c>
      <c r="K109" s="1169">
        <v>2144</v>
      </c>
      <c r="L109" s="12">
        <f t="shared" si="3"/>
        <v>2144</v>
      </c>
      <c r="M109" s="8" t="s">
        <v>1751</v>
      </c>
      <c r="N109" s="8" t="s">
        <v>51</v>
      </c>
      <c r="O109" s="2" t="s">
        <v>51</v>
      </c>
      <c r="P109" s="2" t="s">
        <v>51</v>
      </c>
      <c r="Q109" s="2" t="s">
        <v>51</v>
      </c>
      <c r="R109" s="2" t="s">
        <v>51</v>
      </c>
    </row>
    <row r="110" spans="1:18" ht="30" customHeight="1">
      <c r="A110" s="8" t="s">
        <v>1338</v>
      </c>
      <c r="B110" s="8" t="s">
        <v>1336</v>
      </c>
      <c r="C110" s="8" t="s">
        <v>1337</v>
      </c>
      <c r="D110" s="8" t="s">
        <v>993</v>
      </c>
      <c r="E110" s="1169">
        <v>251</v>
      </c>
      <c r="F110" s="12">
        <f>일위대가!F713</f>
        <v>251</v>
      </c>
      <c r="G110" s="1169">
        <v>5667</v>
      </c>
      <c r="H110" s="12">
        <f>일위대가!H713</f>
        <v>5667</v>
      </c>
      <c r="I110" s="1169">
        <v>180</v>
      </c>
      <c r="J110" s="12">
        <f>일위대가!J713</f>
        <v>180</v>
      </c>
      <c r="K110" s="1169">
        <v>6098</v>
      </c>
      <c r="L110" s="12">
        <f t="shared" si="3"/>
        <v>6098</v>
      </c>
      <c r="M110" s="8" t="s">
        <v>1757</v>
      </c>
      <c r="N110" s="8" t="s">
        <v>51</v>
      </c>
      <c r="O110" s="2" t="s">
        <v>51</v>
      </c>
      <c r="P110" s="2" t="s">
        <v>51</v>
      </c>
      <c r="Q110" s="2" t="s">
        <v>51</v>
      </c>
      <c r="R110" s="2" t="s">
        <v>51</v>
      </c>
    </row>
    <row r="111" spans="1:18" ht="30" customHeight="1">
      <c r="A111" s="8" t="s">
        <v>1341</v>
      </c>
      <c r="B111" s="8" t="s">
        <v>1336</v>
      </c>
      <c r="C111" s="8" t="s">
        <v>1340</v>
      </c>
      <c r="D111" s="8" t="s">
        <v>993</v>
      </c>
      <c r="E111" s="1169">
        <v>85</v>
      </c>
      <c r="F111" s="12">
        <f>일위대가!F718</f>
        <v>85</v>
      </c>
      <c r="G111" s="1169">
        <v>5667</v>
      </c>
      <c r="H111" s="12">
        <f>일위대가!H718</f>
        <v>5667</v>
      </c>
      <c r="I111" s="1169">
        <v>180</v>
      </c>
      <c r="J111" s="12">
        <f>일위대가!J718</f>
        <v>180</v>
      </c>
      <c r="K111" s="1169">
        <v>5932</v>
      </c>
      <c r="L111" s="12">
        <f t="shared" si="3"/>
        <v>5932</v>
      </c>
      <c r="M111" s="8" t="s">
        <v>1761</v>
      </c>
      <c r="N111" s="8" t="s">
        <v>51</v>
      </c>
      <c r="O111" s="2" t="s">
        <v>51</v>
      </c>
      <c r="P111" s="2" t="s">
        <v>51</v>
      </c>
      <c r="Q111" s="2" t="s">
        <v>51</v>
      </c>
      <c r="R111" s="2" t="s">
        <v>51</v>
      </c>
    </row>
    <row r="112" spans="1:18" ht="30" customHeight="1">
      <c r="A112" s="8" t="s">
        <v>1800</v>
      </c>
      <c r="B112" s="8" t="s">
        <v>1799</v>
      </c>
      <c r="C112" s="8" t="s">
        <v>1337</v>
      </c>
      <c r="D112" s="8" t="s">
        <v>993</v>
      </c>
      <c r="E112" s="1169">
        <v>214</v>
      </c>
      <c r="F112" s="12">
        <f>일위대가!F731</f>
        <v>214</v>
      </c>
      <c r="G112" s="1169">
        <v>4514</v>
      </c>
      <c r="H112" s="12">
        <f>일위대가!H731</f>
        <v>4514</v>
      </c>
      <c r="I112" s="1169">
        <v>144</v>
      </c>
      <c r="J112" s="12">
        <f>일위대가!J731</f>
        <v>144</v>
      </c>
      <c r="K112" s="1169">
        <v>4872</v>
      </c>
      <c r="L112" s="12">
        <f t="shared" si="3"/>
        <v>4872</v>
      </c>
      <c r="M112" s="8" t="s">
        <v>1765</v>
      </c>
      <c r="N112" s="8" t="s">
        <v>51</v>
      </c>
      <c r="O112" s="2" t="s">
        <v>51</v>
      </c>
      <c r="P112" s="2" t="s">
        <v>51</v>
      </c>
      <c r="Q112" s="2" t="s">
        <v>51</v>
      </c>
      <c r="R112" s="2" t="s">
        <v>51</v>
      </c>
    </row>
    <row r="113" spans="1:18" ht="30" customHeight="1">
      <c r="A113" s="8" t="s">
        <v>1803</v>
      </c>
      <c r="B113" s="8" t="s">
        <v>1802</v>
      </c>
      <c r="C113" s="8" t="s">
        <v>1337</v>
      </c>
      <c r="D113" s="8" t="s">
        <v>993</v>
      </c>
      <c r="E113" s="1169">
        <v>37</v>
      </c>
      <c r="F113" s="12">
        <f>일위대가!F744</f>
        <v>37</v>
      </c>
      <c r="G113" s="1169">
        <v>1153</v>
      </c>
      <c r="H113" s="12">
        <f>일위대가!H744</f>
        <v>1153</v>
      </c>
      <c r="I113" s="1169">
        <v>36</v>
      </c>
      <c r="J113" s="12">
        <f>일위대가!J744</f>
        <v>36</v>
      </c>
      <c r="K113" s="1169">
        <v>1226</v>
      </c>
      <c r="L113" s="12">
        <f t="shared" si="3"/>
        <v>1226</v>
      </c>
      <c r="M113" s="8" t="s">
        <v>1793</v>
      </c>
      <c r="N113" s="8" t="s">
        <v>51</v>
      </c>
      <c r="O113" s="2" t="s">
        <v>51</v>
      </c>
      <c r="P113" s="2" t="s">
        <v>51</v>
      </c>
      <c r="Q113" s="2" t="s">
        <v>51</v>
      </c>
      <c r="R113" s="2" t="s">
        <v>51</v>
      </c>
    </row>
    <row r="114" spans="1:18" ht="30" customHeight="1">
      <c r="A114" s="8" t="s">
        <v>1806</v>
      </c>
      <c r="B114" s="8" t="s">
        <v>1799</v>
      </c>
      <c r="C114" s="8" t="s">
        <v>1340</v>
      </c>
      <c r="D114" s="8" t="s">
        <v>993</v>
      </c>
      <c r="E114" s="1169">
        <v>73</v>
      </c>
      <c r="F114" s="12">
        <f>일위대가!F757</f>
        <v>73</v>
      </c>
      <c r="G114" s="1169">
        <v>4514</v>
      </c>
      <c r="H114" s="12">
        <f>일위대가!H757</f>
        <v>4514</v>
      </c>
      <c r="I114" s="1169">
        <v>144</v>
      </c>
      <c r="J114" s="12">
        <f>일위대가!J757</f>
        <v>144</v>
      </c>
      <c r="K114" s="1169">
        <v>4731</v>
      </c>
      <c r="L114" s="12">
        <f t="shared" si="3"/>
        <v>4731</v>
      </c>
      <c r="M114" s="8" t="s">
        <v>1798</v>
      </c>
      <c r="N114" s="8" t="s">
        <v>51</v>
      </c>
      <c r="O114" s="2" t="s">
        <v>51</v>
      </c>
      <c r="P114" s="2" t="s">
        <v>51</v>
      </c>
      <c r="Q114" s="2" t="s">
        <v>51</v>
      </c>
      <c r="R114" s="2" t="s">
        <v>51</v>
      </c>
    </row>
    <row r="115" spans="1:18" ht="30" customHeight="1">
      <c r="A115" s="8" t="s">
        <v>1808</v>
      </c>
      <c r="B115" s="8" t="s">
        <v>1802</v>
      </c>
      <c r="C115" s="8" t="s">
        <v>1340</v>
      </c>
      <c r="D115" s="8" t="s">
        <v>993</v>
      </c>
      <c r="E115" s="1169">
        <v>12</v>
      </c>
      <c r="F115" s="12">
        <f>일위대가!F770</f>
        <v>12</v>
      </c>
      <c r="G115" s="1169">
        <v>1153</v>
      </c>
      <c r="H115" s="12">
        <f>일위대가!H770</f>
        <v>1153</v>
      </c>
      <c r="I115" s="1169">
        <v>36</v>
      </c>
      <c r="J115" s="12">
        <f>일위대가!J770</f>
        <v>36</v>
      </c>
      <c r="K115" s="1169">
        <v>1201</v>
      </c>
      <c r="L115" s="12">
        <f t="shared" si="3"/>
        <v>1201</v>
      </c>
      <c r="M115" s="8" t="s">
        <v>1805</v>
      </c>
      <c r="N115" s="8" t="s">
        <v>51</v>
      </c>
      <c r="O115" s="2" t="s">
        <v>51</v>
      </c>
      <c r="P115" s="2" t="s">
        <v>51</v>
      </c>
      <c r="Q115" s="2" t="s">
        <v>51</v>
      </c>
      <c r="R115" s="2" t="s">
        <v>51</v>
      </c>
    </row>
    <row r="116" spans="1:18" ht="30" customHeight="1">
      <c r="A116" s="8" t="s">
        <v>1822</v>
      </c>
      <c r="B116" s="8" t="s">
        <v>1819</v>
      </c>
      <c r="C116" s="8" t="s">
        <v>1820</v>
      </c>
      <c r="D116" s="8" t="s">
        <v>1821</v>
      </c>
      <c r="E116" s="1169">
        <v>0</v>
      </c>
      <c r="F116" s="12">
        <f>일위대가!F774</f>
        <v>0</v>
      </c>
      <c r="G116" s="1169">
        <v>0</v>
      </c>
      <c r="H116" s="12">
        <f>일위대가!H774</f>
        <v>0</v>
      </c>
      <c r="I116" s="1169">
        <v>0</v>
      </c>
      <c r="J116" s="12">
        <f>일위대가!J774</f>
        <v>0</v>
      </c>
      <c r="K116" s="1169">
        <v>0</v>
      </c>
      <c r="L116" s="12">
        <f t="shared" si="3"/>
        <v>0</v>
      </c>
      <c r="M116" s="8" t="s">
        <v>1810</v>
      </c>
      <c r="N116" s="8" t="s">
        <v>51</v>
      </c>
      <c r="O116" s="2" t="s">
        <v>1871</v>
      </c>
      <c r="P116" s="2" t="s">
        <v>51</v>
      </c>
      <c r="Q116" s="2" t="s">
        <v>51</v>
      </c>
      <c r="R116" s="2" t="s">
        <v>61</v>
      </c>
    </row>
    <row r="117" spans="1:18" ht="30" customHeight="1">
      <c r="A117" s="8" t="s">
        <v>1527</v>
      </c>
      <c r="B117" s="8" t="s">
        <v>1525</v>
      </c>
      <c r="C117" s="8" t="s">
        <v>1526</v>
      </c>
      <c r="D117" s="8" t="s">
        <v>204</v>
      </c>
      <c r="E117" s="1169">
        <v>0</v>
      </c>
      <c r="F117" s="12">
        <f>일위대가!F778</f>
        <v>0</v>
      </c>
      <c r="G117" s="1169">
        <v>4417</v>
      </c>
      <c r="H117" s="12">
        <f>일위대가!H778</f>
        <v>4417</v>
      </c>
      <c r="I117" s="1169">
        <v>0</v>
      </c>
      <c r="J117" s="12">
        <f>일위대가!J778</f>
        <v>0</v>
      </c>
      <c r="K117" s="1169">
        <v>4417</v>
      </c>
      <c r="L117" s="12">
        <f t="shared" si="3"/>
        <v>4417</v>
      </c>
      <c r="M117" s="8" t="s">
        <v>1835</v>
      </c>
      <c r="N117" s="8" t="s">
        <v>51</v>
      </c>
      <c r="O117" s="2" t="s">
        <v>51</v>
      </c>
      <c r="P117" s="2" t="s">
        <v>51</v>
      </c>
      <c r="Q117" s="2" t="s">
        <v>51</v>
      </c>
      <c r="R117" s="2" t="s">
        <v>51</v>
      </c>
    </row>
    <row r="118" spans="1:18" ht="30" customHeight="1">
      <c r="A118" s="8" t="s">
        <v>1551</v>
      </c>
      <c r="B118" s="8" t="s">
        <v>1549</v>
      </c>
      <c r="C118" s="8" t="s">
        <v>1550</v>
      </c>
      <c r="D118" s="8" t="s">
        <v>140</v>
      </c>
      <c r="E118" s="1169">
        <v>8</v>
      </c>
      <c r="F118" s="12">
        <f>일위대가!F783</f>
        <v>8</v>
      </c>
      <c r="G118" s="1169">
        <v>683</v>
      </c>
      <c r="H118" s="12">
        <f>일위대가!H783</f>
        <v>683</v>
      </c>
      <c r="I118" s="1169">
        <v>0</v>
      </c>
      <c r="J118" s="12">
        <f>일위대가!J783</f>
        <v>0</v>
      </c>
      <c r="K118" s="1169">
        <v>691</v>
      </c>
      <c r="L118" s="12">
        <f t="shared" si="3"/>
        <v>691</v>
      </c>
      <c r="M118" s="8" t="s">
        <v>1846</v>
      </c>
      <c r="N118" s="8" t="s">
        <v>51</v>
      </c>
      <c r="O118" s="2" t="s">
        <v>51</v>
      </c>
      <c r="P118" s="2" t="s">
        <v>51</v>
      </c>
      <c r="Q118" s="2" t="s">
        <v>51</v>
      </c>
      <c r="R118" s="2" t="s">
        <v>51</v>
      </c>
    </row>
    <row r="119" spans="1:18" ht="30" customHeight="1">
      <c r="A119" s="8" t="s">
        <v>1671</v>
      </c>
      <c r="B119" s="8" t="s">
        <v>1669</v>
      </c>
      <c r="C119" s="8" t="s">
        <v>1670</v>
      </c>
      <c r="D119" s="8" t="s">
        <v>1292</v>
      </c>
      <c r="E119" s="1169">
        <v>0</v>
      </c>
      <c r="F119" s="12">
        <f>일위대가!F789</f>
        <v>0</v>
      </c>
      <c r="G119" s="1169">
        <v>85974</v>
      </c>
      <c r="H119" s="12">
        <f>일위대가!H789</f>
        <v>85974</v>
      </c>
      <c r="I119" s="1169">
        <v>0</v>
      </c>
      <c r="J119" s="12">
        <f>일위대가!J789</f>
        <v>0</v>
      </c>
      <c r="K119" s="1169">
        <v>85974</v>
      </c>
      <c r="L119" s="12">
        <f t="shared" si="3"/>
        <v>85974</v>
      </c>
      <c r="M119" s="8" t="s">
        <v>1859</v>
      </c>
      <c r="N119" s="8" t="s">
        <v>51</v>
      </c>
      <c r="O119" s="2" t="s">
        <v>51</v>
      </c>
      <c r="P119" s="2" t="s">
        <v>51</v>
      </c>
      <c r="Q119" s="2" t="s">
        <v>51</v>
      </c>
      <c r="R119" s="2" t="s">
        <v>51</v>
      </c>
    </row>
    <row r="120" spans="1:18" ht="30" customHeight="1">
      <c r="A120" s="8" t="s">
        <v>1678</v>
      </c>
      <c r="B120" s="8" t="s">
        <v>1676</v>
      </c>
      <c r="C120" s="8" t="s">
        <v>1677</v>
      </c>
      <c r="D120" s="8" t="s">
        <v>59</v>
      </c>
      <c r="E120" s="1169">
        <v>0</v>
      </c>
      <c r="F120" s="12">
        <f>일위대가!F795</f>
        <v>0</v>
      </c>
      <c r="G120" s="1169">
        <v>92583</v>
      </c>
      <c r="H120" s="12">
        <f>일위대가!H795</f>
        <v>92583</v>
      </c>
      <c r="I120" s="1169">
        <v>925</v>
      </c>
      <c r="J120" s="12">
        <f>일위대가!J795</f>
        <v>925</v>
      </c>
      <c r="K120" s="1169">
        <v>93508</v>
      </c>
      <c r="L120" s="12">
        <f t="shared" si="3"/>
        <v>93508</v>
      </c>
      <c r="M120" s="8" t="s">
        <v>1870</v>
      </c>
      <c r="N120" s="8" t="s">
        <v>51</v>
      </c>
      <c r="O120" s="2" t="s">
        <v>51</v>
      </c>
      <c r="P120" s="2" t="s">
        <v>51</v>
      </c>
      <c r="Q120" s="2" t="s">
        <v>51</v>
      </c>
      <c r="R120" s="2" t="s">
        <v>51</v>
      </c>
    </row>
    <row r="121" spans="1:18" ht="30" customHeight="1">
      <c r="A121" s="8" t="s">
        <v>1897</v>
      </c>
      <c r="B121" s="8" t="s">
        <v>1895</v>
      </c>
      <c r="C121" s="8" t="s">
        <v>1896</v>
      </c>
      <c r="D121" s="8" t="s">
        <v>1292</v>
      </c>
      <c r="E121" s="1169">
        <v>0</v>
      </c>
      <c r="F121" s="12">
        <f>일위대가!F799</f>
        <v>0</v>
      </c>
      <c r="G121" s="1169">
        <v>85974</v>
      </c>
      <c r="H121" s="12">
        <f>일위대가!H799</f>
        <v>85974</v>
      </c>
      <c r="I121" s="1169">
        <v>0</v>
      </c>
      <c r="J121" s="12">
        <f>일위대가!J799</f>
        <v>0</v>
      </c>
      <c r="K121" s="1169">
        <v>85974</v>
      </c>
      <c r="L121" s="12">
        <f t="shared" si="3"/>
        <v>85974</v>
      </c>
      <c r="M121" s="8" t="s">
        <v>1875</v>
      </c>
      <c r="N121" s="8" t="s">
        <v>51</v>
      </c>
      <c r="O121" s="2" t="s">
        <v>51</v>
      </c>
      <c r="P121" s="2" t="s">
        <v>51</v>
      </c>
      <c r="Q121" s="2" t="s">
        <v>51</v>
      </c>
      <c r="R121" s="2" t="s">
        <v>51</v>
      </c>
    </row>
    <row r="122" spans="1:18" ht="30" customHeight="1">
      <c r="A122" s="8"/>
      <c r="B122" s="8" t="s">
        <v>3497</v>
      </c>
      <c r="C122" s="8" t="s">
        <v>3498</v>
      </c>
      <c r="D122" s="8" t="s">
        <v>3499</v>
      </c>
      <c r="E122" s="1169">
        <v>9270</v>
      </c>
      <c r="F122" s="156">
        <f>일위대가!F806</f>
        <v>8343</v>
      </c>
      <c r="G122" s="1169">
        <v>68099</v>
      </c>
      <c r="H122" s="156">
        <f>일위대가!H806</f>
        <v>68099</v>
      </c>
      <c r="I122" s="1169">
        <v>0</v>
      </c>
      <c r="J122" s="156">
        <f>일위대가!J806</f>
        <v>0</v>
      </c>
      <c r="K122" s="1169">
        <v>77369</v>
      </c>
      <c r="L122" s="156">
        <f t="shared" si="3"/>
        <v>76442</v>
      </c>
      <c r="M122" s="8" t="s">
        <v>1880</v>
      </c>
      <c r="N122" s="8"/>
      <c r="O122" s="2"/>
      <c r="P122" s="2"/>
      <c r="Q122" s="2"/>
      <c r="R122" s="2"/>
    </row>
    <row r="123" spans="1:18" ht="30" customHeight="1">
      <c r="A123" s="8"/>
      <c r="B123" s="8" t="s">
        <v>3511</v>
      </c>
      <c r="C123" s="8" t="s">
        <v>3512</v>
      </c>
      <c r="D123" s="8" t="s">
        <v>59</v>
      </c>
      <c r="E123" s="1169">
        <v>8200</v>
      </c>
      <c r="F123" s="156">
        <f>일위대가!F815</f>
        <v>7210</v>
      </c>
      <c r="G123" s="1169">
        <v>9615.9</v>
      </c>
      <c r="H123" s="156">
        <f>일위대가!H815</f>
        <v>11506.1</v>
      </c>
      <c r="I123" s="1169">
        <v>0</v>
      </c>
      <c r="J123" s="156">
        <f>일위대가!J815</f>
        <v>0</v>
      </c>
      <c r="K123" s="1169">
        <v>17815.900000000001</v>
      </c>
      <c r="L123" s="156">
        <f t="shared" si="3"/>
        <v>18716.099999999999</v>
      </c>
      <c r="M123" s="8" t="s">
        <v>1887</v>
      </c>
      <c r="N123" s="8"/>
      <c r="O123" s="2"/>
      <c r="P123" s="2"/>
      <c r="Q123" s="2"/>
      <c r="R123" s="2"/>
    </row>
    <row r="124" spans="1:18" ht="30" customHeight="1">
      <c r="A124" s="8"/>
      <c r="B124" s="8" t="s">
        <v>3528</v>
      </c>
      <c r="C124" s="8" t="s">
        <v>3529</v>
      </c>
      <c r="D124" s="8" t="s">
        <v>59</v>
      </c>
      <c r="E124" s="1169">
        <v>0</v>
      </c>
      <c r="F124" s="156">
        <f>일위대가!F820</f>
        <v>0</v>
      </c>
      <c r="G124" s="1169">
        <v>6090</v>
      </c>
      <c r="H124" s="156">
        <f>일위대가!H820</f>
        <v>6090</v>
      </c>
      <c r="I124" s="1169">
        <v>0</v>
      </c>
      <c r="J124" s="156">
        <f>일위대가!J820</f>
        <v>0</v>
      </c>
      <c r="K124" s="1169">
        <v>6090</v>
      </c>
      <c r="L124" s="156">
        <f t="shared" si="3"/>
        <v>6090</v>
      </c>
      <c r="M124" s="8" t="s">
        <v>1899</v>
      </c>
      <c r="N124" s="8"/>
      <c r="O124" s="2"/>
      <c r="P124" s="2"/>
      <c r="Q124" s="2"/>
      <c r="R124" s="2"/>
    </row>
    <row r="125" spans="1:18" ht="30" customHeight="1">
      <c r="A125" s="8"/>
      <c r="B125" s="8" t="s">
        <v>3531</v>
      </c>
      <c r="C125" s="8" t="s">
        <v>3532</v>
      </c>
      <c r="D125" s="8" t="s">
        <v>3533</v>
      </c>
      <c r="E125" s="1169">
        <v>7995.1</v>
      </c>
      <c r="F125" s="156">
        <f>일위대가!F827</f>
        <v>7995.1</v>
      </c>
      <c r="G125" s="1169">
        <v>13145.4</v>
      </c>
      <c r="H125" s="156">
        <f>일위대가!H827</f>
        <v>13145.4</v>
      </c>
      <c r="I125" s="1169">
        <v>262.89999999999998</v>
      </c>
      <c r="J125" s="156">
        <f>일위대가!J827</f>
        <v>262.89999999999998</v>
      </c>
      <c r="K125" s="1169">
        <v>21403.4</v>
      </c>
      <c r="L125" s="156">
        <f t="shared" si="3"/>
        <v>21403.4</v>
      </c>
      <c r="M125" s="8" t="s">
        <v>1905</v>
      </c>
      <c r="N125" s="8"/>
      <c r="O125" s="2"/>
      <c r="P125" s="2"/>
      <c r="Q125" s="2"/>
      <c r="R125" s="2"/>
    </row>
    <row r="126" spans="1:18" ht="30" customHeight="1">
      <c r="A126" s="8"/>
      <c r="B126" s="8" t="s">
        <v>3541</v>
      </c>
      <c r="C126" s="8" t="s">
        <v>3543</v>
      </c>
      <c r="D126" s="8" t="s">
        <v>3544</v>
      </c>
      <c r="E126" s="1169">
        <v>7781.8</v>
      </c>
      <c r="F126" s="156">
        <f>일위대가!F838</f>
        <v>7770.4000000000005</v>
      </c>
      <c r="G126" s="1169">
        <v>26632.899999999998</v>
      </c>
      <c r="H126" s="156">
        <f>일위대가!H838</f>
        <v>26632.899999999998</v>
      </c>
      <c r="I126" s="1169">
        <v>0</v>
      </c>
      <c r="J126" s="156">
        <f>일위대가!J838</f>
        <v>0</v>
      </c>
      <c r="K126" s="1169">
        <v>34414.699999999997</v>
      </c>
      <c r="L126" s="156">
        <f t="shared" si="3"/>
        <v>34403.299999999996</v>
      </c>
      <c r="M126" s="8" t="s">
        <v>3868</v>
      </c>
      <c r="N126" s="8"/>
      <c r="O126" s="2"/>
      <c r="P126" s="2"/>
      <c r="Q126" s="2"/>
      <c r="R126" s="2"/>
    </row>
    <row r="127" spans="1:18" ht="30" customHeight="1">
      <c r="A127" s="8"/>
      <c r="B127" s="8" t="s">
        <v>3580</v>
      </c>
      <c r="C127" s="8" t="s">
        <v>3582</v>
      </c>
      <c r="D127" s="8" t="s">
        <v>3544</v>
      </c>
      <c r="E127" s="1169">
        <v>15403</v>
      </c>
      <c r="F127" s="156">
        <f>일위대가!F851</f>
        <v>13193</v>
      </c>
      <c r="G127" s="1169">
        <v>87157</v>
      </c>
      <c r="H127" s="156">
        <f>일위대가!H851</f>
        <v>87157</v>
      </c>
      <c r="I127" s="1169">
        <v>0</v>
      </c>
      <c r="J127" s="156">
        <f>일위대가!J851</f>
        <v>523</v>
      </c>
      <c r="K127" s="1169">
        <v>102560</v>
      </c>
      <c r="L127" s="156">
        <f t="shared" si="3"/>
        <v>100873</v>
      </c>
      <c r="M127" s="8" t="s">
        <v>3523</v>
      </c>
      <c r="N127" s="8"/>
      <c r="O127" s="2"/>
      <c r="P127" s="2"/>
      <c r="Q127" s="2"/>
      <c r="R127" s="2"/>
    </row>
    <row r="128" spans="1:18" ht="30" customHeight="1">
      <c r="A128" s="8"/>
      <c r="B128" s="8" t="s">
        <v>3589</v>
      </c>
      <c r="C128" s="8" t="s">
        <v>3591</v>
      </c>
      <c r="D128" s="8" t="s">
        <v>3533</v>
      </c>
      <c r="E128" s="1169">
        <v>1065</v>
      </c>
      <c r="F128" s="156">
        <f>일위대가!F858</f>
        <v>0</v>
      </c>
      <c r="G128" s="1169">
        <v>16312.900000000001</v>
      </c>
      <c r="H128" s="156">
        <f>일위대가!H858</f>
        <v>16312.900000000001</v>
      </c>
      <c r="I128" s="1169">
        <v>326.2</v>
      </c>
      <c r="J128" s="156">
        <f>일위대가!J858</f>
        <v>326.2</v>
      </c>
      <c r="K128" s="1169">
        <v>17704.100000000002</v>
      </c>
      <c r="L128" s="156">
        <f t="shared" si="3"/>
        <v>16639.100000000002</v>
      </c>
      <c r="M128" s="8" t="s">
        <v>3530</v>
      </c>
      <c r="N128" s="8"/>
      <c r="O128" s="2"/>
      <c r="P128" s="2"/>
      <c r="Q128" s="2"/>
      <c r="R128" s="2"/>
    </row>
    <row r="129" spans="1:19" ht="30" customHeight="1">
      <c r="A129" s="8"/>
      <c r="B129" s="8" t="s">
        <v>3598</v>
      </c>
      <c r="C129" s="8" t="s">
        <v>3599</v>
      </c>
      <c r="D129" s="8" t="s">
        <v>3586</v>
      </c>
      <c r="E129" s="1169">
        <v>91800</v>
      </c>
      <c r="F129" s="156">
        <f>일위대가!F863</f>
        <v>91800</v>
      </c>
      <c r="G129" s="1169">
        <v>122400</v>
      </c>
      <c r="H129" s="156">
        <f>일위대가!H863</f>
        <v>122400</v>
      </c>
      <c r="I129" s="1169">
        <v>0</v>
      </c>
      <c r="J129" s="156">
        <f>일위대가!J863</f>
        <v>0</v>
      </c>
      <c r="K129" s="1169">
        <v>214200</v>
      </c>
      <c r="L129" s="156">
        <f t="shared" si="3"/>
        <v>214200</v>
      </c>
      <c r="M129" s="8" t="s">
        <v>6633</v>
      </c>
      <c r="N129" s="8"/>
      <c r="O129" s="2"/>
      <c r="P129" s="2"/>
      <c r="Q129" s="2"/>
      <c r="R129" s="2"/>
    </row>
    <row r="130" spans="1:19" ht="30" customHeight="1">
      <c r="A130" s="8"/>
      <c r="B130" s="8" t="s">
        <v>4731</v>
      </c>
      <c r="C130" s="8" t="s">
        <v>4732</v>
      </c>
      <c r="D130" s="8" t="s">
        <v>2568</v>
      </c>
      <c r="E130" s="1169">
        <v>3050000</v>
      </c>
      <c r="F130" s="403">
        <f>일위대가!F868</f>
        <v>3050000</v>
      </c>
      <c r="G130" s="1169">
        <v>1103220</v>
      </c>
      <c r="H130" s="403">
        <f>일위대가!H868</f>
        <v>1103220</v>
      </c>
      <c r="I130" s="1169">
        <v>0</v>
      </c>
      <c r="J130" s="403">
        <f>일위대가!J868</f>
        <v>0</v>
      </c>
      <c r="K130" s="1169">
        <v>4153220</v>
      </c>
      <c r="L130" s="403">
        <f t="shared" si="3"/>
        <v>4153220</v>
      </c>
      <c r="M130" s="8" t="s">
        <v>6634</v>
      </c>
      <c r="N130" s="8"/>
      <c r="O130" s="2"/>
      <c r="P130" s="2"/>
      <c r="Q130" s="2"/>
      <c r="R130" s="2"/>
    </row>
    <row r="131" spans="1:19" ht="30" customHeight="1">
      <c r="B131" s="1190" t="s">
        <v>185</v>
      </c>
      <c r="C131" s="1190" t="s">
        <v>6682</v>
      </c>
      <c r="D131" s="1190" t="s">
        <v>59</v>
      </c>
      <c r="E131" s="1191"/>
      <c r="F131" s="1191">
        <f>일위대가!F878</f>
        <v>4948</v>
      </c>
      <c r="G131" s="1191"/>
      <c r="H131" s="1191">
        <f>일위대가!H878</f>
        <v>21918</v>
      </c>
      <c r="I131" s="1191"/>
      <c r="J131" s="1191">
        <f>일위대가!J878</f>
        <v>0</v>
      </c>
      <c r="K131" s="1191"/>
      <c r="L131" s="1191">
        <f t="shared" ref="L131:L133" si="4">F131+H131+J131</f>
        <v>26866</v>
      </c>
      <c r="M131" s="1190" t="s">
        <v>6680</v>
      </c>
      <c r="N131" s="1190" t="s">
        <v>51</v>
      </c>
      <c r="S131" t="s">
        <v>6681</v>
      </c>
    </row>
    <row r="132" spans="1:19" ht="30" customHeight="1">
      <c r="B132" s="1190" t="s">
        <v>6707</v>
      </c>
      <c r="C132" s="1190" t="s">
        <v>6708</v>
      </c>
      <c r="D132" s="1190" t="s">
        <v>1821</v>
      </c>
      <c r="E132" s="1191"/>
      <c r="F132" s="1191">
        <f>일위대가!F884</f>
        <v>1449</v>
      </c>
      <c r="G132" s="1191"/>
      <c r="H132" s="1191">
        <f>일위대가!H884</f>
        <v>0</v>
      </c>
      <c r="I132" s="1191"/>
      <c r="J132" s="1191">
        <f>일위대가!J884</f>
        <v>1229</v>
      </c>
      <c r="K132" s="1191"/>
      <c r="L132" s="1191">
        <f t="shared" si="4"/>
        <v>2678</v>
      </c>
      <c r="M132" s="1190" t="s">
        <v>6710</v>
      </c>
      <c r="N132" s="1190" t="s">
        <v>51</v>
      </c>
      <c r="S132" t="s">
        <v>6681</v>
      </c>
    </row>
    <row r="133" spans="1:19" ht="30" customHeight="1">
      <c r="B133" s="1190" t="s">
        <v>6709</v>
      </c>
      <c r="C133" s="1190" t="s">
        <v>6701</v>
      </c>
      <c r="D133" s="1190" t="s">
        <v>1821</v>
      </c>
      <c r="E133" s="1191"/>
      <c r="F133" s="1191">
        <f>일위대가!F888</f>
        <v>0</v>
      </c>
      <c r="G133" s="1191"/>
      <c r="H133" s="1191">
        <f>일위대가!H888</f>
        <v>0</v>
      </c>
      <c r="I133" s="1191"/>
      <c r="J133" s="1191">
        <f>일위대가!J888</f>
        <v>34.700000000000003</v>
      </c>
      <c r="K133" s="1191"/>
      <c r="L133" s="1191">
        <f t="shared" si="4"/>
        <v>34.700000000000003</v>
      </c>
      <c r="M133" s="1190" t="s">
        <v>6711</v>
      </c>
      <c r="N133" s="1190" t="s">
        <v>51</v>
      </c>
      <c r="S133" t="s">
        <v>6681</v>
      </c>
    </row>
    <row r="134" spans="1:19" ht="30" customHeight="1">
      <c r="B134" s="1190" t="s">
        <v>6735</v>
      </c>
      <c r="C134" s="1190" t="s">
        <v>6727</v>
      </c>
      <c r="D134" s="1190" t="s">
        <v>993</v>
      </c>
      <c r="E134" s="1191"/>
      <c r="F134" s="1191">
        <f>일위대가!F893</f>
        <v>102</v>
      </c>
      <c r="G134" s="1191"/>
      <c r="H134" s="1191">
        <f>일위대가!H893</f>
        <v>7002</v>
      </c>
      <c r="I134" s="1191"/>
      <c r="J134" s="1191">
        <f>일위대가!J893</f>
        <v>222</v>
      </c>
      <c r="K134" s="1191"/>
      <c r="L134" s="1191">
        <f t="shared" ref="L134:L138" si="5">F134+H134+J134</f>
        <v>7326</v>
      </c>
      <c r="M134" s="1190" t="s">
        <v>6738</v>
      </c>
      <c r="N134" s="1190"/>
      <c r="S134" t="s">
        <v>6681</v>
      </c>
    </row>
    <row r="135" spans="1:19" ht="30" customHeight="1">
      <c r="B135" s="1190" t="s">
        <v>6736</v>
      </c>
      <c r="C135" s="1190" t="s">
        <v>6727</v>
      </c>
      <c r="D135" s="1190" t="s">
        <v>993</v>
      </c>
      <c r="E135" s="1191"/>
      <c r="F135" s="1191">
        <f>일위대가!F906</f>
        <v>87</v>
      </c>
      <c r="G135" s="1191"/>
      <c r="H135" s="1191">
        <f>일위대가!H906</f>
        <v>5576</v>
      </c>
      <c r="I135" s="1191"/>
      <c r="J135" s="1191">
        <f>일위대가!J906</f>
        <v>178</v>
      </c>
      <c r="K135" s="1191"/>
      <c r="L135" s="1191">
        <f t="shared" si="5"/>
        <v>5841</v>
      </c>
      <c r="M135" s="1190" t="s">
        <v>6739</v>
      </c>
      <c r="N135" s="1190"/>
      <c r="S135" t="s">
        <v>6681</v>
      </c>
    </row>
    <row r="136" spans="1:19" ht="30" customHeight="1">
      <c r="B136" s="1190" t="s">
        <v>6737</v>
      </c>
      <c r="C136" s="1190" t="s">
        <v>6727</v>
      </c>
      <c r="D136" s="1190" t="s">
        <v>993</v>
      </c>
      <c r="E136" s="1191"/>
      <c r="F136" s="1191">
        <f>일위대가!F919</f>
        <v>15</v>
      </c>
      <c r="G136" s="1191"/>
      <c r="H136" s="1191">
        <f>일위대가!H919</f>
        <v>1426</v>
      </c>
      <c r="I136" s="1191"/>
      <c r="J136" s="1191">
        <f>일위대가!J919</f>
        <v>44</v>
      </c>
      <c r="K136" s="1191"/>
      <c r="L136" s="1191">
        <f t="shared" si="5"/>
        <v>1485</v>
      </c>
      <c r="M136" s="1190" t="s">
        <v>6740</v>
      </c>
      <c r="N136" s="1190"/>
      <c r="S136" t="s">
        <v>6681</v>
      </c>
    </row>
    <row r="137" spans="1:19" ht="30" customHeight="1">
      <c r="B137" s="1190" t="s">
        <v>6768</v>
      </c>
      <c r="C137" s="1190" t="s">
        <v>6765</v>
      </c>
      <c r="D137" s="1190" t="s">
        <v>1292</v>
      </c>
      <c r="E137" s="1216"/>
      <c r="F137" s="1216">
        <f>일위대가!F926</f>
        <v>800</v>
      </c>
      <c r="G137" s="1216"/>
      <c r="H137" s="1216">
        <f>일위대가!H926</f>
        <v>80013</v>
      </c>
      <c r="I137" s="1216"/>
      <c r="J137" s="1216">
        <f>일위대가!J926</f>
        <v>544</v>
      </c>
      <c r="K137" s="1216"/>
      <c r="L137" s="1216">
        <f t="shared" si="5"/>
        <v>81357</v>
      </c>
      <c r="M137" s="1190" t="s">
        <v>6766</v>
      </c>
      <c r="N137" s="1190" t="s">
        <v>51</v>
      </c>
      <c r="S137" t="s">
        <v>6681</v>
      </c>
    </row>
    <row r="138" spans="1:19" ht="30" customHeight="1">
      <c r="B138" s="1190" t="s">
        <v>6753</v>
      </c>
      <c r="C138" s="1190" t="s">
        <v>6754</v>
      </c>
      <c r="D138" s="1190" t="s">
        <v>1821</v>
      </c>
      <c r="E138" s="1216"/>
      <c r="F138" s="1216">
        <f>일위대가!F930</f>
        <v>0</v>
      </c>
      <c r="G138" s="1216"/>
      <c r="H138" s="1216">
        <f>일위대가!H930</f>
        <v>0</v>
      </c>
      <c r="I138" s="1216"/>
      <c r="J138" s="1216">
        <f>일위대가!J930</f>
        <v>289</v>
      </c>
      <c r="K138" s="1216"/>
      <c r="L138" s="1216">
        <f t="shared" si="5"/>
        <v>289</v>
      </c>
      <c r="M138" s="1190" t="s">
        <v>6767</v>
      </c>
      <c r="N138" s="1190" t="s">
        <v>51</v>
      </c>
      <c r="S138" t="s">
        <v>6681</v>
      </c>
    </row>
    <row r="139" spans="1:19" ht="30" customHeight="1"/>
    <row r="140" spans="1:19" ht="30" customHeight="1"/>
    <row r="141" spans="1:19" ht="30" customHeight="1"/>
    <row r="142" spans="1:19" ht="30" customHeight="1"/>
    <row r="143" spans="1:19" ht="30" customHeight="1"/>
    <row r="144" spans="1:19" ht="30" customHeight="1"/>
  </sheetData>
  <mergeCells count="2">
    <mergeCell ref="A1:N1"/>
    <mergeCell ref="A2:Q2"/>
  </mergeCells>
  <phoneticPr fontId="1" type="noConversion"/>
  <pageMargins left="0.39370078740157483" right="0" top="0.39370078740157483" bottom="0.39370078740157483" header="0" footer="0"/>
  <pageSetup paperSize="9" scale="66" fitToHeight="0" orientation="landscape" horizontalDpi="4294967293" verticalDpi="4294967293" r:id="rId1"/>
  <headerFooter>
    <oddFooter>&amp;C&amp;P&amp;R일위대가목록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A949"/>
  <sheetViews>
    <sheetView view="pageBreakPreview" zoomScale="80" zoomScaleSheetLayoutView="80" workbookViewId="0">
      <selection activeCell="A4" sqref="A4:M4"/>
    </sheetView>
  </sheetViews>
  <sheetFormatPr defaultRowHeight="16.5"/>
  <cols>
    <col min="1" max="2" width="30.625" customWidth="1"/>
    <col min="3" max="3" width="4.625" customWidth="1"/>
    <col min="4" max="4" width="8.625" customWidth="1"/>
    <col min="5" max="12" width="13.625" customWidth="1"/>
    <col min="13" max="13" width="12.625" style="524" customWidth="1"/>
    <col min="14" max="47" width="2.625" hidden="1" customWidth="1"/>
    <col min="48" max="48" width="1.625" hidden="1" customWidth="1"/>
    <col min="49" max="49" width="24.625" hidden="1" customWidth="1"/>
    <col min="50" max="51" width="2.625" hidden="1" customWidth="1"/>
    <col min="52" max="52" width="13.375" customWidth="1"/>
  </cols>
  <sheetData>
    <row r="1" spans="1:52" ht="30" customHeight="1">
      <c r="A1" s="1384" t="s">
        <v>4794</v>
      </c>
      <c r="B1" s="1384"/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</row>
    <row r="2" spans="1:52" ht="30" customHeight="1">
      <c r="A2" s="1385" t="s">
        <v>1</v>
      </c>
      <c r="B2" s="1385" t="s">
        <v>2</v>
      </c>
      <c r="C2" s="1385" t="s">
        <v>3</v>
      </c>
      <c r="D2" s="1385" t="s">
        <v>4</v>
      </c>
      <c r="E2" s="1385" t="s">
        <v>5</v>
      </c>
      <c r="F2" s="1385"/>
      <c r="G2" s="1385" t="s">
        <v>8</v>
      </c>
      <c r="H2" s="1385"/>
      <c r="I2" s="1385" t="s">
        <v>9</v>
      </c>
      <c r="J2" s="1385"/>
      <c r="K2" s="1385" t="s">
        <v>10</v>
      </c>
      <c r="L2" s="1385"/>
      <c r="M2" s="1385" t="s">
        <v>11</v>
      </c>
      <c r="N2" s="1389" t="s">
        <v>937</v>
      </c>
      <c r="O2" s="1389" t="s">
        <v>19</v>
      </c>
      <c r="P2" s="1389" t="s">
        <v>21</v>
      </c>
      <c r="Q2" s="1389" t="s">
        <v>22</v>
      </c>
      <c r="R2" s="1389" t="s">
        <v>23</v>
      </c>
      <c r="S2" s="1389" t="s">
        <v>24</v>
      </c>
      <c r="T2" s="1389" t="s">
        <v>25</v>
      </c>
      <c r="U2" s="1389" t="s">
        <v>26</v>
      </c>
      <c r="V2" s="1389" t="s">
        <v>27</v>
      </c>
      <c r="W2" s="1389" t="s">
        <v>28</v>
      </c>
      <c r="X2" s="1389" t="s">
        <v>29</v>
      </c>
      <c r="Y2" s="1389" t="s">
        <v>30</v>
      </c>
      <c r="Z2" s="1389" t="s">
        <v>31</v>
      </c>
      <c r="AA2" s="1389" t="s">
        <v>32</v>
      </c>
      <c r="AB2" s="1389" t="s">
        <v>33</v>
      </c>
      <c r="AC2" s="1389" t="s">
        <v>34</v>
      </c>
      <c r="AD2" s="1389" t="s">
        <v>35</v>
      </c>
      <c r="AE2" s="1389" t="s">
        <v>36</v>
      </c>
      <c r="AF2" s="1389" t="s">
        <v>37</v>
      </c>
      <c r="AG2" s="1389" t="s">
        <v>38</v>
      </c>
      <c r="AH2" s="1389" t="s">
        <v>39</v>
      </c>
      <c r="AI2" s="1389" t="s">
        <v>40</v>
      </c>
      <c r="AJ2" s="1389" t="s">
        <v>41</v>
      </c>
      <c r="AK2" s="1389" t="s">
        <v>42</v>
      </c>
      <c r="AL2" s="1389" t="s">
        <v>43</v>
      </c>
      <c r="AM2" s="1389" t="s">
        <v>44</v>
      </c>
      <c r="AN2" s="1389" t="s">
        <v>45</v>
      </c>
      <c r="AO2" s="1389" t="s">
        <v>46</v>
      </c>
      <c r="AP2" s="1389" t="s">
        <v>938</v>
      </c>
      <c r="AQ2" s="1389" t="s">
        <v>939</v>
      </c>
      <c r="AR2" s="1389" t="s">
        <v>940</v>
      </c>
      <c r="AS2" s="1389" t="s">
        <v>941</v>
      </c>
      <c r="AT2" s="1389" t="s">
        <v>942</v>
      </c>
      <c r="AU2" s="1389" t="s">
        <v>943</v>
      </c>
      <c r="AV2" s="1389" t="s">
        <v>47</v>
      </c>
      <c r="AW2" s="1389" t="s">
        <v>944</v>
      </c>
      <c r="AX2" s="1" t="s">
        <v>936</v>
      </c>
      <c r="AY2" s="1" t="s">
        <v>20</v>
      </c>
    </row>
    <row r="3" spans="1:52" ht="30" customHeight="1">
      <c r="A3" s="1385"/>
      <c r="B3" s="1385"/>
      <c r="C3" s="1385"/>
      <c r="D3" s="1385"/>
      <c r="E3" s="4" t="s">
        <v>6</v>
      </c>
      <c r="F3" s="4" t="s">
        <v>7</v>
      </c>
      <c r="G3" s="4" t="s">
        <v>6</v>
      </c>
      <c r="H3" s="4" t="s">
        <v>7</v>
      </c>
      <c r="I3" s="4" t="s">
        <v>6</v>
      </c>
      <c r="J3" s="4" t="s">
        <v>7</v>
      </c>
      <c r="K3" s="4" t="s">
        <v>6</v>
      </c>
      <c r="L3" s="4" t="s">
        <v>7</v>
      </c>
      <c r="M3" s="1385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  <c r="AD3" s="1389"/>
      <c r="AE3" s="1389"/>
      <c r="AF3" s="1389"/>
      <c r="AG3" s="1389"/>
      <c r="AH3" s="1389"/>
      <c r="AI3" s="1389"/>
      <c r="AJ3" s="1389"/>
      <c r="AK3" s="1389"/>
      <c r="AL3" s="1389"/>
      <c r="AM3" s="1389"/>
      <c r="AN3" s="1389"/>
      <c r="AO3" s="1389"/>
      <c r="AP3" s="1389"/>
      <c r="AQ3" s="1389"/>
      <c r="AR3" s="1389"/>
      <c r="AS3" s="1389"/>
      <c r="AT3" s="1389"/>
      <c r="AU3" s="1389"/>
      <c r="AV3" s="1389"/>
      <c r="AW3" s="1389"/>
    </row>
    <row r="4" spans="1:52" ht="30" customHeight="1">
      <c r="A4" s="1400" t="s">
        <v>6664</v>
      </c>
      <c r="B4" s="1400"/>
      <c r="C4" s="1400"/>
      <c r="D4" s="1400"/>
      <c r="E4" s="1401"/>
      <c r="F4" s="1402"/>
      <c r="G4" s="1401"/>
      <c r="H4" s="1402"/>
      <c r="I4" s="1401"/>
      <c r="J4" s="1402"/>
      <c r="K4" s="1401"/>
      <c r="L4" s="1402"/>
      <c r="M4" s="1400"/>
      <c r="N4" s="1" t="s">
        <v>60</v>
      </c>
      <c r="AZ4" t="s">
        <v>6665</v>
      </c>
    </row>
    <row r="5" spans="1:52" ht="30" customHeight="1">
      <c r="A5" s="8" t="s">
        <v>946</v>
      </c>
      <c r="B5" s="8" t="s">
        <v>947</v>
      </c>
      <c r="C5" s="8" t="s">
        <v>419</v>
      </c>
      <c r="D5" s="1171">
        <v>5.0000000000000001E-3</v>
      </c>
      <c r="E5" s="11">
        <f>단가대비표!O568</f>
        <v>0</v>
      </c>
      <c r="F5" s="12">
        <f>TRUNC(E5*D5,1)</f>
        <v>0</v>
      </c>
      <c r="G5" s="11">
        <f>단가대비표!P568</f>
        <v>203532</v>
      </c>
      <c r="H5" s="12">
        <f>TRUNC(G5*D5,1)</f>
        <v>1017.6</v>
      </c>
      <c r="I5" s="11">
        <f>단가대비표!V568</f>
        <v>0</v>
      </c>
      <c r="J5" s="12">
        <f>TRUNC(I5*D5,1)</f>
        <v>0</v>
      </c>
      <c r="K5" s="11">
        <f>TRUNC(E5+G5+I5,1)</f>
        <v>203532</v>
      </c>
      <c r="L5" s="12">
        <f>TRUNC(F5+H5+J5,1)</f>
        <v>1017.6</v>
      </c>
      <c r="M5" s="522" t="s">
        <v>51</v>
      </c>
      <c r="N5" s="2" t="s">
        <v>60</v>
      </c>
      <c r="O5" s="2" t="s">
        <v>948</v>
      </c>
      <c r="P5" s="2" t="s">
        <v>62</v>
      </c>
      <c r="Q5" s="2" t="s">
        <v>62</v>
      </c>
      <c r="R5" s="2" t="s">
        <v>61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2" t="s">
        <v>51</v>
      </c>
      <c r="AW5" s="2" t="s">
        <v>949</v>
      </c>
      <c r="AX5" s="2" t="s">
        <v>51</v>
      </c>
      <c r="AY5" s="2" t="s">
        <v>51</v>
      </c>
      <c r="AZ5">
        <v>1.2E-2</v>
      </c>
    </row>
    <row r="6" spans="1:52" ht="30" customHeight="1">
      <c r="A6" s="8" t="s">
        <v>950</v>
      </c>
      <c r="B6" s="8" t="s">
        <v>51</v>
      </c>
      <c r="C6" s="8" t="s">
        <v>51</v>
      </c>
      <c r="D6" s="9"/>
      <c r="E6" s="11"/>
      <c r="F6" s="12">
        <f>TRUNC(SUMIF(N5:N5, N4, F5:F5),0)</f>
        <v>0</v>
      </c>
      <c r="G6" s="11"/>
      <c r="H6" s="12">
        <f>TRUNC(SUMIF(N5:N5, N4, H5:H5),0)</f>
        <v>1017</v>
      </c>
      <c r="I6" s="11"/>
      <c r="J6" s="12">
        <f>TRUNC(SUMIF(N5:N5, N4, J5:J5),0)</f>
        <v>0</v>
      </c>
      <c r="K6" s="11"/>
      <c r="L6" s="12">
        <f>F6+H6+J6</f>
        <v>1017</v>
      </c>
      <c r="M6" s="522" t="s">
        <v>51</v>
      </c>
      <c r="N6" s="2" t="s">
        <v>86</v>
      </c>
      <c r="O6" s="2" t="s">
        <v>86</v>
      </c>
      <c r="P6" s="2" t="s">
        <v>51</v>
      </c>
      <c r="Q6" s="2" t="s">
        <v>51</v>
      </c>
      <c r="R6" s="2" t="s">
        <v>51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2" t="s">
        <v>51</v>
      </c>
      <c r="AW6" s="2" t="s">
        <v>51</v>
      </c>
      <c r="AX6" s="2" t="s">
        <v>51</v>
      </c>
      <c r="AY6" s="2" t="s">
        <v>51</v>
      </c>
      <c r="AZ6" s="1170">
        <v>2442</v>
      </c>
    </row>
    <row r="7" spans="1:52" ht="30" customHeight="1">
      <c r="A7" s="9"/>
      <c r="B7" s="9"/>
      <c r="C7" s="9"/>
      <c r="D7" s="9"/>
      <c r="E7" s="11"/>
      <c r="F7" s="12"/>
      <c r="G7" s="11"/>
      <c r="H7" s="12"/>
      <c r="I7" s="11"/>
      <c r="J7" s="12"/>
      <c r="K7" s="11"/>
      <c r="L7" s="12"/>
      <c r="M7" s="523"/>
    </row>
    <row r="8" spans="1:52" ht="30" customHeight="1">
      <c r="A8" s="1403" t="s">
        <v>951</v>
      </c>
      <c r="B8" s="1403"/>
      <c r="C8" s="1403"/>
      <c r="D8" s="1403"/>
      <c r="E8" s="1404"/>
      <c r="F8" s="1405"/>
      <c r="G8" s="1404"/>
      <c r="H8" s="1405"/>
      <c r="I8" s="1404"/>
      <c r="J8" s="1405"/>
      <c r="K8" s="1404"/>
      <c r="L8" s="1405"/>
      <c r="M8" s="1403"/>
      <c r="N8" s="1" t="s">
        <v>67</v>
      </c>
    </row>
    <row r="9" spans="1:52" ht="30" customHeight="1">
      <c r="A9" s="8" t="s">
        <v>953</v>
      </c>
      <c r="B9" s="8" t="s">
        <v>954</v>
      </c>
      <c r="C9" s="8" t="s">
        <v>140</v>
      </c>
      <c r="D9" s="9">
        <v>0.2</v>
      </c>
      <c r="E9" s="11">
        <f>단가대비표!O465</f>
        <v>20400</v>
      </c>
      <c r="F9" s="12">
        <f t="shared" ref="F9:F18" si="0">TRUNC(E9*D9,1)</f>
        <v>4080</v>
      </c>
      <c r="G9" s="11">
        <f>단가대비표!P465</f>
        <v>0</v>
      </c>
      <c r="H9" s="12">
        <f t="shared" ref="H9:H18" si="1">TRUNC(G9*D9,1)</f>
        <v>0</v>
      </c>
      <c r="I9" s="11">
        <f>단가대비표!V465</f>
        <v>0</v>
      </c>
      <c r="J9" s="12">
        <f t="shared" ref="J9:J18" si="2">TRUNC(I9*D9,1)</f>
        <v>0</v>
      </c>
      <c r="K9" s="11">
        <f t="shared" ref="K9:K18" si="3">TRUNC(E9+G9+I9,1)</f>
        <v>20400</v>
      </c>
      <c r="L9" s="12">
        <f t="shared" ref="L9:L18" si="4">TRUNC(F9+H9+J9,1)</f>
        <v>4080</v>
      </c>
      <c r="M9" s="522" t="s">
        <v>51</v>
      </c>
      <c r="N9" s="2" t="s">
        <v>67</v>
      </c>
      <c r="O9" s="2" t="s">
        <v>955</v>
      </c>
      <c r="P9" s="2" t="s">
        <v>62</v>
      </c>
      <c r="Q9" s="2" t="s">
        <v>62</v>
      </c>
      <c r="R9" s="2" t="s">
        <v>61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2" t="s">
        <v>51</v>
      </c>
      <c r="AW9" s="2" t="s">
        <v>956</v>
      </c>
      <c r="AX9" s="2" t="s">
        <v>51</v>
      </c>
      <c r="AY9" s="2" t="s">
        <v>51</v>
      </c>
    </row>
    <row r="10" spans="1:52" ht="30" customHeight="1">
      <c r="A10" s="8" t="s">
        <v>953</v>
      </c>
      <c r="B10" s="8" t="s">
        <v>957</v>
      </c>
      <c r="C10" s="8" t="s">
        <v>140</v>
      </c>
      <c r="D10" s="9">
        <v>0.2</v>
      </c>
      <c r="E10" s="11">
        <f>단가대비표!O466</f>
        <v>6100</v>
      </c>
      <c r="F10" s="12">
        <f t="shared" si="0"/>
        <v>1220</v>
      </c>
      <c r="G10" s="11">
        <f>단가대비표!P466</f>
        <v>0</v>
      </c>
      <c r="H10" s="12">
        <f t="shared" si="1"/>
        <v>0</v>
      </c>
      <c r="I10" s="11">
        <f>단가대비표!V466</f>
        <v>0</v>
      </c>
      <c r="J10" s="12">
        <f t="shared" si="2"/>
        <v>0</v>
      </c>
      <c r="K10" s="11">
        <f t="shared" si="3"/>
        <v>6100</v>
      </c>
      <c r="L10" s="12">
        <f t="shared" si="4"/>
        <v>1220</v>
      </c>
      <c r="M10" s="522" t="s">
        <v>51</v>
      </c>
      <c r="N10" s="2" t="s">
        <v>67</v>
      </c>
      <c r="O10" s="2" t="s">
        <v>958</v>
      </c>
      <c r="P10" s="2" t="s">
        <v>62</v>
      </c>
      <c r="Q10" s="2" t="s">
        <v>62</v>
      </c>
      <c r="R10" s="2" t="s">
        <v>61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2" t="s">
        <v>51</v>
      </c>
      <c r="AW10" s="2" t="s">
        <v>959</v>
      </c>
      <c r="AX10" s="2" t="s">
        <v>51</v>
      </c>
      <c r="AY10" s="2" t="s">
        <v>51</v>
      </c>
    </row>
    <row r="11" spans="1:52" ht="30" customHeight="1">
      <c r="A11" s="8" t="s">
        <v>953</v>
      </c>
      <c r="B11" s="8" t="s">
        <v>960</v>
      </c>
      <c r="C11" s="8" t="s">
        <v>140</v>
      </c>
      <c r="D11" s="9">
        <v>0.4</v>
      </c>
      <c r="E11" s="11">
        <f>단가대비표!O467</f>
        <v>14900</v>
      </c>
      <c r="F11" s="12">
        <f t="shared" si="0"/>
        <v>5960</v>
      </c>
      <c r="G11" s="11">
        <f>단가대비표!P467</f>
        <v>0</v>
      </c>
      <c r="H11" s="12">
        <f t="shared" si="1"/>
        <v>0</v>
      </c>
      <c r="I11" s="11">
        <f>단가대비표!V467</f>
        <v>0</v>
      </c>
      <c r="J11" s="12">
        <f t="shared" si="2"/>
        <v>0</v>
      </c>
      <c r="K11" s="11">
        <f t="shared" si="3"/>
        <v>14900</v>
      </c>
      <c r="L11" s="12">
        <f t="shared" si="4"/>
        <v>5960</v>
      </c>
      <c r="M11" s="522" t="s">
        <v>51</v>
      </c>
      <c r="N11" s="2" t="s">
        <v>67</v>
      </c>
      <c r="O11" s="2" t="s">
        <v>961</v>
      </c>
      <c r="P11" s="2" t="s">
        <v>62</v>
      </c>
      <c r="Q11" s="2" t="s">
        <v>62</v>
      </c>
      <c r="R11" s="2" t="s">
        <v>61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2" t="s">
        <v>51</v>
      </c>
      <c r="AW11" s="2" t="s">
        <v>962</v>
      </c>
      <c r="AX11" s="2" t="s">
        <v>51</v>
      </c>
      <c r="AY11" s="2" t="s">
        <v>51</v>
      </c>
    </row>
    <row r="12" spans="1:52" ht="30" customHeight="1">
      <c r="A12" s="8" t="s">
        <v>953</v>
      </c>
      <c r="B12" s="8" t="s">
        <v>963</v>
      </c>
      <c r="C12" s="8" t="s">
        <v>140</v>
      </c>
      <c r="D12" s="9">
        <v>0.4</v>
      </c>
      <c r="E12" s="11">
        <f>단가대비표!O470</f>
        <v>7000</v>
      </c>
      <c r="F12" s="12">
        <f t="shared" si="0"/>
        <v>2800</v>
      </c>
      <c r="G12" s="11">
        <f>단가대비표!P470</f>
        <v>0</v>
      </c>
      <c r="H12" s="12">
        <f t="shared" si="1"/>
        <v>0</v>
      </c>
      <c r="I12" s="11">
        <f>단가대비표!V470</f>
        <v>0</v>
      </c>
      <c r="J12" s="12">
        <f t="shared" si="2"/>
        <v>0</v>
      </c>
      <c r="K12" s="11">
        <f t="shared" si="3"/>
        <v>7000</v>
      </c>
      <c r="L12" s="12">
        <f t="shared" si="4"/>
        <v>2800</v>
      </c>
      <c r="M12" s="522" t="s">
        <v>51</v>
      </c>
      <c r="N12" s="2" t="s">
        <v>67</v>
      </c>
      <c r="O12" s="2" t="s">
        <v>964</v>
      </c>
      <c r="P12" s="2" t="s">
        <v>62</v>
      </c>
      <c r="Q12" s="2" t="s">
        <v>62</v>
      </c>
      <c r="R12" s="2" t="s">
        <v>61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2" t="s">
        <v>51</v>
      </c>
      <c r="AW12" s="2" t="s">
        <v>965</v>
      </c>
      <c r="AX12" s="2" t="s">
        <v>51</v>
      </c>
      <c r="AY12" s="2" t="s">
        <v>51</v>
      </c>
    </row>
    <row r="13" spans="1:52" ht="30" customHeight="1">
      <c r="A13" s="8" t="s">
        <v>953</v>
      </c>
      <c r="B13" s="8" t="s">
        <v>966</v>
      </c>
      <c r="C13" s="8" t="s">
        <v>140</v>
      </c>
      <c r="D13" s="9">
        <v>0.2</v>
      </c>
      <c r="E13" s="11">
        <f>단가대비표!O468</f>
        <v>10800</v>
      </c>
      <c r="F13" s="12">
        <f t="shared" si="0"/>
        <v>2160</v>
      </c>
      <c r="G13" s="11">
        <f>단가대비표!P468</f>
        <v>0</v>
      </c>
      <c r="H13" s="12">
        <f t="shared" si="1"/>
        <v>0</v>
      </c>
      <c r="I13" s="11">
        <f>단가대비표!V468</f>
        <v>0</v>
      </c>
      <c r="J13" s="12">
        <f t="shared" si="2"/>
        <v>0</v>
      </c>
      <c r="K13" s="11">
        <f t="shared" si="3"/>
        <v>10800</v>
      </c>
      <c r="L13" s="12">
        <f t="shared" si="4"/>
        <v>2160</v>
      </c>
      <c r="M13" s="522" t="s">
        <v>51</v>
      </c>
      <c r="N13" s="2" t="s">
        <v>67</v>
      </c>
      <c r="O13" s="2" t="s">
        <v>967</v>
      </c>
      <c r="P13" s="2" t="s">
        <v>62</v>
      </c>
      <c r="Q13" s="2" t="s">
        <v>62</v>
      </c>
      <c r="R13" s="2" t="s">
        <v>61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2" t="s">
        <v>51</v>
      </c>
      <c r="AW13" s="2" t="s">
        <v>968</v>
      </c>
      <c r="AX13" s="2" t="s">
        <v>51</v>
      </c>
      <c r="AY13" s="2" t="s">
        <v>51</v>
      </c>
    </row>
    <row r="14" spans="1:52" ht="30" customHeight="1">
      <c r="A14" s="8" t="s">
        <v>953</v>
      </c>
      <c r="B14" s="8" t="s">
        <v>969</v>
      </c>
      <c r="C14" s="8" t="s">
        <v>140</v>
      </c>
      <c r="D14" s="9">
        <v>0.4</v>
      </c>
      <c r="E14" s="11">
        <f>단가대비표!O469</f>
        <v>13500</v>
      </c>
      <c r="F14" s="12">
        <f t="shared" si="0"/>
        <v>5400</v>
      </c>
      <c r="G14" s="11">
        <f>단가대비표!P469</f>
        <v>0</v>
      </c>
      <c r="H14" s="12">
        <f t="shared" si="1"/>
        <v>0</v>
      </c>
      <c r="I14" s="11">
        <f>단가대비표!V469</f>
        <v>0</v>
      </c>
      <c r="J14" s="12">
        <f t="shared" si="2"/>
        <v>0</v>
      </c>
      <c r="K14" s="11">
        <f t="shared" si="3"/>
        <v>13500</v>
      </c>
      <c r="L14" s="12">
        <f t="shared" si="4"/>
        <v>5400</v>
      </c>
      <c r="M14" s="522" t="s">
        <v>51</v>
      </c>
      <c r="N14" s="2" t="s">
        <v>67</v>
      </c>
      <c r="O14" s="2" t="s">
        <v>970</v>
      </c>
      <c r="P14" s="2" t="s">
        <v>62</v>
      </c>
      <c r="Q14" s="2" t="s">
        <v>62</v>
      </c>
      <c r="R14" s="2" t="s">
        <v>61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2" t="s">
        <v>51</v>
      </c>
      <c r="AW14" s="2" t="s">
        <v>971</v>
      </c>
      <c r="AX14" s="2" t="s">
        <v>51</v>
      </c>
      <c r="AY14" s="2" t="s">
        <v>51</v>
      </c>
    </row>
    <row r="15" spans="1:52" ht="30" customHeight="1">
      <c r="A15" s="8" t="s">
        <v>953</v>
      </c>
      <c r="B15" s="8" t="s">
        <v>972</v>
      </c>
      <c r="C15" s="8" t="s">
        <v>140</v>
      </c>
      <c r="D15" s="9">
        <v>0.6</v>
      </c>
      <c r="E15" s="11">
        <f>단가대비표!O471</f>
        <v>9900</v>
      </c>
      <c r="F15" s="12">
        <f t="shared" si="0"/>
        <v>5940</v>
      </c>
      <c r="G15" s="11">
        <f>단가대비표!P471</f>
        <v>0</v>
      </c>
      <c r="H15" s="12">
        <f t="shared" si="1"/>
        <v>0</v>
      </c>
      <c r="I15" s="11">
        <f>단가대비표!V471</f>
        <v>0</v>
      </c>
      <c r="J15" s="12">
        <f t="shared" si="2"/>
        <v>0</v>
      </c>
      <c r="K15" s="11">
        <f t="shared" si="3"/>
        <v>9900</v>
      </c>
      <c r="L15" s="12">
        <f t="shared" si="4"/>
        <v>5940</v>
      </c>
      <c r="M15" s="522" t="s">
        <v>51</v>
      </c>
      <c r="N15" s="2" t="s">
        <v>67</v>
      </c>
      <c r="O15" s="2" t="s">
        <v>973</v>
      </c>
      <c r="P15" s="2" t="s">
        <v>62</v>
      </c>
      <c r="Q15" s="2" t="s">
        <v>62</v>
      </c>
      <c r="R15" s="2" t="s">
        <v>61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2" t="s">
        <v>51</v>
      </c>
      <c r="AW15" s="2" t="s">
        <v>974</v>
      </c>
      <c r="AX15" s="2" t="s">
        <v>51</v>
      </c>
      <c r="AY15" s="2" t="s">
        <v>51</v>
      </c>
    </row>
    <row r="16" spans="1:52" ht="30" customHeight="1">
      <c r="A16" s="8" t="s">
        <v>953</v>
      </c>
      <c r="B16" s="8" t="s">
        <v>975</v>
      </c>
      <c r="C16" s="8" t="s">
        <v>140</v>
      </c>
      <c r="D16" s="9">
        <v>0.6</v>
      </c>
      <c r="E16" s="11">
        <f>단가대비표!O472</f>
        <v>7200</v>
      </c>
      <c r="F16" s="12">
        <f t="shared" si="0"/>
        <v>4320</v>
      </c>
      <c r="G16" s="11">
        <f>단가대비표!P472</f>
        <v>0</v>
      </c>
      <c r="H16" s="12">
        <f t="shared" si="1"/>
        <v>0</v>
      </c>
      <c r="I16" s="11">
        <f>단가대비표!V472</f>
        <v>0</v>
      </c>
      <c r="J16" s="12">
        <f t="shared" si="2"/>
        <v>0</v>
      </c>
      <c r="K16" s="11">
        <f t="shared" si="3"/>
        <v>7200</v>
      </c>
      <c r="L16" s="12">
        <f t="shared" si="4"/>
        <v>4320</v>
      </c>
      <c r="M16" s="522" t="s">
        <v>51</v>
      </c>
      <c r="N16" s="2" t="s">
        <v>67</v>
      </c>
      <c r="O16" s="2" t="s">
        <v>976</v>
      </c>
      <c r="P16" s="2" t="s">
        <v>62</v>
      </c>
      <c r="Q16" s="2" t="s">
        <v>62</v>
      </c>
      <c r="R16" s="2" t="s">
        <v>61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2" t="s">
        <v>51</v>
      </c>
      <c r="AW16" s="2" t="s">
        <v>977</v>
      </c>
      <c r="AX16" s="2" t="s">
        <v>51</v>
      </c>
      <c r="AY16" s="2" t="s">
        <v>51</v>
      </c>
    </row>
    <row r="17" spans="1:52" ht="30" customHeight="1">
      <c r="A17" s="8" t="s">
        <v>953</v>
      </c>
      <c r="B17" s="8" t="s">
        <v>978</v>
      </c>
      <c r="C17" s="8" t="s">
        <v>979</v>
      </c>
      <c r="D17" s="9">
        <v>0.7</v>
      </c>
      <c r="E17" s="11">
        <f>단가대비표!O473</f>
        <v>2000</v>
      </c>
      <c r="F17" s="12">
        <f t="shared" si="0"/>
        <v>1400</v>
      </c>
      <c r="G17" s="11">
        <f>단가대비표!P473</f>
        <v>0</v>
      </c>
      <c r="H17" s="12">
        <f t="shared" si="1"/>
        <v>0</v>
      </c>
      <c r="I17" s="11">
        <f>단가대비표!V473</f>
        <v>0</v>
      </c>
      <c r="J17" s="12">
        <f t="shared" si="2"/>
        <v>0</v>
      </c>
      <c r="K17" s="11">
        <f t="shared" si="3"/>
        <v>2000</v>
      </c>
      <c r="L17" s="12">
        <f t="shared" si="4"/>
        <v>1400</v>
      </c>
      <c r="M17" s="522" t="s">
        <v>51</v>
      </c>
      <c r="N17" s="2" t="s">
        <v>67</v>
      </c>
      <c r="O17" s="2" t="s">
        <v>980</v>
      </c>
      <c r="P17" s="2" t="s">
        <v>62</v>
      </c>
      <c r="Q17" s="2" t="s">
        <v>62</v>
      </c>
      <c r="R17" s="2" t="s">
        <v>61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2" t="s">
        <v>51</v>
      </c>
      <c r="AW17" s="2" t="s">
        <v>981</v>
      </c>
      <c r="AX17" s="2" t="s">
        <v>51</v>
      </c>
      <c r="AY17" s="2" t="s">
        <v>51</v>
      </c>
    </row>
    <row r="18" spans="1:52" ht="30" customHeight="1">
      <c r="A18" s="8" t="s">
        <v>64</v>
      </c>
      <c r="B18" s="8" t="s">
        <v>982</v>
      </c>
      <c r="C18" s="8" t="s">
        <v>66</v>
      </c>
      <c r="D18" s="9">
        <v>1</v>
      </c>
      <c r="E18" s="11">
        <f>일위대가목록!F103</f>
        <v>0</v>
      </c>
      <c r="F18" s="12">
        <f t="shared" si="0"/>
        <v>0</v>
      </c>
      <c r="G18" s="11">
        <f>일위대가목록!H103</f>
        <v>75352</v>
      </c>
      <c r="H18" s="12">
        <f t="shared" si="1"/>
        <v>75352</v>
      </c>
      <c r="I18" s="11">
        <f>일위대가목록!J103</f>
        <v>0</v>
      </c>
      <c r="J18" s="12">
        <f t="shared" si="2"/>
        <v>0</v>
      </c>
      <c r="K18" s="11">
        <f t="shared" si="3"/>
        <v>75352</v>
      </c>
      <c r="L18" s="12">
        <f t="shared" si="4"/>
        <v>75352</v>
      </c>
      <c r="M18" s="522" t="s">
        <v>1720</v>
      </c>
      <c r="N18" s="2" t="s">
        <v>67</v>
      </c>
      <c r="O18" s="2" t="s">
        <v>983</v>
      </c>
      <c r="P18" s="2" t="s">
        <v>61</v>
      </c>
      <c r="Q18" s="2" t="s">
        <v>62</v>
      </c>
      <c r="R18" s="2" t="s">
        <v>62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2" t="s">
        <v>51</v>
      </c>
      <c r="AW18" s="2" t="s">
        <v>984</v>
      </c>
      <c r="AX18" s="2" t="s">
        <v>51</v>
      </c>
      <c r="AY18" s="2" t="s">
        <v>51</v>
      </c>
    </row>
    <row r="19" spans="1:52" ht="30" customHeight="1">
      <c r="A19" s="8" t="s">
        <v>950</v>
      </c>
      <c r="B19" s="8" t="s">
        <v>51</v>
      </c>
      <c r="C19" s="8" t="s">
        <v>51</v>
      </c>
      <c r="D19" s="9"/>
      <c r="E19" s="11"/>
      <c r="F19" s="12">
        <f>TRUNC(SUMIF(N9:N18, N8, F9:F18),0)</f>
        <v>33280</v>
      </c>
      <c r="G19" s="11"/>
      <c r="H19" s="12">
        <f>TRUNC(SUMIF(N9:N18, N8, H9:H18),0)</f>
        <v>75352</v>
      </c>
      <c r="I19" s="11"/>
      <c r="J19" s="12">
        <f>TRUNC(SUMIF(N9:N18, N8, J9:J18),0)</f>
        <v>0</v>
      </c>
      <c r="K19" s="11"/>
      <c r="L19" s="12">
        <f>F19+H19+J19</f>
        <v>108632</v>
      </c>
      <c r="M19" s="522" t="s">
        <v>51</v>
      </c>
      <c r="N19" s="2" t="s">
        <v>86</v>
      </c>
      <c r="O19" s="2" t="s">
        <v>86</v>
      </c>
      <c r="P19" s="2" t="s">
        <v>51</v>
      </c>
      <c r="Q19" s="2" t="s">
        <v>51</v>
      </c>
      <c r="R19" s="2" t="s">
        <v>51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2" t="s">
        <v>51</v>
      </c>
      <c r="AW19" s="2" t="s">
        <v>51</v>
      </c>
      <c r="AX19" s="2" t="s">
        <v>51</v>
      </c>
      <c r="AY19" s="2" t="s">
        <v>51</v>
      </c>
    </row>
    <row r="20" spans="1:52" ht="30" customHeight="1">
      <c r="A20" s="9"/>
      <c r="B20" s="9"/>
      <c r="C20" s="9"/>
      <c r="D20" s="9"/>
      <c r="E20" s="11"/>
      <c r="F20" s="12"/>
      <c r="G20" s="11"/>
      <c r="H20" s="12"/>
      <c r="I20" s="11"/>
      <c r="J20" s="12"/>
      <c r="K20" s="11"/>
      <c r="L20" s="12"/>
      <c r="M20" s="523"/>
    </row>
    <row r="21" spans="1:52" ht="30" customHeight="1">
      <c r="A21" s="1403" t="s">
        <v>985</v>
      </c>
      <c r="B21" s="1403"/>
      <c r="C21" s="1403"/>
      <c r="D21" s="1403"/>
      <c r="E21" s="1404"/>
      <c r="F21" s="1405"/>
      <c r="G21" s="1404"/>
      <c r="H21" s="1405"/>
      <c r="I21" s="1404"/>
      <c r="J21" s="1405"/>
      <c r="K21" s="1404"/>
      <c r="L21" s="1405"/>
      <c r="M21" s="1403"/>
      <c r="N21" s="1" t="s">
        <v>74</v>
      </c>
    </row>
    <row r="22" spans="1:52" ht="30" customHeight="1">
      <c r="A22" s="8" t="s">
        <v>987</v>
      </c>
      <c r="B22" s="8" t="s">
        <v>988</v>
      </c>
      <c r="C22" s="8" t="s">
        <v>59</v>
      </c>
      <c r="D22" s="9">
        <v>1.2</v>
      </c>
      <c r="E22" s="11">
        <f>단가대비표!O47</f>
        <v>408</v>
      </c>
      <c r="F22" s="12">
        <f>TRUNC(E22*D22,1)</f>
        <v>489.6</v>
      </c>
      <c r="G22" s="11">
        <f>단가대비표!P47</f>
        <v>0</v>
      </c>
      <c r="H22" s="12">
        <f>TRUNC(G22*D22,1)</f>
        <v>0</v>
      </c>
      <c r="I22" s="11">
        <f>단가대비표!V47</f>
        <v>0</v>
      </c>
      <c r="J22" s="12">
        <f>TRUNC(I22*D22,1)</f>
        <v>0</v>
      </c>
      <c r="K22" s="11">
        <f t="shared" ref="K22:L24" si="5">TRUNC(E22+G22+I22,1)</f>
        <v>408</v>
      </c>
      <c r="L22" s="12">
        <f t="shared" si="5"/>
        <v>489.6</v>
      </c>
      <c r="M22" s="522" t="s">
        <v>51</v>
      </c>
      <c r="N22" s="2" t="s">
        <v>74</v>
      </c>
      <c r="O22" s="2" t="s">
        <v>989</v>
      </c>
      <c r="P22" s="2" t="s">
        <v>62</v>
      </c>
      <c r="Q22" s="2" t="s">
        <v>62</v>
      </c>
      <c r="R22" s="2" t="s">
        <v>61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2" t="s">
        <v>51</v>
      </c>
      <c r="AW22" s="2" t="s">
        <v>990</v>
      </c>
      <c r="AX22" s="2" t="s">
        <v>51</v>
      </c>
      <c r="AY22" s="2" t="s">
        <v>51</v>
      </c>
    </row>
    <row r="23" spans="1:52" ht="30" customHeight="1">
      <c r="A23" s="8" t="s">
        <v>991</v>
      </c>
      <c r="B23" s="8" t="s">
        <v>992</v>
      </c>
      <c r="C23" s="8" t="s">
        <v>993</v>
      </c>
      <c r="D23" s="9">
        <v>0.06</v>
      </c>
      <c r="E23" s="11">
        <f>단가대비표!O486</f>
        <v>710</v>
      </c>
      <c r="F23" s="12">
        <f>TRUNC(E23*D23,1)</f>
        <v>42.6</v>
      </c>
      <c r="G23" s="11">
        <f>단가대비표!P486</f>
        <v>0</v>
      </c>
      <c r="H23" s="12">
        <f>TRUNC(G23*D23,1)</f>
        <v>0</v>
      </c>
      <c r="I23" s="11">
        <f>단가대비표!V486</f>
        <v>0</v>
      </c>
      <c r="J23" s="12">
        <f>TRUNC(I23*D23,1)</f>
        <v>0</v>
      </c>
      <c r="K23" s="11">
        <f t="shared" si="5"/>
        <v>710</v>
      </c>
      <c r="L23" s="12">
        <f t="shared" si="5"/>
        <v>42.6</v>
      </c>
      <c r="M23" s="522" t="s">
        <v>51</v>
      </c>
      <c r="N23" s="2" t="s">
        <v>74</v>
      </c>
      <c r="O23" s="2" t="s">
        <v>994</v>
      </c>
      <c r="P23" s="2" t="s">
        <v>62</v>
      </c>
      <c r="Q23" s="2" t="s">
        <v>62</v>
      </c>
      <c r="R23" s="2" t="s">
        <v>61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2" t="s">
        <v>51</v>
      </c>
      <c r="AW23" s="2" t="s">
        <v>995</v>
      </c>
      <c r="AX23" s="2" t="s">
        <v>51</v>
      </c>
      <c r="AY23" s="2" t="s">
        <v>51</v>
      </c>
    </row>
    <row r="24" spans="1:52" ht="30" customHeight="1">
      <c r="A24" s="8" t="s">
        <v>996</v>
      </c>
      <c r="B24" s="8" t="s">
        <v>947</v>
      </c>
      <c r="C24" s="8" t="s">
        <v>419</v>
      </c>
      <c r="D24" s="9">
        <v>0.01</v>
      </c>
      <c r="E24" s="11">
        <f>단가대비표!O556</f>
        <v>0</v>
      </c>
      <c r="F24" s="12">
        <f>TRUNC(E24*D24,1)</f>
        <v>0</v>
      </c>
      <c r="G24" s="11">
        <f>단가대비표!P556</f>
        <v>130264</v>
      </c>
      <c r="H24" s="12">
        <f>TRUNC(G24*D24,1)</f>
        <v>1302.5999999999999</v>
      </c>
      <c r="I24" s="11">
        <f>단가대비표!V556</f>
        <v>0</v>
      </c>
      <c r="J24" s="12">
        <f>TRUNC(I24*D24,1)</f>
        <v>0</v>
      </c>
      <c r="K24" s="11">
        <f t="shared" si="5"/>
        <v>130264</v>
      </c>
      <c r="L24" s="12">
        <f t="shared" si="5"/>
        <v>1302.5999999999999</v>
      </c>
      <c r="M24" s="522" t="s">
        <v>51</v>
      </c>
      <c r="N24" s="2" t="s">
        <v>74</v>
      </c>
      <c r="O24" s="2" t="s">
        <v>997</v>
      </c>
      <c r="P24" s="2" t="s">
        <v>62</v>
      </c>
      <c r="Q24" s="2" t="s">
        <v>62</v>
      </c>
      <c r="R24" s="2" t="s">
        <v>61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2" t="s">
        <v>51</v>
      </c>
      <c r="AW24" s="2" t="s">
        <v>998</v>
      </c>
      <c r="AX24" s="2" t="s">
        <v>51</v>
      </c>
      <c r="AY24" s="2" t="s">
        <v>51</v>
      </c>
    </row>
    <row r="25" spans="1:52" ht="30" customHeight="1">
      <c r="A25" s="8" t="s">
        <v>950</v>
      </c>
      <c r="B25" s="8" t="s">
        <v>51</v>
      </c>
      <c r="C25" s="8" t="s">
        <v>51</v>
      </c>
      <c r="D25" s="9"/>
      <c r="E25" s="11"/>
      <c r="F25" s="12">
        <f>TRUNC(SUMIF(N22:N24, N21, F22:F24),0)</f>
        <v>532</v>
      </c>
      <c r="G25" s="11"/>
      <c r="H25" s="12">
        <f>TRUNC(SUMIF(N22:N24, N21, H22:H24),0)</f>
        <v>1302</v>
      </c>
      <c r="I25" s="11"/>
      <c r="J25" s="12">
        <f>TRUNC(SUMIF(N22:N24, N21, J22:J24),0)</f>
        <v>0</v>
      </c>
      <c r="K25" s="11"/>
      <c r="L25" s="12">
        <f>F25+H25+J25</f>
        <v>1834</v>
      </c>
      <c r="M25" s="522" t="s">
        <v>51</v>
      </c>
      <c r="N25" s="2" t="s">
        <v>86</v>
      </c>
      <c r="O25" s="2" t="s">
        <v>86</v>
      </c>
      <c r="P25" s="2" t="s">
        <v>51</v>
      </c>
      <c r="Q25" s="2" t="s">
        <v>51</v>
      </c>
      <c r="R25" s="2" t="s">
        <v>51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2" t="s">
        <v>51</v>
      </c>
      <c r="AW25" s="2" t="s">
        <v>51</v>
      </c>
      <c r="AX25" s="2" t="s">
        <v>51</v>
      </c>
      <c r="AY25" s="2" t="s">
        <v>51</v>
      </c>
    </row>
    <row r="26" spans="1:52" ht="30" customHeight="1">
      <c r="A26" s="9"/>
      <c r="B26" s="9"/>
      <c r="C26" s="9"/>
      <c r="D26" s="9"/>
      <c r="E26" s="11"/>
      <c r="F26" s="12"/>
      <c r="G26" s="11"/>
      <c r="H26" s="12"/>
      <c r="I26" s="11"/>
      <c r="J26" s="12"/>
      <c r="K26" s="11"/>
      <c r="L26" s="12"/>
      <c r="M26" s="523"/>
    </row>
    <row r="27" spans="1:52" ht="30" customHeight="1">
      <c r="A27" s="1406" t="s">
        <v>999</v>
      </c>
      <c r="B27" s="1406"/>
      <c r="C27" s="1406"/>
      <c r="D27" s="1406"/>
      <c r="E27" s="1407"/>
      <c r="F27" s="1408"/>
      <c r="G27" s="1407"/>
      <c r="H27" s="1408"/>
      <c r="I27" s="1407"/>
      <c r="J27" s="1408"/>
      <c r="K27" s="1407"/>
      <c r="L27" s="1408"/>
      <c r="M27" s="1406"/>
      <c r="N27" s="1" t="s">
        <v>78</v>
      </c>
    </row>
    <row r="28" spans="1:52" ht="30" customHeight="1">
      <c r="A28" s="8" t="s">
        <v>996</v>
      </c>
      <c r="B28" s="8" t="s">
        <v>947</v>
      </c>
      <c r="C28" s="8" t="s">
        <v>419</v>
      </c>
      <c r="D28" s="1186">
        <v>7.0000000000000007E-2</v>
      </c>
      <c r="E28" s="11">
        <f>단가대비표!O556</f>
        <v>0</v>
      </c>
      <c r="F28" s="12">
        <f>TRUNC(E28*D28,1)</f>
        <v>0</v>
      </c>
      <c r="G28" s="11">
        <f>단가대비표!P556</f>
        <v>130264</v>
      </c>
      <c r="H28" s="12">
        <f>TRUNC(G28*D28,1)</f>
        <v>9118.4</v>
      </c>
      <c r="I28" s="11">
        <f>단가대비표!V556</f>
        <v>0</v>
      </c>
      <c r="J28" s="12">
        <f>TRUNC(I28*D28,1)</f>
        <v>0</v>
      </c>
      <c r="K28" s="11">
        <f>TRUNC(E28+G28+I28,1)</f>
        <v>130264</v>
      </c>
      <c r="L28" s="12">
        <f>TRUNC(F28+H28+J28,1)</f>
        <v>9118.4</v>
      </c>
      <c r="M28" s="522" t="s">
        <v>51</v>
      </c>
      <c r="N28" s="2" t="s">
        <v>78</v>
      </c>
      <c r="O28" s="2" t="s">
        <v>997</v>
      </c>
      <c r="P28" s="2" t="s">
        <v>62</v>
      </c>
      <c r="Q28" s="2" t="s">
        <v>62</v>
      </c>
      <c r="R28" s="2" t="s">
        <v>61</v>
      </c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2" t="s">
        <v>51</v>
      </c>
      <c r="AW28" s="2" t="s">
        <v>1001</v>
      </c>
      <c r="AX28" s="2" t="s">
        <v>51</v>
      </c>
      <c r="AY28" s="2" t="s">
        <v>51</v>
      </c>
    </row>
    <row r="29" spans="1:52" ht="30" customHeight="1">
      <c r="A29" s="8" t="s">
        <v>950</v>
      </c>
      <c r="B29" s="8" t="s">
        <v>51</v>
      </c>
      <c r="C29" s="8" t="s">
        <v>51</v>
      </c>
      <c r="D29" s="9"/>
      <c r="E29" s="11"/>
      <c r="F29" s="12">
        <f>TRUNC(SUMIF(N28:N28, N27, F28:F28),0)</f>
        <v>0</v>
      </c>
      <c r="G29" s="11"/>
      <c r="H29" s="12">
        <f>TRUNC(SUMIF(N28:N28, N27, H28:H28),0)</f>
        <v>9118</v>
      </c>
      <c r="I29" s="11"/>
      <c r="J29" s="12">
        <f>TRUNC(SUMIF(N28:N28, N27, J28:J28),0)</f>
        <v>0</v>
      </c>
      <c r="K29" s="11"/>
      <c r="L29" s="12">
        <f>F29+H29+J29</f>
        <v>9118</v>
      </c>
      <c r="M29" s="522" t="s">
        <v>51</v>
      </c>
      <c r="N29" s="2" t="s">
        <v>86</v>
      </c>
      <c r="O29" s="2" t="s">
        <v>86</v>
      </c>
      <c r="P29" s="2" t="s">
        <v>51</v>
      </c>
      <c r="Q29" s="2" t="s">
        <v>51</v>
      </c>
      <c r="R29" s="2" t="s">
        <v>51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2" t="s">
        <v>51</v>
      </c>
      <c r="AW29" s="2" t="s">
        <v>51</v>
      </c>
      <c r="AX29" s="2" t="s">
        <v>51</v>
      </c>
      <c r="AY29" s="2" t="s">
        <v>51</v>
      </c>
      <c r="AZ29" s="1170"/>
    </row>
    <row r="30" spans="1:52" ht="30" customHeight="1">
      <c r="A30" s="9"/>
      <c r="B30" s="9"/>
      <c r="C30" s="9"/>
      <c r="D30" s="9"/>
      <c r="E30" s="11"/>
      <c r="F30" s="12"/>
      <c r="G30" s="11"/>
      <c r="H30" s="12"/>
      <c r="I30" s="11"/>
      <c r="J30" s="12"/>
      <c r="K30" s="11"/>
      <c r="L30" s="12"/>
      <c r="M30" s="523"/>
    </row>
    <row r="31" spans="1:52" ht="30" customHeight="1">
      <c r="A31" s="1403" t="s">
        <v>4466</v>
      </c>
      <c r="B31" s="1403"/>
      <c r="C31" s="1403"/>
      <c r="D31" s="1403"/>
      <c r="E31" s="1404"/>
      <c r="F31" s="1405"/>
      <c r="G31" s="1404"/>
      <c r="H31" s="1405"/>
      <c r="I31" s="1404"/>
      <c r="J31" s="1405"/>
      <c r="K31" s="1404"/>
      <c r="L31" s="1405"/>
      <c r="M31" s="1403"/>
      <c r="N31" s="249" t="s">
        <v>78</v>
      </c>
    </row>
    <row r="32" spans="1:52" ht="30" customHeight="1">
      <c r="A32" s="250" t="s">
        <v>4468</v>
      </c>
      <c r="B32" s="250" t="s">
        <v>4469</v>
      </c>
      <c r="C32" s="250" t="s">
        <v>4470</v>
      </c>
      <c r="D32" s="250">
        <v>1.01</v>
      </c>
      <c r="E32" s="251">
        <f>단가대비표!O30</f>
        <v>3064</v>
      </c>
      <c r="F32" s="252">
        <f>TRUNC(E32*D32,1)</f>
        <v>3094.6</v>
      </c>
      <c r="G32" s="251">
        <f>단가대비표!P30</f>
        <v>0</v>
      </c>
      <c r="H32" s="252">
        <f>TRUNC(G32*D32,1)</f>
        <v>0</v>
      </c>
      <c r="I32" s="251">
        <f>단가대비표!V30</f>
        <v>0</v>
      </c>
      <c r="J32" s="252">
        <f>TRUNC(I32*D32,1)</f>
        <v>0</v>
      </c>
      <c r="K32" s="251">
        <f>TRUNC(E32+G32+I32,1)</f>
        <v>3064</v>
      </c>
      <c r="L32" s="252">
        <f>TRUNC(F32+H32+J32,1)</f>
        <v>3094.6</v>
      </c>
      <c r="M32" s="523"/>
      <c r="N32" s="249"/>
    </row>
    <row r="33" spans="1:52" ht="30" customHeight="1">
      <c r="A33" s="8" t="s">
        <v>996</v>
      </c>
      <c r="B33" s="8" t="s">
        <v>947</v>
      </c>
      <c r="C33" s="8" t="s">
        <v>419</v>
      </c>
      <c r="D33" s="250">
        <v>0.09</v>
      </c>
      <c r="E33" s="251">
        <f>단가대비표!O560</f>
        <v>0</v>
      </c>
      <c r="F33" s="252">
        <f>TRUNC(E33*D33,1)</f>
        <v>0</v>
      </c>
      <c r="G33" s="251">
        <f>단가대비표!P556</f>
        <v>130264</v>
      </c>
      <c r="H33" s="252">
        <f>TRUNC(G33*D33,1)</f>
        <v>11723.7</v>
      </c>
      <c r="I33" s="251">
        <f>단가대비표!V560</f>
        <v>0</v>
      </c>
      <c r="J33" s="252">
        <f>TRUNC(I33*D33,1)</f>
        <v>0</v>
      </c>
      <c r="K33" s="251">
        <f>TRUNC(E33+G33+I33,1)</f>
        <v>130264</v>
      </c>
      <c r="L33" s="252">
        <f>TRUNC(F33+H33+J33,1)</f>
        <v>11723.7</v>
      </c>
      <c r="M33" s="522" t="s">
        <v>51</v>
      </c>
      <c r="N33" s="2" t="s">
        <v>78</v>
      </c>
      <c r="O33" s="2" t="s">
        <v>997</v>
      </c>
      <c r="P33" s="2" t="s">
        <v>62</v>
      </c>
      <c r="Q33" s="2" t="s">
        <v>62</v>
      </c>
      <c r="R33" s="2" t="s">
        <v>61</v>
      </c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2" t="s">
        <v>51</v>
      </c>
      <c r="AW33" s="2" t="s">
        <v>1001</v>
      </c>
      <c r="AX33" s="2" t="s">
        <v>51</v>
      </c>
      <c r="AY33" s="2" t="s">
        <v>51</v>
      </c>
    </row>
    <row r="34" spans="1:52" ht="30" customHeight="1">
      <c r="A34" s="8" t="s">
        <v>950</v>
      </c>
      <c r="B34" s="8" t="s">
        <v>51</v>
      </c>
      <c r="C34" s="8" t="s">
        <v>51</v>
      </c>
      <c r="D34" s="250"/>
      <c r="E34" s="251"/>
      <c r="F34" s="252">
        <f>TRUNC(SUMIF(N33:N33, N31, F32:F33),0)</f>
        <v>3094</v>
      </c>
      <c r="G34" s="251"/>
      <c r="H34" s="252">
        <f>SUM(H32:H33)</f>
        <v>11723.7</v>
      </c>
      <c r="I34" s="251"/>
      <c r="J34" s="252">
        <f>TRUNC(SUMIF(N33:N33, N31, J33:J33),0)</f>
        <v>0</v>
      </c>
      <c r="K34" s="251"/>
      <c r="L34" s="252">
        <f>F34+H34+J34</f>
        <v>14817.7</v>
      </c>
      <c r="M34" s="522" t="s">
        <v>51</v>
      </c>
      <c r="N34" s="2" t="s">
        <v>86</v>
      </c>
      <c r="O34" s="2" t="s">
        <v>86</v>
      </c>
      <c r="P34" s="2" t="s">
        <v>51</v>
      </c>
      <c r="Q34" s="2" t="s">
        <v>51</v>
      </c>
      <c r="R34" s="2" t="s">
        <v>51</v>
      </c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2" t="s">
        <v>51</v>
      </c>
      <c r="AW34" s="2" t="s">
        <v>51</v>
      </c>
      <c r="AX34" s="2" t="s">
        <v>51</v>
      </c>
      <c r="AY34" s="2" t="s">
        <v>51</v>
      </c>
    </row>
    <row r="35" spans="1:52" ht="30" customHeight="1">
      <c r="A35" s="250"/>
      <c r="B35" s="250"/>
      <c r="C35" s="250"/>
      <c r="D35" s="250"/>
      <c r="E35" s="251"/>
      <c r="F35" s="252"/>
      <c r="G35" s="251"/>
      <c r="H35" s="252"/>
      <c r="I35" s="251"/>
      <c r="J35" s="252"/>
      <c r="K35" s="251"/>
      <c r="L35" s="252"/>
      <c r="M35" s="523"/>
    </row>
    <row r="36" spans="1:52" ht="30" customHeight="1">
      <c r="A36" s="1400" t="s">
        <v>4467</v>
      </c>
      <c r="B36" s="1400"/>
      <c r="C36" s="1400"/>
      <c r="D36" s="1400"/>
      <c r="E36" s="1401"/>
      <c r="F36" s="1402"/>
      <c r="G36" s="1401"/>
      <c r="H36" s="1402"/>
      <c r="I36" s="1401"/>
      <c r="J36" s="1402"/>
      <c r="K36" s="1401"/>
      <c r="L36" s="1402"/>
      <c r="M36" s="1400"/>
      <c r="N36" s="1" t="s">
        <v>91</v>
      </c>
      <c r="AZ36" t="s">
        <v>6666</v>
      </c>
    </row>
    <row r="37" spans="1:52" ht="30" customHeight="1">
      <c r="A37" s="8" t="s">
        <v>996</v>
      </c>
      <c r="B37" s="8" t="s">
        <v>947</v>
      </c>
      <c r="C37" s="8" t="s">
        <v>419</v>
      </c>
      <c r="D37" s="1171">
        <f>0.004*50%</f>
        <v>2E-3</v>
      </c>
      <c r="E37" s="11">
        <f>단가대비표!O556</f>
        <v>0</v>
      </c>
      <c r="F37" s="12">
        <f>TRUNC(E37*D37,1)</f>
        <v>0</v>
      </c>
      <c r="G37" s="11">
        <f>단가대비표!P556</f>
        <v>130264</v>
      </c>
      <c r="H37" s="12">
        <f>TRUNC(G37*D37,1)</f>
        <v>260.5</v>
      </c>
      <c r="I37" s="11">
        <f>단가대비표!V556</f>
        <v>0</v>
      </c>
      <c r="J37" s="12">
        <f>TRUNC(I37*D37,1)</f>
        <v>0</v>
      </c>
      <c r="K37" s="11">
        <f>TRUNC(E37+G37+I37,1)</f>
        <v>130264</v>
      </c>
      <c r="L37" s="12">
        <f>TRUNC(F37+H37+J37,1)</f>
        <v>260.5</v>
      </c>
      <c r="M37" s="522" t="s">
        <v>51</v>
      </c>
      <c r="N37" s="2" t="s">
        <v>91</v>
      </c>
      <c r="O37" s="2" t="s">
        <v>997</v>
      </c>
      <c r="P37" s="2" t="s">
        <v>62</v>
      </c>
      <c r="Q37" s="2" t="s">
        <v>62</v>
      </c>
      <c r="R37" s="2" t="s">
        <v>61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2" t="s">
        <v>51</v>
      </c>
      <c r="AW37" s="2" t="s">
        <v>1003</v>
      </c>
      <c r="AX37" s="2" t="s">
        <v>51</v>
      </c>
      <c r="AY37" s="2" t="s">
        <v>51</v>
      </c>
      <c r="AZ37">
        <v>0.12</v>
      </c>
    </row>
    <row r="38" spans="1:52" ht="30" customHeight="1">
      <c r="A38" s="1172" t="s">
        <v>1039</v>
      </c>
      <c r="B38" s="1172" t="s">
        <v>418</v>
      </c>
      <c r="C38" s="1172" t="s">
        <v>419</v>
      </c>
      <c r="D38" s="1171">
        <f>0.043*50%</f>
        <v>2.1499999999999998E-2</v>
      </c>
      <c r="E38" s="1173">
        <f>단가대비표!$O$572</f>
        <v>0</v>
      </c>
      <c r="F38" s="1174">
        <f>TRUNC(E38*D38,1)</f>
        <v>0</v>
      </c>
      <c r="G38" s="1173">
        <f>단가대비표!$P$572</f>
        <v>192305</v>
      </c>
      <c r="H38" s="1174">
        <f>TRUNC(G38*D38,1)</f>
        <v>4134.5</v>
      </c>
      <c r="I38" s="1173">
        <f>단가대비표!$V$572</f>
        <v>0</v>
      </c>
      <c r="J38" s="1174">
        <f>TRUNC(I38*D38,1)</f>
        <v>0</v>
      </c>
      <c r="K38" s="1173">
        <f t="shared" ref="K38" si="6">TRUNC(E38+G38+I38,1)</f>
        <v>192305</v>
      </c>
      <c r="L38" s="1174">
        <f t="shared" ref="L38" si="7">TRUNC(F38+H38+J38,1)</f>
        <v>4134.5</v>
      </c>
      <c r="M38" s="1175" t="s">
        <v>51</v>
      </c>
      <c r="N38" s="2"/>
      <c r="O38" s="2"/>
      <c r="P38" s="2"/>
      <c r="Q38" s="2"/>
      <c r="R38" s="2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2"/>
      <c r="AW38" s="2"/>
      <c r="AX38" s="2"/>
      <c r="AY38" s="2"/>
    </row>
    <row r="39" spans="1:52" ht="30" customHeight="1">
      <c r="A39" s="8" t="s">
        <v>950</v>
      </c>
      <c r="B39" s="8" t="s">
        <v>51</v>
      </c>
      <c r="C39" s="8" t="s">
        <v>51</v>
      </c>
      <c r="D39" s="9"/>
      <c r="E39" s="11"/>
      <c r="F39" s="12">
        <f>TRUNC(SUM(F37:F38),0)</f>
        <v>0</v>
      </c>
      <c r="G39" s="11"/>
      <c r="H39" s="1061">
        <f>TRUNC(SUM(H37:H38),0)</f>
        <v>4395</v>
      </c>
      <c r="I39" s="11"/>
      <c r="J39" s="1061">
        <f>TRUNC(SUM(J37:J38),0)</f>
        <v>0</v>
      </c>
      <c r="K39" s="11"/>
      <c r="L39" s="12">
        <f>F39+H39+J39</f>
        <v>4395</v>
      </c>
      <c r="M39" s="522" t="s">
        <v>51</v>
      </c>
      <c r="N39" s="2" t="s">
        <v>86</v>
      </c>
      <c r="O39" s="2" t="s">
        <v>86</v>
      </c>
      <c r="P39" s="2" t="s">
        <v>51</v>
      </c>
      <c r="Q39" s="2" t="s">
        <v>51</v>
      </c>
      <c r="R39" s="2" t="s">
        <v>51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2" t="s">
        <v>51</v>
      </c>
      <c r="AW39" s="2" t="s">
        <v>51</v>
      </c>
      <c r="AX39" s="2" t="s">
        <v>51</v>
      </c>
      <c r="AY39" s="2" t="s">
        <v>51</v>
      </c>
      <c r="AZ39" s="1170">
        <v>15631</v>
      </c>
    </row>
    <row r="40" spans="1:52" ht="30" customHeight="1">
      <c r="A40" s="9"/>
      <c r="B40" s="9"/>
      <c r="C40" s="9"/>
      <c r="D40" s="9"/>
      <c r="E40" s="11"/>
      <c r="F40" s="12"/>
      <c r="G40" s="11"/>
      <c r="H40" s="12"/>
      <c r="I40" s="11"/>
      <c r="J40" s="12"/>
      <c r="K40" s="11"/>
      <c r="L40" s="12"/>
      <c r="M40" s="523"/>
    </row>
    <row r="41" spans="1:52" ht="30" customHeight="1">
      <c r="A41" s="1403" t="s">
        <v>4473</v>
      </c>
      <c r="B41" s="1403"/>
      <c r="C41" s="1403"/>
      <c r="D41" s="1403"/>
      <c r="E41" s="1404"/>
      <c r="F41" s="1405"/>
      <c r="G41" s="1404"/>
      <c r="H41" s="1405"/>
      <c r="I41" s="1404"/>
      <c r="J41" s="1405"/>
      <c r="K41" s="1404"/>
      <c r="L41" s="1405"/>
      <c r="M41" s="1403"/>
      <c r="N41" s="1" t="s">
        <v>95</v>
      </c>
    </row>
    <row r="42" spans="1:52" ht="30" customHeight="1">
      <c r="A42" s="8" t="s">
        <v>996</v>
      </c>
      <c r="B42" s="8" t="s">
        <v>947</v>
      </c>
      <c r="C42" s="8" t="s">
        <v>419</v>
      </c>
      <c r="D42" s="9">
        <v>3.4000000000000002E-2</v>
      </c>
      <c r="E42" s="11">
        <f>단가대비표!O556</f>
        <v>0</v>
      </c>
      <c r="F42" s="12">
        <f>TRUNC(E42*D42,1)</f>
        <v>0</v>
      </c>
      <c r="G42" s="11">
        <f>단가대비표!P556</f>
        <v>130264</v>
      </c>
      <c r="H42" s="12">
        <f>TRUNC(G42*D42,1)</f>
        <v>4428.8999999999996</v>
      </c>
      <c r="I42" s="11">
        <f>단가대비표!V556</f>
        <v>0</v>
      </c>
      <c r="J42" s="12">
        <f>TRUNC(I42*D42,1)</f>
        <v>0</v>
      </c>
      <c r="K42" s="11">
        <f t="shared" ref="K42:L44" si="8">TRUNC(E42+G42+I42,1)</f>
        <v>130264</v>
      </c>
      <c r="L42" s="12">
        <f t="shared" si="8"/>
        <v>4428.8999999999996</v>
      </c>
      <c r="M42" s="522" t="s">
        <v>51</v>
      </c>
      <c r="N42" s="2" t="s">
        <v>95</v>
      </c>
      <c r="O42" s="2" t="s">
        <v>997</v>
      </c>
      <c r="P42" s="2" t="s">
        <v>62</v>
      </c>
      <c r="Q42" s="2" t="s">
        <v>62</v>
      </c>
      <c r="R42" s="2" t="s">
        <v>61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2" t="s">
        <v>51</v>
      </c>
      <c r="AW42" s="2" t="s">
        <v>1005</v>
      </c>
      <c r="AX42" s="2" t="s">
        <v>51</v>
      </c>
      <c r="AY42" s="2" t="s">
        <v>51</v>
      </c>
    </row>
    <row r="43" spans="1:52" ht="30" customHeight="1">
      <c r="A43" s="8" t="s">
        <v>1006</v>
      </c>
      <c r="B43" s="8" t="s">
        <v>418</v>
      </c>
      <c r="C43" s="8" t="s">
        <v>419</v>
      </c>
      <c r="D43" s="9">
        <v>6.8000000000000005E-2</v>
      </c>
      <c r="E43" s="11">
        <f>단가대비표!O562</f>
        <v>0</v>
      </c>
      <c r="F43" s="12">
        <f>TRUNC(E43*D43,1)</f>
        <v>0</v>
      </c>
      <c r="G43" s="11">
        <f>단가대비표!P562</f>
        <v>209394</v>
      </c>
      <c r="H43" s="12">
        <f>TRUNC(G43*D43,1)</f>
        <v>14238.7</v>
      </c>
      <c r="I43" s="11">
        <f>단가대비표!V562</f>
        <v>0</v>
      </c>
      <c r="J43" s="12">
        <f>TRUNC(I43*D43,1)</f>
        <v>0</v>
      </c>
      <c r="K43" s="11">
        <f t="shared" si="8"/>
        <v>209394</v>
      </c>
      <c r="L43" s="12">
        <f t="shared" si="8"/>
        <v>14238.7</v>
      </c>
      <c r="M43" s="522" t="s">
        <v>51</v>
      </c>
      <c r="N43" s="2" t="s">
        <v>95</v>
      </c>
      <c r="O43" s="2" t="s">
        <v>1007</v>
      </c>
      <c r="P43" s="2" t="s">
        <v>62</v>
      </c>
      <c r="Q43" s="2" t="s">
        <v>62</v>
      </c>
      <c r="R43" s="2" t="s">
        <v>61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2" t="s">
        <v>51</v>
      </c>
      <c r="AW43" s="2" t="s">
        <v>1008</v>
      </c>
      <c r="AX43" s="2" t="s">
        <v>51</v>
      </c>
      <c r="AY43" s="2" t="s">
        <v>51</v>
      </c>
    </row>
    <row r="44" spans="1:52" ht="30" customHeight="1">
      <c r="A44" s="8" t="s">
        <v>1009</v>
      </c>
      <c r="B44" s="8" t="s">
        <v>1010</v>
      </c>
      <c r="C44" s="8" t="s">
        <v>82</v>
      </c>
      <c r="D44" s="9">
        <v>1</v>
      </c>
      <c r="E44" s="11">
        <f>단가대비표!O455</f>
        <v>888</v>
      </c>
      <c r="F44" s="12">
        <f>TRUNC(E44*D44,1)</f>
        <v>888</v>
      </c>
      <c r="G44" s="11">
        <f>단가대비표!P455</f>
        <v>0</v>
      </c>
      <c r="H44" s="12">
        <f>TRUNC(G44*D44,1)</f>
        <v>0</v>
      </c>
      <c r="I44" s="11">
        <f>단가대비표!V455</f>
        <v>0</v>
      </c>
      <c r="J44" s="12">
        <f>TRUNC(I44*D44,1)</f>
        <v>0</v>
      </c>
      <c r="K44" s="11">
        <f t="shared" si="8"/>
        <v>888</v>
      </c>
      <c r="L44" s="12">
        <f t="shared" si="8"/>
        <v>888</v>
      </c>
      <c r="M44" s="522" t="s">
        <v>51</v>
      </c>
      <c r="N44" s="2" t="s">
        <v>95</v>
      </c>
      <c r="O44" s="2" t="s">
        <v>1011</v>
      </c>
      <c r="P44" s="2" t="s">
        <v>62</v>
      </c>
      <c r="Q44" s="2" t="s">
        <v>62</v>
      </c>
      <c r="R44" s="2" t="s">
        <v>61</v>
      </c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2" t="s">
        <v>51</v>
      </c>
      <c r="AW44" s="2" t="s">
        <v>1012</v>
      </c>
      <c r="AX44" s="2" t="s">
        <v>51</v>
      </c>
      <c r="AY44" s="2" t="s">
        <v>51</v>
      </c>
    </row>
    <row r="45" spans="1:52" ht="30" customHeight="1">
      <c r="A45" s="8" t="s">
        <v>950</v>
      </c>
      <c r="B45" s="8" t="s">
        <v>51</v>
      </c>
      <c r="C45" s="8" t="s">
        <v>51</v>
      </c>
      <c r="D45" s="9"/>
      <c r="E45" s="11"/>
      <c r="F45" s="12">
        <f>TRUNC(SUMIF(N42:N44, N41, F42:F44),0)</f>
        <v>888</v>
      </c>
      <c r="G45" s="11"/>
      <c r="H45" s="12">
        <f>TRUNC(SUMIF(N42:N44, N41, H42:H44),0)</f>
        <v>18667</v>
      </c>
      <c r="I45" s="11"/>
      <c r="J45" s="12">
        <f>TRUNC(SUMIF(N42:N44, N41, J42:J44),0)</f>
        <v>0</v>
      </c>
      <c r="K45" s="11"/>
      <c r="L45" s="12">
        <f>F45+H45+J45</f>
        <v>19555</v>
      </c>
      <c r="M45" s="522" t="s">
        <v>51</v>
      </c>
      <c r="N45" s="2" t="s">
        <v>86</v>
      </c>
      <c r="O45" s="2" t="s">
        <v>86</v>
      </c>
      <c r="P45" s="2" t="s">
        <v>51</v>
      </c>
      <c r="Q45" s="2" t="s">
        <v>51</v>
      </c>
      <c r="R45" s="2" t="s">
        <v>51</v>
      </c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2" t="s">
        <v>51</v>
      </c>
      <c r="AW45" s="2" t="s">
        <v>51</v>
      </c>
      <c r="AX45" s="2" t="s">
        <v>51</v>
      </c>
      <c r="AY45" s="2" t="s">
        <v>51</v>
      </c>
      <c r="AZ45" s="1170"/>
    </row>
    <row r="46" spans="1:52" ht="30" customHeight="1">
      <c r="A46" s="9"/>
      <c r="B46" s="9"/>
      <c r="C46" s="9"/>
      <c r="D46" s="9"/>
      <c r="E46" s="11"/>
      <c r="F46" s="12"/>
      <c r="G46" s="11"/>
      <c r="H46" s="12"/>
      <c r="I46" s="11"/>
      <c r="J46" s="12"/>
      <c r="K46" s="11"/>
      <c r="L46" s="12"/>
      <c r="M46" s="523"/>
    </row>
    <row r="47" spans="1:52" ht="30" customHeight="1">
      <c r="A47" s="1403" t="s">
        <v>4474</v>
      </c>
      <c r="B47" s="1403"/>
      <c r="C47" s="1403"/>
      <c r="D47" s="1403"/>
      <c r="E47" s="1404"/>
      <c r="F47" s="1405"/>
      <c r="G47" s="1404"/>
      <c r="H47" s="1405"/>
      <c r="I47" s="1404"/>
      <c r="J47" s="1405"/>
      <c r="K47" s="1404"/>
      <c r="L47" s="1405"/>
      <c r="M47" s="1403"/>
      <c r="N47" s="1" t="s">
        <v>99</v>
      </c>
    </row>
    <row r="48" spans="1:52" ht="30" customHeight="1">
      <c r="A48" s="8" t="s">
        <v>946</v>
      </c>
      <c r="B48" s="8" t="s">
        <v>947</v>
      </c>
      <c r="C48" s="8" t="s">
        <v>419</v>
      </c>
      <c r="D48" s="9">
        <v>6.0000000000000001E-3</v>
      </c>
      <c r="E48" s="11">
        <f>단가대비표!O568</f>
        <v>0</v>
      </c>
      <c r="F48" s="12">
        <f>TRUNC(E48*D48,1)</f>
        <v>0</v>
      </c>
      <c r="G48" s="11">
        <f>단가대비표!P568</f>
        <v>203532</v>
      </c>
      <c r="H48" s="12">
        <f>TRUNC(G48*D48,1)</f>
        <v>1221.0999999999999</v>
      </c>
      <c r="I48" s="11">
        <f>단가대비표!V568</f>
        <v>0</v>
      </c>
      <c r="J48" s="12">
        <f>TRUNC(I48*D48,1)</f>
        <v>0</v>
      </c>
      <c r="K48" s="11">
        <f>TRUNC(E48+G48+I48,1)</f>
        <v>203532</v>
      </c>
      <c r="L48" s="12">
        <f>TRUNC(F48+H48+J48,1)</f>
        <v>1221.0999999999999</v>
      </c>
      <c r="M48" s="522" t="s">
        <v>51</v>
      </c>
      <c r="N48" s="2" t="s">
        <v>99</v>
      </c>
      <c r="O48" s="2" t="s">
        <v>948</v>
      </c>
      <c r="P48" s="2" t="s">
        <v>62</v>
      </c>
      <c r="Q48" s="2" t="s">
        <v>62</v>
      </c>
      <c r="R48" s="2" t="s">
        <v>61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2" t="s">
        <v>51</v>
      </c>
      <c r="AW48" s="2" t="s">
        <v>1014</v>
      </c>
      <c r="AX48" s="2" t="s">
        <v>51</v>
      </c>
      <c r="AY48" s="2" t="s">
        <v>51</v>
      </c>
    </row>
    <row r="49" spans="1:51" ht="30" customHeight="1">
      <c r="A49" s="8" t="s">
        <v>996</v>
      </c>
      <c r="B49" s="8" t="s">
        <v>947</v>
      </c>
      <c r="C49" s="8" t="s">
        <v>419</v>
      </c>
      <c r="D49" s="9">
        <v>0.02</v>
      </c>
      <c r="E49" s="11">
        <f>단가대비표!O556</f>
        <v>0</v>
      </c>
      <c r="F49" s="12">
        <f>TRUNC(E49*D49,1)</f>
        <v>0</v>
      </c>
      <c r="G49" s="11">
        <f>단가대비표!P556</f>
        <v>130264</v>
      </c>
      <c r="H49" s="12">
        <f>TRUNC(G49*D49,1)</f>
        <v>2605.1999999999998</v>
      </c>
      <c r="I49" s="11">
        <f>단가대비표!V556</f>
        <v>0</v>
      </c>
      <c r="J49" s="12">
        <f>TRUNC(I49*D49,1)</f>
        <v>0</v>
      </c>
      <c r="K49" s="11">
        <f>TRUNC(E49+G49+I49,1)</f>
        <v>130264</v>
      </c>
      <c r="L49" s="12">
        <f>TRUNC(F49+H49+J49,1)</f>
        <v>2605.1999999999998</v>
      </c>
      <c r="M49" s="522" t="s">
        <v>51</v>
      </c>
      <c r="N49" s="2" t="s">
        <v>99</v>
      </c>
      <c r="O49" s="2" t="s">
        <v>997</v>
      </c>
      <c r="P49" s="2" t="s">
        <v>62</v>
      </c>
      <c r="Q49" s="2" t="s">
        <v>62</v>
      </c>
      <c r="R49" s="2" t="s">
        <v>61</v>
      </c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" t="s">
        <v>51</v>
      </c>
      <c r="AW49" s="2" t="s">
        <v>1015</v>
      </c>
      <c r="AX49" s="2" t="s">
        <v>51</v>
      </c>
      <c r="AY49" s="2" t="s">
        <v>51</v>
      </c>
    </row>
    <row r="50" spans="1:51" ht="30" customHeight="1">
      <c r="A50" s="8" t="s">
        <v>950</v>
      </c>
      <c r="B50" s="8" t="s">
        <v>51</v>
      </c>
      <c r="C50" s="8" t="s">
        <v>51</v>
      </c>
      <c r="D50" s="9"/>
      <c r="E50" s="11"/>
      <c r="F50" s="12">
        <f>TRUNC(SUMIF(N48:N49, N47, F48:F49),0)</f>
        <v>0</v>
      </c>
      <c r="G50" s="11"/>
      <c r="H50" s="12">
        <f>TRUNC(SUMIF(N48:N49, N47, H48:H49),0)</f>
        <v>3826</v>
      </c>
      <c r="I50" s="11"/>
      <c r="J50" s="12">
        <f>TRUNC(SUMIF(N48:N49, N47, J48:J49),0)</f>
        <v>0</v>
      </c>
      <c r="K50" s="11"/>
      <c r="L50" s="12">
        <f>F50+H50+J50</f>
        <v>3826</v>
      </c>
      <c r="M50" s="522" t="s">
        <v>51</v>
      </c>
      <c r="N50" s="2" t="s">
        <v>86</v>
      </c>
      <c r="O50" s="2" t="s">
        <v>86</v>
      </c>
      <c r="P50" s="2" t="s">
        <v>51</v>
      </c>
      <c r="Q50" s="2" t="s">
        <v>51</v>
      </c>
      <c r="R50" s="2" t="s">
        <v>51</v>
      </c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2" t="s">
        <v>51</v>
      </c>
      <c r="AW50" s="2" t="s">
        <v>51</v>
      </c>
      <c r="AX50" s="2" t="s">
        <v>51</v>
      </c>
      <c r="AY50" s="2" t="s">
        <v>51</v>
      </c>
    </row>
    <row r="51" spans="1:51" ht="30" customHeight="1">
      <c r="A51" s="9"/>
      <c r="B51" s="9"/>
      <c r="C51" s="9"/>
      <c r="D51" s="9"/>
      <c r="E51" s="11"/>
      <c r="F51" s="12"/>
      <c r="G51" s="11"/>
      <c r="H51" s="12"/>
      <c r="I51" s="11"/>
      <c r="J51" s="12"/>
      <c r="K51" s="11"/>
      <c r="L51" s="12"/>
      <c r="M51" s="523"/>
    </row>
    <row r="52" spans="1:51" ht="30" customHeight="1">
      <c r="A52" s="1403" t="s">
        <v>4475</v>
      </c>
      <c r="B52" s="1403"/>
      <c r="C52" s="1403"/>
      <c r="D52" s="1403"/>
      <c r="E52" s="1404"/>
      <c r="F52" s="1405"/>
      <c r="G52" s="1404"/>
      <c r="H52" s="1405"/>
      <c r="I52" s="1404"/>
      <c r="J52" s="1405"/>
      <c r="K52" s="1404"/>
      <c r="L52" s="1405"/>
      <c r="M52" s="1403"/>
      <c r="N52" s="1" t="s">
        <v>103</v>
      </c>
    </row>
    <row r="53" spans="1:51" ht="30" customHeight="1">
      <c r="A53" s="8" t="s">
        <v>946</v>
      </c>
      <c r="B53" s="8" t="s">
        <v>947</v>
      </c>
      <c r="C53" s="8" t="s">
        <v>419</v>
      </c>
      <c r="D53" s="9">
        <v>8.9999999999999993E-3</v>
      </c>
      <c r="E53" s="11">
        <f>단가대비표!O568</f>
        <v>0</v>
      </c>
      <c r="F53" s="12">
        <f>TRUNC(E53*D53,1)</f>
        <v>0</v>
      </c>
      <c r="G53" s="11">
        <f>단가대비표!P568</f>
        <v>203532</v>
      </c>
      <c r="H53" s="12">
        <f>TRUNC(G53*D53,1)</f>
        <v>1831.7</v>
      </c>
      <c r="I53" s="11">
        <f>단가대비표!V568</f>
        <v>0</v>
      </c>
      <c r="J53" s="12">
        <f>TRUNC(I53*D53,1)</f>
        <v>0</v>
      </c>
      <c r="K53" s="11">
        <f>TRUNC(E53+G53+I53,1)</f>
        <v>203532</v>
      </c>
      <c r="L53" s="12">
        <f>TRUNC(F53+H53+J53,1)</f>
        <v>1831.7</v>
      </c>
      <c r="M53" s="522" t="s">
        <v>51</v>
      </c>
      <c r="N53" s="2" t="s">
        <v>103</v>
      </c>
      <c r="O53" s="2" t="s">
        <v>948</v>
      </c>
      <c r="P53" s="2" t="s">
        <v>62</v>
      </c>
      <c r="Q53" s="2" t="s">
        <v>62</v>
      </c>
      <c r="R53" s="2" t="s">
        <v>61</v>
      </c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2" t="s">
        <v>51</v>
      </c>
      <c r="AW53" s="2" t="s">
        <v>1017</v>
      </c>
      <c r="AX53" s="2" t="s">
        <v>51</v>
      </c>
      <c r="AY53" s="2" t="s">
        <v>51</v>
      </c>
    </row>
    <row r="54" spans="1:51" ht="30" customHeight="1">
      <c r="A54" s="8" t="s">
        <v>996</v>
      </c>
      <c r="B54" s="8" t="s">
        <v>947</v>
      </c>
      <c r="C54" s="8" t="s">
        <v>419</v>
      </c>
      <c r="D54" s="9">
        <v>0.03</v>
      </c>
      <c r="E54" s="11">
        <f>단가대비표!O556</f>
        <v>0</v>
      </c>
      <c r="F54" s="12">
        <f>TRUNC(E54*D54,1)</f>
        <v>0</v>
      </c>
      <c r="G54" s="11">
        <f>단가대비표!P556</f>
        <v>130264</v>
      </c>
      <c r="H54" s="12">
        <f>TRUNC(G54*D54,1)</f>
        <v>3907.9</v>
      </c>
      <c r="I54" s="11">
        <f>단가대비표!V556</f>
        <v>0</v>
      </c>
      <c r="J54" s="12">
        <f>TRUNC(I54*D54,1)</f>
        <v>0</v>
      </c>
      <c r="K54" s="11">
        <f>TRUNC(E54+G54+I54,1)</f>
        <v>130264</v>
      </c>
      <c r="L54" s="12">
        <f>TRUNC(F54+H54+J54,1)</f>
        <v>3907.9</v>
      </c>
      <c r="M54" s="522" t="s">
        <v>51</v>
      </c>
      <c r="N54" s="2" t="s">
        <v>103</v>
      </c>
      <c r="O54" s="2" t="s">
        <v>997</v>
      </c>
      <c r="P54" s="2" t="s">
        <v>62</v>
      </c>
      <c r="Q54" s="2" t="s">
        <v>62</v>
      </c>
      <c r="R54" s="2" t="s">
        <v>61</v>
      </c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2" t="s">
        <v>51</v>
      </c>
      <c r="AW54" s="2" t="s">
        <v>1018</v>
      </c>
      <c r="AX54" s="2" t="s">
        <v>51</v>
      </c>
      <c r="AY54" s="2" t="s">
        <v>51</v>
      </c>
    </row>
    <row r="55" spans="1:51" ht="30" customHeight="1">
      <c r="A55" s="8" t="s">
        <v>950</v>
      </c>
      <c r="B55" s="8" t="s">
        <v>51</v>
      </c>
      <c r="C55" s="8" t="s">
        <v>51</v>
      </c>
      <c r="D55" s="9"/>
      <c r="E55" s="11"/>
      <c r="F55" s="12">
        <f>TRUNC(SUMIF(N53:N54, N52, F53:F54),0)</f>
        <v>0</v>
      </c>
      <c r="G55" s="11"/>
      <c r="H55" s="12">
        <f>TRUNC(SUMIF(N53:N54, N52, H53:H54),0)</f>
        <v>5739</v>
      </c>
      <c r="I55" s="11"/>
      <c r="J55" s="12">
        <f>TRUNC(SUMIF(N53:N54, N52, J53:J54),0)</f>
        <v>0</v>
      </c>
      <c r="K55" s="11"/>
      <c r="L55" s="12">
        <f>F55+H55+J55</f>
        <v>5739</v>
      </c>
      <c r="M55" s="522" t="s">
        <v>51</v>
      </c>
      <c r="N55" s="2" t="s">
        <v>86</v>
      </c>
      <c r="O55" s="2" t="s">
        <v>86</v>
      </c>
      <c r="P55" s="2" t="s">
        <v>51</v>
      </c>
      <c r="Q55" s="2" t="s">
        <v>51</v>
      </c>
      <c r="R55" s="2" t="s">
        <v>51</v>
      </c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2" t="s">
        <v>51</v>
      </c>
      <c r="AW55" s="2" t="s">
        <v>51</v>
      </c>
      <c r="AX55" s="2" t="s">
        <v>51</v>
      </c>
      <c r="AY55" s="2" t="s">
        <v>51</v>
      </c>
    </row>
    <row r="56" spans="1:51" ht="30" customHeight="1">
      <c r="A56" s="9"/>
      <c r="B56" s="9"/>
      <c r="C56" s="9"/>
      <c r="D56" s="9"/>
      <c r="E56" s="11"/>
      <c r="F56" s="12"/>
      <c r="G56" s="11"/>
      <c r="H56" s="12"/>
      <c r="I56" s="11"/>
      <c r="J56" s="12"/>
      <c r="K56" s="11"/>
      <c r="L56" s="12"/>
      <c r="M56" s="523"/>
    </row>
    <row r="57" spans="1:51" ht="30" customHeight="1">
      <c r="A57" s="1403" t="s">
        <v>4476</v>
      </c>
      <c r="B57" s="1403"/>
      <c r="C57" s="1403"/>
      <c r="D57" s="1403"/>
      <c r="E57" s="1404"/>
      <c r="F57" s="1405"/>
      <c r="G57" s="1404"/>
      <c r="H57" s="1405"/>
      <c r="I57" s="1404"/>
      <c r="J57" s="1405"/>
      <c r="K57" s="1404"/>
      <c r="L57" s="1405"/>
      <c r="M57" s="1403"/>
      <c r="N57" s="1" t="s">
        <v>107</v>
      </c>
    </row>
    <row r="58" spans="1:51" ht="30" customHeight="1">
      <c r="A58" s="8" t="s">
        <v>996</v>
      </c>
      <c r="B58" s="8" t="s">
        <v>947</v>
      </c>
      <c r="C58" s="8" t="s">
        <v>419</v>
      </c>
      <c r="D58" s="9">
        <v>8.5999999999999993E-2</v>
      </c>
      <c r="E58" s="11">
        <f>단가대비표!O556</f>
        <v>0</v>
      </c>
      <c r="F58" s="12">
        <f>TRUNC(E58*D58,1)</f>
        <v>0</v>
      </c>
      <c r="G58" s="11">
        <f>단가대비표!P556</f>
        <v>130264</v>
      </c>
      <c r="H58" s="12">
        <f>TRUNC(G58*D58,1)</f>
        <v>11202.7</v>
      </c>
      <c r="I58" s="11">
        <f>단가대비표!V556</f>
        <v>0</v>
      </c>
      <c r="J58" s="12">
        <f>TRUNC(I58*D58,1)</f>
        <v>0</v>
      </c>
      <c r="K58" s="11">
        <f t="shared" ref="K58:L60" si="9">TRUNC(E58+G58+I58,1)</f>
        <v>130264</v>
      </c>
      <c r="L58" s="12">
        <f t="shared" si="9"/>
        <v>11202.7</v>
      </c>
      <c r="M58" s="522" t="s">
        <v>51</v>
      </c>
      <c r="N58" s="2" t="s">
        <v>107</v>
      </c>
      <c r="O58" s="2" t="s">
        <v>997</v>
      </c>
      <c r="P58" s="2" t="s">
        <v>62</v>
      </c>
      <c r="Q58" s="2" t="s">
        <v>62</v>
      </c>
      <c r="R58" s="2" t="s">
        <v>61</v>
      </c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2" t="s">
        <v>51</v>
      </c>
      <c r="AW58" s="2" t="s">
        <v>1020</v>
      </c>
      <c r="AX58" s="2" t="s">
        <v>51</v>
      </c>
      <c r="AY58" s="2" t="s">
        <v>51</v>
      </c>
    </row>
    <row r="59" spans="1:51" ht="30" customHeight="1">
      <c r="A59" s="8" t="s">
        <v>1006</v>
      </c>
      <c r="B59" s="8" t="s">
        <v>418</v>
      </c>
      <c r="C59" s="8" t="s">
        <v>419</v>
      </c>
      <c r="D59" s="9">
        <v>0.17199999999999999</v>
      </c>
      <c r="E59" s="11">
        <f>단가대비표!O562</f>
        <v>0</v>
      </c>
      <c r="F59" s="12">
        <f>TRUNC(E59*D59,1)</f>
        <v>0</v>
      </c>
      <c r="G59" s="11">
        <f>단가대비표!P562</f>
        <v>209394</v>
      </c>
      <c r="H59" s="12">
        <f>TRUNC(G59*D59,1)</f>
        <v>36015.699999999997</v>
      </c>
      <c r="I59" s="11">
        <f>단가대비표!V562</f>
        <v>0</v>
      </c>
      <c r="J59" s="12">
        <f>TRUNC(I59*D59,1)</f>
        <v>0</v>
      </c>
      <c r="K59" s="11">
        <f t="shared" si="9"/>
        <v>209394</v>
      </c>
      <c r="L59" s="12">
        <f t="shared" si="9"/>
        <v>36015.699999999997</v>
      </c>
      <c r="M59" s="522" t="s">
        <v>51</v>
      </c>
      <c r="N59" s="2" t="s">
        <v>107</v>
      </c>
      <c r="O59" s="2" t="s">
        <v>1007</v>
      </c>
      <c r="P59" s="2" t="s">
        <v>62</v>
      </c>
      <c r="Q59" s="2" t="s">
        <v>62</v>
      </c>
      <c r="R59" s="2" t="s">
        <v>61</v>
      </c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2" t="s">
        <v>51</v>
      </c>
      <c r="AW59" s="2" t="s">
        <v>1021</v>
      </c>
      <c r="AX59" s="2" t="s">
        <v>51</v>
      </c>
      <c r="AY59" s="2" t="s">
        <v>51</v>
      </c>
    </row>
    <row r="60" spans="1:51" ht="30" customHeight="1">
      <c r="A60" s="8" t="s">
        <v>1022</v>
      </c>
      <c r="B60" s="8" t="s">
        <v>1010</v>
      </c>
      <c r="C60" s="8" t="s">
        <v>82</v>
      </c>
      <c r="D60" s="9">
        <v>1</v>
      </c>
      <c r="E60" s="11">
        <f>단가대비표!O459</f>
        <v>421</v>
      </c>
      <c r="F60" s="12">
        <f>TRUNC(E60*D60,1)</f>
        <v>421</v>
      </c>
      <c r="G60" s="11">
        <f>단가대비표!P459</f>
        <v>0</v>
      </c>
      <c r="H60" s="12">
        <f>TRUNC(G60*D60,1)</f>
        <v>0</v>
      </c>
      <c r="I60" s="11">
        <f>단가대비표!V459</f>
        <v>0</v>
      </c>
      <c r="J60" s="12">
        <f>TRUNC(I60*D60,1)</f>
        <v>0</v>
      </c>
      <c r="K60" s="11">
        <f t="shared" si="9"/>
        <v>421</v>
      </c>
      <c r="L60" s="12">
        <f t="shared" si="9"/>
        <v>421</v>
      </c>
      <c r="M60" s="522" t="s">
        <v>51</v>
      </c>
      <c r="N60" s="2" t="s">
        <v>107</v>
      </c>
      <c r="O60" s="2" t="s">
        <v>1023</v>
      </c>
      <c r="P60" s="2" t="s">
        <v>62</v>
      </c>
      <c r="Q60" s="2" t="s">
        <v>62</v>
      </c>
      <c r="R60" s="2" t="s">
        <v>61</v>
      </c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2" t="s">
        <v>51</v>
      </c>
      <c r="AW60" s="2" t="s">
        <v>1024</v>
      </c>
      <c r="AX60" s="2" t="s">
        <v>51</v>
      </c>
      <c r="AY60" s="2" t="s">
        <v>51</v>
      </c>
    </row>
    <row r="61" spans="1:51" ht="30" customHeight="1">
      <c r="A61" s="8" t="s">
        <v>950</v>
      </c>
      <c r="B61" s="8" t="s">
        <v>51</v>
      </c>
      <c r="C61" s="8" t="s">
        <v>51</v>
      </c>
      <c r="D61" s="9"/>
      <c r="E61" s="11"/>
      <c r="F61" s="12">
        <f>TRUNC(SUMIF(N58:N60, N57, F58:F60),0)</f>
        <v>421</v>
      </c>
      <c r="G61" s="11"/>
      <c r="H61" s="12">
        <f>TRUNC(SUMIF(N58:N60, N57, H58:H60),0)</f>
        <v>47218</v>
      </c>
      <c r="I61" s="11"/>
      <c r="J61" s="12">
        <f>TRUNC(SUMIF(N58:N60, N57, J58:J60),0)</f>
        <v>0</v>
      </c>
      <c r="K61" s="11"/>
      <c r="L61" s="12">
        <f>F61+H61+J61</f>
        <v>47639</v>
      </c>
      <c r="M61" s="522" t="s">
        <v>51</v>
      </c>
      <c r="N61" s="2" t="s">
        <v>86</v>
      </c>
      <c r="O61" s="2" t="s">
        <v>86</v>
      </c>
      <c r="P61" s="2" t="s">
        <v>51</v>
      </c>
      <c r="Q61" s="2" t="s">
        <v>51</v>
      </c>
      <c r="R61" s="2" t="s">
        <v>51</v>
      </c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" t="s">
        <v>51</v>
      </c>
      <c r="AW61" s="2" t="s">
        <v>51</v>
      </c>
      <c r="AX61" s="2" t="s">
        <v>51</v>
      </c>
      <c r="AY61" s="2" t="s">
        <v>51</v>
      </c>
    </row>
    <row r="62" spans="1:51" ht="30" customHeight="1">
      <c r="A62" s="9"/>
      <c r="B62" s="9"/>
      <c r="C62" s="9"/>
      <c r="D62" s="9"/>
      <c r="E62" s="11"/>
      <c r="F62" s="12"/>
      <c r="G62" s="11"/>
      <c r="H62" s="12"/>
      <c r="I62" s="11"/>
      <c r="J62" s="12"/>
      <c r="K62" s="11"/>
      <c r="L62" s="12"/>
      <c r="M62" s="523"/>
    </row>
    <row r="63" spans="1:51" ht="30" customHeight="1">
      <c r="A63" s="1403" t="s">
        <v>4477</v>
      </c>
      <c r="B63" s="1403"/>
      <c r="C63" s="1403"/>
      <c r="D63" s="1403"/>
      <c r="E63" s="1404"/>
      <c r="F63" s="1405"/>
      <c r="G63" s="1404"/>
      <c r="H63" s="1405"/>
      <c r="I63" s="1404"/>
      <c r="J63" s="1405"/>
      <c r="K63" s="1404"/>
      <c r="L63" s="1405"/>
      <c r="M63" s="1403"/>
      <c r="N63" s="1" t="s">
        <v>112</v>
      </c>
    </row>
    <row r="64" spans="1:51" ht="30" customHeight="1">
      <c r="A64" s="8" t="s">
        <v>996</v>
      </c>
      <c r="B64" s="8" t="s">
        <v>947</v>
      </c>
      <c r="C64" s="8" t="s">
        <v>419</v>
      </c>
      <c r="D64" s="9">
        <v>3.4000000000000002E-2</v>
      </c>
      <c r="E64" s="11">
        <f>단가대비표!O556</f>
        <v>0</v>
      </c>
      <c r="F64" s="12">
        <f>TRUNC(E64*D64,1)</f>
        <v>0</v>
      </c>
      <c r="G64" s="11">
        <f>단가대비표!P556</f>
        <v>130264</v>
      </c>
      <c r="H64" s="12">
        <f>TRUNC(G64*D64,1)</f>
        <v>4428.8999999999996</v>
      </c>
      <c r="I64" s="11">
        <f>단가대비표!V556</f>
        <v>0</v>
      </c>
      <c r="J64" s="12">
        <f>TRUNC(I64*D64,1)</f>
        <v>0</v>
      </c>
      <c r="K64" s="11">
        <f t="shared" ref="K64:L66" si="10">TRUNC(E64+G64+I64,1)</f>
        <v>130264</v>
      </c>
      <c r="L64" s="12">
        <f t="shared" si="10"/>
        <v>4428.8999999999996</v>
      </c>
      <c r="M64" s="522" t="s">
        <v>51</v>
      </c>
      <c r="N64" s="2" t="s">
        <v>112</v>
      </c>
      <c r="O64" s="2" t="s">
        <v>997</v>
      </c>
      <c r="P64" s="2" t="s">
        <v>62</v>
      </c>
      <c r="Q64" s="2" t="s">
        <v>62</v>
      </c>
      <c r="R64" s="2" t="s">
        <v>61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2" t="s">
        <v>51</v>
      </c>
      <c r="AW64" s="2" t="s">
        <v>1026</v>
      </c>
      <c r="AX64" s="2" t="s">
        <v>51</v>
      </c>
      <c r="AY64" s="2" t="s">
        <v>51</v>
      </c>
    </row>
    <row r="65" spans="1:52" ht="30" customHeight="1">
      <c r="A65" s="8" t="s">
        <v>1006</v>
      </c>
      <c r="B65" s="8" t="s">
        <v>418</v>
      </c>
      <c r="C65" s="8" t="s">
        <v>419</v>
      </c>
      <c r="D65" s="9">
        <v>6.8000000000000005E-2</v>
      </c>
      <c r="E65" s="11">
        <f>단가대비표!O562</f>
        <v>0</v>
      </c>
      <c r="F65" s="12">
        <f>TRUNC(E65*D65,1)</f>
        <v>0</v>
      </c>
      <c r="G65" s="11">
        <f>단가대비표!P562</f>
        <v>209394</v>
      </c>
      <c r="H65" s="12">
        <f>TRUNC(G65*D65,1)</f>
        <v>14238.7</v>
      </c>
      <c r="I65" s="11">
        <f>단가대비표!V562</f>
        <v>0</v>
      </c>
      <c r="J65" s="12">
        <f>TRUNC(I65*D65,1)</f>
        <v>0</v>
      </c>
      <c r="K65" s="11">
        <f t="shared" si="10"/>
        <v>209394</v>
      </c>
      <c r="L65" s="12">
        <f t="shared" si="10"/>
        <v>14238.7</v>
      </c>
      <c r="M65" s="522" t="s">
        <v>51</v>
      </c>
      <c r="N65" s="2" t="s">
        <v>112</v>
      </c>
      <c r="O65" s="2" t="s">
        <v>1007</v>
      </c>
      <c r="P65" s="2" t="s">
        <v>62</v>
      </c>
      <c r="Q65" s="2" t="s">
        <v>62</v>
      </c>
      <c r="R65" s="2" t="s">
        <v>61</v>
      </c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2" t="s">
        <v>51</v>
      </c>
      <c r="AW65" s="2" t="s">
        <v>1027</v>
      </c>
      <c r="AX65" s="2" t="s">
        <v>51</v>
      </c>
      <c r="AY65" s="2" t="s">
        <v>51</v>
      </c>
    </row>
    <row r="66" spans="1:52" ht="30" customHeight="1">
      <c r="A66" s="8" t="s">
        <v>1009</v>
      </c>
      <c r="B66" s="8" t="s">
        <v>1010</v>
      </c>
      <c r="C66" s="8" t="s">
        <v>82</v>
      </c>
      <c r="D66" s="9">
        <v>1</v>
      </c>
      <c r="E66" s="11">
        <f>단가대비표!O455</f>
        <v>888</v>
      </c>
      <c r="F66" s="12">
        <f>TRUNC(E66*D66,1)</f>
        <v>888</v>
      </c>
      <c r="G66" s="11">
        <f>단가대비표!P455</f>
        <v>0</v>
      </c>
      <c r="H66" s="12">
        <f>TRUNC(G66*D66,1)</f>
        <v>0</v>
      </c>
      <c r="I66" s="11">
        <f>단가대비표!V455</f>
        <v>0</v>
      </c>
      <c r="J66" s="12">
        <f>TRUNC(I66*D66,1)</f>
        <v>0</v>
      </c>
      <c r="K66" s="11">
        <f t="shared" si="10"/>
        <v>888</v>
      </c>
      <c r="L66" s="12">
        <f t="shared" si="10"/>
        <v>888</v>
      </c>
      <c r="M66" s="522" t="s">
        <v>51</v>
      </c>
      <c r="N66" s="2" t="s">
        <v>112</v>
      </c>
      <c r="O66" s="2" t="s">
        <v>1011</v>
      </c>
      <c r="P66" s="2" t="s">
        <v>62</v>
      </c>
      <c r="Q66" s="2" t="s">
        <v>62</v>
      </c>
      <c r="R66" s="2" t="s">
        <v>61</v>
      </c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" t="s">
        <v>51</v>
      </c>
      <c r="AW66" s="2" t="s">
        <v>1028</v>
      </c>
      <c r="AX66" s="2" t="s">
        <v>51</v>
      </c>
      <c r="AY66" s="2" t="s">
        <v>51</v>
      </c>
    </row>
    <row r="67" spans="1:52" ht="30" customHeight="1">
      <c r="A67" s="8" t="s">
        <v>950</v>
      </c>
      <c r="B67" s="8" t="s">
        <v>51</v>
      </c>
      <c r="C67" s="8" t="s">
        <v>51</v>
      </c>
      <c r="D67" s="9"/>
      <c r="E67" s="11"/>
      <c r="F67" s="12">
        <f>TRUNC(SUMIF(N64:N66, N63, F64:F66),0)</f>
        <v>888</v>
      </c>
      <c r="G67" s="11"/>
      <c r="H67" s="12">
        <f>TRUNC(SUMIF(N64:N66, N63, H64:H66),0)</f>
        <v>18667</v>
      </c>
      <c r="I67" s="11"/>
      <c r="J67" s="12">
        <f>TRUNC(SUMIF(N64:N66, N63, J64:J66),0)</f>
        <v>0</v>
      </c>
      <c r="K67" s="11"/>
      <c r="L67" s="12">
        <f>F67+H67+J67</f>
        <v>19555</v>
      </c>
      <c r="M67" s="522" t="s">
        <v>51</v>
      </c>
      <c r="N67" s="2" t="s">
        <v>86</v>
      </c>
      <c r="O67" s="2" t="s">
        <v>86</v>
      </c>
      <c r="P67" s="2" t="s">
        <v>51</v>
      </c>
      <c r="Q67" s="2" t="s">
        <v>51</v>
      </c>
      <c r="R67" s="2" t="s">
        <v>51</v>
      </c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2" t="s">
        <v>51</v>
      </c>
      <c r="AW67" s="2" t="s">
        <v>51</v>
      </c>
      <c r="AX67" s="2" t="s">
        <v>51</v>
      </c>
      <c r="AY67" s="2" t="s">
        <v>51</v>
      </c>
    </row>
    <row r="68" spans="1:52" ht="30" customHeight="1">
      <c r="A68" s="9"/>
      <c r="B68" s="9"/>
      <c r="C68" s="9"/>
      <c r="D68" s="9"/>
      <c r="E68" s="11"/>
      <c r="F68" s="12"/>
      <c r="G68" s="11"/>
      <c r="H68" s="12"/>
      <c r="I68" s="11"/>
      <c r="J68" s="12"/>
      <c r="K68" s="11"/>
      <c r="L68" s="12"/>
      <c r="M68" s="523"/>
    </row>
    <row r="69" spans="1:52" ht="30" customHeight="1">
      <c r="A69" s="1403" t="s">
        <v>4478</v>
      </c>
      <c r="B69" s="1403"/>
      <c r="C69" s="1403"/>
      <c r="D69" s="1403"/>
      <c r="E69" s="1404"/>
      <c r="F69" s="1405"/>
      <c r="G69" s="1404"/>
      <c r="H69" s="1405"/>
      <c r="I69" s="1404"/>
      <c r="J69" s="1405"/>
      <c r="K69" s="1404"/>
      <c r="L69" s="1405"/>
      <c r="M69" s="1403"/>
      <c r="N69" s="1" t="s">
        <v>116</v>
      </c>
    </row>
    <row r="70" spans="1:52" ht="30" customHeight="1">
      <c r="A70" s="8" t="s">
        <v>1030</v>
      </c>
      <c r="B70" s="8" t="s">
        <v>418</v>
      </c>
      <c r="C70" s="8" t="s">
        <v>419</v>
      </c>
      <c r="D70" s="9">
        <v>0.19</v>
      </c>
      <c r="E70" s="11">
        <f>단가대비표!$O$566</f>
        <v>0</v>
      </c>
      <c r="F70" s="12">
        <f>TRUNC(E70*D70,1)</f>
        <v>0</v>
      </c>
      <c r="G70" s="11">
        <f>단가대비표!$P$566</f>
        <v>176436</v>
      </c>
      <c r="H70" s="12">
        <f>TRUNC(G70*D70,1)</f>
        <v>33522.800000000003</v>
      </c>
      <c r="I70" s="11">
        <f>단가대비표!$V$566</f>
        <v>0</v>
      </c>
      <c r="J70" s="12">
        <f>TRUNC(I70*D70,1)</f>
        <v>0</v>
      </c>
      <c r="K70" s="11">
        <f t="shared" ref="K70:L72" si="11">TRUNC(E70+G70+I70,1)</f>
        <v>176436</v>
      </c>
      <c r="L70" s="12">
        <f t="shared" si="11"/>
        <v>33522.800000000003</v>
      </c>
      <c r="M70" s="522" t="s">
        <v>51</v>
      </c>
      <c r="N70" s="2" t="s">
        <v>116</v>
      </c>
      <c r="O70" s="2" t="s">
        <v>1031</v>
      </c>
      <c r="P70" s="2" t="s">
        <v>62</v>
      </c>
      <c r="Q70" s="2" t="s">
        <v>62</v>
      </c>
      <c r="R70" s="2" t="s">
        <v>61</v>
      </c>
      <c r="S70" s="3"/>
      <c r="T70" s="3"/>
      <c r="U70" s="3"/>
      <c r="V70" s="3">
        <v>1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2" t="s">
        <v>51</v>
      </c>
      <c r="AW70" s="2" t="s">
        <v>1032</v>
      </c>
      <c r="AX70" s="2" t="s">
        <v>51</v>
      </c>
      <c r="AY70" s="2" t="s">
        <v>51</v>
      </c>
    </row>
    <row r="71" spans="1:52" ht="30" customHeight="1">
      <c r="A71" s="8" t="s">
        <v>996</v>
      </c>
      <c r="B71" s="8" t="s">
        <v>947</v>
      </c>
      <c r="C71" s="8" t="s">
        <v>419</v>
      </c>
      <c r="D71" s="9">
        <v>9.5000000000000001E-2</v>
      </c>
      <c r="E71" s="11">
        <f>단가대비표!$O$556</f>
        <v>0</v>
      </c>
      <c r="F71" s="12">
        <f>TRUNC(E71*D71,1)</f>
        <v>0</v>
      </c>
      <c r="G71" s="11">
        <f>단가대비표!$P$556</f>
        <v>130264</v>
      </c>
      <c r="H71" s="12">
        <f>TRUNC(G71*D71,1)</f>
        <v>12375</v>
      </c>
      <c r="I71" s="11">
        <f>단가대비표!$V$556</f>
        <v>0</v>
      </c>
      <c r="J71" s="12">
        <f>TRUNC(I71*D71,1)</f>
        <v>0</v>
      </c>
      <c r="K71" s="11">
        <f t="shared" si="11"/>
        <v>130264</v>
      </c>
      <c r="L71" s="12">
        <f t="shared" si="11"/>
        <v>12375</v>
      </c>
      <c r="M71" s="522" t="s">
        <v>51</v>
      </c>
      <c r="N71" s="2" t="s">
        <v>116</v>
      </c>
      <c r="O71" s="2" t="s">
        <v>997</v>
      </c>
      <c r="P71" s="2" t="s">
        <v>62</v>
      </c>
      <c r="Q71" s="2" t="s">
        <v>62</v>
      </c>
      <c r="R71" s="2" t="s">
        <v>61</v>
      </c>
      <c r="S71" s="3"/>
      <c r="T71" s="3"/>
      <c r="U71" s="3"/>
      <c r="V71" s="3">
        <v>1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2" t="s">
        <v>51</v>
      </c>
      <c r="AW71" s="2" t="s">
        <v>1033</v>
      </c>
      <c r="AX71" s="2" t="s">
        <v>51</v>
      </c>
      <c r="AY71" s="2" t="s">
        <v>51</v>
      </c>
    </row>
    <row r="72" spans="1:52" ht="30" customHeight="1">
      <c r="A72" s="8" t="s">
        <v>1034</v>
      </c>
      <c r="B72" s="8" t="s">
        <v>1035</v>
      </c>
      <c r="C72" s="8" t="s">
        <v>82</v>
      </c>
      <c r="D72" s="9">
        <v>1</v>
      </c>
      <c r="E72" s="11">
        <f>TRUNC(SUMIF(V70:V72, RIGHTB(O72, 1), H70:H72)*U72, 2)</f>
        <v>2294.89</v>
      </c>
      <c r="F72" s="12">
        <f>TRUNC(E72*D72,1)</f>
        <v>2294.8000000000002</v>
      </c>
      <c r="G72" s="11">
        <v>0</v>
      </c>
      <c r="H72" s="12">
        <f>TRUNC(G72*D72,1)</f>
        <v>0</v>
      </c>
      <c r="I72" s="11">
        <v>0</v>
      </c>
      <c r="J72" s="12">
        <f>TRUNC(I72*D72,1)</f>
        <v>0</v>
      </c>
      <c r="K72" s="11">
        <f t="shared" si="11"/>
        <v>2294.8000000000002</v>
      </c>
      <c r="L72" s="12">
        <f t="shared" si="11"/>
        <v>2294.8000000000002</v>
      </c>
      <c r="M72" s="522" t="s">
        <v>51</v>
      </c>
      <c r="N72" s="2" t="s">
        <v>116</v>
      </c>
      <c r="O72" s="2" t="s">
        <v>1036</v>
      </c>
      <c r="P72" s="2" t="s">
        <v>62</v>
      </c>
      <c r="Q72" s="2" t="s">
        <v>62</v>
      </c>
      <c r="R72" s="2" t="s">
        <v>62</v>
      </c>
      <c r="S72" s="3">
        <v>1</v>
      </c>
      <c r="T72" s="3">
        <v>0</v>
      </c>
      <c r="U72" s="3">
        <v>0.05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2" t="s">
        <v>51</v>
      </c>
      <c r="AW72" s="2" t="s">
        <v>1037</v>
      </c>
      <c r="AX72" s="2" t="s">
        <v>51</v>
      </c>
      <c r="AY72" s="2" t="s">
        <v>51</v>
      </c>
    </row>
    <row r="73" spans="1:52" ht="30" customHeight="1">
      <c r="A73" s="8" t="s">
        <v>950</v>
      </c>
      <c r="B73" s="8" t="s">
        <v>51</v>
      </c>
      <c r="C73" s="8" t="s">
        <v>51</v>
      </c>
      <c r="D73" s="9"/>
      <c r="E73" s="11"/>
      <c r="F73" s="12">
        <f>TRUNC(SUMIF(N70:N72, N69, F70:F72),0)</f>
        <v>2294</v>
      </c>
      <c r="G73" s="11"/>
      <c r="H73" s="12">
        <f>TRUNC(SUMIF(N70:N72, N69, H70:H72),0)</f>
        <v>45897</v>
      </c>
      <c r="I73" s="11"/>
      <c r="J73" s="12">
        <f>TRUNC(SUMIF(N70:N72, N69, J70:J72),0)</f>
        <v>0</v>
      </c>
      <c r="K73" s="11"/>
      <c r="L73" s="12">
        <f>F73+H73+J73</f>
        <v>48191</v>
      </c>
      <c r="M73" s="522" t="s">
        <v>51</v>
      </c>
      <c r="N73" s="2" t="s">
        <v>86</v>
      </c>
      <c r="O73" s="2" t="s">
        <v>86</v>
      </c>
      <c r="P73" s="2" t="s">
        <v>51</v>
      </c>
      <c r="Q73" s="2" t="s">
        <v>51</v>
      </c>
      <c r="R73" s="2" t="s">
        <v>51</v>
      </c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2" t="s">
        <v>51</v>
      </c>
      <c r="AW73" s="2" t="s">
        <v>51</v>
      </c>
      <c r="AX73" s="2" t="s">
        <v>51</v>
      </c>
      <c r="AY73" s="2" t="s">
        <v>51</v>
      </c>
    </row>
    <row r="74" spans="1:52" ht="30" customHeight="1">
      <c r="A74" s="9"/>
      <c r="B74" s="9"/>
      <c r="C74" s="9"/>
      <c r="D74" s="9"/>
      <c r="E74" s="11"/>
      <c r="F74" s="12"/>
      <c r="G74" s="11"/>
      <c r="H74" s="12"/>
      <c r="I74" s="11"/>
      <c r="J74" s="12"/>
      <c r="K74" s="11"/>
      <c r="L74" s="12"/>
      <c r="M74" s="523"/>
    </row>
    <row r="75" spans="1:52" ht="30" customHeight="1">
      <c r="A75" s="1400" t="s">
        <v>4479</v>
      </c>
      <c r="B75" s="1400"/>
      <c r="C75" s="1400"/>
      <c r="D75" s="1400"/>
      <c r="E75" s="1401"/>
      <c r="F75" s="1402"/>
      <c r="G75" s="1401"/>
      <c r="H75" s="1402"/>
      <c r="I75" s="1401"/>
      <c r="J75" s="1402"/>
      <c r="K75" s="1401"/>
      <c r="L75" s="1402"/>
      <c r="M75" s="1400"/>
      <c r="N75" s="1" t="s">
        <v>119</v>
      </c>
      <c r="AZ75" t="s">
        <v>6751</v>
      </c>
    </row>
    <row r="76" spans="1:52" ht="30" customHeight="1">
      <c r="A76" s="8" t="s">
        <v>1039</v>
      </c>
      <c r="B76" s="8" t="s">
        <v>418</v>
      </c>
      <c r="C76" s="8" t="s">
        <v>419</v>
      </c>
      <c r="D76" s="1171">
        <v>0</v>
      </c>
      <c r="E76" s="11">
        <f>단가대비표!$O$572</f>
        <v>0</v>
      </c>
      <c r="F76" s="12">
        <f>TRUNC(E76*D76,1)</f>
        <v>0</v>
      </c>
      <c r="G76" s="11">
        <f>단가대비표!$P$572</f>
        <v>192305</v>
      </c>
      <c r="H76" s="12">
        <f>TRUNC(G76*D76,1)</f>
        <v>0</v>
      </c>
      <c r="I76" s="11">
        <f>단가대비표!$V$572</f>
        <v>0</v>
      </c>
      <c r="J76" s="12">
        <f>TRUNC(I76*D76,1)</f>
        <v>0</v>
      </c>
      <c r="K76" s="11">
        <f t="shared" ref="K76:L78" si="12">TRUNC(E76+G76+I76,1)</f>
        <v>192305</v>
      </c>
      <c r="L76" s="12">
        <f t="shared" si="12"/>
        <v>0</v>
      </c>
      <c r="M76" s="522" t="s">
        <v>51</v>
      </c>
      <c r="N76" s="2" t="s">
        <v>119</v>
      </c>
      <c r="O76" s="2" t="s">
        <v>1040</v>
      </c>
      <c r="P76" s="2" t="s">
        <v>62</v>
      </c>
      <c r="Q76" s="2" t="s">
        <v>62</v>
      </c>
      <c r="R76" s="2" t="s">
        <v>61</v>
      </c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2" t="s">
        <v>51</v>
      </c>
      <c r="AW76" s="2" t="s">
        <v>1041</v>
      </c>
      <c r="AX76" s="2" t="s">
        <v>51</v>
      </c>
      <c r="AY76" s="2" t="s">
        <v>51</v>
      </c>
      <c r="AZ76">
        <v>1.44E-2</v>
      </c>
    </row>
    <row r="77" spans="1:52" ht="30" customHeight="1">
      <c r="A77" s="8" t="s">
        <v>996</v>
      </c>
      <c r="B77" s="8" t="s">
        <v>947</v>
      </c>
      <c r="C77" s="8" t="s">
        <v>419</v>
      </c>
      <c r="D77" s="1171">
        <v>0.01</v>
      </c>
      <c r="E77" s="11">
        <f>단가대비표!$O$556</f>
        <v>0</v>
      </c>
      <c r="F77" s="12">
        <f>TRUNC(E77*D77,1)</f>
        <v>0</v>
      </c>
      <c r="G77" s="11">
        <f>단가대비표!$P$556</f>
        <v>130264</v>
      </c>
      <c r="H77" s="12">
        <f>TRUNC(G77*D77,1)</f>
        <v>1302.5999999999999</v>
      </c>
      <c r="I77" s="11">
        <f>단가대비표!$V$556</f>
        <v>0</v>
      </c>
      <c r="J77" s="12">
        <f>TRUNC(I77*D77,1)</f>
        <v>0</v>
      </c>
      <c r="K77" s="11">
        <f t="shared" si="12"/>
        <v>130264</v>
      </c>
      <c r="L77" s="12">
        <f t="shared" si="12"/>
        <v>1302.5999999999999</v>
      </c>
      <c r="M77" s="522" t="s">
        <v>51</v>
      </c>
      <c r="N77" s="2" t="s">
        <v>119</v>
      </c>
      <c r="O77" s="2" t="s">
        <v>997</v>
      </c>
      <c r="P77" s="2" t="s">
        <v>62</v>
      </c>
      <c r="Q77" s="2" t="s">
        <v>62</v>
      </c>
      <c r="R77" s="2" t="s">
        <v>61</v>
      </c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2" t="s">
        <v>51</v>
      </c>
      <c r="AW77" s="2" t="s">
        <v>1042</v>
      </c>
      <c r="AX77" s="2" t="s">
        <v>51</v>
      </c>
      <c r="AY77" s="2" t="s">
        <v>51</v>
      </c>
      <c r="AZ77">
        <v>7.1999999999999998E-3</v>
      </c>
    </row>
    <row r="78" spans="1:52" ht="30" customHeight="1">
      <c r="A78" s="8" t="s">
        <v>1043</v>
      </c>
      <c r="B78" s="8" t="s">
        <v>1010</v>
      </c>
      <c r="C78" s="8" t="s">
        <v>82</v>
      </c>
      <c r="D78" s="1171">
        <v>0</v>
      </c>
      <c r="E78" s="11">
        <f>단가대비표!O464</f>
        <v>181</v>
      </c>
      <c r="F78" s="12">
        <f>TRUNC(E78*D78,1)</f>
        <v>0</v>
      </c>
      <c r="G78" s="11">
        <f>단가대비표!P464</f>
        <v>0</v>
      </c>
      <c r="H78" s="12">
        <f>TRUNC(G78*D78,1)</f>
        <v>0</v>
      </c>
      <c r="I78" s="11">
        <f>단가대비표!V464</f>
        <v>0</v>
      </c>
      <c r="J78" s="12">
        <f>TRUNC(I78*D78,1)</f>
        <v>0</v>
      </c>
      <c r="K78" s="11">
        <f t="shared" si="12"/>
        <v>181</v>
      </c>
      <c r="L78" s="12">
        <f t="shared" si="12"/>
        <v>0</v>
      </c>
      <c r="M78" s="522" t="s">
        <v>51</v>
      </c>
      <c r="N78" s="2" t="s">
        <v>119</v>
      </c>
      <c r="O78" s="2" t="s">
        <v>1044</v>
      </c>
      <c r="P78" s="2" t="s">
        <v>62</v>
      </c>
      <c r="Q78" s="2" t="s">
        <v>62</v>
      </c>
      <c r="R78" s="2" t="s">
        <v>61</v>
      </c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2" t="s">
        <v>51</v>
      </c>
      <c r="AW78" s="2" t="s">
        <v>1045</v>
      </c>
      <c r="AX78" s="2" t="s">
        <v>51</v>
      </c>
      <c r="AY78" s="2" t="s">
        <v>51</v>
      </c>
      <c r="AZ78">
        <v>1</v>
      </c>
    </row>
    <row r="79" spans="1:52" ht="30" customHeight="1">
      <c r="A79" s="8" t="s">
        <v>950</v>
      </c>
      <c r="B79" s="8" t="s">
        <v>51</v>
      </c>
      <c r="C79" s="8" t="s">
        <v>51</v>
      </c>
      <c r="D79" s="9"/>
      <c r="E79" s="11"/>
      <c r="F79" s="12">
        <f>TRUNC(SUMIF(N76:N78, N75, F76:F78),0)</f>
        <v>0</v>
      </c>
      <c r="G79" s="11"/>
      <c r="H79" s="12">
        <f>TRUNC(SUMIF(N76:N78, N75, H76:H78),0)</f>
        <v>1302</v>
      </c>
      <c r="I79" s="11"/>
      <c r="J79" s="12">
        <f>TRUNC(SUMIF(N76:N78, N75, J76:J78),0)</f>
        <v>0</v>
      </c>
      <c r="K79" s="11"/>
      <c r="L79" s="12">
        <f>F79+H79+J79</f>
        <v>1302</v>
      </c>
      <c r="M79" s="522" t="s">
        <v>51</v>
      </c>
      <c r="N79" s="2" t="s">
        <v>86</v>
      </c>
      <c r="O79" s="2" t="s">
        <v>86</v>
      </c>
      <c r="P79" s="2" t="s">
        <v>51</v>
      </c>
      <c r="Q79" s="2" t="s">
        <v>51</v>
      </c>
      <c r="R79" s="2" t="s">
        <v>51</v>
      </c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2" t="s">
        <v>51</v>
      </c>
      <c r="AW79" s="2" t="s">
        <v>51</v>
      </c>
      <c r="AX79" s="2" t="s">
        <v>51</v>
      </c>
      <c r="AY79" s="2" t="s">
        <v>51</v>
      </c>
      <c r="AZ79" s="1170">
        <v>3888</v>
      </c>
    </row>
    <row r="80" spans="1:52" ht="30" customHeight="1">
      <c r="A80" s="9"/>
      <c r="B80" s="9"/>
      <c r="C80" s="9"/>
      <c r="D80" s="9"/>
      <c r="E80" s="11"/>
      <c r="F80" s="12"/>
      <c r="G80" s="11"/>
      <c r="H80" s="12"/>
      <c r="I80" s="11"/>
      <c r="J80" s="12"/>
      <c r="K80" s="11"/>
      <c r="L80" s="12"/>
      <c r="M80" s="523"/>
    </row>
    <row r="81" spans="1:51" ht="30" customHeight="1">
      <c r="A81" s="1403" t="s">
        <v>4480</v>
      </c>
      <c r="B81" s="1403"/>
      <c r="C81" s="1403"/>
      <c r="D81" s="1403"/>
      <c r="E81" s="1404"/>
      <c r="F81" s="1405"/>
      <c r="G81" s="1404"/>
      <c r="H81" s="1405"/>
      <c r="I81" s="1404"/>
      <c r="J81" s="1405"/>
      <c r="K81" s="1404"/>
      <c r="L81" s="1405"/>
      <c r="M81" s="1403"/>
      <c r="N81" s="1" t="s">
        <v>123</v>
      </c>
    </row>
    <row r="82" spans="1:51" ht="30" customHeight="1">
      <c r="A82" s="8" t="s">
        <v>946</v>
      </c>
      <c r="B82" s="8" t="s">
        <v>947</v>
      </c>
      <c r="C82" s="8" t="s">
        <v>419</v>
      </c>
      <c r="D82" s="9">
        <v>3.5999999999999997E-2</v>
      </c>
      <c r="E82" s="11">
        <f>단가대비표!O568</f>
        <v>0</v>
      </c>
      <c r="F82" s="12">
        <f>TRUNC(E82*D82,1)</f>
        <v>0</v>
      </c>
      <c r="G82" s="11">
        <f>단가대비표!P568</f>
        <v>203532</v>
      </c>
      <c r="H82" s="12">
        <f>TRUNC(G82*D82,1)</f>
        <v>7327.1</v>
      </c>
      <c r="I82" s="11">
        <f>단가대비표!V568</f>
        <v>0</v>
      </c>
      <c r="J82" s="12">
        <f>TRUNC(I82*D82,1)</f>
        <v>0</v>
      </c>
      <c r="K82" s="11">
        <f>TRUNC(E82+G82+I82,1)</f>
        <v>203532</v>
      </c>
      <c r="L82" s="12">
        <f>TRUNC(F82+H82+J82,1)</f>
        <v>7327.1</v>
      </c>
      <c r="M82" s="522" t="s">
        <v>51</v>
      </c>
      <c r="N82" s="2" t="s">
        <v>123</v>
      </c>
      <c r="O82" s="2" t="s">
        <v>948</v>
      </c>
      <c r="P82" s="2" t="s">
        <v>62</v>
      </c>
      <c r="Q82" s="2" t="s">
        <v>62</v>
      </c>
      <c r="R82" s="2" t="s">
        <v>61</v>
      </c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2" t="s">
        <v>51</v>
      </c>
      <c r="AW82" s="2" t="s">
        <v>1047</v>
      </c>
      <c r="AX82" s="2" t="s">
        <v>51</v>
      </c>
      <c r="AY82" s="2" t="s">
        <v>51</v>
      </c>
    </row>
    <row r="83" spans="1:51" ht="30" customHeight="1">
      <c r="A83" s="8" t="s">
        <v>996</v>
      </c>
      <c r="B83" s="8" t="s">
        <v>947</v>
      </c>
      <c r="C83" s="8" t="s">
        <v>419</v>
      </c>
      <c r="D83" s="9">
        <v>0.03</v>
      </c>
      <c r="E83" s="11">
        <f>단가대비표!O556</f>
        <v>0</v>
      </c>
      <c r="F83" s="12">
        <f>TRUNC(E83*D83,1)</f>
        <v>0</v>
      </c>
      <c r="G83" s="11">
        <f>단가대비표!P556</f>
        <v>130264</v>
      </c>
      <c r="H83" s="12">
        <f>TRUNC(G83*D83,1)</f>
        <v>3907.9</v>
      </c>
      <c r="I83" s="11">
        <f>단가대비표!V556</f>
        <v>0</v>
      </c>
      <c r="J83" s="12">
        <f>TRUNC(I83*D83,1)</f>
        <v>0</v>
      </c>
      <c r="K83" s="11">
        <f>TRUNC(E83+G83+I83,1)</f>
        <v>130264</v>
      </c>
      <c r="L83" s="12">
        <f>TRUNC(F83+H83+J83,1)</f>
        <v>3907.9</v>
      </c>
      <c r="M83" s="522" t="s">
        <v>51</v>
      </c>
      <c r="N83" s="2" t="s">
        <v>123</v>
      </c>
      <c r="O83" s="2" t="s">
        <v>997</v>
      </c>
      <c r="P83" s="2" t="s">
        <v>62</v>
      </c>
      <c r="Q83" s="2" t="s">
        <v>62</v>
      </c>
      <c r="R83" s="2" t="s">
        <v>61</v>
      </c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2" t="s">
        <v>51</v>
      </c>
      <c r="AW83" s="2" t="s">
        <v>1048</v>
      </c>
      <c r="AX83" s="2" t="s">
        <v>51</v>
      </c>
      <c r="AY83" s="2" t="s">
        <v>51</v>
      </c>
    </row>
    <row r="84" spans="1:51" ht="30" customHeight="1">
      <c r="A84" s="8" t="s">
        <v>950</v>
      </c>
      <c r="B84" s="8" t="s">
        <v>51</v>
      </c>
      <c r="C84" s="8" t="s">
        <v>51</v>
      </c>
      <c r="D84" s="9"/>
      <c r="E84" s="11"/>
      <c r="F84" s="12">
        <f>TRUNC(SUMIF(N82:N83, N81, F82:F83),0)</f>
        <v>0</v>
      </c>
      <c r="G84" s="11"/>
      <c r="H84" s="12">
        <f>TRUNC(SUMIF(N82:N83, N81, H82:H83),0)</f>
        <v>11235</v>
      </c>
      <c r="I84" s="11"/>
      <c r="J84" s="12">
        <f>TRUNC(SUMIF(N82:N83, N81, J82:J83),0)</f>
        <v>0</v>
      </c>
      <c r="K84" s="11"/>
      <c r="L84" s="12">
        <f>F84+H84+J84</f>
        <v>11235</v>
      </c>
      <c r="M84" s="522" t="s">
        <v>51</v>
      </c>
      <c r="N84" s="2" t="s">
        <v>86</v>
      </c>
      <c r="O84" s="2" t="s">
        <v>86</v>
      </c>
      <c r="P84" s="2" t="s">
        <v>51</v>
      </c>
      <c r="Q84" s="2" t="s">
        <v>51</v>
      </c>
      <c r="R84" s="2" t="s">
        <v>51</v>
      </c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2" t="s">
        <v>51</v>
      </c>
      <c r="AW84" s="2" t="s">
        <v>51</v>
      </c>
      <c r="AX84" s="2" t="s">
        <v>51</v>
      </c>
      <c r="AY84" s="2" t="s">
        <v>51</v>
      </c>
    </row>
    <row r="85" spans="1:51" ht="30" customHeight="1">
      <c r="A85" s="9"/>
      <c r="B85" s="9"/>
      <c r="C85" s="9"/>
      <c r="D85" s="9"/>
      <c r="E85" s="11"/>
      <c r="F85" s="12"/>
      <c r="G85" s="11"/>
      <c r="H85" s="12"/>
      <c r="I85" s="11"/>
      <c r="J85" s="12"/>
      <c r="K85" s="11"/>
      <c r="L85" s="12"/>
      <c r="M85" s="523"/>
    </row>
    <row r="86" spans="1:51" ht="30" customHeight="1">
      <c r="A86" s="1403" t="s">
        <v>4481</v>
      </c>
      <c r="B86" s="1403"/>
      <c r="C86" s="1403"/>
      <c r="D86" s="1403"/>
      <c r="E86" s="1404"/>
      <c r="F86" s="1405"/>
      <c r="G86" s="1404"/>
      <c r="H86" s="1405"/>
      <c r="I86" s="1404"/>
      <c r="J86" s="1405"/>
      <c r="K86" s="1404"/>
      <c r="L86" s="1405"/>
      <c r="M86" s="1403"/>
      <c r="N86" s="1" t="s">
        <v>126</v>
      </c>
    </row>
    <row r="87" spans="1:51" ht="30" customHeight="1">
      <c r="A87" s="8" t="s">
        <v>946</v>
      </c>
      <c r="B87" s="8" t="s">
        <v>947</v>
      </c>
      <c r="C87" s="8" t="s">
        <v>419</v>
      </c>
      <c r="D87" s="9">
        <v>0.05</v>
      </c>
      <c r="E87" s="11">
        <f>단가대비표!O568</f>
        <v>0</v>
      </c>
      <c r="F87" s="12">
        <f>TRUNC(E87*D87,1)</f>
        <v>0</v>
      </c>
      <c r="G87" s="11">
        <f>단가대비표!P568</f>
        <v>203532</v>
      </c>
      <c r="H87" s="12">
        <f>TRUNC(G87*D87,1)</f>
        <v>10176.6</v>
      </c>
      <c r="I87" s="11">
        <f>단가대비표!V568</f>
        <v>0</v>
      </c>
      <c r="J87" s="12">
        <f>TRUNC(I87*D87,1)</f>
        <v>0</v>
      </c>
      <c r="K87" s="11">
        <f>TRUNC(E87+G87+I87,1)</f>
        <v>203532</v>
      </c>
      <c r="L87" s="12">
        <f>TRUNC(F87+H87+J87,1)</f>
        <v>10176.6</v>
      </c>
      <c r="M87" s="522" t="s">
        <v>51</v>
      </c>
      <c r="N87" s="2" t="s">
        <v>126</v>
      </c>
      <c r="O87" s="2" t="s">
        <v>948</v>
      </c>
      <c r="P87" s="2" t="s">
        <v>62</v>
      </c>
      <c r="Q87" s="2" t="s">
        <v>62</v>
      </c>
      <c r="R87" s="2" t="s">
        <v>61</v>
      </c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2" t="s">
        <v>51</v>
      </c>
      <c r="AW87" s="2" t="s">
        <v>1050</v>
      </c>
      <c r="AX87" s="2" t="s">
        <v>51</v>
      </c>
      <c r="AY87" s="2" t="s">
        <v>51</v>
      </c>
    </row>
    <row r="88" spans="1:51" ht="30" customHeight="1">
      <c r="A88" s="8" t="s">
        <v>996</v>
      </c>
      <c r="B88" s="8" t="s">
        <v>947</v>
      </c>
      <c r="C88" s="8" t="s">
        <v>419</v>
      </c>
      <c r="D88" s="9">
        <v>2.5000000000000001E-2</v>
      </c>
      <c r="E88" s="11">
        <f>단가대비표!O556</f>
        <v>0</v>
      </c>
      <c r="F88" s="12">
        <f>TRUNC(E88*D88,1)</f>
        <v>0</v>
      </c>
      <c r="G88" s="11">
        <f>단가대비표!P556</f>
        <v>130264</v>
      </c>
      <c r="H88" s="12">
        <f>TRUNC(G88*D88,1)</f>
        <v>3256.6</v>
      </c>
      <c r="I88" s="11">
        <f>단가대비표!V556</f>
        <v>0</v>
      </c>
      <c r="J88" s="12">
        <f>TRUNC(I88*D88,1)</f>
        <v>0</v>
      </c>
      <c r="K88" s="11">
        <f>TRUNC(E88+G88+I88,1)</f>
        <v>130264</v>
      </c>
      <c r="L88" s="12">
        <f>TRUNC(F88+H88+J88,1)</f>
        <v>3256.6</v>
      </c>
      <c r="M88" s="522" t="s">
        <v>51</v>
      </c>
      <c r="N88" s="2" t="s">
        <v>126</v>
      </c>
      <c r="O88" s="2" t="s">
        <v>997</v>
      </c>
      <c r="P88" s="2" t="s">
        <v>62</v>
      </c>
      <c r="Q88" s="2" t="s">
        <v>62</v>
      </c>
      <c r="R88" s="2" t="s">
        <v>61</v>
      </c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2" t="s">
        <v>51</v>
      </c>
      <c r="AW88" s="2" t="s">
        <v>1051</v>
      </c>
      <c r="AX88" s="2" t="s">
        <v>51</v>
      </c>
      <c r="AY88" s="2" t="s">
        <v>51</v>
      </c>
    </row>
    <row r="89" spans="1:51" ht="30" customHeight="1">
      <c r="A89" s="8" t="s">
        <v>950</v>
      </c>
      <c r="B89" s="8" t="s">
        <v>51</v>
      </c>
      <c r="C89" s="8" t="s">
        <v>51</v>
      </c>
      <c r="D89" s="9"/>
      <c r="E89" s="11"/>
      <c r="F89" s="12">
        <f>TRUNC(SUMIF(N87:N88, N86, F87:F88),0)</f>
        <v>0</v>
      </c>
      <c r="G89" s="11"/>
      <c r="H89" s="12">
        <f>TRUNC(SUMIF(N87:N88, N86, H87:H88),0)</f>
        <v>13433</v>
      </c>
      <c r="I89" s="11"/>
      <c r="J89" s="12">
        <f>TRUNC(SUMIF(N87:N88, N86, J87:J88),0)</f>
        <v>0</v>
      </c>
      <c r="K89" s="11"/>
      <c r="L89" s="12">
        <f>F89+H89+J89</f>
        <v>13433</v>
      </c>
      <c r="M89" s="522" t="s">
        <v>51</v>
      </c>
      <c r="N89" s="2" t="s">
        <v>86</v>
      </c>
      <c r="O89" s="2" t="s">
        <v>86</v>
      </c>
      <c r="P89" s="2" t="s">
        <v>51</v>
      </c>
      <c r="Q89" s="2" t="s">
        <v>51</v>
      </c>
      <c r="R89" s="2" t="s">
        <v>51</v>
      </c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2" t="s">
        <v>51</v>
      </c>
      <c r="AW89" s="2" t="s">
        <v>51</v>
      </c>
      <c r="AX89" s="2" t="s">
        <v>51</v>
      </c>
      <c r="AY89" s="2" t="s">
        <v>51</v>
      </c>
    </row>
    <row r="90" spans="1:51" ht="30" customHeight="1">
      <c r="A90" s="9"/>
      <c r="B90" s="9"/>
      <c r="C90" s="9"/>
      <c r="D90" s="9"/>
      <c r="E90" s="11"/>
      <c r="F90" s="12"/>
      <c r="G90" s="11"/>
      <c r="H90" s="12"/>
      <c r="I90" s="11"/>
      <c r="J90" s="12"/>
      <c r="K90" s="11"/>
      <c r="L90" s="12"/>
      <c r="M90" s="523"/>
    </row>
    <row r="91" spans="1:51" ht="30" customHeight="1">
      <c r="A91" s="1403" t="s">
        <v>4482</v>
      </c>
      <c r="B91" s="1403"/>
      <c r="C91" s="1403"/>
      <c r="D91" s="1403"/>
      <c r="E91" s="1404"/>
      <c r="F91" s="1405"/>
      <c r="G91" s="1404"/>
      <c r="H91" s="1405"/>
      <c r="I91" s="1404"/>
      <c r="J91" s="1405"/>
      <c r="K91" s="1404"/>
      <c r="L91" s="1405"/>
      <c r="M91" s="1403"/>
      <c r="N91" s="1" t="s">
        <v>129</v>
      </c>
    </row>
    <row r="92" spans="1:51" ht="30" customHeight="1">
      <c r="A92" s="8" t="s">
        <v>946</v>
      </c>
      <c r="B92" s="8" t="s">
        <v>947</v>
      </c>
      <c r="C92" s="8" t="s">
        <v>419</v>
      </c>
      <c r="D92" s="9">
        <v>6.0000000000000001E-3</v>
      </c>
      <c r="E92" s="11">
        <f>단가대비표!O568</f>
        <v>0</v>
      </c>
      <c r="F92" s="12">
        <f>TRUNC(E92*D92,1)</f>
        <v>0</v>
      </c>
      <c r="G92" s="11">
        <f>단가대비표!P568</f>
        <v>203532</v>
      </c>
      <c r="H92" s="12">
        <f>TRUNC(G92*D92,1)</f>
        <v>1221.0999999999999</v>
      </c>
      <c r="I92" s="11">
        <f>단가대비표!V568</f>
        <v>0</v>
      </c>
      <c r="J92" s="12">
        <f>TRUNC(I92*D92,1)</f>
        <v>0</v>
      </c>
      <c r="K92" s="11">
        <f>TRUNC(E92+G92+I92,1)</f>
        <v>203532</v>
      </c>
      <c r="L92" s="12">
        <f>TRUNC(F92+H92+J92,1)</f>
        <v>1221.0999999999999</v>
      </c>
      <c r="M92" s="522" t="s">
        <v>51</v>
      </c>
      <c r="N92" s="2" t="s">
        <v>129</v>
      </c>
      <c r="O92" s="2" t="s">
        <v>948</v>
      </c>
      <c r="P92" s="2" t="s">
        <v>62</v>
      </c>
      <c r="Q92" s="2" t="s">
        <v>62</v>
      </c>
      <c r="R92" s="2" t="s">
        <v>61</v>
      </c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2" t="s">
        <v>51</v>
      </c>
      <c r="AW92" s="2" t="s">
        <v>1053</v>
      </c>
      <c r="AX92" s="2" t="s">
        <v>51</v>
      </c>
      <c r="AY92" s="2" t="s">
        <v>51</v>
      </c>
    </row>
    <row r="93" spans="1:51" ht="30" customHeight="1">
      <c r="A93" s="8" t="s">
        <v>996</v>
      </c>
      <c r="B93" s="8" t="s">
        <v>947</v>
      </c>
      <c r="C93" s="8" t="s">
        <v>419</v>
      </c>
      <c r="D93" s="9">
        <v>0.02</v>
      </c>
      <c r="E93" s="11">
        <f>단가대비표!O556</f>
        <v>0</v>
      </c>
      <c r="F93" s="12">
        <f>TRUNC(E93*D93,1)</f>
        <v>0</v>
      </c>
      <c r="G93" s="11">
        <f>단가대비표!P556</f>
        <v>130264</v>
      </c>
      <c r="H93" s="12">
        <f>TRUNC(G93*D93,1)</f>
        <v>2605.1999999999998</v>
      </c>
      <c r="I93" s="11">
        <f>단가대비표!V556</f>
        <v>0</v>
      </c>
      <c r="J93" s="12">
        <f>TRUNC(I93*D93,1)</f>
        <v>0</v>
      </c>
      <c r="K93" s="11">
        <f>TRUNC(E93+G93+I93,1)</f>
        <v>130264</v>
      </c>
      <c r="L93" s="12">
        <f>TRUNC(F93+H93+J93,1)</f>
        <v>2605.1999999999998</v>
      </c>
      <c r="M93" s="522" t="s">
        <v>51</v>
      </c>
      <c r="N93" s="2" t="s">
        <v>129</v>
      </c>
      <c r="O93" s="2" t="s">
        <v>997</v>
      </c>
      <c r="P93" s="2" t="s">
        <v>62</v>
      </c>
      <c r="Q93" s="2" t="s">
        <v>62</v>
      </c>
      <c r="R93" s="2" t="s">
        <v>61</v>
      </c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2" t="s">
        <v>51</v>
      </c>
      <c r="AW93" s="2" t="s">
        <v>1054</v>
      </c>
      <c r="AX93" s="2" t="s">
        <v>51</v>
      </c>
      <c r="AY93" s="2" t="s">
        <v>51</v>
      </c>
    </row>
    <row r="94" spans="1:51" ht="30" customHeight="1">
      <c r="A94" s="8" t="s">
        <v>950</v>
      </c>
      <c r="B94" s="8" t="s">
        <v>51</v>
      </c>
      <c r="C94" s="8" t="s">
        <v>51</v>
      </c>
      <c r="D94" s="9"/>
      <c r="E94" s="11"/>
      <c r="F94" s="12">
        <f>TRUNC(SUMIF(N92:N93, N91, F92:F93),0)</f>
        <v>0</v>
      </c>
      <c r="G94" s="11"/>
      <c r="H94" s="12">
        <f>TRUNC(SUMIF(N92:N93, N91, H92:H93),0)</f>
        <v>3826</v>
      </c>
      <c r="I94" s="11"/>
      <c r="J94" s="12">
        <f>TRUNC(SUMIF(N92:N93, N91, J92:J93),0)</f>
        <v>0</v>
      </c>
      <c r="K94" s="11"/>
      <c r="L94" s="12">
        <f>F94+H94+J94</f>
        <v>3826</v>
      </c>
      <c r="M94" s="522" t="s">
        <v>51</v>
      </c>
      <c r="N94" s="2" t="s">
        <v>86</v>
      </c>
      <c r="O94" s="2" t="s">
        <v>86</v>
      </c>
      <c r="P94" s="2" t="s">
        <v>51</v>
      </c>
      <c r="Q94" s="2" t="s">
        <v>51</v>
      </c>
      <c r="R94" s="2" t="s">
        <v>51</v>
      </c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2" t="s">
        <v>51</v>
      </c>
      <c r="AW94" s="2" t="s">
        <v>51</v>
      </c>
      <c r="AX94" s="2" t="s">
        <v>51</v>
      </c>
      <c r="AY94" s="2" t="s">
        <v>51</v>
      </c>
    </row>
    <row r="95" spans="1:51" ht="30" customHeight="1">
      <c r="A95" s="9"/>
      <c r="B95" s="9"/>
      <c r="C95" s="9"/>
      <c r="D95" s="9"/>
      <c r="E95" s="11"/>
      <c r="F95" s="12"/>
      <c r="G95" s="11"/>
      <c r="H95" s="12"/>
      <c r="I95" s="11"/>
      <c r="J95" s="12"/>
      <c r="K95" s="11"/>
      <c r="L95" s="12"/>
      <c r="M95" s="523"/>
    </row>
    <row r="96" spans="1:51" ht="30" customHeight="1">
      <c r="A96" s="1403" t="s">
        <v>4483</v>
      </c>
      <c r="B96" s="1403"/>
      <c r="C96" s="1403"/>
      <c r="D96" s="1403"/>
      <c r="E96" s="1404"/>
      <c r="F96" s="1405"/>
      <c r="G96" s="1404"/>
      <c r="H96" s="1405"/>
      <c r="I96" s="1404"/>
      <c r="J96" s="1405"/>
      <c r="K96" s="1404"/>
      <c r="L96" s="1405"/>
      <c r="M96" s="1403"/>
      <c r="N96" s="1" t="s">
        <v>132</v>
      </c>
    </row>
    <row r="97" spans="1:51" ht="30" customHeight="1">
      <c r="A97" s="8" t="s">
        <v>996</v>
      </c>
      <c r="B97" s="8" t="s">
        <v>947</v>
      </c>
      <c r="C97" s="8" t="s">
        <v>419</v>
      </c>
      <c r="D97" s="9">
        <v>8.5999999999999993E-2</v>
      </c>
      <c r="E97" s="11">
        <f>단가대비표!O556</f>
        <v>0</v>
      </c>
      <c r="F97" s="12">
        <f>TRUNC(E97*D97,1)</f>
        <v>0</v>
      </c>
      <c r="G97" s="11">
        <f>단가대비표!P556</f>
        <v>130264</v>
      </c>
      <c r="H97" s="12">
        <f>TRUNC(G97*D97,1)</f>
        <v>11202.7</v>
      </c>
      <c r="I97" s="11">
        <f>단가대비표!V556</f>
        <v>0</v>
      </c>
      <c r="J97" s="12">
        <f>TRUNC(I97*D97,1)</f>
        <v>0</v>
      </c>
      <c r="K97" s="11">
        <f t="shared" ref="K97:L99" si="13">TRUNC(E97+G97+I97,1)</f>
        <v>130264</v>
      </c>
      <c r="L97" s="12">
        <f t="shared" si="13"/>
        <v>11202.7</v>
      </c>
      <c r="M97" s="522" t="s">
        <v>51</v>
      </c>
      <c r="N97" s="2" t="s">
        <v>132</v>
      </c>
      <c r="O97" s="2" t="s">
        <v>997</v>
      </c>
      <c r="P97" s="2" t="s">
        <v>62</v>
      </c>
      <c r="Q97" s="2" t="s">
        <v>62</v>
      </c>
      <c r="R97" s="2" t="s">
        <v>61</v>
      </c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2" t="s">
        <v>51</v>
      </c>
      <c r="AW97" s="2" t="s">
        <v>1056</v>
      </c>
      <c r="AX97" s="2" t="s">
        <v>51</v>
      </c>
      <c r="AY97" s="2" t="s">
        <v>51</v>
      </c>
    </row>
    <row r="98" spans="1:51" ht="30" customHeight="1">
      <c r="A98" s="8" t="s">
        <v>1006</v>
      </c>
      <c r="B98" s="8" t="s">
        <v>418</v>
      </c>
      <c r="C98" s="8" t="s">
        <v>419</v>
      </c>
      <c r="D98" s="9">
        <v>0.17199999999999999</v>
      </c>
      <c r="E98" s="11">
        <f>단가대비표!O562</f>
        <v>0</v>
      </c>
      <c r="F98" s="12">
        <f>TRUNC(E98*D98,1)</f>
        <v>0</v>
      </c>
      <c r="G98" s="11">
        <f>단가대비표!P562</f>
        <v>209394</v>
      </c>
      <c r="H98" s="12">
        <f>TRUNC(G98*D98,1)</f>
        <v>36015.699999999997</v>
      </c>
      <c r="I98" s="11">
        <f>단가대비표!V562</f>
        <v>0</v>
      </c>
      <c r="J98" s="12">
        <f>TRUNC(I98*D98,1)</f>
        <v>0</v>
      </c>
      <c r="K98" s="11">
        <f t="shared" si="13"/>
        <v>209394</v>
      </c>
      <c r="L98" s="12">
        <f t="shared" si="13"/>
        <v>36015.699999999997</v>
      </c>
      <c r="M98" s="522" t="s">
        <v>51</v>
      </c>
      <c r="N98" s="2" t="s">
        <v>132</v>
      </c>
      <c r="O98" s="2" t="s">
        <v>1007</v>
      </c>
      <c r="P98" s="2" t="s">
        <v>62</v>
      </c>
      <c r="Q98" s="2" t="s">
        <v>62</v>
      </c>
      <c r="R98" s="2" t="s">
        <v>61</v>
      </c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2" t="s">
        <v>51</v>
      </c>
      <c r="AW98" s="2" t="s">
        <v>1057</v>
      </c>
      <c r="AX98" s="2" t="s">
        <v>51</v>
      </c>
      <c r="AY98" s="2" t="s">
        <v>51</v>
      </c>
    </row>
    <row r="99" spans="1:51" ht="30" customHeight="1">
      <c r="A99" s="8" t="s">
        <v>1022</v>
      </c>
      <c r="B99" s="8" t="s">
        <v>1010</v>
      </c>
      <c r="C99" s="8" t="s">
        <v>82</v>
      </c>
      <c r="D99" s="9">
        <v>1</v>
      </c>
      <c r="E99" s="11">
        <f>단가대비표!O459</f>
        <v>421</v>
      </c>
      <c r="F99" s="12">
        <f>TRUNC(E99*D99,1)</f>
        <v>421</v>
      </c>
      <c r="G99" s="11">
        <f>단가대비표!P459</f>
        <v>0</v>
      </c>
      <c r="H99" s="12">
        <f>TRUNC(G99*D99,1)</f>
        <v>0</v>
      </c>
      <c r="I99" s="11">
        <f>단가대비표!V459</f>
        <v>0</v>
      </c>
      <c r="J99" s="12">
        <f>TRUNC(I99*D99,1)</f>
        <v>0</v>
      </c>
      <c r="K99" s="11">
        <f t="shared" si="13"/>
        <v>421</v>
      </c>
      <c r="L99" s="12">
        <f t="shared" si="13"/>
        <v>421</v>
      </c>
      <c r="M99" s="522" t="s">
        <v>51</v>
      </c>
      <c r="N99" s="2" t="s">
        <v>132</v>
      </c>
      <c r="O99" s="2" t="s">
        <v>1023</v>
      </c>
      <c r="P99" s="2" t="s">
        <v>62</v>
      </c>
      <c r="Q99" s="2" t="s">
        <v>62</v>
      </c>
      <c r="R99" s="2" t="s">
        <v>61</v>
      </c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2" t="s">
        <v>51</v>
      </c>
      <c r="AW99" s="2" t="s">
        <v>1058</v>
      </c>
      <c r="AX99" s="2" t="s">
        <v>51</v>
      </c>
      <c r="AY99" s="2" t="s">
        <v>51</v>
      </c>
    </row>
    <row r="100" spans="1:51" ht="30" customHeight="1">
      <c r="A100" s="8" t="s">
        <v>950</v>
      </c>
      <c r="B100" s="8" t="s">
        <v>51</v>
      </c>
      <c r="C100" s="8" t="s">
        <v>51</v>
      </c>
      <c r="D100" s="9"/>
      <c r="E100" s="11"/>
      <c r="F100" s="12">
        <f>TRUNC(SUMIF(N97:N99, N96, F97:F99),0)</f>
        <v>421</v>
      </c>
      <c r="G100" s="11"/>
      <c r="H100" s="12">
        <f>TRUNC(SUMIF(N97:N99, N96, H97:H99),0)</f>
        <v>47218</v>
      </c>
      <c r="I100" s="11"/>
      <c r="J100" s="12">
        <f>TRUNC(SUMIF(N97:N99, N96, J97:J99),0)</f>
        <v>0</v>
      </c>
      <c r="K100" s="11"/>
      <c r="L100" s="12">
        <f>F100+H100+J100</f>
        <v>47639</v>
      </c>
      <c r="M100" s="522" t="s">
        <v>51</v>
      </c>
      <c r="N100" s="2" t="s">
        <v>86</v>
      </c>
      <c r="O100" s="2" t="s">
        <v>86</v>
      </c>
      <c r="P100" s="2" t="s">
        <v>51</v>
      </c>
      <c r="Q100" s="2" t="s">
        <v>51</v>
      </c>
      <c r="R100" s="2" t="s">
        <v>51</v>
      </c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2" t="s">
        <v>51</v>
      </c>
      <c r="AW100" s="2" t="s">
        <v>51</v>
      </c>
      <c r="AX100" s="2" t="s">
        <v>51</v>
      </c>
      <c r="AY100" s="2" t="s">
        <v>51</v>
      </c>
    </row>
    <row r="101" spans="1:51" ht="30" customHeight="1">
      <c r="A101" s="9"/>
      <c r="B101" s="9"/>
      <c r="C101" s="9"/>
      <c r="D101" s="9"/>
      <c r="E101" s="11"/>
      <c r="F101" s="12"/>
      <c r="G101" s="11"/>
      <c r="H101" s="12"/>
      <c r="I101" s="11"/>
      <c r="J101" s="12"/>
      <c r="K101" s="11"/>
      <c r="L101" s="12"/>
      <c r="M101" s="523"/>
    </row>
    <row r="102" spans="1:51" ht="30" customHeight="1">
      <c r="A102" s="1403" t="s">
        <v>4484</v>
      </c>
      <c r="B102" s="1403"/>
      <c r="C102" s="1403"/>
      <c r="D102" s="1403"/>
      <c r="E102" s="1404"/>
      <c r="F102" s="1405"/>
      <c r="G102" s="1404"/>
      <c r="H102" s="1405"/>
      <c r="I102" s="1404"/>
      <c r="J102" s="1405"/>
      <c r="K102" s="1404"/>
      <c r="L102" s="1405"/>
      <c r="M102" s="1403"/>
      <c r="N102" s="1" t="s">
        <v>136</v>
      </c>
    </row>
    <row r="103" spans="1:51" ht="30" customHeight="1">
      <c r="A103" s="8" t="s">
        <v>996</v>
      </c>
      <c r="B103" s="8" t="s">
        <v>947</v>
      </c>
      <c r="C103" s="8" t="s">
        <v>419</v>
      </c>
      <c r="D103" s="9">
        <v>2.86E-2</v>
      </c>
      <c r="E103" s="11">
        <f>단가대비표!O556</f>
        <v>0</v>
      </c>
      <c r="F103" s="12">
        <f>TRUNC(E103*D103,1)</f>
        <v>0</v>
      </c>
      <c r="G103" s="11">
        <f>단가대비표!P556</f>
        <v>130264</v>
      </c>
      <c r="H103" s="12">
        <f>TRUNC(G103*D103,1)</f>
        <v>3725.5</v>
      </c>
      <c r="I103" s="11">
        <f>단가대비표!V556</f>
        <v>0</v>
      </c>
      <c r="J103" s="12">
        <f>TRUNC(I103*D103,1)</f>
        <v>0</v>
      </c>
      <c r="K103" s="11">
        <f t="shared" ref="K103:L105" si="14">TRUNC(E103+G103+I103,1)</f>
        <v>130264</v>
      </c>
      <c r="L103" s="12">
        <f t="shared" si="14"/>
        <v>3725.5</v>
      </c>
      <c r="M103" s="522" t="s">
        <v>51</v>
      </c>
      <c r="N103" s="2" t="s">
        <v>136</v>
      </c>
      <c r="O103" s="2" t="s">
        <v>997</v>
      </c>
      <c r="P103" s="2" t="s">
        <v>62</v>
      </c>
      <c r="Q103" s="2" t="s">
        <v>62</v>
      </c>
      <c r="R103" s="2" t="s">
        <v>61</v>
      </c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2" t="s">
        <v>51</v>
      </c>
      <c r="AW103" s="2" t="s">
        <v>1060</v>
      </c>
      <c r="AX103" s="2" t="s">
        <v>51</v>
      </c>
      <c r="AY103" s="2" t="s">
        <v>51</v>
      </c>
    </row>
    <row r="104" spans="1:51" ht="30" customHeight="1">
      <c r="A104" s="8" t="s">
        <v>1061</v>
      </c>
      <c r="B104" s="8" t="s">
        <v>418</v>
      </c>
      <c r="C104" s="8" t="s">
        <v>419</v>
      </c>
      <c r="D104" s="9">
        <v>5.7200000000000001E-2</v>
      </c>
      <c r="E104" s="11">
        <f>단가대비표!O569</f>
        <v>0</v>
      </c>
      <c r="F104" s="12">
        <f>TRUNC(E104*D104,1)</f>
        <v>0</v>
      </c>
      <c r="G104" s="11">
        <f>단가대비표!P569</f>
        <v>190247</v>
      </c>
      <c r="H104" s="12">
        <f>TRUNC(G104*D104,1)</f>
        <v>10882.1</v>
      </c>
      <c r="I104" s="11">
        <f>단가대비표!V569</f>
        <v>0</v>
      </c>
      <c r="J104" s="12">
        <f>TRUNC(I104*D104,1)</f>
        <v>0</v>
      </c>
      <c r="K104" s="11">
        <f t="shared" si="14"/>
        <v>190247</v>
      </c>
      <c r="L104" s="12">
        <f t="shared" si="14"/>
        <v>10882.1</v>
      </c>
      <c r="M104" s="522" t="s">
        <v>51</v>
      </c>
      <c r="N104" s="2" t="s">
        <v>136</v>
      </c>
      <c r="O104" s="2" t="s">
        <v>1062</v>
      </c>
      <c r="P104" s="2" t="s">
        <v>62</v>
      </c>
      <c r="Q104" s="2" t="s">
        <v>62</v>
      </c>
      <c r="R104" s="2" t="s">
        <v>61</v>
      </c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2" t="s">
        <v>51</v>
      </c>
      <c r="AW104" s="2" t="s">
        <v>1063</v>
      </c>
      <c r="AX104" s="2" t="s">
        <v>51</v>
      </c>
      <c r="AY104" s="2" t="s">
        <v>51</v>
      </c>
    </row>
    <row r="105" spans="1:51" ht="30" customHeight="1">
      <c r="A105" s="8" t="s">
        <v>1064</v>
      </c>
      <c r="B105" s="8" t="s">
        <v>1010</v>
      </c>
      <c r="C105" s="8" t="s">
        <v>82</v>
      </c>
      <c r="D105" s="9">
        <v>1</v>
      </c>
      <c r="E105" s="11">
        <f>단가대비표!O456</f>
        <v>0</v>
      </c>
      <c r="F105" s="12">
        <f>TRUNC(E105*D105,1)</f>
        <v>0</v>
      </c>
      <c r="G105" s="11">
        <f>단가대비표!P456</f>
        <v>697</v>
      </c>
      <c r="H105" s="12">
        <f>TRUNC(G105*D105,1)</f>
        <v>697</v>
      </c>
      <c r="I105" s="11">
        <f>단가대비표!V456</f>
        <v>0</v>
      </c>
      <c r="J105" s="12">
        <f>TRUNC(I105*D105,1)</f>
        <v>0</v>
      </c>
      <c r="K105" s="11">
        <f t="shared" si="14"/>
        <v>697</v>
      </c>
      <c r="L105" s="12">
        <f t="shared" si="14"/>
        <v>697</v>
      </c>
      <c r="M105" s="522" t="s">
        <v>51</v>
      </c>
      <c r="N105" s="2" t="s">
        <v>136</v>
      </c>
      <c r="O105" s="2" t="s">
        <v>1065</v>
      </c>
      <c r="P105" s="2" t="s">
        <v>62</v>
      </c>
      <c r="Q105" s="2" t="s">
        <v>62</v>
      </c>
      <c r="R105" s="2" t="s">
        <v>61</v>
      </c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2" t="s">
        <v>51</v>
      </c>
      <c r="AW105" s="2" t="s">
        <v>1066</v>
      </c>
      <c r="AX105" s="2" t="s">
        <v>51</v>
      </c>
      <c r="AY105" s="2" t="s">
        <v>51</v>
      </c>
    </row>
    <row r="106" spans="1:51" ht="30" customHeight="1">
      <c r="A106" s="8" t="s">
        <v>950</v>
      </c>
      <c r="B106" s="8" t="s">
        <v>51</v>
      </c>
      <c r="C106" s="8" t="s">
        <v>51</v>
      </c>
      <c r="D106" s="9"/>
      <c r="E106" s="11"/>
      <c r="F106" s="12">
        <f>TRUNC(SUMIF(N103:N105, N102, F103:F105),0)</f>
        <v>0</v>
      </c>
      <c r="G106" s="11"/>
      <c r="H106" s="12">
        <f>TRUNC(SUMIF(N103:N105, N102, H103:H105),0)</f>
        <v>15304</v>
      </c>
      <c r="I106" s="11"/>
      <c r="J106" s="12">
        <f>TRUNC(SUMIF(N103:N105, N102, J103:J105),0)</f>
        <v>0</v>
      </c>
      <c r="K106" s="11"/>
      <c r="L106" s="12">
        <f>F106+H106+J106</f>
        <v>15304</v>
      </c>
      <c r="M106" s="522" t="s">
        <v>51</v>
      </c>
      <c r="N106" s="2" t="s">
        <v>86</v>
      </c>
      <c r="O106" s="2" t="s">
        <v>86</v>
      </c>
      <c r="P106" s="2" t="s">
        <v>51</v>
      </c>
      <c r="Q106" s="2" t="s">
        <v>51</v>
      </c>
      <c r="R106" s="2" t="s">
        <v>51</v>
      </c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2" t="s">
        <v>51</v>
      </c>
      <c r="AW106" s="2" t="s">
        <v>51</v>
      </c>
      <c r="AX106" s="2" t="s">
        <v>51</v>
      </c>
      <c r="AY106" s="2" t="s">
        <v>51</v>
      </c>
    </row>
    <row r="107" spans="1:51" ht="30" customHeight="1">
      <c r="A107" s="9"/>
      <c r="B107" s="9"/>
      <c r="C107" s="9"/>
      <c r="D107" s="9"/>
      <c r="E107" s="11"/>
      <c r="F107" s="12"/>
      <c r="G107" s="11"/>
      <c r="H107" s="12"/>
      <c r="I107" s="11"/>
      <c r="J107" s="12"/>
      <c r="K107" s="11"/>
      <c r="L107" s="12"/>
      <c r="M107" s="523"/>
    </row>
    <row r="108" spans="1:51" ht="30" customHeight="1">
      <c r="A108" s="1403" t="s">
        <v>4485</v>
      </c>
      <c r="B108" s="1403"/>
      <c r="C108" s="1403"/>
      <c r="D108" s="1403"/>
      <c r="E108" s="1404"/>
      <c r="F108" s="1405"/>
      <c r="G108" s="1404"/>
      <c r="H108" s="1405"/>
      <c r="I108" s="1404"/>
      <c r="J108" s="1405"/>
      <c r="K108" s="1404"/>
      <c r="L108" s="1405"/>
      <c r="M108" s="1403"/>
      <c r="N108" s="1" t="s">
        <v>141</v>
      </c>
    </row>
    <row r="109" spans="1:51" ht="30" customHeight="1">
      <c r="A109" s="8" t="s">
        <v>996</v>
      </c>
      <c r="B109" s="8" t="s">
        <v>947</v>
      </c>
      <c r="C109" s="8" t="s">
        <v>419</v>
      </c>
      <c r="D109" s="9">
        <v>0.02</v>
      </c>
      <c r="E109" s="11">
        <f>단가대비표!O556</f>
        <v>0</v>
      </c>
      <c r="F109" s="12">
        <f>TRUNC(E109*D109,1)</f>
        <v>0</v>
      </c>
      <c r="G109" s="11">
        <f>단가대비표!P556</f>
        <v>130264</v>
      </c>
      <c r="H109" s="12">
        <f>TRUNC(G109*D109,1)</f>
        <v>2605.1999999999998</v>
      </c>
      <c r="I109" s="11">
        <f>단가대비표!V556</f>
        <v>0</v>
      </c>
      <c r="J109" s="12">
        <f>TRUNC(I109*D109,1)</f>
        <v>0</v>
      </c>
      <c r="K109" s="11">
        <f t="shared" ref="K109:L111" si="15">TRUNC(E109+G109+I109,1)</f>
        <v>130264</v>
      </c>
      <c r="L109" s="12">
        <f t="shared" si="15"/>
        <v>2605.1999999999998</v>
      </c>
      <c r="M109" s="522" t="s">
        <v>51</v>
      </c>
      <c r="N109" s="2" t="s">
        <v>141</v>
      </c>
      <c r="O109" s="2" t="s">
        <v>997</v>
      </c>
      <c r="P109" s="2" t="s">
        <v>62</v>
      </c>
      <c r="Q109" s="2" t="s">
        <v>62</v>
      </c>
      <c r="R109" s="2" t="s">
        <v>61</v>
      </c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2" t="s">
        <v>51</v>
      </c>
      <c r="AW109" s="2" t="s">
        <v>1068</v>
      </c>
      <c r="AX109" s="2" t="s">
        <v>51</v>
      </c>
      <c r="AY109" s="2" t="s">
        <v>51</v>
      </c>
    </row>
    <row r="110" spans="1:51" ht="30" customHeight="1">
      <c r="A110" s="8" t="s">
        <v>946</v>
      </c>
      <c r="B110" s="8" t="s">
        <v>947</v>
      </c>
      <c r="C110" s="8" t="s">
        <v>419</v>
      </c>
      <c r="D110" s="9">
        <v>0.46</v>
      </c>
      <c r="E110" s="11">
        <f>단가대비표!O568</f>
        <v>0</v>
      </c>
      <c r="F110" s="12">
        <f>TRUNC(E110*D110,1)</f>
        <v>0</v>
      </c>
      <c r="G110" s="11">
        <f>단가대비표!P568</f>
        <v>203532</v>
      </c>
      <c r="H110" s="12">
        <f>TRUNC(G110*D110,1)</f>
        <v>93624.7</v>
      </c>
      <c r="I110" s="11">
        <f>단가대비표!V568</f>
        <v>0</v>
      </c>
      <c r="J110" s="12">
        <f>TRUNC(I110*D110,1)</f>
        <v>0</v>
      </c>
      <c r="K110" s="11">
        <f t="shared" si="15"/>
        <v>203532</v>
      </c>
      <c r="L110" s="12">
        <f t="shared" si="15"/>
        <v>93624.7</v>
      </c>
      <c r="M110" s="522" t="s">
        <v>51</v>
      </c>
      <c r="N110" s="2" t="s">
        <v>141</v>
      </c>
      <c r="O110" s="2" t="s">
        <v>948</v>
      </c>
      <c r="P110" s="2" t="s">
        <v>62</v>
      </c>
      <c r="Q110" s="2" t="s">
        <v>62</v>
      </c>
      <c r="R110" s="2" t="s">
        <v>61</v>
      </c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2" t="s">
        <v>51</v>
      </c>
      <c r="AW110" s="2" t="s">
        <v>1069</v>
      </c>
      <c r="AX110" s="2" t="s">
        <v>51</v>
      </c>
      <c r="AY110" s="2" t="s">
        <v>51</v>
      </c>
    </row>
    <row r="111" spans="1:51" ht="30" customHeight="1">
      <c r="A111" s="8" t="s">
        <v>1070</v>
      </c>
      <c r="B111" s="8" t="s">
        <v>1010</v>
      </c>
      <c r="C111" s="8" t="s">
        <v>82</v>
      </c>
      <c r="D111" s="9">
        <v>0.05</v>
      </c>
      <c r="E111" s="11">
        <f>단가대비표!O460</f>
        <v>0</v>
      </c>
      <c r="F111" s="12">
        <f>TRUNC(E111*D111,1)</f>
        <v>0</v>
      </c>
      <c r="G111" s="11">
        <f>단가대비표!P460</f>
        <v>16317</v>
      </c>
      <c r="H111" s="12">
        <f>TRUNC(G111*D111,1)</f>
        <v>815.8</v>
      </c>
      <c r="I111" s="11">
        <f>단가대비표!V460</f>
        <v>0</v>
      </c>
      <c r="J111" s="12">
        <f>TRUNC(I111*D111,1)</f>
        <v>0</v>
      </c>
      <c r="K111" s="11">
        <f t="shared" si="15"/>
        <v>16317</v>
      </c>
      <c r="L111" s="12">
        <f t="shared" si="15"/>
        <v>815.8</v>
      </c>
      <c r="M111" s="522" t="s">
        <v>51</v>
      </c>
      <c r="N111" s="2" t="s">
        <v>141</v>
      </c>
      <c r="O111" s="2" t="s">
        <v>1071</v>
      </c>
      <c r="P111" s="2" t="s">
        <v>62</v>
      </c>
      <c r="Q111" s="2" t="s">
        <v>62</v>
      </c>
      <c r="R111" s="2" t="s">
        <v>61</v>
      </c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2" t="s">
        <v>51</v>
      </c>
      <c r="AW111" s="2" t="s">
        <v>1072</v>
      </c>
      <c r="AX111" s="2" t="s">
        <v>51</v>
      </c>
      <c r="AY111" s="2" t="s">
        <v>51</v>
      </c>
    </row>
    <row r="112" spans="1:51" ht="30" customHeight="1">
      <c r="A112" s="8" t="s">
        <v>950</v>
      </c>
      <c r="B112" s="8" t="s">
        <v>51</v>
      </c>
      <c r="C112" s="8" t="s">
        <v>51</v>
      </c>
      <c r="D112" s="9"/>
      <c r="E112" s="11"/>
      <c r="F112" s="12">
        <f>TRUNC(SUMIF(N109:N111, N108, F109:F111),0)</f>
        <v>0</v>
      </c>
      <c r="G112" s="11"/>
      <c r="H112" s="12">
        <f>TRUNC(SUMIF(N109:N111, N108, H109:H111),0)</f>
        <v>97045</v>
      </c>
      <c r="I112" s="11"/>
      <c r="J112" s="12">
        <f>TRUNC(SUMIF(N109:N111, N108, J109:J111),0)</f>
        <v>0</v>
      </c>
      <c r="K112" s="11"/>
      <c r="L112" s="12">
        <f>F112+H112+J112</f>
        <v>97045</v>
      </c>
      <c r="M112" s="522" t="s">
        <v>51</v>
      </c>
      <c r="N112" s="2" t="s">
        <v>86</v>
      </c>
      <c r="O112" s="2" t="s">
        <v>86</v>
      </c>
      <c r="P112" s="2" t="s">
        <v>51</v>
      </c>
      <c r="Q112" s="2" t="s">
        <v>51</v>
      </c>
      <c r="R112" s="2" t="s">
        <v>51</v>
      </c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2" t="s">
        <v>51</v>
      </c>
      <c r="AW112" s="2" t="s">
        <v>51</v>
      </c>
      <c r="AX112" s="2" t="s">
        <v>51</v>
      </c>
      <c r="AY112" s="2" t="s">
        <v>51</v>
      </c>
    </row>
    <row r="113" spans="1:53" ht="30" customHeight="1">
      <c r="A113" s="9"/>
      <c r="B113" s="9"/>
      <c r="C113" s="9"/>
      <c r="D113" s="9"/>
      <c r="E113" s="11"/>
      <c r="F113" s="12"/>
      <c r="G113" s="11"/>
      <c r="H113" s="12"/>
      <c r="I113" s="11"/>
      <c r="J113" s="12"/>
      <c r="K113" s="11"/>
      <c r="L113" s="12"/>
      <c r="M113" s="523"/>
    </row>
    <row r="114" spans="1:53" ht="30" customHeight="1">
      <c r="A114" s="1403" t="s">
        <v>4486</v>
      </c>
      <c r="B114" s="1403"/>
      <c r="C114" s="1403"/>
      <c r="D114" s="1403"/>
      <c r="E114" s="1404"/>
      <c r="F114" s="1405"/>
      <c r="G114" s="1404"/>
      <c r="H114" s="1405"/>
      <c r="I114" s="1404"/>
      <c r="J114" s="1405"/>
      <c r="K114" s="1404"/>
      <c r="L114" s="1405"/>
      <c r="M114" s="1403"/>
      <c r="N114" s="1" t="s">
        <v>144</v>
      </c>
    </row>
    <row r="115" spans="1:53" ht="30" customHeight="1">
      <c r="A115" s="8" t="s">
        <v>996</v>
      </c>
      <c r="B115" s="8" t="s">
        <v>947</v>
      </c>
      <c r="C115" s="8" t="s">
        <v>419</v>
      </c>
      <c r="D115" s="9">
        <v>0.02</v>
      </c>
      <c r="E115" s="11">
        <f>단가대비표!O556</f>
        <v>0</v>
      </c>
      <c r="F115" s="12">
        <f>TRUNC(E115*D115,1)</f>
        <v>0</v>
      </c>
      <c r="G115" s="11">
        <f>단가대비표!P556</f>
        <v>130264</v>
      </c>
      <c r="H115" s="12">
        <f>TRUNC(G115*D115,1)</f>
        <v>2605.1999999999998</v>
      </c>
      <c r="I115" s="11">
        <f>단가대비표!V556</f>
        <v>0</v>
      </c>
      <c r="J115" s="12">
        <f>TRUNC(I115*D115,1)</f>
        <v>0</v>
      </c>
      <c r="K115" s="11">
        <f t="shared" ref="K115:L117" si="16">TRUNC(E115+G115+I115,1)</f>
        <v>130264</v>
      </c>
      <c r="L115" s="12">
        <f t="shared" si="16"/>
        <v>2605.1999999999998</v>
      </c>
      <c r="M115" s="522" t="s">
        <v>51</v>
      </c>
      <c r="N115" s="2" t="s">
        <v>144</v>
      </c>
      <c r="O115" s="2" t="s">
        <v>997</v>
      </c>
      <c r="P115" s="2" t="s">
        <v>62</v>
      </c>
      <c r="Q115" s="2" t="s">
        <v>62</v>
      </c>
      <c r="R115" s="2" t="s">
        <v>61</v>
      </c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2" t="s">
        <v>51</v>
      </c>
      <c r="AW115" s="2" t="s">
        <v>1074</v>
      </c>
      <c r="AX115" s="2" t="s">
        <v>51</v>
      </c>
      <c r="AY115" s="2" t="s">
        <v>51</v>
      </c>
    </row>
    <row r="116" spans="1:53" ht="30" customHeight="1">
      <c r="A116" s="8" t="s">
        <v>946</v>
      </c>
      <c r="B116" s="8" t="s">
        <v>947</v>
      </c>
      <c r="C116" s="8" t="s">
        <v>419</v>
      </c>
      <c r="D116" s="9">
        <v>0.46</v>
      </c>
      <c r="E116" s="11">
        <f>단가대비표!O568</f>
        <v>0</v>
      </c>
      <c r="F116" s="12">
        <f>TRUNC(E116*D116,1)</f>
        <v>0</v>
      </c>
      <c r="G116" s="11">
        <f>단가대비표!P568</f>
        <v>203532</v>
      </c>
      <c r="H116" s="12">
        <f>TRUNC(G116*D116,1)</f>
        <v>93624.7</v>
      </c>
      <c r="I116" s="11">
        <f>단가대비표!V568</f>
        <v>0</v>
      </c>
      <c r="J116" s="12">
        <f>TRUNC(I116*D116,1)</f>
        <v>0</v>
      </c>
      <c r="K116" s="11">
        <f t="shared" si="16"/>
        <v>203532</v>
      </c>
      <c r="L116" s="12">
        <f t="shared" si="16"/>
        <v>93624.7</v>
      </c>
      <c r="M116" s="522" t="s">
        <v>51</v>
      </c>
      <c r="N116" s="2" t="s">
        <v>144</v>
      </c>
      <c r="O116" s="2" t="s">
        <v>948</v>
      </c>
      <c r="P116" s="2" t="s">
        <v>62</v>
      </c>
      <c r="Q116" s="2" t="s">
        <v>62</v>
      </c>
      <c r="R116" s="2" t="s">
        <v>61</v>
      </c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2" t="s">
        <v>51</v>
      </c>
      <c r="AW116" s="2" t="s">
        <v>1075</v>
      </c>
      <c r="AX116" s="2" t="s">
        <v>51</v>
      </c>
      <c r="AY116" s="2" t="s">
        <v>51</v>
      </c>
    </row>
    <row r="117" spans="1:53" ht="30" customHeight="1">
      <c r="A117" s="8" t="s">
        <v>1070</v>
      </c>
      <c r="B117" s="8" t="s">
        <v>1010</v>
      </c>
      <c r="C117" s="8" t="s">
        <v>82</v>
      </c>
      <c r="D117" s="9">
        <v>0.05</v>
      </c>
      <c r="E117" s="11">
        <f>단가대비표!O460</f>
        <v>0</v>
      </c>
      <c r="F117" s="12">
        <f>TRUNC(E117*D117,1)</f>
        <v>0</v>
      </c>
      <c r="G117" s="11">
        <f>단가대비표!P460</f>
        <v>16317</v>
      </c>
      <c r="H117" s="12">
        <f>TRUNC(G117*D117,1)</f>
        <v>815.8</v>
      </c>
      <c r="I117" s="11">
        <f>단가대비표!V460</f>
        <v>0</v>
      </c>
      <c r="J117" s="12">
        <f>TRUNC(I117*D117,1)</f>
        <v>0</v>
      </c>
      <c r="K117" s="11">
        <f t="shared" si="16"/>
        <v>16317</v>
      </c>
      <c r="L117" s="12">
        <f t="shared" si="16"/>
        <v>815.8</v>
      </c>
      <c r="M117" s="522" t="s">
        <v>51</v>
      </c>
      <c r="N117" s="2" t="s">
        <v>144</v>
      </c>
      <c r="O117" s="2" t="s">
        <v>1071</v>
      </c>
      <c r="P117" s="2" t="s">
        <v>62</v>
      </c>
      <c r="Q117" s="2" t="s">
        <v>62</v>
      </c>
      <c r="R117" s="2" t="s">
        <v>61</v>
      </c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2" t="s">
        <v>51</v>
      </c>
      <c r="AW117" s="2" t="s">
        <v>1076</v>
      </c>
      <c r="AX117" s="2" t="s">
        <v>51</v>
      </c>
      <c r="AY117" s="2" t="s">
        <v>51</v>
      </c>
    </row>
    <row r="118" spans="1:53" ht="30" customHeight="1">
      <c r="A118" s="8" t="s">
        <v>950</v>
      </c>
      <c r="B118" s="8" t="s">
        <v>51</v>
      </c>
      <c r="C118" s="8" t="s">
        <v>51</v>
      </c>
      <c r="D118" s="9"/>
      <c r="E118" s="11"/>
      <c r="F118" s="12">
        <f>TRUNC(SUMIF(N115:N117, N114, F115:F117),0)</f>
        <v>0</v>
      </c>
      <c r="G118" s="11"/>
      <c r="H118" s="12">
        <f>TRUNC(SUMIF(N115:N117, N114, H115:H117),0)</f>
        <v>97045</v>
      </c>
      <c r="I118" s="11"/>
      <c r="J118" s="12">
        <f>TRUNC(SUMIF(N115:N117, N114, J115:J117),0)</f>
        <v>0</v>
      </c>
      <c r="K118" s="11"/>
      <c r="L118" s="12">
        <f>F118+H118+J118</f>
        <v>97045</v>
      </c>
      <c r="M118" s="522" t="s">
        <v>51</v>
      </c>
      <c r="N118" s="2" t="s">
        <v>86</v>
      </c>
      <c r="O118" s="2" t="s">
        <v>86</v>
      </c>
      <c r="P118" s="2" t="s">
        <v>51</v>
      </c>
      <c r="Q118" s="2" t="s">
        <v>51</v>
      </c>
      <c r="R118" s="2" t="s">
        <v>51</v>
      </c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2" t="s">
        <v>51</v>
      </c>
      <c r="AW118" s="2" t="s">
        <v>51</v>
      </c>
      <c r="AX118" s="2" t="s">
        <v>51</v>
      </c>
      <c r="AY118" s="2" t="s">
        <v>51</v>
      </c>
    </row>
    <row r="119" spans="1:53" ht="30" customHeight="1">
      <c r="A119" s="9"/>
      <c r="B119" s="9"/>
      <c r="C119" s="9"/>
      <c r="D119" s="9"/>
      <c r="E119" s="11"/>
      <c r="F119" s="12"/>
      <c r="G119" s="11"/>
      <c r="H119" s="12"/>
      <c r="I119" s="11"/>
      <c r="J119" s="12"/>
      <c r="K119" s="11"/>
      <c r="L119" s="12"/>
      <c r="M119" s="523"/>
    </row>
    <row r="120" spans="1:53" ht="30" customHeight="1">
      <c r="A120" s="1400" t="s">
        <v>4487</v>
      </c>
      <c r="B120" s="1400"/>
      <c r="C120" s="1400"/>
      <c r="D120" s="1400"/>
      <c r="E120" s="1401"/>
      <c r="F120" s="1402"/>
      <c r="G120" s="1401"/>
      <c r="H120" s="1402"/>
      <c r="I120" s="1401"/>
      <c r="J120" s="1402"/>
      <c r="K120" s="1401"/>
      <c r="L120" s="1402"/>
      <c r="M120" s="1400"/>
      <c r="N120" s="1" t="s">
        <v>150</v>
      </c>
      <c r="AZ120" t="s">
        <v>6776</v>
      </c>
    </row>
    <row r="121" spans="1:53" ht="30" customHeight="1">
      <c r="A121" s="8" t="s">
        <v>1030</v>
      </c>
      <c r="B121" s="8" t="s">
        <v>418</v>
      </c>
      <c r="C121" s="8" t="s">
        <v>419</v>
      </c>
      <c r="D121" s="1171">
        <v>0</v>
      </c>
      <c r="E121" s="11">
        <f>단가대비표!O566</f>
        <v>0</v>
      </c>
      <c r="F121" s="12">
        <f>TRUNC(E121*D121,1)</f>
        <v>0</v>
      </c>
      <c r="G121" s="11">
        <f>단가대비표!P566</f>
        <v>176436</v>
      </c>
      <c r="H121" s="12">
        <f>TRUNC(G121*D121,1)</f>
        <v>0</v>
      </c>
      <c r="I121" s="11">
        <f>단가대비표!V566</f>
        <v>0</v>
      </c>
      <c r="J121" s="12">
        <f>TRUNC(I121*D121,1)</f>
        <v>0</v>
      </c>
      <c r="K121" s="11">
        <f t="shared" ref="K121:L125" si="17">TRUNC(E121+G121+I121,1)</f>
        <v>176436</v>
      </c>
      <c r="L121" s="12">
        <f t="shared" si="17"/>
        <v>0</v>
      </c>
      <c r="M121" s="522" t="s">
        <v>51</v>
      </c>
      <c r="N121" s="2" t="s">
        <v>150</v>
      </c>
      <c r="O121" s="2" t="s">
        <v>1031</v>
      </c>
      <c r="P121" s="2" t="s">
        <v>62</v>
      </c>
      <c r="Q121" s="2" t="s">
        <v>62</v>
      </c>
      <c r="R121" s="2" t="s">
        <v>61</v>
      </c>
      <c r="S121" s="3"/>
      <c r="T121" s="3"/>
      <c r="U121" s="3"/>
      <c r="V121" s="3">
        <v>1</v>
      </c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2" t="s">
        <v>51</v>
      </c>
      <c r="AW121" s="2" t="s">
        <v>1078</v>
      </c>
      <c r="AX121" s="2" t="s">
        <v>51</v>
      </c>
      <c r="AY121" s="2" t="s">
        <v>51</v>
      </c>
      <c r="AZ121">
        <v>0.11600000000000001</v>
      </c>
    </row>
    <row r="122" spans="1:53" ht="30" customHeight="1">
      <c r="A122" s="1172" t="s">
        <v>6774</v>
      </c>
      <c r="B122" s="1172" t="s">
        <v>418</v>
      </c>
      <c r="C122" s="1172" t="s">
        <v>419</v>
      </c>
      <c r="D122" s="1171">
        <v>2.3400000000000001E-2</v>
      </c>
      <c r="E122" s="1173">
        <f>단가대비표!O607</f>
        <v>0</v>
      </c>
      <c r="F122" s="1174">
        <f>TRUNC(E122*D122,1)</f>
        <v>0</v>
      </c>
      <c r="G122" s="1173">
        <f>단가대비표!P607</f>
        <v>150052</v>
      </c>
      <c r="H122" s="1174">
        <f>TRUNC(G122*D122,1)</f>
        <v>3511.2</v>
      </c>
      <c r="I122" s="1173">
        <f>단가대비표!V607</f>
        <v>0</v>
      </c>
      <c r="J122" s="1174">
        <f>TRUNC(I122*D122,1)</f>
        <v>0</v>
      </c>
      <c r="K122" s="1173">
        <f t="shared" ref="K122" si="18">TRUNC(E122+G122+I122,1)</f>
        <v>150052</v>
      </c>
      <c r="L122" s="1174">
        <f t="shared" ref="L122" si="19">TRUNC(F122+H122+J122,1)</f>
        <v>3511.2</v>
      </c>
      <c r="M122" s="1175"/>
      <c r="N122" s="2"/>
      <c r="O122" s="2"/>
      <c r="P122" s="2"/>
      <c r="Q122" s="2"/>
      <c r="R122" s="2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2"/>
      <c r="AW122" s="2"/>
      <c r="AX122" s="2"/>
      <c r="AY122" s="2"/>
    </row>
    <row r="123" spans="1:53" ht="30" customHeight="1">
      <c r="A123" s="8" t="s">
        <v>996</v>
      </c>
      <c r="B123" s="8" t="s">
        <v>947</v>
      </c>
      <c r="C123" s="8" t="s">
        <v>419</v>
      </c>
      <c r="D123" s="1171">
        <v>9.9000000000000008E-3</v>
      </c>
      <c r="E123" s="11">
        <f>단가대비표!O556</f>
        <v>0</v>
      </c>
      <c r="F123" s="12">
        <f>TRUNC(E123*D123,1)</f>
        <v>0</v>
      </c>
      <c r="G123" s="11">
        <f>단가대비표!P556</f>
        <v>130264</v>
      </c>
      <c r="H123" s="12">
        <f>TRUNC(G123*D123,1)</f>
        <v>1289.5999999999999</v>
      </c>
      <c r="I123" s="11">
        <f>단가대비표!V556</f>
        <v>0</v>
      </c>
      <c r="J123" s="12">
        <f>TRUNC(I123*D123,1)</f>
        <v>0</v>
      </c>
      <c r="K123" s="11">
        <f t="shared" si="17"/>
        <v>130264</v>
      </c>
      <c r="L123" s="12">
        <f t="shared" si="17"/>
        <v>1289.5999999999999</v>
      </c>
      <c r="M123" s="522" t="s">
        <v>51</v>
      </c>
      <c r="N123" s="2" t="s">
        <v>150</v>
      </c>
      <c r="O123" s="2" t="s">
        <v>997</v>
      </c>
      <c r="P123" s="2" t="s">
        <v>62</v>
      </c>
      <c r="Q123" s="2" t="s">
        <v>62</v>
      </c>
      <c r="R123" s="2" t="s">
        <v>61</v>
      </c>
      <c r="S123" s="3"/>
      <c r="T123" s="3"/>
      <c r="U123" s="3"/>
      <c r="V123" s="3">
        <v>1</v>
      </c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2" t="s">
        <v>51</v>
      </c>
      <c r="AW123" s="2" t="s">
        <v>1079</v>
      </c>
      <c r="AX123" s="2" t="s">
        <v>51</v>
      </c>
      <c r="AY123" s="2" t="s">
        <v>51</v>
      </c>
      <c r="AZ123">
        <v>5.8000000000000003E-2</v>
      </c>
    </row>
    <row r="124" spans="1:53" ht="30" customHeight="1">
      <c r="A124" s="8" t="s">
        <v>1034</v>
      </c>
      <c r="B124" s="8" t="s">
        <v>6775</v>
      </c>
      <c r="C124" s="8" t="s">
        <v>82</v>
      </c>
      <c r="D124" s="9">
        <v>1</v>
      </c>
      <c r="E124" s="11">
        <f>TRUNC(SUMIF(V121:V124, RIGHTB(O124, 1), H121:H124)*U124, 2)</f>
        <v>12.89</v>
      </c>
      <c r="F124" s="12">
        <f>TRUNC(E124*D124,1)</f>
        <v>12.8</v>
      </c>
      <c r="G124" s="11">
        <v>0</v>
      </c>
      <c r="H124" s="12">
        <f>TRUNC(G124*D124,1)</f>
        <v>0</v>
      </c>
      <c r="I124" s="11">
        <v>0</v>
      </c>
      <c r="J124" s="12">
        <f>TRUNC(I124*D124,1)</f>
        <v>0</v>
      </c>
      <c r="K124" s="11">
        <f t="shared" si="17"/>
        <v>12.8</v>
      </c>
      <c r="L124" s="12">
        <f t="shared" si="17"/>
        <v>12.8</v>
      </c>
      <c r="M124" s="522" t="s">
        <v>51</v>
      </c>
      <c r="N124" s="2" t="s">
        <v>150</v>
      </c>
      <c r="O124" s="2" t="s">
        <v>1036</v>
      </c>
      <c r="P124" s="2" t="s">
        <v>62</v>
      </c>
      <c r="Q124" s="2" t="s">
        <v>62</v>
      </c>
      <c r="R124" s="2" t="s">
        <v>62</v>
      </c>
      <c r="S124" s="3">
        <v>1</v>
      </c>
      <c r="T124" s="3">
        <v>0</v>
      </c>
      <c r="U124" s="3">
        <v>0.01</v>
      </c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2" t="s">
        <v>51</v>
      </c>
      <c r="AW124" s="2" t="s">
        <v>1080</v>
      </c>
      <c r="AX124" s="2" t="s">
        <v>51</v>
      </c>
      <c r="AY124" s="2" t="s">
        <v>51</v>
      </c>
    </row>
    <row r="125" spans="1:53" ht="30" customHeight="1">
      <c r="A125" s="1172" t="s">
        <v>6762</v>
      </c>
      <c r="B125" s="1172" t="s">
        <v>6754</v>
      </c>
      <c r="C125" s="1172" t="s">
        <v>6763</v>
      </c>
      <c r="D125" s="1171">
        <v>0.23400000000000001</v>
      </c>
      <c r="E125" s="1173">
        <f>일위대가목록!$F$138</f>
        <v>0</v>
      </c>
      <c r="F125" s="1174">
        <f>TRUNC(E125*D125,1)</f>
        <v>0</v>
      </c>
      <c r="G125" s="1173">
        <f>일위대가목록!$H$138</f>
        <v>0</v>
      </c>
      <c r="H125" s="1174">
        <f>TRUNC(G125*D125,1)</f>
        <v>0</v>
      </c>
      <c r="I125" s="1173">
        <f>일위대가목록!$J$138</f>
        <v>289</v>
      </c>
      <c r="J125" s="1174">
        <f>TRUNC(I125*D125,1)</f>
        <v>67.599999999999994</v>
      </c>
      <c r="K125" s="1173">
        <f t="shared" si="17"/>
        <v>289</v>
      </c>
      <c r="L125" s="1174">
        <f t="shared" si="17"/>
        <v>67.599999999999994</v>
      </c>
      <c r="M125" s="1175"/>
      <c r="N125" s="2"/>
      <c r="O125" s="2"/>
      <c r="P125" s="2"/>
      <c r="Q125" s="2"/>
      <c r="R125" s="2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2"/>
      <c r="AW125" s="2"/>
      <c r="AX125" s="2"/>
      <c r="AY125" s="2"/>
    </row>
    <row r="126" spans="1:53" ht="30" customHeight="1">
      <c r="A126" s="8" t="s">
        <v>950</v>
      </c>
      <c r="B126" s="8" t="s">
        <v>51</v>
      </c>
      <c r="C126" s="8" t="s">
        <v>51</v>
      </c>
      <c r="D126" s="9"/>
      <c r="E126" s="11"/>
      <c r="F126" s="12">
        <f>TRUNC(SUM(F121:F125),0)</f>
        <v>12</v>
      </c>
      <c r="G126" s="11"/>
      <c r="H126" s="1220">
        <f>TRUNC(SUM(H121:H125),0)</f>
        <v>4800</v>
      </c>
      <c r="I126" s="11"/>
      <c r="J126" s="1220">
        <f>TRUNC(SUM(J121:J125),0)</f>
        <v>67</v>
      </c>
      <c r="K126" s="11"/>
      <c r="L126" s="12">
        <f>F126+H126+J126</f>
        <v>4879</v>
      </c>
      <c r="M126" s="522" t="s">
        <v>51</v>
      </c>
      <c r="N126" s="2" t="s">
        <v>86</v>
      </c>
      <c r="O126" s="2" t="s">
        <v>86</v>
      </c>
      <c r="P126" s="2" t="s">
        <v>51</v>
      </c>
      <c r="Q126" s="2" t="s">
        <v>51</v>
      </c>
      <c r="R126" s="2" t="s">
        <v>51</v>
      </c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2" t="s">
        <v>51</v>
      </c>
      <c r="AW126" s="2" t="s">
        <v>51</v>
      </c>
      <c r="AX126" s="2" t="s">
        <v>51</v>
      </c>
      <c r="AY126" s="2" t="s">
        <v>51</v>
      </c>
      <c r="AZ126" s="1170">
        <v>29422</v>
      </c>
    </row>
    <row r="127" spans="1:53" ht="30" customHeight="1">
      <c r="A127" s="9"/>
      <c r="B127" s="9"/>
      <c r="C127" s="9"/>
      <c r="D127" s="9"/>
      <c r="E127" s="11"/>
      <c r="F127" s="12"/>
      <c r="G127" s="11"/>
      <c r="H127" s="12"/>
      <c r="I127" s="11"/>
      <c r="J127" s="12"/>
      <c r="K127" s="11"/>
      <c r="L127" s="12"/>
      <c r="M127" s="523"/>
    </row>
    <row r="128" spans="1:53" ht="30" customHeight="1">
      <c r="A128" s="1400" t="s">
        <v>4488</v>
      </c>
      <c r="B128" s="1400"/>
      <c r="C128" s="1400"/>
      <c r="D128" s="1400"/>
      <c r="E128" s="1401"/>
      <c r="F128" s="1402"/>
      <c r="G128" s="1401"/>
      <c r="H128" s="1402"/>
      <c r="I128" s="1401"/>
      <c r="J128" s="1402"/>
      <c r="K128" s="1401"/>
      <c r="L128" s="1402"/>
      <c r="M128" s="1400"/>
      <c r="N128" s="1" t="s">
        <v>154</v>
      </c>
      <c r="AZ128" t="s">
        <v>6777</v>
      </c>
      <c r="BA128" t="s">
        <v>6778</v>
      </c>
    </row>
    <row r="129" spans="1:52" ht="30" customHeight="1">
      <c r="A129" s="8" t="s">
        <v>1030</v>
      </c>
      <c r="B129" s="8" t="s">
        <v>418</v>
      </c>
      <c r="C129" s="8" t="s">
        <v>419</v>
      </c>
      <c r="D129" s="1171">
        <v>0</v>
      </c>
      <c r="E129" s="11">
        <f>단가대비표!O566</f>
        <v>0</v>
      </c>
      <c r="F129" s="12">
        <f>TRUNC(E129*D129,1)</f>
        <v>0</v>
      </c>
      <c r="G129" s="11">
        <f>단가대비표!P566</f>
        <v>176436</v>
      </c>
      <c r="H129" s="12">
        <f>TRUNC(G129*D129,1)</f>
        <v>0</v>
      </c>
      <c r="I129" s="11">
        <f>단가대비표!V566</f>
        <v>0</v>
      </c>
      <c r="J129" s="12">
        <f>TRUNC(I129*D129,1)</f>
        <v>0</v>
      </c>
      <c r="K129" s="11">
        <f t="shared" ref="K129:L133" si="20">TRUNC(E129+G129+I129,1)</f>
        <v>176436</v>
      </c>
      <c r="L129" s="12">
        <f t="shared" si="20"/>
        <v>0</v>
      </c>
      <c r="M129" s="522" t="s">
        <v>51</v>
      </c>
      <c r="N129" s="2" t="s">
        <v>154</v>
      </c>
      <c r="O129" s="2" t="s">
        <v>1031</v>
      </c>
      <c r="P129" s="2" t="s">
        <v>62</v>
      </c>
      <c r="Q129" s="2" t="s">
        <v>62</v>
      </c>
      <c r="R129" s="2" t="s">
        <v>61</v>
      </c>
      <c r="S129" s="3"/>
      <c r="T129" s="3"/>
      <c r="U129" s="3"/>
      <c r="V129" s="3">
        <v>1</v>
      </c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2" t="s">
        <v>51</v>
      </c>
      <c r="AW129" s="2" t="s">
        <v>1082</v>
      </c>
      <c r="AX129" s="2" t="s">
        <v>51</v>
      </c>
      <c r="AY129" s="2" t="s">
        <v>51</v>
      </c>
      <c r="AZ129">
        <v>0.11600000000000001</v>
      </c>
    </row>
    <row r="130" spans="1:52" ht="30" customHeight="1">
      <c r="A130" s="1172" t="s">
        <v>6774</v>
      </c>
      <c r="B130" s="1172" t="s">
        <v>418</v>
      </c>
      <c r="C130" s="1172" t="s">
        <v>419</v>
      </c>
      <c r="D130" s="1171">
        <v>0.03</v>
      </c>
      <c r="E130" s="1173">
        <f>단가대비표!O607</f>
        <v>0</v>
      </c>
      <c r="F130" s="1174">
        <f>TRUNC(E130*D130,1)</f>
        <v>0</v>
      </c>
      <c r="G130" s="1173">
        <f>단가대비표!P607</f>
        <v>150052</v>
      </c>
      <c r="H130" s="1174">
        <f>TRUNC(G130*D130,1)</f>
        <v>4501.5</v>
      </c>
      <c r="I130" s="1173">
        <f>단가대비표!V607</f>
        <v>0</v>
      </c>
      <c r="J130" s="1174">
        <f>TRUNC(I130*D130,1)</f>
        <v>0</v>
      </c>
      <c r="K130" s="1173">
        <f t="shared" si="20"/>
        <v>150052</v>
      </c>
      <c r="L130" s="1174">
        <f t="shared" si="20"/>
        <v>4501.5</v>
      </c>
      <c r="M130" s="1175"/>
      <c r="N130" s="2"/>
      <c r="O130" s="2"/>
      <c r="P130" s="2"/>
      <c r="Q130" s="2"/>
      <c r="R130" s="2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2"/>
      <c r="AW130" s="2"/>
      <c r="AX130" s="2"/>
      <c r="AY130" s="2"/>
    </row>
    <row r="131" spans="1:52" ht="30" customHeight="1">
      <c r="A131" s="8" t="s">
        <v>996</v>
      </c>
      <c r="B131" s="8" t="s">
        <v>947</v>
      </c>
      <c r="C131" s="8" t="s">
        <v>419</v>
      </c>
      <c r="D131" s="1171">
        <v>0.11</v>
      </c>
      <c r="E131" s="11">
        <f>단가대비표!O556</f>
        <v>0</v>
      </c>
      <c r="F131" s="12">
        <f>TRUNC(E131*D131,1)</f>
        <v>0</v>
      </c>
      <c r="G131" s="11">
        <f>단가대비표!P556</f>
        <v>130264</v>
      </c>
      <c r="H131" s="12">
        <f>TRUNC(G131*D131,1)</f>
        <v>14329</v>
      </c>
      <c r="I131" s="11">
        <f>단가대비표!V556</f>
        <v>0</v>
      </c>
      <c r="J131" s="12">
        <f>TRUNC(I131*D131,1)</f>
        <v>0</v>
      </c>
      <c r="K131" s="11">
        <f t="shared" si="20"/>
        <v>130264</v>
      </c>
      <c r="L131" s="12">
        <f t="shared" si="20"/>
        <v>14329</v>
      </c>
      <c r="M131" s="522" t="s">
        <v>51</v>
      </c>
      <c r="N131" s="2" t="s">
        <v>154</v>
      </c>
      <c r="O131" s="2" t="s">
        <v>997</v>
      </c>
      <c r="P131" s="2" t="s">
        <v>62</v>
      </c>
      <c r="Q131" s="2" t="s">
        <v>62</v>
      </c>
      <c r="R131" s="2" t="s">
        <v>61</v>
      </c>
      <c r="S131" s="3"/>
      <c r="T131" s="3"/>
      <c r="U131" s="3"/>
      <c r="V131" s="3">
        <v>1</v>
      </c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2" t="s">
        <v>51</v>
      </c>
      <c r="AW131" s="2" t="s">
        <v>1083</v>
      </c>
      <c r="AX131" s="2" t="s">
        <v>51</v>
      </c>
      <c r="AY131" s="2" t="s">
        <v>51</v>
      </c>
      <c r="AZ131">
        <v>0.06</v>
      </c>
    </row>
    <row r="132" spans="1:52" ht="30" customHeight="1">
      <c r="A132" s="8" t="s">
        <v>1034</v>
      </c>
      <c r="B132" s="8" t="s">
        <v>1035</v>
      </c>
      <c r="C132" s="8" t="s">
        <v>82</v>
      </c>
      <c r="D132" s="1171">
        <v>0</v>
      </c>
      <c r="E132" s="11">
        <f>TRUNC(SUMIF(V129:V132, RIGHTB(O132, 1), H129:H132)*U132, 2)</f>
        <v>716.45</v>
      </c>
      <c r="F132" s="12">
        <f>TRUNC(E132*D132,1)</f>
        <v>0</v>
      </c>
      <c r="G132" s="11">
        <v>0</v>
      </c>
      <c r="H132" s="12">
        <f>TRUNC(G132*D132,1)</f>
        <v>0</v>
      </c>
      <c r="I132" s="11">
        <v>0</v>
      </c>
      <c r="J132" s="12">
        <f>TRUNC(I132*D132,1)</f>
        <v>0</v>
      </c>
      <c r="K132" s="11">
        <f t="shared" si="20"/>
        <v>716.4</v>
      </c>
      <c r="L132" s="12">
        <f t="shared" si="20"/>
        <v>0</v>
      </c>
      <c r="M132" s="522" t="s">
        <v>51</v>
      </c>
      <c r="N132" s="2" t="s">
        <v>154</v>
      </c>
      <c r="O132" s="2" t="s">
        <v>1036</v>
      </c>
      <c r="P132" s="2" t="s">
        <v>62</v>
      </c>
      <c r="Q132" s="2" t="s">
        <v>62</v>
      </c>
      <c r="R132" s="2" t="s">
        <v>62</v>
      </c>
      <c r="S132" s="3">
        <v>1</v>
      </c>
      <c r="T132" s="3">
        <v>0</v>
      </c>
      <c r="U132" s="3">
        <v>0.05</v>
      </c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2" t="s">
        <v>51</v>
      </c>
      <c r="AW132" s="2" t="s">
        <v>1084</v>
      </c>
      <c r="AX132" s="2" t="s">
        <v>51</v>
      </c>
      <c r="AY132" s="2" t="s">
        <v>51</v>
      </c>
      <c r="AZ132">
        <v>1.5</v>
      </c>
    </row>
    <row r="133" spans="1:52" ht="30" customHeight="1">
      <c r="A133" s="1172" t="s">
        <v>6762</v>
      </c>
      <c r="B133" s="1172" t="s">
        <v>6754</v>
      </c>
      <c r="C133" s="1172" t="s">
        <v>6763</v>
      </c>
      <c r="D133" s="1171">
        <v>2.5000000000000001E-2</v>
      </c>
      <c r="E133" s="1173">
        <f>일위대가목록!$F$138</f>
        <v>0</v>
      </c>
      <c r="F133" s="1174">
        <f>TRUNC(E133*D133,1)</f>
        <v>0</v>
      </c>
      <c r="G133" s="1173">
        <f>일위대가목록!$H$138</f>
        <v>0</v>
      </c>
      <c r="H133" s="1174">
        <f>TRUNC(G133*D133,1)</f>
        <v>0</v>
      </c>
      <c r="I133" s="1173">
        <f>일위대가목록!$J$138</f>
        <v>289</v>
      </c>
      <c r="J133" s="1174">
        <f>TRUNC(I133*D133,1)</f>
        <v>7.2</v>
      </c>
      <c r="K133" s="1173">
        <f t="shared" si="20"/>
        <v>289</v>
      </c>
      <c r="L133" s="1174">
        <f t="shared" si="20"/>
        <v>7.2</v>
      </c>
      <c r="M133" s="1175"/>
      <c r="N133" s="2"/>
      <c r="O133" s="2"/>
      <c r="P133" s="2"/>
      <c r="Q133" s="2"/>
      <c r="R133" s="2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2"/>
      <c r="AW133" s="2"/>
      <c r="AX133" s="2"/>
      <c r="AY133" s="2"/>
    </row>
    <row r="134" spans="1:52" ht="30" customHeight="1">
      <c r="A134" s="8" t="s">
        <v>950</v>
      </c>
      <c r="B134" s="8" t="s">
        <v>51</v>
      </c>
      <c r="C134" s="8" t="s">
        <v>51</v>
      </c>
      <c r="D134" s="9"/>
      <c r="E134" s="11"/>
      <c r="F134" s="12">
        <f>TRUNC(SUM(F129:F133),0)</f>
        <v>0</v>
      </c>
      <c r="G134" s="11"/>
      <c r="H134" s="1220">
        <f>TRUNC(SUM(H129:H133),0)</f>
        <v>18830</v>
      </c>
      <c r="I134" s="11"/>
      <c r="J134" s="1220">
        <f>TRUNC(SUM(J129:J133),0)</f>
        <v>7</v>
      </c>
      <c r="K134" s="11"/>
      <c r="L134" s="12">
        <f>F134+H134+J134</f>
        <v>18837</v>
      </c>
      <c r="M134" s="522" t="s">
        <v>51</v>
      </c>
      <c r="N134" s="2" t="s">
        <v>86</v>
      </c>
      <c r="O134" s="2" t="s">
        <v>86</v>
      </c>
      <c r="P134" s="2" t="s">
        <v>51</v>
      </c>
      <c r="Q134" s="2" t="s">
        <v>51</v>
      </c>
      <c r="R134" s="2" t="s">
        <v>51</v>
      </c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2" t="s">
        <v>51</v>
      </c>
      <c r="AW134" s="2" t="s">
        <v>51</v>
      </c>
      <c r="AX134" s="2" t="s">
        <v>51</v>
      </c>
      <c r="AY134" s="2" t="s">
        <v>51</v>
      </c>
      <c r="AZ134" s="1170">
        <v>30403</v>
      </c>
    </row>
    <row r="135" spans="1:52" ht="30" customHeight="1">
      <c r="A135" s="9"/>
      <c r="B135" s="9"/>
      <c r="C135" s="9"/>
      <c r="D135" s="9"/>
      <c r="E135" s="11"/>
      <c r="F135" s="12"/>
      <c r="G135" s="11"/>
      <c r="H135" s="12"/>
      <c r="I135" s="11"/>
      <c r="J135" s="12"/>
      <c r="K135" s="11"/>
      <c r="L135" s="12"/>
      <c r="M135" s="523"/>
    </row>
    <row r="136" spans="1:52" ht="30" customHeight="1">
      <c r="A136" s="1403" t="s">
        <v>4489</v>
      </c>
      <c r="B136" s="1403"/>
      <c r="C136" s="1403"/>
      <c r="D136" s="1403"/>
      <c r="E136" s="1404"/>
      <c r="F136" s="1405"/>
      <c r="G136" s="1404"/>
      <c r="H136" s="1405"/>
      <c r="I136" s="1404"/>
      <c r="J136" s="1405"/>
      <c r="K136" s="1404"/>
      <c r="L136" s="1405"/>
      <c r="M136" s="1403"/>
      <c r="N136" s="1" t="s">
        <v>158</v>
      </c>
    </row>
    <row r="137" spans="1:52" ht="30" customHeight="1">
      <c r="A137" s="8" t="s">
        <v>1086</v>
      </c>
      <c r="B137" s="8" t="s">
        <v>157</v>
      </c>
      <c r="C137" s="8" t="s">
        <v>59</v>
      </c>
      <c r="D137" s="9">
        <v>1</v>
      </c>
      <c r="E137" s="11">
        <f>일위대가목록!F104</f>
        <v>0</v>
      </c>
      <c r="F137" s="12">
        <f>TRUNC(E137*D137,1)</f>
        <v>0</v>
      </c>
      <c r="G137" s="11">
        <f>일위대가목록!H104</f>
        <v>3907</v>
      </c>
      <c r="H137" s="12">
        <f>TRUNC(G137*D137,1)</f>
        <v>3907</v>
      </c>
      <c r="I137" s="11">
        <f>일위대가목록!J104</f>
        <v>0</v>
      </c>
      <c r="J137" s="12">
        <f>TRUNC(I137*D137,1)</f>
        <v>0</v>
      </c>
      <c r="K137" s="11">
        <f>TRUNC(E137+G137+I137,1)</f>
        <v>3907</v>
      </c>
      <c r="L137" s="12">
        <f>TRUNC(F137+H137+J137,1)</f>
        <v>3907</v>
      </c>
      <c r="M137" s="522" t="s">
        <v>51</v>
      </c>
      <c r="N137" s="2" t="s">
        <v>158</v>
      </c>
      <c r="O137" s="2" t="s">
        <v>1087</v>
      </c>
      <c r="P137" s="2" t="s">
        <v>61</v>
      </c>
      <c r="Q137" s="2" t="s">
        <v>62</v>
      </c>
      <c r="R137" s="2" t="s">
        <v>62</v>
      </c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2" t="s">
        <v>51</v>
      </c>
      <c r="AW137" s="2" t="s">
        <v>1088</v>
      </c>
      <c r="AX137" s="2" t="s">
        <v>51</v>
      </c>
      <c r="AY137" s="2" t="s">
        <v>51</v>
      </c>
    </row>
    <row r="138" spans="1:52" ht="30" customHeight="1">
      <c r="A138" s="8" t="s">
        <v>950</v>
      </c>
      <c r="B138" s="8" t="s">
        <v>51</v>
      </c>
      <c r="C138" s="8" t="s">
        <v>51</v>
      </c>
      <c r="D138" s="9"/>
      <c r="E138" s="11"/>
      <c r="F138" s="12">
        <f>TRUNC(SUMIF(N137:N137, N136, F137:F137),0)</f>
        <v>0</v>
      </c>
      <c r="G138" s="11"/>
      <c r="H138" s="12">
        <f>TRUNC(SUMIF(N137:N137, N136, H137:H137),0)</f>
        <v>3907</v>
      </c>
      <c r="I138" s="11"/>
      <c r="J138" s="12">
        <f>TRUNC(SUMIF(N137:N137, N136, J137:J137),0)</f>
        <v>0</v>
      </c>
      <c r="K138" s="11"/>
      <c r="L138" s="12">
        <f>F138+H138+J138</f>
        <v>3907</v>
      </c>
      <c r="M138" s="522" t="s">
        <v>51</v>
      </c>
      <c r="N138" s="2" t="s">
        <v>86</v>
      </c>
      <c r="O138" s="2" t="s">
        <v>86</v>
      </c>
      <c r="P138" s="2" t="s">
        <v>51</v>
      </c>
      <c r="Q138" s="2" t="s">
        <v>51</v>
      </c>
      <c r="R138" s="2" t="s">
        <v>51</v>
      </c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2" t="s">
        <v>51</v>
      </c>
      <c r="AW138" s="2" t="s">
        <v>51</v>
      </c>
      <c r="AX138" s="2" t="s">
        <v>51</v>
      </c>
      <c r="AY138" s="2" t="s">
        <v>51</v>
      </c>
    </row>
    <row r="139" spans="1:52" ht="30" customHeight="1">
      <c r="A139" s="9"/>
      <c r="B139" s="9"/>
      <c r="C139" s="9"/>
      <c r="D139" s="9"/>
      <c r="E139" s="11"/>
      <c r="F139" s="12"/>
      <c r="G139" s="11"/>
      <c r="H139" s="12"/>
      <c r="I139" s="11"/>
      <c r="J139" s="12"/>
      <c r="K139" s="11"/>
      <c r="L139" s="12"/>
      <c r="M139" s="523"/>
    </row>
    <row r="140" spans="1:52" ht="30" customHeight="1">
      <c r="A140" s="1400" t="s">
        <v>4490</v>
      </c>
      <c r="B140" s="1400"/>
      <c r="C140" s="1400"/>
      <c r="D140" s="1400"/>
      <c r="E140" s="1401"/>
      <c r="F140" s="1402"/>
      <c r="G140" s="1401"/>
      <c r="H140" s="1402"/>
      <c r="I140" s="1401"/>
      <c r="J140" s="1402"/>
      <c r="K140" s="1401"/>
      <c r="L140" s="1402"/>
      <c r="M140" s="1400"/>
      <c r="N140" s="1" t="s">
        <v>161</v>
      </c>
      <c r="AZ140" t="s">
        <v>6832</v>
      </c>
    </row>
    <row r="141" spans="1:52" ht="30" customHeight="1">
      <c r="A141" s="8" t="s">
        <v>1039</v>
      </c>
      <c r="B141" s="8" t="s">
        <v>418</v>
      </c>
      <c r="C141" s="8" t="s">
        <v>419</v>
      </c>
      <c r="D141" s="1171">
        <v>0.01</v>
      </c>
      <c r="E141" s="11">
        <f>단가대비표!O572</f>
        <v>0</v>
      </c>
      <c r="F141" s="12">
        <f>TRUNC(E141*D141,1)</f>
        <v>0</v>
      </c>
      <c r="G141" s="11">
        <f>단가대비표!P572</f>
        <v>192305</v>
      </c>
      <c r="H141" s="12">
        <f>TRUNC(G141*D141,1)</f>
        <v>1923</v>
      </c>
      <c r="I141" s="11">
        <f>단가대비표!V572</f>
        <v>0</v>
      </c>
      <c r="J141" s="12">
        <f>TRUNC(I141*D141,1)</f>
        <v>0</v>
      </c>
      <c r="K141" s="11">
        <f t="shared" ref="K141:L143" si="21">TRUNC(E141+G141+I141,1)</f>
        <v>192305</v>
      </c>
      <c r="L141" s="12">
        <f t="shared" si="21"/>
        <v>1923</v>
      </c>
      <c r="M141" s="522" t="s">
        <v>51</v>
      </c>
      <c r="N141" s="2" t="s">
        <v>161</v>
      </c>
      <c r="O141" s="2" t="s">
        <v>1040</v>
      </c>
      <c r="P141" s="2" t="s">
        <v>62</v>
      </c>
      <c r="Q141" s="2" t="s">
        <v>62</v>
      </c>
      <c r="R141" s="2" t="s">
        <v>61</v>
      </c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2" t="s">
        <v>51</v>
      </c>
      <c r="AW141" s="2" t="s">
        <v>1090</v>
      </c>
      <c r="AX141" s="2" t="s">
        <v>51</v>
      </c>
      <c r="AY141" s="2" t="s">
        <v>51</v>
      </c>
      <c r="AZ141">
        <v>1.44E-2</v>
      </c>
    </row>
    <row r="142" spans="1:52" ht="30" customHeight="1">
      <c r="A142" s="8" t="s">
        <v>996</v>
      </c>
      <c r="B142" s="8" t="s">
        <v>947</v>
      </c>
      <c r="C142" s="8" t="s">
        <v>419</v>
      </c>
      <c r="D142" s="1171">
        <v>5.0000000000000001E-3</v>
      </c>
      <c r="E142" s="11">
        <f>단가대비표!O556</f>
        <v>0</v>
      </c>
      <c r="F142" s="12">
        <f>TRUNC(E142*D142,1)</f>
        <v>0</v>
      </c>
      <c r="G142" s="11">
        <f>단가대비표!P556</f>
        <v>130264</v>
      </c>
      <c r="H142" s="12">
        <f>TRUNC(G142*D142,1)</f>
        <v>651.29999999999995</v>
      </c>
      <c r="I142" s="11">
        <f>단가대비표!V556</f>
        <v>0</v>
      </c>
      <c r="J142" s="12">
        <f>TRUNC(I142*D142,1)</f>
        <v>0</v>
      </c>
      <c r="K142" s="11">
        <f t="shared" si="21"/>
        <v>130264</v>
      </c>
      <c r="L142" s="12">
        <f t="shared" si="21"/>
        <v>651.29999999999995</v>
      </c>
      <c r="M142" s="522" t="s">
        <v>51</v>
      </c>
      <c r="N142" s="2" t="s">
        <v>161</v>
      </c>
      <c r="O142" s="2" t="s">
        <v>997</v>
      </c>
      <c r="P142" s="2" t="s">
        <v>62</v>
      </c>
      <c r="Q142" s="2" t="s">
        <v>62</v>
      </c>
      <c r="R142" s="2" t="s">
        <v>61</v>
      </c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2" t="s">
        <v>51</v>
      </c>
      <c r="AW142" s="2" t="s">
        <v>1091</v>
      </c>
      <c r="AX142" s="2" t="s">
        <v>51</v>
      </c>
      <c r="AY142" s="2" t="s">
        <v>51</v>
      </c>
      <c r="AZ142">
        <v>7.1999999999999998E-3</v>
      </c>
    </row>
    <row r="143" spans="1:52" ht="30" customHeight="1">
      <c r="A143" s="8" t="s">
        <v>1092</v>
      </c>
      <c r="B143" s="8" t="s">
        <v>1010</v>
      </c>
      <c r="C143" s="8" t="s">
        <v>82</v>
      </c>
      <c r="D143" s="1171">
        <v>0</v>
      </c>
      <c r="E143" s="11">
        <f>단가대비표!O457</f>
        <v>181</v>
      </c>
      <c r="F143" s="12">
        <f>TRUNC(E143*D143,1)</f>
        <v>0</v>
      </c>
      <c r="G143" s="11">
        <f>단가대비표!P457</f>
        <v>0</v>
      </c>
      <c r="H143" s="12">
        <f>TRUNC(G143*D143,1)</f>
        <v>0</v>
      </c>
      <c r="I143" s="11">
        <f>단가대비표!V457</f>
        <v>0</v>
      </c>
      <c r="J143" s="12">
        <f>TRUNC(I143*D143,1)</f>
        <v>0</v>
      </c>
      <c r="K143" s="11">
        <f t="shared" si="21"/>
        <v>181</v>
      </c>
      <c r="L143" s="12">
        <f t="shared" si="21"/>
        <v>0</v>
      </c>
      <c r="M143" s="522" t="s">
        <v>51</v>
      </c>
      <c r="N143" s="2" t="s">
        <v>161</v>
      </c>
      <c r="O143" s="2" t="s">
        <v>1093</v>
      </c>
      <c r="P143" s="2" t="s">
        <v>62</v>
      </c>
      <c r="Q143" s="2" t="s">
        <v>62</v>
      </c>
      <c r="R143" s="2" t="s">
        <v>61</v>
      </c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2" t="s">
        <v>51</v>
      </c>
      <c r="AW143" s="2" t="s">
        <v>1094</v>
      </c>
      <c r="AX143" s="2" t="s">
        <v>51</v>
      </c>
      <c r="AY143" s="2" t="s">
        <v>51</v>
      </c>
      <c r="AZ143">
        <v>1</v>
      </c>
    </row>
    <row r="144" spans="1:52" ht="30" customHeight="1">
      <c r="A144" s="8" t="s">
        <v>950</v>
      </c>
      <c r="B144" s="8" t="s">
        <v>51</v>
      </c>
      <c r="C144" s="8" t="s">
        <v>51</v>
      </c>
      <c r="D144" s="9"/>
      <c r="E144" s="11"/>
      <c r="F144" s="12">
        <f>TRUNC(SUMIF(N141:N143, N140, F141:F143),0)</f>
        <v>0</v>
      </c>
      <c r="G144" s="11"/>
      <c r="H144" s="12">
        <f>TRUNC(SUMIF(N141:N143, N140, H141:H143),0)</f>
        <v>2574</v>
      </c>
      <c r="I144" s="11"/>
      <c r="J144" s="12">
        <f>TRUNC(SUMIF(N141:N143, N140, J141:J143),0)</f>
        <v>0</v>
      </c>
      <c r="K144" s="11"/>
      <c r="L144" s="12">
        <f>F144+H144+J144</f>
        <v>2574</v>
      </c>
      <c r="M144" s="522" t="s">
        <v>51</v>
      </c>
      <c r="N144" s="2" t="s">
        <v>86</v>
      </c>
      <c r="O144" s="2" t="s">
        <v>86</v>
      </c>
      <c r="P144" s="2" t="s">
        <v>51</v>
      </c>
      <c r="Q144" s="2" t="s">
        <v>51</v>
      </c>
      <c r="R144" s="2" t="s">
        <v>51</v>
      </c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2" t="s">
        <v>51</v>
      </c>
      <c r="AW144" s="2" t="s">
        <v>51</v>
      </c>
      <c r="AX144" s="2" t="s">
        <v>51</v>
      </c>
      <c r="AY144" s="2" t="s">
        <v>51</v>
      </c>
      <c r="AZ144" s="1170">
        <v>3888</v>
      </c>
    </row>
    <row r="145" spans="1:53" ht="30" customHeight="1">
      <c r="A145" s="9"/>
      <c r="B145" s="9"/>
      <c r="C145" s="9"/>
      <c r="D145" s="9"/>
      <c r="E145" s="11"/>
      <c r="F145" s="12"/>
      <c r="G145" s="11"/>
      <c r="H145" s="12"/>
      <c r="I145" s="11"/>
      <c r="J145" s="12"/>
      <c r="K145" s="11"/>
      <c r="L145" s="12"/>
      <c r="M145" s="523"/>
    </row>
    <row r="146" spans="1:53" ht="30" customHeight="1">
      <c r="A146" s="1400" t="s">
        <v>4491</v>
      </c>
      <c r="B146" s="1400"/>
      <c r="C146" s="1400"/>
      <c r="D146" s="1400"/>
      <c r="E146" s="1401"/>
      <c r="F146" s="1402"/>
      <c r="G146" s="1401"/>
      <c r="H146" s="1402"/>
      <c r="I146" s="1401"/>
      <c r="J146" s="1402"/>
      <c r="K146" s="1401"/>
      <c r="L146" s="1402"/>
      <c r="M146" s="1400"/>
      <c r="N146" s="1" t="s">
        <v>164</v>
      </c>
      <c r="AZ146" t="s">
        <v>6779</v>
      </c>
    </row>
    <row r="147" spans="1:53" ht="30" customHeight="1">
      <c r="A147" s="8" t="s">
        <v>996</v>
      </c>
      <c r="B147" s="8" t="s">
        <v>947</v>
      </c>
      <c r="C147" s="8" t="s">
        <v>419</v>
      </c>
      <c r="D147" s="1171">
        <v>0.1</v>
      </c>
      <c r="E147" s="11">
        <f>단가대비표!O556</f>
        <v>0</v>
      </c>
      <c r="F147" s="12">
        <f>TRUNC(E147*D147,1)</f>
        <v>0</v>
      </c>
      <c r="G147" s="11">
        <f>단가대비표!P556</f>
        <v>130264</v>
      </c>
      <c r="H147" s="12">
        <f>TRUNC(G147*D147,1)</f>
        <v>13026.4</v>
      </c>
      <c r="I147" s="11">
        <f>단가대비표!V556</f>
        <v>0</v>
      </c>
      <c r="J147" s="12">
        <f>TRUNC(I147*D147,1)</f>
        <v>0</v>
      </c>
      <c r="K147" s="11">
        <f t="shared" ref="K147:L149" si="22">TRUNC(E147+G147+I147,1)</f>
        <v>130264</v>
      </c>
      <c r="L147" s="12">
        <f t="shared" si="22"/>
        <v>13026.4</v>
      </c>
      <c r="M147" s="522" t="s">
        <v>51</v>
      </c>
      <c r="N147" s="2" t="s">
        <v>164</v>
      </c>
      <c r="O147" s="2" t="s">
        <v>997</v>
      </c>
      <c r="P147" s="2" t="s">
        <v>62</v>
      </c>
      <c r="Q147" s="2" t="s">
        <v>62</v>
      </c>
      <c r="R147" s="2" t="s">
        <v>61</v>
      </c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2" t="s">
        <v>51</v>
      </c>
      <c r="AW147" s="2" t="s">
        <v>1096</v>
      </c>
      <c r="AX147" s="2" t="s">
        <v>51</v>
      </c>
      <c r="AY147" s="2" t="s">
        <v>51</v>
      </c>
      <c r="AZ147">
        <v>5.7099999999999998E-2</v>
      </c>
    </row>
    <row r="148" spans="1:53" ht="30" customHeight="1">
      <c r="A148" s="8" t="s">
        <v>946</v>
      </c>
      <c r="B148" s="8" t="s">
        <v>947</v>
      </c>
      <c r="C148" s="8" t="s">
        <v>419</v>
      </c>
      <c r="D148" s="1171">
        <v>0.12</v>
      </c>
      <c r="E148" s="11">
        <f>단가대비표!O568</f>
        <v>0</v>
      </c>
      <c r="F148" s="12">
        <f>TRUNC(E148*D148,1)</f>
        <v>0</v>
      </c>
      <c r="G148" s="11">
        <f>단가대비표!P568</f>
        <v>203532</v>
      </c>
      <c r="H148" s="12">
        <f>TRUNC(G148*D148,1)</f>
        <v>24423.8</v>
      </c>
      <c r="I148" s="11">
        <f>단가대비표!V568</f>
        <v>0</v>
      </c>
      <c r="J148" s="12">
        <f>TRUNC(I148*D148,1)</f>
        <v>0</v>
      </c>
      <c r="K148" s="11">
        <f t="shared" si="22"/>
        <v>203532</v>
      </c>
      <c r="L148" s="12">
        <f t="shared" si="22"/>
        <v>24423.8</v>
      </c>
      <c r="M148" s="522" t="s">
        <v>51</v>
      </c>
      <c r="N148" s="2" t="s">
        <v>164</v>
      </c>
      <c r="O148" s="2" t="s">
        <v>948</v>
      </c>
      <c r="P148" s="2" t="s">
        <v>62</v>
      </c>
      <c r="Q148" s="2" t="s">
        <v>62</v>
      </c>
      <c r="R148" s="2" t="s">
        <v>61</v>
      </c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2" t="s">
        <v>51</v>
      </c>
      <c r="AW148" s="2" t="s">
        <v>1097</v>
      </c>
      <c r="AX148" s="2" t="s">
        <v>51</v>
      </c>
      <c r="AY148" s="2" t="s">
        <v>51</v>
      </c>
      <c r="AZ148">
        <v>0.1142</v>
      </c>
    </row>
    <row r="149" spans="1:53" ht="30" customHeight="1">
      <c r="A149" s="8" t="s">
        <v>1098</v>
      </c>
      <c r="B149" s="8" t="s">
        <v>1010</v>
      </c>
      <c r="C149" s="8" t="s">
        <v>82</v>
      </c>
      <c r="D149" s="1171">
        <v>0</v>
      </c>
      <c r="E149" s="11">
        <f>단가대비표!O458</f>
        <v>1505</v>
      </c>
      <c r="F149" s="12">
        <f>TRUNC(E149*D149,1)</f>
        <v>0</v>
      </c>
      <c r="G149" s="11">
        <f>단가대비표!P458</f>
        <v>0</v>
      </c>
      <c r="H149" s="12">
        <f>TRUNC(G149*D149,1)</f>
        <v>0</v>
      </c>
      <c r="I149" s="11">
        <f>단가대비표!V458</f>
        <v>0</v>
      </c>
      <c r="J149" s="12">
        <f>TRUNC(I149*D149,1)</f>
        <v>0</v>
      </c>
      <c r="K149" s="11">
        <f t="shared" si="22"/>
        <v>1505</v>
      </c>
      <c r="L149" s="12">
        <f t="shared" si="22"/>
        <v>0</v>
      </c>
      <c r="M149" s="522" t="s">
        <v>51</v>
      </c>
      <c r="N149" s="2" t="s">
        <v>164</v>
      </c>
      <c r="O149" s="2" t="s">
        <v>1099</v>
      </c>
      <c r="P149" s="2" t="s">
        <v>62</v>
      </c>
      <c r="Q149" s="2" t="s">
        <v>62</v>
      </c>
      <c r="R149" s="2" t="s">
        <v>61</v>
      </c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2" t="s">
        <v>51</v>
      </c>
      <c r="AW149" s="2" t="s">
        <v>1100</v>
      </c>
      <c r="AX149" s="2" t="s">
        <v>51</v>
      </c>
      <c r="AY149" s="2" t="s">
        <v>51</v>
      </c>
      <c r="AZ149">
        <v>1</v>
      </c>
    </row>
    <row r="150" spans="1:53" ht="30" customHeight="1">
      <c r="A150" s="8" t="s">
        <v>950</v>
      </c>
      <c r="B150" s="8" t="s">
        <v>51</v>
      </c>
      <c r="C150" s="8" t="s">
        <v>51</v>
      </c>
      <c r="D150" s="9"/>
      <c r="E150" s="11"/>
      <c r="F150" s="12">
        <f>TRUNC(SUMIF(N147:N149, N146, F147:F149),0)</f>
        <v>0</v>
      </c>
      <c r="G150" s="11"/>
      <c r="H150" s="12">
        <f>TRUNC(SUMIF(N147:N149, N146, H147:H149),0)</f>
        <v>37450</v>
      </c>
      <c r="I150" s="11"/>
      <c r="J150" s="12">
        <f>TRUNC(SUMIF(N147:N149, N146, J147:J149),0)</f>
        <v>0</v>
      </c>
      <c r="K150" s="11"/>
      <c r="L150" s="12">
        <f>F150+H150+J150</f>
        <v>37450</v>
      </c>
      <c r="M150" s="522" t="s">
        <v>51</v>
      </c>
      <c r="N150" s="2" t="s">
        <v>86</v>
      </c>
      <c r="O150" s="2" t="s">
        <v>86</v>
      </c>
      <c r="P150" s="2" t="s">
        <v>51</v>
      </c>
      <c r="Q150" s="2" t="s">
        <v>51</v>
      </c>
      <c r="R150" s="2" t="s">
        <v>51</v>
      </c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2" t="s">
        <v>51</v>
      </c>
      <c r="AW150" s="2" t="s">
        <v>51</v>
      </c>
      <c r="AX150" s="2" t="s">
        <v>51</v>
      </c>
      <c r="AY150" s="2" t="s">
        <v>51</v>
      </c>
      <c r="AZ150" s="1170">
        <v>32186</v>
      </c>
    </row>
    <row r="151" spans="1:53" ht="30" customHeight="1">
      <c r="A151" s="9"/>
      <c r="B151" s="9"/>
      <c r="C151" s="9"/>
      <c r="D151" s="9"/>
      <c r="E151" s="11"/>
      <c r="F151" s="12"/>
      <c r="G151" s="11"/>
      <c r="H151" s="12"/>
      <c r="I151" s="11"/>
      <c r="J151" s="12"/>
      <c r="K151" s="11"/>
      <c r="L151" s="12"/>
      <c r="M151" s="523"/>
    </row>
    <row r="152" spans="1:53" ht="30" customHeight="1">
      <c r="A152" s="1403" t="s">
        <v>4492</v>
      </c>
      <c r="B152" s="1403"/>
      <c r="C152" s="1403"/>
      <c r="D152" s="1403"/>
      <c r="E152" s="1404"/>
      <c r="F152" s="1405"/>
      <c r="G152" s="1404"/>
      <c r="H152" s="1405"/>
      <c r="I152" s="1404"/>
      <c r="J152" s="1405"/>
      <c r="K152" s="1404"/>
      <c r="L152" s="1405"/>
      <c r="M152" s="1403"/>
      <c r="N152" s="1" t="s">
        <v>167</v>
      </c>
    </row>
    <row r="153" spans="1:53" ht="30" customHeight="1">
      <c r="A153" s="8" t="s">
        <v>996</v>
      </c>
      <c r="B153" s="8" t="s">
        <v>947</v>
      </c>
      <c r="C153" s="8" t="s">
        <v>419</v>
      </c>
      <c r="D153" s="9">
        <v>5.7099999999999998E-2</v>
      </c>
      <c r="E153" s="11">
        <f>단가대비표!O556</f>
        <v>0</v>
      </c>
      <c r="F153" s="12">
        <f>TRUNC(E153*D153,1)</f>
        <v>0</v>
      </c>
      <c r="G153" s="11">
        <f>단가대비표!P556</f>
        <v>130264</v>
      </c>
      <c r="H153" s="12">
        <f>TRUNC(G153*D153,1)</f>
        <v>7438</v>
      </c>
      <c r="I153" s="11">
        <f>단가대비표!V556</f>
        <v>0</v>
      </c>
      <c r="J153" s="12">
        <f>TRUNC(I153*D153,1)</f>
        <v>0</v>
      </c>
      <c r="K153" s="11">
        <f>TRUNC(E153+G153+I153,1)</f>
        <v>130264</v>
      </c>
      <c r="L153" s="12">
        <f>TRUNC(F153+H153+J153,1)</f>
        <v>7438</v>
      </c>
      <c r="M153" s="522" t="s">
        <v>51</v>
      </c>
      <c r="N153" s="2" t="s">
        <v>167</v>
      </c>
      <c r="O153" s="2" t="s">
        <v>997</v>
      </c>
      <c r="P153" s="2" t="s">
        <v>62</v>
      </c>
      <c r="Q153" s="2" t="s">
        <v>62</v>
      </c>
      <c r="R153" s="2" t="s">
        <v>61</v>
      </c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2" t="s">
        <v>51</v>
      </c>
      <c r="AW153" s="2" t="s">
        <v>1102</v>
      </c>
      <c r="AX153" s="2" t="s">
        <v>51</v>
      </c>
      <c r="AY153" s="2" t="s">
        <v>51</v>
      </c>
    </row>
    <row r="154" spans="1:53" ht="30" customHeight="1">
      <c r="A154" s="8" t="s">
        <v>950</v>
      </c>
      <c r="B154" s="8" t="s">
        <v>51</v>
      </c>
      <c r="C154" s="8" t="s">
        <v>51</v>
      </c>
      <c r="D154" s="9"/>
      <c r="E154" s="11"/>
      <c r="F154" s="12">
        <f>TRUNC(SUMIF(N153:N153, N152, F153:F153),0)</f>
        <v>0</v>
      </c>
      <c r="G154" s="11"/>
      <c r="H154" s="12">
        <f>TRUNC(SUMIF(N153:N153, N152, H153:H153),0)</f>
        <v>7438</v>
      </c>
      <c r="I154" s="11"/>
      <c r="J154" s="12">
        <f>TRUNC(SUMIF(N153:N153, N152, J153:J153),0)</f>
        <v>0</v>
      </c>
      <c r="K154" s="11"/>
      <c r="L154" s="12">
        <f>F154+H154+J154</f>
        <v>7438</v>
      </c>
      <c r="M154" s="522" t="s">
        <v>51</v>
      </c>
      <c r="N154" s="2" t="s">
        <v>86</v>
      </c>
      <c r="O154" s="2" t="s">
        <v>86</v>
      </c>
      <c r="P154" s="2" t="s">
        <v>51</v>
      </c>
      <c r="Q154" s="2" t="s">
        <v>51</v>
      </c>
      <c r="R154" s="2" t="s">
        <v>51</v>
      </c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2" t="s">
        <v>51</v>
      </c>
      <c r="AW154" s="2" t="s">
        <v>51</v>
      </c>
      <c r="AX154" s="2" t="s">
        <v>51</v>
      </c>
      <c r="AY154" s="2" t="s">
        <v>51</v>
      </c>
    </row>
    <row r="155" spans="1:53" ht="30" customHeight="1">
      <c r="A155" s="9"/>
      <c r="B155" s="9"/>
      <c r="C155" s="9"/>
      <c r="D155" s="9"/>
      <c r="E155" s="11"/>
      <c r="F155" s="12"/>
      <c r="G155" s="11"/>
      <c r="H155" s="12"/>
      <c r="I155" s="11"/>
      <c r="J155" s="12"/>
      <c r="K155" s="11"/>
      <c r="L155" s="12"/>
      <c r="M155" s="523"/>
    </row>
    <row r="156" spans="1:53" ht="30" customHeight="1">
      <c r="A156" s="1400" t="s">
        <v>4493</v>
      </c>
      <c r="B156" s="1400"/>
      <c r="C156" s="1400"/>
      <c r="D156" s="1400"/>
      <c r="E156" s="1401"/>
      <c r="F156" s="1402"/>
      <c r="G156" s="1401"/>
      <c r="H156" s="1402"/>
      <c r="I156" s="1401"/>
      <c r="J156" s="1402"/>
      <c r="K156" s="1401"/>
      <c r="L156" s="1402"/>
      <c r="M156" s="1400"/>
      <c r="N156" s="1" t="s">
        <v>172</v>
      </c>
      <c r="AZ156" t="s">
        <v>6721</v>
      </c>
    </row>
    <row r="157" spans="1:53" ht="30" customHeight="1">
      <c r="A157" s="8" t="s">
        <v>170</v>
      </c>
      <c r="B157" s="8" t="s">
        <v>1104</v>
      </c>
      <c r="C157" s="8" t="s">
        <v>59</v>
      </c>
      <c r="D157" s="9">
        <v>1</v>
      </c>
      <c r="E157" s="11">
        <f>일위대가목록!F105</f>
        <v>734</v>
      </c>
      <c r="F157" s="12">
        <f>TRUNC(E157*D157,1)</f>
        <v>734</v>
      </c>
      <c r="G157" s="11">
        <f>일위대가목록!H105</f>
        <v>1358</v>
      </c>
      <c r="H157" s="12">
        <f>TRUNC(G157*D157,1)</f>
        <v>1358</v>
      </c>
      <c r="I157" s="11">
        <f>일위대가목록!J105</f>
        <v>122</v>
      </c>
      <c r="J157" s="12">
        <f>TRUNC(I157*D157,1)</f>
        <v>122</v>
      </c>
      <c r="K157" s="11">
        <f t="shared" ref="K157:L159" si="23">TRUNC(E157+G157+I157,1)</f>
        <v>2214</v>
      </c>
      <c r="L157" s="12">
        <f t="shared" si="23"/>
        <v>2214</v>
      </c>
      <c r="M157" s="522" t="s">
        <v>1734</v>
      </c>
      <c r="N157" s="2" t="s">
        <v>172</v>
      </c>
      <c r="O157" s="2" t="s">
        <v>1105</v>
      </c>
      <c r="P157" s="2" t="s">
        <v>61</v>
      </c>
      <c r="Q157" s="2" t="s">
        <v>62</v>
      </c>
      <c r="R157" s="2" t="s">
        <v>62</v>
      </c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2" t="s">
        <v>51</v>
      </c>
      <c r="AW157" s="2" t="s">
        <v>1106</v>
      </c>
      <c r="AX157" s="2" t="s">
        <v>51</v>
      </c>
      <c r="AY157" s="2" t="s">
        <v>51</v>
      </c>
    </row>
    <row r="158" spans="1:53" ht="30" customHeight="1">
      <c r="A158" s="1172" t="s">
        <v>6717</v>
      </c>
      <c r="B158" s="1172" t="s">
        <v>6718</v>
      </c>
      <c r="C158" s="1172" t="s">
        <v>6719</v>
      </c>
      <c r="D158" s="1171">
        <v>1</v>
      </c>
      <c r="E158" s="1173">
        <v>0</v>
      </c>
      <c r="F158" s="1174">
        <f>TRUNC(E158*D158,1)</f>
        <v>0</v>
      </c>
      <c r="G158" s="1173">
        <f>TRUNC(H157*20%,0)</f>
        <v>271</v>
      </c>
      <c r="H158" s="1174">
        <f>TRUNC(G158*D158,1)</f>
        <v>271</v>
      </c>
      <c r="I158" s="1173">
        <v>0</v>
      </c>
      <c r="J158" s="1174">
        <f>TRUNC(I158*D158,1)</f>
        <v>0</v>
      </c>
      <c r="K158" s="1173">
        <f t="shared" si="23"/>
        <v>271</v>
      </c>
      <c r="L158" s="1174">
        <f t="shared" si="23"/>
        <v>271</v>
      </c>
      <c r="M158" s="1175"/>
      <c r="N158" s="2"/>
      <c r="O158" s="2"/>
      <c r="P158" s="2"/>
      <c r="Q158" s="2"/>
      <c r="R158" s="2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2"/>
      <c r="AW158" s="2"/>
      <c r="AX158" s="2"/>
      <c r="AY158" s="2"/>
    </row>
    <row r="159" spans="1:53" ht="30" customHeight="1">
      <c r="A159" s="8" t="s">
        <v>1107</v>
      </c>
      <c r="B159" s="8" t="s">
        <v>418</v>
      </c>
      <c r="C159" s="8" t="s">
        <v>419</v>
      </c>
      <c r="D159" s="1171">
        <v>0</v>
      </c>
      <c r="E159" s="11">
        <f>단가대비표!O571</f>
        <v>0</v>
      </c>
      <c r="F159" s="12">
        <f>TRUNC(E159*D159,1)</f>
        <v>0</v>
      </c>
      <c r="G159" s="11">
        <f>단가대비표!P571</f>
        <v>188854</v>
      </c>
      <c r="H159" s="12">
        <f>TRUNC(G159*D159,1)</f>
        <v>0</v>
      </c>
      <c r="I159" s="11">
        <f>단가대비표!V571</f>
        <v>0</v>
      </c>
      <c r="J159" s="12">
        <f>TRUNC(I159*D159,1)</f>
        <v>0</v>
      </c>
      <c r="K159" s="11">
        <f t="shared" si="23"/>
        <v>188854</v>
      </c>
      <c r="L159" s="12">
        <f t="shared" si="23"/>
        <v>0</v>
      </c>
      <c r="M159" s="522" t="s">
        <v>51</v>
      </c>
      <c r="N159" s="2" t="s">
        <v>172</v>
      </c>
      <c r="O159" s="2" t="s">
        <v>1108</v>
      </c>
      <c r="P159" s="2" t="s">
        <v>62</v>
      </c>
      <c r="Q159" s="2" t="s">
        <v>62</v>
      </c>
      <c r="R159" s="2" t="s">
        <v>61</v>
      </c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2" t="s">
        <v>51</v>
      </c>
      <c r="AW159" s="2" t="s">
        <v>1109</v>
      </c>
      <c r="AX159" s="2" t="s">
        <v>51</v>
      </c>
      <c r="AY159" s="2" t="s">
        <v>51</v>
      </c>
      <c r="AZ159">
        <v>3.6999999999999998E-2</v>
      </c>
      <c r="BA159" t="s">
        <v>6720</v>
      </c>
    </row>
    <row r="160" spans="1:53" ht="30" customHeight="1">
      <c r="A160" s="8" t="s">
        <v>950</v>
      </c>
      <c r="B160" s="8" t="s">
        <v>51</v>
      </c>
      <c r="C160" s="8" t="s">
        <v>51</v>
      </c>
      <c r="D160" s="9"/>
      <c r="E160" s="11"/>
      <c r="F160" s="12">
        <f>TRUNC(SUM(F157:F159),0)</f>
        <v>734</v>
      </c>
      <c r="G160" s="11"/>
      <c r="H160" s="1167">
        <f>TRUNC(SUM(H157:H159),0)</f>
        <v>1629</v>
      </c>
      <c r="I160" s="11"/>
      <c r="J160" s="1167">
        <f>TRUNC(SUM(J157:J159),0)</f>
        <v>122</v>
      </c>
      <c r="K160" s="11"/>
      <c r="L160" s="12">
        <f>F160+H160+J160</f>
        <v>2485</v>
      </c>
      <c r="M160" s="522" t="s">
        <v>51</v>
      </c>
      <c r="N160" s="2" t="s">
        <v>86</v>
      </c>
      <c r="O160" s="2" t="s">
        <v>86</v>
      </c>
      <c r="P160" s="2" t="s">
        <v>51</v>
      </c>
      <c r="Q160" s="2" t="s">
        <v>51</v>
      </c>
      <c r="R160" s="2" t="s">
        <v>51</v>
      </c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2" t="s">
        <v>51</v>
      </c>
      <c r="AW160" s="2" t="s">
        <v>51</v>
      </c>
      <c r="AX160" s="2" t="s">
        <v>51</v>
      </c>
      <c r="AY160" s="2" t="s">
        <v>51</v>
      </c>
      <c r="AZ160" s="1170">
        <v>14709</v>
      </c>
    </row>
    <row r="161" spans="1:51" ht="30" customHeight="1">
      <c r="A161" s="9"/>
      <c r="B161" s="9"/>
      <c r="C161" s="9"/>
      <c r="D161" s="9"/>
      <c r="E161" s="11"/>
      <c r="F161" s="12"/>
      <c r="G161" s="11"/>
      <c r="H161" s="12"/>
      <c r="I161" s="11"/>
      <c r="J161" s="12"/>
      <c r="K161" s="11"/>
      <c r="L161" s="12"/>
      <c r="M161" s="523"/>
    </row>
    <row r="162" spans="1:51" ht="30" customHeight="1">
      <c r="A162" s="1403" t="s">
        <v>4494</v>
      </c>
      <c r="B162" s="1403"/>
      <c r="C162" s="1403"/>
      <c r="D162" s="1403"/>
      <c r="E162" s="1404"/>
      <c r="F162" s="1405"/>
      <c r="G162" s="1404"/>
      <c r="H162" s="1405"/>
      <c r="I162" s="1404"/>
      <c r="J162" s="1405"/>
      <c r="K162" s="1404"/>
      <c r="L162" s="1405"/>
      <c r="M162" s="1403"/>
      <c r="N162" s="1" t="s">
        <v>177</v>
      </c>
    </row>
    <row r="163" spans="1:51" ht="30" customHeight="1">
      <c r="A163" s="8" t="s">
        <v>1110</v>
      </c>
      <c r="B163" s="8" t="s">
        <v>1111</v>
      </c>
      <c r="C163" s="8" t="s">
        <v>204</v>
      </c>
      <c r="D163" s="9">
        <v>2.33</v>
      </c>
      <c r="E163" s="11">
        <f>단가대비표!O84</f>
        <v>2120</v>
      </c>
      <c r="F163" s="12">
        <f t="shared" ref="F163:F170" si="24">TRUNC(E163*D163,1)</f>
        <v>4939.6000000000004</v>
      </c>
      <c r="G163" s="11">
        <f>단가대비표!P84</f>
        <v>0</v>
      </c>
      <c r="H163" s="12">
        <f t="shared" ref="H163:H170" si="25">TRUNC(G163*D163,1)</f>
        <v>0</v>
      </c>
      <c r="I163" s="11">
        <f>단가대비표!V84</f>
        <v>0</v>
      </c>
      <c r="J163" s="12">
        <f t="shared" ref="J163:J170" si="26">TRUNC(I163*D163,1)</f>
        <v>0</v>
      </c>
      <c r="K163" s="11">
        <f t="shared" ref="K163:L170" si="27">TRUNC(E163+G163+I163,1)</f>
        <v>2120</v>
      </c>
      <c r="L163" s="12">
        <f t="shared" si="27"/>
        <v>4939.6000000000004</v>
      </c>
      <c r="M163" s="522" t="s">
        <v>51</v>
      </c>
      <c r="N163" s="2" t="s">
        <v>177</v>
      </c>
      <c r="O163" s="2" t="s">
        <v>1112</v>
      </c>
      <c r="P163" s="2" t="s">
        <v>62</v>
      </c>
      <c r="Q163" s="2" t="s">
        <v>62</v>
      </c>
      <c r="R163" s="2" t="s">
        <v>61</v>
      </c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2" t="s">
        <v>51</v>
      </c>
      <c r="AW163" s="2" t="s">
        <v>1113</v>
      </c>
      <c r="AX163" s="2" t="s">
        <v>51</v>
      </c>
      <c r="AY163" s="2" t="s">
        <v>51</v>
      </c>
    </row>
    <row r="164" spans="1:51" ht="30" customHeight="1">
      <c r="A164" s="8" t="s">
        <v>1114</v>
      </c>
      <c r="B164" s="8" t="s">
        <v>1115</v>
      </c>
      <c r="C164" s="8" t="s">
        <v>204</v>
      </c>
      <c r="D164" s="9">
        <v>0.68</v>
      </c>
      <c r="E164" s="11">
        <f>단가대비표!O60</f>
        <v>1960</v>
      </c>
      <c r="F164" s="12">
        <f t="shared" si="24"/>
        <v>1332.8</v>
      </c>
      <c r="G164" s="11">
        <f>단가대비표!P60</f>
        <v>0</v>
      </c>
      <c r="H164" s="12">
        <f t="shared" si="25"/>
        <v>0</v>
      </c>
      <c r="I164" s="11">
        <f>단가대비표!V60</f>
        <v>0</v>
      </c>
      <c r="J164" s="12">
        <f t="shared" si="26"/>
        <v>0</v>
      </c>
      <c r="K164" s="11">
        <f t="shared" si="27"/>
        <v>1960</v>
      </c>
      <c r="L164" s="12">
        <f t="shared" si="27"/>
        <v>1332.8</v>
      </c>
      <c r="M164" s="522" t="s">
        <v>51</v>
      </c>
      <c r="N164" s="2" t="s">
        <v>177</v>
      </c>
      <c r="O164" s="2" t="s">
        <v>1116</v>
      </c>
      <c r="P164" s="2" t="s">
        <v>62</v>
      </c>
      <c r="Q164" s="2" t="s">
        <v>62</v>
      </c>
      <c r="R164" s="2" t="s">
        <v>61</v>
      </c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2" t="s">
        <v>51</v>
      </c>
      <c r="AW164" s="2" t="s">
        <v>1117</v>
      </c>
      <c r="AX164" s="2" t="s">
        <v>51</v>
      </c>
      <c r="AY164" s="2" t="s">
        <v>51</v>
      </c>
    </row>
    <row r="165" spans="1:51" ht="30" customHeight="1">
      <c r="A165" s="8" t="s">
        <v>1118</v>
      </c>
      <c r="B165" s="8" t="s">
        <v>1119</v>
      </c>
      <c r="C165" s="8" t="s">
        <v>140</v>
      </c>
      <c r="D165" s="9">
        <v>27</v>
      </c>
      <c r="E165" s="11">
        <f>단가대비표!O475</f>
        <v>6.3</v>
      </c>
      <c r="F165" s="12">
        <f t="shared" si="24"/>
        <v>170.1</v>
      </c>
      <c r="G165" s="11">
        <f>단가대비표!P475</f>
        <v>0</v>
      </c>
      <c r="H165" s="12">
        <f t="shared" si="25"/>
        <v>0</v>
      </c>
      <c r="I165" s="11">
        <f>단가대비표!V475</f>
        <v>0</v>
      </c>
      <c r="J165" s="12">
        <f t="shared" si="26"/>
        <v>0</v>
      </c>
      <c r="K165" s="11">
        <f t="shared" si="27"/>
        <v>6.3</v>
      </c>
      <c r="L165" s="12">
        <f t="shared" si="27"/>
        <v>170.1</v>
      </c>
      <c r="M165" s="522" t="s">
        <v>51</v>
      </c>
      <c r="N165" s="2" t="s">
        <v>177</v>
      </c>
      <c r="O165" s="2" t="s">
        <v>1120</v>
      </c>
      <c r="P165" s="2" t="s">
        <v>62</v>
      </c>
      <c r="Q165" s="2" t="s">
        <v>62</v>
      </c>
      <c r="R165" s="2" t="s">
        <v>61</v>
      </c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2" t="s">
        <v>51</v>
      </c>
      <c r="AW165" s="2" t="s">
        <v>1121</v>
      </c>
      <c r="AX165" s="2" t="s">
        <v>51</v>
      </c>
      <c r="AY165" s="2" t="s">
        <v>51</v>
      </c>
    </row>
    <row r="166" spans="1:51" ht="30" customHeight="1">
      <c r="A166" s="8" t="s">
        <v>1122</v>
      </c>
      <c r="B166" s="8" t="s">
        <v>1123</v>
      </c>
      <c r="C166" s="8" t="s">
        <v>398</v>
      </c>
      <c r="D166" s="9">
        <v>9</v>
      </c>
      <c r="E166" s="11">
        <f>단가대비표!O477</f>
        <v>250</v>
      </c>
      <c r="F166" s="12">
        <f t="shared" si="24"/>
        <v>2250</v>
      </c>
      <c r="G166" s="11">
        <f>단가대비표!P477</f>
        <v>0</v>
      </c>
      <c r="H166" s="12">
        <f t="shared" si="25"/>
        <v>0</v>
      </c>
      <c r="I166" s="11">
        <f>단가대비표!V477</f>
        <v>0</v>
      </c>
      <c r="J166" s="12">
        <f t="shared" si="26"/>
        <v>0</v>
      </c>
      <c r="K166" s="11">
        <f t="shared" si="27"/>
        <v>250</v>
      </c>
      <c r="L166" s="12">
        <f t="shared" si="27"/>
        <v>2250</v>
      </c>
      <c r="M166" s="522" t="s">
        <v>51</v>
      </c>
      <c r="N166" s="2" t="s">
        <v>177</v>
      </c>
      <c r="O166" s="2" t="s">
        <v>1124</v>
      </c>
      <c r="P166" s="2" t="s">
        <v>62</v>
      </c>
      <c r="Q166" s="2" t="s">
        <v>62</v>
      </c>
      <c r="R166" s="2" t="s">
        <v>61</v>
      </c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2" t="s">
        <v>51</v>
      </c>
      <c r="AW166" s="2" t="s">
        <v>1125</v>
      </c>
      <c r="AX166" s="2" t="s">
        <v>51</v>
      </c>
      <c r="AY166" s="2" t="s">
        <v>51</v>
      </c>
    </row>
    <row r="167" spans="1:51" ht="30" customHeight="1">
      <c r="A167" s="8" t="s">
        <v>1126</v>
      </c>
      <c r="B167" s="8" t="s">
        <v>1127</v>
      </c>
      <c r="C167" s="8" t="s">
        <v>993</v>
      </c>
      <c r="D167" s="9">
        <v>0.18</v>
      </c>
      <c r="E167" s="11">
        <f>단가대비표!O44</f>
        <v>3020</v>
      </c>
      <c r="F167" s="12">
        <f t="shared" si="24"/>
        <v>543.6</v>
      </c>
      <c r="G167" s="11">
        <f>단가대비표!P44</f>
        <v>0</v>
      </c>
      <c r="H167" s="12">
        <f t="shared" si="25"/>
        <v>0</v>
      </c>
      <c r="I167" s="11">
        <f>단가대비표!V44</f>
        <v>0</v>
      </c>
      <c r="J167" s="12">
        <f t="shared" si="26"/>
        <v>0</v>
      </c>
      <c r="K167" s="11">
        <f t="shared" si="27"/>
        <v>3020</v>
      </c>
      <c r="L167" s="12">
        <f t="shared" si="27"/>
        <v>543.6</v>
      </c>
      <c r="M167" s="522" t="s">
        <v>51</v>
      </c>
      <c r="N167" s="2" t="s">
        <v>177</v>
      </c>
      <c r="O167" s="2" t="s">
        <v>1128</v>
      </c>
      <c r="P167" s="2" t="s">
        <v>62</v>
      </c>
      <c r="Q167" s="2" t="s">
        <v>62</v>
      </c>
      <c r="R167" s="2" t="s">
        <v>61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2" t="s">
        <v>51</v>
      </c>
      <c r="AW167" s="2" t="s">
        <v>1129</v>
      </c>
      <c r="AX167" s="2" t="s">
        <v>51</v>
      </c>
      <c r="AY167" s="2" t="s">
        <v>51</v>
      </c>
    </row>
    <row r="168" spans="1:51" ht="30" customHeight="1">
      <c r="A168" s="8" t="s">
        <v>1130</v>
      </c>
      <c r="B168" s="8" t="s">
        <v>947</v>
      </c>
      <c r="C168" s="8" t="s">
        <v>419</v>
      </c>
      <c r="D168" s="9">
        <v>0.1125</v>
      </c>
      <c r="E168" s="11">
        <f>단가대비표!O557</f>
        <v>0</v>
      </c>
      <c r="F168" s="12">
        <f t="shared" si="24"/>
        <v>0</v>
      </c>
      <c r="G168" s="11">
        <f>단가대비표!P557</f>
        <v>155599</v>
      </c>
      <c r="H168" s="12">
        <f t="shared" si="25"/>
        <v>17504.8</v>
      </c>
      <c r="I168" s="11">
        <f>단가대비표!V557</f>
        <v>0</v>
      </c>
      <c r="J168" s="12">
        <f t="shared" si="26"/>
        <v>0</v>
      </c>
      <c r="K168" s="11">
        <f t="shared" si="27"/>
        <v>155599</v>
      </c>
      <c r="L168" s="12">
        <f t="shared" si="27"/>
        <v>17504.8</v>
      </c>
      <c r="M168" s="522" t="s">
        <v>51</v>
      </c>
      <c r="N168" s="2" t="s">
        <v>177</v>
      </c>
      <c r="O168" s="2" t="s">
        <v>1131</v>
      </c>
      <c r="P168" s="2" t="s">
        <v>62</v>
      </c>
      <c r="Q168" s="2" t="s">
        <v>62</v>
      </c>
      <c r="R168" s="2" t="s">
        <v>61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2" t="s">
        <v>51</v>
      </c>
      <c r="AW168" s="2" t="s">
        <v>1132</v>
      </c>
      <c r="AX168" s="2" t="s">
        <v>51</v>
      </c>
      <c r="AY168" s="2" t="s">
        <v>51</v>
      </c>
    </row>
    <row r="169" spans="1:51" ht="30" customHeight="1">
      <c r="A169" s="8" t="s">
        <v>996</v>
      </c>
      <c r="B169" s="8" t="s">
        <v>947</v>
      </c>
      <c r="C169" s="8" t="s">
        <v>419</v>
      </c>
      <c r="D169" s="9">
        <v>6.08E-2</v>
      </c>
      <c r="E169" s="11">
        <f>단가대비표!O556</f>
        <v>0</v>
      </c>
      <c r="F169" s="12">
        <f t="shared" si="24"/>
        <v>0</v>
      </c>
      <c r="G169" s="11">
        <f>단가대비표!P556</f>
        <v>130264</v>
      </c>
      <c r="H169" s="12">
        <f t="shared" si="25"/>
        <v>7920</v>
      </c>
      <c r="I169" s="11">
        <f>단가대비표!V556</f>
        <v>0</v>
      </c>
      <c r="J169" s="12">
        <f t="shared" si="26"/>
        <v>0</v>
      </c>
      <c r="K169" s="11">
        <f t="shared" si="27"/>
        <v>130264</v>
      </c>
      <c r="L169" s="12">
        <f t="shared" si="27"/>
        <v>7920</v>
      </c>
      <c r="M169" s="522" t="s">
        <v>51</v>
      </c>
      <c r="N169" s="2" t="s">
        <v>177</v>
      </c>
      <c r="O169" s="2" t="s">
        <v>997</v>
      </c>
      <c r="P169" s="2" t="s">
        <v>62</v>
      </c>
      <c r="Q169" s="2" t="s">
        <v>62</v>
      </c>
      <c r="R169" s="2" t="s">
        <v>61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2" t="s">
        <v>51</v>
      </c>
      <c r="AW169" s="2" t="s">
        <v>1133</v>
      </c>
      <c r="AX169" s="2" t="s">
        <v>51</v>
      </c>
      <c r="AY169" s="2" t="s">
        <v>51</v>
      </c>
    </row>
    <row r="170" spans="1:51" ht="30" customHeight="1">
      <c r="A170" s="8" t="s">
        <v>1134</v>
      </c>
      <c r="B170" s="8" t="s">
        <v>1135</v>
      </c>
      <c r="C170" s="8" t="s">
        <v>82</v>
      </c>
      <c r="D170" s="9">
        <v>1</v>
      </c>
      <c r="E170" s="11">
        <f>단가대비표!O461</f>
        <v>741</v>
      </c>
      <c r="F170" s="12">
        <f t="shared" si="24"/>
        <v>741</v>
      </c>
      <c r="G170" s="11">
        <f>단가대비표!P461</f>
        <v>0</v>
      </c>
      <c r="H170" s="12">
        <f t="shared" si="25"/>
        <v>0</v>
      </c>
      <c r="I170" s="11">
        <f>단가대비표!V461</f>
        <v>0</v>
      </c>
      <c r="J170" s="12">
        <f t="shared" si="26"/>
        <v>0</v>
      </c>
      <c r="K170" s="11">
        <f t="shared" si="27"/>
        <v>741</v>
      </c>
      <c r="L170" s="12">
        <f t="shared" si="27"/>
        <v>741</v>
      </c>
      <c r="M170" s="522" t="s">
        <v>51</v>
      </c>
      <c r="N170" s="2" t="s">
        <v>177</v>
      </c>
      <c r="O170" s="2" t="s">
        <v>1136</v>
      </c>
      <c r="P170" s="2" t="s">
        <v>62</v>
      </c>
      <c r="Q170" s="2" t="s">
        <v>62</v>
      </c>
      <c r="R170" s="2" t="s">
        <v>61</v>
      </c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2" t="s">
        <v>51</v>
      </c>
      <c r="AW170" s="2" t="s">
        <v>1137</v>
      </c>
      <c r="AX170" s="2" t="s">
        <v>51</v>
      </c>
      <c r="AY170" s="2" t="s">
        <v>51</v>
      </c>
    </row>
    <row r="171" spans="1:51" ht="30" customHeight="1">
      <c r="A171" s="8" t="s">
        <v>950</v>
      </c>
      <c r="B171" s="8" t="s">
        <v>51</v>
      </c>
      <c r="C171" s="8" t="s">
        <v>51</v>
      </c>
      <c r="D171" s="9"/>
      <c r="E171" s="11"/>
      <c r="F171" s="12">
        <f>TRUNC(SUMIF(N163:N170, N162, F163:F170),0)</f>
        <v>9977</v>
      </c>
      <c r="G171" s="11"/>
      <c r="H171" s="12">
        <f>TRUNC(SUMIF(N163:N170, N162, H163:H170),0)</f>
        <v>25424</v>
      </c>
      <c r="I171" s="11"/>
      <c r="J171" s="12">
        <f>TRUNC(SUMIF(N163:N170, N162, J163:J170),0)</f>
        <v>0</v>
      </c>
      <c r="K171" s="11"/>
      <c r="L171" s="12">
        <f>F171+H171+J171</f>
        <v>35401</v>
      </c>
      <c r="M171" s="522" t="s">
        <v>51</v>
      </c>
      <c r="N171" s="2" t="s">
        <v>86</v>
      </c>
      <c r="O171" s="2" t="s">
        <v>86</v>
      </c>
      <c r="P171" s="2" t="s">
        <v>51</v>
      </c>
      <c r="Q171" s="2" t="s">
        <v>51</v>
      </c>
      <c r="R171" s="2" t="s">
        <v>51</v>
      </c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2" t="s">
        <v>51</v>
      </c>
      <c r="AW171" s="2" t="s">
        <v>51</v>
      </c>
      <c r="AX171" s="2" t="s">
        <v>51</v>
      </c>
      <c r="AY171" s="2" t="s">
        <v>51</v>
      </c>
    </row>
    <row r="172" spans="1:51" ht="30" customHeight="1">
      <c r="A172" s="9"/>
      <c r="B172" s="9"/>
      <c r="C172" s="9"/>
      <c r="D172" s="9"/>
      <c r="E172" s="11"/>
      <c r="F172" s="12"/>
      <c r="G172" s="11"/>
      <c r="H172" s="12"/>
      <c r="I172" s="11"/>
      <c r="J172" s="12"/>
      <c r="K172" s="11"/>
      <c r="L172" s="12"/>
      <c r="M172" s="523"/>
    </row>
    <row r="173" spans="1:51" ht="30" customHeight="1">
      <c r="A173" s="1403" t="s">
        <v>4495</v>
      </c>
      <c r="B173" s="1403"/>
      <c r="C173" s="1403"/>
      <c r="D173" s="1403"/>
      <c r="E173" s="1404"/>
      <c r="F173" s="1405"/>
      <c r="G173" s="1404"/>
      <c r="H173" s="1405"/>
      <c r="I173" s="1404"/>
      <c r="J173" s="1405"/>
      <c r="K173" s="1404"/>
      <c r="L173" s="1405"/>
      <c r="M173" s="1403"/>
      <c r="N173" s="1" t="s">
        <v>181</v>
      </c>
    </row>
    <row r="174" spans="1:51" ht="30" customHeight="1">
      <c r="A174" s="8" t="s">
        <v>1139</v>
      </c>
      <c r="B174" s="8" t="s">
        <v>1140</v>
      </c>
      <c r="C174" s="8" t="s">
        <v>59</v>
      </c>
      <c r="D174" s="9">
        <v>0.08</v>
      </c>
      <c r="E174" s="11">
        <f>단가대비표!O62</f>
        <v>45000</v>
      </c>
      <c r="F174" s="12">
        <f>TRUNC(E174*D174,1)</f>
        <v>3600</v>
      </c>
      <c r="G174" s="11">
        <f>단가대비표!P62</f>
        <v>0</v>
      </c>
      <c r="H174" s="12">
        <f>TRUNC(G174*D174,1)</f>
        <v>0</v>
      </c>
      <c r="I174" s="11">
        <f>단가대비표!V62</f>
        <v>0</v>
      </c>
      <c r="J174" s="12">
        <f>TRUNC(I174*D174,1)</f>
        <v>0</v>
      </c>
      <c r="K174" s="11">
        <f>TRUNC(E174+G174+I174,1)</f>
        <v>45000</v>
      </c>
      <c r="L174" s="12">
        <f>TRUNC(F174+H174+J174,1)</f>
        <v>3600</v>
      </c>
      <c r="M174" s="522" t="s">
        <v>51</v>
      </c>
      <c r="N174" s="2" t="s">
        <v>181</v>
      </c>
      <c r="O174" s="2" t="s">
        <v>1141</v>
      </c>
      <c r="P174" s="2" t="s">
        <v>62</v>
      </c>
      <c r="Q174" s="2" t="s">
        <v>62</v>
      </c>
      <c r="R174" s="2" t="s">
        <v>61</v>
      </c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2" t="s">
        <v>51</v>
      </c>
      <c r="AW174" s="2" t="s">
        <v>1142</v>
      </c>
      <c r="AX174" s="2" t="s">
        <v>51</v>
      </c>
      <c r="AY174" s="2" t="s">
        <v>51</v>
      </c>
    </row>
    <row r="175" spans="1:51" ht="30" customHeight="1">
      <c r="A175" s="8" t="s">
        <v>1143</v>
      </c>
      <c r="B175" s="8" t="s">
        <v>1144</v>
      </c>
      <c r="C175" s="8" t="s">
        <v>59</v>
      </c>
      <c r="D175" s="9">
        <v>1</v>
      </c>
      <c r="E175" s="11">
        <f>일위대가목록!F106</f>
        <v>0</v>
      </c>
      <c r="F175" s="12">
        <f>TRUNC(E175*D175,1)</f>
        <v>0</v>
      </c>
      <c r="G175" s="11">
        <f>일위대가목록!H106</f>
        <v>5393</v>
      </c>
      <c r="H175" s="12">
        <f>TRUNC(G175*D175,1)</f>
        <v>5393</v>
      </c>
      <c r="I175" s="11">
        <f>일위대가목록!J106</f>
        <v>0</v>
      </c>
      <c r="J175" s="12">
        <f>TRUNC(I175*D175,1)</f>
        <v>0</v>
      </c>
      <c r="K175" s="11">
        <f>TRUNC(E175+G175+I175,1)</f>
        <v>5393</v>
      </c>
      <c r="L175" s="12">
        <f>TRUNC(F175+H175+J175,1)</f>
        <v>5393</v>
      </c>
      <c r="M175" s="522" t="s">
        <v>1739</v>
      </c>
      <c r="N175" s="2" t="s">
        <v>181</v>
      </c>
      <c r="O175" s="2" t="s">
        <v>1145</v>
      </c>
      <c r="P175" s="2" t="s">
        <v>61</v>
      </c>
      <c r="Q175" s="2" t="s">
        <v>62</v>
      </c>
      <c r="R175" s="2" t="s">
        <v>62</v>
      </c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2" t="s">
        <v>51</v>
      </c>
      <c r="AW175" s="2" t="s">
        <v>1146</v>
      </c>
      <c r="AX175" s="2" t="s">
        <v>51</v>
      </c>
      <c r="AY175" s="2" t="s">
        <v>51</v>
      </c>
    </row>
    <row r="176" spans="1:51" ht="30" customHeight="1">
      <c r="A176" s="8" t="s">
        <v>950</v>
      </c>
      <c r="B176" s="8" t="s">
        <v>51</v>
      </c>
      <c r="C176" s="8" t="s">
        <v>51</v>
      </c>
      <c r="D176" s="9"/>
      <c r="E176" s="11"/>
      <c r="F176" s="12">
        <f>TRUNC(SUMIF(N174:N175, N173, F174:F175),0)</f>
        <v>3600</v>
      </c>
      <c r="G176" s="11"/>
      <c r="H176" s="12">
        <f>TRUNC(SUMIF(N174:N175, N173, H174:H175),0)</f>
        <v>5393</v>
      </c>
      <c r="I176" s="11"/>
      <c r="J176" s="12">
        <f>TRUNC(SUMIF(N174:N175, N173, J174:J175),0)</f>
        <v>0</v>
      </c>
      <c r="K176" s="11"/>
      <c r="L176" s="12">
        <f>F176+H176+J176</f>
        <v>8993</v>
      </c>
      <c r="M176" s="522" t="s">
        <v>51</v>
      </c>
      <c r="N176" s="2" t="s">
        <v>86</v>
      </c>
      <c r="O176" s="2" t="s">
        <v>86</v>
      </c>
      <c r="P176" s="2" t="s">
        <v>51</v>
      </c>
      <c r="Q176" s="2" t="s">
        <v>51</v>
      </c>
      <c r="R176" s="2" t="s">
        <v>51</v>
      </c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2" t="s">
        <v>51</v>
      </c>
      <c r="AW176" s="2" t="s">
        <v>51</v>
      </c>
      <c r="AX176" s="2" t="s">
        <v>51</v>
      </c>
      <c r="AY176" s="2" t="s">
        <v>51</v>
      </c>
    </row>
    <row r="177" spans="1:52" ht="30" customHeight="1">
      <c r="A177" s="9"/>
      <c r="B177" s="9"/>
      <c r="C177" s="9"/>
      <c r="D177" s="9"/>
      <c r="E177" s="11"/>
      <c r="F177" s="12"/>
      <c r="G177" s="11"/>
      <c r="H177" s="12"/>
      <c r="I177" s="11"/>
      <c r="J177" s="12"/>
      <c r="K177" s="11"/>
      <c r="L177" s="12"/>
      <c r="M177" s="523"/>
    </row>
    <row r="178" spans="1:52" ht="30" customHeight="1">
      <c r="A178" s="1403" t="s">
        <v>4496</v>
      </c>
      <c r="B178" s="1403"/>
      <c r="C178" s="1403"/>
      <c r="D178" s="1403"/>
      <c r="E178" s="1404"/>
      <c r="F178" s="1405"/>
      <c r="G178" s="1404"/>
      <c r="H178" s="1405"/>
      <c r="I178" s="1404"/>
      <c r="J178" s="1405"/>
      <c r="K178" s="1404"/>
      <c r="L178" s="1405"/>
      <c r="M178" s="1403"/>
      <c r="N178" s="1" t="s">
        <v>184</v>
      </c>
    </row>
    <row r="179" spans="1:52" ht="30" customHeight="1">
      <c r="A179" s="8" t="s">
        <v>185</v>
      </c>
      <c r="B179" s="8" t="s">
        <v>1148</v>
      </c>
      <c r="C179" s="8" t="s">
        <v>59</v>
      </c>
      <c r="D179" s="9">
        <v>1.05</v>
      </c>
      <c r="E179" s="11">
        <f>단가대비표!O67</f>
        <v>3337</v>
      </c>
      <c r="F179" s="12">
        <f>TRUNC(E179*D179,1)</f>
        <v>3503.8</v>
      </c>
      <c r="G179" s="11">
        <f>단가대비표!P67</f>
        <v>0</v>
      </c>
      <c r="H179" s="12">
        <f>TRUNC(G179*D179,1)</f>
        <v>0</v>
      </c>
      <c r="I179" s="11">
        <f>단가대비표!V67</f>
        <v>0</v>
      </c>
      <c r="J179" s="12">
        <f>TRUNC(I179*D179,1)</f>
        <v>0</v>
      </c>
      <c r="K179" s="11">
        <f t="shared" ref="K179:L181" si="28">TRUNC(E179+G179+I179,1)</f>
        <v>3337</v>
      </c>
      <c r="L179" s="12">
        <f t="shared" si="28"/>
        <v>3503.8</v>
      </c>
      <c r="M179" s="522" t="s">
        <v>51</v>
      </c>
      <c r="N179" s="2" t="s">
        <v>184</v>
      </c>
      <c r="O179" s="2" t="s">
        <v>1149</v>
      </c>
      <c r="P179" s="2" t="s">
        <v>62</v>
      </c>
      <c r="Q179" s="2" t="s">
        <v>62</v>
      </c>
      <c r="R179" s="2" t="s">
        <v>61</v>
      </c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2" t="s">
        <v>51</v>
      </c>
      <c r="AW179" s="2" t="s">
        <v>1150</v>
      </c>
      <c r="AX179" s="2" t="s">
        <v>51</v>
      </c>
      <c r="AY179" s="2" t="s">
        <v>51</v>
      </c>
    </row>
    <row r="180" spans="1:52" ht="30" customHeight="1">
      <c r="A180" s="8" t="s">
        <v>1118</v>
      </c>
      <c r="B180" s="8" t="s">
        <v>1151</v>
      </c>
      <c r="C180" s="8" t="s">
        <v>993</v>
      </c>
      <c r="D180" s="9">
        <v>3.5000000000000003E-2</v>
      </c>
      <c r="E180" s="11">
        <f>단가대비표!O474</f>
        <v>1105</v>
      </c>
      <c r="F180" s="12">
        <f>TRUNC(E180*D180,1)</f>
        <v>38.6</v>
      </c>
      <c r="G180" s="11">
        <f>단가대비표!P474</f>
        <v>0</v>
      </c>
      <c r="H180" s="12">
        <f>TRUNC(G180*D180,1)</f>
        <v>0</v>
      </c>
      <c r="I180" s="11">
        <f>단가대비표!V474</f>
        <v>0</v>
      </c>
      <c r="J180" s="12">
        <f>TRUNC(I180*D180,1)</f>
        <v>0</v>
      </c>
      <c r="K180" s="11">
        <f t="shared" si="28"/>
        <v>1105</v>
      </c>
      <c r="L180" s="12">
        <f t="shared" si="28"/>
        <v>38.6</v>
      </c>
      <c r="M180" s="522" t="s">
        <v>51</v>
      </c>
      <c r="N180" s="2" t="s">
        <v>184</v>
      </c>
      <c r="O180" s="2" t="s">
        <v>1152</v>
      </c>
      <c r="P180" s="2" t="s">
        <v>62</v>
      </c>
      <c r="Q180" s="2" t="s">
        <v>62</v>
      </c>
      <c r="R180" s="2" t="s">
        <v>61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2" t="s">
        <v>51</v>
      </c>
      <c r="AW180" s="2" t="s">
        <v>1153</v>
      </c>
      <c r="AX180" s="2" t="s">
        <v>51</v>
      </c>
      <c r="AY180" s="2" t="s">
        <v>51</v>
      </c>
    </row>
    <row r="181" spans="1:52" ht="30" customHeight="1">
      <c r="A181" s="8" t="s">
        <v>3218</v>
      </c>
      <c r="B181" s="8" t="s">
        <v>947</v>
      </c>
      <c r="C181" s="8" t="s">
        <v>419</v>
      </c>
      <c r="D181" s="133">
        <v>4.65E-2</v>
      </c>
      <c r="E181" s="11">
        <f>단가대비표!O568</f>
        <v>0</v>
      </c>
      <c r="F181" s="12">
        <f>TRUNC(E181*D181,1)</f>
        <v>0</v>
      </c>
      <c r="G181" s="11">
        <f>단가대비표!P557</f>
        <v>155599</v>
      </c>
      <c r="H181" s="12">
        <f>TRUNC(G181*D181,1)</f>
        <v>7235.3</v>
      </c>
      <c r="I181" s="11">
        <f>단가대비표!V568</f>
        <v>0</v>
      </c>
      <c r="J181" s="12">
        <f>TRUNC(I181*D181,1)</f>
        <v>0</v>
      </c>
      <c r="K181" s="11">
        <f t="shared" si="28"/>
        <v>155599</v>
      </c>
      <c r="L181" s="12">
        <f t="shared" si="28"/>
        <v>7235.3</v>
      </c>
      <c r="M181" s="522" t="s">
        <v>51</v>
      </c>
      <c r="N181" s="2" t="s">
        <v>184</v>
      </c>
      <c r="O181" s="2" t="s">
        <v>948</v>
      </c>
      <c r="P181" s="2" t="s">
        <v>62</v>
      </c>
      <c r="Q181" s="2" t="s">
        <v>62</v>
      </c>
      <c r="R181" s="2" t="s">
        <v>61</v>
      </c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2" t="s">
        <v>51</v>
      </c>
      <c r="AW181" s="2" t="s">
        <v>1154</v>
      </c>
      <c r="AX181" s="2" t="s">
        <v>51</v>
      </c>
      <c r="AY181" s="2" t="s">
        <v>51</v>
      </c>
    </row>
    <row r="182" spans="1:52" ht="30" customHeight="1">
      <c r="A182" s="8" t="s">
        <v>950</v>
      </c>
      <c r="B182" s="8" t="s">
        <v>51</v>
      </c>
      <c r="C182" s="8" t="s">
        <v>51</v>
      </c>
      <c r="D182" s="9"/>
      <c r="E182" s="11"/>
      <c r="F182" s="12">
        <f>TRUNC(SUMIF(N179:N181, N178, F179:F181),0)</f>
        <v>3542</v>
      </c>
      <c r="G182" s="11"/>
      <c r="H182" s="12">
        <f>TRUNC(SUMIF(N179:N181, N178, H179:H181),0)</f>
        <v>7235</v>
      </c>
      <c r="I182" s="11"/>
      <c r="J182" s="12">
        <f>TRUNC(SUMIF(N179:N181, N178, J179:J181),0)</f>
        <v>0</v>
      </c>
      <c r="K182" s="11"/>
      <c r="L182" s="12">
        <f>F182+H182+J182</f>
        <v>10777</v>
      </c>
      <c r="M182" s="522" t="s">
        <v>51</v>
      </c>
      <c r="N182" s="2" t="s">
        <v>86</v>
      </c>
      <c r="O182" s="2" t="s">
        <v>86</v>
      </c>
      <c r="P182" s="2" t="s">
        <v>51</v>
      </c>
      <c r="Q182" s="2" t="s">
        <v>51</v>
      </c>
      <c r="R182" s="2" t="s">
        <v>51</v>
      </c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2" t="s">
        <v>51</v>
      </c>
      <c r="AW182" s="2" t="s">
        <v>51</v>
      </c>
      <c r="AX182" s="2" t="s">
        <v>51</v>
      </c>
      <c r="AY182" s="2" t="s">
        <v>51</v>
      </c>
    </row>
    <row r="183" spans="1:52" ht="30" customHeight="1">
      <c r="A183" s="9"/>
      <c r="B183" s="9"/>
      <c r="C183" s="9"/>
      <c r="D183" s="9"/>
      <c r="E183" s="11"/>
      <c r="F183" s="12"/>
      <c r="G183" s="11"/>
      <c r="H183" s="12"/>
      <c r="I183" s="11"/>
      <c r="J183" s="12"/>
      <c r="K183" s="11"/>
      <c r="L183" s="12"/>
      <c r="M183" s="523"/>
    </row>
    <row r="184" spans="1:52" ht="30" customHeight="1">
      <c r="A184" s="1403" t="s">
        <v>4497</v>
      </c>
      <c r="B184" s="1403"/>
      <c r="C184" s="1403"/>
      <c r="D184" s="1403"/>
      <c r="E184" s="1404"/>
      <c r="F184" s="1405"/>
      <c r="G184" s="1404"/>
      <c r="H184" s="1405"/>
      <c r="I184" s="1404"/>
      <c r="J184" s="1405"/>
      <c r="K184" s="1404"/>
      <c r="L184" s="1405"/>
      <c r="M184" s="1403"/>
      <c r="N184" s="1" t="s">
        <v>187</v>
      </c>
    </row>
    <row r="185" spans="1:52" ht="30" customHeight="1">
      <c r="A185" s="8" t="s">
        <v>185</v>
      </c>
      <c r="B185" s="8" t="s">
        <v>1156</v>
      </c>
      <c r="C185" s="8" t="s">
        <v>59</v>
      </c>
      <c r="D185" s="9">
        <v>1.34</v>
      </c>
      <c r="E185" s="11">
        <f>단가대비표!O65</f>
        <v>1920</v>
      </c>
      <c r="F185" s="12">
        <f>TRUNC(E185*D185,1)</f>
        <v>2572.8000000000002</v>
      </c>
      <c r="G185" s="11">
        <f>단가대비표!P65</f>
        <v>0</v>
      </c>
      <c r="H185" s="12">
        <f>TRUNC(G185*D185,1)</f>
        <v>0</v>
      </c>
      <c r="I185" s="11">
        <f>단가대비표!V65</f>
        <v>0</v>
      </c>
      <c r="J185" s="12">
        <f>TRUNC(I185*D185,1)</f>
        <v>0</v>
      </c>
      <c r="K185" s="11">
        <f t="shared" ref="K185:L187" si="29">TRUNC(E185+G185+I185,1)</f>
        <v>1920</v>
      </c>
      <c r="L185" s="12">
        <f t="shared" si="29"/>
        <v>2572.8000000000002</v>
      </c>
      <c r="M185" s="522" t="s">
        <v>51</v>
      </c>
      <c r="N185" s="2" t="s">
        <v>187</v>
      </c>
      <c r="O185" s="2" t="s">
        <v>1157</v>
      </c>
      <c r="P185" s="2" t="s">
        <v>62</v>
      </c>
      <c r="Q185" s="2" t="s">
        <v>62</v>
      </c>
      <c r="R185" s="2" t="s">
        <v>61</v>
      </c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2" t="s">
        <v>51</v>
      </c>
      <c r="AW185" s="2" t="s">
        <v>1158</v>
      </c>
      <c r="AX185" s="2" t="s">
        <v>51</v>
      </c>
      <c r="AY185" s="2" t="s">
        <v>51</v>
      </c>
    </row>
    <row r="186" spans="1:52" ht="30" customHeight="1">
      <c r="A186" s="8" t="s">
        <v>1118</v>
      </c>
      <c r="B186" s="8" t="s">
        <v>1151</v>
      </c>
      <c r="C186" s="8" t="s">
        <v>993</v>
      </c>
      <c r="D186" s="9">
        <v>3.5000000000000003E-2</v>
      </c>
      <c r="E186" s="11">
        <f>단가대비표!O474</f>
        <v>1105</v>
      </c>
      <c r="F186" s="12">
        <f>TRUNC(E186*D186,1)</f>
        <v>38.6</v>
      </c>
      <c r="G186" s="11">
        <f>단가대비표!P474</f>
        <v>0</v>
      </c>
      <c r="H186" s="12">
        <f>TRUNC(G186*D186,1)</f>
        <v>0</v>
      </c>
      <c r="I186" s="11">
        <f>단가대비표!V474</f>
        <v>0</v>
      </c>
      <c r="J186" s="12">
        <f>TRUNC(I186*D186,1)</f>
        <v>0</v>
      </c>
      <c r="K186" s="11">
        <f t="shared" si="29"/>
        <v>1105</v>
      </c>
      <c r="L186" s="12">
        <f t="shared" si="29"/>
        <v>38.6</v>
      </c>
      <c r="M186" s="522" t="s">
        <v>51</v>
      </c>
      <c r="N186" s="2" t="s">
        <v>187</v>
      </c>
      <c r="O186" s="2" t="s">
        <v>1152</v>
      </c>
      <c r="P186" s="2" t="s">
        <v>62</v>
      </c>
      <c r="Q186" s="2" t="s">
        <v>62</v>
      </c>
      <c r="R186" s="2" t="s">
        <v>61</v>
      </c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2" t="s">
        <v>51</v>
      </c>
      <c r="AW186" s="2" t="s">
        <v>1159</v>
      </c>
      <c r="AX186" s="2" t="s">
        <v>51</v>
      </c>
      <c r="AY186" s="2" t="s">
        <v>51</v>
      </c>
    </row>
    <row r="187" spans="1:52" ht="30" customHeight="1">
      <c r="A187" s="8" t="s">
        <v>3218</v>
      </c>
      <c r="B187" s="8" t="s">
        <v>947</v>
      </c>
      <c r="C187" s="8" t="s">
        <v>419</v>
      </c>
      <c r="D187" s="133">
        <v>4.65E-2</v>
      </c>
      <c r="E187" s="11">
        <f>단가대비표!O568</f>
        <v>0</v>
      </c>
      <c r="F187" s="12">
        <f>TRUNC(E187*D187,1)</f>
        <v>0</v>
      </c>
      <c r="G187" s="11">
        <f>단가대비표!P557</f>
        <v>155599</v>
      </c>
      <c r="H187" s="12">
        <f>TRUNC(G187*D187,1)</f>
        <v>7235.3</v>
      </c>
      <c r="I187" s="11">
        <f>단가대비표!V568</f>
        <v>0</v>
      </c>
      <c r="J187" s="12">
        <f>TRUNC(I187*D187,1)</f>
        <v>0</v>
      </c>
      <c r="K187" s="11">
        <f t="shared" si="29"/>
        <v>155599</v>
      </c>
      <c r="L187" s="12">
        <f t="shared" si="29"/>
        <v>7235.3</v>
      </c>
      <c r="M187" s="522" t="s">
        <v>51</v>
      </c>
      <c r="N187" s="2" t="s">
        <v>187</v>
      </c>
      <c r="O187" s="2" t="s">
        <v>948</v>
      </c>
      <c r="P187" s="2" t="s">
        <v>62</v>
      </c>
      <c r="Q187" s="2" t="s">
        <v>62</v>
      </c>
      <c r="R187" s="2" t="s">
        <v>61</v>
      </c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2" t="s">
        <v>51</v>
      </c>
      <c r="AW187" s="2" t="s">
        <v>1160</v>
      </c>
      <c r="AX187" s="2" t="s">
        <v>51</v>
      </c>
      <c r="AY187" s="2" t="s">
        <v>51</v>
      </c>
    </row>
    <row r="188" spans="1:52" ht="30" customHeight="1">
      <c r="A188" s="8" t="s">
        <v>950</v>
      </c>
      <c r="B188" s="8" t="s">
        <v>51</v>
      </c>
      <c r="C188" s="8" t="s">
        <v>51</v>
      </c>
      <c r="D188" s="9"/>
      <c r="E188" s="11"/>
      <c r="F188" s="12">
        <f>TRUNC(SUMIF(N185:N187, N184, F185:F187),0)</f>
        <v>2611</v>
      </c>
      <c r="G188" s="11"/>
      <c r="H188" s="12">
        <f>TRUNC(SUMIF(N185:N187, N184, H185:H187),0)</f>
        <v>7235</v>
      </c>
      <c r="I188" s="11"/>
      <c r="J188" s="12">
        <f>TRUNC(SUMIF(N185:N187, N184, J185:J187),0)</f>
        <v>0</v>
      </c>
      <c r="K188" s="11"/>
      <c r="L188" s="12">
        <f>F188+H188+J188</f>
        <v>9846</v>
      </c>
      <c r="M188" s="522" t="s">
        <v>51</v>
      </c>
      <c r="N188" s="2" t="s">
        <v>86</v>
      </c>
      <c r="O188" s="2" t="s">
        <v>86</v>
      </c>
      <c r="P188" s="2" t="s">
        <v>51</v>
      </c>
      <c r="Q188" s="2" t="s">
        <v>51</v>
      </c>
      <c r="R188" s="2" t="s">
        <v>51</v>
      </c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2" t="s">
        <v>51</v>
      </c>
      <c r="AW188" s="2" t="s">
        <v>51</v>
      </c>
      <c r="AX188" s="2" t="s">
        <v>51</v>
      </c>
      <c r="AY188" s="2" t="s">
        <v>51</v>
      </c>
    </row>
    <row r="189" spans="1:52" ht="30" customHeight="1">
      <c r="A189" s="9"/>
      <c r="B189" s="9"/>
      <c r="C189" s="9"/>
      <c r="D189" s="9"/>
      <c r="E189" s="11"/>
      <c r="F189" s="12"/>
      <c r="G189" s="11"/>
      <c r="H189" s="12"/>
      <c r="I189" s="11"/>
      <c r="J189" s="12"/>
      <c r="K189" s="11"/>
      <c r="L189" s="12"/>
      <c r="M189" s="523"/>
    </row>
    <row r="190" spans="1:52" ht="30" customHeight="1">
      <c r="A190" s="1400" t="s">
        <v>4498</v>
      </c>
      <c r="B190" s="1400"/>
      <c r="C190" s="1400"/>
      <c r="D190" s="1400"/>
      <c r="E190" s="1401"/>
      <c r="F190" s="1402"/>
      <c r="G190" s="1401"/>
      <c r="H190" s="1402"/>
      <c r="I190" s="1401"/>
      <c r="J190" s="1402"/>
      <c r="K190" s="1401"/>
      <c r="L190" s="1402"/>
      <c r="M190" s="1400"/>
      <c r="N190" s="1" t="s">
        <v>189</v>
      </c>
      <c r="AZ190" t="s">
        <v>6674</v>
      </c>
    </row>
    <row r="191" spans="1:52" ht="30" customHeight="1">
      <c r="A191" s="8" t="s">
        <v>185</v>
      </c>
      <c r="B191" s="8" t="s">
        <v>1162</v>
      </c>
      <c r="C191" s="8" t="s">
        <v>59</v>
      </c>
      <c r="D191" s="9">
        <v>2.1</v>
      </c>
      <c r="E191" s="11">
        <f>단가대비표!O66</f>
        <v>2440</v>
      </c>
      <c r="F191" s="12">
        <f>TRUNC(E191*D191,1)</f>
        <v>5124</v>
      </c>
      <c r="G191" s="11">
        <f>단가대비표!P66</f>
        <v>0</v>
      </c>
      <c r="H191" s="12">
        <f>TRUNC(G191*D191,1)</f>
        <v>0</v>
      </c>
      <c r="I191" s="11">
        <f>단가대비표!V66</f>
        <v>0</v>
      </c>
      <c r="J191" s="12">
        <f>TRUNC(I191*D191,1)</f>
        <v>0</v>
      </c>
      <c r="K191" s="11">
        <f t="shared" ref="K191:L196" si="30">TRUNC(E191+G191+I191,1)</f>
        <v>2440</v>
      </c>
      <c r="L191" s="12">
        <f t="shared" si="30"/>
        <v>5124</v>
      </c>
      <c r="M191" s="522" t="s">
        <v>51</v>
      </c>
      <c r="N191" s="2" t="s">
        <v>189</v>
      </c>
      <c r="O191" s="2" t="s">
        <v>1163</v>
      </c>
      <c r="P191" s="2" t="s">
        <v>62</v>
      </c>
      <c r="Q191" s="2" t="s">
        <v>62</v>
      </c>
      <c r="R191" s="2" t="s">
        <v>61</v>
      </c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2" t="s">
        <v>51</v>
      </c>
      <c r="AW191" s="2" t="s">
        <v>1164</v>
      </c>
      <c r="AX191" s="2" t="s">
        <v>51</v>
      </c>
      <c r="AY191" s="2" t="s">
        <v>51</v>
      </c>
    </row>
    <row r="192" spans="1:52" ht="30" customHeight="1">
      <c r="A192" s="8" t="s">
        <v>1118</v>
      </c>
      <c r="B192" s="8" t="s">
        <v>1151</v>
      </c>
      <c r="C192" s="8" t="s">
        <v>993</v>
      </c>
      <c r="D192" s="9">
        <v>3.5000000000000003E-2</v>
      </c>
      <c r="E192" s="11">
        <f>단가대비표!O474</f>
        <v>1105</v>
      </c>
      <c r="F192" s="12">
        <f>TRUNC(E192*D192,1)</f>
        <v>38.6</v>
      </c>
      <c r="G192" s="11">
        <f>단가대비표!P474</f>
        <v>0</v>
      </c>
      <c r="H192" s="12">
        <f>TRUNC(G192*D192,1)</f>
        <v>0</v>
      </c>
      <c r="I192" s="11">
        <f>단가대비표!V474</f>
        <v>0</v>
      </c>
      <c r="J192" s="12">
        <f>TRUNC(I192*D192,1)</f>
        <v>0</v>
      </c>
      <c r="K192" s="11">
        <f t="shared" si="30"/>
        <v>1105</v>
      </c>
      <c r="L192" s="12">
        <f t="shared" si="30"/>
        <v>38.6</v>
      </c>
      <c r="M192" s="522" t="s">
        <v>51</v>
      </c>
      <c r="N192" s="2" t="s">
        <v>189</v>
      </c>
      <c r="O192" s="2" t="s">
        <v>1152</v>
      </c>
      <c r="P192" s="2" t="s">
        <v>62</v>
      </c>
      <c r="Q192" s="2" t="s">
        <v>62</v>
      </c>
      <c r="R192" s="2" t="s">
        <v>61</v>
      </c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2" t="s">
        <v>51</v>
      </c>
      <c r="AW192" s="2" t="s">
        <v>1165</v>
      </c>
      <c r="AX192" s="2" t="s">
        <v>51</v>
      </c>
      <c r="AY192" s="2" t="s">
        <v>51</v>
      </c>
    </row>
    <row r="193" spans="1:52" ht="30" customHeight="1">
      <c r="A193" s="8" t="s">
        <v>3218</v>
      </c>
      <c r="B193" s="8" t="s">
        <v>947</v>
      </c>
      <c r="C193" s="8" t="s">
        <v>419</v>
      </c>
      <c r="D193" s="1171">
        <v>0</v>
      </c>
      <c r="E193" s="11">
        <f>단가대비표!O568</f>
        <v>0</v>
      </c>
      <c r="F193" s="12">
        <f>TRUNC(E193*D193,1)</f>
        <v>0</v>
      </c>
      <c r="G193" s="11">
        <f>단가대비표!P557</f>
        <v>155599</v>
      </c>
      <c r="H193" s="12">
        <f>TRUNC(G193*D193,1)</f>
        <v>0</v>
      </c>
      <c r="I193" s="11">
        <f>단가대비표!V568</f>
        <v>0</v>
      </c>
      <c r="J193" s="12">
        <f>TRUNC(I193*D193,1)</f>
        <v>0</v>
      </c>
      <c r="K193" s="11">
        <f t="shared" si="30"/>
        <v>155599</v>
      </c>
      <c r="L193" s="12">
        <f t="shared" si="30"/>
        <v>0</v>
      </c>
      <c r="M193" s="522" t="s">
        <v>51</v>
      </c>
      <c r="N193" s="2" t="s">
        <v>189</v>
      </c>
      <c r="O193" s="2" t="s">
        <v>948</v>
      </c>
      <c r="P193" s="2" t="s">
        <v>62</v>
      </c>
      <c r="Q193" s="2" t="s">
        <v>62</v>
      </c>
      <c r="R193" s="2" t="s">
        <v>61</v>
      </c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2" t="s">
        <v>51</v>
      </c>
      <c r="AW193" s="2" t="s">
        <v>1166</v>
      </c>
      <c r="AX193" s="2" t="s">
        <v>51</v>
      </c>
      <c r="AY193" s="2" t="s">
        <v>51</v>
      </c>
      <c r="AZ193">
        <v>9.2999999999999999E-2</v>
      </c>
    </row>
    <row r="194" spans="1:52" ht="30" customHeight="1">
      <c r="A194" s="1172" t="s">
        <v>1039</v>
      </c>
      <c r="B194" s="1172" t="s">
        <v>418</v>
      </c>
      <c r="C194" s="1172" t="s">
        <v>419</v>
      </c>
      <c r="D194" s="1171">
        <v>6.6000000000000003E-2</v>
      </c>
      <c r="E194" s="1173">
        <f>단가대비표!$O$572</f>
        <v>0</v>
      </c>
      <c r="F194" s="1174">
        <f>TRUNC(E194*D194,1)</f>
        <v>0</v>
      </c>
      <c r="G194" s="1173">
        <f>단가대비표!$P$572</f>
        <v>192305</v>
      </c>
      <c r="H194" s="1174">
        <f>TRUNC(G194*D194,1)</f>
        <v>12692.1</v>
      </c>
      <c r="I194" s="1173">
        <f>단가대비표!$V$572</f>
        <v>0</v>
      </c>
      <c r="J194" s="1174">
        <f>TRUNC(I194*D194,1)</f>
        <v>0</v>
      </c>
      <c r="K194" s="1173">
        <f t="shared" si="30"/>
        <v>192305</v>
      </c>
      <c r="L194" s="1174">
        <f t="shared" si="30"/>
        <v>12692.1</v>
      </c>
      <c r="M194" s="1175" t="s">
        <v>51</v>
      </c>
      <c r="N194" s="2"/>
      <c r="O194" s="2"/>
      <c r="P194" s="2"/>
      <c r="Q194" s="2"/>
      <c r="R194" s="2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2"/>
      <c r="AW194" s="2"/>
      <c r="AX194" s="2"/>
      <c r="AY194" s="2"/>
    </row>
    <row r="195" spans="1:52" ht="30" customHeight="1">
      <c r="A195" s="1172" t="s">
        <v>996</v>
      </c>
      <c r="B195" s="1172" t="s">
        <v>947</v>
      </c>
      <c r="C195" s="1172" t="s">
        <v>419</v>
      </c>
      <c r="D195" s="1171">
        <v>3.2000000000000001E-2</v>
      </c>
      <c r="E195" s="1173">
        <f>단가대비표!$O$556</f>
        <v>0</v>
      </c>
      <c r="F195" s="1174">
        <f>TRUNC(E195*D195,1)</f>
        <v>0</v>
      </c>
      <c r="G195" s="1173">
        <f>단가대비표!$P$556</f>
        <v>130264</v>
      </c>
      <c r="H195" s="1174">
        <f>TRUNC(G195*D195,1)</f>
        <v>4168.3999999999996</v>
      </c>
      <c r="I195" s="1173">
        <f>단가대비표!$V$556</f>
        <v>0</v>
      </c>
      <c r="J195" s="1174">
        <f>TRUNC(I195*D195,1)</f>
        <v>0</v>
      </c>
      <c r="K195" s="1173">
        <f t="shared" si="30"/>
        <v>130264</v>
      </c>
      <c r="L195" s="1174">
        <f t="shared" si="30"/>
        <v>4168.3999999999996</v>
      </c>
      <c r="M195" s="1175" t="s">
        <v>51</v>
      </c>
      <c r="N195" s="2"/>
      <c r="O195" s="2"/>
      <c r="P195" s="2"/>
      <c r="Q195" s="2"/>
      <c r="R195" s="2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2"/>
      <c r="AW195" s="2"/>
      <c r="AX195" s="2"/>
      <c r="AY195" s="2"/>
    </row>
    <row r="196" spans="1:52" ht="30" customHeight="1">
      <c r="A196" s="1172" t="s">
        <v>1134</v>
      </c>
      <c r="B196" s="1172" t="s">
        <v>1135</v>
      </c>
      <c r="C196" s="1172" t="s">
        <v>82</v>
      </c>
      <c r="D196" s="1171">
        <v>1</v>
      </c>
      <c r="E196" s="1173">
        <f>TRUNC(SUM(H193:H195)*3%,0)</f>
        <v>505</v>
      </c>
      <c r="F196" s="1174">
        <f t="shared" ref="F196" si="31">TRUNC(E196*D196,1)</f>
        <v>505</v>
      </c>
      <c r="G196" s="1173">
        <f>단가대비표!P484</f>
        <v>0</v>
      </c>
      <c r="H196" s="1174">
        <f t="shared" ref="H196" si="32">TRUNC(G196*D196,1)</f>
        <v>0</v>
      </c>
      <c r="I196" s="1173">
        <f>단가대비표!V484</f>
        <v>0</v>
      </c>
      <c r="J196" s="1174">
        <f t="shared" ref="J196" si="33">TRUNC(I196*D196,1)</f>
        <v>0</v>
      </c>
      <c r="K196" s="1173">
        <f t="shared" si="30"/>
        <v>505</v>
      </c>
      <c r="L196" s="1174">
        <f t="shared" si="30"/>
        <v>505</v>
      </c>
      <c r="M196" s="1175" t="s">
        <v>51</v>
      </c>
      <c r="N196" s="2"/>
      <c r="O196" s="2"/>
      <c r="P196" s="2"/>
      <c r="Q196" s="2"/>
      <c r="R196" s="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2"/>
      <c r="AW196" s="2"/>
      <c r="AX196" s="2"/>
      <c r="AY196" s="2"/>
    </row>
    <row r="197" spans="1:52" ht="30" customHeight="1">
      <c r="A197" s="8" t="s">
        <v>950</v>
      </c>
      <c r="B197" s="8" t="s">
        <v>51</v>
      </c>
      <c r="C197" s="8" t="s">
        <v>51</v>
      </c>
      <c r="D197" s="9"/>
      <c r="E197" s="11"/>
      <c r="F197" s="12">
        <f>TRUNC(SUM(F191:F196),0)</f>
        <v>5667</v>
      </c>
      <c r="G197" s="11"/>
      <c r="H197" s="1061">
        <f>TRUNC(SUM(H191:H196),0)</f>
        <v>16860</v>
      </c>
      <c r="I197" s="11"/>
      <c r="J197" s="1061">
        <f>TRUNC(SUM(J191:J196),0)</f>
        <v>0</v>
      </c>
      <c r="K197" s="11"/>
      <c r="L197" s="12">
        <f>F197+H197+J197</f>
        <v>22527</v>
      </c>
      <c r="M197" s="522" t="s">
        <v>51</v>
      </c>
      <c r="N197" s="2" t="s">
        <v>86</v>
      </c>
      <c r="O197" s="2" t="s">
        <v>86</v>
      </c>
      <c r="P197" s="2" t="s">
        <v>51</v>
      </c>
      <c r="Q197" s="2" t="s">
        <v>51</v>
      </c>
      <c r="R197" s="2" t="s">
        <v>51</v>
      </c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2" t="s">
        <v>51</v>
      </c>
      <c r="AW197" s="2" t="s">
        <v>51</v>
      </c>
      <c r="AX197" s="2" t="s">
        <v>51</v>
      </c>
      <c r="AY197" s="2" t="s">
        <v>51</v>
      </c>
      <c r="AZ197" s="1170">
        <v>19632</v>
      </c>
    </row>
    <row r="198" spans="1:52" ht="30" customHeight="1">
      <c r="A198" s="9"/>
      <c r="B198" s="9"/>
      <c r="C198" s="9"/>
      <c r="D198" s="9"/>
      <c r="E198" s="11"/>
      <c r="F198" s="12"/>
      <c r="G198" s="11"/>
      <c r="H198" s="12"/>
      <c r="I198" s="11"/>
      <c r="J198" s="12"/>
      <c r="K198" s="11"/>
      <c r="L198" s="12"/>
      <c r="M198" s="523"/>
    </row>
    <row r="199" spans="1:52" ht="30" customHeight="1">
      <c r="A199" s="1400" t="s">
        <v>4499</v>
      </c>
      <c r="B199" s="1400"/>
      <c r="C199" s="1400"/>
      <c r="D199" s="1400"/>
      <c r="E199" s="1401"/>
      <c r="F199" s="1402"/>
      <c r="G199" s="1401"/>
      <c r="H199" s="1402"/>
      <c r="I199" s="1401"/>
      <c r="J199" s="1402"/>
      <c r="K199" s="1401"/>
      <c r="L199" s="1402"/>
      <c r="M199" s="1400"/>
      <c r="N199" s="1" t="s">
        <v>192</v>
      </c>
      <c r="AZ199" t="s">
        <v>6674</v>
      </c>
    </row>
    <row r="200" spans="1:52" ht="30" customHeight="1">
      <c r="A200" s="8" t="s">
        <v>185</v>
      </c>
      <c r="B200" s="8" t="s">
        <v>1148</v>
      </c>
      <c r="C200" s="8" t="s">
        <v>59</v>
      </c>
      <c r="D200" s="9">
        <v>2.12</v>
      </c>
      <c r="E200" s="11">
        <f>단가대비표!O68</f>
        <v>3337</v>
      </c>
      <c r="F200" s="12">
        <f>TRUNC(E200*D200,1)</f>
        <v>7074.4</v>
      </c>
      <c r="G200" s="11">
        <f>단가대비표!P67</f>
        <v>0</v>
      </c>
      <c r="H200" s="12">
        <f>TRUNC(G200*D200,1)</f>
        <v>0</v>
      </c>
      <c r="I200" s="11">
        <f>단가대비표!V67</f>
        <v>0</v>
      </c>
      <c r="J200" s="12">
        <f>TRUNC(I200*D200,1)</f>
        <v>0</v>
      </c>
      <c r="K200" s="11">
        <f t="shared" ref="K200:L205" si="34">TRUNC(E200+G200+I200,1)</f>
        <v>3337</v>
      </c>
      <c r="L200" s="12">
        <f t="shared" si="34"/>
        <v>7074.4</v>
      </c>
      <c r="M200" s="522" t="s">
        <v>51</v>
      </c>
      <c r="N200" s="2" t="s">
        <v>192</v>
      </c>
      <c r="O200" s="2" t="s">
        <v>1149</v>
      </c>
      <c r="P200" s="2" t="s">
        <v>62</v>
      </c>
      <c r="Q200" s="2" t="s">
        <v>62</v>
      </c>
      <c r="R200" s="2" t="s">
        <v>61</v>
      </c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2" t="s">
        <v>51</v>
      </c>
      <c r="AW200" s="2" t="s">
        <v>1168</v>
      </c>
      <c r="AX200" s="2" t="s">
        <v>51</v>
      </c>
      <c r="AY200" s="2" t="s">
        <v>51</v>
      </c>
    </row>
    <row r="201" spans="1:52" ht="30" customHeight="1">
      <c r="A201" s="8" t="s">
        <v>1118</v>
      </c>
      <c r="B201" s="8" t="s">
        <v>1151</v>
      </c>
      <c r="C201" s="8" t="s">
        <v>993</v>
      </c>
      <c r="D201" s="9">
        <v>3.5000000000000003E-2</v>
      </c>
      <c r="E201" s="11">
        <f>단가대비표!O474</f>
        <v>1105</v>
      </c>
      <c r="F201" s="12">
        <f>TRUNC(E201*D201,1)</f>
        <v>38.6</v>
      </c>
      <c r="G201" s="11">
        <f>단가대비표!P474</f>
        <v>0</v>
      </c>
      <c r="H201" s="12">
        <f>TRUNC(G201*D201,1)</f>
        <v>0</v>
      </c>
      <c r="I201" s="11">
        <f>단가대비표!V474</f>
        <v>0</v>
      </c>
      <c r="J201" s="12">
        <f>TRUNC(I201*D201,1)</f>
        <v>0</v>
      </c>
      <c r="K201" s="11">
        <f t="shared" si="34"/>
        <v>1105</v>
      </c>
      <c r="L201" s="12">
        <f t="shared" si="34"/>
        <v>38.6</v>
      </c>
      <c r="M201" s="522" t="s">
        <v>51</v>
      </c>
      <c r="N201" s="2" t="s">
        <v>192</v>
      </c>
      <c r="O201" s="2" t="s">
        <v>1152</v>
      </c>
      <c r="P201" s="2" t="s">
        <v>62</v>
      </c>
      <c r="Q201" s="2" t="s">
        <v>62</v>
      </c>
      <c r="R201" s="2" t="s">
        <v>61</v>
      </c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2" t="s">
        <v>51</v>
      </c>
      <c r="AW201" s="2" t="s">
        <v>1169</v>
      </c>
      <c r="AX201" s="2" t="s">
        <v>51</v>
      </c>
      <c r="AY201" s="2" t="s">
        <v>51</v>
      </c>
    </row>
    <row r="202" spans="1:52" ht="30" customHeight="1">
      <c r="A202" s="8" t="s">
        <v>3218</v>
      </c>
      <c r="B202" s="8" t="s">
        <v>947</v>
      </c>
      <c r="C202" s="8" t="s">
        <v>419</v>
      </c>
      <c r="D202" s="1171">
        <v>0</v>
      </c>
      <c r="E202" s="11">
        <f>단가대비표!O568</f>
        <v>0</v>
      </c>
      <c r="F202" s="12">
        <f>TRUNC(E202*D202,1)</f>
        <v>0</v>
      </c>
      <c r="G202" s="11">
        <f>단가대비표!P557</f>
        <v>155599</v>
      </c>
      <c r="H202" s="12">
        <f>TRUNC(G202*D202,1)</f>
        <v>0</v>
      </c>
      <c r="I202" s="11">
        <f>단가대비표!V568</f>
        <v>0</v>
      </c>
      <c r="J202" s="12">
        <f>TRUNC(I202*D202,1)</f>
        <v>0</v>
      </c>
      <c r="K202" s="11">
        <f t="shared" si="34"/>
        <v>155599</v>
      </c>
      <c r="L202" s="12">
        <f t="shared" si="34"/>
        <v>0</v>
      </c>
      <c r="M202" s="522" t="s">
        <v>51</v>
      </c>
      <c r="N202" s="2" t="s">
        <v>192</v>
      </c>
      <c r="O202" s="2" t="s">
        <v>948</v>
      </c>
      <c r="P202" s="2" t="s">
        <v>62</v>
      </c>
      <c r="Q202" s="2" t="s">
        <v>62</v>
      </c>
      <c r="R202" s="2" t="s">
        <v>61</v>
      </c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2" t="s">
        <v>51</v>
      </c>
      <c r="AW202" s="2" t="s">
        <v>1170</v>
      </c>
      <c r="AX202" s="2" t="s">
        <v>51</v>
      </c>
      <c r="AY202" s="2" t="s">
        <v>51</v>
      </c>
      <c r="AZ202">
        <v>9.2999999999999999E-2</v>
      </c>
    </row>
    <row r="203" spans="1:52" ht="30" customHeight="1">
      <c r="A203" s="1172" t="s">
        <v>1039</v>
      </c>
      <c r="B203" s="1172" t="s">
        <v>418</v>
      </c>
      <c r="C203" s="1172" t="s">
        <v>419</v>
      </c>
      <c r="D203" s="1171">
        <v>6.6000000000000003E-2</v>
      </c>
      <c r="E203" s="1173">
        <f>단가대비표!$O$572</f>
        <v>0</v>
      </c>
      <c r="F203" s="1174">
        <f>TRUNC(E203*D203,1)</f>
        <v>0</v>
      </c>
      <c r="G203" s="1173">
        <f>단가대비표!$P$572</f>
        <v>192305</v>
      </c>
      <c r="H203" s="1174">
        <f>TRUNC(G203*D203,1)</f>
        <v>12692.1</v>
      </c>
      <c r="I203" s="1173">
        <f>단가대비표!$V$572</f>
        <v>0</v>
      </c>
      <c r="J203" s="1174">
        <f>TRUNC(I203*D203,1)</f>
        <v>0</v>
      </c>
      <c r="K203" s="1173">
        <f t="shared" si="34"/>
        <v>192305</v>
      </c>
      <c r="L203" s="1174">
        <f t="shared" si="34"/>
        <v>12692.1</v>
      </c>
      <c r="M203" s="1175" t="s">
        <v>51</v>
      </c>
      <c r="N203" s="2"/>
      <c r="O203" s="2"/>
      <c r="P203" s="2"/>
      <c r="Q203" s="2"/>
      <c r="R203" s="2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2"/>
      <c r="AW203" s="2"/>
      <c r="AX203" s="2"/>
      <c r="AY203" s="2"/>
    </row>
    <row r="204" spans="1:52" ht="30" customHeight="1">
      <c r="A204" s="1172" t="s">
        <v>996</v>
      </c>
      <c r="B204" s="1172" t="s">
        <v>947</v>
      </c>
      <c r="C204" s="1172" t="s">
        <v>419</v>
      </c>
      <c r="D204" s="1171">
        <v>3.2000000000000001E-2</v>
      </c>
      <c r="E204" s="1173">
        <f>단가대비표!$O$556</f>
        <v>0</v>
      </c>
      <c r="F204" s="1174">
        <f>TRUNC(E204*D204,1)</f>
        <v>0</v>
      </c>
      <c r="G204" s="1173">
        <f>단가대비표!$P$556</f>
        <v>130264</v>
      </c>
      <c r="H204" s="1174">
        <f>TRUNC(G204*D204,1)</f>
        <v>4168.3999999999996</v>
      </c>
      <c r="I204" s="1173">
        <f>단가대비표!$V$556</f>
        <v>0</v>
      </c>
      <c r="J204" s="1174">
        <f>TRUNC(I204*D204,1)</f>
        <v>0</v>
      </c>
      <c r="K204" s="1173">
        <f t="shared" si="34"/>
        <v>130264</v>
      </c>
      <c r="L204" s="1174">
        <f t="shared" si="34"/>
        <v>4168.3999999999996</v>
      </c>
      <c r="M204" s="1175" t="s">
        <v>51</v>
      </c>
      <c r="N204" s="2"/>
      <c r="O204" s="2"/>
      <c r="P204" s="2"/>
      <c r="Q204" s="2"/>
      <c r="R204" s="2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2"/>
      <c r="AW204" s="2"/>
      <c r="AX204" s="2"/>
      <c r="AY204" s="2"/>
    </row>
    <row r="205" spans="1:52" ht="30" customHeight="1">
      <c r="A205" s="1172" t="s">
        <v>1134</v>
      </c>
      <c r="B205" s="1172" t="s">
        <v>1135</v>
      </c>
      <c r="C205" s="1172" t="s">
        <v>82</v>
      </c>
      <c r="D205" s="1171">
        <v>1</v>
      </c>
      <c r="E205" s="1173">
        <f>TRUNC(SUM(H202:H204)*3%,0)</f>
        <v>505</v>
      </c>
      <c r="F205" s="1174">
        <f t="shared" ref="F205" si="35">TRUNC(E205*D205,1)</f>
        <v>505</v>
      </c>
      <c r="G205" s="1173">
        <f>단가대비표!P493</f>
        <v>0</v>
      </c>
      <c r="H205" s="1174">
        <f t="shared" ref="H205" si="36">TRUNC(G205*D205,1)</f>
        <v>0</v>
      </c>
      <c r="I205" s="1173">
        <f>단가대비표!V493</f>
        <v>0</v>
      </c>
      <c r="J205" s="1174">
        <f t="shared" ref="J205" si="37">TRUNC(I205*D205,1)</f>
        <v>0</v>
      </c>
      <c r="K205" s="1173">
        <f t="shared" si="34"/>
        <v>505</v>
      </c>
      <c r="L205" s="1174">
        <f t="shared" si="34"/>
        <v>505</v>
      </c>
      <c r="M205" s="1175" t="s">
        <v>51</v>
      </c>
      <c r="N205" s="2"/>
      <c r="O205" s="2"/>
      <c r="P205" s="2"/>
      <c r="Q205" s="2"/>
      <c r="R205" s="2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2"/>
      <c r="AW205" s="2"/>
      <c r="AX205" s="2"/>
      <c r="AY205" s="2"/>
    </row>
    <row r="206" spans="1:52" ht="30" customHeight="1">
      <c r="A206" s="8" t="s">
        <v>950</v>
      </c>
      <c r="B206" s="8" t="s">
        <v>51</v>
      </c>
      <c r="C206" s="8" t="s">
        <v>51</v>
      </c>
      <c r="D206" s="9"/>
      <c r="E206" s="11"/>
      <c r="F206" s="12">
        <f>TRUNC(SUM(F200:F205),0)</f>
        <v>7618</v>
      </c>
      <c r="G206" s="11"/>
      <c r="H206" s="1061">
        <f>TRUNC(SUM(H200:H205),0)</f>
        <v>16860</v>
      </c>
      <c r="I206" s="11"/>
      <c r="J206" s="1061">
        <f>TRUNC(SUM(J200:J205),0)</f>
        <v>0</v>
      </c>
      <c r="K206" s="11"/>
      <c r="L206" s="12">
        <f>F206+H206+J206</f>
        <v>24478</v>
      </c>
      <c r="M206" s="522" t="s">
        <v>51</v>
      </c>
      <c r="N206" s="2" t="s">
        <v>86</v>
      </c>
      <c r="O206" s="2" t="s">
        <v>86</v>
      </c>
      <c r="P206" s="2" t="s">
        <v>51</v>
      </c>
      <c r="Q206" s="2" t="s">
        <v>51</v>
      </c>
      <c r="R206" s="2" t="s">
        <v>51</v>
      </c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2" t="s">
        <v>51</v>
      </c>
      <c r="AW206" s="2" t="s">
        <v>51</v>
      </c>
      <c r="AX206" s="2" t="s">
        <v>51</v>
      </c>
      <c r="AY206" s="2" t="s">
        <v>51</v>
      </c>
      <c r="AZ206" s="1170">
        <v>23862</v>
      </c>
    </row>
    <row r="207" spans="1:52" ht="30" customHeight="1">
      <c r="A207" s="9"/>
      <c r="B207" s="9"/>
      <c r="C207" s="9"/>
      <c r="D207" s="9"/>
      <c r="E207" s="11"/>
      <c r="F207" s="12"/>
      <c r="G207" s="11"/>
      <c r="H207" s="12"/>
      <c r="I207" s="11"/>
      <c r="J207" s="12"/>
      <c r="K207" s="11"/>
      <c r="L207" s="12"/>
      <c r="M207" s="523"/>
    </row>
    <row r="208" spans="1:52" ht="30" customHeight="1">
      <c r="A208" s="1403" t="s">
        <v>4500</v>
      </c>
      <c r="B208" s="1403"/>
      <c r="C208" s="1403"/>
      <c r="D208" s="1403"/>
      <c r="E208" s="1404"/>
      <c r="F208" s="1405"/>
      <c r="G208" s="1404"/>
      <c r="H208" s="1405"/>
      <c r="I208" s="1404"/>
      <c r="J208" s="1405"/>
      <c r="K208" s="1404"/>
      <c r="L208" s="1405"/>
      <c r="M208" s="1403"/>
      <c r="N208" s="1" t="s">
        <v>196</v>
      </c>
    </row>
    <row r="209" spans="1:51" ht="30" customHeight="1">
      <c r="A209" s="8" t="s">
        <v>1173</v>
      </c>
      <c r="B209" s="8" t="s">
        <v>1174</v>
      </c>
      <c r="C209" s="8" t="s">
        <v>59</v>
      </c>
      <c r="D209" s="9">
        <v>1.03</v>
      </c>
      <c r="E209" s="11">
        <f>단가대비표!O31</f>
        <v>3997.58</v>
      </c>
      <c r="F209" s="12">
        <f>TRUNC(E209*D209,1)</f>
        <v>4117.5</v>
      </c>
      <c r="G209" s="11">
        <f>단가대비표!P31</f>
        <v>0</v>
      </c>
      <c r="H209" s="12">
        <f>TRUNC(G209*D209,1)</f>
        <v>0</v>
      </c>
      <c r="I209" s="11">
        <f>단가대비표!V31</f>
        <v>0</v>
      </c>
      <c r="J209" s="12">
        <f>TRUNC(I209*D209,1)</f>
        <v>0</v>
      </c>
      <c r="K209" s="11">
        <f t="shared" ref="K209:L212" si="38">TRUNC(E209+G209+I209,1)</f>
        <v>3997.5</v>
      </c>
      <c r="L209" s="12">
        <f t="shared" si="38"/>
        <v>4117.5</v>
      </c>
      <c r="M209" s="522" t="s">
        <v>51</v>
      </c>
      <c r="N209" s="2" t="s">
        <v>196</v>
      </c>
      <c r="O209" s="2" t="s">
        <v>1175</v>
      </c>
      <c r="P209" s="2" t="s">
        <v>62</v>
      </c>
      <c r="Q209" s="2" t="s">
        <v>62</v>
      </c>
      <c r="R209" s="2" t="s">
        <v>61</v>
      </c>
      <c r="S209" s="3"/>
      <c r="T209" s="3"/>
      <c r="U209" s="3"/>
      <c r="V209" s="3">
        <v>1</v>
      </c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2" t="s">
        <v>51</v>
      </c>
      <c r="AW209" s="2" t="s">
        <v>1176</v>
      </c>
      <c r="AX209" s="2" t="s">
        <v>51</v>
      </c>
      <c r="AY209" s="2" t="s">
        <v>51</v>
      </c>
    </row>
    <row r="210" spans="1:51" ht="30" customHeight="1">
      <c r="A210" s="8" t="s">
        <v>946</v>
      </c>
      <c r="B210" s="8" t="s">
        <v>947</v>
      </c>
      <c r="C210" s="8" t="s">
        <v>419</v>
      </c>
      <c r="D210" s="9">
        <v>0.06</v>
      </c>
      <c r="E210" s="11">
        <f>단가대비표!O568</f>
        <v>0</v>
      </c>
      <c r="F210" s="12">
        <f>TRUNC(E210*D210,1)</f>
        <v>0</v>
      </c>
      <c r="G210" s="11">
        <f>단가대비표!P568</f>
        <v>203532</v>
      </c>
      <c r="H210" s="12">
        <f>TRUNC(G210*D210,1)</f>
        <v>12211.9</v>
      </c>
      <c r="I210" s="11">
        <f>단가대비표!V568</f>
        <v>0</v>
      </c>
      <c r="J210" s="12">
        <f>TRUNC(I210*D210,1)</f>
        <v>0</v>
      </c>
      <c r="K210" s="11">
        <f>TRUNC(E210+G210+I210,1)</f>
        <v>203532</v>
      </c>
      <c r="L210" s="12">
        <f>TRUNC(F210+H210+J210,1)</f>
        <v>12211.9</v>
      </c>
      <c r="M210" s="522" t="s">
        <v>51</v>
      </c>
      <c r="N210" s="2" t="s">
        <v>196</v>
      </c>
      <c r="O210" s="2" t="s">
        <v>948</v>
      </c>
      <c r="P210" s="2" t="s">
        <v>62</v>
      </c>
      <c r="Q210" s="2" t="s">
        <v>62</v>
      </c>
      <c r="R210" s="2" t="s">
        <v>61</v>
      </c>
      <c r="S210" s="3"/>
      <c r="T210" s="3"/>
      <c r="U210" s="3"/>
      <c r="V210" s="3">
        <v>1</v>
      </c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2" t="s">
        <v>51</v>
      </c>
      <c r="AW210" s="2" t="s">
        <v>1172</v>
      </c>
      <c r="AX210" s="2" t="s">
        <v>51</v>
      </c>
      <c r="AY210" s="2" t="s">
        <v>51</v>
      </c>
    </row>
    <row r="211" spans="1:51" ht="30" customHeight="1">
      <c r="A211" s="8" t="s">
        <v>996</v>
      </c>
      <c r="B211" s="8" t="s">
        <v>947</v>
      </c>
      <c r="C211" s="8" t="s">
        <v>419</v>
      </c>
      <c r="D211" s="9">
        <v>6.0000000000000001E-3</v>
      </c>
      <c r="E211" s="11">
        <f>단가대비표!O556</f>
        <v>0</v>
      </c>
      <c r="F211" s="12">
        <f>TRUNC(E211*D211,1)</f>
        <v>0</v>
      </c>
      <c r="G211" s="11">
        <f>단가대비표!P556</f>
        <v>130264</v>
      </c>
      <c r="H211" s="12">
        <f>TRUNC(G211*D211,1)</f>
        <v>781.5</v>
      </c>
      <c r="I211" s="11">
        <f>단가대비표!V556</f>
        <v>0</v>
      </c>
      <c r="J211" s="12">
        <f>TRUNC(I211*D211,1)</f>
        <v>0</v>
      </c>
      <c r="K211" s="11">
        <f t="shared" si="38"/>
        <v>130264</v>
      </c>
      <c r="L211" s="12">
        <f t="shared" si="38"/>
        <v>781.5</v>
      </c>
      <c r="M211" s="522" t="s">
        <v>51</v>
      </c>
      <c r="N211" s="2" t="s">
        <v>196</v>
      </c>
      <c r="O211" s="2" t="s">
        <v>997</v>
      </c>
      <c r="P211" s="2" t="s">
        <v>62</v>
      </c>
      <c r="Q211" s="2" t="s">
        <v>62</v>
      </c>
      <c r="R211" s="2" t="s">
        <v>61</v>
      </c>
      <c r="S211" s="3"/>
      <c r="T211" s="3"/>
      <c r="U211" s="3"/>
      <c r="V211" s="3">
        <v>1</v>
      </c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2" t="s">
        <v>51</v>
      </c>
      <c r="AW211" s="2" t="s">
        <v>1177</v>
      </c>
      <c r="AX211" s="2" t="s">
        <v>51</v>
      </c>
      <c r="AY211" s="2" t="s">
        <v>51</v>
      </c>
    </row>
    <row r="212" spans="1:51" ht="30" customHeight="1">
      <c r="A212" s="8" t="s">
        <v>1134</v>
      </c>
      <c r="B212" s="8" t="s">
        <v>1178</v>
      </c>
      <c r="C212" s="8" t="s">
        <v>82</v>
      </c>
      <c r="D212" s="9">
        <v>1</v>
      </c>
      <c r="E212" s="11">
        <v>0</v>
      </c>
      <c r="F212" s="12">
        <f>TRUNC(E212*D212,1)</f>
        <v>0</v>
      </c>
      <c r="G212" s="11">
        <v>0</v>
      </c>
      <c r="H212" s="12">
        <f>TRUNC(G212*D212,1)</f>
        <v>0</v>
      </c>
      <c r="I212" s="11">
        <f>TRUNC(SUMIF(V209:V212, RIGHTB(O212, 1), H209:H212)*U212, 2)</f>
        <v>259.86</v>
      </c>
      <c r="J212" s="12">
        <f>TRUNC(I212*D212,1)</f>
        <v>259.8</v>
      </c>
      <c r="K212" s="11">
        <f t="shared" si="38"/>
        <v>259.8</v>
      </c>
      <c r="L212" s="12">
        <f t="shared" si="38"/>
        <v>259.8</v>
      </c>
      <c r="M212" s="522" t="s">
        <v>51</v>
      </c>
      <c r="N212" s="2" t="s">
        <v>196</v>
      </c>
      <c r="O212" s="2" t="s">
        <v>1036</v>
      </c>
      <c r="P212" s="2" t="s">
        <v>62</v>
      </c>
      <c r="Q212" s="2" t="s">
        <v>62</v>
      </c>
      <c r="R212" s="2" t="s">
        <v>62</v>
      </c>
      <c r="S212" s="3">
        <v>1</v>
      </c>
      <c r="T212" s="3">
        <v>2</v>
      </c>
      <c r="U212" s="3">
        <v>0.02</v>
      </c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2" t="s">
        <v>51</v>
      </c>
      <c r="AW212" s="2" t="s">
        <v>1179</v>
      </c>
      <c r="AX212" s="2" t="s">
        <v>51</v>
      </c>
      <c r="AY212" s="2" t="s">
        <v>51</v>
      </c>
    </row>
    <row r="213" spans="1:51" ht="30" customHeight="1">
      <c r="A213" s="8" t="s">
        <v>950</v>
      </c>
      <c r="B213" s="8" t="s">
        <v>51</v>
      </c>
      <c r="C213" s="8" t="s">
        <v>51</v>
      </c>
      <c r="D213" s="9"/>
      <c r="E213" s="11"/>
      <c r="F213" s="12">
        <f>TRUNC(SUMIF(N209:N212, N208, F209:F212),0)</f>
        <v>4117</v>
      </c>
      <c r="G213" s="11"/>
      <c r="H213" s="12">
        <f>TRUNC(SUMIF(N209:N212, N208, H209:H212),0)</f>
        <v>12993</v>
      </c>
      <c r="I213" s="11"/>
      <c r="J213" s="12">
        <f>TRUNC(SUMIF(N209:N212, N208, J209:J212),0)</f>
        <v>259</v>
      </c>
      <c r="K213" s="11"/>
      <c r="L213" s="12">
        <f>F213+H213+J213</f>
        <v>17369</v>
      </c>
      <c r="M213" s="522" t="s">
        <v>51</v>
      </c>
      <c r="N213" s="2" t="s">
        <v>86</v>
      </c>
      <c r="O213" s="2" t="s">
        <v>86</v>
      </c>
      <c r="P213" s="2" t="s">
        <v>51</v>
      </c>
      <c r="Q213" s="2" t="s">
        <v>51</v>
      </c>
      <c r="R213" s="2" t="s">
        <v>51</v>
      </c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2" t="s">
        <v>51</v>
      </c>
      <c r="AW213" s="2" t="s">
        <v>51</v>
      </c>
      <c r="AX213" s="2" t="s">
        <v>51</v>
      </c>
      <c r="AY213" s="2" t="s">
        <v>51</v>
      </c>
    </row>
    <row r="214" spans="1:51" ht="30" customHeight="1">
      <c r="A214" s="9"/>
      <c r="B214" s="9"/>
      <c r="C214" s="9"/>
      <c r="D214" s="9"/>
      <c r="E214" s="11"/>
      <c r="F214" s="12"/>
      <c r="G214" s="11"/>
      <c r="H214" s="12"/>
      <c r="I214" s="11"/>
      <c r="J214" s="12"/>
      <c r="K214" s="11"/>
      <c r="L214" s="12"/>
      <c r="M214" s="523"/>
    </row>
    <row r="215" spans="1:51" ht="30" customHeight="1">
      <c r="A215" s="1403" t="s">
        <v>4501</v>
      </c>
      <c r="B215" s="1403"/>
      <c r="C215" s="1403"/>
      <c r="D215" s="1403"/>
      <c r="E215" s="1404"/>
      <c r="F215" s="1405"/>
      <c r="G215" s="1404"/>
      <c r="H215" s="1405"/>
      <c r="I215" s="1404"/>
      <c r="J215" s="1405"/>
      <c r="K215" s="1404"/>
      <c r="L215" s="1405"/>
      <c r="M215" s="1403"/>
      <c r="N215" s="1" t="s">
        <v>200</v>
      </c>
    </row>
    <row r="216" spans="1:51" ht="30" customHeight="1">
      <c r="A216" s="8" t="s">
        <v>1181</v>
      </c>
      <c r="B216" s="8" t="s">
        <v>1182</v>
      </c>
      <c r="C216" s="8" t="s">
        <v>59</v>
      </c>
      <c r="D216" s="9">
        <v>1.03</v>
      </c>
      <c r="E216" s="11">
        <f>단가대비표!O35</f>
        <v>3811</v>
      </c>
      <c r="F216" s="12">
        <f>TRUNC(E216*D216,1)</f>
        <v>3925.3</v>
      </c>
      <c r="G216" s="11">
        <f>단가대비표!P35</f>
        <v>0</v>
      </c>
      <c r="H216" s="12">
        <f>TRUNC(G216*D216,1)</f>
        <v>0</v>
      </c>
      <c r="I216" s="11">
        <f>단가대비표!V35</f>
        <v>0</v>
      </c>
      <c r="J216" s="12">
        <f>TRUNC(I216*D216,1)</f>
        <v>0</v>
      </c>
      <c r="K216" s="11">
        <f>TRUNC(E216+G216+I216,1)</f>
        <v>3811</v>
      </c>
      <c r="L216" s="12">
        <f>TRUNC(F216+H216+J216,1)</f>
        <v>3925.3</v>
      </c>
      <c r="M216" s="522" t="s">
        <v>51</v>
      </c>
      <c r="N216" s="2" t="s">
        <v>200</v>
      </c>
      <c r="O216" s="2" t="s">
        <v>1183</v>
      </c>
      <c r="P216" s="2" t="s">
        <v>62</v>
      </c>
      <c r="Q216" s="2" t="s">
        <v>62</v>
      </c>
      <c r="R216" s="2" t="s">
        <v>61</v>
      </c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2" t="s">
        <v>51</v>
      </c>
      <c r="AW216" s="2" t="s">
        <v>1184</v>
      </c>
      <c r="AX216" s="2" t="s">
        <v>51</v>
      </c>
      <c r="AY216" s="2" t="s">
        <v>51</v>
      </c>
    </row>
    <row r="217" spans="1:51" ht="30" customHeight="1">
      <c r="A217" s="8" t="s">
        <v>946</v>
      </c>
      <c r="B217" s="8" t="s">
        <v>947</v>
      </c>
      <c r="C217" s="8" t="s">
        <v>419</v>
      </c>
      <c r="D217" s="133">
        <v>0.06</v>
      </c>
      <c r="E217" s="134">
        <f>단가대비표!O577</f>
        <v>0</v>
      </c>
      <c r="F217" s="135">
        <f>TRUNC(E217*D217,1)</f>
        <v>0</v>
      </c>
      <c r="G217" s="134">
        <f>단가대비표!P568</f>
        <v>203532</v>
      </c>
      <c r="H217" s="135">
        <f>TRUNC(G217*D217,1)</f>
        <v>12211.9</v>
      </c>
      <c r="I217" s="134">
        <f>단가대비표!V577</f>
        <v>0</v>
      </c>
      <c r="J217" s="135">
        <f>TRUNC(I217*D217,1)</f>
        <v>0</v>
      </c>
      <c r="K217" s="134">
        <f>TRUNC(E217+G217+I217,1)</f>
        <v>203532</v>
      </c>
      <c r="L217" s="135">
        <f>TRUNC(F217+H217+J217,1)</f>
        <v>12211.9</v>
      </c>
      <c r="M217" s="522" t="s">
        <v>51</v>
      </c>
      <c r="N217" s="2" t="s">
        <v>196</v>
      </c>
      <c r="O217" s="2" t="s">
        <v>948</v>
      </c>
      <c r="P217" s="2" t="s">
        <v>62</v>
      </c>
      <c r="Q217" s="2" t="s">
        <v>62</v>
      </c>
      <c r="R217" s="2" t="s">
        <v>61</v>
      </c>
      <c r="S217" s="3"/>
      <c r="T217" s="3"/>
      <c r="U217" s="3"/>
      <c r="V217" s="3">
        <v>1</v>
      </c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2" t="s">
        <v>51</v>
      </c>
      <c r="AW217" s="2" t="s">
        <v>1172</v>
      </c>
      <c r="AX217" s="2" t="s">
        <v>51</v>
      </c>
      <c r="AY217" s="2" t="s">
        <v>51</v>
      </c>
    </row>
    <row r="218" spans="1:51" ht="30" customHeight="1">
      <c r="A218" s="8" t="s">
        <v>996</v>
      </c>
      <c r="B218" s="8" t="s">
        <v>947</v>
      </c>
      <c r="C218" s="8" t="s">
        <v>419</v>
      </c>
      <c r="D218" s="133">
        <v>6.0000000000000001E-3</v>
      </c>
      <c r="E218" s="134">
        <f>단가대비표!O566</f>
        <v>0</v>
      </c>
      <c r="F218" s="135">
        <f>TRUNC(E218*D218,1)</f>
        <v>0</v>
      </c>
      <c r="G218" s="134">
        <f>단가대비표!P556</f>
        <v>130264</v>
      </c>
      <c r="H218" s="135">
        <f>TRUNC(G218*D218,1)</f>
        <v>781.5</v>
      </c>
      <c r="I218" s="134">
        <f>단가대비표!V566</f>
        <v>0</v>
      </c>
      <c r="J218" s="135">
        <f>TRUNC(I218*D218,1)</f>
        <v>0</v>
      </c>
      <c r="K218" s="134">
        <f t="shared" ref="K218:K219" si="39">TRUNC(E218+G218+I218,1)</f>
        <v>130264</v>
      </c>
      <c r="L218" s="135">
        <f t="shared" ref="L218:L219" si="40">TRUNC(F218+H218+J218,1)</f>
        <v>781.5</v>
      </c>
      <c r="M218" s="522" t="s">
        <v>51</v>
      </c>
      <c r="N218" s="2" t="s">
        <v>196</v>
      </c>
      <c r="O218" s="2" t="s">
        <v>997</v>
      </c>
      <c r="P218" s="2" t="s">
        <v>62</v>
      </c>
      <c r="Q218" s="2" t="s">
        <v>62</v>
      </c>
      <c r="R218" s="2" t="s">
        <v>61</v>
      </c>
      <c r="S218" s="3"/>
      <c r="T218" s="3"/>
      <c r="U218" s="3"/>
      <c r="V218" s="3">
        <v>1</v>
      </c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2" t="s">
        <v>51</v>
      </c>
      <c r="AW218" s="2" t="s">
        <v>1177</v>
      </c>
      <c r="AX218" s="2" t="s">
        <v>51</v>
      </c>
      <c r="AY218" s="2" t="s">
        <v>51</v>
      </c>
    </row>
    <row r="219" spans="1:51" ht="30" customHeight="1">
      <c r="A219" s="8" t="s">
        <v>1134</v>
      </c>
      <c r="B219" s="8" t="s">
        <v>1178</v>
      </c>
      <c r="C219" s="8" t="s">
        <v>82</v>
      </c>
      <c r="D219" s="133">
        <v>1</v>
      </c>
      <c r="E219" s="134">
        <v>0</v>
      </c>
      <c r="F219" s="135">
        <f>TRUNC(E219*D219,1)</f>
        <v>0</v>
      </c>
      <c r="G219" s="134">
        <v>0</v>
      </c>
      <c r="H219" s="135">
        <f>TRUNC(G219*D219,1)</f>
        <v>0</v>
      </c>
      <c r="I219" s="134">
        <f>TRUNC(SUMIF(V216:V219, RIGHTB(O219, 1), H216:H219)*U219, 2)</f>
        <v>259.86</v>
      </c>
      <c r="J219" s="135">
        <f>TRUNC(I219*D219,1)</f>
        <v>259.8</v>
      </c>
      <c r="K219" s="134">
        <f t="shared" si="39"/>
        <v>259.8</v>
      </c>
      <c r="L219" s="135">
        <f t="shared" si="40"/>
        <v>259.8</v>
      </c>
      <c r="M219" s="522" t="s">
        <v>51</v>
      </c>
      <c r="N219" s="2" t="s">
        <v>196</v>
      </c>
      <c r="O219" s="2" t="s">
        <v>1036</v>
      </c>
      <c r="P219" s="2" t="s">
        <v>62</v>
      </c>
      <c r="Q219" s="2" t="s">
        <v>62</v>
      </c>
      <c r="R219" s="2" t="s">
        <v>62</v>
      </c>
      <c r="S219" s="3">
        <v>1</v>
      </c>
      <c r="T219" s="3">
        <v>2</v>
      </c>
      <c r="U219" s="3">
        <v>0.02</v>
      </c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2" t="s">
        <v>51</v>
      </c>
      <c r="AW219" s="2" t="s">
        <v>1179</v>
      </c>
      <c r="AX219" s="2" t="s">
        <v>51</v>
      </c>
      <c r="AY219" s="2" t="s">
        <v>51</v>
      </c>
    </row>
    <row r="220" spans="1:51" ht="30" customHeight="1">
      <c r="A220" s="8" t="s">
        <v>950</v>
      </c>
      <c r="B220" s="8" t="s">
        <v>51</v>
      </c>
      <c r="C220" s="8" t="s">
        <v>51</v>
      </c>
      <c r="D220" s="9"/>
      <c r="E220" s="11"/>
      <c r="F220" s="12">
        <f>SUM(F216:F219)</f>
        <v>3925.3</v>
      </c>
      <c r="G220" s="11"/>
      <c r="H220" s="12">
        <f>SUM(H216:H219)</f>
        <v>12993.4</v>
      </c>
      <c r="I220" s="11"/>
      <c r="J220" s="12">
        <f>SUM(J216:J219)</f>
        <v>259.8</v>
      </c>
      <c r="K220" s="11"/>
      <c r="L220" s="12">
        <f>F220+H220+J220</f>
        <v>17178.5</v>
      </c>
      <c r="M220" s="522" t="s">
        <v>51</v>
      </c>
      <c r="N220" s="2" t="s">
        <v>86</v>
      </c>
      <c r="O220" s="2" t="s">
        <v>86</v>
      </c>
      <c r="P220" s="2" t="s">
        <v>51</v>
      </c>
      <c r="Q220" s="2" t="s">
        <v>51</v>
      </c>
      <c r="R220" s="2" t="s">
        <v>51</v>
      </c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2" t="s">
        <v>51</v>
      </c>
      <c r="AW220" s="2" t="s">
        <v>51</v>
      </c>
      <c r="AX220" s="2" t="s">
        <v>51</v>
      </c>
      <c r="AY220" s="2" t="s">
        <v>51</v>
      </c>
    </row>
    <row r="221" spans="1:51" ht="30" customHeight="1">
      <c r="A221" s="9"/>
      <c r="B221" s="9"/>
      <c r="C221" s="9"/>
      <c r="D221" s="9"/>
      <c r="E221" s="11"/>
      <c r="F221" s="12"/>
      <c r="G221" s="11"/>
      <c r="H221" s="12"/>
      <c r="I221" s="11"/>
      <c r="J221" s="12"/>
      <c r="K221" s="11"/>
      <c r="L221" s="12"/>
      <c r="M221" s="523"/>
    </row>
    <row r="222" spans="1:51" ht="30" customHeight="1">
      <c r="A222" s="1403" t="s">
        <v>4502</v>
      </c>
      <c r="B222" s="1403"/>
      <c r="C222" s="1403"/>
      <c r="D222" s="1403"/>
      <c r="E222" s="1404"/>
      <c r="F222" s="1405"/>
      <c r="G222" s="1404"/>
      <c r="H222" s="1405"/>
      <c r="I222" s="1404"/>
      <c r="J222" s="1405"/>
      <c r="K222" s="1404"/>
      <c r="L222" s="1405"/>
      <c r="M222" s="1403"/>
      <c r="N222" s="1" t="s">
        <v>205</v>
      </c>
    </row>
    <row r="223" spans="1:51" ht="30" customHeight="1">
      <c r="A223" s="8" t="s">
        <v>1039</v>
      </c>
      <c r="B223" s="8" t="s">
        <v>418</v>
      </c>
      <c r="C223" s="8" t="s">
        <v>419</v>
      </c>
      <c r="D223" s="9">
        <v>1.2E-2</v>
      </c>
      <c r="E223" s="11">
        <f>단가대비표!O572</f>
        <v>0</v>
      </c>
      <c r="F223" s="12">
        <f>TRUNC(E223*D223,1)</f>
        <v>0</v>
      </c>
      <c r="G223" s="11">
        <f>단가대비표!P572</f>
        <v>192305</v>
      </c>
      <c r="H223" s="12">
        <f>TRUNC(G223*D223,1)</f>
        <v>2307.6</v>
      </c>
      <c r="I223" s="11">
        <f>단가대비표!V572</f>
        <v>0</v>
      </c>
      <c r="J223" s="12">
        <f>TRUNC(I223*D223,1)</f>
        <v>0</v>
      </c>
      <c r="K223" s="11">
        <f t="shared" ref="K223:L226" si="41">TRUNC(E223+G223+I223,1)</f>
        <v>192305</v>
      </c>
      <c r="L223" s="12">
        <f t="shared" si="41"/>
        <v>2307.6</v>
      </c>
      <c r="M223" s="522" t="s">
        <v>51</v>
      </c>
      <c r="N223" s="2" t="s">
        <v>205</v>
      </c>
      <c r="O223" s="2" t="s">
        <v>1040</v>
      </c>
      <c r="P223" s="2" t="s">
        <v>62</v>
      </c>
      <c r="Q223" s="2" t="s">
        <v>62</v>
      </c>
      <c r="R223" s="2" t="s">
        <v>61</v>
      </c>
      <c r="S223" s="3"/>
      <c r="T223" s="3"/>
      <c r="U223" s="3"/>
      <c r="V223" s="3">
        <v>1</v>
      </c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2" t="s">
        <v>51</v>
      </c>
      <c r="AW223" s="2" t="s">
        <v>1189</v>
      </c>
      <c r="AX223" s="2" t="s">
        <v>51</v>
      </c>
      <c r="AY223" s="2" t="s">
        <v>51</v>
      </c>
    </row>
    <row r="224" spans="1:51" ht="30" customHeight="1">
      <c r="A224" s="8" t="s">
        <v>996</v>
      </c>
      <c r="B224" s="8" t="s">
        <v>947</v>
      </c>
      <c r="C224" s="8" t="s">
        <v>419</v>
      </c>
      <c r="D224" s="9">
        <v>2E-3</v>
      </c>
      <c r="E224" s="11">
        <f>단가대비표!O556</f>
        <v>0</v>
      </c>
      <c r="F224" s="12">
        <f>TRUNC(E224*D224,1)</f>
        <v>0</v>
      </c>
      <c r="G224" s="11">
        <f>단가대비표!P556</f>
        <v>130264</v>
      </c>
      <c r="H224" s="12">
        <f>TRUNC(G224*D224,1)</f>
        <v>260.5</v>
      </c>
      <c r="I224" s="11">
        <f>단가대비표!V556</f>
        <v>0</v>
      </c>
      <c r="J224" s="12">
        <f>TRUNC(I224*D224,1)</f>
        <v>0</v>
      </c>
      <c r="K224" s="11">
        <f t="shared" si="41"/>
        <v>130264</v>
      </c>
      <c r="L224" s="12">
        <f t="shared" si="41"/>
        <v>260.5</v>
      </c>
      <c r="M224" s="522" t="s">
        <v>51</v>
      </c>
      <c r="N224" s="2" t="s">
        <v>205</v>
      </c>
      <c r="O224" s="2" t="s">
        <v>997</v>
      </c>
      <c r="P224" s="2" t="s">
        <v>62</v>
      </c>
      <c r="Q224" s="2" t="s">
        <v>62</v>
      </c>
      <c r="R224" s="2" t="s">
        <v>61</v>
      </c>
      <c r="S224" s="3"/>
      <c r="T224" s="3"/>
      <c r="U224" s="3"/>
      <c r="V224" s="3">
        <v>1</v>
      </c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2" t="s">
        <v>51</v>
      </c>
      <c r="AW224" s="2" t="s">
        <v>1190</v>
      </c>
      <c r="AX224" s="2" t="s">
        <v>51</v>
      </c>
      <c r="AY224" s="2" t="s">
        <v>51</v>
      </c>
    </row>
    <row r="225" spans="1:51" ht="30" customHeight="1">
      <c r="A225" s="8" t="s">
        <v>1191</v>
      </c>
      <c r="B225" s="8" t="s">
        <v>51</v>
      </c>
      <c r="C225" s="8" t="s">
        <v>1192</v>
      </c>
      <c r="D225" s="9">
        <v>1</v>
      </c>
      <c r="E225" s="11">
        <f>단가대비표!O540</f>
        <v>2500</v>
      </c>
      <c r="F225" s="12">
        <f>TRUNC(E225*D225,1)</f>
        <v>2500</v>
      </c>
      <c r="G225" s="11">
        <f>단가대비표!P540</f>
        <v>0</v>
      </c>
      <c r="H225" s="12">
        <f>TRUNC(G225*D225,1)</f>
        <v>0</v>
      </c>
      <c r="I225" s="11">
        <f>단가대비표!V540</f>
        <v>0</v>
      </c>
      <c r="J225" s="12">
        <f>TRUNC(I225*D225,1)</f>
        <v>0</v>
      </c>
      <c r="K225" s="11">
        <f t="shared" si="41"/>
        <v>2500</v>
      </c>
      <c r="L225" s="12">
        <f t="shared" si="41"/>
        <v>2500</v>
      </c>
      <c r="M225" s="522" t="s">
        <v>51</v>
      </c>
      <c r="N225" s="2" t="s">
        <v>205</v>
      </c>
      <c r="O225" s="2" t="s">
        <v>1193</v>
      </c>
      <c r="P225" s="2" t="s">
        <v>62</v>
      </c>
      <c r="Q225" s="2" t="s">
        <v>62</v>
      </c>
      <c r="R225" s="2" t="s">
        <v>61</v>
      </c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2" t="s">
        <v>51</v>
      </c>
      <c r="AW225" s="2" t="s">
        <v>1194</v>
      </c>
      <c r="AX225" s="2" t="s">
        <v>51</v>
      </c>
      <c r="AY225" s="2" t="s">
        <v>51</v>
      </c>
    </row>
    <row r="226" spans="1:51" ht="30" customHeight="1">
      <c r="A226" s="8" t="s">
        <v>1134</v>
      </c>
      <c r="B226" s="8" t="s">
        <v>1178</v>
      </c>
      <c r="C226" s="8" t="s">
        <v>82</v>
      </c>
      <c r="D226" s="9">
        <v>1</v>
      </c>
      <c r="E226" s="11">
        <v>0</v>
      </c>
      <c r="F226" s="12">
        <f>TRUNC(E226*D226,1)</f>
        <v>0</v>
      </c>
      <c r="G226" s="11">
        <v>0</v>
      </c>
      <c r="H226" s="12">
        <f>TRUNC(G226*D226,1)</f>
        <v>0</v>
      </c>
      <c r="I226" s="11">
        <f>TRUNC(SUMIF(V223:V226, RIGHTB(O226, 1), H223:H226)*U226, 2)</f>
        <v>51.36</v>
      </c>
      <c r="J226" s="12">
        <f>TRUNC(I226*D226,1)</f>
        <v>51.3</v>
      </c>
      <c r="K226" s="11">
        <f t="shared" si="41"/>
        <v>51.3</v>
      </c>
      <c r="L226" s="12">
        <f t="shared" si="41"/>
        <v>51.3</v>
      </c>
      <c r="M226" s="522" t="s">
        <v>51</v>
      </c>
      <c r="N226" s="2" t="s">
        <v>205</v>
      </c>
      <c r="O226" s="2" t="s">
        <v>1036</v>
      </c>
      <c r="P226" s="2" t="s">
        <v>62</v>
      </c>
      <c r="Q226" s="2" t="s">
        <v>62</v>
      </c>
      <c r="R226" s="2" t="s">
        <v>62</v>
      </c>
      <c r="S226" s="3">
        <v>1</v>
      </c>
      <c r="T226" s="3">
        <v>2</v>
      </c>
      <c r="U226" s="3">
        <v>0.02</v>
      </c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2" t="s">
        <v>51</v>
      </c>
      <c r="AW226" s="2" t="s">
        <v>1195</v>
      </c>
      <c r="AX226" s="2" t="s">
        <v>51</v>
      </c>
      <c r="AY226" s="2" t="s">
        <v>51</v>
      </c>
    </row>
    <row r="227" spans="1:51" ht="30" customHeight="1">
      <c r="A227" s="8" t="s">
        <v>950</v>
      </c>
      <c r="B227" s="8" t="s">
        <v>51</v>
      </c>
      <c r="C227" s="8" t="s">
        <v>51</v>
      </c>
      <c r="D227" s="9"/>
      <c r="E227" s="11"/>
      <c r="F227" s="12">
        <f>TRUNC(SUMIF(N223:N226, N222, F223:F226),0)</f>
        <v>2500</v>
      </c>
      <c r="G227" s="11"/>
      <c r="H227" s="12">
        <f>TRUNC(SUMIF(N223:N226, N222, H223:H226),0)</f>
        <v>2568</v>
      </c>
      <c r="I227" s="11"/>
      <c r="J227" s="12">
        <f>TRUNC(SUMIF(N223:N226, N222, J223:J226),0)</f>
        <v>51</v>
      </c>
      <c r="K227" s="11"/>
      <c r="L227" s="12">
        <f>F227+H227+J227</f>
        <v>5119</v>
      </c>
      <c r="M227" s="522" t="s">
        <v>51</v>
      </c>
      <c r="N227" s="2" t="s">
        <v>86</v>
      </c>
      <c r="O227" s="2" t="s">
        <v>86</v>
      </c>
      <c r="P227" s="2" t="s">
        <v>51</v>
      </c>
      <c r="Q227" s="2" t="s">
        <v>51</v>
      </c>
      <c r="R227" s="2" t="s">
        <v>51</v>
      </c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2" t="s">
        <v>51</v>
      </c>
      <c r="AW227" s="2" t="s">
        <v>51</v>
      </c>
      <c r="AX227" s="2" t="s">
        <v>51</v>
      </c>
      <c r="AY227" s="2" t="s">
        <v>51</v>
      </c>
    </row>
    <row r="228" spans="1:51" ht="30" customHeight="1">
      <c r="A228" s="9"/>
      <c r="B228" s="9"/>
      <c r="C228" s="9"/>
      <c r="D228" s="9"/>
      <c r="E228" s="11"/>
      <c r="F228" s="12"/>
      <c r="G228" s="11"/>
      <c r="H228" s="12"/>
      <c r="I228" s="11"/>
      <c r="J228" s="12"/>
      <c r="K228" s="11"/>
      <c r="L228" s="12"/>
      <c r="M228" s="523"/>
    </row>
    <row r="229" spans="1:51" ht="30" customHeight="1">
      <c r="A229" s="1403" t="s">
        <v>4503</v>
      </c>
      <c r="B229" s="1403"/>
      <c r="C229" s="1403"/>
      <c r="D229" s="1403"/>
      <c r="E229" s="1404"/>
      <c r="F229" s="1405"/>
      <c r="G229" s="1404"/>
      <c r="H229" s="1405"/>
      <c r="I229" s="1404"/>
      <c r="J229" s="1405"/>
      <c r="K229" s="1404"/>
      <c r="L229" s="1405"/>
      <c r="M229" s="1403"/>
      <c r="N229" s="1" t="s">
        <v>209</v>
      </c>
    </row>
    <row r="230" spans="1:51" ht="30" customHeight="1">
      <c r="A230" s="8" t="s">
        <v>1198</v>
      </c>
      <c r="B230" s="8" t="s">
        <v>1198</v>
      </c>
      <c r="C230" s="8" t="s">
        <v>59</v>
      </c>
      <c r="D230" s="9">
        <v>1.05</v>
      </c>
      <c r="E230" s="11">
        <f>단가대비표!O56</f>
        <v>4000</v>
      </c>
      <c r="F230" s="12">
        <f>TRUNC(E230*D230,1)</f>
        <v>4200</v>
      </c>
      <c r="G230" s="11">
        <f>단가대비표!P56</f>
        <v>0</v>
      </c>
      <c r="H230" s="12">
        <f>TRUNC(G230*D230,1)</f>
        <v>0</v>
      </c>
      <c r="I230" s="11">
        <f>단가대비표!V56</f>
        <v>0</v>
      </c>
      <c r="J230" s="12">
        <f>TRUNC(I230*D230,1)</f>
        <v>0</v>
      </c>
      <c r="K230" s="11">
        <f t="shared" ref="K230:L233" si="42">TRUNC(E230+G230+I230,1)</f>
        <v>4000</v>
      </c>
      <c r="L230" s="12">
        <f t="shared" si="42"/>
        <v>4200</v>
      </c>
      <c r="M230" s="522" t="s">
        <v>51</v>
      </c>
      <c r="N230" s="2" t="s">
        <v>209</v>
      </c>
      <c r="O230" s="2" t="s">
        <v>1199</v>
      </c>
      <c r="P230" s="2" t="s">
        <v>62</v>
      </c>
      <c r="Q230" s="2" t="s">
        <v>62</v>
      </c>
      <c r="R230" s="2" t="s">
        <v>61</v>
      </c>
      <c r="S230" s="3"/>
      <c r="T230" s="3"/>
      <c r="U230" s="3"/>
      <c r="V230" s="3">
        <v>1</v>
      </c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2" t="s">
        <v>51</v>
      </c>
      <c r="AW230" s="2" t="s">
        <v>1200</v>
      </c>
      <c r="AX230" s="2" t="s">
        <v>51</v>
      </c>
      <c r="AY230" s="2" t="s">
        <v>51</v>
      </c>
    </row>
    <row r="231" spans="1:51" ht="30" customHeight="1">
      <c r="A231" s="8" t="s">
        <v>946</v>
      </c>
      <c r="B231" s="8" t="s">
        <v>947</v>
      </c>
      <c r="C231" s="8" t="s">
        <v>419</v>
      </c>
      <c r="D231" s="9">
        <v>3.3000000000000002E-2</v>
      </c>
      <c r="E231" s="11">
        <f>단가대비표!O568</f>
        <v>0</v>
      </c>
      <c r="F231" s="12">
        <f>TRUNC(E231*D231,1)</f>
        <v>0</v>
      </c>
      <c r="G231" s="11">
        <f>단가대비표!P568</f>
        <v>203532</v>
      </c>
      <c r="H231" s="12">
        <f>TRUNC(G231*D231,1)</f>
        <v>6716.5</v>
      </c>
      <c r="I231" s="11">
        <f>단가대비표!V568</f>
        <v>0</v>
      </c>
      <c r="J231" s="12">
        <f>TRUNC(I231*D231,1)</f>
        <v>0</v>
      </c>
      <c r="K231" s="11">
        <f>TRUNC(E231+G231+I231,1)</f>
        <v>203532</v>
      </c>
      <c r="L231" s="12">
        <f>TRUNC(F231+H231+J231,1)</f>
        <v>6716.5</v>
      </c>
      <c r="M231" s="522" t="s">
        <v>51</v>
      </c>
      <c r="N231" s="2" t="s">
        <v>209</v>
      </c>
      <c r="O231" s="2" t="s">
        <v>948</v>
      </c>
      <c r="P231" s="2" t="s">
        <v>62</v>
      </c>
      <c r="Q231" s="2" t="s">
        <v>62</v>
      </c>
      <c r="R231" s="2" t="s">
        <v>61</v>
      </c>
      <c r="S231" s="3"/>
      <c r="T231" s="3"/>
      <c r="U231" s="3"/>
      <c r="V231" s="3">
        <v>1</v>
      </c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2" t="s">
        <v>51</v>
      </c>
      <c r="AW231" s="2" t="s">
        <v>1197</v>
      </c>
      <c r="AX231" s="2" t="s">
        <v>51</v>
      </c>
      <c r="AY231" s="2" t="s">
        <v>51</v>
      </c>
    </row>
    <row r="232" spans="1:51" ht="30" customHeight="1">
      <c r="A232" s="8" t="s">
        <v>996</v>
      </c>
      <c r="B232" s="8" t="s">
        <v>947</v>
      </c>
      <c r="C232" s="8" t="s">
        <v>419</v>
      </c>
      <c r="D232" s="9">
        <v>3.0000000000000001E-3</v>
      </c>
      <c r="E232" s="11">
        <f>단가대비표!O556</f>
        <v>0</v>
      </c>
      <c r="F232" s="12">
        <f>TRUNC(E232*D232,1)</f>
        <v>0</v>
      </c>
      <c r="G232" s="11">
        <f>단가대비표!P556</f>
        <v>130264</v>
      </c>
      <c r="H232" s="12">
        <f>TRUNC(G232*D232,1)</f>
        <v>390.7</v>
      </c>
      <c r="I232" s="11">
        <f>단가대비표!V556</f>
        <v>0</v>
      </c>
      <c r="J232" s="12">
        <f>TRUNC(I232*D232,1)</f>
        <v>0</v>
      </c>
      <c r="K232" s="11">
        <f t="shared" si="42"/>
        <v>130264</v>
      </c>
      <c r="L232" s="12">
        <f t="shared" si="42"/>
        <v>390.7</v>
      </c>
      <c r="M232" s="522" t="s">
        <v>51</v>
      </c>
      <c r="N232" s="2" t="s">
        <v>209</v>
      </c>
      <c r="O232" s="2" t="s">
        <v>997</v>
      </c>
      <c r="P232" s="2" t="s">
        <v>62</v>
      </c>
      <c r="Q232" s="2" t="s">
        <v>62</v>
      </c>
      <c r="R232" s="2" t="s">
        <v>61</v>
      </c>
      <c r="S232" s="3"/>
      <c r="T232" s="3"/>
      <c r="U232" s="3"/>
      <c r="V232" s="3">
        <v>1</v>
      </c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2" t="s">
        <v>51</v>
      </c>
      <c r="AW232" s="2" t="s">
        <v>1201</v>
      </c>
      <c r="AX232" s="2" t="s">
        <v>51</v>
      </c>
      <c r="AY232" s="2" t="s">
        <v>51</v>
      </c>
    </row>
    <row r="233" spans="1:51" ht="30" customHeight="1">
      <c r="A233" s="8" t="s">
        <v>1134</v>
      </c>
      <c r="B233" s="8" t="s">
        <v>1178</v>
      </c>
      <c r="C233" s="8" t="s">
        <v>82</v>
      </c>
      <c r="D233" s="9">
        <v>1</v>
      </c>
      <c r="E233" s="11">
        <v>0</v>
      </c>
      <c r="F233" s="12">
        <f>TRUNC(E233*D233,1)</f>
        <v>0</v>
      </c>
      <c r="G233" s="11">
        <v>0</v>
      </c>
      <c r="H233" s="12">
        <f>TRUNC(G233*D233,1)</f>
        <v>0</v>
      </c>
      <c r="I233" s="11">
        <f>TRUNC(SUMIF(V230:V233, RIGHTB(O233, 1), H230:H233)*U233, 2)</f>
        <v>142.13999999999999</v>
      </c>
      <c r="J233" s="12">
        <f>TRUNC(I233*D233,1)</f>
        <v>142.1</v>
      </c>
      <c r="K233" s="11">
        <f t="shared" si="42"/>
        <v>142.1</v>
      </c>
      <c r="L233" s="12">
        <f t="shared" si="42"/>
        <v>142.1</v>
      </c>
      <c r="M233" s="522" t="s">
        <v>51</v>
      </c>
      <c r="N233" s="2" t="s">
        <v>209</v>
      </c>
      <c r="O233" s="2" t="s">
        <v>1036</v>
      </c>
      <c r="P233" s="2" t="s">
        <v>62</v>
      </c>
      <c r="Q233" s="2" t="s">
        <v>62</v>
      </c>
      <c r="R233" s="2" t="s">
        <v>62</v>
      </c>
      <c r="S233" s="3">
        <v>1</v>
      </c>
      <c r="T233" s="3">
        <v>2</v>
      </c>
      <c r="U233" s="3">
        <v>0.02</v>
      </c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2" t="s">
        <v>51</v>
      </c>
      <c r="AW233" s="2" t="s">
        <v>1202</v>
      </c>
      <c r="AX233" s="2" t="s">
        <v>51</v>
      </c>
      <c r="AY233" s="2" t="s">
        <v>51</v>
      </c>
    </row>
    <row r="234" spans="1:51" ht="30" customHeight="1">
      <c r="A234" s="8" t="s">
        <v>950</v>
      </c>
      <c r="B234" s="8" t="s">
        <v>51</v>
      </c>
      <c r="C234" s="8" t="s">
        <v>51</v>
      </c>
      <c r="D234" s="9"/>
      <c r="E234" s="11"/>
      <c r="F234" s="12">
        <f>TRUNC(SUMIF(N230:N233, N229, F230:F233),0)</f>
        <v>4200</v>
      </c>
      <c r="G234" s="11"/>
      <c r="H234" s="12">
        <f>TRUNC(SUMIF(N230:N233, N229, H230:H233),0)</f>
        <v>7107</v>
      </c>
      <c r="I234" s="11"/>
      <c r="J234" s="12">
        <f>TRUNC(SUMIF(N230:N233, N229, J230:J233),0)</f>
        <v>142</v>
      </c>
      <c r="K234" s="11"/>
      <c r="L234" s="12">
        <f>F234+H234+J234</f>
        <v>11449</v>
      </c>
      <c r="M234" s="522" t="s">
        <v>51</v>
      </c>
      <c r="N234" s="2" t="s">
        <v>86</v>
      </c>
      <c r="O234" s="2" t="s">
        <v>86</v>
      </c>
      <c r="P234" s="2" t="s">
        <v>51</v>
      </c>
      <c r="Q234" s="2" t="s">
        <v>51</v>
      </c>
      <c r="R234" s="2" t="s">
        <v>51</v>
      </c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2" t="s">
        <v>51</v>
      </c>
      <c r="AW234" s="2" t="s">
        <v>51</v>
      </c>
      <c r="AX234" s="2" t="s">
        <v>51</v>
      </c>
      <c r="AY234" s="2" t="s">
        <v>51</v>
      </c>
    </row>
    <row r="235" spans="1:51" ht="30" customHeight="1">
      <c r="A235" s="9"/>
      <c r="B235" s="9"/>
      <c r="C235" s="9"/>
      <c r="D235" s="9"/>
      <c r="E235" s="11"/>
      <c r="F235" s="12"/>
      <c r="G235" s="11"/>
      <c r="H235" s="12"/>
      <c r="I235" s="11"/>
      <c r="J235" s="12"/>
      <c r="K235" s="11"/>
      <c r="L235" s="12"/>
      <c r="M235" s="523"/>
    </row>
    <row r="236" spans="1:51" ht="30" customHeight="1">
      <c r="A236" s="1403" t="s">
        <v>4504</v>
      </c>
      <c r="B236" s="1403"/>
      <c r="C236" s="1403"/>
      <c r="D236" s="1403"/>
      <c r="E236" s="1404"/>
      <c r="F236" s="1405"/>
      <c r="G236" s="1404"/>
      <c r="H236" s="1405"/>
      <c r="I236" s="1404"/>
      <c r="J236" s="1405"/>
      <c r="K236" s="1404"/>
      <c r="L236" s="1405"/>
      <c r="M236" s="1403"/>
      <c r="N236" s="1" t="s">
        <v>212</v>
      </c>
    </row>
    <row r="237" spans="1:51" ht="30" customHeight="1">
      <c r="A237" s="8" t="s">
        <v>1173</v>
      </c>
      <c r="B237" s="8" t="s">
        <v>1205</v>
      </c>
      <c r="C237" s="8" t="s">
        <v>59</v>
      </c>
      <c r="D237" s="9">
        <v>1.05</v>
      </c>
      <c r="E237" s="11">
        <f>단가대비표!O32</f>
        <v>8120</v>
      </c>
      <c r="F237" s="12">
        <f>TRUNC(E237*D237,1)</f>
        <v>8526</v>
      </c>
      <c r="G237" s="11">
        <f>단가대비표!P32</f>
        <v>0</v>
      </c>
      <c r="H237" s="12">
        <f>TRUNC(G237*D237,1)</f>
        <v>0</v>
      </c>
      <c r="I237" s="11">
        <f>단가대비표!V32</f>
        <v>0</v>
      </c>
      <c r="J237" s="12">
        <f>TRUNC(I237*D237,1)</f>
        <v>0</v>
      </c>
      <c r="K237" s="11">
        <f t="shared" ref="K237:L240" si="43">TRUNC(E237+G237+I237,1)</f>
        <v>8120</v>
      </c>
      <c r="L237" s="12">
        <f t="shared" si="43"/>
        <v>8526</v>
      </c>
      <c r="M237" s="522" t="s">
        <v>51</v>
      </c>
      <c r="N237" s="2" t="s">
        <v>212</v>
      </c>
      <c r="O237" s="2" t="s">
        <v>1206</v>
      </c>
      <c r="P237" s="2" t="s">
        <v>62</v>
      </c>
      <c r="Q237" s="2" t="s">
        <v>62</v>
      </c>
      <c r="R237" s="2" t="s">
        <v>61</v>
      </c>
      <c r="S237" s="3"/>
      <c r="T237" s="3"/>
      <c r="U237" s="3"/>
      <c r="V237" s="3">
        <v>1</v>
      </c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2" t="s">
        <v>51</v>
      </c>
      <c r="AW237" s="2" t="s">
        <v>1207</v>
      </c>
      <c r="AX237" s="2" t="s">
        <v>51</v>
      </c>
      <c r="AY237" s="2" t="s">
        <v>51</v>
      </c>
    </row>
    <row r="238" spans="1:51" ht="30" customHeight="1">
      <c r="A238" s="8" t="s">
        <v>946</v>
      </c>
      <c r="B238" s="8" t="s">
        <v>947</v>
      </c>
      <c r="C238" s="8" t="s">
        <v>419</v>
      </c>
      <c r="D238" s="9">
        <v>0.06</v>
      </c>
      <c r="E238" s="11">
        <f>단가대비표!O568</f>
        <v>0</v>
      </c>
      <c r="F238" s="12">
        <f>TRUNC(E238*D238,1)</f>
        <v>0</v>
      </c>
      <c r="G238" s="11">
        <f>단가대비표!P568</f>
        <v>203532</v>
      </c>
      <c r="H238" s="12">
        <f>TRUNC(G238*D238,1)</f>
        <v>12211.9</v>
      </c>
      <c r="I238" s="11">
        <f>단가대비표!V568</f>
        <v>0</v>
      </c>
      <c r="J238" s="12">
        <f>TRUNC(I238*D238,1)</f>
        <v>0</v>
      </c>
      <c r="K238" s="11">
        <f>TRUNC(E238+G238+I238,1)</f>
        <v>203532</v>
      </c>
      <c r="L238" s="12">
        <f>TRUNC(F238+H238+J238,1)</f>
        <v>12211.9</v>
      </c>
      <c r="M238" s="522" t="s">
        <v>51</v>
      </c>
      <c r="N238" s="2" t="s">
        <v>212</v>
      </c>
      <c r="O238" s="2" t="s">
        <v>948</v>
      </c>
      <c r="P238" s="2" t="s">
        <v>62</v>
      </c>
      <c r="Q238" s="2" t="s">
        <v>62</v>
      </c>
      <c r="R238" s="2" t="s">
        <v>61</v>
      </c>
      <c r="S238" s="3"/>
      <c r="T238" s="3"/>
      <c r="U238" s="3"/>
      <c r="V238" s="3">
        <v>1</v>
      </c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2" t="s">
        <v>51</v>
      </c>
      <c r="AW238" s="2" t="s">
        <v>1204</v>
      </c>
      <c r="AX238" s="2" t="s">
        <v>51</v>
      </c>
      <c r="AY238" s="2" t="s">
        <v>51</v>
      </c>
    </row>
    <row r="239" spans="1:51" ht="30" customHeight="1">
      <c r="A239" s="8" t="s">
        <v>996</v>
      </c>
      <c r="B239" s="8" t="s">
        <v>947</v>
      </c>
      <c r="C239" s="8" t="s">
        <v>419</v>
      </c>
      <c r="D239" s="9">
        <v>6.0000000000000001E-3</v>
      </c>
      <c r="E239" s="11">
        <f>단가대비표!O556</f>
        <v>0</v>
      </c>
      <c r="F239" s="12">
        <f>TRUNC(E239*D239,1)</f>
        <v>0</v>
      </c>
      <c r="G239" s="11">
        <f>단가대비표!P556</f>
        <v>130264</v>
      </c>
      <c r="H239" s="12">
        <f>TRUNC(G239*D239,1)</f>
        <v>781.5</v>
      </c>
      <c r="I239" s="11">
        <f>단가대비표!V556</f>
        <v>0</v>
      </c>
      <c r="J239" s="12">
        <f>TRUNC(I239*D239,1)</f>
        <v>0</v>
      </c>
      <c r="K239" s="11">
        <f t="shared" si="43"/>
        <v>130264</v>
      </c>
      <c r="L239" s="12">
        <f t="shared" si="43"/>
        <v>781.5</v>
      </c>
      <c r="M239" s="522" t="s">
        <v>51</v>
      </c>
      <c r="N239" s="2" t="s">
        <v>212</v>
      </c>
      <c r="O239" s="2" t="s">
        <v>997</v>
      </c>
      <c r="P239" s="2" t="s">
        <v>62</v>
      </c>
      <c r="Q239" s="2" t="s">
        <v>62</v>
      </c>
      <c r="R239" s="2" t="s">
        <v>61</v>
      </c>
      <c r="S239" s="3"/>
      <c r="T239" s="3"/>
      <c r="U239" s="3"/>
      <c r="V239" s="3">
        <v>1</v>
      </c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2" t="s">
        <v>51</v>
      </c>
      <c r="AW239" s="2" t="s">
        <v>1208</v>
      </c>
      <c r="AX239" s="2" t="s">
        <v>51</v>
      </c>
      <c r="AY239" s="2" t="s">
        <v>51</v>
      </c>
    </row>
    <row r="240" spans="1:51" ht="30" customHeight="1">
      <c r="A240" s="8" t="s">
        <v>1134</v>
      </c>
      <c r="B240" s="8" t="s">
        <v>1178</v>
      </c>
      <c r="C240" s="8" t="s">
        <v>82</v>
      </c>
      <c r="D240" s="9">
        <v>1</v>
      </c>
      <c r="E240" s="11">
        <v>0</v>
      </c>
      <c r="F240" s="12">
        <f>TRUNC(E240*D240,1)</f>
        <v>0</v>
      </c>
      <c r="G240" s="11">
        <v>0</v>
      </c>
      <c r="H240" s="12">
        <f>TRUNC(G240*D240,1)</f>
        <v>0</v>
      </c>
      <c r="I240" s="11">
        <f>TRUNC(SUMIF(V237:V240, RIGHTB(O240, 1), H237:H240)*U240, 2)</f>
        <v>259.86</v>
      </c>
      <c r="J240" s="12">
        <f>TRUNC(I240*D240,1)</f>
        <v>259.8</v>
      </c>
      <c r="K240" s="11">
        <f t="shared" si="43"/>
        <v>259.8</v>
      </c>
      <c r="L240" s="12">
        <f t="shared" si="43"/>
        <v>259.8</v>
      </c>
      <c r="M240" s="522" t="s">
        <v>51</v>
      </c>
      <c r="N240" s="2" t="s">
        <v>212</v>
      </c>
      <c r="O240" s="2" t="s">
        <v>1036</v>
      </c>
      <c r="P240" s="2" t="s">
        <v>62</v>
      </c>
      <c r="Q240" s="2" t="s">
        <v>62</v>
      </c>
      <c r="R240" s="2" t="s">
        <v>62</v>
      </c>
      <c r="S240" s="3">
        <v>1</v>
      </c>
      <c r="T240" s="3">
        <v>2</v>
      </c>
      <c r="U240" s="3">
        <v>0.02</v>
      </c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2" t="s">
        <v>51</v>
      </c>
      <c r="AW240" s="2" t="s">
        <v>1209</v>
      </c>
      <c r="AX240" s="2" t="s">
        <v>51</v>
      </c>
      <c r="AY240" s="2" t="s">
        <v>51</v>
      </c>
    </row>
    <row r="241" spans="1:52" ht="30" customHeight="1">
      <c r="A241" s="8" t="s">
        <v>950</v>
      </c>
      <c r="B241" s="8" t="s">
        <v>51</v>
      </c>
      <c r="C241" s="8" t="s">
        <v>51</v>
      </c>
      <c r="D241" s="9"/>
      <c r="E241" s="11"/>
      <c r="F241" s="12">
        <f>TRUNC(SUMIF(N237:N240, N236, F237:F240),0)</f>
        <v>8526</v>
      </c>
      <c r="G241" s="11"/>
      <c r="H241" s="12">
        <f>TRUNC(SUMIF(N237:N240, N236, H237:H240),0)</f>
        <v>12993</v>
      </c>
      <c r="I241" s="11"/>
      <c r="J241" s="12">
        <f>TRUNC(SUMIF(N237:N240, N236, J237:J240),0)</f>
        <v>259</v>
      </c>
      <c r="K241" s="11"/>
      <c r="L241" s="12">
        <f>F241+H241+J241</f>
        <v>21778</v>
      </c>
      <c r="M241" s="522" t="s">
        <v>51</v>
      </c>
      <c r="N241" s="2" t="s">
        <v>86</v>
      </c>
      <c r="O241" s="2" t="s">
        <v>86</v>
      </c>
      <c r="P241" s="2" t="s">
        <v>51</v>
      </c>
      <c r="Q241" s="2" t="s">
        <v>51</v>
      </c>
      <c r="R241" s="2" t="s">
        <v>51</v>
      </c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2" t="s">
        <v>51</v>
      </c>
      <c r="AW241" s="2" t="s">
        <v>51</v>
      </c>
      <c r="AX241" s="2" t="s">
        <v>51</v>
      </c>
      <c r="AY241" s="2" t="s">
        <v>51</v>
      </c>
    </row>
    <row r="242" spans="1:52" ht="30" customHeight="1">
      <c r="A242" s="9"/>
      <c r="B242" s="9"/>
      <c r="C242" s="9"/>
      <c r="D242" s="9"/>
      <c r="E242" s="11"/>
      <c r="F242" s="12"/>
      <c r="G242" s="11"/>
      <c r="H242" s="12"/>
      <c r="I242" s="11"/>
      <c r="J242" s="12"/>
      <c r="K242" s="11"/>
      <c r="L242" s="12"/>
      <c r="M242" s="523"/>
    </row>
    <row r="243" spans="1:52" ht="30" customHeight="1">
      <c r="A243" s="1403" t="s">
        <v>4505</v>
      </c>
      <c r="B243" s="1403"/>
      <c r="C243" s="1403"/>
      <c r="D243" s="1403"/>
      <c r="E243" s="1404"/>
      <c r="F243" s="1405"/>
      <c r="G243" s="1404"/>
      <c r="H243" s="1405"/>
      <c r="I243" s="1404"/>
      <c r="J243" s="1405"/>
      <c r="K243" s="1404"/>
      <c r="L243" s="1405"/>
      <c r="M243" s="1403"/>
      <c r="N243" s="1" t="s">
        <v>216</v>
      </c>
    </row>
    <row r="244" spans="1:52" ht="30" customHeight="1">
      <c r="A244" s="8" t="s">
        <v>2343</v>
      </c>
      <c r="B244" s="8" t="s">
        <v>3798</v>
      </c>
      <c r="C244" s="8" t="s">
        <v>2344</v>
      </c>
      <c r="D244" s="9">
        <v>1.2</v>
      </c>
      <c r="E244" s="11">
        <f>단가대비표!O56</f>
        <v>4000</v>
      </c>
      <c r="F244" s="12">
        <f>TRUNC(E244*D244,1)</f>
        <v>4800</v>
      </c>
      <c r="G244" s="11">
        <f>단가대비표!P54</f>
        <v>0</v>
      </c>
      <c r="H244" s="12">
        <f>TRUNC(G244*D244,1)</f>
        <v>0</v>
      </c>
      <c r="I244" s="11">
        <f>단가대비표!V54</f>
        <v>0</v>
      </c>
      <c r="J244" s="12">
        <f>TRUNC(I244*D244,1)</f>
        <v>0</v>
      </c>
      <c r="K244" s="11">
        <f t="shared" ref="K244:L245" si="44">TRUNC(E244+G244+I244,1)</f>
        <v>4000</v>
      </c>
      <c r="L244" s="12">
        <f t="shared" si="44"/>
        <v>4800</v>
      </c>
      <c r="M244" s="522" t="s">
        <v>51</v>
      </c>
      <c r="N244" s="2" t="s">
        <v>216</v>
      </c>
      <c r="O244" s="2" t="s">
        <v>1214</v>
      </c>
      <c r="P244" s="2" t="s">
        <v>62</v>
      </c>
      <c r="Q244" s="2" t="s">
        <v>62</v>
      </c>
      <c r="R244" s="2" t="s">
        <v>61</v>
      </c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2" t="s">
        <v>51</v>
      </c>
      <c r="AW244" s="2" t="s">
        <v>1215</v>
      </c>
      <c r="AX244" s="2" t="s">
        <v>51</v>
      </c>
      <c r="AY244" s="2" t="s">
        <v>51</v>
      </c>
    </row>
    <row r="245" spans="1:52" ht="30" customHeight="1">
      <c r="A245" s="8" t="s">
        <v>1118</v>
      </c>
      <c r="B245" s="8" t="s">
        <v>1151</v>
      </c>
      <c r="C245" s="8" t="s">
        <v>993</v>
      </c>
      <c r="D245" s="9">
        <v>3.0000000000000001E-3</v>
      </c>
      <c r="E245" s="11">
        <f>단가대비표!O474</f>
        <v>1105</v>
      </c>
      <c r="F245" s="12">
        <f>TRUNC(E245*D245,1)</f>
        <v>3.3</v>
      </c>
      <c r="G245" s="11">
        <f>단가대비표!P474</f>
        <v>0</v>
      </c>
      <c r="H245" s="12">
        <f>TRUNC(G245*D245,1)</f>
        <v>0</v>
      </c>
      <c r="I245" s="11">
        <f>단가대비표!V474</f>
        <v>0</v>
      </c>
      <c r="J245" s="12">
        <f>TRUNC(I245*D245,1)</f>
        <v>0</v>
      </c>
      <c r="K245" s="11">
        <f t="shared" si="44"/>
        <v>1105</v>
      </c>
      <c r="L245" s="12">
        <f t="shared" si="44"/>
        <v>3.3</v>
      </c>
      <c r="M245" s="522" t="s">
        <v>51</v>
      </c>
      <c r="N245" s="2" t="s">
        <v>216</v>
      </c>
      <c r="O245" s="2" t="s">
        <v>1152</v>
      </c>
      <c r="P245" s="2" t="s">
        <v>62</v>
      </c>
      <c r="Q245" s="2" t="s">
        <v>62</v>
      </c>
      <c r="R245" s="2" t="s">
        <v>61</v>
      </c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2" t="s">
        <v>51</v>
      </c>
      <c r="AW245" s="2" t="s">
        <v>1216</v>
      </c>
      <c r="AX245" s="2" t="s">
        <v>51</v>
      </c>
      <c r="AY245" s="2" t="s">
        <v>51</v>
      </c>
    </row>
    <row r="246" spans="1:52" ht="30" customHeight="1">
      <c r="A246" s="8" t="s">
        <v>946</v>
      </c>
      <c r="B246" s="8" t="s">
        <v>418</v>
      </c>
      <c r="C246" s="8" t="s">
        <v>419</v>
      </c>
      <c r="D246" s="133">
        <v>3.5000000000000003E-2</v>
      </c>
      <c r="E246" s="134">
        <v>0</v>
      </c>
      <c r="F246" s="135">
        <f>TRUNC(E246*D246,1)</f>
        <v>0</v>
      </c>
      <c r="G246" s="134">
        <f>단가대비표!P568</f>
        <v>203532</v>
      </c>
      <c r="H246" s="135">
        <f>TRUNC(G246*D246,1)</f>
        <v>7123.6</v>
      </c>
      <c r="I246" s="134">
        <f>단가대비표!V8</f>
        <v>0</v>
      </c>
      <c r="J246" s="135">
        <f>TRUNC(I246*D246,1)</f>
        <v>0</v>
      </c>
      <c r="K246" s="134">
        <f>TRUNC(E246+G246+I246,1)</f>
        <v>203532</v>
      </c>
      <c r="L246" s="135">
        <f>TRUNC(F246+H246+J246,1)</f>
        <v>7123.6</v>
      </c>
      <c r="M246" s="522" t="s">
        <v>51</v>
      </c>
      <c r="N246" s="2" t="s">
        <v>685</v>
      </c>
      <c r="O246" s="2" t="s">
        <v>1040</v>
      </c>
      <c r="P246" s="2" t="s">
        <v>62</v>
      </c>
      <c r="Q246" s="2" t="s">
        <v>62</v>
      </c>
      <c r="R246" s="2" t="s">
        <v>61</v>
      </c>
      <c r="S246" s="3"/>
      <c r="T246" s="3"/>
      <c r="U246" s="3"/>
      <c r="V246" s="3">
        <v>1</v>
      </c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2" t="s">
        <v>51</v>
      </c>
      <c r="AW246" s="2" t="s">
        <v>1657</v>
      </c>
      <c r="AX246" s="2" t="s">
        <v>51</v>
      </c>
      <c r="AY246" s="2" t="s">
        <v>51</v>
      </c>
    </row>
    <row r="247" spans="1:52" ht="30" customHeight="1">
      <c r="A247" s="8" t="s">
        <v>1134</v>
      </c>
      <c r="B247" s="8" t="s">
        <v>1662</v>
      </c>
      <c r="C247" s="8" t="s">
        <v>82</v>
      </c>
      <c r="D247" s="133">
        <v>1</v>
      </c>
      <c r="E247" s="134">
        <v>0</v>
      </c>
      <c r="F247" s="135">
        <f>TRUNC(E247*D247,1)</f>
        <v>0</v>
      </c>
      <c r="G247" s="134">
        <v>0</v>
      </c>
      <c r="H247" s="135">
        <f>TRUNC(G247*D247,1)</f>
        <v>0</v>
      </c>
      <c r="I247" s="134">
        <f>TRUNC(SUMIF(V245:V247, RIGHTB(O247, 1), H245:H247)*U247, 2)</f>
        <v>284.94</v>
      </c>
      <c r="J247" s="135">
        <f>TRUNC(I247*D247,1)</f>
        <v>284.89999999999998</v>
      </c>
      <c r="K247" s="134">
        <f t="shared" ref="K247" si="45">TRUNC(E247+G247+I247,1)</f>
        <v>284.89999999999998</v>
      </c>
      <c r="L247" s="135">
        <f t="shared" ref="L247" si="46">TRUNC(F247+H247+J247,1)</f>
        <v>284.89999999999998</v>
      </c>
      <c r="M247" s="522" t="s">
        <v>51</v>
      </c>
      <c r="N247" s="2" t="s">
        <v>685</v>
      </c>
      <c r="O247" s="2" t="s">
        <v>1036</v>
      </c>
      <c r="P247" s="2" t="s">
        <v>62</v>
      </c>
      <c r="Q247" s="2" t="s">
        <v>62</v>
      </c>
      <c r="R247" s="2" t="s">
        <v>62</v>
      </c>
      <c r="S247" s="3">
        <v>1</v>
      </c>
      <c r="T247" s="3">
        <v>2</v>
      </c>
      <c r="U247" s="3">
        <v>0.04</v>
      </c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2" t="s">
        <v>51</v>
      </c>
      <c r="AW247" s="2" t="s">
        <v>1663</v>
      </c>
      <c r="AX247" s="2" t="s">
        <v>51</v>
      </c>
      <c r="AY247" s="2" t="s">
        <v>51</v>
      </c>
    </row>
    <row r="248" spans="1:52" ht="30" customHeight="1">
      <c r="A248" s="8" t="s">
        <v>950</v>
      </c>
      <c r="B248" s="8" t="s">
        <v>51</v>
      </c>
      <c r="C248" s="8" t="s">
        <v>51</v>
      </c>
      <c r="D248" s="9"/>
      <c r="E248" s="11"/>
      <c r="F248" s="12">
        <f>TRUNC(SUMIF(N244:N247, N243, F244:F247),0)</f>
        <v>4803</v>
      </c>
      <c r="G248" s="11"/>
      <c r="H248" s="12">
        <f>SUM(H244:H247)</f>
        <v>7123.6</v>
      </c>
      <c r="I248" s="11"/>
      <c r="J248" s="12">
        <f>SUM(J244:J247)</f>
        <v>284.89999999999998</v>
      </c>
      <c r="K248" s="11"/>
      <c r="L248" s="12">
        <f>F248+H248+J248</f>
        <v>12211.5</v>
      </c>
      <c r="M248" s="522" t="s">
        <v>51</v>
      </c>
      <c r="N248" s="2" t="s">
        <v>86</v>
      </c>
      <c r="O248" s="2" t="s">
        <v>86</v>
      </c>
      <c r="P248" s="2" t="s">
        <v>51</v>
      </c>
      <c r="Q248" s="2" t="s">
        <v>51</v>
      </c>
      <c r="R248" s="2" t="s">
        <v>51</v>
      </c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2" t="s">
        <v>51</v>
      </c>
      <c r="AW248" s="2" t="s">
        <v>51</v>
      </c>
      <c r="AX248" s="2" t="s">
        <v>51</v>
      </c>
      <c r="AY248" s="2" t="s">
        <v>51</v>
      </c>
    </row>
    <row r="249" spans="1:52" ht="30" customHeight="1">
      <c r="A249" s="8"/>
      <c r="B249" s="8"/>
      <c r="C249" s="8"/>
      <c r="D249" s="207"/>
      <c r="E249" s="208"/>
      <c r="F249" s="209"/>
      <c r="G249" s="208"/>
      <c r="H249" s="209"/>
      <c r="I249" s="208"/>
      <c r="J249" s="209"/>
      <c r="K249" s="208"/>
      <c r="L249" s="209"/>
      <c r="M249" s="522"/>
      <c r="N249" s="2"/>
      <c r="O249" s="2"/>
      <c r="P249" s="2"/>
      <c r="Q249" s="2"/>
      <c r="R249" s="2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2"/>
      <c r="AW249" s="2"/>
      <c r="AX249" s="2"/>
      <c r="AY249" s="2"/>
    </row>
    <row r="250" spans="1:52" ht="30" customHeight="1">
      <c r="A250" s="9"/>
      <c r="B250" s="9"/>
      <c r="C250" s="9"/>
      <c r="D250" s="9"/>
      <c r="E250" s="11"/>
      <c r="F250" s="12"/>
      <c r="G250" s="11"/>
      <c r="H250" s="12"/>
      <c r="I250" s="11"/>
      <c r="J250" s="12"/>
      <c r="K250" s="11"/>
      <c r="L250" s="12"/>
      <c r="M250" s="523"/>
    </row>
    <row r="251" spans="1:52" ht="30" customHeight="1">
      <c r="A251" s="1400" t="s">
        <v>4506</v>
      </c>
      <c r="B251" s="1400"/>
      <c r="C251" s="1400"/>
      <c r="D251" s="1400"/>
      <c r="E251" s="1401"/>
      <c r="F251" s="1402"/>
      <c r="G251" s="1401"/>
      <c r="H251" s="1402"/>
      <c r="I251" s="1401"/>
      <c r="J251" s="1402"/>
      <c r="K251" s="1401"/>
      <c r="L251" s="1402"/>
      <c r="M251" s="1400"/>
      <c r="N251" s="1" t="s">
        <v>220</v>
      </c>
      <c r="AZ251" t="s">
        <v>6689</v>
      </c>
    </row>
    <row r="252" spans="1:52" ht="30" customHeight="1">
      <c r="A252" s="8" t="s">
        <v>1221</v>
      </c>
      <c r="B252" s="8" t="s">
        <v>1222</v>
      </c>
      <c r="C252" s="8" t="s">
        <v>204</v>
      </c>
      <c r="D252" s="1171">
        <v>0</v>
      </c>
      <c r="E252" s="11">
        <f>단가대비표!O489</f>
        <v>73</v>
      </c>
      <c r="F252" s="12">
        <f t="shared" ref="F252:F258" si="47">TRUNC(E252*D252,1)</f>
        <v>0</v>
      </c>
      <c r="G252" s="11">
        <f>단가대비표!P489</f>
        <v>0</v>
      </c>
      <c r="H252" s="12">
        <f t="shared" ref="H252:H258" si="48">TRUNC(G252*D252,1)</f>
        <v>0</v>
      </c>
      <c r="I252" s="11">
        <f>단가대비표!V489</f>
        <v>0</v>
      </c>
      <c r="J252" s="12">
        <f t="shared" ref="J252:J257" si="49">TRUNC(I252*D252,1)</f>
        <v>0</v>
      </c>
      <c r="K252" s="11">
        <f t="shared" ref="K252:L257" si="50">TRUNC(E252+G252+I252,1)</f>
        <v>73</v>
      </c>
      <c r="L252" s="12">
        <f t="shared" si="50"/>
        <v>0</v>
      </c>
      <c r="M252" s="522" t="s">
        <v>51</v>
      </c>
      <c r="N252" s="2" t="s">
        <v>220</v>
      </c>
      <c r="O252" s="2" t="s">
        <v>1223</v>
      </c>
      <c r="P252" s="2" t="s">
        <v>62</v>
      </c>
      <c r="Q252" s="2" t="s">
        <v>62</v>
      </c>
      <c r="R252" s="2" t="s">
        <v>61</v>
      </c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2" t="s">
        <v>51</v>
      </c>
      <c r="AW252" s="2" t="s">
        <v>1224</v>
      </c>
      <c r="AX252" s="2" t="s">
        <v>51</v>
      </c>
      <c r="AY252" s="2" t="s">
        <v>51</v>
      </c>
      <c r="AZ252">
        <v>1.52</v>
      </c>
    </row>
    <row r="253" spans="1:52" ht="30" customHeight="1">
      <c r="A253" s="8" t="s">
        <v>1225</v>
      </c>
      <c r="B253" s="8" t="s">
        <v>51</v>
      </c>
      <c r="C253" s="8" t="s">
        <v>993</v>
      </c>
      <c r="D253" s="1171">
        <v>0</v>
      </c>
      <c r="E253" s="11">
        <f>단가대비표!O490</f>
        <v>1150</v>
      </c>
      <c r="F253" s="12">
        <f t="shared" si="47"/>
        <v>0</v>
      </c>
      <c r="G253" s="11">
        <f>단가대비표!P490</f>
        <v>0</v>
      </c>
      <c r="H253" s="12">
        <f t="shared" si="48"/>
        <v>0</v>
      </c>
      <c r="I253" s="11">
        <f>단가대비표!V490</f>
        <v>0</v>
      </c>
      <c r="J253" s="12">
        <f t="shared" si="49"/>
        <v>0</v>
      </c>
      <c r="K253" s="11">
        <f t="shared" si="50"/>
        <v>1150</v>
      </c>
      <c r="L253" s="12">
        <f t="shared" si="50"/>
        <v>0</v>
      </c>
      <c r="M253" s="522" t="s">
        <v>51</v>
      </c>
      <c r="N253" s="2" t="s">
        <v>220</v>
      </c>
      <c r="O253" s="2" t="s">
        <v>1226</v>
      </c>
      <c r="P253" s="2" t="s">
        <v>62</v>
      </c>
      <c r="Q253" s="2" t="s">
        <v>62</v>
      </c>
      <c r="R253" s="2" t="s">
        <v>61</v>
      </c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2" t="s">
        <v>51</v>
      </c>
      <c r="AW253" s="2" t="s">
        <v>1227</v>
      </c>
      <c r="AX253" s="2" t="s">
        <v>51</v>
      </c>
      <c r="AY253" s="2" t="s">
        <v>51</v>
      </c>
      <c r="AZ253">
        <v>0.32500000000000001</v>
      </c>
    </row>
    <row r="254" spans="1:52" ht="30" customHeight="1">
      <c r="A254" s="8" t="s">
        <v>1228</v>
      </c>
      <c r="B254" s="8" t="s">
        <v>1229</v>
      </c>
      <c r="C254" s="8" t="s">
        <v>1230</v>
      </c>
      <c r="D254" s="1171">
        <v>0</v>
      </c>
      <c r="E254" s="11">
        <f>단가대비표!O487</f>
        <v>3090</v>
      </c>
      <c r="F254" s="12">
        <f t="shared" si="47"/>
        <v>0</v>
      </c>
      <c r="G254" s="11">
        <f>단가대비표!P487</f>
        <v>0</v>
      </c>
      <c r="H254" s="12">
        <f t="shared" si="48"/>
        <v>0</v>
      </c>
      <c r="I254" s="11">
        <f>단가대비표!V487</f>
        <v>0</v>
      </c>
      <c r="J254" s="12">
        <f t="shared" si="49"/>
        <v>0</v>
      </c>
      <c r="K254" s="11">
        <f t="shared" si="50"/>
        <v>3090</v>
      </c>
      <c r="L254" s="12">
        <f t="shared" si="50"/>
        <v>0</v>
      </c>
      <c r="M254" s="522" t="s">
        <v>51</v>
      </c>
      <c r="N254" s="2" t="s">
        <v>220</v>
      </c>
      <c r="O254" s="2" t="s">
        <v>1231</v>
      </c>
      <c r="P254" s="2" t="s">
        <v>62</v>
      </c>
      <c r="Q254" s="2" t="s">
        <v>62</v>
      </c>
      <c r="R254" s="2" t="s">
        <v>61</v>
      </c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2" t="s">
        <v>51</v>
      </c>
      <c r="AW254" s="2" t="s">
        <v>1232</v>
      </c>
      <c r="AX254" s="2" t="s">
        <v>51</v>
      </c>
      <c r="AY254" s="2" t="s">
        <v>51</v>
      </c>
      <c r="AZ254">
        <v>0.45300000000000001</v>
      </c>
    </row>
    <row r="255" spans="1:52" ht="30" customHeight="1">
      <c r="A255" s="8" t="s">
        <v>1233</v>
      </c>
      <c r="B255" s="8" t="s">
        <v>1234</v>
      </c>
      <c r="C255" s="8" t="s">
        <v>979</v>
      </c>
      <c r="D255" s="1171">
        <v>0</v>
      </c>
      <c r="E255" s="11">
        <f>단가대비표!O485</f>
        <v>200</v>
      </c>
      <c r="F255" s="12">
        <f t="shared" si="47"/>
        <v>0</v>
      </c>
      <c r="G255" s="11">
        <f>단가대비표!P485</f>
        <v>0</v>
      </c>
      <c r="H255" s="12">
        <f t="shared" si="48"/>
        <v>0</v>
      </c>
      <c r="I255" s="11">
        <f>단가대비표!V485</f>
        <v>0</v>
      </c>
      <c r="J255" s="12">
        <f t="shared" si="49"/>
        <v>0</v>
      </c>
      <c r="K255" s="11">
        <f t="shared" si="50"/>
        <v>200</v>
      </c>
      <c r="L255" s="12">
        <f t="shared" si="50"/>
        <v>0</v>
      </c>
      <c r="M255" s="522" t="s">
        <v>51</v>
      </c>
      <c r="N255" s="2" t="s">
        <v>220</v>
      </c>
      <c r="O255" s="2" t="s">
        <v>1235</v>
      </c>
      <c r="P255" s="2" t="s">
        <v>62</v>
      </c>
      <c r="Q255" s="2" t="s">
        <v>62</v>
      </c>
      <c r="R255" s="2" t="s">
        <v>61</v>
      </c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2" t="s">
        <v>51</v>
      </c>
      <c r="AW255" s="2" t="s">
        <v>1236</v>
      </c>
      <c r="AX255" s="2" t="s">
        <v>51</v>
      </c>
      <c r="AY255" s="2" t="s">
        <v>51</v>
      </c>
      <c r="AZ255">
        <v>0.123</v>
      </c>
    </row>
    <row r="256" spans="1:52" ht="30" customHeight="1">
      <c r="A256" s="8" t="s">
        <v>1107</v>
      </c>
      <c r="B256" s="8" t="s">
        <v>418</v>
      </c>
      <c r="C256" s="8" t="s">
        <v>419</v>
      </c>
      <c r="D256" s="1171">
        <v>0</v>
      </c>
      <c r="E256" s="11">
        <f>단가대비표!O571</f>
        <v>0</v>
      </c>
      <c r="F256" s="12">
        <f t="shared" si="47"/>
        <v>0</v>
      </c>
      <c r="G256" s="11">
        <f>단가대비표!P571</f>
        <v>188854</v>
      </c>
      <c r="H256" s="12">
        <f t="shared" si="48"/>
        <v>0</v>
      </c>
      <c r="I256" s="11">
        <f>단가대비표!V571</f>
        <v>0</v>
      </c>
      <c r="J256" s="12">
        <f t="shared" si="49"/>
        <v>0</v>
      </c>
      <c r="K256" s="11">
        <f t="shared" si="50"/>
        <v>188854</v>
      </c>
      <c r="L256" s="12">
        <f t="shared" si="50"/>
        <v>0</v>
      </c>
      <c r="M256" s="522" t="s">
        <v>51</v>
      </c>
      <c r="N256" s="2" t="s">
        <v>220</v>
      </c>
      <c r="O256" s="2" t="s">
        <v>1108</v>
      </c>
      <c r="P256" s="2" t="s">
        <v>62</v>
      </c>
      <c r="Q256" s="2" t="s">
        <v>62</v>
      </c>
      <c r="R256" s="2" t="s">
        <v>61</v>
      </c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2" t="s">
        <v>51</v>
      </c>
      <c r="AW256" s="2" t="s">
        <v>1237</v>
      </c>
      <c r="AX256" s="2" t="s">
        <v>51</v>
      </c>
      <c r="AY256" s="2" t="s">
        <v>51</v>
      </c>
      <c r="AZ256">
        <v>3.5000000000000003E-2</v>
      </c>
    </row>
    <row r="257" spans="1:52" ht="30" customHeight="1">
      <c r="A257" s="8" t="s">
        <v>996</v>
      </c>
      <c r="B257" s="8" t="s">
        <v>947</v>
      </c>
      <c r="C257" s="8" t="s">
        <v>419</v>
      </c>
      <c r="D257" s="1171">
        <v>0</v>
      </c>
      <c r="E257" s="11">
        <f>단가대비표!O556</f>
        <v>0</v>
      </c>
      <c r="F257" s="12">
        <f t="shared" si="47"/>
        <v>0</v>
      </c>
      <c r="G257" s="11">
        <f>단가대비표!P556</f>
        <v>130264</v>
      </c>
      <c r="H257" s="12">
        <f t="shared" si="48"/>
        <v>0</v>
      </c>
      <c r="I257" s="11">
        <f>단가대비표!V556</f>
        <v>0</v>
      </c>
      <c r="J257" s="12">
        <f t="shared" si="49"/>
        <v>0</v>
      </c>
      <c r="K257" s="11">
        <f t="shared" si="50"/>
        <v>130264</v>
      </c>
      <c r="L257" s="12">
        <f t="shared" si="50"/>
        <v>0</v>
      </c>
      <c r="M257" s="522" t="s">
        <v>51</v>
      </c>
      <c r="N257" s="2" t="s">
        <v>220</v>
      </c>
      <c r="O257" s="2" t="s">
        <v>997</v>
      </c>
      <c r="P257" s="2" t="s">
        <v>62</v>
      </c>
      <c r="Q257" s="2" t="s">
        <v>62</v>
      </c>
      <c r="R257" s="2" t="s">
        <v>61</v>
      </c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2" t="s">
        <v>51</v>
      </c>
      <c r="AW257" s="2" t="s">
        <v>1238</v>
      </c>
      <c r="AX257" s="2" t="s">
        <v>51</v>
      </c>
      <c r="AY257" s="2" t="s">
        <v>51</v>
      </c>
      <c r="AZ257">
        <v>0.01</v>
      </c>
    </row>
    <row r="258" spans="1:52" ht="30" customHeight="1">
      <c r="A258" s="1172" t="s">
        <v>6692</v>
      </c>
      <c r="B258" s="1172" t="s">
        <v>6693</v>
      </c>
      <c r="C258" s="1172" t="s">
        <v>6694</v>
      </c>
      <c r="D258" s="1171">
        <v>1</v>
      </c>
      <c r="E258" s="1173">
        <v>1800</v>
      </c>
      <c r="F258" s="1174">
        <f t="shared" si="47"/>
        <v>1800</v>
      </c>
      <c r="G258" s="1173">
        <v>3300</v>
      </c>
      <c r="H258" s="1174">
        <f t="shared" si="48"/>
        <v>3300</v>
      </c>
      <c r="I258" s="1173">
        <v>0</v>
      </c>
      <c r="J258" s="1174">
        <f t="shared" ref="J258" si="51">TRUNC(I258*D258,1)</f>
        <v>0</v>
      </c>
      <c r="K258" s="1173">
        <f t="shared" ref="K258" si="52">TRUNC(E258+G258+I258,1)</f>
        <v>5100</v>
      </c>
      <c r="L258" s="1174">
        <f t="shared" ref="L258" si="53">TRUNC(F258+H258+J258,1)</f>
        <v>5100</v>
      </c>
      <c r="M258" s="1175"/>
      <c r="N258" s="2"/>
      <c r="O258" s="2"/>
      <c r="P258" s="2"/>
      <c r="Q258" s="2"/>
      <c r="R258" s="2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2"/>
      <c r="AW258" s="2"/>
      <c r="AX258" s="2"/>
      <c r="AY258" s="2"/>
    </row>
    <row r="259" spans="1:52" ht="30" customHeight="1">
      <c r="A259" s="8" t="s">
        <v>950</v>
      </c>
      <c r="B259" s="8" t="s">
        <v>51</v>
      </c>
      <c r="C259" s="8" t="s">
        <v>51</v>
      </c>
      <c r="D259" s="9"/>
      <c r="E259" s="11"/>
      <c r="F259" s="12">
        <f>TRUNC(SUM(F252:F258),0)</f>
        <v>1800</v>
      </c>
      <c r="G259" s="11"/>
      <c r="H259" s="1061">
        <f>TRUNC(SUM(H252:H258),0)</f>
        <v>3300</v>
      </c>
      <c r="I259" s="11"/>
      <c r="J259" s="1061">
        <f>TRUNC(SUM(J252:J258),0)</f>
        <v>0</v>
      </c>
      <c r="K259" s="11"/>
      <c r="L259" s="12">
        <f>F259+H259+J259</f>
        <v>5100</v>
      </c>
      <c r="M259" s="522" t="s">
        <v>51</v>
      </c>
      <c r="N259" s="2" t="s">
        <v>86</v>
      </c>
      <c r="O259" s="2" t="s">
        <v>86</v>
      </c>
      <c r="P259" s="2" t="s">
        <v>51</v>
      </c>
      <c r="Q259" s="2" t="s">
        <v>51</v>
      </c>
      <c r="R259" s="2" t="s">
        <v>51</v>
      </c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2" t="s">
        <v>51</v>
      </c>
      <c r="AW259" s="2" t="s">
        <v>51</v>
      </c>
      <c r="AX259" s="2" t="s">
        <v>51</v>
      </c>
      <c r="AY259" s="2" t="s">
        <v>51</v>
      </c>
      <c r="AZ259" s="1170">
        <v>9820</v>
      </c>
    </row>
    <row r="260" spans="1:52" ht="30" customHeight="1">
      <c r="A260" s="9"/>
      <c r="B260" s="9"/>
      <c r="C260" s="9"/>
      <c r="D260" s="9"/>
      <c r="E260" s="11"/>
      <c r="F260" s="12"/>
      <c r="G260" s="11"/>
      <c r="H260" s="12"/>
      <c r="I260" s="11"/>
      <c r="J260" s="12"/>
      <c r="K260" s="11"/>
      <c r="L260" s="12"/>
      <c r="M260" s="523"/>
    </row>
    <row r="261" spans="1:52" s="442" customFormat="1" ht="30" customHeight="1">
      <c r="A261" s="1400" t="s">
        <v>6821</v>
      </c>
      <c r="B261" s="1400"/>
      <c r="C261" s="1400"/>
      <c r="D261" s="1400"/>
      <c r="E261" s="1401"/>
      <c r="F261" s="1402"/>
      <c r="G261" s="1401"/>
      <c r="H261" s="1402"/>
      <c r="I261" s="1401"/>
      <c r="J261" s="1402"/>
      <c r="K261" s="1401"/>
      <c r="L261" s="1402"/>
      <c r="M261" s="1400"/>
      <c r="N261" s="441" t="s">
        <v>224</v>
      </c>
      <c r="AZ261" s="442" t="s">
        <v>6822</v>
      </c>
    </row>
    <row r="262" spans="1:52" ht="30" customHeight="1">
      <c r="A262" s="8" t="s">
        <v>1242</v>
      </c>
      <c r="B262" s="8" t="s">
        <v>1243</v>
      </c>
      <c r="C262" s="8" t="s">
        <v>1230</v>
      </c>
      <c r="D262" s="9">
        <v>0.6</v>
      </c>
      <c r="E262" s="11">
        <f>단가대비표!O507</f>
        <v>3250</v>
      </c>
      <c r="F262" s="12">
        <f t="shared" ref="F262:F267" si="54">TRUNC(E262*D262,1)</f>
        <v>1950</v>
      </c>
      <c r="G262" s="11">
        <f>단가대비표!P507</f>
        <v>0</v>
      </c>
      <c r="H262" s="12">
        <f t="shared" ref="H262:H267" si="55">TRUNC(G262*D262,1)</f>
        <v>0</v>
      </c>
      <c r="I262" s="11">
        <f>단가대비표!V507</f>
        <v>0</v>
      </c>
      <c r="J262" s="12">
        <f t="shared" ref="J262:J267" si="56">TRUNC(I262*D262,1)</f>
        <v>0</v>
      </c>
      <c r="K262" s="11">
        <f t="shared" ref="K262:L267" si="57">TRUNC(E262+G262+I262,1)</f>
        <v>3250</v>
      </c>
      <c r="L262" s="12">
        <f t="shared" si="57"/>
        <v>1950</v>
      </c>
      <c r="M262" s="522" t="s">
        <v>51</v>
      </c>
      <c r="N262" s="2" t="s">
        <v>224</v>
      </c>
      <c r="O262" s="2" t="s">
        <v>1244</v>
      </c>
      <c r="P262" s="2" t="s">
        <v>62</v>
      </c>
      <c r="Q262" s="2" t="s">
        <v>62</v>
      </c>
      <c r="R262" s="2" t="s">
        <v>61</v>
      </c>
      <c r="S262" s="3"/>
      <c r="T262" s="3"/>
      <c r="U262" s="3"/>
      <c r="V262" s="3">
        <v>1</v>
      </c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2" t="s">
        <v>51</v>
      </c>
      <c r="AW262" s="2" t="s">
        <v>1245</v>
      </c>
      <c r="AX262" s="2" t="s">
        <v>51</v>
      </c>
      <c r="AY262" s="2" t="s">
        <v>51</v>
      </c>
    </row>
    <row r="263" spans="1:52" ht="30" customHeight="1">
      <c r="A263" s="8" t="s">
        <v>1246</v>
      </c>
      <c r="B263" s="8" t="s">
        <v>1247</v>
      </c>
      <c r="C263" s="8" t="s">
        <v>82</v>
      </c>
      <c r="D263" s="9">
        <v>1</v>
      </c>
      <c r="E263" s="11">
        <f>TRUNC(SUMIF(V262:V267, RIGHTB(O263, 1), F262:F267)*U263, 2)</f>
        <v>97.5</v>
      </c>
      <c r="F263" s="12">
        <f t="shared" si="54"/>
        <v>97.5</v>
      </c>
      <c r="G263" s="11">
        <v>0</v>
      </c>
      <c r="H263" s="12">
        <f t="shared" si="55"/>
        <v>0</v>
      </c>
      <c r="I263" s="11">
        <v>0</v>
      </c>
      <c r="J263" s="12">
        <f t="shared" si="56"/>
        <v>0</v>
      </c>
      <c r="K263" s="11">
        <f t="shared" si="57"/>
        <v>97.5</v>
      </c>
      <c r="L263" s="12">
        <f t="shared" si="57"/>
        <v>97.5</v>
      </c>
      <c r="M263" s="522" t="s">
        <v>51</v>
      </c>
      <c r="N263" s="2" t="s">
        <v>224</v>
      </c>
      <c r="O263" s="2" t="s">
        <v>1036</v>
      </c>
      <c r="P263" s="2" t="s">
        <v>62</v>
      </c>
      <c r="Q263" s="2" t="s">
        <v>62</v>
      </c>
      <c r="R263" s="2" t="s">
        <v>62</v>
      </c>
      <c r="S263" s="3">
        <v>0</v>
      </c>
      <c r="T263" s="3">
        <v>0</v>
      </c>
      <c r="U263" s="3">
        <v>0.05</v>
      </c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2" t="s">
        <v>51</v>
      </c>
      <c r="AW263" s="2" t="s">
        <v>1248</v>
      </c>
      <c r="AX263" s="2" t="s">
        <v>51</v>
      </c>
      <c r="AY263" s="2" t="s">
        <v>51</v>
      </c>
    </row>
    <row r="264" spans="1:52" ht="30" customHeight="1">
      <c r="A264" s="8" t="s">
        <v>1233</v>
      </c>
      <c r="B264" s="8" t="s">
        <v>1234</v>
      </c>
      <c r="C264" s="8" t="s">
        <v>979</v>
      </c>
      <c r="D264" s="9">
        <v>0.25</v>
      </c>
      <c r="E264" s="11">
        <f>단가대비표!O485</f>
        <v>200</v>
      </c>
      <c r="F264" s="12">
        <f t="shared" si="54"/>
        <v>50</v>
      </c>
      <c r="G264" s="11">
        <f>단가대비표!P485</f>
        <v>0</v>
      </c>
      <c r="H264" s="12">
        <f t="shared" si="55"/>
        <v>0</v>
      </c>
      <c r="I264" s="11">
        <f>단가대비표!V485</f>
        <v>0</v>
      </c>
      <c r="J264" s="12">
        <f t="shared" si="56"/>
        <v>0</v>
      </c>
      <c r="K264" s="11">
        <f t="shared" si="57"/>
        <v>200</v>
      </c>
      <c r="L264" s="12">
        <f t="shared" si="57"/>
        <v>50</v>
      </c>
      <c r="M264" s="522" t="s">
        <v>51</v>
      </c>
      <c r="N264" s="2" t="s">
        <v>224</v>
      </c>
      <c r="O264" s="2" t="s">
        <v>1235</v>
      </c>
      <c r="P264" s="2" t="s">
        <v>62</v>
      </c>
      <c r="Q264" s="2" t="s">
        <v>62</v>
      </c>
      <c r="R264" s="2" t="s">
        <v>61</v>
      </c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2" t="s">
        <v>51</v>
      </c>
      <c r="AW264" s="2" t="s">
        <v>1249</v>
      </c>
      <c r="AX264" s="2" t="s">
        <v>51</v>
      </c>
      <c r="AY264" s="2" t="s">
        <v>51</v>
      </c>
    </row>
    <row r="265" spans="1:52" ht="30" customHeight="1">
      <c r="A265" s="8" t="s">
        <v>1107</v>
      </c>
      <c r="B265" s="8" t="s">
        <v>418</v>
      </c>
      <c r="C265" s="8" t="s">
        <v>419</v>
      </c>
      <c r="D265" s="1171">
        <v>2.4E-2</v>
      </c>
      <c r="E265" s="11">
        <f>단가대비표!O571</f>
        <v>0</v>
      </c>
      <c r="F265" s="12">
        <f t="shared" si="54"/>
        <v>0</v>
      </c>
      <c r="G265" s="11">
        <f>단가대비표!P571</f>
        <v>188854</v>
      </c>
      <c r="H265" s="12">
        <f t="shared" si="55"/>
        <v>4532.3999999999996</v>
      </c>
      <c r="I265" s="11">
        <f>단가대비표!V571</f>
        <v>0</v>
      </c>
      <c r="J265" s="12">
        <f t="shared" si="56"/>
        <v>0</v>
      </c>
      <c r="K265" s="11">
        <f t="shared" si="57"/>
        <v>188854</v>
      </c>
      <c r="L265" s="12">
        <f t="shared" si="57"/>
        <v>4532.3999999999996</v>
      </c>
      <c r="M265" s="522" t="s">
        <v>51</v>
      </c>
      <c r="N265" s="2" t="s">
        <v>224</v>
      </c>
      <c r="O265" s="2" t="s">
        <v>1108</v>
      </c>
      <c r="P265" s="2" t="s">
        <v>62</v>
      </c>
      <c r="Q265" s="2" t="s">
        <v>62</v>
      </c>
      <c r="R265" s="2" t="s">
        <v>61</v>
      </c>
      <c r="S265" s="3"/>
      <c r="T265" s="3"/>
      <c r="U265" s="3"/>
      <c r="V265" s="3"/>
      <c r="W265" s="3">
        <v>2</v>
      </c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2" t="s">
        <v>51</v>
      </c>
      <c r="AW265" s="2" t="s">
        <v>1250</v>
      </c>
      <c r="AX265" s="2" t="s">
        <v>51</v>
      </c>
      <c r="AY265" s="2" t="s">
        <v>51</v>
      </c>
      <c r="AZ265">
        <v>5.7000000000000002E-2</v>
      </c>
    </row>
    <row r="266" spans="1:52" ht="30" customHeight="1">
      <c r="A266" s="1172" t="s">
        <v>996</v>
      </c>
      <c r="B266" s="1172" t="s">
        <v>947</v>
      </c>
      <c r="C266" s="1172" t="s">
        <v>419</v>
      </c>
      <c r="D266" s="1171">
        <v>4.0000000000000001E-3</v>
      </c>
      <c r="E266" s="1173">
        <f>단가대비표!$O$556</f>
        <v>0</v>
      </c>
      <c r="F266" s="1174">
        <f>TRUNC(E266*D266,1)</f>
        <v>0</v>
      </c>
      <c r="G266" s="1173">
        <f>단가대비표!$P$556</f>
        <v>130264</v>
      </c>
      <c r="H266" s="1174">
        <f>TRUNC(G266*D266,1)</f>
        <v>521</v>
      </c>
      <c r="I266" s="1173">
        <f>단가대비표!$V$556</f>
        <v>0</v>
      </c>
      <c r="J266" s="1174">
        <f>TRUNC(I266*D266,1)</f>
        <v>0</v>
      </c>
      <c r="K266" s="1173">
        <f t="shared" si="57"/>
        <v>130264</v>
      </c>
      <c r="L266" s="1174">
        <f t="shared" si="57"/>
        <v>521</v>
      </c>
      <c r="M266" s="1175" t="s">
        <v>51</v>
      </c>
      <c r="N266" s="2"/>
      <c r="O266" s="2"/>
      <c r="P266" s="2"/>
      <c r="Q266" s="2"/>
      <c r="R266" s="2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2"/>
      <c r="AW266" s="2"/>
      <c r="AX266" s="2"/>
      <c r="AY266" s="2"/>
    </row>
    <row r="267" spans="1:52" ht="30" customHeight="1">
      <c r="A267" s="8" t="s">
        <v>1134</v>
      </c>
      <c r="B267" s="8" t="s">
        <v>1178</v>
      </c>
      <c r="C267" s="8" t="s">
        <v>82</v>
      </c>
      <c r="D267" s="1171">
        <v>0</v>
      </c>
      <c r="E267" s="11">
        <f>TRUNC(SUMIF(W262:W267, RIGHTB(O267, 1), H262:H267)*U267, 2)</f>
        <v>90.64</v>
      </c>
      <c r="F267" s="12">
        <f t="shared" si="54"/>
        <v>0</v>
      </c>
      <c r="G267" s="11">
        <v>0</v>
      </c>
      <c r="H267" s="12">
        <f t="shared" si="55"/>
        <v>0</v>
      </c>
      <c r="I267" s="11">
        <v>0</v>
      </c>
      <c r="J267" s="12">
        <f t="shared" si="56"/>
        <v>0</v>
      </c>
      <c r="K267" s="11">
        <f t="shared" si="57"/>
        <v>90.6</v>
      </c>
      <c r="L267" s="12">
        <f t="shared" si="57"/>
        <v>0</v>
      </c>
      <c r="M267" s="522" t="s">
        <v>51</v>
      </c>
      <c r="N267" s="2" t="s">
        <v>224</v>
      </c>
      <c r="O267" s="2" t="s">
        <v>1251</v>
      </c>
      <c r="P267" s="2" t="s">
        <v>62</v>
      </c>
      <c r="Q267" s="2" t="s">
        <v>62</v>
      </c>
      <c r="R267" s="2" t="s">
        <v>62</v>
      </c>
      <c r="S267" s="3">
        <v>1</v>
      </c>
      <c r="T267" s="3">
        <v>0</v>
      </c>
      <c r="U267" s="3">
        <v>0.02</v>
      </c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2" t="s">
        <v>51</v>
      </c>
      <c r="AW267" s="2" t="s">
        <v>1252</v>
      </c>
      <c r="AX267" s="2" t="s">
        <v>51</v>
      </c>
      <c r="AY267" s="2" t="s">
        <v>51</v>
      </c>
    </row>
    <row r="268" spans="1:52" ht="30" customHeight="1">
      <c r="A268" s="8" t="s">
        <v>950</v>
      </c>
      <c r="B268" s="8" t="s">
        <v>51</v>
      </c>
      <c r="C268" s="8" t="s">
        <v>51</v>
      </c>
      <c r="D268" s="9"/>
      <c r="E268" s="11"/>
      <c r="F268" s="12">
        <f>TRUNC(SUM(F262:F267),0)</f>
        <v>2097</v>
      </c>
      <c r="G268" s="11"/>
      <c r="H268" s="1061">
        <f>TRUNC(SUM(H262:H267),0)</f>
        <v>5053</v>
      </c>
      <c r="I268" s="11"/>
      <c r="J268" s="1061">
        <f>TRUNC(SUM(J262:J267),0)</f>
        <v>0</v>
      </c>
      <c r="K268" s="11"/>
      <c r="L268" s="12">
        <f>F268+H268+J268</f>
        <v>7150</v>
      </c>
      <c r="M268" s="522" t="s">
        <v>51</v>
      </c>
      <c r="N268" s="2" t="s">
        <v>86</v>
      </c>
      <c r="O268" s="2" t="s">
        <v>86</v>
      </c>
      <c r="P268" s="2" t="s">
        <v>51</v>
      </c>
      <c r="Q268" s="2" t="s">
        <v>51</v>
      </c>
      <c r="R268" s="2" t="s">
        <v>51</v>
      </c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2" t="s">
        <v>51</v>
      </c>
      <c r="AW268" s="2" t="s">
        <v>51</v>
      </c>
      <c r="AX268" s="2" t="s">
        <v>51</v>
      </c>
      <c r="AY268" s="2" t="s">
        <v>51</v>
      </c>
      <c r="AZ268" s="1170">
        <v>13076</v>
      </c>
    </row>
    <row r="269" spans="1:52" ht="30" customHeight="1">
      <c r="A269" s="9"/>
      <c r="B269" s="9"/>
      <c r="C269" s="9"/>
      <c r="D269" s="9"/>
      <c r="E269" s="11"/>
      <c r="F269" s="12"/>
      <c r="G269" s="11"/>
      <c r="H269" s="12"/>
      <c r="I269" s="11"/>
      <c r="J269" s="12"/>
      <c r="K269" s="11"/>
      <c r="L269" s="12"/>
      <c r="M269" s="523"/>
    </row>
    <row r="270" spans="1:52" ht="30" customHeight="1">
      <c r="A270" s="1406" t="s">
        <v>4507</v>
      </c>
      <c r="B270" s="1406"/>
      <c r="C270" s="1406"/>
      <c r="D270" s="1406"/>
      <c r="E270" s="1407"/>
      <c r="F270" s="1408"/>
      <c r="G270" s="1407"/>
      <c r="H270" s="1408"/>
      <c r="I270" s="1407"/>
      <c r="J270" s="1408"/>
      <c r="K270" s="1407"/>
      <c r="L270" s="1408"/>
      <c r="M270" s="1406"/>
      <c r="N270" s="1" t="s">
        <v>226</v>
      </c>
    </row>
    <row r="271" spans="1:52" ht="30" customHeight="1">
      <c r="A271" s="8" t="s">
        <v>1254</v>
      </c>
      <c r="B271" s="8" t="s">
        <v>51</v>
      </c>
      <c r="C271" s="8" t="s">
        <v>1230</v>
      </c>
      <c r="D271" s="1186">
        <v>0.35</v>
      </c>
      <c r="E271" s="11">
        <f>단가대비표!O491</f>
        <v>3900</v>
      </c>
      <c r="F271" s="12">
        <f t="shared" ref="F271:F280" si="58">TRUNC(E271*D271,1)</f>
        <v>1365</v>
      </c>
      <c r="G271" s="11">
        <f>단가대비표!P491</f>
        <v>0</v>
      </c>
      <c r="H271" s="12">
        <f t="shared" ref="H271:H280" si="59">TRUNC(G271*D271,1)</f>
        <v>0</v>
      </c>
      <c r="I271" s="11">
        <f>단가대비표!V491</f>
        <v>0</v>
      </c>
      <c r="J271" s="12">
        <f t="shared" ref="J271:J280" si="60">TRUNC(I271*D271,1)</f>
        <v>0</v>
      </c>
      <c r="K271" s="11">
        <f t="shared" ref="K271:K280" si="61">TRUNC(E271+G271+I271,1)</f>
        <v>3900</v>
      </c>
      <c r="L271" s="12">
        <f t="shared" ref="L271:L280" si="62">TRUNC(F271+H271+J271,1)</f>
        <v>1365</v>
      </c>
      <c r="M271" s="522" t="s">
        <v>51</v>
      </c>
      <c r="N271" s="2" t="s">
        <v>226</v>
      </c>
      <c r="O271" s="2" t="s">
        <v>1255</v>
      </c>
      <c r="P271" s="2" t="s">
        <v>62</v>
      </c>
      <c r="Q271" s="2" t="s">
        <v>62</v>
      </c>
      <c r="R271" s="2" t="s">
        <v>61</v>
      </c>
      <c r="S271" s="3"/>
      <c r="T271" s="3"/>
      <c r="U271" s="3"/>
      <c r="V271" s="3">
        <v>1</v>
      </c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2" t="s">
        <v>51</v>
      </c>
      <c r="AW271" s="2" t="s">
        <v>1256</v>
      </c>
      <c r="AX271" s="2" t="s">
        <v>51</v>
      </c>
      <c r="AY271" s="2" t="s">
        <v>51</v>
      </c>
    </row>
    <row r="272" spans="1:52" ht="30" customHeight="1">
      <c r="A272" s="8" t="s">
        <v>1257</v>
      </c>
      <c r="B272" s="8" t="s">
        <v>51</v>
      </c>
      <c r="C272" s="8" t="s">
        <v>1230</v>
      </c>
      <c r="D272" s="1186">
        <v>0.2</v>
      </c>
      <c r="E272" s="11">
        <f>단가대비표!O492</f>
        <v>1050</v>
      </c>
      <c r="F272" s="12">
        <f t="shared" si="58"/>
        <v>210</v>
      </c>
      <c r="G272" s="11">
        <f>단가대비표!P492</f>
        <v>0</v>
      </c>
      <c r="H272" s="12">
        <f t="shared" si="59"/>
        <v>0</v>
      </c>
      <c r="I272" s="11">
        <f>단가대비표!V492</f>
        <v>0</v>
      </c>
      <c r="J272" s="12">
        <f t="shared" si="60"/>
        <v>0</v>
      </c>
      <c r="K272" s="11">
        <f t="shared" si="61"/>
        <v>1050</v>
      </c>
      <c r="L272" s="12">
        <f t="shared" si="62"/>
        <v>210</v>
      </c>
      <c r="M272" s="522" t="s">
        <v>51</v>
      </c>
      <c r="N272" s="2" t="s">
        <v>226</v>
      </c>
      <c r="O272" s="2" t="s">
        <v>1258</v>
      </c>
      <c r="P272" s="2" t="s">
        <v>62</v>
      </c>
      <c r="Q272" s="2" t="s">
        <v>62</v>
      </c>
      <c r="R272" s="2" t="s">
        <v>61</v>
      </c>
      <c r="S272" s="3"/>
      <c r="T272" s="3"/>
      <c r="U272" s="3"/>
      <c r="V272" s="3">
        <v>1</v>
      </c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2" t="s">
        <v>51</v>
      </c>
      <c r="AW272" s="2" t="s">
        <v>1259</v>
      </c>
      <c r="AX272" s="2" t="s">
        <v>51</v>
      </c>
      <c r="AY272" s="2" t="s">
        <v>51</v>
      </c>
    </row>
    <row r="273" spans="1:52" ht="30" customHeight="1">
      <c r="A273" s="8" t="s">
        <v>1260</v>
      </c>
      <c r="B273" s="8" t="s">
        <v>51</v>
      </c>
      <c r="C273" s="8" t="s">
        <v>1230</v>
      </c>
      <c r="D273" s="1186">
        <v>0.3</v>
      </c>
      <c r="E273" s="11">
        <f>단가대비표!O493</f>
        <v>980</v>
      </c>
      <c r="F273" s="12">
        <f t="shared" si="58"/>
        <v>294</v>
      </c>
      <c r="G273" s="11">
        <f>단가대비표!P493</f>
        <v>0</v>
      </c>
      <c r="H273" s="12">
        <f t="shared" si="59"/>
        <v>0</v>
      </c>
      <c r="I273" s="11">
        <f>단가대비표!V493</f>
        <v>0</v>
      </c>
      <c r="J273" s="12">
        <f t="shared" si="60"/>
        <v>0</v>
      </c>
      <c r="K273" s="11">
        <f t="shared" si="61"/>
        <v>980</v>
      </c>
      <c r="L273" s="12">
        <f t="shared" si="62"/>
        <v>294</v>
      </c>
      <c r="M273" s="522" t="s">
        <v>51</v>
      </c>
      <c r="N273" s="2" t="s">
        <v>226</v>
      </c>
      <c r="O273" s="2" t="s">
        <v>1261</v>
      </c>
      <c r="P273" s="2" t="s">
        <v>62</v>
      </c>
      <c r="Q273" s="2" t="s">
        <v>62</v>
      </c>
      <c r="R273" s="2" t="s">
        <v>61</v>
      </c>
      <c r="S273" s="3"/>
      <c r="T273" s="3"/>
      <c r="U273" s="3"/>
      <c r="V273" s="3">
        <v>1</v>
      </c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2" t="s">
        <v>51</v>
      </c>
      <c r="AW273" s="2" t="s">
        <v>1262</v>
      </c>
      <c r="AX273" s="2" t="s">
        <v>51</v>
      </c>
      <c r="AY273" s="2" t="s">
        <v>51</v>
      </c>
    </row>
    <row r="274" spans="1:52" ht="30" customHeight="1">
      <c r="A274" s="8" t="s">
        <v>1263</v>
      </c>
      <c r="B274" s="8" t="s">
        <v>51</v>
      </c>
      <c r="C274" s="8" t="s">
        <v>1230</v>
      </c>
      <c r="D274" s="1186">
        <v>0.05</v>
      </c>
      <c r="E274" s="11">
        <f>단가대비표!O494</f>
        <v>2488.88</v>
      </c>
      <c r="F274" s="12">
        <f t="shared" si="58"/>
        <v>124.4</v>
      </c>
      <c r="G274" s="11">
        <f>단가대비표!P494</f>
        <v>0</v>
      </c>
      <c r="H274" s="12">
        <f t="shared" si="59"/>
        <v>0</v>
      </c>
      <c r="I274" s="11">
        <f>단가대비표!V494</f>
        <v>0</v>
      </c>
      <c r="J274" s="12">
        <f t="shared" si="60"/>
        <v>0</v>
      </c>
      <c r="K274" s="11">
        <f t="shared" si="61"/>
        <v>2488.8000000000002</v>
      </c>
      <c r="L274" s="12">
        <f t="shared" si="62"/>
        <v>124.4</v>
      </c>
      <c r="M274" s="522" t="s">
        <v>51</v>
      </c>
      <c r="N274" s="2" t="s">
        <v>226</v>
      </c>
      <c r="O274" s="2" t="s">
        <v>1264</v>
      </c>
      <c r="P274" s="2" t="s">
        <v>62</v>
      </c>
      <c r="Q274" s="2" t="s">
        <v>62</v>
      </c>
      <c r="R274" s="2" t="s">
        <v>61</v>
      </c>
      <c r="S274" s="3"/>
      <c r="T274" s="3"/>
      <c r="U274" s="3"/>
      <c r="V274" s="3">
        <v>1</v>
      </c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2" t="s">
        <v>51</v>
      </c>
      <c r="AW274" s="2" t="s">
        <v>1265</v>
      </c>
      <c r="AX274" s="2" t="s">
        <v>51</v>
      </c>
      <c r="AY274" s="2" t="s">
        <v>51</v>
      </c>
    </row>
    <row r="275" spans="1:52" ht="30" customHeight="1">
      <c r="A275" s="8" t="s">
        <v>3724</v>
      </c>
      <c r="B275" s="8"/>
      <c r="C275" s="8" t="s">
        <v>1230</v>
      </c>
      <c r="D275" s="1186">
        <v>0.19</v>
      </c>
      <c r="E275" s="159">
        <f>단가대비표!O496</f>
        <v>12000</v>
      </c>
      <c r="F275" s="160">
        <f t="shared" ref="F275" si="63">TRUNC(E275*D275,1)</f>
        <v>2280</v>
      </c>
      <c r="G275" s="159">
        <f>단가대비표!P495</f>
        <v>0</v>
      </c>
      <c r="H275" s="160">
        <f t="shared" ref="H275" si="64">TRUNC(G275*D275,1)</f>
        <v>0</v>
      </c>
      <c r="I275" s="159">
        <f>단가대비표!V495</f>
        <v>0</v>
      </c>
      <c r="J275" s="160">
        <f t="shared" ref="J275" si="65">TRUNC(I275*D275,1)</f>
        <v>0</v>
      </c>
      <c r="K275" s="159">
        <f t="shared" ref="K275" si="66">TRUNC(E275+G275+I275,1)</f>
        <v>12000</v>
      </c>
      <c r="L275" s="160">
        <f t="shared" ref="L275" si="67">TRUNC(F275+H275+J275,1)</f>
        <v>2280</v>
      </c>
      <c r="M275" s="522"/>
      <c r="N275" s="2"/>
      <c r="O275" s="2"/>
      <c r="P275" s="2"/>
      <c r="Q275" s="2"/>
      <c r="R275" s="2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2"/>
      <c r="AW275" s="2"/>
      <c r="AX275" s="2"/>
      <c r="AY275" s="2"/>
    </row>
    <row r="276" spans="1:52" ht="30" customHeight="1">
      <c r="A276" s="8" t="s">
        <v>1266</v>
      </c>
      <c r="B276" s="8" t="s">
        <v>51</v>
      </c>
      <c r="C276" s="8" t="s">
        <v>1230</v>
      </c>
      <c r="D276" s="1186">
        <v>0.5</v>
      </c>
      <c r="E276" s="11">
        <f>단가대비표!O495</f>
        <v>6644.44</v>
      </c>
      <c r="F276" s="12">
        <f t="shared" si="58"/>
        <v>3322.2</v>
      </c>
      <c r="G276" s="11">
        <f>단가대비표!P495</f>
        <v>0</v>
      </c>
      <c r="H276" s="12">
        <f t="shared" si="59"/>
        <v>0</v>
      </c>
      <c r="I276" s="11">
        <f>단가대비표!V495</f>
        <v>0</v>
      </c>
      <c r="J276" s="12">
        <f t="shared" si="60"/>
        <v>0</v>
      </c>
      <c r="K276" s="11">
        <f t="shared" si="61"/>
        <v>6644.4</v>
      </c>
      <c r="L276" s="12">
        <f t="shared" si="62"/>
        <v>3322.2</v>
      </c>
      <c r="M276" s="522" t="s">
        <v>51</v>
      </c>
      <c r="N276" s="2" t="s">
        <v>226</v>
      </c>
      <c r="O276" s="2" t="s">
        <v>1267</v>
      </c>
      <c r="P276" s="2" t="s">
        <v>62</v>
      </c>
      <c r="Q276" s="2" t="s">
        <v>62</v>
      </c>
      <c r="R276" s="2" t="s">
        <v>61</v>
      </c>
      <c r="S276" s="3"/>
      <c r="T276" s="3"/>
      <c r="U276" s="3"/>
      <c r="V276" s="3">
        <v>1</v>
      </c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2" t="s">
        <v>51</v>
      </c>
      <c r="AW276" s="2" t="s">
        <v>1268</v>
      </c>
      <c r="AX276" s="2" t="s">
        <v>51</v>
      </c>
      <c r="AY276" s="2" t="s">
        <v>51</v>
      </c>
    </row>
    <row r="277" spans="1:52" ht="30" customHeight="1">
      <c r="A277" s="8" t="s">
        <v>1246</v>
      </c>
      <c r="B277" s="8" t="s">
        <v>1269</v>
      </c>
      <c r="C277" s="8" t="s">
        <v>82</v>
      </c>
      <c r="D277" s="1186">
        <v>1</v>
      </c>
      <c r="E277" s="11">
        <f>TRUNC(SUMIF(V271:V280, RIGHTB(O277, 1), F271:F280)*U277, 2)</f>
        <v>531.55999999999995</v>
      </c>
      <c r="F277" s="12">
        <f t="shared" si="58"/>
        <v>531.5</v>
      </c>
      <c r="G277" s="11">
        <v>0</v>
      </c>
      <c r="H277" s="12">
        <f t="shared" si="59"/>
        <v>0</v>
      </c>
      <c r="I277" s="11">
        <v>0</v>
      </c>
      <c r="J277" s="12">
        <f t="shared" si="60"/>
        <v>0</v>
      </c>
      <c r="K277" s="11">
        <f t="shared" si="61"/>
        <v>531.5</v>
      </c>
      <c r="L277" s="12">
        <f t="shared" si="62"/>
        <v>531.5</v>
      </c>
      <c r="M277" s="522" t="s">
        <v>51</v>
      </c>
      <c r="N277" s="2" t="s">
        <v>226</v>
      </c>
      <c r="O277" s="2" t="s">
        <v>1036</v>
      </c>
      <c r="P277" s="2" t="s">
        <v>62</v>
      </c>
      <c r="Q277" s="2" t="s">
        <v>62</v>
      </c>
      <c r="R277" s="2" t="s">
        <v>62</v>
      </c>
      <c r="S277" s="3">
        <v>0</v>
      </c>
      <c r="T277" s="3">
        <v>0</v>
      </c>
      <c r="U277" s="3">
        <v>0.1</v>
      </c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2" t="s">
        <v>51</v>
      </c>
      <c r="AW277" s="2" t="s">
        <v>1270</v>
      </c>
      <c r="AX277" s="2" t="s">
        <v>51</v>
      </c>
      <c r="AY277" s="2" t="s">
        <v>51</v>
      </c>
    </row>
    <row r="278" spans="1:52" ht="30" customHeight="1">
      <c r="A278" s="8" t="s">
        <v>1233</v>
      </c>
      <c r="B278" s="8" t="s">
        <v>1234</v>
      </c>
      <c r="C278" s="8" t="s">
        <v>979</v>
      </c>
      <c r="D278" s="1186">
        <v>0.625</v>
      </c>
      <c r="E278" s="11">
        <f>단가대비표!O485</f>
        <v>200</v>
      </c>
      <c r="F278" s="12">
        <f t="shared" si="58"/>
        <v>125</v>
      </c>
      <c r="G278" s="11">
        <f>단가대비표!P485</f>
        <v>0</v>
      </c>
      <c r="H278" s="12">
        <f t="shared" si="59"/>
        <v>0</v>
      </c>
      <c r="I278" s="11">
        <f>단가대비표!V485</f>
        <v>0</v>
      </c>
      <c r="J278" s="12">
        <f t="shared" si="60"/>
        <v>0</v>
      </c>
      <c r="K278" s="11">
        <f t="shared" si="61"/>
        <v>200</v>
      </c>
      <c r="L278" s="12">
        <f t="shared" si="62"/>
        <v>125</v>
      </c>
      <c r="M278" s="522" t="s">
        <v>51</v>
      </c>
      <c r="N278" s="2" t="s">
        <v>226</v>
      </c>
      <c r="O278" s="2" t="s">
        <v>1235</v>
      </c>
      <c r="P278" s="2" t="s">
        <v>62</v>
      </c>
      <c r="Q278" s="2" t="s">
        <v>62</v>
      </c>
      <c r="R278" s="2" t="s">
        <v>61</v>
      </c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2" t="s">
        <v>51</v>
      </c>
      <c r="AW278" s="2" t="s">
        <v>1271</v>
      </c>
      <c r="AX278" s="2" t="s">
        <v>51</v>
      </c>
      <c r="AY278" s="2" t="s">
        <v>51</v>
      </c>
    </row>
    <row r="279" spans="1:52" ht="30" customHeight="1">
      <c r="A279" s="8" t="s">
        <v>1228</v>
      </c>
      <c r="B279" s="8" t="s">
        <v>1229</v>
      </c>
      <c r="C279" s="8" t="s">
        <v>1230</v>
      </c>
      <c r="D279" s="1186">
        <v>0.09</v>
      </c>
      <c r="E279" s="11">
        <f>단가대비표!O487</f>
        <v>3090</v>
      </c>
      <c r="F279" s="12">
        <f t="shared" si="58"/>
        <v>278.10000000000002</v>
      </c>
      <c r="G279" s="11">
        <f>단가대비표!P487</f>
        <v>0</v>
      </c>
      <c r="H279" s="12">
        <f t="shared" si="59"/>
        <v>0</v>
      </c>
      <c r="I279" s="11">
        <f>단가대비표!V487</f>
        <v>0</v>
      </c>
      <c r="J279" s="12">
        <f t="shared" si="60"/>
        <v>0</v>
      </c>
      <c r="K279" s="11">
        <f t="shared" si="61"/>
        <v>3090</v>
      </c>
      <c r="L279" s="12">
        <f t="shared" si="62"/>
        <v>278.10000000000002</v>
      </c>
      <c r="M279" s="522" t="s">
        <v>51</v>
      </c>
      <c r="N279" s="2" t="s">
        <v>226</v>
      </c>
      <c r="O279" s="2" t="s">
        <v>1231</v>
      </c>
      <c r="P279" s="2" t="s">
        <v>62</v>
      </c>
      <c r="Q279" s="2" t="s">
        <v>62</v>
      </c>
      <c r="R279" s="2" t="s">
        <v>61</v>
      </c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2" t="s">
        <v>51</v>
      </c>
      <c r="AW279" s="2" t="s">
        <v>1272</v>
      </c>
      <c r="AX279" s="2" t="s">
        <v>51</v>
      </c>
      <c r="AY279" s="2" t="s">
        <v>51</v>
      </c>
    </row>
    <row r="280" spans="1:52" ht="30" customHeight="1">
      <c r="A280" s="8" t="s">
        <v>1107</v>
      </c>
      <c r="B280" s="8" t="s">
        <v>418</v>
      </c>
      <c r="C280" s="8" t="s">
        <v>419</v>
      </c>
      <c r="D280" s="1186">
        <v>0.193</v>
      </c>
      <c r="E280" s="11">
        <f>단가대비표!O571</f>
        <v>0</v>
      </c>
      <c r="F280" s="12">
        <f t="shared" si="58"/>
        <v>0</v>
      </c>
      <c r="G280" s="11">
        <f>단가대비표!P571</f>
        <v>188854</v>
      </c>
      <c r="H280" s="12">
        <f t="shared" si="59"/>
        <v>36448.800000000003</v>
      </c>
      <c r="I280" s="11">
        <f>단가대비표!V571</f>
        <v>0</v>
      </c>
      <c r="J280" s="12">
        <f t="shared" si="60"/>
        <v>0</v>
      </c>
      <c r="K280" s="11">
        <f t="shared" si="61"/>
        <v>188854</v>
      </c>
      <c r="L280" s="12">
        <f t="shared" si="62"/>
        <v>36448.800000000003</v>
      </c>
      <c r="M280" s="522" t="s">
        <v>51</v>
      </c>
      <c r="N280" s="2" t="s">
        <v>226</v>
      </c>
      <c r="O280" s="2" t="s">
        <v>1108</v>
      </c>
      <c r="P280" s="2" t="s">
        <v>62</v>
      </c>
      <c r="Q280" s="2" t="s">
        <v>62</v>
      </c>
      <c r="R280" s="2" t="s">
        <v>61</v>
      </c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2" t="s">
        <v>51</v>
      </c>
      <c r="AW280" s="2" t="s">
        <v>1273</v>
      </c>
      <c r="AX280" s="2" t="s">
        <v>51</v>
      </c>
      <c r="AY280" s="2" t="s">
        <v>51</v>
      </c>
    </row>
    <row r="281" spans="1:52" ht="30" customHeight="1">
      <c r="A281" s="8" t="s">
        <v>950</v>
      </c>
      <c r="B281" s="8" t="s">
        <v>51</v>
      </c>
      <c r="C281" s="8" t="s">
        <v>51</v>
      </c>
      <c r="D281" s="9"/>
      <c r="E281" s="11"/>
      <c r="F281" s="12">
        <f>SUM(F271:F280)</f>
        <v>8530.1999999999989</v>
      </c>
      <c r="G281" s="11"/>
      <c r="H281" s="160">
        <f>SUM(H271:H280)</f>
        <v>36448.800000000003</v>
      </c>
      <c r="I281" s="11"/>
      <c r="J281" s="12">
        <f>TRUNC(SUMIF(N271:N280, N270, J271:J280),0)</f>
        <v>0</v>
      </c>
      <c r="K281" s="11"/>
      <c r="L281" s="12">
        <f>F281+H281+J281</f>
        <v>44979</v>
      </c>
      <c r="M281" s="522" t="s">
        <v>51</v>
      </c>
      <c r="N281" s="2" t="s">
        <v>86</v>
      </c>
      <c r="O281" s="2" t="s">
        <v>86</v>
      </c>
      <c r="P281" s="2" t="s">
        <v>51</v>
      </c>
      <c r="Q281" s="2" t="s">
        <v>51</v>
      </c>
      <c r="R281" s="2" t="s">
        <v>51</v>
      </c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2" t="s">
        <v>51</v>
      </c>
      <c r="AW281" s="2" t="s">
        <v>51</v>
      </c>
      <c r="AX281" s="2" t="s">
        <v>51</v>
      </c>
      <c r="AY281" s="2" t="s">
        <v>51</v>
      </c>
      <c r="AZ281" s="1170"/>
    </row>
    <row r="282" spans="1:52" ht="30" customHeight="1">
      <c r="A282" s="9"/>
      <c r="B282" s="9"/>
      <c r="C282" s="9"/>
      <c r="D282" s="9"/>
      <c r="E282" s="11"/>
      <c r="F282" s="12"/>
      <c r="G282" s="11"/>
      <c r="H282" s="12"/>
      <c r="I282" s="11"/>
      <c r="J282" s="12"/>
      <c r="K282" s="11"/>
      <c r="L282" s="12"/>
      <c r="M282" s="523"/>
    </row>
    <row r="283" spans="1:52" ht="30" customHeight="1">
      <c r="A283" s="1400" t="s">
        <v>4508</v>
      </c>
      <c r="B283" s="1400"/>
      <c r="C283" s="1400"/>
      <c r="D283" s="1400"/>
      <c r="E283" s="1401"/>
      <c r="F283" s="1402"/>
      <c r="G283" s="1401"/>
      <c r="H283" s="1402"/>
      <c r="I283" s="1401"/>
      <c r="J283" s="1402"/>
      <c r="K283" s="1401"/>
      <c r="L283" s="1402"/>
      <c r="M283" s="1400"/>
      <c r="N283" s="1" t="s">
        <v>230</v>
      </c>
      <c r="AZ283" t="s">
        <v>6833</v>
      </c>
    </row>
    <row r="284" spans="1:52" ht="30" customHeight="1">
      <c r="A284" s="8" t="s">
        <v>1275</v>
      </c>
      <c r="B284" s="8" t="s">
        <v>1276</v>
      </c>
      <c r="C284" s="8" t="s">
        <v>1230</v>
      </c>
      <c r="D284" s="9">
        <v>0.16500000000000001</v>
      </c>
      <c r="E284" s="11">
        <f>단가대비표!O504</f>
        <v>9162.5</v>
      </c>
      <c r="F284" s="12">
        <f t="shared" ref="F284:F289" si="68">TRUNC(E284*D284,1)</f>
        <v>1511.8</v>
      </c>
      <c r="G284" s="11">
        <f>단가대비표!P504</f>
        <v>0</v>
      </c>
      <c r="H284" s="12">
        <f t="shared" ref="H284:H289" si="69">TRUNC(G284*D284,1)</f>
        <v>0</v>
      </c>
      <c r="I284" s="11">
        <f>단가대비표!V504</f>
        <v>0</v>
      </c>
      <c r="J284" s="12">
        <f t="shared" ref="J284:J289" si="70">TRUNC(I284*D284,1)</f>
        <v>0</v>
      </c>
      <c r="K284" s="11">
        <f t="shared" ref="K284:L289" si="71">TRUNC(E284+G284+I284,1)</f>
        <v>9162.5</v>
      </c>
      <c r="L284" s="12">
        <f t="shared" si="71"/>
        <v>1511.8</v>
      </c>
      <c r="M284" s="522" t="s">
        <v>51</v>
      </c>
      <c r="N284" s="2" t="s">
        <v>230</v>
      </c>
      <c r="O284" s="2" t="s">
        <v>1277</v>
      </c>
      <c r="P284" s="2" t="s">
        <v>62</v>
      </c>
      <c r="Q284" s="2" t="s">
        <v>62</v>
      </c>
      <c r="R284" s="2" t="s">
        <v>61</v>
      </c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2" t="s">
        <v>51</v>
      </c>
      <c r="AW284" s="2" t="s">
        <v>1278</v>
      </c>
      <c r="AX284" s="2" t="s">
        <v>51</v>
      </c>
      <c r="AY284" s="2" t="s">
        <v>51</v>
      </c>
    </row>
    <row r="285" spans="1:52" ht="30" customHeight="1">
      <c r="A285" s="8" t="s">
        <v>1275</v>
      </c>
      <c r="B285" s="8" t="s">
        <v>1279</v>
      </c>
      <c r="C285" s="8" t="s">
        <v>1230</v>
      </c>
      <c r="D285" s="9">
        <v>1.6E-2</v>
      </c>
      <c r="E285" s="11">
        <f>단가대비표!O505</f>
        <v>2290</v>
      </c>
      <c r="F285" s="12">
        <f t="shared" si="68"/>
        <v>36.6</v>
      </c>
      <c r="G285" s="11">
        <f>단가대비표!P505</f>
        <v>0</v>
      </c>
      <c r="H285" s="12">
        <f t="shared" si="69"/>
        <v>0</v>
      </c>
      <c r="I285" s="11">
        <f>단가대비표!V505</f>
        <v>0</v>
      </c>
      <c r="J285" s="12">
        <f t="shared" si="70"/>
        <v>0</v>
      </c>
      <c r="K285" s="11">
        <f t="shared" si="71"/>
        <v>2290</v>
      </c>
      <c r="L285" s="12">
        <f t="shared" si="71"/>
        <v>36.6</v>
      </c>
      <c r="M285" s="522" t="s">
        <v>51</v>
      </c>
      <c r="N285" s="2" t="s">
        <v>230</v>
      </c>
      <c r="O285" s="2" t="s">
        <v>1280</v>
      </c>
      <c r="P285" s="2" t="s">
        <v>62</v>
      </c>
      <c r="Q285" s="2" t="s">
        <v>62</v>
      </c>
      <c r="R285" s="2" t="s">
        <v>61</v>
      </c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2" t="s">
        <v>51</v>
      </c>
      <c r="AW285" s="2" t="s">
        <v>1281</v>
      </c>
      <c r="AX285" s="2" t="s">
        <v>51</v>
      </c>
      <c r="AY285" s="2" t="s">
        <v>51</v>
      </c>
    </row>
    <row r="286" spans="1:52" ht="30" customHeight="1">
      <c r="A286" s="8" t="s">
        <v>1233</v>
      </c>
      <c r="B286" s="8" t="s">
        <v>1234</v>
      </c>
      <c r="C286" s="8" t="s">
        <v>979</v>
      </c>
      <c r="D286" s="9">
        <v>0.25</v>
      </c>
      <c r="E286" s="11">
        <f>단가대비표!O485</f>
        <v>200</v>
      </c>
      <c r="F286" s="12">
        <f t="shared" si="68"/>
        <v>50</v>
      </c>
      <c r="G286" s="11">
        <f>단가대비표!P485</f>
        <v>0</v>
      </c>
      <c r="H286" s="12">
        <f t="shared" si="69"/>
        <v>0</v>
      </c>
      <c r="I286" s="11">
        <f>단가대비표!V485</f>
        <v>0</v>
      </c>
      <c r="J286" s="12">
        <f t="shared" si="70"/>
        <v>0</v>
      </c>
      <c r="K286" s="11">
        <f t="shared" si="71"/>
        <v>200</v>
      </c>
      <c r="L286" s="12">
        <f t="shared" si="71"/>
        <v>50</v>
      </c>
      <c r="M286" s="522" t="s">
        <v>51</v>
      </c>
      <c r="N286" s="2" t="s">
        <v>230</v>
      </c>
      <c r="O286" s="2" t="s">
        <v>1235</v>
      </c>
      <c r="P286" s="2" t="s">
        <v>62</v>
      </c>
      <c r="Q286" s="2" t="s">
        <v>62</v>
      </c>
      <c r="R286" s="2" t="s">
        <v>61</v>
      </c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2" t="s">
        <v>51</v>
      </c>
      <c r="AW286" s="2" t="s">
        <v>1282</v>
      </c>
      <c r="AX286" s="2" t="s">
        <v>51</v>
      </c>
      <c r="AY286" s="2" t="s">
        <v>51</v>
      </c>
    </row>
    <row r="287" spans="1:52" ht="30" customHeight="1">
      <c r="A287" s="8" t="s">
        <v>1107</v>
      </c>
      <c r="B287" s="8" t="s">
        <v>418</v>
      </c>
      <c r="C287" s="8" t="s">
        <v>419</v>
      </c>
      <c r="D287" s="1171">
        <v>0.04</v>
      </c>
      <c r="E287" s="11">
        <f>단가대비표!O571</f>
        <v>0</v>
      </c>
      <c r="F287" s="12">
        <f t="shared" si="68"/>
        <v>0</v>
      </c>
      <c r="G287" s="11">
        <f>단가대비표!P571</f>
        <v>188854</v>
      </c>
      <c r="H287" s="12">
        <f t="shared" si="69"/>
        <v>7554.1</v>
      </c>
      <c r="I287" s="11">
        <f>단가대비표!V571</f>
        <v>0</v>
      </c>
      <c r="J287" s="12">
        <f t="shared" si="70"/>
        <v>0</v>
      </c>
      <c r="K287" s="11">
        <f t="shared" si="71"/>
        <v>188854</v>
      </c>
      <c r="L287" s="12">
        <f t="shared" si="71"/>
        <v>7554.1</v>
      </c>
      <c r="M287" s="522" t="s">
        <v>51</v>
      </c>
      <c r="N287" s="2" t="s">
        <v>230</v>
      </c>
      <c r="O287" s="2" t="s">
        <v>1108</v>
      </c>
      <c r="P287" s="2" t="s">
        <v>62</v>
      </c>
      <c r="Q287" s="2" t="s">
        <v>62</v>
      </c>
      <c r="R287" s="2" t="s">
        <v>61</v>
      </c>
      <c r="S287" s="3"/>
      <c r="T287" s="3"/>
      <c r="U287" s="3"/>
      <c r="V287" s="3">
        <v>1</v>
      </c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2" t="s">
        <v>51</v>
      </c>
      <c r="AW287" s="2" t="s">
        <v>1283</v>
      </c>
      <c r="AX287" s="2" t="s">
        <v>51</v>
      </c>
      <c r="AY287" s="2" t="s">
        <v>51</v>
      </c>
      <c r="AZ287">
        <v>4.5999999999999999E-2</v>
      </c>
    </row>
    <row r="288" spans="1:52" ht="30" customHeight="1">
      <c r="A288" s="1172" t="s">
        <v>996</v>
      </c>
      <c r="B288" s="1172" t="s">
        <v>947</v>
      </c>
      <c r="C288" s="1172" t="s">
        <v>419</v>
      </c>
      <c r="D288" s="1171">
        <v>8.0000000000000002E-3</v>
      </c>
      <c r="E288" s="1173">
        <f>단가대비표!O556</f>
        <v>0</v>
      </c>
      <c r="F288" s="1174">
        <f t="shared" si="68"/>
        <v>0</v>
      </c>
      <c r="G288" s="1173">
        <f>단가대비표!P556</f>
        <v>130264</v>
      </c>
      <c r="H288" s="1174">
        <f t="shared" si="69"/>
        <v>1042.0999999999999</v>
      </c>
      <c r="I288" s="1173">
        <f>단가대비표!V556</f>
        <v>0</v>
      </c>
      <c r="J288" s="1174">
        <f t="shared" si="70"/>
        <v>0</v>
      </c>
      <c r="K288" s="1173">
        <f t="shared" ref="K288" si="72">TRUNC(E288+G288+I288,1)</f>
        <v>130264</v>
      </c>
      <c r="L288" s="1174">
        <f t="shared" ref="L288" si="73">TRUNC(F288+H288+J288,1)</f>
        <v>1042.0999999999999</v>
      </c>
      <c r="M288" s="1175"/>
      <c r="N288" s="2"/>
      <c r="O288" s="2"/>
      <c r="P288" s="2"/>
      <c r="Q288" s="2"/>
      <c r="R288" s="2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2"/>
      <c r="AW288" s="2"/>
      <c r="AX288" s="2"/>
      <c r="AY288" s="2"/>
    </row>
    <row r="289" spans="1:52" ht="30" customHeight="1">
      <c r="A289" s="8" t="s">
        <v>1134</v>
      </c>
      <c r="B289" s="8" t="s">
        <v>1178</v>
      </c>
      <c r="C289" s="8" t="s">
        <v>82</v>
      </c>
      <c r="D289" s="9">
        <v>1</v>
      </c>
      <c r="E289" s="11">
        <f>TRUNC(SUMIF(V284:V289, RIGHTB(O289, 1), H284:H289)*U289, 2)</f>
        <v>151.08000000000001</v>
      </c>
      <c r="F289" s="12">
        <f t="shared" si="68"/>
        <v>151</v>
      </c>
      <c r="G289" s="11">
        <v>0</v>
      </c>
      <c r="H289" s="12">
        <f t="shared" si="69"/>
        <v>0</v>
      </c>
      <c r="I289" s="11">
        <v>0</v>
      </c>
      <c r="J289" s="12">
        <f t="shared" si="70"/>
        <v>0</v>
      </c>
      <c r="K289" s="11">
        <f t="shared" si="71"/>
        <v>151</v>
      </c>
      <c r="L289" s="12">
        <f t="shared" si="71"/>
        <v>151</v>
      </c>
      <c r="M289" s="522" t="s">
        <v>51</v>
      </c>
      <c r="N289" s="2" t="s">
        <v>230</v>
      </c>
      <c r="O289" s="2" t="s">
        <v>1036</v>
      </c>
      <c r="P289" s="2" t="s">
        <v>62</v>
      </c>
      <c r="Q289" s="2" t="s">
        <v>62</v>
      </c>
      <c r="R289" s="2" t="s">
        <v>62</v>
      </c>
      <c r="S289" s="3">
        <v>1</v>
      </c>
      <c r="T289" s="3">
        <v>0</v>
      </c>
      <c r="U289" s="3">
        <v>0.02</v>
      </c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2" t="s">
        <v>51</v>
      </c>
      <c r="AW289" s="2" t="s">
        <v>1284</v>
      </c>
      <c r="AX289" s="2" t="s">
        <v>51</v>
      </c>
      <c r="AY289" s="2" t="s">
        <v>51</v>
      </c>
    </row>
    <row r="290" spans="1:52" ht="30" customHeight="1">
      <c r="A290" s="8" t="s">
        <v>950</v>
      </c>
      <c r="B290" s="8" t="s">
        <v>51</v>
      </c>
      <c r="C290" s="8" t="s">
        <v>51</v>
      </c>
      <c r="D290" s="9"/>
      <c r="E290" s="11"/>
      <c r="F290" s="12">
        <f>TRUNC(SUM(F284:F289),0)</f>
        <v>1749</v>
      </c>
      <c r="G290" s="11"/>
      <c r="H290" s="1226">
        <f>TRUNC(SUM(H284:H289),0)</f>
        <v>8596</v>
      </c>
      <c r="I290" s="11"/>
      <c r="J290" s="1226">
        <f>TRUNC(SUM(J284:J289),0)</f>
        <v>0</v>
      </c>
      <c r="K290" s="11"/>
      <c r="L290" s="12">
        <f>F290+H290+J290</f>
        <v>10345</v>
      </c>
      <c r="M290" s="522" t="s">
        <v>51</v>
      </c>
      <c r="N290" s="2" t="s">
        <v>86</v>
      </c>
      <c r="O290" s="2" t="s">
        <v>86</v>
      </c>
      <c r="P290" s="2" t="s">
        <v>51</v>
      </c>
      <c r="Q290" s="2" t="s">
        <v>51</v>
      </c>
      <c r="R290" s="2" t="s">
        <v>51</v>
      </c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2" t="s">
        <v>51</v>
      </c>
      <c r="AW290" s="2" t="s">
        <v>51</v>
      </c>
      <c r="AX290" s="2" t="s">
        <v>51</v>
      </c>
      <c r="AY290" s="2" t="s">
        <v>51</v>
      </c>
      <c r="AZ290" s="1170">
        <v>10459</v>
      </c>
    </row>
    <row r="291" spans="1:52" ht="30" customHeight="1">
      <c r="A291" s="9"/>
      <c r="B291" s="9"/>
      <c r="C291" s="9"/>
      <c r="D291" s="9"/>
      <c r="E291" s="11"/>
      <c r="F291" s="12"/>
      <c r="G291" s="11"/>
      <c r="H291" s="12"/>
      <c r="I291" s="11"/>
      <c r="J291" s="12"/>
      <c r="K291" s="11"/>
      <c r="L291" s="12"/>
      <c r="M291" s="523"/>
    </row>
    <row r="292" spans="1:52" ht="30" customHeight="1">
      <c r="A292" s="1400" t="s">
        <v>4509</v>
      </c>
      <c r="B292" s="1400"/>
      <c r="C292" s="1400"/>
      <c r="D292" s="1400"/>
      <c r="E292" s="1401"/>
      <c r="F292" s="1402"/>
      <c r="G292" s="1401"/>
      <c r="H292" s="1402"/>
      <c r="I292" s="1401"/>
      <c r="J292" s="1402"/>
      <c r="K292" s="1401"/>
      <c r="L292" s="1402"/>
      <c r="M292" s="1400"/>
      <c r="N292" s="1" t="s">
        <v>234</v>
      </c>
      <c r="AZ292" t="s">
        <v>6842</v>
      </c>
    </row>
    <row r="293" spans="1:52" ht="30" customHeight="1">
      <c r="A293" s="8" t="s">
        <v>1286</v>
      </c>
      <c r="B293" s="8" t="s">
        <v>1287</v>
      </c>
      <c r="C293" s="8" t="s">
        <v>993</v>
      </c>
      <c r="D293" s="9">
        <v>12.85</v>
      </c>
      <c r="E293" s="11">
        <f>단가대비표!O58</f>
        <v>104</v>
      </c>
      <c r="F293" s="12">
        <f t="shared" ref="F293:F297" si="74">TRUNC(E293*D293,1)</f>
        <v>1336.4</v>
      </c>
      <c r="G293" s="11">
        <f>단가대비표!P58</f>
        <v>0</v>
      </c>
      <c r="H293" s="12">
        <f t="shared" ref="H293:H297" si="75">TRUNC(G293*D293,1)</f>
        <v>0</v>
      </c>
      <c r="I293" s="11">
        <f>단가대비표!V58</f>
        <v>0</v>
      </c>
      <c r="J293" s="12">
        <f t="shared" ref="J293:J297" si="76">TRUNC(I293*D293,1)</f>
        <v>0</v>
      </c>
      <c r="K293" s="11">
        <f t="shared" ref="K293:L297" si="77">TRUNC(E293+G293+I293,1)</f>
        <v>104</v>
      </c>
      <c r="L293" s="12">
        <f t="shared" si="77"/>
        <v>1336.4</v>
      </c>
      <c r="M293" s="522" t="s">
        <v>51</v>
      </c>
      <c r="N293" s="2" t="s">
        <v>234</v>
      </c>
      <c r="O293" s="2" t="s">
        <v>1288</v>
      </c>
      <c r="P293" s="2" t="s">
        <v>62</v>
      </c>
      <c r="Q293" s="2" t="s">
        <v>62</v>
      </c>
      <c r="R293" s="2" t="s">
        <v>61</v>
      </c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2" t="s">
        <v>51</v>
      </c>
      <c r="AW293" s="2" t="s">
        <v>1289</v>
      </c>
      <c r="AX293" s="2" t="s">
        <v>51</v>
      </c>
      <c r="AY293" s="2" t="s">
        <v>51</v>
      </c>
    </row>
    <row r="294" spans="1:52" ht="30" customHeight="1">
      <c r="A294" s="8" t="s">
        <v>1290</v>
      </c>
      <c r="B294" s="8" t="s">
        <v>1291</v>
      </c>
      <c r="C294" s="8" t="s">
        <v>1292</v>
      </c>
      <c r="D294" s="9">
        <v>2.7699999999999999E-2</v>
      </c>
      <c r="E294" s="11">
        <f>단가대비표!O29</f>
        <v>29000</v>
      </c>
      <c r="F294" s="12">
        <f t="shared" si="74"/>
        <v>803.3</v>
      </c>
      <c r="G294" s="11">
        <f>단가대비표!P29</f>
        <v>0</v>
      </c>
      <c r="H294" s="12">
        <f t="shared" si="75"/>
        <v>0</v>
      </c>
      <c r="I294" s="11">
        <f>단가대비표!V29</f>
        <v>0</v>
      </c>
      <c r="J294" s="12">
        <f t="shared" si="76"/>
        <v>0</v>
      </c>
      <c r="K294" s="11">
        <f t="shared" si="77"/>
        <v>29000</v>
      </c>
      <c r="L294" s="12">
        <f t="shared" si="77"/>
        <v>803.3</v>
      </c>
      <c r="M294" s="522" t="s">
        <v>51</v>
      </c>
      <c r="N294" s="2" t="s">
        <v>234</v>
      </c>
      <c r="O294" s="2" t="s">
        <v>1293</v>
      </c>
      <c r="P294" s="2" t="s">
        <v>62</v>
      </c>
      <c r="Q294" s="2" t="s">
        <v>62</v>
      </c>
      <c r="R294" s="2" t="s">
        <v>61</v>
      </c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2" t="s">
        <v>51</v>
      </c>
      <c r="AW294" s="2" t="s">
        <v>1294</v>
      </c>
      <c r="AX294" s="2" t="s">
        <v>51</v>
      </c>
      <c r="AY294" s="2" t="s">
        <v>51</v>
      </c>
    </row>
    <row r="295" spans="1:52" ht="30" customHeight="1">
      <c r="A295" s="8" t="s">
        <v>1295</v>
      </c>
      <c r="B295" s="8" t="s">
        <v>418</v>
      </c>
      <c r="C295" s="8" t="s">
        <v>419</v>
      </c>
      <c r="D295" s="1171">
        <v>1.7000000000000001E-2</v>
      </c>
      <c r="E295" s="11">
        <f>단가대비표!O570</f>
        <v>0</v>
      </c>
      <c r="F295" s="12">
        <f t="shared" si="74"/>
        <v>0</v>
      </c>
      <c r="G295" s="11">
        <f>단가대비표!P570</f>
        <v>214502</v>
      </c>
      <c r="H295" s="12">
        <f t="shared" si="75"/>
        <v>3646.5</v>
      </c>
      <c r="I295" s="11">
        <f>단가대비표!V570</f>
        <v>0</v>
      </c>
      <c r="J295" s="12">
        <f t="shared" si="76"/>
        <v>0</v>
      </c>
      <c r="K295" s="11">
        <f t="shared" si="77"/>
        <v>214502</v>
      </c>
      <c r="L295" s="12">
        <f t="shared" si="77"/>
        <v>3646.5</v>
      </c>
      <c r="M295" s="522" t="s">
        <v>51</v>
      </c>
      <c r="N295" s="2" t="s">
        <v>234</v>
      </c>
      <c r="O295" s="2" t="s">
        <v>1296</v>
      </c>
      <c r="P295" s="2" t="s">
        <v>62</v>
      </c>
      <c r="Q295" s="2" t="s">
        <v>62</v>
      </c>
      <c r="R295" s="2" t="s">
        <v>61</v>
      </c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2" t="s">
        <v>51</v>
      </c>
      <c r="AW295" s="2" t="s">
        <v>1297</v>
      </c>
      <c r="AX295" s="2" t="s">
        <v>51</v>
      </c>
      <c r="AY295" s="2" t="s">
        <v>51</v>
      </c>
      <c r="AZ295">
        <v>0.09</v>
      </c>
    </row>
    <row r="296" spans="1:52" ht="30" customHeight="1">
      <c r="A296" s="8" t="s">
        <v>996</v>
      </c>
      <c r="B296" s="8" t="s">
        <v>947</v>
      </c>
      <c r="C296" s="8" t="s">
        <v>419</v>
      </c>
      <c r="D296" s="1171">
        <v>7.0000000000000001E-3</v>
      </c>
      <c r="E296" s="11">
        <f>단가대비표!O556</f>
        <v>0</v>
      </c>
      <c r="F296" s="12">
        <f t="shared" si="74"/>
        <v>0</v>
      </c>
      <c r="G296" s="11">
        <f>단가대비표!P556</f>
        <v>130264</v>
      </c>
      <c r="H296" s="12">
        <f t="shared" si="75"/>
        <v>911.8</v>
      </c>
      <c r="I296" s="11">
        <f>단가대비표!V556</f>
        <v>0</v>
      </c>
      <c r="J296" s="12">
        <f t="shared" si="76"/>
        <v>0</v>
      </c>
      <c r="K296" s="11">
        <f t="shared" si="77"/>
        <v>130264</v>
      </c>
      <c r="L296" s="12">
        <f t="shared" si="77"/>
        <v>911.8</v>
      </c>
      <c r="M296" s="522" t="s">
        <v>51</v>
      </c>
      <c r="N296" s="2" t="s">
        <v>234</v>
      </c>
      <c r="O296" s="2" t="s">
        <v>997</v>
      </c>
      <c r="P296" s="2" t="s">
        <v>62</v>
      </c>
      <c r="Q296" s="2" t="s">
        <v>62</v>
      </c>
      <c r="R296" s="2" t="s">
        <v>61</v>
      </c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2" t="s">
        <v>51</v>
      </c>
      <c r="AW296" s="2" t="s">
        <v>1298</v>
      </c>
      <c r="AX296" s="2" t="s">
        <v>51</v>
      </c>
      <c r="AY296" s="2" t="s">
        <v>51</v>
      </c>
      <c r="AZ296">
        <v>0.09</v>
      </c>
    </row>
    <row r="297" spans="1:52" ht="30" customHeight="1">
      <c r="A297" s="8" t="s">
        <v>996</v>
      </c>
      <c r="B297" s="8" t="s">
        <v>947</v>
      </c>
      <c r="C297" s="8" t="s">
        <v>419</v>
      </c>
      <c r="D297" s="1171">
        <v>0</v>
      </c>
      <c r="E297" s="11">
        <f>단가대비표!O556</f>
        <v>0</v>
      </c>
      <c r="F297" s="12">
        <f t="shared" si="74"/>
        <v>0</v>
      </c>
      <c r="G297" s="11">
        <f>단가대비표!P556</f>
        <v>130264</v>
      </c>
      <c r="H297" s="12">
        <f t="shared" si="75"/>
        <v>0</v>
      </c>
      <c r="I297" s="11">
        <f>단가대비표!V556</f>
        <v>0</v>
      </c>
      <c r="J297" s="12">
        <f t="shared" si="76"/>
        <v>0</v>
      </c>
      <c r="K297" s="11">
        <f t="shared" si="77"/>
        <v>130264</v>
      </c>
      <c r="L297" s="12">
        <f t="shared" si="77"/>
        <v>0</v>
      </c>
      <c r="M297" s="522" t="s">
        <v>51</v>
      </c>
      <c r="N297" s="2" t="s">
        <v>234</v>
      </c>
      <c r="O297" s="2" t="s">
        <v>997</v>
      </c>
      <c r="P297" s="2" t="s">
        <v>62</v>
      </c>
      <c r="Q297" s="2" t="s">
        <v>62</v>
      </c>
      <c r="R297" s="2" t="s">
        <v>61</v>
      </c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2" t="s">
        <v>51</v>
      </c>
      <c r="AW297" s="2" t="s">
        <v>1298</v>
      </c>
      <c r="AX297" s="2" t="s">
        <v>51</v>
      </c>
      <c r="AY297" s="2" t="s">
        <v>51</v>
      </c>
      <c r="AZ297">
        <v>0.03</v>
      </c>
    </row>
    <row r="298" spans="1:52" ht="30" customHeight="1">
      <c r="A298" s="8" t="s">
        <v>950</v>
      </c>
      <c r="B298" s="8" t="s">
        <v>51</v>
      </c>
      <c r="C298" s="8" t="s">
        <v>51</v>
      </c>
      <c r="D298" s="9"/>
      <c r="E298" s="11"/>
      <c r="F298" s="12">
        <f>TRUNC(SUM(F293:F297),0)</f>
        <v>2139</v>
      </c>
      <c r="G298" s="11"/>
      <c r="H298" s="1061">
        <f>TRUNC(SUM(H293:H297),0)</f>
        <v>4558</v>
      </c>
      <c r="I298" s="11"/>
      <c r="J298" s="1061">
        <f>TRUNC(SUM(J293:J297),0)</f>
        <v>0</v>
      </c>
      <c r="K298" s="11"/>
      <c r="L298" s="12">
        <f>F298+H298+J298</f>
        <v>6697</v>
      </c>
      <c r="M298" s="522" t="s">
        <v>51</v>
      </c>
      <c r="N298" s="2" t="s">
        <v>86</v>
      </c>
      <c r="O298" s="2" t="s">
        <v>86</v>
      </c>
      <c r="P298" s="2" t="s">
        <v>51</v>
      </c>
      <c r="Q298" s="2" t="s">
        <v>51</v>
      </c>
      <c r="R298" s="2" t="s">
        <v>51</v>
      </c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2" t="s">
        <v>51</v>
      </c>
      <c r="AW298" s="2" t="s">
        <v>51</v>
      </c>
      <c r="AX298" s="2" t="s">
        <v>51</v>
      </c>
      <c r="AY298" s="2" t="s">
        <v>51</v>
      </c>
      <c r="AZ298" s="1170">
        <v>37103</v>
      </c>
    </row>
    <row r="299" spans="1:52" ht="30" customHeight="1">
      <c r="A299" s="9"/>
      <c r="B299" s="9"/>
      <c r="C299" s="9"/>
      <c r="D299" s="9"/>
      <c r="E299" s="11"/>
      <c r="F299" s="12"/>
      <c r="G299" s="11"/>
      <c r="H299" s="12"/>
      <c r="I299" s="11"/>
      <c r="J299" s="12"/>
      <c r="K299" s="11"/>
      <c r="L299" s="12"/>
      <c r="M299" s="523"/>
    </row>
    <row r="300" spans="1:52" ht="30" customHeight="1">
      <c r="A300" s="1403" t="s">
        <v>4510</v>
      </c>
      <c r="B300" s="1403"/>
      <c r="C300" s="1403"/>
      <c r="D300" s="1403"/>
      <c r="E300" s="1404"/>
      <c r="F300" s="1405"/>
      <c r="G300" s="1404"/>
      <c r="H300" s="1405"/>
      <c r="I300" s="1404"/>
      <c r="J300" s="1405"/>
      <c r="K300" s="1404"/>
      <c r="L300" s="1405"/>
      <c r="M300" s="1403"/>
      <c r="N300" s="1" t="s">
        <v>238</v>
      </c>
    </row>
    <row r="301" spans="1:52" ht="30" customHeight="1">
      <c r="A301" s="8" t="s">
        <v>1300</v>
      </c>
      <c r="B301" s="8" t="s">
        <v>1301</v>
      </c>
      <c r="C301" s="8" t="s">
        <v>993</v>
      </c>
      <c r="D301" s="9">
        <v>0.16</v>
      </c>
      <c r="E301" s="11">
        <f>단가대비표!O498</f>
        <v>30000</v>
      </c>
      <c r="F301" s="12">
        <f>TRUNC(E301*D301,1)</f>
        <v>4800</v>
      </c>
      <c r="G301" s="11">
        <f>단가대비표!P498</f>
        <v>0</v>
      </c>
      <c r="H301" s="12">
        <f>TRUNC(G301*D301,1)</f>
        <v>0</v>
      </c>
      <c r="I301" s="11">
        <f>단가대비표!V498</f>
        <v>0</v>
      </c>
      <c r="J301" s="12">
        <f>TRUNC(I301*D301,1)</f>
        <v>0</v>
      </c>
      <c r="K301" s="11">
        <f t="shared" ref="K301:L304" si="78">TRUNC(E301+G301+I301,1)</f>
        <v>30000</v>
      </c>
      <c r="L301" s="12">
        <f t="shared" si="78"/>
        <v>4800</v>
      </c>
      <c r="M301" s="522" t="s">
        <v>51</v>
      </c>
      <c r="N301" s="2" t="s">
        <v>238</v>
      </c>
      <c r="O301" s="2" t="s">
        <v>1302</v>
      </c>
      <c r="P301" s="2" t="s">
        <v>62</v>
      </c>
      <c r="Q301" s="2" t="s">
        <v>62</v>
      </c>
      <c r="R301" s="2" t="s">
        <v>61</v>
      </c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2" t="s">
        <v>51</v>
      </c>
      <c r="AW301" s="2" t="s">
        <v>1303</v>
      </c>
      <c r="AX301" s="2" t="s">
        <v>51</v>
      </c>
      <c r="AY301" s="2" t="s">
        <v>51</v>
      </c>
    </row>
    <row r="302" spans="1:52" ht="30" customHeight="1">
      <c r="A302" s="8" t="s">
        <v>1304</v>
      </c>
      <c r="B302" s="8" t="s">
        <v>208</v>
      </c>
      <c r="C302" s="8" t="s">
        <v>993</v>
      </c>
      <c r="D302" s="9">
        <v>0.15</v>
      </c>
      <c r="E302" s="11">
        <f>단가대비표!O499</f>
        <v>15000</v>
      </c>
      <c r="F302" s="12">
        <f>TRUNC(E302*D302,1)</f>
        <v>2250</v>
      </c>
      <c r="G302" s="11">
        <f>단가대비표!P499</f>
        <v>0</v>
      </c>
      <c r="H302" s="12">
        <f>TRUNC(G302*D302,1)</f>
        <v>0</v>
      </c>
      <c r="I302" s="11">
        <f>단가대비표!V499</f>
        <v>0</v>
      </c>
      <c r="J302" s="12">
        <f>TRUNC(I302*D302,1)</f>
        <v>0</v>
      </c>
      <c r="K302" s="11">
        <f t="shared" si="78"/>
        <v>15000</v>
      </c>
      <c r="L302" s="12">
        <f t="shared" si="78"/>
        <v>2250</v>
      </c>
      <c r="M302" s="522" t="s">
        <v>51</v>
      </c>
      <c r="N302" s="2" t="s">
        <v>238</v>
      </c>
      <c r="O302" s="2" t="s">
        <v>1305</v>
      </c>
      <c r="P302" s="2" t="s">
        <v>62</v>
      </c>
      <c r="Q302" s="2" t="s">
        <v>62</v>
      </c>
      <c r="R302" s="2" t="s">
        <v>61</v>
      </c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2" t="s">
        <v>51</v>
      </c>
      <c r="AW302" s="2" t="s">
        <v>1306</v>
      </c>
      <c r="AX302" s="2" t="s">
        <v>51</v>
      </c>
      <c r="AY302" s="2" t="s">
        <v>51</v>
      </c>
    </row>
    <row r="303" spans="1:52" ht="30" customHeight="1">
      <c r="A303" s="8" t="s">
        <v>1295</v>
      </c>
      <c r="B303" s="8" t="s">
        <v>418</v>
      </c>
      <c r="C303" s="8" t="s">
        <v>419</v>
      </c>
      <c r="D303" s="9">
        <v>3.3000000000000002E-2</v>
      </c>
      <c r="E303" s="11">
        <f>단가대비표!O570</f>
        <v>0</v>
      </c>
      <c r="F303" s="12">
        <f>TRUNC(E303*D303,1)</f>
        <v>0</v>
      </c>
      <c r="G303" s="11">
        <f>단가대비표!P570</f>
        <v>214502</v>
      </c>
      <c r="H303" s="12">
        <f>TRUNC(G303*D303,1)</f>
        <v>7078.5</v>
      </c>
      <c r="I303" s="11">
        <f>단가대비표!V570</f>
        <v>0</v>
      </c>
      <c r="J303" s="12">
        <f>TRUNC(I303*D303,1)</f>
        <v>0</v>
      </c>
      <c r="K303" s="11">
        <f t="shared" si="78"/>
        <v>214502</v>
      </c>
      <c r="L303" s="12">
        <f t="shared" si="78"/>
        <v>7078.5</v>
      </c>
      <c r="M303" s="522" t="s">
        <v>51</v>
      </c>
      <c r="N303" s="2" t="s">
        <v>238</v>
      </c>
      <c r="O303" s="2" t="s">
        <v>1296</v>
      </c>
      <c r="P303" s="2" t="s">
        <v>62</v>
      </c>
      <c r="Q303" s="2" t="s">
        <v>62</v>
      </c>
      <c r="R303" s="2" t="s">
        <v>61</v>
      </c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2" t="s">
        <v>51</v>
      </c>
      <c r="AW303" s="2" t="s">
        <v>1307</v>
      </c>
      <c r="AX303" s="2" t="s">
        <v>51</v>
      </c>
      <c r="AY303" s="2" t="s">
        <v>51</v>
      </c>
    </row>
    <row r="304" spans="1:52" ht="30" customHeight="1">
      <c r="A304" s="8" t="s">
        <v>996</v>
      </c>
      <c r="B304" s="8" t="s">
        <v>947</v>
      </c>
      <c r="C304" s="8" t="s">
        <v>419</v>
      </c>
      <c r="D304" s="9">
        <v>0.03</v>
      </c>
      <c r="E304" s="11">
        <f>단가대비표!O556</f>
        <v>0</v>
      </c>
      <c r="F304" s="12">
        <f>TRUNC(E304*D304,1)</f>
        <v>0</v>
      </c>
      <c r="G304" s="11">
        <f>단가대비표!P556</f>
        <v>130264</v>
      </c>
      <c r="H304" s="12">
        <f>TRUNC(G304*D304,1)</f>
        <v>3907.9</v>
      </c>
      <c r="I304" s="11">
        <f>단가대비표!V556</f>
        <v>0</v>
      </c>
      <c r="J304" s="12">
        <f>TRUNC(I304*D304,1)</f>
        <v>0</v>
      </c>
      <c r="K304" s="11">
        <f t="shared" si="78"/>
        <v>130264</v>
      </c>
      <c r="L304" s="12">
        <f t="shared" si="78"/>
        <v>3907.9</v>
      </c>
      <c r="M304" s="522" t="s">
        <v>51</v>
      </c>
      <c r="N304" s="2" t="s">
        <v>238</v>
      </c>
      <c r="O304" s="2" t="s">
        <v>997</v>
      </c>
      <c r="P304" s="2" t="s">
        <v>62</v>
      </c>
      <c r="Q304" s="2" t="s">
        <v>62</v>
      </c>
      <c r="R304" s="2" t="s">
        <v>61</v>
      </c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2" t="s">
        <v>51</v>
      </c>
      <c r="AW304" s="2" t="s">
        <v>1308</v>
      </c>
      <c r="AX304" s="2" t="s">
        <v>51</v>
      </c>
      <c r="AY304" s="2" t="s">
        <v>51</v>
      </c>
    </row>
    <row r="305" spans="1:52" ht="30" customHeight="1">
      <c r="A305" s="8" t="s">
        <v>950</v>
      </c>
      <c r="B305" s="8" t="s">
        <v>51</v>
      </c>
      <c r="C305" s="8" t="s">
        <v>51</v>
      </c>
      <c r="D305" s="9"/>
      <c r="E305" s="11"/>
      <c r="F305" s="12">
        <f>TRUNC(SUMIF(N301:N304, N300, F301:F304),0)</f>
        <v>7050</v>
      </c>
      <c r="G305" s="11"/>
      <c r="H305" s="12">
        <f>TRUNC(SUMIF(N301:N304, N300, H301:H304),0)</f>
        <v>10986</v>
      </c>
      <c r="I305" s="11"/>
      <c r="J305" s="12">
        <f>TRUNC(SUMIF(N301:N304, N300, J301:J304),0)</f>
        <v>0</v>
      </c>
      <c r="K305" s="11"/>
      <c r="L305" s="12">
        <f>F305+H305+J305</f>
        <v>18036</v>
      </c>
      <c r="M305" s="522" t="s">
        <v>51</v>
      </c>
      <c r="N305" s="2" t="s">
        <v>86</v>
      </c>
      <c r="O305" s="2" t="s">
        <v>86</v>
      </c>
      <c r="P305" s="2" t="s">
        <v>51</v>
      </c>
      <c r="Q305" s="2" t="s">
        <v>51</v>
      </c>
      <c r="R305" s="2" t="s">
        <v>51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2" t="s">
        <v>51</v>
      </c>
      <c r="AW305" s="2" t="s">
        <v>51</v>
      </c>
      <c r="AX305" s="2" t="s">
        <v>51</v>
      </c>
      <c r="AY305" s="2" t="s">
        <v>51</v>
      </c>
    </row>
    <row r="306" spans="1:52" ht="30" customHeight="1">
      <c r="A306" s="9"/>
      <c r="B306" s="9"/>
      <c r="C306" s="9"/>
      <c r="D306" s="9"/>
      <c r="E306" s="11"/>
      <c r="F306" s="12"/>
      <c r="G306" s="11"/>
      <c r="H306" s="12"/>
      <c r="I306" s="11"/>
      <c r="J306" s="12"/>
      <c r="K306" s="11"/>
      <c r="L306" s="12"/>
      <c r="M306" s="523"/>
    </row>
    <row r="307" spans="1:52" ht="30" customHeight="1">
      <c r="A307" s="1406" t="s">
        <v>4511</v>
      </c>
      <c r="B307" s="1406"/>
      <c r="C307" s="1406"/>
      <c r="D307" s="1406"/>
      <c r="E307" s="1407"/>
      <c r="F307" s="1408"/>
      <c r="G307" s="1407"/>
      <c r="H307" s="1408"/>
      <c r="I307" s="1407"/>
      <c r="J307" s="1408"/>
      <c r="K307" s="1407"/>
      <c r="L307" s="1408"/>
      <c r="M307" s="1406"/>
      <c r="N307" s="1" t="s">
        <v>242</v>
      </c>
    </row>
    <row r="308" spans="1:52" ht="30" customHeight="1">
      <c r="A308" s="8" t="s">
        <v>1300</v>
      </c>
      <c r="B308" s="8" t="s">
        <v>51</v>
      </c>
      <c r="C308" s="8" t="s">
        <v>82</v>
      </c>
      <c r="D308" s="9">
        <v>1</v>
      </c>
      <c r="E308" s="11">
        <f>단가대비표!O500</f>
        <v>1650</v>
      </c>
      <c r="F308" s="12">
        <f t="shared" ref="F308:F314" si="79">TRUNC(E308*D308,1)</f>
        <v>1650</v>
      </c>
      <c r="G308" s="11">
        <f>단가대비표!P500</f>
        <v>0</v>
      </c>
      <c r="H308" s="12">
        <f t="shared" ref="H308:H314" si="80">TRUNC(G308*D308,1)</f>
        <v>0</v>
      </c>
      <c r="I308" s="11">
        <f>단가대비표!V500</f>
        <v>0</v>
      </c>
      <c r="J308" s="12">
        <f t="shared" ref="J308:J314" si="81">TRUNC(I308*D308,1)</f>
        <v>0</v>
      </c>
      <c r="K308" s="11">
        <f t="shared" ref="K308:L314" si="82">TRUNC(E308+G308+I308,1)</f>
        <v>1650</v>
      </c>
      <c r="L308" s="12">
        <f t="shared" si="82"/>
        <v>1650</v>
      </c>
      <c r="M308" s="522" t="s">
        <v>51</v>
      </c>
      <c r="N308" s="2" t="s">
        <v>242</v>
      </c>
      <c r="O308" s="2" t="s">
        <v>1310</v>
      </c>
      <c r="P308" s="2" t="s">
        <v>62</v>
      </c>
      <c r="Q308" s="2" t="s">
        <v>62</v>
      </c>
      <c r="R308" s="2" t="s">
        <v>61</v>
      </c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2" t="s">
        <v>51</v>
      </c>
      <c r="AW308" s="2" t="s">
        <v>1311</v>
      </c>
      <c r="AX308" s="2" t="s">
        <v>51</v>
      </c>
      <c r="AY308" s="2" t="s">
        <v>51</v>
      </c>
    </row>
    <row r="309" spans="1:52" ht="30" customHeight="1">
      <c r="A309" s="8" t="s">
        <v>6712</v>
      </c>
      <c r="B309" s="8" t="s">
        <v>51</v>
      </c>
      <c r="C309" s="8" t="s">
        <v>993</v>
      </c>
      <c r="D309" s="9">
        <v>10.199999999999999</v>
      </c>
      <c r="E309" s="11">
        <f>단가대비표!O501</f>
        <v>5800</v>
      </c>
      <c r="F309" s="12">
        <f t="shared" si="79"/>
        <v>59160</v>
      </c>
      <c r="G309" s="11">
        <f>단가대비표!P501</f>
        <v>0</v>
      </c>
      <c r="H309" s="12">
        <f t="shared" si="80"/>
        <v>0</v>
      </c>
      <c r="I309" s="11">
        <f>단가대비표!V501</f>
        <v>0</v>
      </c>
      <c r="J309" s="12">
        <f t="shared" si="81"/>
        <v>0</v>
      </c>
      <c r="K309" s="11">
        <f t="shared" si="82"/>
        <v>5800</v>
      </c>
      <c r="L309" s="12">
        <f t="shared" si="82"/>
        <v>59160</v>
      </c>
      <c r="M309" s="522" t="s">
        <v>51</v>
      </c>
      <c r="N309" s="2" t="s">
        <v>242</v>
      </c>
      <c r="O309" s="2" t="s">
        <v>1313</v>
      </c>
      <c r="P309" s="2" t="s">
        <v>62</v>
      </c>
      <c r="Q309" s="2" t="s">
        <v>62</v>
      </c>
      <c r="R309" s="2" t="s">
        <v>61</v>
      </c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2" t="s">
        <v>51</v>
      </c>
      <c r="AW309" s="2" t="s">
        <v>1314</v>
      </c>
      <c r="AX309" s="2" t="s">
        <v>51</v>
      </c>
      <c r="AY309" s="2" t="s">
        <v>51</v>
      </c>
    </row>
    <row r="310" spans="1:52" ht="30" customHeight="1">
      <c r="A310" s="8" t="s">
        <v>1315</v>
      </c>
      <c r="B310" s="8" t="s">
        <v>51</v>
      </c>
      <c r="C310" s="8" t="s">
        <v>82</v>
      </c>
      <c r="D310" s="9">
        <v>1</v>
      </c>
      <c r="E310" s="11">
        <f>단가대비표!O502</f>
        <v>2200</v>
      </c>
      <c r="F310" s="12">
        <f t="shared" si="79"/>
        <v>2200</v>
      </c>
      <c r="G310" s="11">
        <f>단가대비표!P502</f>
        <v>0</v>
      </c>
      <c r="H310" s="12">
        <f t="shared" si="80"/>
        <v>0</v>
      </c>
      <c r="I310" s="11">
        <f>단가대비표!V502</f>
        <v>0</v>
      </c>
      <c r="J310" s="12">
        <f t="shared" si="81"/>
        <v>0</v>
      </c>
      <c r="K310" s="11">
        <f t="shared" si="82"/>
        <v>2200</v>
      </c>
      <c r="L310" s="12">
        <f t="shared" si="82"/>
        <v>2200</v>
      </c>
      <c r="M310" s="522" t="s">
        <v>51</v>
      </c>
      <c r="N310" s="2" t="s">
        <v>242</v>
      </c>
      <c r="O310" s="2" t="s">
        <v>1316</v>
      </c>
      <c r="P310" s="2" t="s">
        <v>62</v>
      </c>
      <c r="Q310" s="2" t="s">
        <v>62</v>
      </c>
      <c r="R310" s="2" t="s">
        <v>61</v>
      </c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2" t="s">
        <v>51</v>
      </c>
      <c r="AW310" s="2" t="s">
        <v>1317</v>
      </c>
      <c r="AX310" s="2" t="s">
        <v>51</v>
      </c>
      <c r="AY310" s="2" t="s">
        <v>51</v>
      </c>
    </row>
    <row r="311" spans="1:52" ht="30" customHeight="1">
      <c r="A311" s="8" t="s">
        <v>1318</v>
      </c>
      <c r="B311" s="8" t="s">
        <v>51</v>
      </c>
      <c r="C311" s="8" t="s">
        <v>82</v>
      </c>
      <c r="D311" s="9">
        <v>1</v>
      </c>
      <c r="E311" s="11">
        <f>단가대비표!O503</f>
        <v>1500</v>
      </c>
      <c r="F311" s="12">
        <f t="shared" si="79"/>
        <v>1500</v>
      </c>
      <c r="G311" s="11">
        <f>단가대비표!P503</f>
        <v>0</v>
      </c>
      <c r="H311" s="12">
        <f t="shared" si="80"/>
        <v>0</v>
      </c>
      <c r="I311" s="11">
        <f>단가대비표!V503</f>
        <v>0</v>
      </c>
      <c r="J311" s="12">
        <f t="shared" si="81"/>
        <v>0</v>
      </c>
      <c r="K311" s="11">
        <f t="shared" si="82"/>
        <v>1500</v>
      </c>
      <c r="L311" s="12">
        <f t="shared" si="82"/>
        <v>1500</v>
      </c>
      <c r="M311" s="522" t="s">
        <v>51</v>
      </c>
      <c r="N311" s="2" t="s">
        <v>242</v>
      </c>
      <c r="O311" s="2" t="s">
        <v>1319</v>
      </c>
      <c r="P311" s="2" t="s">
        <v>62</v>
      </c>
      <c r="Q311" s="2" t="s">
        <v>62</v>
      </c>
      <c r="R311" s="2" t="s">
        <v>61</v>
      </c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2" t="s">
        <v>51</v>
      </c>
      <c r="AW311" s="2" t="s">
        <v>1320</v>
      </c>
      <c r="AX311" s="2" t="s">
        <v>51</v>
      </c>
      <c r="AY311" s="2" t="s">
        <v>51</v>
      </c>
    </row>
    <row r="312" spans="1:52" ht="30" customHeight="1">
      <c r="A312" s="8" t="s">
        <v>1295</v>
      </c>
      <c r="B312" s="8" t="s">
        <v>418</v>
      </c>
      <c r="C312" s="8" t="s">
        <v>419</v>
      </c>
      <c r="D312" s="1186">
        <v>0.1</v>
      </c>
      <c r="E312" s="11">
        <f>단가대비표!O570</f>
        <v>0</v>
      </c>
      <c r="F312" s="12">
        <f t="shared" si="79"/>
        <v>0</v>
      </c>
      <c r="G312" s="11">
        <f>단가대비표!P570</f>
        <v>214502</v>
      </c>
      <c r="H312" s="12">
        <f t="shared" si="80"/>
        <v>21450.2</v>
      </c>
      <c r="I312" s="11">
        <f>단가대비표!V570</f>
        <v>0</v>
      </c>
      <c r="J312" s="12">
        <f t="shared" si="81"/>
        <v>0</v>
      </c>
      <c r="K312" s="11">
        <f t="shared" si="82"/>
        <v>214502</v>
      </c>
      <c r="L312" s="12">
        <f t="shared" si="82"/>
        <v>21450.2</v>
      </c>
      <c r="M312" s="522" t="s">
        <v>51</v>
      </c>
      <c r="N312" s="2" t="s">
        <v>242</v>
      </c>
      <c r="O312" s="2" t="s">
        <v>1296</v>
      </c>
      <c r="P312" s="2" t="s">
        <v>62</v>
      </c>
      <c r="Q312" s="2" t="s">
        <v>62</v>
      </c>
      <c r="R312" s="2" t="s">
        <v>61</v>
      </c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2" t="s">
        <v>51</v>
      </c>
      <c r="AW312" s="2" t="s">
        <v>1321</v>
      </c>
      <c r="AX312" s="2" t="s">
        <v>51</v>
      </c>
      <c r="AY312" s="2" t="s">
        <v>51</v>
      </c>
    </row>
    <row r="313" spans="1:52" ht="30" customHeight="1">
      <c r="A313" s="8" t="s">
        <v>996</v>
      </c>
      <c r="B313" s="8" t="s">
        <v>947</v>
      </c>
      <c r="C313" s="8" t="s">
        <v>419</v>
      </c>
      <c r="D313" s="1186">
        <v>0.05</v>
      </c>
      <c r="E313" s="11">
        <f>단가대비표!O556</f>
        <v>0</v>
      </c>
      <c r="F313" s="12">
        <f t="shared" si="79"/>
        <v>0</v>
      </c>
      <c r="G313" s="11">
        <f>단가대비표!P556</f>
        <v>130264</v>
      </c>
      <c r="H313" s="12">
        <f t="shared" si="80"/>
        <v>6513.2</v>
      </c>
      <c r="I313" s="11">
        <f>단가대비표!V556</f>
        <v>0</v>
      </c>
      <c r="J313" s="12">
        <f t="shared" si="81"/>
        <v>0</v>
      </c>
      <c r="K313" s="11">
        <f t="shared" si="82"/>
        <v>130264</v>
      </c>
      <c r="L313" s="12">
        <f t="shared" si="82"/>
        <v>6513.2</v>
      </c>
      <c r="M313" s="522" t="s">
        <v>51</v>
      </c>
      <c r="N313" s="2" t="s">
        <v>242</v>
      </c>
      <c r="O313" s="2" t="s">
        <v>997</v>
      </c>
      <c r="P313" s="2" t="s">
        <v>62</v>
      </c>
      <c r="Q313" s="2" t="s">
        <v>62</v>
      </c>
      <c r="R313" s="2" t="s">
        <v>61</v>
      </c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2" t="s">
        <v>51</v>
      </c>
      <c r="AW313" s="2" t="s">
        <v>1322</v>
      </c>
      <c r="AX313" s="2" t="s">
        <v>51</v>
      </c>
      <c r="AY313" s="2" t="s">
        <v>51</v>
      </c>
    </row>
    <row r="314" spans="1:52" ht="30" customHeight="1">
      <c r="A314" s="8" t="s">
        <v>1130</v>
      </c>
      <c r="B314" s="8" t="s">
        <v>947</v>
      </c>
      <c r="C314" s="8" t="s">
        <v>419</v>
      </c>
      <c r="D314" s="1186">
        <v>0.05</v>
      </c>
      <c r="E314" s="11">
        <f>단가대비표!O557</f>
        <v>0</v>
      </c>
      <c r="F314" s="12">
        <f t="shared" si="79"/>
        <v>0</v>
      </c>
      <c r="G314" s="11">
        <f>단가대비표!P557</f>
        <v>155599</v>
      </c>
      <c r="H314" s="12">
        <f t="shared" si="80"/>
        <v>7779.9</v>
      </c>
      <c r="I314" s="11">
        <f>단가대비표!V557</f>
        <v>0</v>
      </c>
      <c r="J314" s="12">
        <f t="shared" si="81"/>
        <v>0</v>
      </c>
      <c r="K314" s="11">
        <f t="shared" si="82"/>
        <v>155599</v>
      </c>
      <c r="L314" s="12">
        <f t="shared" si="82"/>
        <v>7779.9</v>
      </c>
      <c r="M314" s="522" t="s">
        <v>51</v>
      </c>
      <c r="N314" s="2" t="s">
        <v>242</v>
      </c>
      <c r="O314" s="2" t="s">
        <v>1131</v>
      </c>
      <c r="P314" s="2" t="s">
        <v>62</v>
      </c>
      <c r="Q314" s="2" t="s">
        <v>62</v>
      </c>
      <c r="R314" s="2" t="s">
        <v>61</v>
      </c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2" t="s">
        <v>51</v>
      </c>
      <c r="AW314" s="2" t="s">
        <v>1323</v>
      </c>
      <c r="AX314" s="2" t="s">
        <v>51</v>
      </c>
      <c r="AY314" s="2" t="s">
        <v>51</v>
      </c>
    </row>
    <row r="315" spans="1:52" ht="30" customHeight="1">
      <c r="A315" s="8" t="s">
        <v>950</v>
      </c>
      <c r="B315" s="8" t="s">
        <v>51</v>
      </c>
      <c r="C315" s="8" t="s">
        <v>51</v>
      </c>
      <c r="D315" s="9"/>
      <c r="E315" s="11"/>
      <c r="F315" s="12">
        <f>TRUNC(SUMIF(N308:N314, N307, F308:F314),0)</f>
        <v>64510</v>
      </c>
      <c r="G315" s="11"/>
      <c r="H315" s="12">
        <f>TRUNC(SUMIF(N308:N314, N307, H308:H314),0)</f>
        <v>35743</v>
      </c>
      <c r="I315" s="11"/>
      <c r="J315" s="12">
        <f>TRUNC(SUMIF(N308:N314, N307, J308:J314),0)</f>
        <v>0</v>
      </c>
      <c r="K315" s="11"/>
      <c r="L315" s="12">
        <f>F315+H315+J315</f>
        <v>100253</v>
      </c>
      <c r="M315" s="522" t="s">
        <v>51</v>
      </c>
      <c r="N315" s="2" t="s">
        <v>86</v>
      </c>
      <c r="O315" s="2" t="s">
        <v>86</v>
      </c>
      <c r="P315" s="2" t="s">
        <v>51</v>
      </c>
      <c r="Q315" s="2" t="s">
        <v>51</v>
      </c>
      <c r="R315" s="2" t="s">
        <v>51</v>
      </c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2" t="s">
        <v>51</v>
      </c>
      <c r="AW315" s="2" t="s">
        <v>51</v>
      </c>
      <c r="AX315" s="2" t="s">
        <v>51</v>
      </c>
      <c r="AY315" s="2" t="s">
        <v>51</v>
      </c>
      <c r="AZ315" s="1170"/>
    </row>
    <row r="316" spans="1:52" ht="30" customHeight="1">
      <c r="A316" s="9"/>
      <c r="B316" s="9"/>
      <c r="C316" s="9"/>
      <c r="D316" s="9"/>
      <c r="E316" s="11"/>
      <c r="F316" s="12"/>
      <c r="G316" s="11"/>
      <c r="H316" s="12"/>
      <c r="I316" s="11"/>
      <c r="J316" s="12"/>
      <c r="K316" s="11"/>
      <c r="L316" s="12"/>
      <c r="M316" s="523"/>
    </row>
    <row r="317" spans="1:52" ht="30" customHeight="1">
      <c r="A317" s="1403" t="s">
        <v>4512</v>
      </c>
      <c r="B317" s="1403"/>
      <c r="C317" s="1403"/>
      <c r="D317" s="1403"/>
      <c r="E317" s="1404"/>
      <c r="F317" s="1405"/>
      <c r="G317" s="1404"/>
      <c r="H317" s="1405"/>
      <c r="I317" s="1404"/>
      <c r="J317" s="1405"/>
      <c r="K317" s="1404"/>
      <c r="L317" s="1405"/>
      <c r="M317" s="1403"/>
      <c r="N317" s="1" t="s">
        <v>246</v>
      </c>
    </row>
    <row r="318" spans="1:52" ht="30" customHeight="1">
      <c r="A318" s="8" t="s">
        <v>1325</v>
      </c>
      <c r="B318" s="8" t="s">
        <v>1326</v>
      </c>
      <c r="C318" s="8" t="s">
        <v>993</v>
      </c>
      <c r="D318" s="9">
        <v>0.85040000000000004</v>
      </c>
      <c r="E318" s="11">
        <f>단가대비표!O53</f>
        <v>2450</v>
      </c>
      <c r="F318" s="12">
        <f t="shared" ref="F318:F324" si="83">TRUNC(E318*D318,1)</f>
        <v>2083.4</v>
      </c>
      <c r="G318" s="11">
        <f>단가대비표!P53</f>
        <v>0</v>
      </c>
      <c r="H318" s="12">
        <f t="shared" ref="H318:H324" si="84">TRUNC(G318*D318,1)</f>
        <v>0</v>
      </c>
      <c r="I318" s="11">
        <f>단가대비표!V53</f>
        <v>0</v>
      </c>
      <c r="J318" s="12">
        <f t="shared" ref="J318:J324" si="85">TRUNC(I318*D318,1)</f>
        <v>0</v>
      </c>
      <c r="K318" s="11">
        <f t="shared" ref="K318:L324" si="86">TRUNC(E318+G318+I318,1)</f>
        <v>2450</v>
      </c>
      <c r="L318" s="12">
        <f t="shared" si="86"/>
        <v>2083.4</v>
      </c>
      <c r="M318" s="522" t="s">
        <v>51</v>
      </c>
      <c r="N318" s="2" t="s">
        <v>246</v>
      </c>
      <c r="O318" s="2" t="s">
        <v>1327</v>
      </c>
      <c r="P318" s="2" t="s">
        <v>62</v>
      </c>
      <c r="Q318" s="2" t="s">
        <v>62</v>
      </c>
      <c r="R318" s="2" t="s">
        <v>61</v>
      </c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2" t="s">
        <v>51</v>
      </c>
      <c r="AW318" s="2" t="s">
        <v>1328</v>
      </c>
      <c r="AX318" s="2" t="s">
        <v>51</v>
      </c>
      <c r="AY318" s="2" t="s">
        <v>51</v>
      </c>
    </row>
    <row r="319" spans="1:52" ht="30" customHeight="1">
      <c r="A319" s="8" t="s">
        <v>1329</v>
      </c>
      <c r="B319" s="8" t="s">
        <v>1330</v>
      </c>
      <c r="C319" s="8" t="s">
        <v>993</v>
      </c>
      <c r="D319" s="9">
        <v>1.7874000000000001</v>
      </c>
      <c r="E319" s="11">
        <f>단가대비표!O50</f>
        <v>700</v>
      </c>
      <c r="F319" s="12">
        <f t="shared" si="83"/>
        <v>1251.0999999999999</v>
      </c>
      <c r="G319" s="11">
        <f>단가대비표!P50</f>
        <v>0</v>
      </c>
      <c r="H319" s="12">
        <f t="shared" si="84"/>
        <v>0</v>
      </c>
      <c r="I319" s="11">
        <f>단가대비표!V50</f>
        <v>0</v>
      </c>
      <c r="J319" s="12">
        <f t="shared" si="85"/>
        <v>0</v>
      </c>
      <c r="K319" s="11">
        <f t="shared" si="86"/>
        <v>700</v>
      </c>
      <c r="L319" s="12">
        <f t="shared" si="86"/>
        <v>1251.0999999999999</v>
      </c>
      <c r="M319" s="522" t="s">
        <v>51</v>
      </c>
      <c r="N319" s="2" t="s">
        <v>246</v>
      </c>
      <c r="O319" s="2" t="s">
        <v>1331</v>
      </c>
      <c r="P319" s="2" t="s">
        <v>62</v>
      </c>
      <c r="Q319" s="2" t="s">
        <v>62</v>
      </c>
      <c r="R319" s="2" t="s">
        <v>61</v>
      </c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2" t="s">
        <v>51</v>
      </c>
      <c r="AW319" s="2" t="s">
        <v>1332</v>
      </c>
      <c r="AX319" s="2" t="s">
        <v>51</v>
      </c>
      <c r="AY319" s="2" t="s">
        <v>51</v>
      </c>
    </row>
    <row r="320" spans="1:52" ht="30" customHeight="1">
      <c r="A320" s="8" t="s">
        <v>1329</v>
      </c>
      <c r="B320" s="8" t="s">
        <v>1333</v>
      </c>
      <c r="C320" s="8" t="s">
        <v>993</v>
      </c>
      <c r="D320" s="9">
        <v>5.11E-2</v>
      </c>
      <c r="E320" s="11">
        <f>단가대비표!O49</f>
        <v>711</v>
      </c>
      <c r="F320" s="12">
        <f t="shared" si="83"/>
        <v>36.299999999999997</v>
      </c>
      <c r="G320" s="11">
        <f>단가대비표!P49</f>
        <v>0</v>
      </c>
      <c r="H320" s="12">
        <f t="shared" si="84"/>
        <v>0</v>
      </c>
      <c r="I320" s="11">
        <f>단가대비표!V49</f>
        <v>0</v>
      </c>
      <c r="J320" s="12">
        <f t="shared" si="85"/>
        <v>0</v>
      </c>
      <c r="K320" s="11">
        <f t="shared" si="86"/>
        <v>711</v>
      </c>
      <c r="L320" s="12">
        <f t="shared" si="86"/>
        <v>36.299999999999997</v>
      </c>
      <c r="M320" s="522" t="s">
        <v>51</v>
      </c>
      <c r="N320" s="2" t="s">
        <v>246</v>
      </c>
      <c r="O320" s="2" t="s">
        <v>1334</v>
      </c>
      <c r="P320" s="2" t="s">
        <v>62</v>
      </c>
      <c r="Q320" s="2" t="s">
        <v>62</v>
      </c>
      <c r="R320" s="2" t="s">
        <v>61</v>
      </c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2" t="s">
        <v>51</v>
      </c>
      <c r="AW320" s="2" t="s">
        <v>1335</v>
      </c>
      <c r="AX320" s="2" t="s">
        <v>51</v>
      </c>
      <c r="AY320" s="2" t="s">
        <v>51</v>
      </c>
    </row>
    <row r="321" spans="1:51" ht="30" customHeight="1">
      <c r="A321" s="8" t="s">
        <v>1336</v>
      </c>
      <c r="B321" s="8" t="s">
        <v>1337</v>
      </c>
      <c r="C321" s="8" t="s">
        <v>993</v>
      </c>
      <c r="D321" s="9">
        <v>0.77310000000000001</v>
      </c>
      <c r="E321" s="11">
        <f>일위대가목록!F110</f>
        <v>251</v>
      </c>
      <c r="F321" s="12">
        <f t="shared" si="83"/>
        <v>194</v>
      </c>
      <c r="G321" s="11">
        <f>일위대가목록!H110</f>
        <v>5667</v>
      </c>
      <c r="H321" s="12">
        <f t="shared" si="84"/>
        <v>4381.1000000000004</v>
      </c>
      <c r="I321" s="11">
        <f>일위대가목록!J110</f>
        <v>180</v>
      </c>
      <c r="J321" s="12">
        <f t="shared" si="85"/>
        <v>139.1</v>
      </c>
      <c r="K321" s="11">
        <f t="shared" si="86"/>
        <v>6098</v>
      </c>
      <c r="L321" s="12">
        <f t="shared" si="86"/>
        <v>4714.2</v>
      </c>
      <c r="M321" s="522" t="s">
        <v>1757</v>
      </c>
      <c r="N321" s="2" t="s">
        <v>246</v>
      </c>
      <c r="O321" s="2" t="s">
        <v>1338</v>
      </c>
      <c r="P321" s="2" t="s">
        <v>61</v>
      </c>
      <c r="Q321" s="2" t="s">
        <v>62</v>
      </c>
      <c r="R321" s="2" t="s">
        <v>62</v>
      </c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2" t="s">
        <v>51</v>
      </c>
      <c r="AW321" s="2" t="s">
        <v>1339</v>
      </c>
      <c r="AX321" s="2" t="s">
        <v>51</v>
      </c>
      <c r="AY321" s="2" t="s">
        <v>51</v>
      </c>
    </row>
    <row r="322" spans="1:51" ht="30" customHeight="1">
      <c r="A322" s="8" t="s">
        <v>1336</v>
      </c>
      <c r="B322" s="8" t="s">
        <v>1340</v>
      </c>
      <c r="C322" s="8" t="s">
        <v>993</v>
      </c>
      <c r="D322" s="9">
        <v>1.6713</v>
      </c>
      <c r="E322" s="11">
        <f>일위대가목록!F111</f>
        <v>85</v>
      </c>
      <c r="F322" s="12">
        <f t="shared" si="83"/>
        <v>142</v>
      </c>
      <c r="G322" s="11">
        <f>일위대가목록!H111</f>
        <v>5667</v>
      </c>
      <c r="H322" s="12">
        <f t="shared" si="84"/>
        <v>9471.2000000000007</v>
      </c>
      <c r="I322" s="11">
        <f>일위대가목록!J111</f>
        <v>180</v>
      </c>
      <c r="J322" s="12">
        <f t="shared" si="85"/>
        <v>300.8</v>
      </c>
      <c r="K322" s="11">
        <f t="shared" si="86"/>
        <v>5932</v>
      </c>
      <c r="L322" s="12">
        <f t="shared" si="86"/>
        <v>9914</v>
      </c>
      <c r="M322" s="522" t="s">
        <v>1761</v>
      </c>
      <c r="N322" s="2" t="s">
        <v>246</v>
      </c>
      <c r="O322" s="2" t="s">
        <v>1341</v>
      </c>
      <c r="P322" s="2" t="s">
        <v>61</v>
      </c>
      <c r="Q322" s="2" t="s">
        <v>62</v>
      </c>
      <c r="R322" s="2" t="s">
        <v>62</v>
      </c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2" t="s">
        <v>51</v>
      </c>
      <c r="AW322" s="2" t="s">
        <v>1342</v>
      </c>
      <c r="AX322" s="2" t="s">
        <v>51</v>
      </c>
      <c r="AY322" s="2" t="s">
        <v>51</v>
      </c>
    </row>
    <row r="323" spans="1:51" ht="30" customHeight="1">
      <c r="A323" s="8" t="s">
        <v>593</v>
      </c>
      <c r="B323" s="8" t="s">
        <v>1343</v>
      </c>
      <c r="C323" s="8" t="s">
        <v>993</v>
      </c>
      <c r="D323" s="9">
        <v>-6.9500000000000006E-2</v>
      </c>
      <c r="E323" s="11">
        <f>단가대비표!O39</f>
        <v>1400</v>
      </c>
      <c r="F323" s="12">
        <f t="shared" si="83"/>
        <v>-97.3</v>
      </c>
      <c r="G323" s="11">
        <f>단가대비표!P39</f>
        <v>0</v>
      </c>
      <c r="H323" s="12">
        <f t="shared" si="84"/>
        <v>0</v>
      </c>
      <c r="I323" s="11">
        <f>단가대비표!V39</f>
        <v>0</v>
      </c>
      <c r="J323" s="12">
        <f t="shared" si="85"/>
        <v>0</v>
      </c>
      <c r="K323" s="11">
        <f t="shared" si="86"/>
        <v>1400</v>
      </c>
      <c r="L323" s="12">
        <f t="shared" si="86"/>
        <v>-97.3</v>
      </c>
      <c r="M323" s="522" t="s">
        <v>595</v>
      </c>
      <c r="N323" s="2" t="s">
        <v>246</v>
      </c>
      <c r="O323" s="2" t="s">
        <v>1344</v>
      </c>
      <c r="P323" s="2" t="s">
        <v>62</v>
      </c>
      <c r="Q323" s="2" t="s">
        <v>62</v>
      </c>
      <c r="R323" s="2" t="s">
        <v>61</v>
      </c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2" t="s">
        <v>51</v>
      </c>
      <c r="AW323" s="2" t="s">
        <v>1345</v>
      </c>
      <c r="AX323" s="2" t="s">
        <v>51</v>
      </c>
      <c r="AY323" s="2" t="s">
        <v>51</v>
      </c>
    </row>
    <row r="324" spans="1:51" ht="30" customHeight="1">
      <c r="A324" s="8" t="s">
        <v>593</v>
      </c>
      <c r="B324" s="8" t="s">
        <v>594</v>
      </c>
      <c r="C324" s="8" t="s">
        <v>993</v>
      </c>
      <c r="D324" s="9">
        <v>-0.15040000000000001</v>
      </c>
      <c r="E324" s="11">
        <f>단가대비표!O38</f>
        <v>340</v>
      </c>
      <c r="F324" s="12">
        <f t="shared" si="83"/>
        <v>-51.1</v>
      </c>
      <c r="G324" s="11">
        <f>단가대비표!P38</f>
        <v>0</v>
      </c>
      <c r="H324" s="12">
        <f t="shared" si="84"/>
        <v>0</v>
      </c>
      <c r="I324" s="11">
        <f>단가대비표!V38</f>
        <v>0</v>
      </c>
      <c r="J324" s="12">
        <f t="shared" si="85"/>
        <v>0</v>
      </c>
      <c r="K324" s="11">
        <f t="shared" si="86"/>
        <v>340</v>
      </c>
      <c r="L324" s="12">
        <f t="shared" si="86"/>
        <v>-51.1</v>
      </c>
      <c r="M324" s="522" t="s">
        <v>595</v>
      </c>
      <c r="N324" s="2" t="s">
        <v>246</v>
      </c>
      <c r="O324" s="2" t="s">
        <v>1346</v>
      </c>
      <c r="P324" s="2" t="s">
        <v>62</v>
      </c>
      <c r="Q324" s="2" t="s">
        <v>62</v>
      </c>
      <c r="R324" s="2" t="s">
        <v>61</v>
      </c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2" t="s">
        <v>51</v>
      </c>
      <c r="AW324" s="2" t="s">
        <v>1347</v>
      </c>
      <c r="AX324" s="2" t="s">
        <v>51</v>
      </c>
      <c r="AY324" s="2" t="s">
        <v>51</v>
      </c>
    </row>
    <row r="325" spans="1:51" ht="30" customHeight="1">
      <c r="A325" s="8" t="s">
        <v>950</v>
      </c>
      <c r="B325" s="8" t="s">
        <v>51</v>
      </c>
      <c r="C325" s="8" t="s">
        <v>51</v>
      </c>
      <c r="D325" s="9"/>
      <c r="E325" s="11"/>
      <c r="F325" s="12">
        <f>TRUNC(SUMIF(N318:N324, N317, F318:F324),0)</f>
        <v>3558</v>
      </c>
      <c r="G325" s="11"/>
      <c r="H325" s="12">
        <f>TRUNC(SUMIF(N318:N324, N317, H318:H324),0)</f>
        <v>13852</v>
      </c>
      <c r="I325" s="11"/>
      <c r="J325" s="12">
        <f>TRUNC(SUMIF(N318:N324, N317, J318:J324),0)</f>
        <v>439</v>
      </c>
      <c r="K325" s="11"/>
      <c r="L325" s="12">
        <f>F325+H325+J325</f>
        <v>17849</v>
      </c>
      <c r="M325" s="522" t="s">
        <v>51</v>
      </c>
      <c r="N325" s="2" t="s">
        <v>86</v>
      </c>
      <c r="O325" s="2" t="s">
        <v>86</v>
      </c>
      <c r="P325" s="2" t="s">
        <v>51</v>
      </c>
      <c r="Q325" s="2" t="s">
        <v>51</v>
      </c>
      <c r="R325" s="2" t="s">
        <v>51</v>
      </c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2" t="s">
        <v>51</v>
      </c>
      <c r="AW325" s="2" t="s">
        <v>51</v>
      </c>
      <c r="AX325" s="2" t="s">
        <v>51</v>
      </c>
      <c r="AY325" s="2" t="s">
        <v>51</v>
      </c>
    </row>
    <row r="326" spans="1:51" ht="30" customHeight="1">
      <c r="A326" s="9"/>
      <c r="B326" s="9"/>
      <c r="C326" s="9"/>
      <c r="D326" s="9"/>
      <c r="E326" s="11"/>
      <c r="F326" s="12"/>
      <c r="G326" s="11"/>
      <c r="H326" s="12"/>
      <c r="I326" s="11"/>
      <c r="J326" s="12"/>
      <c r="K326" s="11"/>
      <c r="L326" s="12"/>
      <c r="M326" s="523"/>
    </row>
    <row r="327" spans="1:51" ht="30" customHeight="1">
      <c r="A327" s="1403" t="s">
        <v>4513</v>
      </c>
      <c r="B327" s="1403"/>
      <c r="C327" s="1403"/>
      <c r="D327" s="1403"/>
      <c r="E327" s="1404"/>
      <c r="F327" s="1405"/>
      <c r="G327" s="1404"/>
      <c r="H327" s="1405"/>
      <c r="I327" s="1404"/>
      <c r="J327" s="1405"/>
      <c r="K327" s="1404"/>
      <c r="L327" s="1405"/>
      <c r="M327" s="1403"/>
      <c r="N327" s="1" t="s">
        <v>254</v>
      </c>
    </row>
    <row r="328" spans="1:51" ht="30" customHeight="1">
      <c r="A328" s="8" t="s">
        <v>185</v>
      </c>
      <c r="B328" s="8" t="s">
        <v>1349</v>
      </c>
      <c r="C328" s="8" t="s">
        <v>59</v>
      </c>
      <c r="D328" s="9">
        <v>1.05</v>
      </c>
      <c r="E328" s="11">
        <f>단가대비표!O68</f>
        <v>3337</v>
      </c>
      <c r="F328" s="12">
        <f>TRUNC(E328*D328,1)</f>
        <v>3503.8</v>
      </c>
      <c r="G328" s="11">
        <f>단가대비표!P68</f>
        <v>0</v>
      </c>
      <c r="H328" s="12">
        <f>TRUNC(G328*D328,1)</f>
        <v>0</v>
      </c>
      <c r="I328" s="11">
        <f>단가대비표!V68</f>
        <v>0</v>
      </c>
      <c r="J328" s="12">
        <f>TRUNC(I328*D328,1)</f>
        <v>0</v>
      </c>
      <c r="K328" s="11">
        <f t="shared" ref="K328:L330" si="87">TRUNC(E328+G328+I328,1)</f>
        <v>3337</v>
      </c>
      <c r="L328" s="12">
        <f t="shared" si="87"/>
        <v>3503.8</v>
      </c>
      <c r="M328" s="522" t="s">
        <v>51</v>
      </c>
      <c r="N328" s="2" t="s">
        <v>254</v>
      </c>
      <c r="O328" s="2" t="s">
        <v>1350</v>
      </c>
      <c r="P328" s="2" t="s">
        <v>62</v>
      </c>
      <c r="Q328" s="2" t="s">
        <v>62</v>
      </c>
      <c r="R328" s="2" t="s">
        <v>61</v>
      </c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2" t="s">
        <v>51</v>
      </c>
      <c r="AW328" s="2" t="s">
        <v>1351</v>
      </c>
      <c r="AX328" s="2" t="s">
        <v>51</v>
      </c>
      <c r="AY328" s="2" t="s">
        <v>51</v>
      </c>
    </row>
    <row r="329" spans="1:51" ht="30" customHeight="1">
      <c r="A329" s="8" t="s">
        <v>1118</v>
      </c>
      <c r="B329" s="8" t="s">
        <v>1151</v>
      </c>
      <c r="C329" s="8" t="s">
        <v>993</v>
      </c>
      <c r="D329" s="9">
        <v>3.5000000000000003E-2</v>
      </c>
      <c r="E329" s="11">
        <f>단가대비표!O474</f>
        <v>1105</v>
      </c>
      <c r="F329" s="12">
        <f>TRUNC(E329*D329,1)</f>
        <v>38.6</v>
      </c>
      <c r="G329" s="11">
        <f>단가대비표!P474</f>
        <v>0</v>
      </c>
      <c r="H329" s="12">
        <f>TRUNC(G329*D329,1)</f>
        <v>0</v>
      </c>
      <c r="I329" s="11">
        <f>단가대비표!V474</f>
        <v>0</v>
      </c>
      <c r="J329" s="12">
        <f>TRUNC(I329*D329,1)</f>
        <v>0</v>
      </c>
      <c r="K329" s="11">
        <f t="shared" si="87"/>
        <v>1105</v>
      </c>
      <c r="L329" s="12">
        <f t="shared" si="87"/>
        <v>38.6</v>
      </c>
      <c r="M329" s="522" t="s">
        <v>51</v>
      </c>
      <c r="N329" s="2" t="s">
        <v>254</v>
      </c>
      <c r="O329" s="2" t="s">
        <v>1152</v>
      </c>
      <c r="P329" s="2" t="s">
        <v>62</v>
      </c>
      <c r="Q329" s="2" t="s">
        <v>62</v>
      </c>
      <c r="R329" s="2" t="s">
        <v>61</v>
      </c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2" t="s">
        <v>51</v>
      </c>
      <c r="AW329" s="2" t="s">
        <v>1352</v>
      </c>
      <c r="AX329" s="2" t="s">
        <v>51</v>
      </c>
      <c r="AY329" s="2" t="s">
        <v>51</v>
      </c>
    </row>
    <row r="330" spans="1:51" ht="30" customHeight="1">
      <c r="A330" s="8" t="s">
        <v>3219</v>
      </c>
      <c r="B330" s="8" t="s">
        <v>947</v>
      </c>
      <c r="C330" s="8" t="s">
        <v>419</v>
      </c>
      <c r="D330" s="133">
        <v>4.65E-2</v>
      </c>
      <c r="E330" s="11">
        <f>단가대비표!O568</f>
        <v>0</v>
      </c>
      <c r="F330" s="12">
        <f>TRUNC(E330*D330,1)</f>
        <v>0</v>
      </c>
      <c r="G330" s="11">
        <f>단가대비표!P557</f>
        <v>155599</v>
      </c>
      <c r="H330" s="12">
        <f>TRUNC(G330*D330,1)</f>
        <v>7235.3</v>
      </c>
      <c r="I330" s="11">
        <f>단가대비표!V568</f>
        <v>0</v>
      </c>
      <c r="J330" s="12">
        <f>TRUNC(I330*D330,1)</f>
        <v>0</v>
      </c>
      <c r="K330" s="11">
        <f t="shared" si="87"/>
        <v>155599</v>
      </c>
      <c r="L330" s="12">
        <f t="shared" si="87"/>
        <v>7235.3</v>
      </c>
      <c r="M330" s="522" t="s">
        <v>51</v>
      </c>
      <c r="N330" s="2" t="s">
        <v>254</v>
      </c>
      <c r="O330" s="2" t="s">
        <v>948</v>
      </c>
      <c r="P330" s="2" t="s">
        <v>62</v>
      </c>
      <c r="Q330" s="2" t="s">
        <v>62</v>
      </c>
      <c r="R330" s="2" t="s">
        <v>61</v>
      </c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2" t="s">
        <v>51</v>
      </c>
      <c r="AW330" s="2" t="s">
        <v>1353</v>
      </c>
      <c r="AX330" s="2" t="s">
        <v>51</v>
      </c>
      <c r="AY330" s="2" t="s">
        <v>51</v>
      </c>
    </row>
    <row r="331" spans="1:51" ht="30" customHeight="1">
      <c r="A331" s="8" t="s">
        <v>950</v>
      </c>
      <c r="B331" s="8" t="s">
        <v>51</v>
      </c>
      <c r="C331" s="8" t="s">
        <v>51</v>
      </c>
      <c r="D331" s="9"/>
      <c r="E331" s="11"/>
      <c r="F331" s="12">
        <f>TRUNC(SUMIF(N328:N330, N327, F328:F330),0)</f>
        <v>3542</v>
      </c>
      <c r="G331" s="11"/>
      <c r="H331" s="12">
        <f>TRUNC(SUMIF(N328:N330, N327, H328:H330),0)</f>
        <v>7235</v>
      </c>
      <c r="I331" s="11"/>
      <c r="J331" s="12">
        <f>TRUNC(SUMIF(N328:N330, N327, J328:J330),0)</f>
        <v>0</v>
      </c>
      <c r="K331" s="11"/>
      <c r="L331" s="12">
        <f>F331+H331+J331</f>
        <v>10777</v>
      </c>
      <c r="M331" s="522" t="s">
        <v>51</v>
      </c>
      <c r="N331" s="2" t="s">
        <v>86</v>
      </c>
      <c r="O331" s="2" t="s">
        <v>86</v>
      </c>
      <c r="P331" s="2" t="s">
        <v>51</v>
      </c>
      <c r="Q331" s="2" t="s">
        <v>51</v>
      </c>
      <c r="R331" s="2" t="s">
        <v>51</v>
      </c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2" t="s">
        <v>51</v>
      </c>
      <c r="AW331" s="2" t="s">
        <v>51</v>
      </c>
      <c r="AX331" s="2" t="s">
        <v>51</v>
      </c>
      <c r="AY331" s="2" t="s">
        <v>51</v>
      </c>
    </row>
    <row r="332" spans="1:51" ht="30" customHeight="1">
      <c r="A332" s="9"/>
      <c r="B332" s="9"/>
      <c r="C332" s="9"/>
      <c r="D332" s="9"/>
      <c r="E332" s="11"/>
      <c r="F332" s="12"/>
      <c r="G332" s="11"/>
      <c r="H332" s="12"/>
      <c r="I332" s="11"/>
      <c r="J332" s="12"/>
      <c r="K332" s="11"/>
      <c r="L332" s="12"/>
      <c r="M332" s="523"/>
    </row>
    <row r="333" spans="1:51" ht="30" customHeight="1">
      <c r="A333" s="1403" t="s">
        <v>4514</v>
      </c>
      <c r="B333" s="1403"/>
      <c r="C333" s="1403"/>
      <c r="D333" s="1403"/>
      <c r="E333" s="1404"/>
      <c r="F333" s="1405"/>
      <c r="G333" s="1404"/>
      <c r="H333" s="1405"/>
      <c r="I333" s="1404"/>
      <c r="J333" s="1405"/>
      <c r="K333" s="1404"/>
      <c r="L333" s="1405"/>
      <c r="M333" s="1403"/>
      <c r="N333" s="1" t="s">
        <v>256</v>
      </c>
    </row>
    <row r="334" spans="1:51" ht="30" customHeight="1">
      <c r="A334" s="8" t="s">
        <v>185</v>
      </c>
      <c r="B334" s="8" t="s">
        <v>1162</v>
      </c>
      <c r="C334" s="8" t="s">
        <v>59</v>
      </c>
      <c r="D334" s="9">
        <v>1.1000000000000001</v>
      </c>
      <c r="E334" s="11">
        <f>단가대비표!O66</f>
        <v>2440</v>
      </c>
      <c r="F334" s="12">
        <f>TRUNC(E334*D334,1)</f>
        <v>2684</v>
      </c>
      <c r="G334" s="11">
        <f>단가대비표!P66</f>
        <v>0</v>
      </c>
      <c r="H334" s="12">
        <f>TRUNC(G334*D334,1)</f>
        <v>0</v>
      </c>
      <c r="I334" s="11">
        <f>단가대비표!V66</f>
        <v>0</v>
      </c>
      <c r="J334" s="12">
        <f>TRUNC(I334*D334,1)</f>
        <v>0</v>
      </c>
      <c r="K334" s="11">
        <f t="shared" ref="K334:L336" si="88">TRUNC(E334+G334+I334,1)</f>
        <v>2440</v>
      </c>
      <c r="L334" s="12">
        <f t="shared" si="88"/>
        <v>2684</v>
      </c>
      <c r="M334" s="522" t="s">
        <v>51</v>
      </c>
      <c r="N334" s="2" t="s">
        <v>256</v>
      </c>
      <c r="O334" s="2" t="s">
        <v>1163</v>
      </c>
      <c r="P334" s="2" t="s">
        <v>62</v>
      </c>
      <c r="Q334" s="2" t="s">
        <v>62</v>
      </c>
      <c r="R334" s="2" t="s">
        <v>61</v>
      </c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2" t="s">
        <v>51</v>
      </c>
      <c r="AW334" s="2" t="s">
        <v>1355</v>
      </c>
      <c r="AX334" s="2" t="s">
        <v>51</v>
      </c>
      <c r="AY334" s="2" t="s">
        <v>51</v>
      </c>
    </row>
    <row r="335" spans="1:51" ht="30" customHeight="1">
      <c r="A335" s="8" t="s">
        <v>1118</v>
      </c>
      <c r="B335" s="8" t="s">
        <v>1151</v>
      </c>
      <c r="C335" s="8" t="s">
        <v>993</v>
      </c>
      <c r="D335" s="9">
        <v>3.5000000000000003E-2</v>
      </c>
      <c r="E335" s="11">
        <f>단가대비표!O474</f>
        <v>1105</v>
      </c>
      <c r="F335" s="12">
        <f>TRUNC(E335*D335,1)</f>
        <v>38.6</v>
      </c>
      <c r="G335" s="11">
        <f>단가대비표!P474</f>
        <v>0</v>
      </c>
      <c r="H335" s="12">
        <f>TRUNC(G335*D335,1)</f>
        <v>0</v>
      </c>
      <c r="I335" s="11">
        <f>단가대비표!V474</f>
        <v>0</v>
      </c>
      <c r="J335" s="12">
        <f>TRUNC(I335*D335,1)</f>
        <v>0</v>
      </c>
      <c r="K335" s="11">
        <f t="shared" si="88"/>
        <v>1105</v>
      </c>
      <c r="L335" s="12">
        <f t="shared" si="88"/>
        <v>38.6</v>
      </c>
      <c r="M335" s="522" t="s">
        <v>51</v>
      </c>
      <c r="N335" s="2" t="s">
        <v>256</v>
      </c>
      <c r="O335" s="2" t="s">
        <v>1152</v>
      </c>
      <c r="P335" s="2" t="s">
        <v>62</v>
      </c>
      <c r="Q335" s="2" t="s">
        <v>62</v>
      </c>
      <c r="R335" s="2" t="s">
        <v>61</v>
      </c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2" t="s">
        <v>51</v>
      </c>
      <c r="AW335" s="2" t="s">
        <v>1356</v>
      </c>
      <c r="AX335" s="2" t="s">
        <v>51</v>
      </c>
      <c r="AY335" s="2" t="s">
        <v>51</v>
      </c>
    </row>
    <row r="336" spans="1:51" ht="30" customHeight="1">
      <c r="A336" s="8" t="s">
        <v>3219</v>
      </c>
      <c r="B336" s="8" t="s">
        <v>947</v>
      </c>
      <c r="C336" s="8" t="s">
        <v>419</v>
      </c>
      <c r="D336" s="9">
        <v>4.65E-2</v>
      </c>
      <c r="E336" s="11">
        <f>단가대비표!O568</f>
        <v>0</v>
      </c>
      <c r="F336" s="12">
        <f>TRUNC(E336*D336,1)</f>
        <v>0</v>
      </c>
      <c r="G336" s="11">
        <f>단가대비표!P557</f>
        <v>155599</v>
      </c>
      <c r="H336" s="12">
        <f>TRUNC(G336*D336,1)</f>
        <v>7235.3</v>
      </c>
      <c r="I336" s="11">
        <f>단가대비표!V568</f>
        <v>0</v>
      </c>
      <c r="J336" s="12">
        <f>TRUNC(I336*D336,1)</f>
        <v>0</v>
      </c>
      <c r="K336" s="11">
        <f t="shared" si="88"/>
        <v>155599</v>
      </c>
      <c r="L336" s="12">
        <f t="shared" si="88"/>
        <v>7235.3</v>
      </c>
      <c r="M336" s="522" t="s">
        <v>51</v>
      </c>
      <c r="N336" s="2" t="s">
        <v>256</v>
      </c>
      <c r="O336" s="2" t="s">
        <v>948</v>
      </c>
      <c r="P336" s="2" t="s">
        <v>62</v>
      </c>
      <c r="Q336" s="2" t="s">
        <v>62</v>
      </c>
      <c r="R336" s="2" t="s">
        <v>61</v>
      </c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2" t="s">
        <v>51</v>
      </c>
      <c r="AW336" s="2" t="s">
        <v>1357</v>
      </c>
      <c r="AX336" s="2" t="s">
        <v>51</v>
      </c>
      <c r="AY336" s="2" t="s">
        <v>51</v>
      </c>
    </row>
    <row r="337" spans="1:52" ht="30" customHeight="1">
      <c r="A337" s="8" t="s">
        <v>950</v>
      </c>
      <c r="B337" s="8" t="s">
        <v>51</v>
      </c>
      <c r="C337" s="8" t="s">
        <v>51</v>
      </c>
      <c r="D337" s="9"/>
      <c r="E337" s="11"/>
      <c r="F337" s="12">
        <f>TRUNC(SUMIF(N334:N336, N333, F334:F336),0)</f>
        <v>2722</v>
      </c>
      <c r="G337" s="11"/>
      <c r="H337" s="12">
        <f>TRUNC(SUMIF(N334:N336, N333, H334:H336),0)</f>
        <v>7235</v>
      </c>
      <c r="I337" s="11"/>
      <c r="J337" s="12">
        <f>TRUNC(SUMIF(N334:N336, N333, J334:J336),0)</f>
        <v>0</v>
      </c>
      <c r="K337" s="11"/>
      <c r="L337" s="12">
        <f>F337+H337+J337</f>
        <v>9957</v>
      </c>
      <c r="M337" s="522" t="s">
        <v>51</v>
      </c>
      <c r="N337" s="2" t="s">
        <v>86</v>
      </c>
      <c r="O337" s="2" t="s">
        <v>86</v>
      </c>
      <c r="P337" s="2" t="s">
        <v>51</v>
      </c>
      <c r="Q337" s="2" t="s">
        <v>51</v>
      </c>
      <c r="R337" s="2" t="s">
        <v>51</v>
      </c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2" t="s">
        <v>51</v>
      </c>
      <c r="AW337" s="2" t="s">
        <v>51</v>
      </c>
      <c r="AX337" s="2" t="s">
        <v>51</v>
      </c>
      <c r="AY337" s="2" t="s">
        <v>51</v>
      </c>
    </row>
    <row r="338" spans="1:52" ht="30" customHeight="1">
      <c r="A338" s="9"/>
      <c r="B338" s="9"/>
      <c r="C338" s="9"/>
      <c r="D338" s="9"/>
      <c r="E338" s="11"/>
      <c r="F338" s="12"/>
      <c r="G338" s="11"/>
      <c r="H338" s="12"/>
      <c r="I338" s="11"/>
      <c r="J338" s="12"/>
      <c r="K338" s="11"/>
      <c r="L338" s="12"/>
      <c r="M338" s="523"/>
    </row>
    <row r="339" spans="1:52" ht="30" customHeight="1">
      <c r="A339" s="1400" t="s">
        <v>4515</v>
      </c>
      <c r="B339" s="1400"/>
      <c r="C339" s="1400"/>
      <c r="D339" s="1400"/>
      <c r="E339" s="1401"/>
      <c r="F339" s="1402"/>
      <c r="G339" s="1401"/>
      <c r="H339" s="1402"/>
      <c r="I339" s="1401"/>
      <c r="J339" s="1402"/>
      <c r="K339" s="1401"/>
      <c r="L339" s="1402"/>
      <c r="M339" s="1400"/>
      <c r="N339" s="1" t="s">
        <v>258</v>
      </c>
      <c r="AZ339" t="s">
        <v>6674</v>
      </c>
    </row>
    <row r="340" spans="1:52" ht="30" customHeight="1">
      <c r="A340" s="8" t="s">
        <v>185</v>
      </c>
      <c r="B340" s="8" t="s">
        <v>1156</v>
      </c>
      <c r="C340" s="8" t="s">
        <v>59</v>
      </c>
      <c r="D340" s="9">
        <v>2.2000000000000002</v>
      </c>
      <c r="E340" s="11">
        <f>단가대비표!O65</f>
        <v>1920</v>
      </c>
      <c r="F340" s="12">
        <f>TRUNC(E340*D340,1)</f>
        <v>4224</v>
      </c>
      <c r="G340" s="11">
        <f>단가대비표!P65</f>
        <v>0</v>
      </c>
      <c r="H340" s="12">
        <f>TRUNC(G340*D340,1)</f>
        <v>0</v>
      </c>
      <c r="I340" s="11">
        <f>단가대비표!V65</f>
        <v>0</v>
      </c>
      <c r="J340" s="12">
        <f>TRUNC(I340*D340,1)</f>
        <v>0</v>
      </c>
      <c r="K340" s="11">
        <f t="shared" ref="K340:L345" si="89">TRUNC(E340+G340+I340,1)</f>
        <v>1920</v>
      </c>
      <c r="L340" s="12">
        <f t="shared" si="89"/>
        <v>4224</v>
      </c>
      <c r="M340" s="522" t="s">
        <v>51</v>
      </c>
      <c r="N340" s="2" t="s">
        <v>258</v>
      </c>
      <c r="O340" s="2" t="s">
        <v>1157</v>
      </c>
      <c r="P340" s="2" t="s">
        <v>62</v>
      </c>
      <c r="Q340" s="2" t="s">
        <v>62</v>
      </c>
      <c r="R340" s="2" t="s">
        <v>61</v>
      </c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2" t="s">
        <v>51</v>
      </c>
      <c r="AW340" s="2" t="s">
        <v>1359</v>
      </c>
      <c r="AX340" s="2" t="s">
        <v>51</v>
      </c>
      <c r="AY340" s="2" t="s">
        <v>51</v>
      </c>
    </row>
    <row r="341" spans="1:52" ht="30" customHeight="1">
      <c r="A341" s="8" t="s">
        <v>1118</v>
      </c>
      <c r="B341" s="8" t="s">
        <v>1151</v>
      </c>
      <c r="C341" s="8" t="s">
        <v>993</v>
      </c>
      <c r="D341" s="9">
        <v>3.5000000000000003E-2</v>
      </c>
      <c r="E341" s="11">
        <f>단가대비표!O474</f>
        <v>1105</v>
      </c>
      <c r="F341" s="12">
        <f>TRUNC(E341*D341,1)</f>
        <v>38.6</v>
      </c>
      <c r="G341" s="11">
        <f>단가대비표!P474</f>
        <v>0</v>
      </c>
      <c r="H341" s="12">
        <f>TRUNC(G341*D341,1)</f>
        <v>0</v>
      </c>
      <c r="I341" s="11">
        <f>단가대비표!V474</f>
        <v>0</v>
      </c>
      <c r="J341" s="12">
        <f>TRUNC(I341*D341,1)</f>
        <v>0</v>
      </c>
      <c r="K341" s="11">
        <f t="shared" si="89"/>
        <v>1105</v>
      </c>
      <c r="L341" s="12">
        <f t="shared" si="89"/>
        <v>38.6</v>
      </c>
      <c r="M341" s="522" t="s">
        <v>51</v>
      </c>
      <c r="N341" s="2" t="s">
        <v>258</v>
      </c>
      <c r="O341" s="2" t="s">
        <v>1152</v>
      </c>
      <c r="P341" s="2" t="s">
        <v>62</v>
      </c>
      <c r="Q341" s="2" t="s">
        <v>62</v>
      </c>
      <c r="R341" s="2" t="s">
        <v>61</v>
      </c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2" t="s">
        <v>51</v>
      </c>
      <c r="AW341" s="2" t="s">
        <v>1360</v>
      </c>
      <c r="AX341" s="2" t="s">
        <v>51</v>
      </c>
      <c r="AY341" s="2" t="s">
        <v>51</v>
      </c>
    </row>
    <row r="342" spans="1:52" ht="30" customHeight="1">
      <c r="A342" s="8" t="s">
        <v>3219</v>
      </c>
      <c r="B342" s="8" t="s">
        <v>947</v>
      </c>
      <c r="C342" s="8" t="s">
        <v>419</v>
      </c>
      <c r="D342" s="1171">
        <v>0</v>
      </c>
      <c r="E342" s="11">
        <f>단가대비표!O568</f>
        <v>0</v>
      </c>
      <c r="F342" s="12">
        <f>TRUNC(E342*D342,1)</f>
        <v>0</v>
      </c>
      <c r="G342" s="11">
        <f>단가대비표!P557</f>
        <v>155599</v>
      </c>
      <c r="H342" s="12">
        <f>TRUNC(G342*D342,1)</f>
        <v>0</v>
      </c>
      <c r="I342" s="11">
        <f>단가대비표!V568</f>
        <v>0</v>
      </c>
      <c r="J342" s="12">
        <f>TRUNC(I342*D342,1)</f>
        <v>0</v>
      </c>
      <c r="K342" s="11">
        <f t="shared" si="89"/>
        <v>155599</v>
      </c>
      <c r="L342" s="12">
        <f t="shared" si="89"/>
        <v>0</v>
      </c>
      <c r="M342" s="522" t="s">
        <v>51</v>
      </c>
      <c r="N342" s="2" t="s">
        <v>258</v>
      </c>
      <c r="O342" s="2" t="s">
        <v>948</v>
      </c>
      <c r="P342" s="2" t="s">
        <v>62</v>
      </c>
      <c r="Q342" s="2" t="s">
        <v>62</v>
      </c>
      <c r="R342" s="2" t="s">
        <v>61</v>
      </c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2" t="s">
        <v>51</v>
      </c>
      <c r="AW342" s="2" t="s">
        <v>1361</v>
      </c>
      <c r="AX342" s="2" t="s">
        <v>51</v>
      </c>
      <c r="AY342" s="2" t="s">
        <v>51</v>
      </c>
      <c r="AZ342">
        <v>8.6999999999999994E-2</v>
      </c>
    </row>
    <row r="343" spans="1:52" ht="30" customHeight="1">
      <c r="A343" s="1172" t="s">
        <v>1039</v>
      </c>
      <c r="B343" s="1172" t="s">
        <v>418</v>
      </c>
      <c r="C343" s="1172" t="s">
        <v>419</v>
      </c>
      <c r="D343" s="1171">
        <v>6.6000000000000003E-2</v>
      </c>
      <c r="E343" s="1173">
        <f>단가대비표!$O$572</f>
        <v>0</v>
      </c>
      <c r="F343" s="1174">
        <f>TRUNC(E343*D343,1)</f>
        <v>0</v>
      </c>
      <c r="G343" s="1173">
        <f>단가대비표!$P$572</f>
        <v>192305</v>
      </c>
      <c r="H343" s="1174">
        <f>TRUNC(G343*D343,1)</f>
        <v>12692.1</v>
      </c>
      <c r="I343" s="1173">
        <f>단가대비표!$V$572</f>
        <v>0</v>
      </c>
      <c r="J343" s="1174">
        <f>TRUNC(I343*D343,1)</f>
        <v>0</v>
      </c>
      <c r="K343" s="1173">
        <f t="shared" si="89"/>
        <v>192305</v>
      </c>
      <c r="L343" s="1174">
        <f t="shared" si="89"/>
        <v>12692.1</v>
      </c>
      <c r="M343" s="1175" t="s">
        <v>51</v>
      </c>
      <c r="N343" s="2"/>
      <c r="O343" s="2"/>
      <c r="P343" s="2"/>
      <c r="Q343" s="2"/>
      <c r="R343" s="2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2"/>
      <c r="AW343" s="2"/>
      <c r="AX343" s="2"/>
      <c r="AY343" s="2"/>
    </row>
    <row r="344" spans="1:52" ht="30" customHeight="1">
      <c r="A344" s="1172" t="s">
        <v>996</v>
      </c>
      <c r="B344" s="1172" t="s">
        <v>947</v>
      </c>
      <c r="C344" s="1172" t="s">
        <v>419</v>
      </c>
      <c r="D344" s="1171">
        <v>3.2000000000000001E-2</v>
      </c>
      <c r="E344" s="1173">
        <f>단가대비표!$O$556</f>
        <v>0</v>
      </c>
      <c r="F344" s="1174">
        <f>TRUNC(E344*D344,1)</f>
        <v>0</v>
      </c>
      <c r="G344" s="1173">
        <f>단가대비표!$P$556</f>
        <v>130264</v>
      </c>
      <c r="H344" s="1174">
        <f>TRUNC(G344*D344,1)</f>
        <v>4168.3999999999996</v>
      </c>
      <c r="I344" s="1173">
        <f>단가대비표!$V$556</f>
        <v>0</v>
      </c>
      <c r="J344" s="1174">
        <f>TRUNC(I344*D344,1)</f>
        <v>0</v>
      </c>
      <c r="K344" s="1173">
        <f t="shared" si="89"/>
        <v>130264</v>
      </c>
      <c r="L344" s="1174">
        <f t="shared" si="89"/>
        <v>4168.3999999999996</v>
      </c>
      <c r="M344" s="1175" t="s">
        <v>51</v>
      </c>
      <c r="N344" s="2"/>
      <c r="O344" s="2"/>
      <c r="P344" s="2"/>
      <c r="Q344" s="2"/>
      <c r="R344" s="2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2"/>
      <c r="AW344" s="2"/>
      <c r="AX344" s="2"/>
      <c r="AY344" s="2"/>
    </row>
    <row r="345" spans="1:52" ht="30" customHeight="1">
      <c r="A345" s="1172" t="s">
        <v>1134</v>
      </c>
      <c r="B345" s="1172" t="s">
        <v>1135</v>
      </c>
      <c r="C345" s="1172" t="s">
        <v>82</v>
      </c>
      <c r="D345" s="1171">
        <v>1</v>
      </c>
      <c r="E345" s="1173">
        <f>TRUNC(SUM(H342:H344)*3%,0)</f>
        <v>505</v>
      </c>
      <c r="F345" s="1174">
        <f t="shared" ref="F345" si="90">TRUNC(E345*D345,1)</f>
        <v>505</v>
      </c>
      <c r="G345" s="1173">
        <f>단가대비표!P627</f>
        <v>0</v>
      </c>
      <c r="H345" s="1174">
        <f t="shared" ref="H345" si="91">TRUNC(G345*D345,1)</f>
        <v>0</v>
      </c>
      <c r="I345" s="1173">
        <f>단가대비표!V627</f>
        <v>0</v>
      </c>
      <c r="J345" s="1174">
        <f t="shared" ref="J345" si="92">TRUNC(I345*D345,1)</f>
        <v>0</v>
      </c>
      <c r="K345" s="1173">
        <f t="shared" si="89"/>
        <v>505</v>
      </c>
      <c r="L345" s="1174">
        <f t="shared" si="89"/>
        <v>505</v>
      </c>
      <c r="M345" s="1175" t="s">
        <v>51</v>
      </c>
      <c r="N345" s="2"/>
      <c r="O345" s="2"/>
      <c r="P345" s="2"/>
      <c r="Q345" s="2"/>
      <c r="R345" s="2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2"/>
      <c r="AW345" s="2"/>
      <c r="AX345" s="2"/>
      <c r="AY345" s="2"/>
    </row>
    <row r="346" spans="1:52" ht="30" customHeight="1">
      <c r="A346" s="8" t="s">
        <v>950</v>
      </c>
      <c r="B346" s="8" t="s">
        <v>51</v>
      </c>
      <c r="C346" s="8" t="s">
        <v>51</v>
      </c>
      <c r="D346" s="9"/>
      <c r="E346" s="11"/>
      <c r="F346" s="12">
        <f>TRUNC(SUM(F340:F345),0)</f>
        <v>4767</v>
      </c>
      <c r="G346" s="11"/>
      <c r="H346" s="1061">
        <f>TRUNC(SUM(H340:H345),0)</f>
        <v>16860</v>
      </c>
      <c r="I346" s="11"/>
      <c r="J346" s="1061">
        <f>TRUNC(SUM(J340:J345),0)</f>
        <v>0</v>
      </c>
      <c r="K346" s="11"/>
      <c r="L346" s="12">
        <f>F346+H346+J346</f>
        <v>21627</v>
      </c>
      <c r="M346" s="522" t="s">
        <v>51</v>
      </c>
      <c r="N346" s="2" t="s">
        <v>86</v>
      </c>
      <c r="O346" s="2" t="s">
        <v>86</v>
      </c>
      <c r="P346" s="2" t="s">
        <v>51</v>
      </c>
      <c r="Q346" s="2" t="s">
        <v>51</v>
      </c>
      <c r="R346" s="2" t="s">
        <v>51</v>
      </c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2" t="s">
        <v>51</v>
      </c>
      <c r="AW346" s="2" t="s">
        <v>51</v>
      </c>
      <c r="AX346" s="2" t="s">
        <v>51</v>
      </c>
      <c r="AY346" s="2" t="s">
        <v>51</v>
      </c>
      <c r="AZ346" s="1170">
        <v>17799</v>
      </c>
    </row>
    <row r="347" spans="1:52" ht="30" customHeight="1">
      <c r="A347" s="9"/>
      <c r="B347" s="9"/>
      <c r="C347" s="9"/>
      <c r="D347" s="9"/>
      <c r="E347" s="11"/>
      <c r="F347" s="12"/>
      <c r="G347" s="11"/>
      <c r="H347" s="12"/>
      <c r="I347" s="11"/>
      <c r="J347" s="12"/>
      <c r="K347" s="11"/>
      <c r="L347" s="12"/>
      <c r="M347" s="523"/>
    </row>
    <row r="348" spans="1:52" ht="30" customHeight="1">
      <c r="A348" s="1403" t="s">
        <v>6725</v>
      </c>
      <c r="B348" s="1403"/>
      <c r="C348" s="1403"/>
      <c r="D348" s="1403"/>
      <c r="E348" s="1404"/>
      <c r="F348" s="1405"/>
      <c r="G348" s="1404"/>
      <c r="H348" s="1405"/>
      <c r="I348" s="1404"/>
      <c r="J348" s="1405"/>
      <c r="K348" s="1404"/>
      <c r="L348" s="1405"/>
      <c r="M348" s="1403"/>
      <c r="N348" s="1" t="s">
        <v>275</v>
      </c>
    </row>
    <row r="349" spans="1:52" ht="30" customHeight="1">
      <c r="A349" s="8" t="s">
        <v>1363</v>
      </c>
      <c r="B349" s="8" t="s">
        <v>1364</v>
      </c>
      <c r="C349" s="8" t="s">
        <v>204</v>
      </c>
      <c r="D349" s="9">
        <v>4.32</v>
      </c>
      <c r="E349" s="11">
        <f>단가대비표!O41</f>
        <v>2850</v>
      </c>
      <c r="F349" s="12">
        <f t="shared" ref="F349:F354" si="93">TRUNC(E349*D349,1)</f>
        <v>12312</v>
      </c>
      <c r="G349" s="11">
        <f>단가대비표!P41</f>
        <v>0</v>
      </c>
      <c r="H349" s="12">
        <f t="shared" ref="H349:H354" si="94">TRUNC(G349*D349,1)</f>
        <v>0</v>
      </c>
      <c r="I349" s="11">
        <f>단가대비표!V41</f>
        <v>0</v>
      </c>
      <c r="J349" s="12">
        <f t="shared" ref="J349:J354" si="95">TRUNC(I349*D349,1)</f>
        <v>0</v>
      </c>
      <c r="K349" s="11">
        <f t="shared" ref="K349:L354" si="96">TRUNC(E349+G349+I349,1)</f>
        <v>2850</v>
      </c>
      <c r="L349" s="12">
        <f t="shared" si="96"/>
        <v>12312</v>
      </c>
      <c r="M349" s="522" t="s">
        <v>51</v>
      </c>
      <c r="N349" s="2" t="s">
        <v>275</v>
      </c>
      <c r="O349" s="2" t="s">
        <v>1365</v>
      </c>
      <c r="P349" s="2" t="s">
        <v>62</v>
      </c>
      <c r="Q349" s="2" t="s">
        <v>62</v>
      </c>
      <c r="R349" s="2" t="s">
        <v>61</v>
      </c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2" t="s">
        <v>51</v>
      </c>
      <c r="AW349" s="2" t="s">
        <v>1366</v>
      </c>
      <c r="AX349" s="2" t="s">
        <v>51</v>
      </c>
      <c r="AY349" s="2" t="s">
        <v>51</v>
      </c>
    </row>
    <row r="350" spans="1:52" ht="30" customHeight="1">
      <c r="A350" s="8" t="s">
        <v>1367</v>
      </c>
      <c r="B350" s="8" t="s">
        <v>418</v>
      </c>
      <c r="C350" s="8" t="s">
        <v>419</v>
      </c>
      <c r="D350" s="9">
        <v>0.2</v>
      </c>
      <c r="E350" s="11">
        <f>단가대비표!O560</f>
        <v>0</v>
      </c>
      <c r="F350" s="12">
        <f t="shared" si="93"/>
        <v>0</v>
      </c>
      <c r="G350" s="11">
        <f>단가대비표!P560</f>
        <v>184100</v>
      </c>
      <c r="H350" s="12">
        <f t="shared" si="94"/>
        <v>36820</v>
      </c>
      <c r="I350" s="11">
        <f>단가대비표!V560</f>
        <v>0</v>
      </c>
      <c r="J350" s="12">
        <f t="shared" si="95"/>
        <v>0</v>
      </c>
      <c r="K350" s="11">
        <f t="shared" si="96"/>
        <v>184100</v>
      </c>
      <c r="L350" s="12">
        <f t="shared" si="96"/>
        <v>36820</v>
      </c>
      <c r="M350" s="522" t="s">
        <v>51</v>
      </c>
      <c r="N350" s="2" t="s">
        <v>275</v>
      </c>
      <c r="O350" s="2" t="s">
        <v>1368</v>
      </c>
      <c r="P350" s="2" t="s">
        <v>62</v>
      </c>
      <c r="Q350" s="2" t="s">
        <v>62</v>
      </c>
      <c r="R350" s="2" t="s">
        <v>61</v>
      </c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2" t="s">
        <v>51</v>
      </c>
      <c r="AW350" s="2" t="s">
        <v>1369</v>
      </c>
      <c r="AX350" s="2" t="s">
        <v>51</v>
      </c>
      <c r="AY350" s="2" t="s">
        <v>51</v>
      </c>
    </row>
    <row r="351" spans="1:52" ht="30" customHeight="1">
      <c r="A351" s="8" t="s">
        <v>996</v>
      </c>
      <c r="B351" s="8" t="s">
        <v>947</v>
      </c>
      <c r="C351" s="8" t="s">
        <v>419</v>
      </c>
      <c r="D351" s="9">
        <v>0.1</v>
      </c>
      <c r="E351" s="11">
        <f>단가대비표!O556</f>
        <v>0</v>
      </c>
      <c r="F351" s="12">
        <f t="shared" si="93"/>
        <v>0</v>
      </c>
      <c r="G351" s="11">
        <f>단가대비표!P556</f>
        <v>130264</v>
      </c>
      <c r="H351" s="12">
        <f t="shared" si="94"/>
        <v>13026.4</v>
      </c>
      <c r="I351" s="11">
        <f>단가대비표!V556</f>
        <v>0</v>
      </c>
      <c r="J351" s="12">
        <f t="shared" si="95"/>
        <v>0</v>
      </c>
      <c r="K351" s="11">
        <f t="shared" si="96"/>
        <v>130264</v>
      </c>
      <c r="L351" s="12">
        <f t="shared" si="96"/>
        <v>13026.4</v>
      </c>
      <c r="M351" s="522" t="s">
        <v>51</v>
      </c>
      <c r="N351" s="2" t="s">
        <v>275</v>
      </c>
      <c r="O351" s="2" t="s">
        <v>997</v>
      </c>
      <c r="P351" s="2" t="s">
        <v>62</v>
      </c>
      <c r="Q351" s="2" t="s">
        <v>62</v>
      </c>
      <c r="R351" s="2" t="s">
        <v>61</v>
      </c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2" t="s">
        <v>51</v>
      </c>
      <c r="AW351" s="2" t="s">
        <v>1370</v>
      </c>
      <c r="AX351" s="2" t="s">
        <v>51</v>
      </c>
      <c r="AY351" s="2" t="s">
        <v>51</v>
      </c>
    </row>
    <row r="352" spans="1:52" ht="30" customHeight="1">
      <c r="A352" s="8" t="s">
        <v>1006</v>
      </c>
      <c r="B352" s="8" t="s">
        <v>418</v>
      </c>
      <c r="C352" s="8" t="s">
        <v>419</v>
      </c>
      <c r="D352" s="9">
        <v>0.15</v>
      </c>
      <c r="E352" s="11">
        <f>단가대비표!O562</f>
        <v>0</v>
      </c>
      <c r="F352" s="12">
        <f t="shared" si="93"/>
        <v>0</v>
      </c>
      <c r="G352" s="11">
        <f>단가대비표!P562</f>
        <v>209394</v>
      </c>
      <c r="H352" s="12">
        <f t="shared" si="94"/>
        <v>31409.1</v>
      </c>
      <c r="I352" s="11">
        <f>단가대비표!V562</f>
        <v>0</v>
      </c>
      <c r="J352" s="12">
        <f t="shared" si="95"/>
        <v>0</v>
      </c>
      <c r="K352" s="11">
        <f t="shared" si="96"/>
        <v>209394</v>
      </c>
      <c r="L352" s="12">
        <f t="shared" si="96"/>
        <v>31409.1</v>
      </c>
      <c r="M352" s="522" t="s">
        <v>51</v>
      </c>
      <c r="N352" s="2" t="s">
        <v>275</v>
      </c>
      <c r="O352" s="2" t="s">
        <v>1007</v>
      </c>
      <c r="P352" s="2" t="s">
        <v>62</v>
      </c>
      <c r="Q352" s="2" t="s">
        <v>62</v>
      </c>
      <c r="R352" s="2" t="s">
        <v>61</v>
      </c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2" t="s">
        <v>51</v>
      </c>
      <c r="AW352" s="2" t="s">
        <v>1371</v>
      </c>
      <c r="AX352" s="2" t="s">
        <v>51</v>
      </c>
      <c r="AY352" s="2" t="s">
        <v>51</v>
      </c>
    </row>
    <row r="353" spans="1:52" ht="30" customHeight="1">
      <c r="A353" s="8" t="s">
        <v>1372</v>
      </c>
      <c r="B353" s="8" t="s">
        <v>1135</v>
      </c>
      <c r="C353" s="8" t="s">
        <v>82</v>
      </c>
      <c r="D353" s="9">
        <v>1</v>
      </c>
      <c r="E353" s="11">
        <f>단가대비표!O462</f>
        <v>2339</v>
      </c>
      <c r="F353" s="12">
        <f t="shared" si="93"/>
        <v>2339</v>
      </c>
      <c r="G353" s="11">
        <f>단가대비표!P462</f>
        <v>0</v>
      </c>
      <c r="H353" s="12">
        <f t="shared" si="94"/>
        <v>0</v>
      </c>
      <c r="I353" s="11">
        <f>단가대비표!V462</f>
        <v>0</v>
      </c>
      <c r="J353" s="12">
        <f t="shared" si="95"/>
        <v>0</v>
      </c>
      <c r="K353" s="11">
        <f t="shared" si="96"/>
        <v>2339</v>
      </c>
      <c r="L353" s="12">
        <f t="shared" si="96"/>
        <v>2339</v>
      </c>
      <c r="M353" s="522" t="s">
        <v>51</v>
      </c>
      <c r="N353" s="2" t="s">
        <v>275</v>
      </c>
      <c r="O353" s="2" t="s">
        <v>1373</v>
      </c>
      <c r="P353" s="2" t="s">
        <v>62</v>
      </c>
      <c r="Q353" s="2" t="s">
        <v>62</v>
      </c>
      <c r="R353" s="2" t="s">
        <v>61</v>
      </c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2" t="s">
        <v>51</v>
      </c>
      <c r="AW353" s="2" t="s">
        <v>1374</v>
      </c>
      <c r="AX353" s="2" t="s">
        <v>51</v>
      </c>
      <c r="AY353" s="2" t="s">
        <v>51</v>
      </c>
    </row>
    <row r="354" spans="1:52" ht="30" customHeight="1">
      <c r="A354" s="8" t="s">
        <v>1134</v>
      </c>
      <c r="B354" s="8" t="s">
        <v>1135</v>
      </c>
      <c r="C354" s="8" t="s">
        <v>82</v>
      </c>
      <c r="D354" s="9">
        <v>1</v>
      </c>
      <c r="E354" s="11">
        <f>단가대비표!O463</f>
        <v>2339</v>
      </c>
      <c r="F354" s="12">
        <f t="shared" si="93"/>
        <v>2339</v>
      </c>
      <c r="G354" s="11">
        <f>단가대비표!P463</f>
        <v>0</v>
      </c>
      <c r="H354" s="12">
        <f t="shared" si="94"/>
        <v>0</v>
      </c>
      <c r="I354" s="11">
        <f>단가대비표!V463</f>
        <v>0</v>
      </c>
      <c r="J354" s="12">
        <f t="shared" si="95"/>
        <v>0</v>
      </c>
      <c r="K354" s="11">
        <f t="shared" si="96"/>
        <v>2339</v>
      </c>
      <c r="L354" s="12">
        <f t="shared" si="96"/>
        <v>2339</v>
      </c>
      <c r="M354" s="522" t="s">
        <v>51</v>
      </c>
      <c r="N354" s="2" t="s">
        <v>275</v>
      </c>
      <c r="O354" s="2" t="s">
        <v>1375</v>
      </c>
      <c r="P354" s="2" t="s">
        <v>62</v>
      </c>
      <c r="Q354" s="2" t="s">
        <v>62</v>
      </c>
      <c r="R354" s="2" t="s">
        <v>61</v>
      </c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2" t="s">
        <v>51</v>
      </c>
      <c r="AW354" s="2" t="s">
        <v>1376</v>
      </c>
      <c r="AX354" s="2" t="s">
        <v>51</v>
      </c>
      <c r="AY354" s="2" t="s">
        <v>51</v>
      </c>
    </row>
    <row r="355" spans="1:52" ht="30" customHeight="1">
      <c r="A355" s="8" t="s">
        <v>950</v>
      </c>
      <c r="B355" s="8" t="s">
        <v>51</v>
      </c>
      <c r="C355" s="8" t="s">
        <v>51</v>
      </c>
      <c r="D355" s="9"/>
      <c r="E355" s="11"/>
      <c r="F355" s="12">
        <f>TRUNC(SUMIF(N349:N354, N348, F349:F354),0)</f>
        <v>16990</v>
      </c>
      <c r="G355" s="11"/>
      <c r="H355" s="12">
        <f>TRUNC(SUMIF(N349:N354, N348, H349:H354),0)</f>
        <v>81255</v>
      </c>
      <c r="I355" s="11"/>
      <c r="J355" s="12">
        <f>TRUNC(SUMIF(N349:N354, N348, J349:J354),0)</f>
        <v>0</v>
      </c>
      <c r="K355" s="11"/>
      <c r="L355" s="12">
        <f>F355+H355+J355</f>
        <v>98245</v>
      </c>
      <c r="M355" s="522" t="s">
        <v>51</v>
      </c>
      <c r="N355" s="2" t="s">
        <v>86</v>
      </c>
      <c r="O355" s="2" t="s">
        <v>86</v>
      </c>
      <c r="P355" s="2" t="s">
        <v>51</v>
      </c>
      <c r="Q355" s="2" t="s">
        <v>51</v>
      </c>
      <c r="R355" s="2" t="s">
        <v>51</v>
      </c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2" t="s">
        <v>51</v>
      </c>
      <c r="AW355" s="2" t="s">
        <v>51</v>
      </c>
      <c r="AX355" s="2" t="s">
        <v>51</v>
      </c>
      <c r="AY355" s="2" t="s">
        <v>51</v>
      </c>
      <c r="AZ355" s="1170">
        <v>98245</v>
      </c>
    </row>
    <row r="356" spans="1:52" ht="30" customHeight="1">
      <c r="A356" s="9"/>
      <c r="B356" s="9"/>
      <c r="C356" s="9"/>
      <c r="D356" s="9"/>
      <c r="E356" s="11"/>
      <c r="F356" s="12"/>
      <c r="G356" s="11"/>
      <c r="H356" s="12"/>
      <c r="I356" s="11"/>
      <c r="J356" s="12"/>
      <c r="K356" s="11"/>
      <c r="L356" s="12"/>
      <c r="M356" s="523"/>
    </row>
    <row r="357" spans="1:52" ht="30" customHeight="1">
      <c r="A357" s="1403" t="s">
        <v>4516</v>
      </c>
      <c r="B357" s="1403"/>
      <c r="C357" s="1403"/>
      <c r="D357" s="1403"/>
      <c r="E357" s="1404"/>
      <c r="F357" s="1405"/>
      <c r="G357" s="1404"/>
      <c r="H357" s="1405"/>
      <c r="I357" s="1404"/>
      <c r="J357" s="1405"/>
      <c r="K357" s="1404"/>
      <c r="L357" s="1405"/>
      <c r="M357" s="1403"/>
      <c r="N357" s="1" t="s">
        <v>279</v>
      </c>
    </row>
    <row r="358" spans="1:52" ht="30" customHeight="1">
      <c r="A358" s="8" t="s">
        <v>1378</v>
      </c>
      <c r="B358" s="8" t="s">
        <v>1379</v>
      </c>
      <c r="C358" s="8" t="s">
        <v>204</v>
      </c>
      <c r="D358" s="9">
        <v>4.5</v>
      </c>
      <c r="E358" s="11">
        <f>단가대비표!O516</f>
        <v>961</v>
      </c>
      <c r="F358" s="12">
        <f t="shared" ref="F358:F367" si="97">TRUNC(E358*D358,1)</f>
        <v>4324.5</v>
      </c>
      <c r="G358" s="11">
        <f>단가대비표!P516</f>
        <v>0</v>
      </c>
      <c r="H358" s="12">
        <f t="shared" ref="H358:H367" si="98">TRUNC(G358*D358,1)</f>
        <v>0</v>
      </c>
      <c r="I358" s="11">
        <f>단가대비표!V516</f>
        <v>0</v>
      </c>
      <c r="J358" s="12">
        <f t="shared" ref="J358:J367" si="99">TRUNC(I358*D358,1)</f>
        <v>0</v>
      </c>
      <c r="K358" s="11">
        <f t="shared" ref="K358:K367" si="100">TRUNC(E358+G358+I358,1)</f>
        <v>961</v>
      </c>
      <c r="L358" s="12">
        <f t="shared" ref="L358:L367" si="101">TRUNC(F358+H358+J358,1)</f>
        <v>4324.5</v>
      </c>
      <c r="M358" s="522" t="s">
        <v>51</v>
      </c>
      <c r="N358" s="2" t="s">
        <v>279</v>
      </c>
      <c r="O358" s="2" t="s">
        <v>1380</v>
      </c>
      <c r="P358" s="2" t="s">
        <v>62</v>
      </c>
      <c r="Q358" s="2" t="s">
        <v>62</v>
      </c>
      <c r="R358" s="2" t="s">
        <v>61</v>
      </c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2" t="s">
        <v>51</v>
      </c>
      <c r="AW358" s="2" t="s">
        <v>1381</v>
      </c>
      <c r="AX358" s="2" t="s">
        <v>51</v>
      </c>
      <c r="AY358" s="2" t="s">
        <v>51</v>
      </c>
    </row>
    <row r="359" spans="1:52" ht="30" customHeight="1">
      <c r="A359" s="8" t="s">
        <v>1382</v>
      </c>
      <c r="B359" s="8" t="s">
        <v>1383</v>
      </c>
      <c r="C359" s="8" t="s">
        <v>993</v>
      </c>
      <c r="D359" s="9">
        <v>13.816000000000001</v>
      </c>
      <c r="E359" s="11">
        <f>단가대비표!O51</f>
        <v>998</v>
      </c>
      <c r="F359" s="12">
        <f t="shared" si="97"/>
        <v>13788.3</v>
      </c>
      <c r="G359" s="11">
        <f>단가대비표!P51</f>
        <v>0</v>
      </c>
      <c r="H359" s="12">
        <f t="shared" si="98"/>
        <v>0</v>
      </c>
      <c r="I359" s="11">
        <f>단가대비표!V51</f>
        <v>0</v>
      </c>
      <c r="J359" s="12">
        <f t="shared" si="99"/>
        <v>0</v>
      </c>
      <c r="K359" s="11">
        <f t="shared" si="100"/>
        <v>998</v>
      </c>
      <c r="L359" s="12">
        <f t="shared" si="101"/>
        <v>13788.3</v>
      </c>
      <c r="M359" s="522" t="s">
        <v>51</v>
      </c>
      <c r="N359" s="2" t="s">
        <v>279</v>
      </c>
      <c r="O359" s="2" t="s">
        <v>1384</v>
      </c>
      <c r="P359" s="2" t="s">
        <v>62</v>
      </c>
      <c r="Q359" s="2" t="s">
        <v>62</v>
      </c>
      <c r="R359" s="2" t="s">
        <v>61</v>
      </c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2" t="s">
        <v>51</v>
      </c>
      <c r="AW359" s="2" t="s">
        <v>1385</v>
      </c>
      <c r="AX359" s="2" t="s">
        <v>51</v>
      </c>
      <c r="AY359" s="2" t="s">
        <v>51</v>
      </c>
    </row>
    <row r="360" spans="1:52" ht="30" customHeight="1">
      <c r="A360" s="8" t="s">
        <v>1126</v>
      </c>
      <c r="B360" s="8" t="s">
        <v>1127</v>
      </c>
      <c r="C360" s="8" t="s">
        <v>993</v>
      </c>
      <c r="D360" s="9">
        <v>0.02</v>
      </c>
      <c r="E360" s="11">
        <f>단가대비표!O44</f>
        <v>3020</v>
      </c>
      <c r="F360" s="12">
        <f t="shared" si="97"/>
        <v>60.4</v>
      </c>
      <c r="G360" s="11">
        <f>단가대비표!P44</f>
        <v>0</v>
      </c>
      <c r="H360" s="12">
        <f t="shared" si="98"/>
        <v>0</v>
      </c>
      <c r="I360" s="11">
        <f>단가대비표!V44</f>
        <v>0</v>
      </c>
      <c r="J360" s="12">
        <f t="shared" si="99"/>
        <v>0</v>
      </c>
      <c r="K360" s="11">
        <f t="shared" si="100"/>
        <v>3020</v>
      </c>
      <c r="L360" s="12">
        <f t="shared" si="101"/>
        <v>60.4</v>
      </c>
      <c r="M360" s="522" t="s">
        <v>51</v>
      </c>
      <c r="N360" s="2" t="s">
        <v>279</v>
      </c>
      <c r="O360" s="2" t="s">
        <v>1128</v>
      </c>
      <c r="P360" s="2" t="s">
        <v>62</v>
      </c>
      <c r="Q360" s="2" t="s">
        <v>62</v>
      </c>
      <c r="R360" s="2" t="s">
        <v>61</v>
      </c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2" t="s">
        <v>51</v>
      </c>
      <c r="AW360" s="2" t="s">
        <v>1386</v>
      </c>
      <c r="AX360" s="2" t="s">
        <v>51</v>
      </c>
      <c r="AY360" s="2" t="s">
        <v>51</v>
      </c>
    </row>
    <row r="361" spans="1:52" ht="30" customHeight="1">
      <c r="A361" s="8" t="s">
        <v>1387</v>
      </c>
      <c r="B361" s="8" t="s">
        <v>1388</v>
      </c>
      <c r="C361" s="8" t="s">
        <v>1230</v>
      </c>
      <c r="D361" s="9">
        <v>7.4969999999999999</v>
      </c>
      <c r="E361" s="11">
        <f>단가대비표!O40</f>
        <v>2.2200000000000002</v>
      </c>
      <c r="F361" s="12">
        <f t="shared" si="97"/>
        <v>16.600000000000001</v>
      </c>
      <c r="G361" s="11">
        <f>단가대비표!P40</f>
        <v>0</v>
      </c>
      <c r="H361" s="12">
        <f t="shared" si="98"/>
        <v>0</v>
      </c>
      <c r="I361" s="11">
        <f>단가대비표!V40</f>
        <v>0</v>
      </c>
      <c r="J361" s="12">
        <f t="shared" si="99"/>
        <v>0</v>
      </c>
      <c r="K361" s="11">
        <f t="shared" si="100"/>
        <v>2.2000000000000002</v>
      </c>
      <c r="L361" s="12">
        <f t="shared" si="101"/>
        <v>16.600000000000001</v>
      </c>
      <c r="M361" s="522" t="s">
        <v>1389</v>
      </c>
      <c r="N361" s="2" t="s">
        <v>279</v>
      </c>
      <c r="O361" s="2" t="s">
        <v>1390</v>
      </c>
      <c r="P361" s="2" t="s">
        <v>62</v>
      </c>
      <c r="Q361" s="2" t="s">
        <v>62</v>
      </c>
      <c r="R361" s="2" t="s">
        <v>61</v>
      </c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2" t="s">
        <v>51</v>
      </c>
      <c r="AW361" s="2" t="s">
        <v>1391</v>
      </c>
      <c r="AX361" s="2" t="s">
        <v>51</v>
      </c>
      <c r="AY361" s="2" t="s">
        <v>51</v>
      </c>
    </row>
    <row r="362" spans="1:52" ht="30" customHeight="1">
      <c r="A362" s="8" t="s">
        <v>1392</v>
      </c>
      <c r="B362" s="8" t="s">
        <v>1393</v>
      </c>
      <c r="C362" s="8" t="s">
        <v>1394</v>
      </c>
      <c r="D362" s="9">
        <v>20</v>
      </c>
      <c r="E362" s="11">
        <f>단가대비표!O43</f>
        <v>13</v>
      </c>
      <c r="F362" s="12">
        <f t="shared" si="97"/>
        <v>260</v>
      </c>
      <c r="G362" s="11">
        <f>단가대비표!P43</f>
        <v>0</v>
      </c>
      <c r="H362" s="12">
        <f t="shared" si="98"/>
        <v>0</v>
      </c>
      <c r="I362" s="11">
        <f>단가대비표!V43</f>
        <v>0</v>
      </c>
      <c r="J362" s="12">
        <f t="shared" si="99"/>
        <v>0</v>
      </c>
      <c r="K362" s="11">
        <f t="shared" si="100"/>
        <v>13</v>
      </c>
      <c r="L362" s="12">
        <f t="shared" si="101"/>
        <v>260</v>
      </c>
      <c r="M362" s="522" t="s">
        <v>51</v>
      </c>
      <c r="N362" s="2" t="s">
        <v>279</v>
      </c>
      <c r="O362" s="2" t="s">
        <v>1395</v>
      </c>
      <c r="P362" s="2" t="s">
        <v>62</v>
      </c>
      <c r="Q362" s="2" t="s">
        <v>62</v>
      </c>
      <c r="R362" s="2" t="s">
        <v>61</v>
      </c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2" t="s">
        <v>51</v>
      </c>
      <c r="AW362" s="2" t="s">
        <v>1396</v>
      </c>
      <c r="AX362" s="2" t="s">
        <v>51</v>
      </c>
      <c r="AY362" s="2" t="s">
        <v>51</v>
      </c>
    </row>
    <row r="363" spans="1:52" ht="30" customHeight="1">
      <c r="A363" s="8" t="s">
        <v>1367</v>
      </c>
      <c r="B363" s="8" t="s">
        <v>418</v>
      </c>
      <c r="C363" s="8" t="s">
        <v>419</v>
      </c>
      <c r="D363" s="9">
        <v>0.24</v>
      </c>
      <c r="E363" s="11">
        <f>단가대비표!O560</f>
        <v>0</v>
      </c>
      <c r="F363" s="12">
        <f t="shared" si="97"/>
        <v>0</v>
      </c>
      <c r="G363" s="11">
        <f>단가대비표!P560</f>
        <v>184100</v>
      </c>
      <c r="H363" s="12">
        <f t="shared" si="98"/>
        <v>44184</v>
      </c>
      <c r="I363" s="11">
        <f>단가대비표!V560</f>
        <v>0</v>
      </c>
      <c r="J363" s="12">
        <f t="shared" si="99"/>
        <v>0</v>
      </c>
      <c r="K363" s="11">
        <f t="shared" si="100"/>
        <v>184100</v>
      </c>
      <c r="L363" s="12">
        <f t="shared" si="101"/>
        <v>44184</v>
      </c>
      <c r="M363" s="522" t="s">
        <v>51</v>
      </c>
      <c r="N363" s="2" t="s">
        <v>279</v>
      </c>
      <c r="O363" s="2" t="s">
        <v>1368</v>
      </c>
      <c r="P363" s="2" t="s">
        <v>62</v>
      </c>
      <c r="Q363" s="2" t="s">
        <v>62</v>
      </c>
      <c r="R363" s="2" t="s">
        <v>61</v>
      </c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2" t="s">
        <v>51</v>
      </c>
      <c r="AW363" s="2" t="s">
        <v>1397</v>
      </c>
      <c r="AX363" s="2" t="s">
        <v>51</v>
      </c>
      <c r="AY363" s="2" t="s">
        <v>51</v>
      </c>
    </row>
    <row r="364" spans="1:52" ht="30" customHeight="1">
      <c r="A364" s="8" t="s">
        <v>996</v>
      </c>
      <c r="B364" s="8" t="s">
        <v>947</v>
      </c>
      <c r="C364" s="8" t="s">
        <v>419</v>
      </c>
      <c r="D364" s="9">
        <v>0.1</v>
      </c>
      <c r="E364" s="11">
        <f>단가대비표!O556</f>
        <v>0</v>
      </c>
      <c r="F364" s="12">
        <f t="shared" si="97"/>
        <v>0</v>
      </c>
      <c r="G364" s="11">
        <f>단가대비표!P556</f>
        <v>130264</v>
      </c>
      <c r="H364" s="12">
        <f t="shared" si="98"/>
        <v>13026.4</v>
      </c>
      <c r="I364" s="11">
        <f>단가대비표!V556</f>
        <v>0</v>
      </c>
      <c r="J364" s="12">
        <f t="shared" si="99"/>
        <v>0</v>
      </c>
      <c r="K364" s="11">
        <f t="shared" si="100"/>
        <v>130264</v>
      </c>
      <c r="L364" s="12">
        <f t="shared" si="101"/>
        <v>13026.4</v>
      </c>
      <c r="M364" s="522" t="s">
        <v>51</v>
      </c>
      <c r="N364" s="2" t="s">
        <v>279</v>
      </c>
      <c r="O364" s="2" t="s">
        <v>997</v>
      </c>
      <c r="P364" s="2" t="s">
        <v>62</v>
      </c>
      <c r="Q364" s="2" t="s">
        <v>62</v>
      </c>
      <c r="R364" s="2" t="s">
        <v>61</v>
      </c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2" t="s">
        <v>51</v>
      </c>
      <c r="AW364" s="2" t="s">
        <v>1398</v>
      </c>
      <c r="AX364" s="2" t="s">
        <v>51</v>
      </c>
      <c r="AY364" s="2" t="s">
        <v>51</v>
      </c>
    </row>
    <row r="365" spans="1:52" ht="30" customHeight="1">
      <c r="A365" s="8" t="s">
        <v>1006</v>
      </c>
      <c r="B365" s="8" t="s">
        <v>418</v>
      </c>
      <c r="C365" s="8" t="s">
        <v>419</v>
      </c>
      <c r="D365" s="9">
        <v>0.15</v>
      </c>
      <c r="E365" s="11">
        <f>단가대비표!O562</f>
        <v>0</v>
      </c>
      <c r="F365" s="12">
        <f t="shared" si="97"/>
        <v>0</v>
      </c>
      <c r="G365" s="11">
        <f>단가대비표!P562</f>
        <v>209394</v>
      </c>
      <c r="H365" s="12">
        <f t="shared" si="98"/>
        <v>31409.1</v>
      </c>
      <c r="I365" s="11">
        <f>단가대비표!V562</f>
        <v>0</v>
      </c>
      <c r="J365" s="12">
        <f t="shared" si="99"/>
        <v>0</v>
      </c>
      <c r="K365" s="11">
        <f t="shared" si="100"/>
        <v>209394</v>
      </c>
      <c r="L365" s="12">
        <f t="shared" si="101"/>
        <v>31409.1</v>
      </c>
      <c r="M365" s="522" t="s">
        <v>51</v>
      </c>
      <c r="N365" s="2" t="s">
        <v>279</v>
      </c>
      <c r="O365" s="2" t="s">
        <v>1007</v>
      </c>
      <c r="P365" s="2" t="s">
        <v>62</v>
      </c>
      <c r="Q365" s="2" t="s">
        <v>62</v>
      </c>
      <c r="R365" s="2" t="s">
        <v>61</v>
      </c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2" t="s">
        <v>51</v>
      </c>
      <c r="AW365" s="2" t="s">
        <v>1399</v>
      </c>
      <c r="AX365" s="2" t="s">
        <v>51</v>
      </c>
      <c r="AY365" s="2" t="s">
        <v>51</v>
      </c>
    </row>
    <row r="366" spans="1:52" ht="30" customHeight="1">
      <c r="A366" s="8" t="s">
        <v>1372</v>
      </c>
      <c r="B366" s="8" t="s">
        <v>1135</v>
      </c>
      <c r="C366" s="8" t="s">
        <v>82</v>
      </c>
      <c r="D366" s="9">
        <v>1</v>
      </c>
      <c r="E366" s="11">
        <f>단가대비표!O462</f>
        <v>2339</v>
      </c>
      <c r="F366" s="12">
        <f t="shared" si="97"/>
        <v>2339</v>
      </c>
      <c r="G366" s="11">
        <f>단가대비표!P462</f>
        <v>0</v>
      </c>
      <c r="H366" s="12">
        <f t="shared" si="98"/>
        <v>0</v>
      </c>
      <c r="I366" s="11">
        <f>단가대비표!V462</f>
        <v>0</v>
      </c>
      <c r="J366" s="12">
        <f t="shared" si="99"/>
        <v>0</v>
      </c>
      <c r="K366" s="11">
        <f t="shared" si="100"/>
        <v>2339</v>
      </c>
      <c r="L366" s="12">
        <f t="shared" si="101"/>
        <v>2339</v>
      </c>
      <c r="M366" s="522" t="s">
        <v>51</v>
      </c>
      <c r="N366" s="2" t="s">
        <v>279</v>
      </c>
      <c r="O366" s="2" t="s">
        <v>1373</v>
      </c>
      <c r="P366" s="2" t="s">
        <v>62</v>
      </c>
      <c r="Q366" s="2" t="s">
        <v>62</v>
      </c>
      <c r="R366" s="2" t="s">
        <v>61</v>
      </c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2" t="s">
        <v>51</v>
      </c>
      <c r="AW366" s="2" t="s">
        <v>1400</v>
      </c>
      <c r="AX366" s="2" t="s">
        <v>51</v>
      </c>
      <c r="AY366" s="2" t="s">
        <v>51</v>
      </c>
    </row>
    <row r="367" spans="1:52" ht="30" customHeight="1">
      <c r="A367" s="8" t="s">
        <v>1134</v>
      </c>
      <c r="B367" s="8" t="s">
        <v>1135</v>
      </c>
      <c r="C367" s="8" t="s">
        <v>82</v>
      </c>
      <c r="D367" s="9">
        <v>1</v>
      </c>
      <c r="E367" s="11">
        <f>단가대비표!O463</f>
        <v>2339</v>
      </c>
      <c r="F367" s="12">
        <f t="shared" si="97"/>
        <v>2339</v>
      </c>
      <c r="G367" s="11">
        <f>단가대비표!P463</f>
        <v>0</v>
      </c>
      <c r="H367" s="12">
        <f t="shared" si="98"/>
        <v>0</v>
      </c>
      <c r="I367" s="11">
        <f>단가대비표!V463</f>
        <v>0</v>
      </c>
      <c r="J367" s="12">
        <f t="shared" si="99"/>
        <v>0</v>
      </c>
      <c r="K367" s="11">
        <f t="shared" si="100"/>
        <v>2339</v>
      </c>
      <c r="L367" s="12">
        <f t="shared" si="101"/>
        <v>2339</v>
      </c>
      <c r="M367" s="522" t="s">
        <v>51</v>
      </c>
      <c r="N367" s="2" t="s">
        <v>279</v>
      </c>
      <c r="O367" s="2" t="s">
        <v>1375</v>
      </c>
      <c r="P367" s="2" t="s">
        <v>62</v>
      </c>
      <c r="Q367" s="2" t="s">
        <v>62</v>
      </c>
      <c r="R367" s="2" t="s">
        <v>61</v>
      </c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2" t="s">
        <v>51</v>
      </c>
      <c r="AW367" s="2" t="s">
        <v>1401</v>
      </c>
      <c r="AX367" s="2" t="s">
        <v>51</v>
      </c>
      <c r="AY367" s="2" t="s">
        <v>51</v>
      </c>
    </row>
    <row r="368" spans="1:52" ht="30" customHeight="1">
      <c r="A368" s="8" t="s">
        <v>950</v>
      </c>
      <c r="B368" s="8" t="s">
        <v>51</v>
      </c>
      <c r="C368" s="8" t="s">
        <v>51</v>
      </c>
      <c r="D368" s="9"/>
      <c r="E368" s="11"/>
      <c r="F368" s="12">
        <f>TRUNC(SUMIF(N358:N367, N357, F358:F367),0)</f>
        <v>23127</v>
      </c>
      <c r="G368" s="11"/>
      <c r="H368" s="12">
        <f>TRUNC(SUMIF(N358:N367, N357, H358:H367),0)</f>
        <v>88619</v>
      </c>
      <c r="I368" s="11"/>
      <c r="J368" s="12">
        <f>TRUNC(SUMIF(N358:N367, N357, J358:J367),0)</f>
        <v>0</v>
      </c>
      <c r="K368" s="11"/>
      <c r="L368" s="12">
        <f>F368+H368+J368</f>
        <v>111746</v>
      </c>
      <c r="M368" s="522" t="s">
        <v>51</v>
      </c>
      <c r="N368" s="2" t="s">
        <v>86</v>
      </c>
      <c r="O368" s="2" t="s">
        <v>86</v>
      </c>
      <c r="P368" s="2" t="s">
        <v>51</v>
      </c>
      <c r="Q368" s="2" t="s">
        <v>51</v>
      </c>
      <c r="R368" s="2" t="s">
        <v>51</v>
      </c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2" t="s">
        <v>51</v>
      </c>
      <c r="AW368" s="2" t="s">
        <v>51</v>
      </c>
      <c r="AX368" s="2" t="s">
        <v>51</v>
      </c>
      <c r="AY368" s="2" t="s">
        <v>51</v>
      </c>
    </row>
    <row r="369" spans="1:51" ht="30" customHeight="1">
      <c r="A369" s="9"/>
      <c r="B369" s="9"/>
      <c r="C369" s="9"/>
      <c r="D369" s="9"/>
      <c r="E369" s="11"/>
      <c r="F369" s="12"/>
      <c r="G369" s="11"/>
      <c r="H369" s="12"/>
      <c r="I369" s="11"/>
      <c r="J369" s="12"/>
      <c r="K369" s="11"/>
      <c r="L369" s="12"/>
      <c r="M369" s="523"/>
    </row>
    <row r="370" spans="1:51" ht="30" customHeight="1">
      <c r="A370" s="1403" t="s">
        <v>4517</v>
      </c>
      <c r="B370" s="1403"/>
      <c r="C370" s="1403"/>
      <c r="D370" s="1403"/>
      <c r="E370" s="1404"/>
      <c r="F370" s="1405"/>
      <c r="G370" s="1404"/>
      <c r="H370" s="1405"/>
      <c r="I370" s="1404"/>
      <c r="J370" s="1405"/>
      <c r="K370" s="1404"/>
      <c r="L370" s="1405"/>
      <c r="M370" s="1403"/>
      <c r="N370" s="1" t="s">
        <v>282</v>
      </c>
    </row>
    <row r="371" spans="1:51" ht="30" customHeight="1">
      <c r="A371" s="8" t="s">
        <v>185</v>
      </c>
      <c r="B371" s="8" t="s">
        <v>1156</v>
      </c>
      <c r="C371" s="8" t="s">
        <v>59</v>
      </c>
      <c r="D371" s="9">
        <v>1.05</v>
      </c>
      <c r="E371" s="11">
        <f>단가대비표!O65</f>
        <v>1920</v>
      </c>
      <c r="F371" s="12">
        <f>TRUNC(E371*D371,1)</f>
        <v>2016</v>
      </c>
      <c r="G371" s="11">
        <f>단가대비표!P65</f>
        <v>0</v>
      </c>
      <c r="H371" s="12">
        <f>TRUNC(G371*D371,1)</f>
        <v>0</v>
      </c>
      <c r="I371" s="11">
        <f>단가대비표!V65</f>
        <v>0</v>
      </c>
      <c r="J371" s="12">
        <f>TRUNC(I371*D371,1)</f>
        <v>0</v>
      </c>
      <c r="K371" s="11">
        <f t="shared" ref="K371:L373" si="102">TRUNC(E371+G371+I371,1)</f>
        <v>1920</v>
      </c>
      <c r="L371" s="12">
        <f t="shared" si="102"/>
        <v>2016</v>
      </c>
      <c r="M371" s="522" t="s">
        <v>51</v>
      </c>
      <c r="N371" s="2" t="s">
        <v>282</v>
      </c>
      <c r="O371" s="2" t="s">
        <v>1157</v>
      </c>
      <c r="P371" s="2" t="s">
        <v>62</v>
      </c>
      <c r="Q371" s="2" t="s">
        <v>62</v>
      </c>
      <c r="R371" s="2" t="s">
        <v>61</v>
      </c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2" t="s">
        <v>51</v>
      </c>
      <c r="AW371" s="2" t="s">
        <v>1403</v>
      </c>
      <c r="AX371" s="2" t="s">
        <v>51</v>
      </c>
      <c r="AY371" s="2" t="s">
        <v>51</v>
      </c>
    </row>
    <row r="372" spans="1:51" ht="30" customHeight="1">
      <c r="A372" s="8" t="s">
        <v>1118</v>
      </c>
      <c r="B372" s="8" t="s">
        <v>1151</v>
      </c>
      <c r="C372" s="8" t="s">
        <v>993</v>
      </c>
      <c r="D372" s="9">
        <v>3.5000000000000003E-2</v>
      </c>
      <c r="E372" s="11">
        <f>단가대비표!O474</f>
        <v>1105</v>
      </c>
      <c r="F372" s="12">
        <f>TRUNC(E372*D372,1)</f>
        <v>38.6</v>
      </c>
      <c r="G372" s="11">
        <f>단가대비표!P474</f>
        <v>0</v>
      </c>
      <c r="H372" s="12">
        <f>TRUNC(G372*D372,1)</f>
        <v>0</v>
      </c>
      <c r="I372" s="11">
        <f>단가대비표!V474</f>
        <v>0</v>
      </c>
      <c r="J372" s="12">
        <f>TRUNC(I372*D372,1)</f>
        <v>0</v>
      </c>
      <c r="K372" s="11">
        <f t="shared" si="102"/>
        <v>1105</v>
      </c>
      <c r="L372" s="12">
        <f t="shared" si="102"/>
        <v>38.6</v>
      </c>
      <c r="M372" s="522" t="s">
        <v>51</v>
      </c>
      <c r="N372" s="2" t="s">
        <v>282</v>
      </c>
      <c r="O372" s="2" t="s">
        <v>1152</v>
      </c>
      <c r="P372" s="2" t="s">
        <v>62</v>
      </c>
      <c r="Q372" s="2" t="s">
        <v>62</v>
      </c>
      <c r="R372" s="2" t="s">
        <v>61</v>
      </c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2" t="s">
        <v>51</v>
      </c>
      <c r="AW372" s="2" t="s">
        <v>1404</v>
      </c>
      <c r="AX372" s="2" t="s">
        <v>51</v>
      </c>
      <c r="AY372" s="2" t="s">
        <v>51</v>
      </c>
    </row>
    <row r="373" spans="1:51" ht="30" customHeight="1">
      <c r="A373" s="8" t="s">
        <v>3219</v>
      </c>
      <c r="B373" s="8" t="s">
        <v>947</v>
      </c>
      <c r="C373" s="8" t="s">
        <v>419</v>
      </c>
      <c r="D373" s="9">
        <v>4.3499999999999997E-2</v>
      </c>
      <c r="E373" s="11">
        <f>단가대비표!O568</f>
        <v>0</v>
      </c>
      <c r="F373" s="12">
        <f>TRUNC(E373*D373,1)</f>
        <v>0</v>
      </c>
      <c r="G373" s="11">
        <f>단가대비표!P557</f>
        <v>155599</v>
      </c>
      <c r="H373" s="12">
        <f>TRUNC(G373*D373,1)</f>
        <v>6768.5</v>
      </c>
      <c r="I373" s="11">
        <f>단가대비표!V568</f>
        <v>0</v>
      </c>
      <c r="J373" s="12">
        <f>TRUNC(I373*D373,1)</f>
        <v>0</v>
      </c>
      <c r="K373" s="11">
        <f t="shared" si="102"/>
        <v>155599</v>
      </c>
      <c r="L373" s="12">
        <f t="shared" si="102"/>
        <v>6768.5</v>
      </c>
      <c r="M373" s="522" t="s">
        <v>51</v>
      </c>
      <c r="N373" s="2" t="s">
        <v>282</v>
      </c>
      <c r="O373" s="2" t="s">
        <v>948</v>
      </c>
      <c r="P373" s="2" t="s">
        <v>62</v>
      </c>
      <c r="Q373" s="2" t="s">
        <v>62</v>
      </c>
      <c r="R373" s="2" t="s">
        <v>61</v>
      </c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2" t="s">
        <v>51</v>
      </c>
      <c r="AW373" s="2" t="s">
        <v>1405</v>
      </c>
      <c r="AX373" s="2" t="s">
        <v>51</v>
      </c>
      <c r="AY373" s="2" t="s">
        <v>51</v>
      </c>
    </row>
    <row r="374" spans="1:51" ht="30" customHeight="1">
      <c r="A374" s="8" t="s">
        <v>950</v>
      </c>
      <c r="B374" s="8" t="s">
        <v>51</v>
      </c>
      <c r="C374" s="8" t="s">
        <v>51</v>
      </c>
      <c r="D374" s="9"/>
      <c r="E374" s="11"/>
      <c r="F374" s="12">
        <f>TRUNC(SUMIF(N371:N373, N370, F371:F373),0)</f>
        <v>2054</v>
      </c>
      <c r="G374" s="11"/>
      <c r="H374" s="12">
        <f>TRUNC(SUMIF(N371:N373, N370, H371:H373),0)</f>
        <v>6768</v>
      </c>
      <c r="I374" s="11"/>
      <c r="J374" s="12">
        <f>TRUNC(SUMIF(N371:N373, N370, J371:J373),0)</f>
        <v>0</v>
      </c>
      <c r="K374" s="11"/>
      <c r="L374" s="12">
        <f>F374+H374+J374</f>
        <v>8822</v>
      </c>
      <c r="M374" s="522" t="s">
        <v>51</v>
      </c>
      <c r="N374" s="2" t="s">
        <v>86</v>
      </c>
      <c r="O374" s="2" t="s">
        <v>86</v>
      </c>
      <c r="P374" s="2" t="s">
        <v>51</v>
      </c>
      <c r="Q374" s="2" t="s">
        <v>51</v>
      </c>
      <c r="R374" s="2" t="s">
        <v>51</v>
      </c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2" t="s">
        <v>51</v>
      </c>
      <c r="AW374" s="2" t="s">
        <v>51</v>
      </c>
      <c r="AX374" s="2" t="s">
        <v>51</v>
      </c>
      <c r="AY374" s="2" t="s">
        <v>51</v>
      </c>
    </row>
    <row r="375" spans="1:51" ht="30" customHeight="1">
      <c r="A375" s="9"/>
      <c r="B375" s="9"/>
      <c r="C375" s="9"/>
      <c r="D375" s="9"/>
      <c r="E375" s="11"/>
      <c r="F375" s="12"/>
      <c r="G375" s="11"/>
      <c r="H375" s="12"/>
      <c r="I375" s="11"/>
      <c r="J375" s="12"/>
      <c r="K375" s="11"/>
      <c r="L375" s="12"/>
      <c r="M375" s="523"/>
    </row>
    <row r="376" spans="1:51" ht="30" customHeight="1">
      <c r="A376" s="1403" t="s">
        <v>4518</v>
      </c>
      <c r="B376" s="1403"/>
      <c r="C376" s="1403"/>
      <c r="D376" s="1403"/>
      <c r="E376" s="1404"/>
      <c r="F376" s="1405"/>
      <c r="G376" s="1404"/>
      <c r="H376" s="1405"/>
      <c r="I376" s="1404"/>
      <c r="J376" s="1405"/>
      <c r="K376" s="1404"/>
      <c r="L376" s="1405"/>
      <c r="M376" s="1403"/>
      <c r="N376" s="1" t="s">
        <v>285</v>
      </c>
    </row>
    <row r="377" spans="1:51" ht="30" customHeight="1">
      <c r="A377" s="8" t="s">
        <v>1173</v>
      </c>
      <c r="B377" s="8" t="s">
        <v>1408</v>
      </c>
      <c r="C377" s="8" t="s">
        <v>59</v>
      </c>
      <c r="D377" s="9">
        <v>1</v>
      </c>
      <c r="E377" s="11">
        <f>단가대비표!O33</f>
        <v>9674.81</v>
      </c>
      <c r="F377" s="12">
        <f>TRUNC(E377*D377,1)</f>
        <v>9674.7999999999993</v>
      </c>
      <c r="G377" s="11">
        <f>단가대비표!P33</f>
        <v>0</v>
      </c>
      <c r="H377" s="12">
        <f>TRUNC(G377*D377,1)</f>
        <v>0</v>
      </c>
      <c r="I377" s="11">
        <f>단가대비표!V33</f>
        <v>0</v>
      </c>
      <c r="J377" s="12">
        <f>TRUNC(I377*D377,1)</f>
        <v>0</v>
      </c>
      <c r="K377" s="11">
        <f t="shared" ref="K377:L380" si="103">TRUNC(E377+G377+I377,1)</f>
        <v>9674.7999999999993</v>
      </c>
      <c r="L377" s="12">
        <f t="shared" si="103"/>
        <v>9674.7999999999993</v>
      </c>
      <c r="M377" s="522" t="s">
        <v>51</v>
      </c>
      <c r="N377" s="2" t="s">
        <v>285</v>
      </c>
      <c r="O377" s="2" t="s">
        <v>1409</v>
      </c>
      <c r="P377" s="2" t="s">
        <v>62</v>
      </c>
      <c r="Q377" s="2" t="s">
        <v>62</v>
      </c>
      <c r="R377" s="2" t="s">
        <v>61</v>
      </c>
      <c r="S377" s="3"/>
      <c r="T377" s="3"/>
      <c r="U377" s="3"/>
      <c r="V377" s="3">
        <v>1</v>
      </c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2" t="s">
        <v>51</v>
      </c>
      <c r="AW377" s="2" t="s">
        <v>1410</v>
      </c>
      <c r="AX377" s="2" t="s">
        <v>51</v>
      </c>
      <c r="AY377" s="2" t="s">
        <v>51</v>
      </c>
    </row>
    <row r="378" spans="1:51" ht="30" customHeight="1">
      <c r="A378" s="8" t="s">
        <v>946</v>
      </c>
      <c r="B378" s="8" t="s">
        <v>947</v>
      </c>
      <c r="C378" s="8" t="s">
        <v>419</v>
      </c>
      <c r="D378" s="9">
        <v>0.06</v>
      </c>
      <c r="E378" s="11">
        <f>단가대비표!O568</f>
        <v>0</v>
      </c>
      <c r="F378" s="12">
        <f>TRUNC(E378*D378,1)</f>
        <v>0</v>
      </c>
      <c r="G378" s="11">
        <f>단가대비표!P568</f>
        <v>203532</v>
      </c>
      <c r="H378" s="12">
        <f>TRUNC(G378*D378,1)</f>
        <v>12211.9</v>
      </c>
      <c r="I378" s="11">
        <f>단가대비표!V568</f>
        <v>0</v>
      </c>
      <c r="J378" s="12">
        <f>TRUNC(I378*D378,1)</f>
        <v>0</v>
      </c>
      <c r="K378" s="11">
        <f>TRUNC(E378+G378+I378,1)</f>
        <v>203532</v>
      </c>
      <c r="L378" s="12">
        <f>TRUNC(F378+H378+J378,1)</f>
        <v>12211.9</v>
      </c>
      <c r="M378" s="522" t="s">
        <v>51</v>
      </c>
      <c r="N378" s="2" t="s">
        <v>285</v>
      </c>
      <c r="O378" s="2" t="s">
        <v>948</v>
      </c>
      <c r="P378" s="2" t="s">
        <v>62</v>
      </c>
      <c r="Q378" s="2" t="s">
        <v>62</v>
      </c>
      <c r="R378" s="2" t="s">
        <v>61</v>
      </c>
      <c r="S378" s="3"/>
      <c r="T378" s="3"/>
      <c r="U378" s="3"/>
      <c r="V378" s="3">
        <v>1</v>
      </c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2" t="s">
        <v>51</v>
      </c>
      <c r="AW378" s="2" t="s">
        <v>1407</v>
      </c>
      <c r="AX378" s="2" t="s">
        <v>51</v>
      </c>
      <c r="AY378" s="2" t="s">
        <v>51</v>
      </c>
    </row>
    <row r="379" spans="1:51" ht="30" customHeight="1">
      <c r="A379" s="8" t="s">
        <v>996</v>
      </c>
      <c r="B379" s="8" t="s">
        <v>947</v>
      </c>
      <c r="C379" s="8" t="s">
        <v>419</v>
      </c>
      <c r="D379" s="9">
        <v>6.0000000000000001E-3</v>
      </c>
      <c r="E379" s="11">
        <f>단가대비표!O556</f>
        <v>0</v>
      </c>
      <c r="F379" s="12">
        <f>TRUNC(E379*D379,1)</f>
        <v>0</v>
      </c>
      <c r="G379" s="11">
        <f>단가대비표!P556</f>
        <v>130264</v>
      </c>
      <c r="H379" s="12">
        <f>TRUNC(G379*D379,1)</f>
        <v>781.5</v>
      </c>
      <c r="I379" s="11">
        <f>단가대비표!V556</f>
        <v>0</v>
      </c>
      <c r="J379" s="12">
        <f>TRUNC(I379*D379,1)</f>
        <v>0</v>
      </c>
      <c r="K379" s="11">
        <f t="shared" si="103"/>
        <v>130264</v>
      </c>
      <c r="L379" s="12">
        <f t="shared" si="103"/>
        <v>781.5</v>
      </c>
      <c r="M379" s="522" t="s">
        <v>51</v>
      </c>
      <c r="N379" s="2" t="s">
        <v>285</v>
      </c>
      <c r="O379" s="2" t="s">
        <v>997</v>
      </c>
      <c r="P379" s="2" t="s">
        <v>62</v>
      </c>
      <c r="Q379" s="2" t="s">
        <v>62</v>
      </c>
      <c r="R379" s="2" t="s">
        <v>61</v>
      </c>
      <c r="S379" s="3"/>
      <c r="T379" s="3"/>
      <c r="U379" s="3"/>
      <c r="V379" s="3">
        <v>1</v>
      </c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2" t="s">
        <v>51</v>
      </c>
      <c r="AW379" s="2" t="s">
        <v>1411</v>
      </c>
      <c r="AX379" s="2" t="s">
        <v>51</v>
      </c>
      <c r="AY379" s="2" t="s">
        <v>51</v>
      </c>
    </row>
    <row r="380" spans="1:51" ht="30" customHeight="1">
      <c r="A380" s="8" t="s">
        <v>1134</v>
      </c>
      <c r="B380" s="8" t="s">
        <v>1178</v>
      </c>
      <c r="C380" s="8" t="s">
        <v>82</v>
      </c>
      <c r="D380" s="9">
        <v>1</v>
      </c>
      <c r="E380" s="11">
        <v>0</v>
      </c>
      <c r="F380" s="12">
        <f>TRUNC(E380*D380,1)</f>
        <v>0</v>
      </c>
      <c r="G380" s="11">
        <v>0</v>
      </c>
      <c r="H380" s="12">
        <f>TRUNC(G380*D380,1)</f>
        <v>0</v>
      </c>
      <c r="I380" s="11">
        <f>TRUNC(SUMIF(V377:V380, RIGHTB(O380, 1), H377:H380)*U380, 2)</f>
        <v>259.86</v>
      </c>
      <c r="J380" s="12">
        <f>TRUNC(I380*D380,1)</f>
        <v>259.8</v>
      </c>
      <c r="K380" s="11">
        <f t="shared" si="103"/>
        <v>259.8</v>
      </c>
      <c r="L380" s="12">
        <f t="shared" si="103"/>
        <v>259.8</v>
      </c>
      <c r="M380" s="522" t="s">
        <v>51</v>
      </c>
      <c r="N380" s="2" t="s">
        <v>285</v>
      </c>
      <c r="O380" s="2" t="s">
        <v>1036</v>
      </c>
      <c r="P380" s="2" t="s">
        <v>62</v>
      </c>
      <c r="Q380" s="2" t="s">
        <v>62</v>
      </c>
      <c r="R380" s="2" t="s">
        <v>62</v>
      </c>
      <c r="S380" s="3">
        <v>1</v>
      </c>
      <c r="T380" s="3">
        <v>2</v>
      </c>
      <c r="U380" s="3">
        <v>0.02</v>
      </c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2" t="s">
        <v>51</v>
      </c>
      <c r="AW380" s="2" t="s">
        <v>1412</v>
      </c>
      <c r="AX380" s="2" t="s">
        <v>51</v>
      </c>
      <c r="AY380" s="2" t="s">
        <v>51</v>
      </c>
    </row>
    <row r="381" spans="1:51" ht="30" customHeight="1">
      <c r="A381" s="8" t="s">
        <v>950</v>
      </c>
      <c r="B381" s="8" t="s">
        <v>51</v>
      </c>
      <c r="C381" s="8" t="s">
        <v>51</v>
      </c>
      <c r="D381" s="9"/>
      <c r="E381" s="11"/>
      <c r="F381" s="12">
        <f>TRUNC(SUMIF(N377:N380, N376, F377:F380),0)</f>
        <v>9674</v>
      </c>
      <c r="G381" s="11"/>
      <c r="H381" s="12">
        <f>TRUNC(SUMIF(N377:N380, N376, H377:H380),0)</f>
        <v>12993</v>
      </c>
      <c r="I381" s="11"/>
      <c r="J381" s="12">
        <f>TRUNC(SUMIF(N377:N380, N376, J377:J380),0)</f>
        <v>259</v>
      </c>
      <c r="K381" s="11"/>
      <c r="L381" s="12">
        <f>F381+H381+J381</f>
        <v>22926</v>
      </c>
      <c r="M381" s="522" t="s">
        <v>51</v>
      </c>
      <c r="N381" s="2" t="s">
        <v>86</v>
      </c>
      <c r="O381" s="2" t="s">
        <v>86</v>
      </c>
      <c r="P381" s="2" t="s">
        <v>51</v>
      </c>
      <c r="Q381" s="2" t="s">
        <v>51</v>
      </c>
      <c r="R381" s="2" t="s">
        <v>51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2" t="s">
        <v>51</v>
      </c>
      <c r="AW381" s="2" t="s">
        <v>51</v>
      </c>
      <c r="AX381" s="2" t="s">
        <v>51</v>
      </c>
      <c r="AY381" s="2" t="s">
        <v>51</v>
      </c>
    </row>
    <row r="382" spans="1:51" ht="30" customHeight="1">
      <c r="A382" s="9"/>
      <c r="B382" s="9"/>
      <c r="C382" s="9"/>
      <c r="D382" s="9"/>
      <c r="E382" s="11"/>
      <c r="F382" s="12"/>
      <c r="G382" s="11"/>
      <c r="H382" s="12"/>
      <c r="I382" s="11"/>
      <c r="J382" s="12"/>
      <c r="K382" s="11"/>
      <c r="L382" s="12"/>
      <c r="M382" s="523"/>
    </row>
    <row r="383" spans="1:51" ht="30" customHeight="1">
      <c r="A383" s="1403" t="s">
        <v>4519</v>
      </c>
      <c r="B383" s="1403"/>
      <c r="C383" s="1403"/>
      <c r="D383" s="1403"/>
      <c r="E383" s="1404"/>
      <c r="F383" s="1405"/>
      <c r="G383" s="1404"/>
      <c r="H383" s="1405"/>
      <c r="I383" s="1404"/>
      <c r="J383" s="1405"/>
      <c r="K383" s="1404"/>
      <c r="L383" s="1405"/>
      <c r="M383" s="1403"/>
      <c r="N383" s="1" t="s">
        <v>292</v>
      </c>
    </row>
    <row r="384" spans="1:51" ht="30" customHeight="1">
      <c r="A384" s="8" t="s">
        <v>1254</v>
      </c>
      <c r="B384" s="8" t="s">
        <v>51</v>
      </c>
      <c r="C384" s="8" t="s">
        <v>1230</v>
      </c>
      <c r="D384" s="9">
        <v>0.35</v>
      </c>
      <c r="E384" s="11">
        <f>단가대비표!O491</f>
        <v>3900</v>
      </c>
      <c r="F384" s="12">
        <f t="shared" ref="F384:F388" si="104">TRUNC(E384*D384,1)</f>
        <v>1365</v>
      </c>
      <c r="G384" s="11">
        <f>단가대비표!P491</f>
        <v>0</v>
      </c>
      <c r="H384" s="12">
        <f t="shared" ref="H384:H388" si="105">TRUNC(G384*D384,1)</f>
        <v>0</v>
      </c>
      <c r="I384" s="11">
        <f>단가대비표!V491</f>
        <v>0</v>
      </c>
      <c r="J384" s="12">
        <f t="shared" ref="J384:J388" si="106">TRUNC(I384*D384,1)</f>
        <v>0</v>
      </c>
      <c r="K384" s="11">
        <f t="shared" ref="K384:K388" si="107">TRUNC(E384+G384+I384,1)</f>
        <v>3900</v>
      </c>
      <c r="L384" s="12">
        <f t="shared" ref="L384:L388" si="108">TRUNC(F384+H384+J384,1)</f>
        <v>1365</v>
      </c>
      <c r="M384" s="522" t="s">
        <v>51</v>
      </c>
      <c r="N384" s="2" t="s">
        <v>292</v>
      </c>
      <c r="O384" s="2" t="s">
        <v>1255</v>
      </c>
      <c r="P384" s="2" t="s">
        <v>62</v>
      </c>
      <c r="Q384" s="2" t="s">
        <v>62</v>
      </c>
      <c r="R384" s="2" t="s">
        <v>61</v>
      </c>
      <c r="S384" s="3"/>
      <c r="T384" s="3"/>
      <c r="U384" s="3"/>
      <c r="V384" s="3">
        <v>1</v>
      </c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2" t="s">
        <v>51</v>
      </c>
      <c r="AW384" s="2" t="s">
        <v>1414</v>
      </c>
      <c r="AX384" s="2" t="s">
        <v>51</v>
      </c>
      <c r="AY384" s="2" t="s">
        <v>51</v>
      </c>
    </row>
    <row r="385" spans="1:52" ht="30" customHeight="1">
      <c r="A385" s="8" t="s">
        <v>1257</v>
      </c>
      <c r="B385" s="8" t="s">
        <v>51</v>
      </c>
      <c r="C385" s="8" t="s">
        <v>1230</v>
      </c>
      <c r="D385" s="9">
        <v>0.2</v>
      </c>
      <c r="E385" s="11">
        <f>단가대비표!O492</f>
        <v>1050</v>
      </c>
      <c r="F385" s="12">
        <f t="shared" si="104"/>
        <v>210</v>
      </c>
      <c r="G385" s="11">
        <f>단가대비표!P492</f>
        <v>0</v>
      </c>
      <c r="H385" s="12">
        <f t="shared" si="105"/>
        <v>0</v>
      </c>
      <c r="I385" s="11">
        <f>단가대비표!V492</f>
        <v>0</v>
      </c>
      <c r="J385" s="12">
        <f t="shared" si="106"/>
        <v>0</v>
      </c>
      <c r="K385" s="11">
        <f t="shared" si="107"/>
        <v>1050</v>
      </c>
      <c r="L385" s="12">
        <f t="shared" si="108"/>
        <v>210</v>
      </c>
      <c r="M385" s="522" t="s">
        <v>51</v>
      </c>
      <c r="N385" s="2" t="s">
        <v>292</v>
      </c>
      <c r="O385" s="2" t="s">
        <v>1258</v>
      </c>
      <c r="P385" s="2" t="s">
        <v>62</v>
      </c>
      <c r="Q385" s="2" t="s">
        <v>62</v>
      </c>
      <c r="R385" s="2" t="s">
        <v>61</v>
      </c>
      <c r="S385" s="3"/>
      <c r="T385" s="3"/>
      <c r="U385" s="3"/>
      <c r="V385" s="3">
        <v>1</v>
      </c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2" t="s">
        <v>51</v>
      </c>
      <c r="AW385" s="2" t="s">
        <v>1415</v>
      </c>
      <c r="AX385" s="2" t="s">
        <v>51</v>
      </c>
      <c r="AY385" s="2" t="s">
        <v>51</v>
      </c>
    </row>
    <row r="386" spans="1:52" ht="30" customHeight="1">
      <c r="A386" s="8" t="s">
        <v>1260</v>
      </c>
      <c r="B386" s="8" t="s">
        <v>51</v>
      </c>
      <c r="C386" s="8" t="s">
        <v>1230</v>
      </c>
      <c r="D386" s="9">
        <v>0.3</v>
      </c>
      <c r="E386" s="11">
        <f>단가대비표!O493</f>
        <v>980</v>
      </c>
      <c r="F386" s="12">
        <f t="shared" si="104"/>
        <v>294</v>
      </c>
      <c r="G386" s="11">
        <f>단가대비표!P493</f>
        <v>0</v>
      </c>
      <c r="H386" s="12">
        <f t="shared" si="105"/>
        <v>0</v>
      </c>
      <c r="I386" s="11">
        <f>단가대비표!V493</f>
        <v>0</v>
      </c>
      <c r="J386" s="12">
        <f t="shared" si="106"/>
        <v>0</v>
      </c>
      <c r="K386" s="11">
        <f t="shared" si="107"/>
        <v>980</v>
      </c>
      <c r="L386" s="12">
        <f t="shared" si="108"/>
        <v>294</v>
      </c>
      <c r="M386" s="522" t="s">
        <v>51</v>
      </c>
      <c r="N386" s="2" t="s">
        <v>292</v>
      </c>
      <c r="O386" s="2" t="s">
        <v>1261</v>
      </c>
      <c r="P386" s="2" t="s">
        <v>62</v>
      </c>
      <c r="Q386" s="2" t="s">
        <v>62</v>
      </c>
      <c r="R386" s="2" t="s">
        <v>61</v>
      </c>
      <c r="S386" s="3"/>
      <c r="T386" s="3"/>
      <c r="U386" s="3"/>
      <c r="V386" s="3">
        <v>1</v>
      </c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2" t="s">
        <v>51</v>
      </c>
      <c r="AW386" s="2" t="s">
        <v>1416</v>
      </c>
      <c r="AX386" s="2" t="s">
        <v>51</v>
      </c>
      <c r="AY386" s="2" t="s">
        <v>51</v>
      </c>
    </row>
    <row r="387" spans="1:52" ht="30" customHeight="1">
      <c r="A387" s="8" t="s">
        <v>3791</v>
      </c>
      <c r="B387" s="8" t="s">
        <v>51</v>
      </c>
      <c r="C387" s="8" t="s">
        <v>1230</v>
      </c>
      <c r="D387" s="9">
        <v>1</v>
      </c>
      <c r="E387" s="11">
        <v>5800</v>
      </c>
      <c r="F387" s="12">
        <f t="shared" si="104"/>
        <v>5800</v>
      </c>
      <c r="G387" s="11">
        <f>단가대비표!P495</f>
        <v>0</v>
      </c>
      <c r="H387" s="12">
        <f t="shared" si="105"/>
        <v>0</v>
      </c>
      <c r="I387" s="11">
        <f>단가대비표!V495</f>
        <v>0</v>
      </c>
      <c r="J387" s="12">
        <f t="shared" si="106"/>
        <v>0</v>
      </c>
      <c r="K387" s="11">
        <f t="shared" si="107"/>
        <v>5800</v>
      </c>
      <c r="L387" s="12">
        <f t="shared" si="108"/>
        <v>5800</v>
      </c>
      <c r="M387" s="522" t="s">
        <v>51</v>
      </c>
      <c r="N387" s="2" t="s">
        <v>292</v>
      </c>
      <c r="O387" s="2" t="s">
        <v>1267</v>
      </c>
      <c r="P387" s="2" t="s">
        <v>62</v>
      </c>
      <c r="Q387" s="2" t="s">
        <v>62</v>
      </c>
      <c r="R387" s="2" t="s">
        <v>61</v>
      </c>
      <c r="S387" s="3"/>
      <c r="T387" s="3"/>
      <c r="U387" s="3"/>
      <c r="V387" s="3">
        <v>1</v>
      </c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2" t="s">
        <v>51</v>
      </c>
      <c r="AW387" s="2" t="s">
        <v>1417</v>
      </c>
      <c r="AX387" s="2" t="s">
        <v>51</v>
      </c>
      <c r="AY387" s="2" t="s">
        <v>51</v>
      </c>
    </row>
    <row r="388" spans="1:52" ht="30" customHeight="1">
      <c r="A388" s="8" t="s">
        <v>1107</v>
      </c>
      <c r="B388" s="8" t="s">
        <v>418</v>
      </c>
      <c r="C388" s="8" t="s">
        <v>419</v>
      </c>
      <c r="D388" s="9">
        <v>0.04</v>
      </c>
      <c r="E388" s="11">
        <f>단가대비표!O571</f>
        <v>0</v>
      </c>
      <c r="F388" s="12">
        <f t="shared" si="104"/>
        <v>0</v>
      </c>
      <c r="G388" s="11">
        <f>단가대비표!P571</f>
        <v>188854</v>
      </c>
      <c r="H388" s="12">
        <f t="shared" si="105"/>
        <v>7554.1</v>
      </c>
      <c r="I388" s="11">
        <f>단가대비표!V571</f>
        <v>0</v>
      </c>
      <c r="J388" s="12">
        <f t="shared" si="106"/>
        <v>0</v>
      </c>
      <c r="K388" s="11">
        <f t="shared" si="107"/>
        <v>188854</v>
      </c>
      <c r="L388" s="12">
        <f t="shared" si="108"/>
        <v>7554.1</v>
      </c>
      <c r="M388" s="522" t="s">
        <v>51</v>
      </c>
      <c r="N388" s="2" t="s">
        <v>292</v>
      </c>
      <c r="O388" s="2" t="s">
        <v>1108</v>
      </c>
      <c r="P388" s="2" t="s">
        <v>62</v>
      </c>
      <c r="Q388" s="2" t="s">
        <v>62</v>
      </c>
      <c r="R388" s="2" t="s">
        <v>61</v>
      </c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2" t="s">
        <v>51</v>
      </c>
      <c r="AW388" s="2" t="s">
        <v>1418</v>
      </c>
      <c r="AX388" s="2" t="s">
        <v>51</v>
      </c>
      <c r="AY388" s="2" t="s">
        <v>51</v>
      </c>
    </row>
    <row r="389" spans="1:52" ht="30" customHeight="1">
      <c r="A389" s="8" t="s">
        <v>950</v>
      </c>
      <c r="B389" s="8" t="s">
        <v>51</v>
      </c>
      <c r="C389" s="8" t="s">
        <v>51</v>
      </c>
      <c r="D389" s="9"/>
      <c r="E389" s="11"/>
      <c r="F389" s="12">
        <f>TRUNC(SUMIF(N384:N388, N383, F384:F388),0)</f>
        <v>7669</v>
      </c>
      <c r="G389" s="11"/>
      <c r="H389" s="12">
        <f>TRUNC(SUMIF(N384:N388, N383, H384:H388),0)</f>
        <v>7554</v>
      </c>
      <c r="I389" s="11"/>
      <c r="J389" s="12">
        <f>TRUNC(SUMIF(N384:N388, N383, J384:J388),0)</f>
        <v>0</v>
      </c>
      <c r="K389" s="11"/>
      <c r="L389" s="12">
        <f>F389+H389+J389</f>
        <v>15223</v>
      </c>
      <c r="M389" s="522" t="s">
        <v>51</v>
      </c>
      <c r="N389" s="2" t="s">
        <v>86</v>
      </c>
      <c r="O389" s="2" t="s">
        <v>86</v>
      </c>
      <c r="P389" s="2" t="s">
        <v>51</v>
      </c>
      <c r="Q389" s="2" t="s">
        <v>51</v>
      </c>
      <c r="R389" s="2" t="s">
        <v>51</v>
      </c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2" t="s">
        <v>51</v>
      </c>
      <c r="AW389" s="2" t="s">
        <v>51</v>
      </c>
      <c r="AX389" s="2" t="s">
        <v>51</v>
      </c>
      <c r="AY389" s="2" t="s">
        <v>51</v>
      </c>
    </row>
    <row r="390" spans="1:52" ht="30" customHeight="1">
      <c r="A390" s="9"/>
      <c r="B390" s="9"/>
      <c r="C390" s="9"/>
      <c r="D390" s="9"/>
      <c r="E390" s="11"/>
      <c r="F390" s="12"/>
      <c r="G390" s="11"/>
      <c r="H390" s="12"/>
      <c r="I390" s="11"/>
      <c r="J390" s="12"/>
      <c r="K390" s="11"/>
      <c r="L390" s="12"/>
      <c r="M390" s="523"/>
    </row>
    <row r="391" spans="1:52" ht="30" customHeight="1">
      <c r="A391" s="1403" t="s">
        <v>4520</v>
      </c>
      <c r="B391" s="1403"/>
      <c r="C391" s="1403"/>
      <c r="D391" s="1403"/>
      <c r="E391" s="1404"/>
      <c r="F391" s="1405"/>
      <c r="G391" s="1404"/>
      <c r="H391" s="1405"/>
      <c r="I391" s="1404"/>
      <c r="J391" s="1405"/>
      <c r="K391" s="1404"/>
      <c r="L391" s="1405"/>
      <c r="M391" s="1403"/>
      <c r="N391" s="1" t="s">
        <v>302</v>
      </c>
    </row>
    <row r="392" spans="1:52" ht="30" customHeight="1">
      <c r="A392" s="8" t="s">
        <v>1420</v>
      </c>
      <c r="B392" s="8" t="s">
        <v>3807</v>
      </c>
      <c r="C392" s="8" t="s">
        <v>321</v>
      </c>
      <c r="D392" s="9">
        <v>1.05</v>
      </c>
      <c r="E392" s="11">
        <v>17360</v>
      </c>
      <c r="F392" s="12">
        <f>TRUNC(E392*D392,1)</f>
        <v>18228</v>
      </c>
      <c r="G392" s="11">
        <f>단가대비표!P36</f>
        <v>0</v>
      </c>
      <c r="H392" s="12">
        <f>TRUNC(G392*D392,1)</f>
        <v>0</v>
      </c>
      <c r="I392" s="11">
        <f>단가대비표!V36</f>
        <v>0</v>
      </c>
      <c r="J392" s="12">
        <f>TRUNC(I392*D392,1)</f>
        <v>0</v>
      </c>
      <c r="K392" s="11">
        <f>TRUNC(E392+G392+I392,1)</f>
        <v>17360</v>
      </c>
      <c r="L392" s="12">
        <f>TRUNC(F392+H392+J392,1)</f>
        <v>18228</v>
      </c>
      <c r="M392" s="522" t="s">
        <v>51</v>
      </c>
      <c r="N392" s="2" t="s">
        <v>302</v>
      </c>
      <c r="O392" s="2" t="s">
        <v>1422</v>
      </c>
      <c r="P392" s="2" t="s">
        <v>62</v>
      </c>
      <c r="Q392" s="2" t="s">
        <v>62</v>
      </c>
      <c r="R392" s="2" t="s">
        <v>61</v>
      </c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2" t="s">
        <v>51</v>
      </c>
      <c r="AW392" s="2" t="s">
        <v>1423</v>
      </c>
      <c r="AX392" s="2" t="s">
        <v>51</v>
      </c>
      <c r="AY392" s="2" t="s">
        <v>51</v>
      </c>
    </row>
    <row r="393" spans="1:52" ht="30" customHeight="1">
      <c r="A393" s="8" t="s">
        <v>946</v>
      </c>
      <c r="B393" s="8" t="s">
        <v>947</v>
      </c>
      <c r="C393" s="8" t="s">
        <v>419</v>
      </c>
      <c r="D393" s="133">
        <v>0.06</v>
      </c>
      <c r="E393" s="134">
        <f>단가대비표!O751</f>
        <v>0</v>
      </c>
      <c r="F393" s="135">
        <f>TRUNC(E393*D393,1)</f>
        <v>0</v>
      </c>
      <c r="G393" s="134">
        <f>단가대비표!P568</f>
        <v>203532</v>
      </c>
      <c r="H393" s="135">
        <f>TRUNC(G393*D393,1)</f>
        <v>12211.9</v>
      </c>
      <c r="I393" s="134">
        <f>단가대비표!V751</f>
        <v>0</v>
      </c>
      <c r="J393" s="135">
        <f>TRUNC(I393*D393,1)</f>
        <v>0</v>
      </c>
      <c r="K393" s="134">
        <f>TRUNC(E393+G393+I393,1)</f>
        <v>203532</v>
      </c>
      <c r="L393" s="135">
        <f>TRUNC(F393+H393+J393,1)</f>
        <v>12211.9</v>
      </c>
      <c r="M393" s="522" t="s">
        <v>51</v>
      </c>
      <c r="N393" s="2" t="s">
        <v>196</v>
      </c>
      <c r="O393" s="2" t="s">
        <v>948</v>
      </c>
      <c r="P393" s="2" t="s">
        <v>62</v>
      </c>
      <c r="Q393" s="2" t="s">
        <v>62</v>
      </c>
      <c r="R393" s="2" t="s">
        <v>61</v>
      </c>
      <c r="S393" s="3"/>
      <c r="T393" s="3"/>
      <c r="U393" s="3"/>
      <c r="V393" s="3">
        <v>1</v>
      </c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2" t="s">
        <v>51</v>
      </c>
      <c r="AW393" s="2" t="s">
        <v>1172</v>
      </c>
      <c r="AX393" s="2" t="s">
        <v>51</v>
      </c>
      <c r="AY393" s="2" t="s">
        <v>51</v>
      </c>
    </row>
    <row r="394" spans="1:52" ht="30" customHeight="1">
      <c r="A394" s="8" t="s">
        <v>996</v>
      </c>
      <c r="B394" s="8" t="s">
        <v>947</v>
      </c>
      <c r="C394" s="8" t="s">
        <v>419</v>
      </c>
      <c r="D394" s="133">
        <v>6.0000000000000001E-3</v>
      </c>
      <c r="E394" s="134">
        <f>단가대비표!O742</f>
        <v>0</v>
      </c>
      <c r="F394" s="135">
        <f>TRUNC(E394*D394,1)</f>
        <v>0</v>
      </c>
      <c r="G394" s="134">
        <f>단가대비표!P556</f>
        <v>130264</v>
      </c>
      <c r="H394" s="135">
        <f>TRUNC(G394*D394,1)</f>
        <v>781.5</v>
      </c>
      <c r="I394" s="134">
        <f>단가대비표!V742</f>
        <v>0</v>
      </c>
      <c r="J394" s="135">
        <f>TRUNC(I394*D394,1)</f>
        <v>0</v>
      </c>
      <c r="K394" s="134">
        <f t="shared" ref="K394:K395" si="109">TRUNC(E394+G394+I394,1)</f>
        <v>130264</v>
      </c>
      <c r="L394" s="135">
        <f t="shared" ref="L394:L395" si="110">TRUNC(F394+H394+J394,1)</f>
        <v>781.5</v>
      </c>
      <c r="M394" s="522" t="s">
        <v>51</v>
      </c>
      <c r="N394" s="2" t="s">
        <v>196</v>
      </c>
      <c r="O394" s="2" t="s">
        <v>997</v>
      </c>
      <c r="P394" s="2" t="s">
        <v>62</v>
      </c>
      <c r="Q394" s="2" t="s">
        <v>62</v>
      </c>
      <c r="R394" s="2" t="s">
        <v>61</v>
      </c>
      <c r="S394" s="3"/>
      <c r="T394" s="3"/>
      <c r="U394" s="3"/>
      <c r="V394" s="3">
        <v>1</v>
      </c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2" t="s">
        <v>51</v>
      </c>
      <c r="AW394" s="2" t="s">
        <v>1177</v>
      </c>
      <c r="AX394" s="2" t="s">
        <v>51</v>
      </c>
      <c r="AY394" s="2" t="s">
        <v>51</v>
      </c>
    </row>
    <row r="395" spans="1:52" ht="30" customHeight="1">
      <c r="A395" s="8" t="s">
        <v>1134</v>
      </c>
      <c r="B395" s="8" t="s">
        <v>1178</v>
      </c>
      <c r="C395" s="8" t="s">
        <v>82</v>
      </c>
      <c r="D395" s="133">
        <v>1</v>
      </c>
      <c r="E395" s="134">
        <v>0</v>
      </c>
      <c r="F395" s="135">
        <f>TRUNC(E395*D395,1)</f>
        <v>0</v>
      </c>
      <c r="G395" s="134">
        <v>0</v>
      </c>
      <c r="H395" s="135">
        <f>TRUNC(G395*D395,1)</f>
        <v>0</v>
      </c>
      <c r="I395" s="134">
        <f>TRUNC(SUMIF(V392:V395, RIGHTB(O395, 1), H392:H395)*U395, 2)</f>
        <v>259.86</v>
      </c>
      <c r="J395" s="135">
        <f>TRUNC(I395*D395,1)</f>
        <v>259.8</v>
      </c>
      <c r="K395" s="134">
        <f t="shared" si="109"/>
        <v>259.8</v>
      </c>
      <c r="L395" s="135">
        <f t="shared" si="110"/>
        <v>259.8</v>
      </c>
      <c r="M395" s="522" t="s">
        <v>51</v>
      </c>
      <c r="N395" s="2" t="s">
        <v>196</v>
      </c>
      <c r="O395" s="2" t="s">
        <v>1036</v>
      </c>
      <c r="P395" s="2" t="s">
        <v>62</v>
      </c>
      <c r="Q395" s="2" t="s">
        <v>62</v>
      </c>
      <c r="R395" s="2" t="s">
        <v>62</v>
      </c>
      <c r="S395" s="3">
        <v>1</v>
      </c>
      <c r="T395" s="3">
        <v>2</v>
      </c>
      <c r="U395" s="3">
        <v>0.02</v>
      </c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2" t="s">
        <v>51</v>
      </c>
      <c r="AW395" s="2" t="s">
        <v>1179</v>
      </c>
      <c r="AX395" s="2" t="s">
        <v>51</v>
      </c>
      <c r="AY395" s="2" t="s">
        <v>51</v>
      </c>
    </row>
    <row r="396" spans="1:52" ht="30" customHeight="1">
      <c r="A396" s="8" t="s">
        <v>950</v>
      </c>
      <c r="B396" s="8" t="s">
        <v>51</v>
      </c>
      <c r="C396" s="8" t="s">
        <v>51</v>
      </c>
      <c r="D396" s="9"/>
      <c r="E396" s="11"/>
      <c r="F396" s="12">
        <f>TRUNC(SUMIF(N392:N395, N391, F392:F395),0)</f>
        <v>18228</v>
      </c>
      <c r="G396" s="11"/>
      <c r="H396" s="12">
        <f>SUM(H392:H395)</f>
        <v>12993.4</v>
      </c>
      <c r="I396" s="11"/>
      <c r="J396" s="12">
        <f>SUM(J392:J395)</f>
        <v>259.8</v>
      </c>
      <c r="K396" s="11"/>
      <c r="L396" s="12">
        <f>F396+H396+J396</f>
        <v>31481.200000000001</v>
      </c>
      <c r="M396" s="522" t="s">
        <v>51</v>
      </c>
      <c r="N396" s="2" t="s">
        <v>86</v>
      </c>
      <c r="O396" s="2" t="s">
        <v>86</v>
      </c>
      <c r="P396" s="2" t="s">
        <v>51</v>
      </c>
      <c r="Q396" s="2" t="s">
        <v>51</v>
      </c>
      <c r="R396" s="2" t="s">
        <v>51</v>
      </c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2" t="s">
        <v>51</v>
      </c>
      <c r="AW396" s="2" t="s">
        <v>51</v>
      </c>
      <c r="AX396" s="2" t="s">
        <v>51</v>
      </c>
      <c r="AY396" s="2" t="s">
        <v>51</v>
      </c>
    </row>
    <row r="397" spans="1:52" ht="30" customHeight="1">
      <c r="A397" s="9"/>
      <c r="B397" s="9"/>
      <c r="C397" s="9"/>
      <c r="D397" s="9"/>
      <c r="E397" s="11"/>
      <c r="F397" s="12"/>
      <c r="G397" s="11"/>
      <c r="H397" s="12"/>
      <c r="I397" s="11"/>
      <c r="J397" s="12"/>
      <c r="K397" s="11"/>
      <c r="L397" s="12"/>
      <c r="M397" s="523"/>
    </row>
    <row r="398" spans="1:52" ht="30" customHeight="1">
      <c r="A398" s="1400" t="s">
        <v>4521</v>
      </c>
      <c r="B398" s="1400"/>
      <c r="C398" s="1400"/>
      <c r="D398" s="1400"/>
      <c r="E398" s="1401"/>
      <c r="F398" s="1402"/>
      <c r="G398" s="1401"/>
      <c r="H398" s="1402"/>
      <c r="I398" s="1401"/>
      <c r="J398" s="1402"/>
      <c r="K398" s="1401"/>
      <c r="L398" s="1402"/>
      <c r="M398" s="1400"/>
      <c r="N398" s="1" t="s">
        <v>306</v>
      </c>
      <c r="AZ398" t="s">
        <v>6742</v>
      </c>
    </row>
    <row r="399" spans="1:52" ht="30" customHeight="1">
      <c r="A399" s="8" t="s">
        <v>1425</v>
      </c>
      <c r="B399" s="8" t="s">
        <v>1426</v>
      </c>
      <c r="C399" s="8" t="s">
        <v>59</v>
      </c>
      <c r="D399" s="1171">
        <v>1.1499999999999999</v>
      </c>
      <c r="E399" s="11">
        <f>단가대비표!O64</f>
        <v>40000</v>
      </c>
      <c r="F399" s="12">
        <f>TRUNC(E399*D399,1)</f>
        <v>46000</v>
      </c>
      <c r="G399" s="11">
        <f>단가대비표!P64</f>
        <v>0</v>
      </c>
      <c r="H399" s="12">
        <f>TRUNC(G399*D399,1)</f>
        <v>0</v>
      </c>
      <c r="I399" s="11">
        <f>단가대비표!V64</f>
        <v>0</v>
      </c>
      <c r="J399" s="12">
        <f>TRUNC(I399*D399,1)</f>
        <v>0</v>
      </c>
      <c r="K399" s="11">
        <f>TRUNC(E399+G399+I399,1)</f>
        <v>40000</v>
      </c>
      <c r="L399" s="12">
        <f>TRUNC(F399+H399+J399,1)</f>
        <v>46000</v>
      </c>
      <c r="M399" s="522" t="s">
        <v>51</v>
      </c>
      <c r="N399" s="2" t="s">
        <v>306</v>
      </c>
      <c r="O399" s="2" t="s">
        <v>1427</v>
      </c>
      <c r="P399" s="2" t="s">
        <v>62</v>
      </c>
      <c r="Q399" s="2" t="s">
        <v>62</v>
      </c>
      <c r="R399" s="2" t="s">
        <v>61</v>
      </c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2" t="s">
        <v>51</v>
      </c>
      <c r="AW399" s="2" t="s">
        <v>1428</v>
      </c>
      <c r="AX399" s="2" t="s">
        <v>51</v>
      </c>
      <c r="AY399" s="2" t="s">
        <v>51</v>
      </c>
      <c r="AZ399">
        <v>1.05</v>
      </c>
    </row>
    <row r="400" spans="1:52" ht="30" customHeight="1">
      <c r="A400" s="8" t="s">
        <v>1130</v>
      </c>
      <c r="B400" s="8" t="s">
        <v>947</v>
      </c>
      <c r="C400" s="8" t="s">
        <v>419</v>
      </c>
      <c r="D400" s="1171">
        <v>0</v>
      </c>
      <c r="E400" s="11">
        <f>단가대비표!O557</f>
        <v>0</v>
      </c>
      <c r="F400" s="12">
        <f>TRUNC(E400*D400,1)</f>
        <v>0</v>
      </c>
      <c r="G400" s="11">
        <f>단가대비표!P557</f>
        <v>155599</v>
      </c>
      <c r="H400" s="12">
        <f>TRUNC(G400*D400,1)</f>
        <v>0</v>
      </c>
      <c r="I400" s="11">
        <f>단가대비표!V557</f>
        <v>0</v>
      </c>
      <c r="J400" s="12">
        <f>TRUNC(I400*D400,1)</f>
        <v>0</v>
      </c>
      <c r="K400" s="11">
        <f>TRUNC(E400+G400+I400,1)</f>
        <v>155599</v>
      </c>
      <c r="L400" s="12">
        <f>TRUNC(F400+H400+J400,1)</f>
        <v>0</v>
      </c>
      <c r="M400" s="522" t="s">
        <v>51</v>
      </c>
      <c r="N400" s="2" t="s">
        <v>306</v>
      </c>
      <c r="O400" s="2" t="s">
        <v>1131</v>
      </c>
      <c r="P400" s="2" t="s">
        <v>62</v>
      </c>
      <c r="Q400" s="2" t="s">
        <v>62</v>
      </c>
      <c r="R400" s="2" t="s">
        <v>61</v>
      </c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2" t="s">
        <v>51</v>
      </c>
      <c r="AW400" s="2" t="s">
        <v>1429</v>
      </c>
      <c r="AX400" s="2" t="s">
        <v>51</v>
      </c>
      <c r="AY400" s="2" t="s">
        <v>51</v>
      </c>
      <c r="AZ400">
        <v>6.8000000000000005E-2</v>
      </c>
    </row>
    <row r="401" spans="1:52" ht="30" customHeight="1">
      <c r="A401" s="1171" t="s">
        <v>3501</v>
      </c>
      <c r="B401" s="1171" t="s">
        <v>3502</v>
      </c>
      <c r="C401" s="1171" t="s">
        <v>3507</v>
      </c>
      <c r="D401" s="1171">
        <v>7.0000000000000001E-3</v>
      </c>
      <c r="E401" s="1173">
        <v>0</v>
      </c>
      <c r="F401" s="1174">
        <f t="shared" ref="F401:F402" si="111">TRUNC(E401*D401,1)</f>
        <v>0</v>
      </c>
      <c r="G401" s="1173">
        <f>단가대비표!$P$572</f>
        <v>192305</v>
      </c>
      <c r="H401" s="1174">
        <f t="shared" ref="H401:H402" si="112">TRUNC(G401*D401,1)</f>
        <v>1346.1</v>
      </c>
      <c r="I401" s="1173"/>
      <c r="J401" s="1174">
        <f t="shared" ref="J401:J402" si="113">TRUNC(I401*D401,1)</f>
        <v>0</v>
      </c>
      <c r="K401" s="1173">
        <f t="shared" ref="K401:K402" si="114">TRUNC(E401+G401+I401,1)</f>
        <v>192305</v>
      </c>
      <c r="L401" s="1174">
        <f t="shared" ref="L401:L402" si="115">TRUNC(F401+H401+J401,1)</f>
        <v>1346.1</v>
      </c>
      <c r="M401" s="1221"/>
      <c r="N401" s="2"/>
      <c r="O401" s="2"/>
      <c r="P401" s="2"/>
      <c r="Q401" s="2"/>
      <c r="R401" s="2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2"/>
      <c r="AW401" s="2"/>
      <c r="AX401" s="2"/>
      <c r="AY401" s="2"/>
    </row>
    <row r="402" spans="1:52" ht="30" customHeight="1">
      <c r="A402" s="1171" t="s">
        <v>3510</v>
      </c>
      <c r="B402" s="1171" t="s">
        <v>3502</v>
      </c>
      <c r="C402" s="1171" t="s">
        <v>3507</v>
      </c>
      <c r="D402" s="1171">
        <v>1E-3</v>
      </c>
      <c r="E402" s="1173">
        <v>0</v>
      </c>
      <c r="F402" s="1174">
        <f t="shared" si="111"/>
        <v>0</v>
      </c>
      <c r="G402" s="1173">
        <f>단가대비표!$P$557</f>
        <v>155599</v>
      </c>
      <c r="H402" s="1174">
        <f t="shared" si="112"/>
        <v>155.5</v>
      </c>
      <c r="I402" s="1173"/>
      <c r="J402" s="1174">
        <f t="shared" si="113"/>
        <v>0</v>
      </c>
      <c r="K402" s="1173">
        <f t="shared" si="114"/>
        <v>155599</v>
      </c>
      <c r="L402" s="1174">
        <f t="shared" si="115"/>
        <v>155.5</v>
      </c>
      <c r="M402" s="1221"/>
      <c r="N402" s="2"/>
      <c r="O402" s="2"/>
      <c r="P402" s="2"/>
      <c r="Q402" s="2"/>
      <c r="R402" s="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2"/>
      <c r="AW402" s="2"/>
      <c r="AX402" s="2"/>
      <c r="AY402" s="2"/>
    </row>
    <row r="403" spans="1:52" ht="30" customHeight="1">
      <c r="A403" s="8" t="s">
        <v>950</v>
      </c>
      <c r="B403" s="8" t="s">
        <v>51</v>
      </c>
      <c r="C403" s="8" t="s">
        <v>51</v>
      </c>
      <c r="D403" s="9"/>
      <c r="E403" s="11"/>
      <c r="F403" s="12">
        <f>TRUNC(SUM(F399:F402),0)</f>
        <v>46000</v>
      </c>
      <c r="G403" s="11"/>
      <c r="H403" s="1167">
        <f>TRUNC(SUM(H399:H402),0)</f>
        <v>1501</v>
      </c>
      <c r="I403" s="11"/>
      <c r="J403" s="1167">
        <f>TRUNC(SUM(J399:J402),0)</f>
        <v>0</v>
      </c>
      <c r="K403" s="11"/>
      <c r="L403" s="12">
        <f>F403+H403+J403</f>
        <v>47501</v>
      </c>
      <c r="M403" s="522" t="s">
        <v>51</v>
      </c>
      <c r="N403" s="2" t="s">
        <v>86</v>
      </c>
      <c r="O403" s="2" t="s">
        <v>86</v>
      </c>
      <c r="P403" s="2" t="s">
        <v>51</v>
      </c>
      <c r="Q403" s="2" t="s">
        <v>51</v>
      </c>
      <c r="R403" s="2" t="s">
        <v>51</v>
      </c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2" t="s">
        <v>51</v>
      </c>
      <c r="AW403" s="2" t="s">
        <v>51</v>
      </c>
      <c r="AX403" s="2" t="s">
        <v>51</v>
      </c>
      <c r="AY403" s="2" t="s">
        <v>51</v>
      </c>
      <c r="AZ403" s="1170">
        <v>52580</v>
      </c>
    </row>
    <row r="404" spans="1:52" ht="30" customHeight="1">
      <c r="A404" s="9"/>
      <c r="B404" s="9"/>
      <c r="C404" s="9"/>
      <c r="D404" s="9"/>
      <c r="E404" s="11"/>
      <c r="F404" s="12"/>
      <c r="G404" s="11"/>
      <c r="H404" s="12"/>
      <c r="I404" s="11"/>
      <c r="J404" s="12"/>
      <c r="K404" s="11"/>
      <c r="L404" s="12"/>
      <c r="M404" s="523"/>
    </row>
    <row r="405" spans="1:52" ht="30" customHeight="1">
      <c r="A405" s="1403" t="s">
        <v>4522</v>
      </c>
      <c r="B405" s="1403"/>
      <c r="C405" s="1403"/>
      <c r="D405" s="1403"/>
      <c r="E405" s="1404"/>
      <c r="F405" s="1405"/>
      <c r="G405" s="1404"/>
      <c r="H405" s="1405"/>
      <c r="I405" s="1404"/>
      <c r="J405" s="1405"/>
      <c r="K405" s="1404"/>
      <c r="L405" s="1405"/>
      <c r="M405" s="1403"/>
      <c r="N405" s="1" t="s">
        <v>311</v>
      </c>
    </row>
    <row r="406" spans="1:52" ht="30" customHeight="1">
      <c r="A406" s="8" t="s">
        <v>1363</v>
      </c>
      <c r="B406" s="8" t="s">
        <v>1364</v>
      </c>
      <c r="C406" s="8" t="s">
        <v>204</v>
      </c>
      <c r="D406" s="9">
        <v>4.4400000000000004</v>
      </c>
      <c r="E406" s="11">
        <f>단가대비표!O41</f>
        <v>2850</v>
      </c>
      <c r="F406" s="12">
        <f t="shared" ref="F406:F411" si="116">TRUNC(E406*D406,1)</f>
        <v>12654</v>
      </c>
      <c r="G406" s="11">
        <f>단가대비표!P41</f>
        <v>0</v>
      </c>
      <c r="H406" s="12">
        <f t="shared" ref="H406:H411" si="117">TRUNC(G406*D406,1)</f>
        <v>0</v>
      </c>
      <c r="I406" s="11">
        <f>단가대비표!V41</f>
        <v>0</v>
      </c>
      <c r="J406" s="12">
        <f t="shared" ref="J406:J411" si="118">TRUNC(I406*D406,1)</f>
        <v>0</v>
      </c>
      <c r="K406" s="11">
        <f t="shared" ref="K406:L411" si="119">TRUNC(E406+G406+I406,1)</f>
        <v>2850</v>
      </c>
      <c r="L406" s="12">
        <f t="shared" si="119"/>
        <v>12654</v>
      </c>
      <c r="M406" s="522" t="s">
        <v>51</v>
      </c>
      <c r="N406" s="2" t="s">
        <v>311</v>
      </c>
      <c r="O406" s="2" t="s">
        <v>1365</v>
      </c>
      <c r="P406" s="2" t="s">
        <v>62</v>
      </c>
      <c r="Q406" s="2" t="s">
        <v>62</v>
      </c>
      <c r="R406" s="2" t="s">
        <v>61</v>
      </c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2" t="s">
        <v>51</v>
      </c>
      <c r="AW406" s="2" t="s">
        <v>1431</v>
      </c>
      <c r="AX406" s="2" t="s">
        <v>51</v>
      </c>
      <c r="AY406" s="2" t="s">
        <v>51</v>
      </c>
    </row>
    <row r="407" spans="1:52" ht="30" customHeight="1">
      <c r="A407" s="8" t="s">
        <v>1367</v>
      </c>
      <c r="B407" s="8" t="s">
        <v>418</v>
      </c>
      <c r="C407" s="8" t="s">
        <v>419</v>
      </c>
      <c r="D407" s="9">
        <v>0.2</v>
      </c>
      <c r="E407" s="11">
        <f>단가대비표!O560</f>
        <v>0</v>
      </c>
      <c r="F407" s="12">
        <f t="shared" si="116"/>
        <v>0</v>
      </c>
      <c r="G407" s="11">
        <f>단가대비표!P560</f>
        <v>184100</v>
      </c>
      <c r="H407" s="12">
        <f t="shared" si="117"/>
        <v>36820</v>
      </c>
      <c r="I407" s="11">
        <f>단가대비표!V560</f>
        <v>0</v>
      </c>
      <c r="J407" s="12">
        <f t="shared" si="118"/>
        <v>0</v>
      </c>
      <c r="K407" s="11">
        <f t="shared" si="119"/>
        <v>184100</v>
      </c>
      <c r="L407" s="12">
        <f t="shared" si="119"/>
        <v>36820</v>
      </c>
      <c r="M407" s="522" t="s">
        <v>51</v>
      </c>
      <c r="N407" s="2" t="s">
        <v>311</v>
      </c>
      <c r="O407" s="2" t="s">
        <v>1368</v>
      </c>
      <c r="P407" s="2" t="s">
        <v>62</v>
      </c>
      <c r="Q407" s="2" t="s">
        <v>62</v>
      </c>
      <c r="R407" s="2" t="s">
        <v>61</v>
      </c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2" t="s">
        <v>51</v>
      </c>
      <c r="AW407" s="2" t="s">
        <v>1432</v>
      </c>
      <c r="AX407" s="2" t="s">
        <v>51</v>
      </c>
      <c r="AY407" s="2" t="s">
        <v>51</v>
      </c>
    </row>
    <row r="408" spans="1:52" ht="30" customHeight="1">
      <c r="A408" s="8" t="s">
        <v>996</v>
      </c>
      <c r="B408" s="8" t="s">
        <v>947</v>
      </c>
      <c r="C408" s="8" t="s">
        <v>419</v>
      </c>
      <c r="D408" s="9">
        <v>0.1</v>
      </c>
      <c r="E408" s="11">
        <f>단가대비표!O556</f>
        <v>0</v>
      </c>
      <c r="F408" s="12">
        <f t="shared" si="116"/>
        <v>0</v>
      </c>
      <c r="G408" s="11">
        <f>단가대비표!P556</f>
        <v>130264</v>
      </c>
      <c r="H408" s="12">
        <f t="shared" si="117"/>
        <v>13026.4</v>
      </c>
      <c r="I408" s="11">
        <f>단가대비표!V556</f>
        <v>0</v>
      </c>
      <c r="J408" s="12">
        <f t="shared" si="118"/>
        <v>0</v>
      </c>
      <c r="K408" s="11">
        <f t="shared" si="119"/>
        <v>130264</v>
      </c>
      <c r="L408" s="12">
        <f t="shared" si="119"/>
        <v>13026.4</v>
      </c>
      <c r="M408" s="522" t="s">
        <v>51</v>
      </c>
      <c r="N408" s="2" t="s">
        <v>311</v>
      </c>
      <c r="O408" s="2" t="s">
        <v>997</v>
      </c>
      <c r="P408" s="2" t="s">
        <v>62</v>
      </c>
      <c r="Q408" s="2" t="s">
        <v>62</v>
      </c>
      <c r="R408" s="2" t="s">
        <v>61</v>
      </c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2" t="s">
        <v>51</v>
      </c>
      <c r="AW408" s="2" t="s">
        <v>1433</v>
      </c>
      <c r="AX408" s="2" t="s">
        <v>51</v>
      </c>
      <c r="AY408" s="2" t="s">
        <v>51</v>
      </c>
    </row>
    <row r="409" spans="1:52" ht="30" customHeight="1">
      <c r="A409" s="8" t="s">
        <v>1006</v>
      </c>
      <c r="B409" s="8" t="s">
        <v>418</v>
      </c>
      <c r="C409" s="8" t="s">
        <v>419</v>
      </c>
      <c r="D409" s="9">
        <v>0.15</v>
      </c>
      <c r="E409" s="11">
        <f>단가대비표!O562</f>
        <v>0</v>
      </c>
      <c r="F409" s="12">
        <f t="shared" si="116"/>
        <v>0</v>
      </c>
      <c r="G409" s="11">
        <f>단가대비표!P562</f>
        <v>209394</v>
      </c>
      <c r="H409" s="12">
        <f t="shared" si="117"/>
        <v>31409.1</v>
      </c>
      <c r="I409" s="11">
        <f>단가대비표!V562</f>
        <v>0</v>
      </c>
      <c r="J409" s="12">
        <f t="shared" si="118"/>
        <v>0</v>
      </c>
      <c r="K409" s="11">
        <f t="shared" si="119"/>
        <v>209394</v>
      </c>
      <c r="L409" s="12">
        <f t="shared" si="119"/>
        <v>31409.1</v>
      </c>
      <c r="M409" s="522" t="s">
        <v>51</v>
      </c>
      <c r="N409" s="2" t="s">
        <v>311</v>
      </c>
      <c r="O409" s="2" t="s">
        <v>1007</v>
      </c>
      <c r="P409" s="2" t="s">
        <v>62</v>
      </c>
      <c r="Q409" s="2" t="s">
        <v>62</v>
      </c>
      <c r="R409" s="2" t="s">
        <v>61</v>
      </c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2" t="s">
        <v>51</v>
      </c>
      <c r="AW409" s="2" t="s">
        <v>1434</v>
      </c>
      <c r="AX409" s="2" t="s">
        <v>51</v>
      </c>
      <c r="AY409" s="2" t="s">
        <v>51</v>
      </c>
    </row>
    <row r="410" spans="1:52" ht="30" customHeight="1">
      <c r="A410" s="8" t="s">
        <v>1372</v>
      </c>
      <c r="B410" s="8" t="s">
        <v>1135</v>
      </c>
      <c r="C410" s="8" t="s">
        <v>82</v>
      </c>
      <c r="D410" s="9">
        <v>1</v>
      </c>
      <c r="E410" s="11">
        <f>단가대비표!O462</f>
        <v>2339</v>
      </c>
      <c r="F410" s="12">
        <f t="shared" si="116"/>
        <v>2339</v>
      </c>
      <c r="G410" s="11">
        <f>단가대비표!P462</f>
        <v>0</v>
      </c>
      <c r="H410" s="12">
        <f t="shared" si="117"/>
        <v>0</v>
      </c>
      <c r="I410" s="11">
        <f>단가대비표!V462</f>
        <v>0</v>
      </c>
      <c r="J410" s="12">
        <f t="shared" si="118"/>
        <v>0</v>
      </c>
      <c r="K410" s="11">
        <f t="shared" si="119"/>
        <v>2339</v>
      </c>
      <c r="L410" s="12">
        <f t="shared" si="119"/>
        <v>2339</v>
      </c>
      <c r="M410" s="522" t="s">
        <v>51</v>
      </c>
      <c r="N410" s="2" t="s">
        <v>311</v>
      </c>
      <c r="O410" s="2" t="s">
        <v>1373</v>
      </c>
      <c r="P410" s="2" t="s">
        <v>62</v>
      </c>
      <c r="Q410" s="2" t="s">
        <v>62</v>
      </c>
      <c r="R410" s="2" t="s">
        <v>61</v>
      </c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2" t="s">
        <v>51</v>
      </c>
      <c r="AW410" s="2" t="s">
        <v>1435</v>
      </c>
      <c r="AX410" s="2" t="s">
        <v>51</v>
      </c>
      <c r="AY410" s="2" t="s">
        <v>51</v>
      </c>
    </row>
    <row r="411" spans="1:52" ht="30" customHeight="1">
      <c r="A411" s="8" t="s">
        <v>1134</v>
      </c>
      <c r="B411" s="8" t="s">
        <v>1135</v>
      </c>
      <c r="C411" s="8" t="s">
        <v>82</v>
      </c>
      <c r="D411" s="9">
        <v>1</v>
      </c>
      <c r="E411" s="11">
        <f>단가대비표!O463</f>
        <v>2339</v>
      </c>
      <c r="F411" s="12">
        <f t="shared" si="116"/>
        <v>2339</v>
      </c>
      <c r="G411" s="11">
        <f>단가대비표!P463</f>
        <v>0</v>
      </c>
      <c r="H411" s="12">
        <f t="shared" si="117"/>
        <v>0</v>
      </c>
      <c r="I411" s="11">
        <f>단가대비표!V463</f>
        <v>0</v>
      </c>
      <c r="J411" s="12">
        <f t="shared" si="118"/>
        <v>0</v>
      </c>
      <c r="K411" s="11">
        <f t="shared" si="119"/>
        <v>2339</v>
      </c>
      <c r="L411" s="12">
        <f t="shared" si="119"/>
        <v>2339</v>
      </c>
      <c r="M411" s="522" t="s">
        <v>51</v>
      </c>
      <c r="N411" s="2" t="s">
        <v>311</v>
      </c>
      <c r="O411" s="2" t="s">
        <v>1375</v>
      </c>
      <c r="P411" s="2" t="s">
        <v>62</v>
      </c>
      <c r="Q411" s="2" t="s">
        <v>62</v>
      </c>
      <c r="R411" s="2" t="s">
        <v>61</v>
      </c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2" t="s">
        <v>51</v>
      </c>
      <c r="AW411" s="2" t="s">
        <v>1436</v>
      </c>
      <c r="AX411" s="2" t="s">
        <v>51</v>
      </c>
      <c r="AY411" s="2" t="s">
        <v>51</v>
      </c>
    </row>
    <row r="412" spans="1:52" ht="30" customHeight="1">
      <c r="A412" s="8" t="s">
        <v>950</v>
      </c>
      <c r="B412" s="8" t="s">
        <v>51</v>
      </c>
      <c r="C412" s="8" t="s">
        <v>51</v>
      </c>
      <c r="D412" s="9"/>
      <c r="E412" s="11"/>
      <c r="F412" s="12">
        <f>TRUNC(SUMIF(N406:N411, N405, F406:F411),0)</f>
        <v>17332</v>
      </c>
      <c r="G412" s="11"/>
      <c r="H412" s="12">
        <f>TRUNC(SUMIF(N406:N411, N405, H406:H411),0)</f>
        <v>81255</v>
      </c>
      <c r="I412" s="11"/>
      <c r="J412" s="12">
        <f>TRUNC(SUMIF(N406:N411, N405, J406:J411),0)</f>
        <v>0</v>
      </c>
      <c r="K412" s="11"/>
      <c r="L412" s="12">
        <f>F412+H412+J412</f>
        <v>98587</v>
      </c>
      <c r="M412" s="522" t="s">
        <v>51</v>
      </c>
      <c r="N412" s="2" t="s">
        <v>86</v>
      </c>
      <c r="O412" s="2" t="s">
        <v>86</v>
      </c>
      <c r="P412" s="2" t="s">
        <v>51</v>
      </c>
      <c r="Q412" s="2" t="s">
        <v>51</v>
      </c>
      <c r="R412" s="2" t="s">
        <v>51</v>
      </c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2" t="s">
        <v>51</v>
      </c>
      <c r="AW412" s="2" t="s">
        <v>51</v>
      </c>
      <c r="AX412" s="2" t="s">
        <v>51</v>
      </c>
      <c r="AY412" s="2" t="s">
        <v>51</v>
      </c>
    </row>
    <row r="413" spans="1:52" ht="30" customHeight="1">
      <c r="A413" s="9"/>
      <c r="B413" s="9"/>
      <c r="C413" s="9"/>
      <c r="D413" s="9"/>
      <c r="E413" s="11"/>
      <c r="F413" s="12"/>
      <c r="G413" s="11"/>
      <c r="H413" s="12"/>
      <c r="I413" s="11"/>
      <c r="J413" s="12"/>
      <c r="K413" s="11"/>
      <c r="L413" s="12"/>
      <c r="M413" s="523"/>
    </row>
    <row r="414" spans="1:52" ht="30" customHeight="1">
      <c r="A414" s="1403" t="s">
        <v>4523</v>
      </c>
      <c r="B414" s="1403"/>
      <c r="C414" s="1403"/>
      <c r="D414" s="1403"/>
      <c r="E414" s="1404"/>
      <c r="F414" s="1405"/>
      <c r="G414" s="1404"/>
      <c r="H414" s="1405"/>
      <c r="I414" s="1404"/>
      <c r="J414" s="1405"/>
      <c r="K414" s="1404"/>
      <c r="L414" s="1405"/>
      <c r="M414" s="1403"/>
      <c r="N414" s="1" t="s">
        <v>314</v>
      </c>
    </row>
    <row r="415" spans="1:52" ht="30" customHeight="1">
      <c r="A415" s="8" t="s">
        <v>1173</v>
      </c>
      <c r="B415" s="8" t="s">
        <v>1205</v>
      </c>
      <c r="C415" s="8" t="s">
        <v>59</v>
      </c>
      <c r="D415" s="9">
        <v>1</v>
      </c>
      <c r="E415" s="11">
        <f>단가대비표!O32</f>
        <v>8120</v>
      </c>
      <c r="F415" s="12">
        <f>TRUNC(E415*D415,1)</f>
        <v>8120</v>
      </c>
      <c r="G415" s="11">
        <f>단가대비표!P32</f>
        <v>0</v>
      </c>
      <c r="H415" s="12">
        <f>TRUNC(G415*D415,1)</f>
        <v>0</v>
      </c>
      <c r="I415" s="11">
        <f>단가대비표!V32</f>
        <v>0</v>
      </c>
      <c r="J415" s="12">
        <f>TRUNC(I415*D415,1)</f>
        <v>0</v>
      </c>
      <c r="K415" s="11">
        <f t="shared" ref="K415:L418" si="120">TRUNC(E415+G415+I415,1)</f>
        <v>8120</v>
      </c>
      <c r="L415" s="12">
        <f t="shared" si="120"/>
        <v>8120</v>
      </c>
      <c r="M415" s="522" t="s">
        <v>51</v>
      </c>
      <c r="N415" s="2" t="s">
        <v>314</v>
      </c>
      <c r="O415" s="2" t="s">
        <v>1206</v>
      </c>
      <c r="P415" s="2" t="s">
        <v>62</v>
      </c>
      <c r="Q415" s="2" t="s">
        <v>62</v>
      </c>
      <c r="R415" s="2" t="s">
        <v>61</v>
      </c>
      <c r="S415" s="3"/>
      <c r="T415" s="3"/>
      <c r="U415" s="3"/>
      <c r="V415" s="3">
        <v>1</v>
      </c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2" t="s">
        <v>51</v>
      </c>
      <c r="AW415" s="2" t="s">
        <v>1439</v>
      </c>
      <c r="AX415" s="2" t="s">
        <v>51</v>
      </c>
      <c r="AY415" s="2" t="s">
        <v>51</v>
      </c>
    </row>
    <row r="416" spans="1:52" ht="30" customHeight="1">
      <c r="A416" s="8" t="s">
        <v>946</v>
      </c>
      <c r="B416" s="8" t="s">
        <v>947</v>
      </c>
      <c r="C416" s="8" t="s">
        <v>419</v>
      </c>
      <c r="D416" s="9">
        <v>0.127</v>
      </c>
      <c r="E416" s="11">
        <f>단가대비표!O568</f>
        <v>0</v>
      </c>
      <c r="F416" s="12">
        <f>TRUNC(E416*D416,1)</f>
        <v>0</v>
      </c>
      <c r="G416" s="11">
        <f>단가대비표!P568</f>
        <v>203532</v>
      </c>
      <c r="H416" s="12">
        <f>TRUNC(G416*D416,1)</f>
        <v>25848.5</v>
      </c>
      <c r="I416" s="11">
        <f>단가대비표!V568</f>
        <v>0</v>
      </c>
      <c r="J416" s="12">
        <f>TRUNC(I416*D416,1)</f>
        <v>0</v>
      </c>
      <c r="K416" s="11">
        <f>TRUNC(E416+G416+I416,1)</f>
        <v>203532</v>
      </c>
      <c r="L416" s="12">
        <f>TRUNC(F416+H416+J416,1)</f>
        <v>25848.5</v>
      </c>
      <c r="M416" s="522" t="s">
        <v>51</v>
      </c>
      <c r="N416" s="2" t="s">
        <v>314</v>
      </c>
      <c r="O416" s="2" t="s">
        <v>948</v>
      </c>
      <c r="P416" s="2" t="s">
        <v>62</v>
      </c>
      <c r="Q416" s="2" t="s">
        <v>62</v>
      </c>
      <c r="R416" s="2" t="s">
        <v>61</v>
      </c>
      <c r="S416" s="3"/>
      <c r="T416" s="3"/>
      <c r="U416" s="3"/>
      <c r="V416" s="3">
        <v>1</v>
      </c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2" t="s">
        <v>51</v>
      </c>
      <c r="AW416" s="2" t="s">
        <v>1438</v>
      </c>
      <c r="AX416" s="2" t="s">
        <v>51</v>
      </c>
      <c r="AY416" s="2" t="s">
        <v>51</v>
      </c>
    </row>
    <row r="417" spans="1:51" ht="30" customHeight="1">
      <c r="A417" s="8" t="s">
        <v>996</v>
      </c>
      <c r="B417" s="8" t="s">
        <v>947</v>
      </c>
      <c r="C417" s="8" t="s">
        <v>419</v>
      </c>
      <c r="D417" s="9">
        <v>6.0000000000000001E-3</v>
      </c>
      <c r="E417" s="11">
        <f>단가대비표!O556</f>
        <v>0</v>
      </c>
      <c r="F417" s="12">
        <f>TRUNC(E417*D417,1)</f>
        <v>0</v>
      </c>
      <c r="G417" s="11">
        <f>단가대비표!P556</f>
        <v>130264</v>
      </c>
      <c r="H417" s="12">
        <f>TRUNC(G417*D417,1)</f>
        <v>781.5</v>
      </c>
      <c r="I417" s="11">
        <f>단가대비표!V556</f>
        <v>0</v>
      </c>
      <c r="J417" s="12">
        <f>TRUNC(I417*D417,1)</f>
        <v>0</v>
      </c>
      <c r="K417" s="11">
        <f t="shared" si="120"/>
        <v>130264</v>
      </c>
      <c r="L417" s="12">
        <f t="shared" si="120"/>
        <v>781.5</v>
      </c>
      <c r="M417" s="522" t="s">
        <v>51</v>
      </c>
      <c r="N417" s="2" t="s">
        <v>314</v>
      </c>
      <c r="O417" s="2" t="s">
        <v>997</v>
      </c>
      <c r="P417" s="2" t="s">
        <v>62</v>
      </c>
      <c r="Q417" s="2" t="s">
        <v>62</v>
      </c>
      <c r="R417" s="2" t="s">
        <v>61</v>
      </c>
      <c r="S417" s="3"/>
      <c r="T417" s="3"/>
      <c r="U417" s="3"/>
      <c r="V417" s="3">
        <v>1</v>
      </c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2" t="s">
        <v>51</v>
      </c>
      <c r="AW417" s="2" t="s">
        <v>1440</v>
      </c>
      <c r="AX417" s="2" t="s">
        <v>51</v>
      </c>
      <c r="AY417" s="2" t="s">
        <v>51</v>
      </c>
    </row>
    <row r="418" spans="1:51" ht="30" customHeight="1">
      <c r="A418" s="8" t="s">
        <v>1134</v>
      </c>
      <c r="B418" s="8" t="s">
        <v>1178</v>
      </c>
      <c r="C418" s="8" t="s">
        <v>82</v>
      </c>
      <c r="D418" s="9">
        <v>1</v>
      </c>
      <c r="E418" s="11">
        <v>0</v>
      </c>
      <c r="F418" s="12">
        <f>TRUNC(E418*D418,1)</f>
        <v>0</v>
      </c>
      <c r="G418" s="11">
        <v>0</v>
      </c>
      <c r="H418" s="12">
        <f>TRUNC(G418*D418,1)</f>
        <v>0</v>
      </c>
      <c r="I418" s="134">
        <f>TRUNC(SUMIF(V415:V418, RIGHTB(O418, 1), H415:H418)*U418, 2)</f>
        <v>532.6</v>
      </c>
      <c r="J418" s="12">
        <f>TRUNC(I418*D418,1)</f>
        <v>532.6</v>
      </c>
      <c r="K418" s="11">
        <f t="shared" si="120"/>
        <v>532.6</v>
      </c>
      <c r="L418" s="12">
        <f t="shared" si="120"/>
        <v>532.6</v>
      </c>
      <c r="M418" s="522" t="s">
        <v>51</v>
      </c>
      <c r="N418" s="2" t="s">
        <v>314</v>
      </c>
      <c r="O418" s="2" t="s">
        <v>1036</v>
      </c>
      <c r="P418" s="2" t="s">
        <v>62</v>
      </c>
      <c r="Q418" s="2" t="s">
        <v>62</v>
      </c>
      <c r="R418" s="2" t="s">
        <v>62</v>
      </c>
      <c r="S418" s="3">
        <v>1</v>
      </c>
      <c r="T418" s="3">
        <v>2</v>
      </c>
      <c r="U418" s="3">
        <v>0.02</v>
      </c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2" t="s">
        <v>51</v>
      </c>
      <c r="AW418" s="2" t="s">
        <v>1441</v>
      </c>
      <c r="AX418" s="2" t="s">
        <v>51</v>
      </c>
      <c r="AY418" s="2" t="s">
        <v>51</v>
      </c>
    </row>
    <row r="419" spans="1:51" ht="30" customHeight="1">
      <c r="A419" s="8" t="s">
        <v>950</v>
      </c>
      <c r="B419" s="8" t="s">
        <v>51</v>
      </c>
      <c r="C419" s="8" t="s">
        <v>51</v>
      </c>
      <c r="D419" s="9"/>
      <c r="E419" s="11"/>
      <c r="F419" s="12">
        <f>TRUNC(SUMIF(N415:N418, N414, F415:F418),0)</f>
        <v>8120</v>
      </c>
      <c r="G419" s="11"/>
      <c r="H419" s="12">
        <f>TRUNC(SUMIF(N415:N418, N414, H415:H418),0)</f>
        <v>26630</v>
      </c>
      <c r="I419" s="11"/>
      <c r="J419" s="12">
        <f>TRUNC(SUMIF(N415:N418, N414, J415:J418),0)</f>
        <v>532</v>
      </c>
      <c r="K419" s="11"/>
      <c r="L419" s="12">
        <f>F419+H419+J419</f>
        <v>35282</v>
      </c>
      <c r="M419" s="522" t="s">
        <v>51</v>
      </c>
      <c r="N419" s="2" t="s">
        <v>86</v>
      </c>
      <c r="O419" s="2" t="s">
        <v>86</v>
      </c>
      <c r="P419" s="2" t="s">
        <v>51</v>
      </c>
      <c r="Q419" s="2" t="s">
        <v>51</v>
      </c>
      <c r="R419" s="2" t="s">
        <v>51</v>
      </c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2" t="s">
        <v>51</v>
      </c>
      <c r="AW419" s="2" t="s">
        <v>51</v>
      </c>
      <c r="AX419" s="2" t="s">
        <v>51</v>
      </c>
      <c r="AY419" s="2" t="s">
        <v>51</v>
      </c>
    </row>
    <row r="420" spans="1:51" ht="30" customHeight="1">
      <c r="A420" s="9"/>
      <c r="B420" s="9"/>
      <c r="C420" s="9"/>
      <c r="D420" s="9"/>
      <c r="E420" s="11"/>
      <c r="F420" s="12"/>
      <c r="G420" s="11"/>
      <c r="H420" s="12"/>
      <c r="I420" s="11"/>
      <c r="J420" s="12"/>
      <c r="K420" s="11"/>
      <c r="L420" s="12"/>
      <c r="M420" s="523"/>
    </row>
    <row r="421" spans="1:51" ht="30" customHeight="1">
      <c r="A421" s="1403" t="s">
        <v>4719</v>
      </c>
      <c r="B421" s="1403"/>
      <c r="C421" s="1403"/>
      <c r="D421" s="1403"/>
      <c r="E421" s="1404"/>
      <c r="F421" s="1405"/>
      <c r="G421" s="1404"/>
      <c r="H421" s="1405"/>
      <c r="I421" s="1404"/>
      <c r="J421" s="1405"/>
      <c r="K421" s="1404"/>
      <c r="L421" s="1405"/>
      <c r="M421" s="1403"/>
      <c r="N421" s="1" t="s">
        <v>316</v>
      </c>
    </row>
    <row r="422" spans="1:51" ht="30" customHeight="1">
      <c r="A422" s="8" t="s">
        <v>3535</v>
      </c>
      <c r="B422" s="8" t="s">
        <v>4723</v>
      </c>
      <c r="C422" s="8" t="s">
        <v>59</v>
      </c>
      <c r="D422" s="9">
        <v>1.1000000000000001</v>
      </c>
      <c r="E422" s="11">
        <f>단가대비표!O427</f>
        <v>42600</v>
      </c>
      <c r="F422" s="12">
        <f>TRUNC(E422*D422,1)</f>
        <v>46860</v>
      </c>
      <c r="G422" s="11">
        <f>단가대비표!P427</f>
        <v>0</v>
      </c>
      <c r="H422" s="12">
        <f>TRUNC(G422*D422,1)</f>
        <v>0</v>
      </c>
      <c r="I422" s="11">
        <f>단가대비표!V427</f>
        <v>0</v>
      </c>
      <c r="J422" s="12">
        <f>TRUNC(I422*D422,1)</f>
        <v>0</v>
      </c>
      <c r="K422" s="11">
        <f t="shared" ref="K422:L424" si="121">TRUNC(E422+G422+I422,1)</f>
        <v>42600</v>
      </c>
      <c r="L422" s="12">
        <f t="shared" si="121"/>
        <v>46860</v>
      </c>
      <c r="M422" s="522" t="s">
        <v>51</v>
      </c>
      <c r="N422" s="2" t="s">
        <v>316</v>
      </c>
      <c r="O422" s="2" t="s">
        <v>1443</v>
      </c>
      <c r="P422" s="2" t="s">
        <v>62</v>
      </c>
      <c r="Q422" s="2" t="s">
        <v>62</v>
      </c>
      <c r="R422" s="2" t="s">
        <v>61</v>
      </c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2" t="s">
        <v>51</v>
      </c>
      <c r="AW422" s="2" t="s">
        <v>1444</v>
      </c>
      <c r="AX422" s="2" t="s">
        <v>51</v>
      </c>
      <c r="AY422" s="2" t="s">
        <v>51</v>
      </c>
    </row>
    <row r="423" spans="1:51" ht="30" customHeight="1">
      <c r="A423" s="8" t="s">
        <v>946</v>
      </c>
      <c r="B423" s="8" t="s">
        <v>947</v>
      </c>
      <c r="C423" s="8" t="s">
        <v>419</v>
      </c>
      <c r="D423" s="9">
        <v>0.23799999999999999</v>
      </c>
      <c r="E423" s="11">
        <f>단가대비표!O568</f>
        <v>0</v>
      </c>
      <c r="F423" s="12">
        <f>TRUNC(E423*D423,1)</f>
        <v>0</v>
      </c>
      <c r="G423" s="11">
        <f>단가대비표!P568</f>
        <v>203532</v>
      </c>
      <c r="H423" s="12">
        <f>TRUNC(G423*D423,1)</f>
        <v>48440.6</v>
      </c>
      <c r="I423" s="11">
        <f>단가대비표!V568</f>
        <v>0</v>
      </c>
      <c r="J423" s="12">
        <f>TRUNC(I423*D423,1)</f>
        <v>0</v>
      </c>
      <c r="K423" s="11">
        <f t="shared" si="121"/>
        <v>203532</v>
      </c>
      <c r="L423" s="12">
        <f t="shared" si="121"/>
        <v>48440.6</v>
      </c>
      <c r="M423" s="522" t="s">
        <v>51</v>
      </c>
      <c r="N423" s="2" t="s">
        <v>316</v>
      </c>
      <c r="O423" s="2" t="s">
        <v>948</v>
      </c>
      <c r="P423" s="2" t="s">
        <v>62</v>
      </c>
      <c r="Q423" s="2" t="s">
        <v>62</v>
      </c>
      <c r="R423" s="2" t="s">
        <v>61</v>
      </c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2" t="s">
        <v>51</v>
      </c>
      <c r="AW423" s="2" t="s">
        <v>1448</v>
      </c>
      <c r="AX423" s="2" t="s">
        <v>51</v>
      </c>
      <c r="AY423" s="2" t="s">
        <v>51</v>
      </c>
    </row>
    <row r="424" spans="1:51" ht="30" customHeight="1">
      <c r="A424" s="8" t="s">
        <v>996</v>
      </c>
      <c r="B424" s="8" t="s">
        <v>947</v>
      </c>
      <c r="C424" s="8" t="s">
        <v>419</v>
      </c>
      <c r="D424" s="9">
        <v>1.2E-2</v>
      </c>
      <c r="E424" s="11">
        <f>단가대비표!O556</f>
        <v>0</v>
      </c>
      <c r="F424" s="12">
        <f>TRUNC(E424*D424,1)</f>
        <v>0</v>
      </c>
      <c r="G424" s="11">
        <f>단가대비표!P556</f>
        <v>130264</v>
      </c>
      <c r="H424" s="12">
        <f>TRUNC(G424*D424,1)</f>
        <v>1563.1</v>
      </c>
      <c r="I424" s="11">
        <f>단가대비표!V556</f>
        <v>0</v>
      </c>
      <c r="J424" s="12">
        <f>TRUNC(I424*D424,1)</f>
        <v>0</v>
      </c>
      <c r="K424" s="11">
        <f t="shared" si="121"/>
        <v>130264</v>
      </c>
      <c r="L424" s="12">
        <f t="shared" si="121"/>
        <v>1563.1</v>
      </c>
      <c r="M424" s="522" t="s">
        <v>51</v>
      </c>
      <c r="N424" s="2" t="s">
        <v>316</v>
      </c>
      <c r="O424" s="2" t="s">
        <v>997</v>
      </c>
      <c r="P424" s="2" t="s">
        <v>62</v>
      </c>
      <c r="Q424" s="2" t="s">
        <v>62</v>
      </c>
      <c r="R424" s="2" t="s">
        <v>61</v>
      </c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2" t="s">
        <v>51</v>
      </c>
      <c r="AW424" s="2" t="s">
        <v>1449</v>
      </c>
      <c r="AX424" s="2" t="s">
        <v>51</v>
      </c>
      <c r="AY424" s="2" t="s">
        <v>51</v>
      </c>
    </row>
    <row r="425" spans="1:51" ht="30" customHeight="1">
      <c r="A425" s="8" t="s">
        <v>950</v>
      </c>
      <c r="B425" s="8" t="s">
        <v>51</v>
      </c>
      <c r="C425" s="8" t="s">
        <v>51</v>
      </c>
      <c r="D425" s="9"/>
      <c r="E425" s="11"/>
      <c r="F425" s="12">
        <f>TRUNC(SUMIF(N422:N424, N421, F422:F424),0)</f>
        <v>46860</v>
      </c>
      <c r="G425" s="11"/>
      <c r="H425" s="12">
        <f>TRUNC(SUMIF(N422:N424, N421, H422:H424),0)</f>
        <v>50003</v>
      </c>
      <c r="I425" s="11"/>
      <c r="J425" s="12">
        <f>TRUNC(SUMIF(N422:N424, N421, J422:J424),0)</f>
        <v>0</v>
      </c>
      <c r="K425" s="11"/>
      <c r="L425" s="12">
        <f>F425+H425+J425</f>
        <v>96863</v>
      </c>
      <c r="M425" s="522" t="s">
        <v>51</v>
      </c>
      <c r="N425" s="2" t="s">
        <v>86</v>
      </c>
      <c r="O425" s="2" t="s">
        <v>86</v>
      </c>
      <c r="P425" s="2" t="s">
        <v>51</v>
      </c>
      <c r="Q425" s="2" t="s">
        <v>51</v>
      </c>
      <c r="R425" s="2" t="s">
        <v>51</v>
      </c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2" t="s">
        <v>51</v>
      </c>
      <c r="AW425" s="2" t="s">
        <v>51</v>
      </c>
      <c r="AX425" s="2" t="s">
        <v>51</v>
      </c>
      <c r="AY425" s="2" t="s">
        <v>51</v>
      </c>
    </row>
    <row r="426" spans="1:51" ht="30" customHeight="1">
      <c r="A426" s="9"/>
      <c r="B426" s="9"/>
      <c r="C426" s="9"/>
      <c r="D426" s="9"/>
      <c r="E426" s="11"/>
      <c r="F426" s="12"/>
      <c r="G426" s="11"/>
      <c r="H426" s="12"/>
      <c r="I426" s="11"/>
      <c r="J426" s="12"/>
      <c r="K426" s="11"/>
      <c r="L426" s="12"/>
      <c r="M426" s="523"/>
    </row>
    <row r="427" spans="1:51" ht="30" customHeight="1">
      <c r="A427" s="1403" t="s">
        <v>4811</v>
      </c>
      <c r="B427" s="1403"/>
      <c r="C427" s="1403"/>
      <c r="D427" s="1403"/>
      <c r="E427" s="1404"/>
      <c r="F427" s="1405"/>
      <c r="G427" s="1404"/>
      <c r="H427" s="1405"/>
      <c r="I427" s="1404"/>
      <c r="J427" s="1405"/>
      <c r="K427" s="1404"/>
      <c r="L427" s="1405"/>
      <c r="M427" s="1403"/>
      <c r="N427" s="1" t="s">
        <v>322</v>
      </c>
    </row>
    <row r="428" spans="1:51" ht="30" customHeight="1">
      <c r="A428" s="8" t="s">
        <v>319</v>
      </c>
      <c r="B428" s="8"/>
      <c r="C428" s="8" t="s">
        <v>321</v>
      </c>
      <c r="D428" s="9">
        <v>1</v>
      </c>
      <c r="E428" s="11">
        <f>단가대비표!O432</f>
        <v>3600000</v>
      </c>
      <c r="F428" s="12">
        <f>TRUNC(E428*D428,1)</f>
        <v>3600000</v>
      </c>
      <c r="G428" s="11">
        <f>단가대비표!P432</f>
        <v>0</v>
      </c>
      <c r="H428" s="12">
        <f>TRUNC(G428*D428,1)</f>
        <v>0</v>
      </c>
      <c r="I428" s="11">
        <f>단가대비표!V432</f>
        <v>0</v>
      </c>
      <c r="J428" s="12">
        <f>TRUNC(I428*D428,1)</f>
        <v>0</v>
      </c>
      <c r="K428" s="11">
        <f>TRUNC(E428+G428+I428,1)</f>
        <v>3600000</v>
      </c>
      <c r="L428" s="12">
        <f>TRUNC(F428+H428+J428,1)</f>
        <v>3600000</v>
      </c>
      <c r="M428" s="522" t="s">
        <v>51</v>
      </c>
      <c r="N428" s="2" t="s">
        <v>322</v>
      </c>
      <c r="O428" s="2" t="s">
        <v>1451</v>
      </c>
      <c r="P428" s="2" t="s">
        <v>62</v>
      </c>
      <c r="Q428" s="2" t="s">
        <v>62</v>
      </c>
      <c r="R428" s="2" t="s">
        <v>61</v>
      </c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2" t="s">
        <v>51</v>
      </c>
      <c r="AW428" s="2" t="s">
        <v>1452</v>
      </c>
      <c r="AX428" s="2" t="s">
        <v>51</v>
      </c>
      <c r="AY428" s="2" t="s">
        <v>51</v>
      </c>
    </row>
    <row r="429" spans="1:51" ht="30" customHeight="1">
      <c r="A429" s="8" t="s">
        <v>1061</v>
      </c>
      <c r="B429" s="8" t="s">
        <v>319</v>
      </c>
      <c r="C429" s="8" t="s">
        <v>419</v>
      </c>
      <c r="D429" s="9">
        <v>1</v>
      </c>
      <c r="E429" s="11">
        <f>단가대비표!O577</f>
        <v>0</v>
      </c>
      <c r="F429" s="12">
        <f>TRUNC(E429*D429,1)</f>
        <v>0</v>
      </c>
      <c r="G429" s="11">
        <f>단가대비표!P577</f>
        <v>1593540</v>
      </c>
      <c r="H429" s="12">
        <f>TRUNC(G429*D429,1)</f>
        <v>1593540</v>
      </c>
      <c r="I429" s="11">
        <f>단가대비표!V577</f>
        <v>0</v>
      </c>
      <c r="J429" s="12">
        <f>TRUNC(I429*D429,1)</f>
        <v>0</v>
      </c>
      <c r="K429" s="11">
        <f>TRUNC(E429+G429+I429,1)</f>
        <v>1593540</v>
      </c>
      <c r="L429" s="12">
        <f>TRUNC(F429+H429+J429,1)</f>
        <v>1593540</v>
      </c>
      <c r="M429" s="522" t="s">
        <v>51</v>
      </c>
      <c r="N429" s="2" t="s">
        <v>322</v>
      </c>
      <c r="O429" s="2" t="s">
        <v>1453</v>
      </c>
      <c r="P429" s="2" t="s">
        <v>62</v>
      </c>
      <c r="Q429" s="2" t="s">
        <v>62</v>
      </c>
      <c r="R429" s="2" t="s">
        <v>61</v>
      </c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2" t="s">
        <v>51</v>
      </c>
      <c r="AW429" s="2" t="s">
        <v>1454</v>
      </c>
      <c r="AX429" s="2" t="s">
        <v>51</v>
      </c>
      <c r="AY429" s="2" t="s">
        <v>51</v>
      </c>
    </row>
    <row r="430" spans="1:51" ht="30" customHeight="1">
      <c r="A430" s="8" t="s">
        <v>950</v>
      </c>
      <c r="B430" s="8" t="s">
        <v>51</v>
      </c>
      <c r="C430" s="8" t="s">
        <v>51</v>
      </c>
      <c r="D430" s="9"/>
      <c r="E430" s="11"/>
      <c r="F430" s="12">
        <f>TRUNC(SUMIF(N428:N429, N427, F428:F429),0)</f>
        <v>3600000</v>
      </c>
      <c r="G430" s="11"/>
      <c r="H430" s="12">
        <f>TRUNC(SUMIF(N428:N429, N427, H428:H429),0)</f>
        <v>1593540</v>
      </c>
      <c r="I430" s="11"/>
      <c r="J430" s="12">
        <f>TRUNC(SUMIF(N428:N429, N427, J428:J429),0)</f>
        <v>0</v>
      </c>
      <c r="K430" s="11"/>
      <c r="L430" s="12">
        <f>F430+H430+J430</f>
        <v>5193540</v>
      </c>
      <c r="M430" s="522" t="s">
        <v>51</v>
      </c>
      <c r="N430" s="2" t="s">
        <v>86</v>
      </c>
      <c r="O430" s="2" t="s">
        <v>86</v>
      </c>
      <c r="P430" s="2" t="s">
        <v>51</v>
      </c>
      <c r="Q430" s="2" t="s">
        <v>51</v>
      </c>
      <c r="R430" s="2" t="s">
        <v>51</v>
      </c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2" t="s">
        <v>51</v>
      </c>
      <c r="AW430" s="2" t="s">
        <v>51</v>
      </c>
      <c r="AX430" s="2" t="s">
        <v>51</v>
      </c>
      <c r="AY430" s="2" t="s">
        <v>51</v>
      </c>
    </row>
    <row r="431" spans="1:51" ht="30" customHeight="1">
      <c r="A431" s="9"/>
      <c r="B431" s="9"/>
      <c r="C431" s="9"/>
      <c r="D431" s="9"/>
      <c r="E431" s="11"/>
      <c r="F431" s="12"/>
      <c r="G431" s="11"/>
      <c r="H431" s="12"/>
      <c r="I431" s="11"/>
      <c r="J431" s="12"/>
      <c r="K431" s="11"/>
      <c r="L431" s="12"/>
      <c r="M431" s="523"/>
    </row>
    <row r="432" spans="1:51" ht="30" customHeight="1">
      <c r="A432" s="1403" t="s">
        <v>4812</v>
      </c>
      <c r="B432" s="1403"/>
      <c r="C432" s="1403"/>
      <c r="D432" s="1403"/>
      <c r="E432" s="1404"/>
      <c r="F432" s="1405"/>
      <c r="G432" s="1404"/>
      <c r="H432" s="1405"/>
      <c r="I432" s="1404"/>
      <c r="J432" s="1405"/>
      <c r="K432" s="1404"/>
      <c r="L432" s="1405"/>
      <c r="M432" s="1403"/>
      <c r="N432" s="1" t="s">
        <v>326</v>
      </c>
    </row>
    <row r="433" spans="1:51" ht="30" customHeight="1">
      <c r="A433" s="8" t="s">
        <v>324</v>
      </c>
      <c r="B433" s="8"/>
      <c r="C433" s="8" t="s">
        <v>321</v>
      </c>
      <c r="D433" s="9">
        <v>1</v>
      </c>
      <c r="E433" s="11">
        <f>단가대비표!O433</f>
        <v>3037500</v>
      </c>
      <c r="F433" s="12">
        <f>TRUNC(E433*D433,1)</f>
        <v>3037500</v>
      </c>
      <c r="G433" s="11">
        <f>단가대비표!P433</f>
        <v>0</v>
      </c>
      <c r="H433" s="12">
        <f>TRUNC(G433*D433,1)</f>
        <v>0</v>
      </c>
      <c r="I433" s="11">
        <f>단가대비표!V433</f>
        <v>0</v>
      </c>
      <c r="J433" s="12">
        <f>TRUNC(I433*D433,1)</f>
        <v>0</v>
      </c>
      <c r="K433" s="11">
        <f>TRUNC(E433+G433+I433,1)</f>
        <v>3037500</v>
      </c>
      <c r="L433" s="12">
        <f>TRUNC(F433+H433+J433,1)</f>
        <v>3037500</v>
      </c>
      <c r="M433" s="522" t="s">
        <v>51</v>
      </c>
      <c r="N433" s="2" t="s">
        <v>326</v>
      </c>
      <c r="O433" s="2" t="s">
        <v>1456</v>
      </c>
      <c r="P433" s="2" t="s">
        <v>62</v>
      </c>
      <c r="Q433" s="2" t="s">
        <v>62</v>
      </c>
      <c r="R433" s="2" t="s">
        <v>61</v>
      </c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2" t="s">
        <v>51</v>
      </c>
      <c r="AW433" s="2" t="s">
        <v>1457</v>
      </c>
      <c r="AX433" s="2" t="s">
        <v>51</v>
      </c>
      <c r="AY433" s="2" t="s">
        <v>51</v>
      </c>
    </row>
    <row r="434" spans="1:51" ht="30" customHeight="1">
      <c r="A434" s="8" t="s">
        <v>1061</v>
      </c>
      <c r="B434" s="8" t="s">
        <v>324</v>
      </c>
      <c r="C434" s="8" t="s">
        <v>419</v>
      </c>
      <c r="D434" s="9">
        <v>1</v>
      </c>
      <c r="E434" s="11">
        <f>단가대비표!O578</f>
        <v>0</v>
      </c>
      <c r="F434" s="12">
        <f>TRUNC(E434*D434,1)</f>
        <v>0</v>
      </c>
      <c r="G434" s="11">
        <f>단가대비표!P578</f>
        <v>1266660</v>
      </c>
      <c r="H434" s="12">
        <f>TRUNC(G434*D434,1)</f>
        <v>1266660</v>
      </c>
      <c r="I434" s="11">
        <f>단가대비표!V578</f>
        <v>0</v>
      </c>
      <c r="J434" s="12">
        <f>TRUNC(I434*D434,1)</f>
        <v>0</v>
      </c>
      <c r="K434" s="11">
        <f>TRUNC(E434+G434+I434,1)</f>
        <v>1266660</v>
      </c>
      <c r="L434" s="12">
        <f>TRUNC(F434+H434+J434,1)</f>
        <v>1266660</v>
      </c>
      <c r="M434" s="522" t="s">
        <v>51</v>
      </c>
      <c r="N434" s="2" t="s">
        <v>326</v>
      </c>
      <c r="O434" s="2" t="s">
        <v>1458</v>
      </c>
      <c r="P434" s="2" t="s">
        <v>62</v>
      </c>
      <c r="Q434" s="2" t="s">
        <v>62</v>
      </c>
      <c r="R434" s="2" t="s">
        <v>61</v>
      </c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2" t="s">
        <v>51</v>
      </c>
      <c r="AW434" s="2" t="s">
        <v>1459</v>
      </c>
      <c r="AX434" s="2" t="s">
        <v>51</v>
      </c>
      <c r="AY434" s="2" t="s">
        <v>51</v>
      </c>
    </row>
    <row r="435" spans="1:51" ht="30" customHeight="1">
      <c r="A435" s="8" t="s">
        <v>950</v>
      </c>
      <c r="B435" s="8" t="s">
        <v>51</v>
      </c>
      <c r="C435" s="8" t="s">
        <v>51</v>
      </c>
      <c r="D435" s="9"/>
      <c r="E435" s="11"/>
      <c r="F435" s="12">
        <f>TRUNC(SUMIF(N433:N434, N432, F433:F434),0)</f>
        <v>3037500</v>
      </c>
      <c r="G435" s="11"/>
      <c r="H435" s="12">
        <f>TRUNC(SUMIF(N433:N434, N432, H433:H434),0)</f>
        <v>1266660</v>
      </c>
      <c r="I435" s="11"/>
      <c r="J435" s="12">
        <f>TRUNC(SUMIF(N433:N434, N432, J433:J434),0)</f>
        <v>0</v>
      </c>
      <c r="K435" s="11"/>
      <c r="L435" s="12">
        <f>F435+H435+J435</f>
        <v>4304160</v>
      </c>
      <c r="M435" s="522" t="s">
        <v>51</v>
      </c>
      <c r="N435" s="2" t="s">
        <v>86</v>
      </c>
      <c r="O435" s="2" t="s">
        <v>86</v>
      </c>
      <c r="P435" s="2" t="s">
        <v>51</v>
      </c>
      <c r="Q435" s="2" t="s">
        <v>51</v>
      </c>
      <c r="R435" s="2" t="s">
        <v>51</v>
      </c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2" t="s">
        <v>51</v>
      </c>
      <c r="AW435" s="2" t="s">
        <v>51</v>
      </c>
      <c r="AX435" s="2" t="s">
        <v>51</v>
      </c>
      <c r="AY435" s="2" t="s">
        <v>51</v>
      </c>
    </row>
    <row r="436" spans="1:51" ht="30" customHeight="1">
      <c r="A436" s="9"/>
      <c r="B436" s="9"/>
      <c r="C436" s="9"/>
      <c r="D436" s="9"/>
      <c r="E436" s="11"/>
      <c r="F436" s="12"/>
      <c r="G436" s="11"/>
      <c r="H436" s="12"/>
      <c r="I436" s="11"/>
      <c r="J436" s="12"/>
      <c r="K436" s="11"/>
      <c r="L436" s="12"/>
      <c r="M436" s="523"/>
    </row>
    <row r="437" spans="1:51" ht="30" customHeight="1">
      <c r="A437" s="1403" t="s">
        <v>4813</v>
      </c>
      <c r="B437" s="1403"/>
      <c r="C437" s="1403"/>
      <c r="D437" s="1403"/>
      <c r="E437" s="1404"/>
      <c r="F437" s="1405"/>
      <c r="G437" s="1404"/>
      <c r="H437" s="1405"/>
      <c r="I437" s="1404"/>
      <c r="J437" s="1405"/>
      <c r="K437" s="1404"/>
      <c r="L437" s="1405"/>
      <c r="M437" s="1403"/>
      <c r="N437" s="1" t="s">
        <v>330</v>
      </c>
    </row>
    <row r="438" spans="1:51" ht="30" customHeight="1">
      <c r="A438" s="8" t="s">
        <v>328</v>
      </c>
      <c r="B438" s="8"/>
      <c r="C438" s="8" t="s">
        <v>321</v>
      </c>
      <c r="D438" s="9">
        <v>1</v>
      </c>
      <c r="E438" s="11">
        <f>단가대비표!O434</f>
        <v>1350000</v>
      </c>
      <c r="F438" s="12">
        <f>TRUNC(E438*D438,1)</f>
        <v>1350000</v>
      </c>
      <c r="G438" s="11">
        <f>단가대비표!P434</f>
        <v>0</v>
      </c>
      <c r="H438" s="12">
        <f>TRUNC(G438*D438,1)</f>
        <v>0</v>
      </c>
      <c r="I438" s="11">
        <f>단가대비표!V434</f>
        <v>0</v>
      </c>
      <c r="J438" s="12">
        <f>TRUNC(I438*D438,1)</f>
        <v>0</v>
      </c>
      <c r="K438" s="11">
        <f>TRUNC(E438+G438+I438,1)</f>
        <v>1350000</v>
      </c>
      <c r="L438" s="12">
        <f>TRUNC(F438+H438+J438,1)</f>
        <v>1350000</v>
      </c>
      <c r="M438" s="522" t="s">
        <v>51</v>
      </c>
      <c r="N438" s="2" t="s">
        <v>330</v>
      </c>
      <c r="O438" s="2" t="s">
        <v>1461</v>
      </c>
      <c r="P438" s="2" t="s">
        <v>62</v>
      </c>
      <c r="Q438" s="2" t="s">
        <v>62</v>
      </c>
      <c r="R438" s="2" t="s">
        <v>61</v>
      </c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2" t="s">
        <v>51</v>
      </c>
      <c r="AW438" s="2" t="s">
        <v>1462</v>
      </c>
      <c r="AX438" s="2" t="s">
        <v>51</v>
      </c>
      <c r="AY438" s="2" t="s">
        <v>51</v>
      </c>
    </row>
    <row r="439" spans="1:51" ht="30" customHeight="1">
      <c r="A439" s="8" t="s">
        <v>1061</v>
      </c>
      <c r="B439" s="8" t="s">
        <v>328</v>
      </c>
      <c r="C439" s="8" t="s">
        <v>419</v>
      </c>
      <c r="D439" s="9">
        <v>1</v>
      </c>
      <c r="E439" s="11">
        <f>단가대비표!O579</f>
        <v>0</v>
      </c>
      <c r="F439" s="12">
        <f>TRUNC(E439*D439,1)</f>
        <v>0</v>
      </c>
      <c r="G439" s="11">
        <f>단가대비표!P579</f>
        <v>1012500</v>
      </c>
      <c r="H439" s="12">
        <f>TRUNC(G439*D439,1)</f>
        <v>1012500</v>
      </c>
      <c r="I439" s="11">
        <f>단가대비표!V579</f>
        <v>0</v>
      </c>
      <c r="J439" s="12">
        <f>TRUNC(I439*D439,1)</f>
        <v>0</v>
      </c>
      <c r="K439" s="11">
        <f>TRUNC(E439+G439+I439,1)</f>
        <v>1012500</v>
      </c>
      <c r="L439" s="12">
        <f>TRUNC(F439+H439+J439,1)</f>
        <v>1012500</v>
      </c>
      <c r="M439" s="522" t="s">
        <v>51</v>
      </c>
      <c r="N439" s="2" t="s">
        <v>330</v>
      </c>
      <c r="O439" s="2" t="s">
        <v>1463</v>
      </c>
      <c r="P439" s="2" t="s">
        <v>62</v>
      </c>
      <c r="Q439" s="2" t="s">
        <v>62</v>
      </c>
      <c r="R439" s="2" t="s">
        <v>61</v>
      </c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2" t="s">
        <v>51</v>
      </c>
      <c r="AW439" s="2" t="s">
        <v>1464</v>
      </c>
      <c r="AX439" s="2" t="s">
        <v>51</v>
      </c>
      <c r="AY439" s="2" t="s">
        <v>51</v>
      </c>
    </row>
    <row r="440" spans="1:51" ht="30" customHeight="1">
      <c r="A440" s="8" t="s">
        <v>950</v>
      </c>
      <c r="B440" s="8" t="s">
        <v>51</v>
      </c>
      <c r="C440" s="8" t="s">
        <v>51</v>
      </c>
      <c r="D440" s="9"/>
      <c r="E440" s="11"/>
      <c r="F440" s="12">
        <f>TRUNC(SUMIF(N438:N439, N437, F438:F439),0)</f>
        <v>1350000</v>
      </c>
      <c r="G440" s="11"/>
      <c r="H440" s="12">
        <f>TRUNC(SUMIF(N438:N439, N437, H438:H439),0)</f>
        <v>1012500</v>
      </c>
      <c r="I440" s="11"/>
      <c r="J440" s="12">
        <f>TRUNC(SUMIF(N438:N439, N437, J438:J439),0)</f>
        <v>0</v>
      </c>
      <c r="K440" s="11"/>
      <c r="L440" s="12">
        <f>F440+H440+J440</f>
        <v>2362500</v>
      </c>
      <c r="M440" s="522" t="s">
        <v>51</v>
      </c>
      <c r="N440" s="2" t="s">
        <v>86</v>
      </c>
      <c r="O440" s="2" t="s">
        <v>86</v>
      </c>
      <c r="P440" s="2" t="s">
        <v>51</v>
      </c>
      <c r="Q440" s="2" t="s">
        <v>51</v>
      </c>
      <c r="R440" s="2" t="s">
        <v>51</v>
      </c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2" t="s">
        <v>51</v>
      </c>
      <c r="AW440" s="2" t="s">
        <v>51</v>
      </c>
      <c r="AX440" s="2" t="s">
        <v>51</v>
      </c>
      <c r="AY440" s="2" t="s">
        <v>51</v>
      </c>
    </row>
    <row r="441" spans="1:51" ht="30" customHeight="1">
      <c r="A441" s="9"/>
      <c r="B441" s="9"/>
      <c r="C441" s="9"/>
      <c r="D441" s="9"/>
      <c r="E441" s="11"/>
      <c r="F441" s="12"/>
      <c r="G441" s="11"/>
      <c r="H441" s="12"/>
      <c r="I441" s="11"/>
      <c r="J441" s="12"/>
      <c r="K441" s="11"/>
      <c r="L441" s="12"/>
      <c r="M441" s="523"/>
    </row>
    <row r="442" spans="1:51" ht="30" customHeight="1">
      <c r="A442" s="1403" t="s">
        <v>4814</v>
      </c>
      <c r="B442" s="1403"/>
      <c r="C442" s="1403"/>
      <c r="D442" s="1403"/>
      <c r="E442" s="1404"/>
      <c r="F442" s="1405"/>
      <c r="G442" s="1404"/>
      <c r="H442" s="1405"/>
      <c r="I442" s="1404"/>
      <c r="J442" s="1405"/>
      <c r="K442" s="1404"/>
      <c r="L442" s="1405"/>
      <c r="M442" s="1403"/>
      <c r="N442" s="1" t="s">
        <v>334</v>
      </c>
    </row>
    <row r="443" spans="1:51" ht="30" customHeight="1">
      <c r="A443" s="8" t="s">
        <v>332</v>
      </c>
      <c r="B443" s="8"/>
      <c r="C443" s="8" t="s">
        <v>321</v>
      </c>
      <c r="D443" s="9">
        <v>1</v>
      </c>
      <c r="E443" s="11">
        <f>단가대비표!O435</f>
        <v>4612500</v>
      </c>
      <c r="F443" s="12">
        <f>TRUNC(E443*D443,1)</f>
        <v>4612500</v>
      </c>
      <c r="G443" s="11">
        <f>단가대비표!P435</f>
        <v>0</v>
      </c>
      <c r="H443" s="12">
        <f>TRUNC(G443*D443,1)</f>
        <v>0</v>
      </c>
      <c r="I443" s="11">
        <f>단가대비표!V435</f>
        <v>0</v>
      </c>
      <c r="J443" s="12">
        <f>TRUNC(I443*D443,1)</f>
        <v>0</v>
      </c>
      <c r="K443" s="11">
        <f>TRUNC(E443+G443+I443,1)</f>
        <v>4612500</v>
      </c>
      <c r="L443" s="12">
        <f>TRUNC(F443+H443+J443,1)</f>
        <v>4612500</v>
      </c>
      <c r="M443" s="522" t="s">
        <v>51</v>
      </c>
      <c r="N443" s="2" t="s">
        <v>334</v>
      </c>
      <c r="O443" s="2" t="s">
        <v>1466</v>
      </c>
      <c r="P443" s="2" t="s">
        <v>62</v>
      </c>
      <c r="Q443" s="2" t="s">
        <v>62</v>
      </c>
      <c r="R443" s="2" t="s">
        <v>61</v>
      </c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2" t="s">
        <v>51</v>
      </c>
      <c r="AW443" s="2" t="s">
        <v>1467</v>
      </c>
      <c r="AX443" s="2" t="s">
        <v>51</v>
      </c>
      <c r="AY443" s="2" t="s">
        <v>51</v>
      </c>
    </row>
    <row r="444" spans="1:51" ht="30" customHeight="1">
      <c r="A444" s="8" t="s">
        <v>1061</v>
      </c>
      <c r="B444" s="8" t="s">
        <v>332</v>
      </c>
      <c r="C444" s="8" t="s">
        <v>419</v>
      </c>
      <c r="D444" s="9">
        <v>1</v>
      </c>
      <c r="E444" s="11">
        <f>단가대비표!O580</f>
        <v>0</v>
      </c>
      <c r="F444" s="12">
        <f>TRUNC(E444*D444,1)</f>
        <v>0</v>
      </c>
      <c r="G444" s="11">
        <f>단가대비표!P580</f>
        <v>449460</v>
      </c>
      <c r="H444" s="12">
        <f>TRUNC(G444*D444,1)</f>
        <v>449460</v>
      </c>
      <c r="I444" s="11">
        <f>단가대비표!V580</f>
        <v>0</v>
      </c>
      <c r="J444" s="12">
        <f>TRUNC(I444*D444,1)</f>
        <v>0</v>
      </c>
      <c r="K444" s="11">
        <f>TRUNC(E444+G444+I444,1)</f>
        <v>449460</v>
      </c>
      <c r="L444" s="12">
        <f>TRUNC(F444+H444+J444,1)</f>
        <v>449460</v>
      </c>
      <c r="M444" s="522" t="s">
        <v>51</v>
      </c>
      <c r="N444" s="2" t="s">
        <v>334</v>
      </c>
      <c r="O444" s="2" t="s">
        <v>1468</v>
      </c>
      <c r="P444" s="2" t="s">
        <v>62</v>
      </c>
      <c r="Q444" s="2" t="s">
        <v>62</v>
      </c>
      <c r="R444" s="2" t="s">
        <v>61</v>
      </c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2" t="s">
        <v>51</v>
      </c>
      <c r="AW444" s="2" t="s">
        <v>1469</v>
      </c>
      <c r="AX444" s="2" t="s">
        <v>51</v>
      </c>
      <c r="AY444" s="2" t="s">
        <v>51</v>
      </c>
    </row>
    <row r="445" spans="1:51" ht="30" customHeight="1">
      <c r="A445" s="8" t="s">
        <v>950</v>
      </c>
      <c r="B445" s="8" t="s">
        <v>51</v>
      </c>
      <c r="C445" s="8" t="s">
        <v>51</v>
      </c>
      <c r="D445" s="9"/>
      <c r="E445" s="11"/>
      <c r="F445" s="12">
        <f>TRUNC(SUMIF(N443:N444, N442, F443:F444),0)</f>
        <v>4612500</v>
      </c>
      <c r="G445" s="11"/>
      <c r="H445" s="12">
        <f>TRUNC(SUMIF(N443:N444, N442, H443:H444),0)</f>
        <v>449460</v>
      </c>
      <c r="I445" s="11"/>
      <c r="J445" s="12">
        <f>TRUNC(SUMIF(N443:N444, N442, J443:J444),0)</f>
        <v>0</v>
      </c>
      <c r="K445" s="11"/>
      <c r="L445" s="12">
        <f>F445+H445+J445</f>
        <v>5061960</v>
      </c>
      <c r="M445" s="522" t="s">
        <v>51</v>
      </c>
      <c r="N445" s="2" t="s">
        <v>86</v>
      </c>
      <c r="O445" s="2" t="s">
        <v>86</v>
      </c>
      <c r="P445" s="2" t="s">
        <v>51</v>
      </c>
      <c r="Q445" s="2" t="s">
        <v>51</v>
      </c>
      <c r="R445" s="2" t="s">
        <v>51</v>
      </c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2" t="s">
        <v>51</v>
      </c>
      <c r="AW445" s="2" t="s">
        <v>51</v>
      </c>
      <c r="AX445" s="2" t="s">
        <v>51</v>
      </c>
      <c r="AY445" s="2" t="s">
        <v>51</v>
      </c>
    </row>
    <row r="446" spans="1:51" ht="30" customHeight="1">
      <c r="A446" s="9"/>
      <c r="B446" s="9"/>
      <c r="C446" s="9"/>
      <c r="D446" s="9"/>
      <c r="E446" s="11"/>
      <c r="F446" s="12"/>
      <c r="G446" s="11"/>
      <c r="H446" s="12"/>
      <c r="I446" s="11"/>
      <c r="J446" s="12"/>
      <c r="K446" s="11"/>
      <c r="L446" s="12"/>
      <c r="M446" s="523"/>
    </row>
    <row r="447" spans="1:51" ht="30" customHeight="1">
      <c r="A447" s="1403" t="s">
        <v>4815</v>
      </c>
      <c r="B447" s="1403"/>
      <c r="C447" s="1403"/>
      <c r="D447" s="1403"/>
      <c r="E447" s="1404"/>
      <c r="F447" s="1405"/>
      <c r="G447" s="1404"/>
      <c r="H447" s="1405"/>
      <c r="I447" s="1404"/>
      <c r="J447" s="1405"/>
      <c r="K447" s="1404"/>
      <c r="L447" s="1405"/>
      <c r="M447" s="1403"/>
      <c r="N447" s="1" t="s">
        <v>337</v>
      </c>
    </row>
    <row r="448" spans="1:51" ht="30" customHeight="1">
      <c r="A448" s="8" t="s">
        <v>336</v>
      </c>
      <c r="B448" s="8"/>
      <c r="C448" s="8" t="s">
        <v>321</v>
      </c>
      <c r="D448" s="9">
        <v>1</v>
      </c>
      <c r="E448" s="11">
        <f>단가대비표!O436</f>
        <v>3268800</v>
      </c>
      <c r="F448" s="12">
        <f>TRUNC(E448*D448,1)</f>
        <v>3268800</v>
      </c>
      <c r="G448" s="11">
        <f>단가대비표!P436</f>
        <v>0</v>
      </c>
      <c r="H448" s="12">
        <f>TRUNC(G448*D448,1)</f>
        <v>0</v>
      </c>
      <c r="I448" s="11">
        <f>단가대비표!V436</f>
        <v>0</v>
      </c>
      <c r="J448" s="12">
        <f>TRUNC(I448*D448,1)</f>
        <v>0</v>
      </c>
      <c r="K448" s="11">
        <f>TRUNC(E448+G448+I448,1)</f>
        <v>3268800</v>
      </c>
      <c r="L448" s="12">
        <f>TRUNC(F448+H448+J448,1)</f>
        <v>3268800</v>
      </c>
      <c r="M448" s="522" t="s">
        <v>51</v>
      </c>
      <c r="N448" s="2" t="s">
        <v>337</v>
      </c>
      <c r="O448" s="2" t="s">
        <v>1471</v>
      </c>
      <c r="P448" s="2" t="s">
        <v>62</v>
      </c>
      <c r="Q448" s="2" t="s">
        <v>62</v>
      </c>
      <c r="R448" s="2" t="s">
        <v>61</v>
      </c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2" t="s">
        <v>51</v>
      </c>
      <c r="AW448" s="2" t="s">
        <v>1472</v>
      </c>
      <c r="AX448" s="2" t="s">
        <v>51</v>
      </c>
      <c r="AY448" s="2" t="s">
        <v>51</v>
      </c>
    </row>
    <row r="449" spans="1:51" ht="30" customHeight="1">
      <c r="A449" s="8" t="s">
        <v>1061</v>
      </c>
      <c r="B449" s="8" t="s">
        <v>336</v>
      </c>
      <c r="C449" s="8" t="s">
        <v>419</v>
      </c>
      <c r="D449" s="9">
        <v>1</v>
      </c>
      <c r="E449" s="11">
        <f>단가대비표!O581</f>
        <v>0</v>
      </c>
      <c r="F449" s="12">
        <f>TRUNC(E449*D449,1)</f>
        <v>0</v>
      </c>
      <c r="G449" s="11">
        <f>단가대비표!P581</f>
        <v>1676700</v>
      </c>
      <c r="H449" s="12">
        <f>TRUNC(G449*D449,1)</f>
        <v>1676700</v>
      </c>
      <c r="I449" s="11">
        <f>단가대비표!V581</f>
        <v>0</v>
      </c>
      <c r="J449" s="12">
        <f>TRUNC(I449*D449,1)</f>
        <v>0</v>
      </c>
      <c r="K449" s="11">
        <f>TRUNC(E449+G449+I449,1)</f>
        <v>1676700</v>
      </c>
      <c r="L449" s="12">
        <f>TRUNC(F449+H449+J449,1)</f>
        <v>1676700</v>
      </c>
      <c r="M449" s="522" t="s">
        <v>51</v>
      </c>
      <c r="N449" s="2" t="s">
        <v>337</v>
      </c>
      <c r="O449" s="2" t="s">
        <v>1473</v>
      </c>
      <c r="P449" s="2" t="s">
        <v>62</v>
      </c>
      <c r="Q449" s="2" t="s">
        <v>62</v>
      </c>
      <c r="R449" s="2" t="s">
        <v>61</v>
      </c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2" t="s">
        <v>51</v>
      </c>
      <c r="AW449" s="2" t="s">
        <v>1474</v>
      </c>
      <c r="AX449" s="2" t="s">
        <v>51</v>
      </c>
      <c r="AY449" s="2" t="s">
        <v>51</v>
      </c>
    </row>
    <row r="450" spans="1:51" ht="30" customHeight="1">
      <c r="A450" s="8" t="s">
        <v>950</v>
      </c>
      <c r="B450" s="8" t="s">
        <v>51</v>
      </c>
      <c r="C450" s="8" t="s">
        <v>51</v>
      </c>
      <c r="D450" s="9"/>
      <c r="E450" s="11"/>
      <c r="F450" s="12">
        <f>TRUNC(SUMIF(N448:N449, N447, F448:F449),0)</f>
        <v>3268800</v>
      </c>
      <c r="G450" s="11"/>
      <c r="H450" s="12">
        <f>TRUNC(SUMIF(N448:N449, N447, H448:H449),0)</f>
        <v>1676700</v>
      </c>
      <c r="I450" s="11"/>
      <c r="J450" s="12">
        <f>TRUNC(SUMIF(N448:N449, N447, J448:J449),0)</f>
        <v>0</v>
      </c>
      <c r="K450" s="11"/>
      <c r="L450" s="12">
        <f>F450+H450+J450</f>
        <v>4945500</v>
      </c>
      <c r="M450" s="522" t="s">
        <v>51</v>
      </c>
      <c r="N450" s="2" t="s">
        <v>86</v>
      </c>
      <c r="O450" s="2" t="s">
        <v>86</v>
      </c>
      <c r="P450" s="2" t="s">
        <v>51</v>
      </c>
      <c r="Q450" s="2" t="s">
        <v>51</v>
      </c>
      <c r="R450" s="2" t="s">
        <v>51</v>
      </c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2" t="s">
        <v>51</v>
      </c>
      <c r="AW450" s="2" t="s">
        <v>51</v>
      </c>
      <c r="AX450" s="2" t="s">
        <v>51</v>
      </c>
      <c r="AY450" s="2" t="s">
        <v>51</v>
      </c>
    </row>
    <row r="451" spans="1:51" ht="30" customHeight="1">
      <c r="A451" s="9"/>
      <c r="B451" s="9"/>
      <c r="C451" s="9"/>
      <c r="D451" s="9"/>
      <c r="E451" s="11"/>
      <c r="F451" s="12"/>
      <c r="G451" s="11"/>
      <c r="H451" s="12"/>
      <c r="I451" s="11"/>
      <c r="J451" s="12"/>
      <c r="K451" s="11"/>
      <c r="L451" s="12"/>
      <c r="M451" s="523"/>
    </row>
    <row r="452" spans="1:51" ht="30" customHeight="1">
      <c r="A452" s="1403" t="s">
        <v>4816</v>
      </c>
      <c r="B452" s="1403"/>
      <c r="C452" s="1403"/>
      <c r="D452" s="1403"/>
      <c r="E452" s="1404"/>
      <c r="F452" s="1405"/>
      <c r="G452" s="1404"/>
      <c r="H452" s="1405"/>
      <c r="I452" s="1404"/>
      <c r="J452" s="1405"/>
      <c r="K452" s="1404"/>
      <c r="L452" s="1405"/>
      <c r="M452" s="1403"/>
      <c r="N452" s="1" t="s">
        <v>340</v>
      </c>
    </row>
    <row r="453" spans="1:51" ht="30" customHeight="1">
      <c r="A453" s="8" t="s">
        <v>339</v>
      </c>
      <c r="B453" s="8"/>
      <c r="C453" s="8" t="s">
        <v>321</v>
      </c>
      <c r="D453" s="9">
        <v>1</v>
      </c>
      <c r="E453" s="11">
        <f>단가대비표!O437</f>
        <v>4188150</v>
      </c>
      <c r="F453" s="12">
        <f>TRUNC(E453*D453,1)</f>
        <v>4188150</v>
      </c>
      <c r="G453" s="11">
        <f>단가대비표!P437</f>
        <v>0</v>
      </c>
      <c r="H453" s="12">
        <f>TRUNC(G453*D453,1)</f>
        <v>0</v>
      </c>
      <c r="I453" s="11">
        <f>단가대비표!V437</f>
        <v>0</v>
      </c>
      <c r="J453" s="12">
        <f>TRUNC(I453*D453,1)</f>
        <v>0</v>
      </c>
      <c r="K453" s="11">
        <f>TRUNC(E453+G453+I453,1)</f>
        <v>4188150</v>
      </c>
      <c r="L453" s="12">
        <f>TRUNC(F453+H453+J453,1)</f>
        <v>4188150</v>
      </c>
      <c r="M453" s="522" t="s">
        <v>51</v>
      </c>
      <c r="N453" s="2" t="s">
        <v>340</v>
      </c>
      <c r="O453" s="2" t="s">
        <v>1476</v>
      </c>
      <c r="P453" s="2" t="s">
        <v>62</v>
      </c>
      <c r="Q453" s="2" t="s">
        <v>62</v>
      </c>
      <c r="R453" s="2" t="s">
        <v>61</v>
      </c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2" t="s">
        <v>51</v>
      </c>
      <c r="AW453" s="2" t="s">
        <v>1477</v>
      </c>
      <c r="AX453" s="2" t="s">
        <v>51</v>
      </c>
      <c r="AY453" s="2" t="s">
        <v>51</v>
      </c>
    </row>
    <row r="454" spans="1:51" ht="30" customHeight="1">
      <c r="A454" s="8" t="s">
        <v>1061</v>
      </c>
      <c r="B454" s="8" t="s">
        <v>339</v>
      </c>
      <c r="C454" s="8" t="s">
        <v>419</v>
      </c>
      <c r="D454" s="9">
        <v>1</v>
      </c>
      <c r="E454" s="11">
        <f>단가대비표!O582</f>
        <v>0</v>
      </c>
      <c r="F454" s="12">
        <f>TRUNC(E454*D454,1)</f>
        <v>0</v>
      </c>
      <c r="G454" s="11">
        <f>단가대비표!P582</f>
        <v>1341360</v>
      </c>
      <c r="H454" s="12">
        <f>TRUNC(G454*D454,1)</f>
        <v>1341360</v>
      </c>
      <c r="I454" s="11">
        <f>단가대비표!V582</f>
        <v>0</v>
      </c>
      <c r="J454" s="12">
        <f>TRUNC(I454*D454,1)</f>
        <v>0</v>
      </c>
      <c r="K454" s="11">
        <f>TRUNC(E454+G454+I454,1)</f>
        <v>1341360</v>
      </c>
      <c r="L454" s="12">
        <f>TRUNC(F454+H454+J454,1)</f>
        <v>1341360</v>
      </c>
      <c r="M454" s="522" t="s">
        <v>51</v>
      </c>
      <c r="N454" s="2" t="s">
        <v>340</v>
      </c>
      <c r="O454" s="2" t="s">
        <v>1478</v>
      </c>
      <c r="P454" s="2" t="s">
        <v>62</v>
      </c>
      <c r="Q454" s="2" t="s">
        <v>62</v>
      </c>
      <c r="R454" s="2" t="s">
        <v>61</v>
      </c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2" t="s">
        <v>51</v>
      </c>
      <c r="AW454" s="2" t="s">
        <v>1479</v>
      </c>
      <c r="AX454" s="2" t="s">
        <v>51</v>
      </c>
      <c r="AY454" s="2" t="s">
        <v>51</v>
      </c>
    </row>
    <row r="455" spans="1:51" ht="30" customHeight="1">
      <c r="A455" s="8" t="s">
        <v>950</v>
      </c>
      <c r="B455" s="8" t="s">
        <v>51</v>
      </c>
      <c r="C455" s="8" t="s">
        <v>51</v>
      </c>
      <c r="D455" s="9"/>
      <c r="E455" s="11"/>
      <c r="F455" s="12">
        <f>TRUNC(SUMIF(N453:N454, N452, F453:F454),0)</f>
        <v>4188150</v>
      </c>
      <c r="G455" s="11"/>
      <c r="H455" s="12">
        <f>TRUNC(SUMIF(N453:N454, N452, H453:H454),0)</f>
        <v>1341360</v>
      </c>
      <c r="I455" s="11"/>
      <c r="J455" s="12">
        <f>TRUNC(SUMIF(N453:N454, N452, J453:J454),0)</f>
        <v>0</v>
      </c>
      <c r="K455" s="11"/>
      <c r="L455" s="12">
        <f>F455+H455+J455</f>
        <v>5529510</v>
      </c>
      <c r="M455" s="522" t="s">
        <v>51</v>
      </c>
      <c r="N455" s="2" t="s">
        <v>86</v>
      </c>
      <c r="O455" s="2" t="s">
        <v>86</v>
      </c>
      <c r="P455" s="2" t="s">
        <v>51</v>
      </c>
      <c r="Q455" s="2" t="s">
        <v>51</v>
      </c>
      <c r="R455" s="2" t="s">
        <v>51</v>
      </c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2" t="s">
        <v>51</v>
      </c>
      <c r="AW455" s="2" t="s">
        <v>51</v>
      </c>
      <c r="AX455" s="2" t="s">
        <v>51</v>
      </c>
      <c r="AY455" s="2" t="s">
        <v>51</v>
      </c>
    </row>
    <row r="456" spans="1:51" ht="30" customHeight="1">
      <c r="A456" s="9"/>
      <c r="B456" s="9"/>
      <c r="C456" s="9"/>
      <c r="D456" s="9"/>
      <c r="E456" s="11"/>
      <c r="F456" s="12"/>
      <c r="G456" s="11"/>
      <c r="H456" s="12"/>
      <c r="I456" s="11"/>
      <c r="J456" s="12"/>
      <c r="K456" s="11"/>
      <c r="L456" s="12"/>
      <c r="M456" s="523"/>
    </row>
    <row r="457" spans="1:51" ht="30" customHeight="1">
      <c r="A457" s="1403" t="s">
        <v>4817</v>
      </c>
      <c r="B457" s="1403"/>
      <c r="C457" s="1403"/>
      <c r="D457" s="1403"/>
      <c r="E457" s="1404"/>
      <c r="F457" s="1405"/>
      <c r="G457" s="1404"/>
      <c r="H457" s="1405"/>
      <c r="I457" s="1404"/>
      <c r="J457" s="1405"/>
      <c r="K457" s="1404"/>
      <c r="L457" s="1405"/>
      <c r="M457" s="1403"/>
      <c r="N457" s="1" t="s">
        <v>344</v>
      </c>
    </row>
    <row r="458" spans="1:51" ht="30" customHeight="1">
      <c r="A458" s="8" t="s">
        <v>342</v>
      </c>
      <c r="B458" s="8"/>
      <c r="C458" s="8" t="s">
        <v>321</v>
      </c>
      <c r="D458" s="9">
        <v>1</v>
      </c>
      <c r="E458" s="11">
        <f>단가대비표!O439</f>
        <v>550000</v>
      </c>
      <c r="F458" s="12">
        <f>TRUNC(E458*D458,1)</f>
        <v>550000</v>
      </c>
      <c r="G458" s="11">
        <f>단가대비표!P439</f>
        <v>0</v>
      </c>
      <c r="H458" s="12">
        <f>TRUNC(G458*D458,1)</f>
        <v>0</v>
      </c>
      <c r="I458" s="11">
        <f>단가대비표!V439</f>
        <v>0</v>
      </c>
      <c r="J458" s="12">
        <f>TRUNC(I458*D458,1)</f>
        <v>0</v>
      </c>
      <c r="K458" s="11">
        <f>TRUNC(E458+G458+I458,1)</f>
        <v>550000</v>
      </c>
      <c r="L458" s="12">
        <f>TRUNC(F458+H458+J458,1)</f>
        <v>550000</v>
      </c>
      <c r="M458" s="522" t="s">
        <v>51</v>
      </c>
      <c r="N458" s="2" t="s">
        <v>344</v>
      </c>
      <c r="O458" s="2" t="s">
        <v>1481</v>
      </c>
      <c r="P458" s="2" t="s">
        <v>62</v>
      </c>
      <c r="Q458" s="2" t="s">
        <v>62</v>
      </c>
      <c r="R458" s="2" t="s">
        <v>61</v>
      </c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2" t="s">
        <v>51</v>
      </c>
      <c r="AW458" s="2" t="s">
        <v>1482</v>
      </c>
      <c r="AX458" s="2" t="s">
        <v>51</v>
      </c>
      <c r="AY458" s="2" t="s">
        <v>51</v>
      </c>
    </row>
    <row r="459" spans="1:51" ht="30" customHeight="1">
      <c r="A459" s="8" t="s">
        <v>1061</v>
      </c>
      <c r="B459" s="8" t="s">
        <v>342</v>
      </c>
      <c r="C459" s="8" t="s">
        <v>419</v>
      </c>
      <c r="D459" s="9">
        <v>1</v>
      </c>
      <c r="E459" s="11">
        <f>단가대비표!O584</f>
        <v>0</v>
      </c>
      <c r="F459" s="12">
        <f>TRUNC(E459*D459,1)</f>
        <v>0</v>
      </c>
      <c r="G459" s="11">
        <f>단가대비표!P584</f>
        <v>180000</v>
      </c>
      <c r="H459" s="12">
        <f>TRUNC(G459*D459,1)</f>
        <v>180000</v>
      </c>
      <c r="I459" s="11">
        <f>단가대비표!V584</f>
        <v>0</v>
      </c>
      <c r="J459" s="12">
        <f>TRUNC(I459*D459,1)</f>
        <v>0</v>
      </c>
      <c r="K459" s="11">
        <f>TRUNC(E459+G459+I459,1)</f>
        <v>180000</v>
      </c>
      <c r="L459" s="12">
        <f>TRUNC(F459+H459+J459,1)</f>
        <v>180000</v>
      </c>
      <c r="M459" s="522" t="s">
        <v>51</v>
      </c>
      <c r="N459" s="2" t="s">
        <v>344</v>
      </c>
      <c r="O459" s="2" t="s">
        <v>1483</v>
      </c>
      <c r="P459" s="2" t="s">
        <v>62</v>
      </c>
      <c r="Q459" s="2" t="s">
        <v>62</v>
      </c>
      <c r="R459" s="2" t="s">
        <v>61</v>
      </c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2" t="s">
        <v>51</v>
      </c>
      <c r="AW459" s="2" t="s">
        <v>1484</v>
      </c>
      <c r="AX459" s="2" t="s">
        <v>51</v>
      </c>
      <c r="AY459" s="2" t="s">
        <v>51</v>
      </c>
    </row>
    <row r="460" spans="1:51" ht="30" customHeight="1">
      <c r="A460" s="8" t="s">
        <v>950</v>
      </c>
      <c r="B460" s="8" t="s">
        <v>51</v>
      </c>
      <c r="C460" s="8" t="s">
        <v>51</v>
      </c>
      <c r="D460" s="9"/>
      <c r="E460" s="11"/>
      <c r="F460" s="12">
        <f>TRUNC(SUMIF(N458:N459, N457, F458:F459),0)</f>
        <v>550000</v>
      </c>
      <c r="G460" s="11"/>
      <c r="H460" s="12">
        <f>TRUNC(SUMIF(N458:N459, N457, H458:H459),0)</f>
        <v>180000</v>
      </c>
      <c r="I460" s="11"/>
      <c r="J460" s="12">
        <f>TRUNC(SUMIF(N458:N459, N457, J458:J459),0)</f>
        <v>0</v>
      </c>
      <c r="K460" s="11"/>
      <c r="L460" s="12">
        <f>F460+H460+J460</f>
        <v>730000</v>
      </c>
      <c r="M460" s="522" t="s">
        <v>51</v>
      </c>
      <c r="N460" s="2" t="s">
        <v>86</v>
      </c>
      <c r="O460" s="2" t="s">
        <v>86</v>
      </c>
      <c r="P460" s="2" t="s">
        <v>51</v>
      </c>
      <c r="Q460" s="2" t="s">
        <v>51</v>
      </c>
      <c r="R460" s="2" t="s">
        <v>51</v>
      </c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2" t="s">
        <v>51</v>
      </c>
      <c r="AW460" s="2" t="s">
        <v>51</v>
      </c>
      <c r="AX460" s="2" t="s">
        <v>51</v>
      </c>
      <c r="AY460" s="2" t="s">
        <v>51</v>
      </c>
    </row>
    <row r="461" spans="1:51" ht="30" customHeight="1">
      <c r="A461" s="9"/>
      <c r="B461" s="9"/>
      <c r="C461" s="9"/>
      <c r="D461" s="9"/>
      <c r="E461" s="11"/>
      <c r="F461" s="12"/>
      <c r="G461" s="11"/>
      <c r="H461" s="12"/>
      <c r="I461" s="11"/>
      <c r="J461" s="12"/>
      <c r="K461" s="11"/>
      <c r="L461" s="12"/>
      <c r="M461" s="523"/>
    </row>
    <row r="462" spans="1:51" ht="30" customHeight="1">
      <c r="A462" s="1403" t="s">
        <v>4818</v>
      </c>
      <c r="B462" s="1403"/>
      <c r="C462" s="1403"/>
      <c r="D462" s="1403"/>
      <c r="E462" s="1404"/>
      <c r="F462" s="1405"/>
      <c r="G462" s="1404"/>
      <c r="H462" s="1405"/>
      <c r="I462" s="1404"/>
      <c r="J462" s="1405"/>
      <c r="K462" s="1404"/>
      <c r="L462" s="1405"/>
      <c r="M462" s="1403"/>
      <c r="N462" s="1" t="s">
        <v>347</v>
      </c>
    </row>
    <row r="463" spans="1:51" ht="30" customHeight="1">
      <c r="A463" s="8" t="s">
        <v>346</v>
      </c>
      <c r="B463" s="8"/>
      <c r="C463" s="8" t="s">
        <v>321</v>
      </c>
      <c r="D463" s="9">
        <v>1</v>
      </c>
      <c r="E463" s="11">
        <f>단가대비표!O440</f>
        <v>495000</v>
      </c>
      <c r="F463" s="12">
        <f>TRUNC(E463*D463,1)</f>
        <v>495000</v>
      </c>
      <c r="G463" s="11">
        <f>단가대비표!P440</f>
        <v>0</v>
      </c>
      <c r="H463" s="12">
        <f>TRUNC(G463*D463,1)</f>
        <v>0</v>
      </c>
      <c r="I463" s="11">
        <f>단가대비표!V440</f>
        <v>0</v>
      </c>
      <c r="J463" s="12">
        <f>TRUNC(I463*D463,1)</f>
        <v>0</v>
      </c>
      <c r="K463" s="11">
        <f>TRUNC(E463+G463+I463,1)</f>
        <v>495000</v>
      </c>
      <c r="L463" s="12">
        <f>TRUNC(F463+H463+J463,1)</f>
        <v>495000</v>
      </c>
      <c r="M463" s="522" t="s">
        <v>51</v>
      </c>
      <c r="N463" s="2" t="s">
        <v>347</v>
      </c>
      <c r="O463" s="2" t="s">
        <v>1486</v>
      </c>
      <c r="P463" s="2" t="s">
        <v>62</v>
      </c>
      <c r="Q463" s="2" t="s">
        <v>62</v>
      </c>
      <c r="R463" s="2" t="s">
        <v>61</v>
      </c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2" t="s">
        <v>51</v>
      </c>
      <c r="AW463" s="2" t="s">
        <v>1487</v>
      </c>
      <c r="AX463" s="2" t="s">
        <v>51</v>
      </c>
      <c r="AY463" s="2" t="s">
        <v>51</v>
      </c>
    </row>
    <row r="464" spans="1:51" ht="30" customHeight="1">
      <c r="A464" s="8" t="s">
        <v>1061</v>
      </c>
      <c r="B464" s="8" t="s">
        <v>346</v>
      </c>
      <c r="C464" s="8" t="s">
        <v>419</v>
      </c>
      <c r="D464" s="9">
        <v>1</v>
      </c>
      <c r="E464" s="11">
        <f>단가대비표!O586</f>
        <v>0</v>
      </c>
      <c r="F464" s="12">
        <f>TRUNC(E464*D464,1)</f>
        <v>0</v>
      </c>
      <c r="G464" s="11">
        <f>단가대비표!P586</f>
        <v>162000</v>
      </c>
      <c r="H464" s="12">
        <f>TRUNC(G464*D464,1)</f>
        <v>162000</v>
      </c>
      <c r="I464" s="11">
        <f>단가대비표!V586</f>
        <v>0</v>
      </c>
      <c r="J464" s="12">
        <f>TRUNC(I464*D464,1)</f>
        <v>0</v>
      </c>
      <c r="K464" s="11">
        <f>TRUNC(E464+G464+I464,1)</f>
        <v>162000</v>
      </c>
      <c r="L464" s="12">
        <f>TRUNC(F464+H464+J464,1)</f>
        <v>162000</v>
      </c>
      <c r="M464" s="522" t="s">
        <v>51</v>
      </c>
      <c r="N464" s="2" t="s">
        <v>347</v>
      </c>
      <c r="O464" s="2" t="s">
        <v>1488</v>
      </c>
      <c r="P464" s="2" t="s">
        <v>62</v>
      </c>
      <c r="Q464" s="2" t="s">
        <v>62</v>
      </c>
      <c r="R464" s="2" t="s">
        <v>61</v>
      </c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2" t="s">
        <v>51</v>
      </c>
      <c r="AW464" s="2" t="s">
        <v>1489</v>
      </c>
      <c r="AX464" s="2" t="s">
        <v>51</v>
      </c>
      <c r="AY464" s="2" t="s">
        <v>51</v>
      </c>
    </row>
    <row r="465" spans="1:51" ht="30" customHeight="1">
      <c r="A465" s="8" t="s">
        <v>950</v>
      </c>
      <c r="B465" s="8" t="s">
        <v>51</v>
      </c>
      <c r="C465" s="8" t="s">
        <v>51</v>
      </c>
      <c r="D465" s="9"/>
      <c r="E465" s="11"/>
      <c r="F465" s="12">
        <f>TRUNC(SUMIF(N463:N464, N462, F463:F464),0)</f>
        <v>495000</v>
      </c>
      <c r="G465" s="11"/>
      <c r="H465" s="12">
        <f>TRUNC(SUMIF(N463:N464, N462, H463:H464),0)</f>
        <v>162000</v>
      </c>
      <c r="I465" s="11"/>
      <c r="J465" s="12">
        <f>TRUNC(SUMIF(N463:N464, N462, J463:J464),0)</f>
        <v>0</v>
      </c>
      <c r="K465" s="11"/>
      <c r="L465" s="12">
        <f>F465+H465+J465</f>
        <v>657000</v>
      </c>
      <c r="M465" s="522" t="s">
        <v>51</v>
      </c>
      <c r="N465" s="2" t="s">
        <v>86</v>
      </c>
      <c r="O465" s="2" t="s">
        <v>86</v>
      </c>
      <c r="P465" s="2" t="s">
        <v>51</v>
      </c>
      <c r="Q465" s="2" t="s">
        <v>51</v>
      </c>
      <c r="R465" s="2" t="s">
        <v>51</v>
      </c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2" t="s">
        <v>51</v>
      </c>
      <c r="AW465" s="2" t="s">
        <v>51</v>
      </c>
      <c r="AX465" s="2" t="s">
        <v>51</v>
      </c>
      <c r="AY465" s="2" t="s">
        <v>51</v>
      </c>
    </row>
    <row r="466" spans="1:51" ht="30" customHeight="1">
      <c r="A466" s="9"/>
      <c r="B466" s="9"/>
      <c r="C466" s="9"/>
      <c r="D466" s="9"/>
      <c r="E466" s="11"/>
      <c r="F466" s="12"/>
      <c r="G466" s="11"/>
      <c r="H466" s="12"/>
      <c r="I466" s="11"/>
      <c r="J466" s="12"/>
      <c r="K466" s="11"/>
      <c r="L466" s="12"/>
      <c r="M466" s="523"/>
    </row>
    <row r="467" spans="1:51" ht="30" customHeight="1">
      <c r="A467" s="1403" t="s">
        <v>4819</v>
      </c>
      <c r="B467" s="1403"/>
      <c r="C467" s="1403"/>
      <c r="D467" s="1403"/>
      <c r="E467" s="1404"/>
      <c r="F467" s="1405"/>
      <c r="G467" s="1404"/>
      <c r="H467" s="1405"/>
      <c r="I467" s="1404"/>
      <c r="J467" s="1405"/>
      <c r="K467" s="1404"/>
      <c r="L467" s="1405"/>
      <c r="M467" s="1403"/>
      <c r="N467" s="1" t="s">
        <v>351</v>
      </c>
    </row>
    <row r="468" spans="1:51" ht="30" customHeight="1">
      <c r="A468" s="8" t="s">
        <v>349</v>
      </c>
      <c r="B468" s="8"/>
      <c r="C468" s="8" t="s">
        <v>321</v>
      </c>
      <c r="D468" s="9">
        <v>1</v>
      </c>
      <c r="E468" s="11">
        <f>단가대비표!O453</f>
        <v>453600</v>
      </c>
      <c r="F468" s="12">
        <f>TRUNC(E468*D468,1)</f>
        <v>453600</v>
      </c>
      <c r="G468" s="11">
        <f>단가대비표!P453</f>
        <v>0</v>
      </c>
      <c r="H468" s="12">
        <f>TRUNC(G468*D468,1)</f>
        <v>0</v>
      </c>
      <c r="I468" s="11">
        <f>단가대비표!V453</f>
        <v>0</v>
      </c>
      <c r="J468" s="12">
        <f>TRUNC(I468*D468,1)</f>
        <v>0</v>
      </c>
      <c r="K468" s="11">
        <f>TRUNC(E468+G468+I468,1)</f>
        <v>453600</v>
      </c>
      <c r="L468" s="12">
        <f>TRUNC(F468+H468+J468,1)</f>
        <v>453600</v>
      </c>
      <c r="M468" s="522" t="s">
        <v>51</v>
      </c>
      <c r="N468" s="2" t="s">
        <v>351</v>
      </c>
      <c r="O468" s="2" t="s">
        <v>1491</v>
      </c>
      <c r="P468" s="2" t="s">
        <v>62</v>
      </c>
      <c r="Q468" s="2" t="s">
        <v>62</v>
      </c>
      <c r="R468" s="2" t="s">
        <v>61</v>
      </c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2" t="s">
        <v>51</v>
      </c>
      <c r="AW468" s="2" t="s">
        <v>1492</v>
      </c>
      <c r="AX468" s="2" t="s">
        <v>51</v>
      </c>
      <c r="AY468" s="2" t="s">
        <v>51</v>
      </c>
    </row>
    <row r="469" spans="1:51" ht="30" customHeight="1">
      <c r="A469" s="8" t="s">
        <v>1061</v>
      </c>
      <c r="B469" s="8" t="s">
        <v>346</v>
      </c>
      <c r="C469" s="8" t="s">
        <v>419</v>
      </c>
      <c r="D469" s="9">
        <v>1.2</v>
      </c>
      <c r="E469" s="11">
        <f>단가대비표!O598</f>
        <v>0</v>
      </c>
      <c r="F469" s="12">
        <f>TRUNC(E469*D469,1)</f>
        <v>0</v>
      </c>
      <c r="G469" s="11">
        <f>단가대비표!P598</f>
        <v>162000</v>
      </c>
      <c r="H469" s="12">
        <f>TRUNC(G469*D469,1)</f>
        <v>194400</v>
      </c>
      <c r="I469" s="11">
        <f>단가대비표!V598</f>
        <v>0</v>
      </c>
      <c r="J469" s="12">
        <f>TRUNC(I469*D469,1)</f>
        <v>0</v>
      </c>
      <c r="K469" s="11">
        <f>TRUNC(E469+G469+I469,1)</f>
        <v>162000</v>
      </c>
      <c r="L469" s="12">
        <f>TRUNC(F469+H469+J469,1)</f>
        <v>194400</v>
      </c>
      <c r="M469" s="522" t="s">
        <v>51</v>
      </c>
      <c r="N469" s="2" t="s">
        <v>351</v>
      </c>
      <c r="O469" s="2" t="s">
        <v>1493</v>
      </c>
      <c r="P469" s="2" t="s">
        <v>62</v>
      </c>
      <c r="Q469" s="2" t="s">
        <v>62</v>
      </c>
      <c r="R469" s="2" t="s">
        <v>61</v>
      </c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2" t="s">
        <v>51</v>
      </c>
      <c r="AW469" s="2" t="s">
        <v>1494</v>
      </c>
      <c r="AX469" s="2" t="s">
        <v>51</v>
      </c>
      <c r="AY469" s="2" t="s">
        <v>51</v>
      </c>
    </row>
    <row r="470" spans="1:51" ht="30" customHeight="1">
      <c r="A470" s="8" t="s">
        <v>950</v>
      </c>
      <c r="B470" s="8" t="s">
        <v>51</v>
      </c>
      <c r="C470" s="8" t="s">
        <v>51</v>
      </c>
      <c r="D470" s="9"/>
      <c r="E470" s="11"/>
      <c r="F470" s="12">
        <f>TRUNC(SUMIF(N468:N469, N467, F468:F469),0)</f>
        <v>453600</v>
      </c>
      <c r="G470" s="11"/>
      <c r="H470" s="12">
        <f>TRUNC(SUMIF(N468:N469, N467, H468:H469),0)</f>
        <v>194400</v>
      </c>
      <c r="I470" s="11"/>
      <c r="J470" s="12">
        <f>TRUNC(SUMIF(N468:N469, N467, J468:J469),0)</f>
        <v>0</v>
      </c>
      <c r="K470" s="11"/>
      <c r="L470" s="12">
        <f>F470+H470+J470</f>
        <v>648000</v>
      </c>
      <c r="M470" s="522" t="s">
        <v>51</v>
      </c>
      <c r="N470" s="2" t="s">
        <v>86</v>
      </c>
      <c r="O470" s="2" t="s">
        <v>86</v>
      </c>
      <c r="P470" s="2" t="s">
        <v>51</v>
      </c>
      <c r="Q470" s="2" t="s">
        <v>51</v>
      </c>
      <c r="R470" s="2" t="s">
        <v>51</v>
      </c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2" t="s">
        <v>51</v>
      </c>
      <c r="AW470" s="2" t="s">
        <v>51</v>
      </c>
      <c r="AX470" s="2" t="s">
        <v>51</v>
      </c>
      <c r="AY470" s="2" t="s">
        <v>51</v>
      </c>
    </row>
    <row r="471" spans="1:51" ht="30" customHeight="1">
      <c r="A471" s="9"/>
      <c r="B471" s="9"/>
      <c r="C471" s="9"/>
      <c r="D471" s="9"/>
      <c r="E471" s="11"/>
      <c r="F471" s="12"/>
      <c r="G471" s="11"/>
      <c r="H471" s="12"/>
      <c r="I471" s="11"/>
      <c r="J471" s="12"/>
      <c r="K471" s="11"/>
      <c r="L471" s="12"/>
      <c r="M471" s="523"/>
    </row>
    <row r="472" spans="1:51" ht="30" customHeight="1">
      <c r="A472" s="1403" t="s">
        <v>4820</v>
      </c>
      <c r="B472" s="1403"/>
      <c r="C472" s="1403"/>
      <c r="D472" s="1403"/>
      <c r="E472" s="1404"/>
      <c r="F472" s="1405"/>
      <c r="G472" s="1404"/>
      <c r="H472" s="1405"/>
      <c r="I472" s="1404"/>
      <c r="J472" s="1405"/>
      <c r="K472" s="1404"/>
      <c r="L472" s="1405"/>
      <c r="M472" s="1403"/>
      <c r="N472" s="1" t="s">
        <v>354</v>
      </c>
    </row>
    <row r="473" spans="1:51" ht="30" customHeight="1">
      <c r="A473" s="8" t="s">
        <v>353</v>
      </c>
      <c r="B473" s="8"/>
      <c r="C473" s="8" t="s">
        <v>321</v>
      </c>
      <c r="D473" s="9">
        <v>1</v>
      </c>
      <c r="E473" s="11">
        <f>단가대비표!O441</f>
        <v>2366400</v>
      </c>
      <c r="F473" s="12">
        <f>TRUNC(E473*D473,1)</f>
        <v>2366400</v>
      </c>
      <c r="G473" s="11">
        <f>단가대비표!P441</f>
        <v>0</v>
      </c>
      <c r="H473" s="12">
        <f>TRUNC(G473*D473,1)</f>
        <v>0</v>
      </c>
      <c r="I473" s="11">
        <f>단가대비표!V441</f>
        <v>0</v>
      </c>
      <c r="J473" s="12">
        <f>TRUNC(I473*D473,1)</f>
        <v>0</v>
      </c>
      <c r="K473" s="11">
        <f>TRUNC(E473+G473+I473,1)</f>
        <v>2366400</v>
      </c>
      <c r="L473" s="12">
        <f>TRUNC(F473+H473+J473,1)</f>
        <v>2366400</v>
      </c>
      <c r="M473" s="522" t="s">
        <v>51</v>
      </c>
      <c r="N473" s="2" t="s">
        <v>354</v>
      </c>
      <c r="O473" s="2" t="s">
        <v>1496</v>
      </c>
      <c r="P473" s="2" t="s">
        <v>62</v>
      </c>
      <c r="Q473" s="2" t="s">
        <v>62</v>
      </c>
      <c r="R473" s="2" t="s">
        <v>61</v>
      </c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2" t="s">
        <v>51</v>
      </c>
      <c r="AW473" s="2" t="s">
        <v>1497</v>
      </c>
      <c r="AX473" s="2" t="s">
        <v>51</v>
      </c>
      <c r="AY473" s="2" t="s">
        <v>51</v>
      </c>
    </row>
    <row r="474" spans="1:51" ht="30" customHeight="1">
      <c r="A474" s="8" t="s">
        <v>1061</v>
      </c>
      <c r="B474" s="8" t="s">
        <v>353</v>
      </c>
      <c r="C474" s="8" t="s">
        <v>419</v>
      </c>
      <c r="D474" s="9">
        <v>1</v>
      </c>
      <c r="E474" s="11">
        <f>단가대비표!O585</f>
        <v>0</v>
      </c>
      <c r="F474" s="12">
        <f>TRUNC(E474*D474,1)</f>
        <v>0</v>
      </c>
      <c r="G474" s="11">
        <f>단가대비표!P585</f>
        <v>1166400</v>
      </c>
      <c r="H474" s="12">
        <f>TRUNC(G474*D474,1)</f>
        <v>1166400</v>
      </c>
      <c r="I474" s="11">
        <f>단가대비표!V585</f>
        <v>0</v>
      </c>
      <c r="J474" s="12">
        <f>TRUNC(I474*D474,1)</f>
        <v>0</v>
      </c>
      <c r="K474" s="11">
        <f>TRUNC(E474+G474+I474,1)</f>
        <v>1166400</v>
      </c>
      <c r="L474" s="12">
        <f>TRUNC(F474+H474+J474,1)</f>
        <v>1166400</v>
      </c>
      <c r="M474" s="522" t="s">
        <v>51</v>
      </c>
      <c r="N474" s="2" t="s">
        <v>354</v>
      </c>
      <c r="O474" s="2" t="s">
        <v>1498</v>
      </c>
      <c r="P474" s="2" t="s">
        <v>62</v>
      </c>
      <c r="Q474" s="2" t="s">
        <v>62</v>
      </c>
      <c r="R474" s="2" t="s">
        <v>61</v>
      </c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2" t="s">
        <v>51</v>
      </c>
      <c r="AW474" s="2" t="s">
        <v>1499</v>
      </c>
      <c r="AX474" s="2" t="s">
        <v>51</v>
      </c>
      <c r="AY474" s="2" t="s">
        <v>51</v>
      </c>
    </row>
    <row r="475" spans="1:51" ht="30" customHeight="1">
      <c r="A475" s="8" t="s">
        <v>950</v>
      </c>
      <c r="B475" s="8" t="s">
        <v>51</v>
      </c>
      <c r="C475" s="8" t="s">
        <v>51</v>
      </c>
      <c r="D475" s="9"/>
      <c r="E475" s="11"/>
      <c r="F475" s="12">
        <f>TRUNC(SUMIF(N473:N474, N472, F473:F474),0)</f>
        <v>2366400</v>
      </c>
      <c r="G475" s="11"/>
      <c r="H475" s="12">
        <f>TRUNC(SUMIF(N473:N474, N472, H473:H474),0)</f>
        <v>1166400</v>
      </c>
      <c r="I475" s="11"/>
      <c r="J475" s="12">
        <f>TRUNC(SUMIF(N473:N474, N472, J473:J474),0)</f>
        <v>0</v>
      </c>
      <c r="K475" s="11"/>
      <c r="L475" s="12">
        <f>F475+H475+J475</f>
        <v>3532800</v>
      </c>
      <c r="M475" s="522" t="s">
        <v>51</v>
      </c>
      <c r="N475" s="2" t="s">
        <v>86</v>
      </c>
      <c r="O475" s="2" t="s">
        <v>86</v>
      </c>
      <c r="P475" s="2" t="s">
        <v>51</v>
      </c>
      <c r="Q475" s="2" t="s">
        <v>51</v>
      </c>
      <c r="R475" s="2" t="s">
        <v>51</v>
      </c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2" t="s">
        <v>51</v>
      </c>
      <c r="AW475" s="2" t="s">
        <v>51</v>
      </c>
      <c r="AX475" s="2" t="s">
        <v>51</v>
      </c>
      <c r="AY475" s="2" t="s">
        <v>51</v>
      </c>
    </row>
    <row r="476" spans="1:51" ht="30" customHeight="1">
      <c r="A476" s="9"/>
      <c r="B476" s="9"/>
      <c r="C476" s="9"/>
      <c r="D476" s="9"/>
      <c r="E476" s="11"/>
      <c r="F476" s="12"/>
      <c r="G476" s="11"/>
      <c r="H476" s="12"/>
      <c r="I476" s="11"/>
      <c r="J476" s="12"/>
      <c r="K476" s="11"/>
      <c r="L476" s="12"/>
      <c r="M476" s="523"/>
    </row>
    <row r="477" spans="1:51" ht="30" customHeight="1">
      <c r="A477" s="1403" t="s">
        <v>4821</v>
      </c>
      <c r="B477" s="1403"/>
      <c r="C477" s="1403"/>
      <c r="D477" s="1403"/>
      <c r="E477" s="1404"/>
      <c r="F477" s="1405"/>
      <c r="G477" s="1404"/>
      <c r="H477" s="1405"/>
      <c r="I477" s="1404"/>
      <c r="J477" s="1405"/>
      <c r="K477" s="1404"/>
      <c r="L477" s="1405"/>
      <c r="M477" s="1403"/>
      <c r="N477" s="1" t="s">
        <v>357</v>
      </c>
    </row>
    <row r="478" spans="1:51" ht="30" customHeight="1">
      <c r="A478" s="8" t="s">
        <v>356</v>
      </c>
      <c r="B478" s="8"/>
      <c r="C478" s="8" t="s">
        <v>321</v>
      </c>
      <c r="D478" s="9">
        <v>1</v>
      </c>
      <c r="E478" s="11">
        <f>단가대비표!O441</f>
        <v>2366400</v>
      </c>
      <c r="F478" s="12">
        <f>TRUNC(E478*D478,1)</f>
        <v>2366400</v>
      </c>
      <c r="G478" s="11">
        <f>단가대비표!P441</f>
        <v>0</v>
      </c>
      <c r="H478" s="12">
        <f>TRUNC(G478*D478,1)</f>
        <v>0</v>
      </c>
      <c r="I478" s="11">
        <f>단가대비표!V441</f>
        <v>0</v>
      </c>
      <c r="J478" s="12">
        <f>TRUNC(I478*D478,1)</f>
        <v>0</v>
      </c>
      <c r="K478" s="11">
        <f>TRUNC(E478+G478+I478,1)</f>
        <v>2366400</v>
      </c>
      <c r="L478" s="12">
        <f>TRUNC(F478+H478+J478,1)</f>
        <v>2366400</v>
      </c>
      <c r="M478" s="522" t="s">
        <v>51</v>
      </c>
      <c r="N478" s="2" t="s">
        <v>357</v>
      </c>
      <c r="O478" s="2" t="s">
        <v>1501</v>
      </c>
      <c r="P478" s="2" t="s">
        <v>62</v>
      </c>
      <c r="Q478" s="2" t="s">
        <v>62</v>
      </c>
      <c r="R478" s="2" t="s">
        <v>61</v>
      </c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2" t="s">
        <v>51</v>
      </c>
      <c r="AW478" s="2" t="s">
        <v>1502</v>
      </c>
      <c r="AX478" s="2" t="s">
        <v>51</v>
      </c>
      <c r="AY478" s="2" t="s">
        <v>51</v>
      </c>
    </row>
    <row r="479" spans="1:51" ht="30" customHeight="1">
      <c r="A479" s="8" t="s">
        <v>1061</v>
      </c>
      <c r="B479" s="8" t="s">
        <v>356</v>
      </c>
      <c r="C479" s="8" t="s">
        <v>419</v>
      </c>
      <c r="D479" s="9">
        <v>1</v>
      </c>
      <c r="E479" s="11">
        <f>단가대비표!O587</f>
        <v>0</v>
      </c>
      <c r="F479" s="12">
        <f>TRUNC(E479*D479,1)</f>
        <v>0</v>
      </c>
      <c r="G479" s="11">
        <f>단가대비표!P587</f>
        <v>1555200</v>
      </c>
      <c r="H479" s="12">
        <f>TRUNC(G479*D479,1)</f>
        <v>1555200</v>
      </c>
      <c r="I479" s="11">
        <f>단가대비표!V587</f>
        <v>0</v>
      </c>
      <c r="J479" s="12">
        <f>TRUNC(I479*D479,1)</f>
        <v>0</v>
      </c>
      <c r="K479" s="11">
        <f>TRUNC(E479+G479+I479,1)</f>
        <v>1555200</v>
      </c>
      <c r="L479" s="12">
        <f>TRUNC(F479+H479+J479,1)</f>
        <v>1555200</v>
      </c>
      <c r="M479" s="522" t="s">
        <v>51</v>
      </c>
      <c r="N479" s="2" t="s">
        <v>357</v>
      </c>
      <c r="O479" s="2" t="s">
        <v>1503</v>
      </c>
      <c r="P479" s="2" t="s">
        <v>62</v>
      </c>
      <c r="Q479" s="2" t="s">
        <v>62</v>
      </c>
      <c r="R479" s="2" t="s">
        <v>61</v>
      </c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2" t="s">
        <v>51</v>
      </c>
      <c r="AW479" s="2" t="s">
        <v>1504</v>
      </c>
      <c r="AX479" s="2" t="s">
        <v>51</v>
      </c>
      <c r="AY479" s="2" t="s">
        <v>51</v>
      </c>
    </row>
    <row r="480" spans="1:51" ht="30" customHeight="1">
      <c r="A480" s="8" t="s">
        <v>950</v>
      </c>
      <c r="B480" s="8" t="s">
        <v>51</v>
      </c>
      <c r="C480" s="8" t="s">
        <v>51</v>
      </c>
      <c r="D480" s="9"/>
      <c r="E480" s="11"/>
      <c r="F480" s="12">
        <f>TRUNC(SUMIF(N478:N479, N477, F478:F479),0)</f>
        <v>2366400</v>
      </c>
      <c r="G480" s="11"/>
      <c r="H480" s="12">
        <f>TRUNC(SUMIF(N478:N479, N477, H478:H479),0)</f>
        <v>1555200</v>
      </c>
      <c r="I480" s="11"/>
      <c r="J480" s="12">
        <f>TRUNC(SUMIF(N478:N479, N477, J478:J479),0)</f>
        <v>0</v>
      </c>
      <c r="K480" s="11"/>
      <c r="L480" s="12">
        <f>F480+H480+J480</f>
        <v>3921600</v>
      </c>
      <c r="M480" s="522" t="s">
        <v>51</v>
      </c>
      <c r="N480" s="2" t="s">
        <v>86</v>
      </c>
      <c r="O480" s="2" t="s">
        <v>86</v>
      </c>
      <c r="P480" s="2" t="s">
        <v>51</v>
      </c>
      <c r="Q480" s="2" t="s">
        <v>51</v>
      </c>
      <c r="R480" s="2" t="s">
        <v>51</v>
      </c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2" t="s">
        <v>51</v>
      </c>
      <c r="AW480" s="2" t="s">
        <v>51</v>
      </c>
      <c r="AX480" s="2" t="s">
        <v>51</v>
      </c>
      <c r="AY480" s="2" t="s">
        <v>51</v>
      </c>
    </row>
    <row r="481" spans="1:51" ht="30" customHeight="1">
      <c r="A481" s="9"/>
      <c r="B481" s="9"/>
      <c r="C481" s="9"/>
      <c r="D481" s="9"/>
      <c r="E481" s="11"/>
      <c r="F481" s="12"/>
      <c r="G481" s="11"/>
      <c r="H481" s="12"/>
      <c r="I481" s="11"/>
      <c r="J481" s="12"/>
      <c r="K481" s="11"/>
      <c r="L481" s="12"/>
      <c r="M481" s="523"/>
    </row>
    <row r="482" spans="1:51" ht="30" customHeight="1">
      <c r="A482" s="1403" t="s">
        <v>4822</v>
      </c>
      <c r="B482" s="1403"/>
      <c r="C482" s="1403"/>
      <c r="D482" s="1403"/>
      <c r="E482" s="1404"/>
      <c r="F482" s="1405"/>
      <c r="G482" s="1404"/>
      <c r="H482" s="1405"/>
      <c r="I482" s="1404"/>
      <c r="J482" s="1405"/>
      <c r="K482" s="1404"/>
      <c r="L482" s="1405"/>
      <c r="M482" s="1403"/>
      <c r="N482" s="1" t="s">
        <v>360</v>
      </c>
    </row>
    <row r="483" spans="1:51" ht="30" customHeight="1">
      <c r="A483" s="8" t="s">
        <v>359</v>
      </c>
      <c r="B483" s="8"/>
      <c r="C483" s="8" t="s">
        <v>321</v>
      </c>
      <c r="D483" s="9">
        <v>1</v>
      </c>
      <c r="E483" s="11">
        <f>단가대비표!O442</f>
        <v>5875200</v>
      </c>
      <c r="F483" s="12">
        <f>TRUNC(E483*D483,1)</f>
        <v>5875200</v>
      </c>
      <c r="G483" s="11">
        <f>단가대비표!P442</f>
        <v>0</v>
      </c>
      <c r="H483" s="12">
        <f>TRUNC(G483*D483,1)</f>
        <v>0</v>
      </c>
      <c r="I483" s="11">
        <f>단가대비표!V442</f>
        <v>0</v>
      </c>
      <c r="J483" s="12">
        <f>TRUNC(I483*D483,1)</f>
        <v>0</v>
      </c>
      <c r="K483" s="11">
        <f>TRUNC(E483+G483+I483,1)</f>
        <v>5875200</v>
      </c>
      <c r="L483" s="12">
        <f>TRUNC(F483+H483+J483,1)</f>
        <v>5875200</v>
      </c>
      <c r="M483" s="522" t="s">
        <v>51</v>
      </c>
      <c r="N483" s="2" t="s">
        <v>360</v>
      </c>
      <c r="O483" s="2" t="s">
        <v>1506</v>
      </c>
      <c r="P483" s="2" t="s">
        <v>62</v>
      </c>
      <c r="Q483" s="2" t="s">
        <v>62</v>
      </c>
      <c r="R483" s="2" t="s">
        <v>61</v>
      </c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2" t="s">
        <v>51</v>
      </c>
      <c r="AW483" s="2" t="s">
        <v>1507</v>
      </c>
      <c r="AX483" s="2" t="s">
        <v>51</v>
      </c>
      <c r="AY483" s="2" t="s">
        <v>51</v>
      </c>
    </row>
    <row r="484" spans="1:51" ht="30" customHeight="1">
      <c r="A484" s="8" t="s">
        <v>1061</v>
      </c>
      <c r="B484" s="8" t="s">
        <v>359</v>
      </c>
      <c r="C484" s="8" t="s">
        <v>419</v>
      </c>
      <c r="D484" s="9">
        <v>1</v>
      </c>
      <c r="E484" s="11">
        <f>단가대비표!O588</f>
        <v>0</v>
      </c>
      <c r="F484" s="12">
        <f>TRUNC(E484*D484,1)</f>
        <v>0</v>
      </c>
      <c r="G484" s="11">
        <f>단가대비표!P588</f>
        <v>1832500</v>
      </c>
      <c r="H484" s="12">
        <f>TRUNC(G484*D484,1)</f>
        <v>1832500</v>
      </c>
      <c r="I484" s="11">
        <f>단가대비표!V588</f>
        <v>0</v>
      </c>
      <c r="J484" s="12">
        <f>TRUNC(I484*D484,1)</f>
        <v>0</v>
      </c>
      <c r="K484" s="11">
        <f>TRUNC(E484+G484+I484,1)</f>
        <v>1832500</v>
      </c>
      <c r="L484" s="12">
        <f>TRUNC(F484+H484+J484,1)</f>
        <v>1832500</v>
      </c>
      <c r="M484" s="522" t="s">
        <v>51</v>
      </c>
      <c r="N484" s="2" t="s">
        <v>360</v>
      </c>
      <c r="O484" s="2" t="s">
        <v>1508</v>
      </c>
      <c r="P484" s="2" t="s">
        <v>62</v>
      </c>
      <c r="Q484" s="2" t="s">
        <v>62</v>
      </c>
      <c r="R484" s="2" t="s">
        <v>61</v>
      </c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2" t="s">
        <v>51</v>
      </c>
      <c r="AW484" s="2" t="s">
        <v>1509</v>
      </c>
      <c r="AX484" s="2" t="s">
        <v>51</v>
      </c>
      <c r="AY484" s="2" t="s">
        <v>51</v>
      </c>
    </row>
    <row r="485" spans="1:51" ht="30" customHeight="1">
      <c r="A485" s="8" t="s">
        <v>950</v>
      </c>
      <c r="B485" s="8" t="s">
        <v>51</v>
      </c>
      <c r="C485" s="8" t="s">
        <v>51</v>
      </c>
      <c r="D485" s="9"/>
      <c r="E485" s="11"/>
      <c r="F485" s="12">
        <f>TRUNC(SUMIF(N483:N484, N482, F483:F484),0)</f>
        <v>5875200</v>
      </c>
      <c r="G485" s="11"/>
      <c r="H485" s="12">
        <f>TRUNC(SUMIF(N483:N484, N482, H483:H484),0)</f>
        <v>1832500</v>
      </c>
      <c r="I485" s="11"/>
      <c r="J485" s="12">
        <f>TRUNC(SUMIF(N483:N484, N482, J483:J484),0)</f>
        <v>0</v>
      </c>
      <c r="K485" s="11"/>
      <c r="L485" s="12">
        <f>F485+H485+J485</f>
        <v>7707700</v>
      </c>
      <c r="M485" s="522" t="s">
        <v>51</v>
      </c>
      <c r="N485" s="2" t="s">
        <v>86</v>
      </c>
      <c r="O485" s="2" t="s">
        <v>86</v>
      </c>
      <c r="P485" s="2" t="s">
        <v>51</v>
      </c>
      <c r="Q485" s="2" t="s">
        <v>51</v>
      </c>
      <c r="R485" s="2" t="s">
        <v>51</v>
      </c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2" t="s">
        <v>51</v>
      </c>
      <c r="AW485" s="2" t="s">
        <v>51</v>
      </c>
      <c r="AX485" s="2" t="s">
        <v>51</v>
      </c>
      <c r="AY485" s="2" t="s">
        <v>51</v>
      </c>
    </row>
    <row r="486" spans="1:51" ht="30" customHeight="1">
      <c r="A486" s="9"/>
      <c r="B486" s="9"/>
      <c r="C486" s="9"/>
      <c r="D486" s="9"/>
      <c r="E486" s="11"/>
      <c r="F486" s="12"/>
      <c r="G486" s="11"/>
      <c r="H486" s="12"/>
      <c r="I486" s="11"/>
      <c r="J486" s="12"/>
      <c r="K486" s="11"/>
      <c r="L486" s="12"/>
      <c r="M486" s="523"/>
    </row>
    <row r="487" spans="1:51" ht="30" customHeight="1">
      <c r="A487" s="1403" t="s">
        <v>4823</v>
      </c>
      <c r="B487" s="1403"/>
      <c r="C487" s="1403"/>
      <c r="D487" s="1403"/>
      <c r="E487" s="1404"/>
      <c r="F487" s="1405"/>
      <c r="G487" s="1404"/>
      <c r="H487" s="1405"/>
      <c r="I487" s="1404"/>
      <c r="J487" s="1405"/>
      <c r="K487" s="1404"/>
      <c r="L487" s="1405"/>
      <c r="M487" s="1403"/>
      <c r="N487" s="1" t="s">
        <v>364</v>
      </c>
    </row>
    <row r="488" spans="1:51" ht="30" customHeight="1">
      <c r="A488" s="8" t="s">
        <v>362</v>
      </c>
      <c r="B488" s="8"/>
      <c r="C488" s="8" t="s">
        <v>321</v>
      </c>
      <c r="D488" s="9">
        <v>1</v>
      </c>
      <c r="E488" s="11">
        <f>단가대비표!O443</f>
        <v>153000</v>
      </c>
      <c r="F488" s="12">
        <f>TRUNC(E488*D488,1)</f>
        <v>153000</v>
      </c>
      <c r="G488" s="11">
        <f>단가대비표!P443</f>
        <v>0</v>
      </c>
      <c r="H488" s="12">
        <f>TRUNC(G488*D488,1)</f>
        <v>0</v>
      </c>
      <c r="I488" s="11">
        <f>단가대비표!V443</f>
        <v>0</v>
      </c>
      <c r="J488" s="12">
        <f>TRUNC(I488*D488,1)</f>
        <v>0</v>
      </c>
      <c r="K488" s="11">
        <f>TRUNC(E488+G488+I488,1)</f>
        <v>153000</v>
      </c>
      <c r="L488" s="12">
        <f>TRUNC(F488+H488+J488,1)</f>
        <v>153000</v>
      </c>
      <c r="M488" s="522" t="s">
        <v>51</v>
      </c>
      <c r="N488" s="2" t="s">
        <v>364</v>
      </c>
      <c r="O488" s="2" t="s">
        <v>1511</v>
      </c>
      <c r="P488" s="2" t="s">
        <v>62</v>
      </c>
      <c r="Q488" s="2" t="s">
        <v>62</v>
      </c>
      <c r="R488" s="2" t="s">
        <v>61</v>
      </c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2" t="s">
        <v>51</v>
      </c>
      <c r="AW488" s="2" t="s">
        <v>1512</v>
      </c>
      <c r="AX488" s="2" t="s">
        <v>51</v>
      </c>
      <c r="AY488" s="2" t="s">
        <v>51</v>
      </c>
    </row>
    <row r="489" spans="1:51" ht="30" customHeight="1">
      <c r="A489" s="8" t="s">
        <v>1061</v>
      </c>
      <c r="B489" s="8" t="s">
        <v>362</v>
      </c>
      <c r="C489" s="8" t="s">
        <v>419</v>
      </c>
      <c r="D489" s="9">
        <v>1</v>
      </c>
      <c r="E489" s="11">
        <f>단가대비표!O589</f>
        <v>0</v>
      </c>
      <c r="F489" s="12">
        <f>TRUNC(E489*D489,1)</f>
        <v>0</v>
      </c>
      <c r="G489" s="11">
        <f>단가대비표!P589</f>
        <v>162000</v>
      </c>
      <c r="H489" s="12">
        <f>TRUNC(G489*D489,1)</f>
        <v>162000</v>
      </c>
      <c r="I489" s="11">
        <f>단가대비표!V589</f>
        <v>0</v>
      </c>
      <c r="J489" s="12">
        <f>TRUNC(I489*D489,1)</f>
        <v>0</v>
      </c>
      <c r="K489" s="11">
        <f>TRUNC(E489+G489+I489,1)</f>
        <v>162000</v>
      </c>
      <c r="L489" s="12">
        <f>TRUNC(F489+H489+J489,1)</f>
        <v>162000</v>
      </c>
      <c r="M489" s="522" t="s">
        <v>51</v>
      </c>
      <c r="N489" s="2" t="s">
        <v>364</v>
      </c>
      <c r="O489" s="2" t="s">
        <v>1513</v>
      </c>
      <c r="P489" s="2" t="s">
        <v>62</v>
      </c>
      <c r="Q489" s="2" t="s">
        <v>62</v>
      </c>
      <c r="R489" s="2" t="s">
        <v>61</v>
      </c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2" t="s">
        <v>51</v>
      </c>
      <c r="AW489" s="2" t="s">
        <v>1514</v>
      </c>
      <c r="AX489" s="2" t="s">
        <v>51</v>
      </c>
      <c r="AY489" s="2" t="s">
        <v>51</v>
      </c>
    </row>
    <row r="490" spans="1:51" ht="30" customHeight="1">
      <c r="A490" s="8" t="s">
        <v>950</v>
      </c>
      <c r="B490" s="8" t="s">
        <v>51</v>
      </c>
      <c r="C490" s="8" t="s">
        <v>51</v>
      </c>
      <c r="D490" s="9"/>
      <c r="E490" s="11"/>
      <c r="F490" s="12">
        <f>TRUNC(SUMIF(N488:N489, N487, F488:F489),0)</f>
        <v>153000</v>
      </c>
      <c r="G490" s="11"/>
      <c r="H490" s="12">
        <f>TRUNC(SUMIF(N488:N489, N487, H488:H489),0)</f>
        <v>162000</v>
      </c>
      <c r="I490" s="11"/>
      <c r="J490" s="12">
        <f>TRUNC(SUMIF(N488:N489, N487, J488:J489),0)</f>
        <v>0</v>
      </c>
      <c r="K490" s="11"/>
      <c r="L490" s="12">
        <f>F490+H490+J490</f>
        <v>315000</v>
      </c>
      <c r="M490" s="522" t="s">
        <v>51</v>
      </c>
      <c r="N490" s="2" t="s">
        <v>86</v>
      </c>
      <c r="O490" s="2" t="s">
        <v>86</v>
      </c>
      <c r="P490" s="2" t="s">
        <v>51</v>
      </c>
      <c r="Q490" s="2" t="s">
        <v>51</v>
      </c>
      <c r="R490" s="2" t="s">
        <v>51</v>
      </c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2" t="s">
        <v>51</v>
      </c>
      <c r="AW490" s="2" t="s">
        <v>51</v>
      </c>
      <c r="AX490" s="2" t="s">
        <v>51</v>
      </c>
      <c r="AY490" s="2" t="s">
        <v>51</v>
      </c>
    </row>
    <row r="491" spans="1:51" ht="30" customHeight="1">
      <c r="A491" s="9"/>
      <c r="B491" s="9"/>
      <c r="C491" s="9"/>
      <c r="D491" s="9"/>
      <c r="E491" s="11"/>
      <c r="F491" s="12"/>
      <c r="G491" s="11"/>
      <c r="H491" s="12"/>
      <c r="I491" s="11"/>
      <c r="J491" s="12"/>
      <c r="K491" s="11"/>
      <c r="L491" s="12"/>
      <c r="M491" s="523"/>
    </row>
    <row r="492" spans="1:51" ht="30" customHeight="1">
      <c r="A492" s="1403" t="s">
        <v>4824</v>
      </c>
      <c r="B492" s="1403"/>
      <c r="C492" s="1403"/>
      <c r="D492" s="1403"/>
      <c r="E492" s="1404"/>
      <c r="F492" s="1405"/>
      <c r="G492" s="1404"/>
      <c r="H492" s="1405"/>
      <c r="I492" s="1404"/>
      <c r="J492" s="1405"/>
      <c r="K492" s="1404"/>
      <c r="L492" s="1405"/>
      <c r="M492" s="1403"/>
      <c r="N492" s="1" t="s">
        <v>368</v>
      </c>
    </row>
    <row r="493" spans="1:51" ht="30" customHeight="1">
      <c r="A493" s="8" t="s">
        <v>366</v>
      </c>
      <c r="B493" s="8"/>
      <c r="C493" s="8" t="s">
        <v>321</v>
      </c>
      <c r="D493" s="9">
        <v>1</v>
      </c>
      <c r="E493" s="11">
        <f>단가대비표!O438</f>
        <v>2692800</v>
      </c>
      <c r="F493" s="12">
        <f>TRUNC(E493*D493,1)</f>
        <v>2692800</v>
      </c>
      <c r="G493" s="11">
        <f>단가대비표!P438</f>
        <v>0</v>
      </c>
      <c r="H493" s="12">
        <f>TRUNC(G493*D493,1)</f>
        <v>0</v>
      </c>
      <c r="I493" s="11">
        <f>단가대비표!V438</f>
        <v>0</v>
      </c>
      <c r="J493" s="12">
        <f>TRUNC(I493*D493,1)</f>
        <v>0</v>
      </c>
      <c r="K493" s="11">
        <f>TRUNC(E493+G493+I493,1)</f>
        <v>2692800</v>
      </c>
      <c r="L493" s="12">
        <f>TRUNC(F493+H493+J493,1)</f>
        <v>2692800</v>
      </c>
      <c r="M493" s="522" t="s">
        <v>51</v>
      </c>
      <c r="N493" s="2" t="s">
        <v>368</v>
      </c>
      <c r="O493" s="2" t="s">
        <v>1516</v>
      </c>
      <c r="P493" s="2" t="s">
        <v>62</v>
      </c>
      <c r="Q493" s="2" t="s">
        <v>62</v>
      </c>
      <c r="R493" s="2" t="s">
        <v>61</v>
      </c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2" t="s">
        <v>51</v>
      </c>
      <c r="AW493" s="2" t="s">
        <v>1517</v>
      </c>
      <c r="AX493" s="2" t="s">
        <v>51</v>
      </c>
      <c r="AY493" s="2" t="s">
        <v>51</v>
      </c>
    </row>
    <row r="494" spans="1:51" ht="30" customHeight="1">
      <c r="A494" s="8" t="s">
        <v>1061</v>
      </c>
      <c r="B494" s="8" t="s">
        <v>366</v>
      </c>
      <c r="C494" s="8" t="s">
        <v>419</v>
      </c>
      <c r="D494" s="9">
        <v>1</v>
      </c>
      <c r="E494" s="11">
        <f>단가대비표!O583</f>
        <v>0</v>
      </c>
      <c r="F494" s="12">
        <f>TRUNC(E494*D494,1)</f>
        <v>0</v>
      </c>
      <c r="G494" s="11">
        <f>단가대비표!P583</f>
        <v>1609200</v>
      </c>
      <c r="H494" s="12">
        <f>TRUNC(G494*D494,1)</f>
        <v>1609200</v>
      </c>
      <c r="I494" s="11">
        <f>단가대비표!V583</f>
        <v>0</v>
      </c>
      <c r="J494" s="12">
        <f>TRUNC(I494*D494,1)</f>
        <v>0</v>
      </c>
      <c r="K494" s="11">
        <f>TRUNC(E494+G494+I494,1)</f>
        <v>1609200</v>
      </c>
      <c r="L494" s="12">
        <f>TRUNC(F494+H494+J494,1)</f>
        <v>1609200</v>
      </c>
      <c r="M494" s="522" t="s">
        <v>51</v>
      </c>
      <c r="N494" s="2" t="s">
        <v>368</v>
      </c>
      <c r="O494" s="2" t="s">
        <v>1518</v>
      </c>
      <c r="P494" s="2" t="s">
        <v>62</v>
      </c>
      <c r="Q494" s="2" t="s">
        <v>62</v>
      </c>
      <c r="R494" s="2" t="s">
        <v>61</v>
      </c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2" t="s">
        <v>51</v>
      </c>
      <c r="AW494" s="2" t="s">
        <v>1519</v>
      </c>
      <c r="AX494" s="2" t="s">
        <v>51</v>
      </c>
      <c r="AY494" s="2" t="s">
        <v>51</v>
      </c>
    </row>
    <row r="495" spans="1:51" ht="30" customHeight="1">
      <c r="A495" s="8" t="s">
        <v>950</v>
      </c>
      <c r="B495" s="8" t="s">
        <v>51</v>
      </c>
      <c r="C495" s="8" t="s">
        <v>51</v>
      </c>
      <c r="D495" s="9"/>
      <c r="E495" s="11"/>
      <c r="F495" s="12">
        <f>TRUNC(SUMIF(N493:N494, N492, F493:F494),0)</f>
        <v>2692800</v>
      </c>
      <c r="G495" s="11"/>
      <c r="H495" s="12">
        <f>TRUNC(SUMIF(N493:N494, N492, H493:H494),0)</f>
        <v>1609200</v>
      </c>
      <c r="I495" s="11"/>
      <c r="J495" s="12">
        <f>TRUNC(SUMIF(N493:N494, N492, J493:J494),0)</f>
        <v>0</v>
      </c>
      <c r="K495" s="11"/>
      <c r="L495" s="12">
        <f>F495+H495+J495</f>
        <v>4302000</v>
      </c>
      <c r="M495" s="522" t="s">
        <v>51</v>
      </c>
      <c r="N495" s="2" t="s">
        <v>86</v>
      </c>
      <c r="O495" s="2" t="s">
        <v>86</v>
      </c>
      <c r="P495" s="2" t="s">
        <v>51</v>
      </c>
      <c r="Q495" s="2" t="s">
        <v>51</v>
      </c>
      <c r="R495" s="2" t="s">
        <v>51</v>
      </c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2" t="s">
        <v>51</v>
      </c>
      <c r="AW495" s="2" t="s">
        <v>51</v>
      </c>
      <c r="AX495" s="2" t="s">
        <v>51</v>
      </c>
      <c r="AY495" s="2" t="s">
        <v>51</v>
      </c>
    </row>
    <row r="496" spans="1:51" ht="30" customHeight="1">
      <c r="A496" s="9"/>
      <c r="B496" s="9"/>
      <c r="C496" s="9"/>
      <c r="D496" s="9"/>
      <c r="E496" s="11"/>
      <c r="F496" s="12"/>
      <c r="G496" s="11"/>
      <c r="H496" s="12"/>
      <c r="I496" s="11"/>
      <c r="J496" s="12"/>
      <c r="K496" s="11"/>
      <c r="L496" s="12"/>
      <c r="M496" s="523"/>
    </row>
    <row r="497" spans="1:51" ht="30" customHeight="1">
      <c r="A497" s="1403" t="s">
        <v>4524</v>
      </c>
      <c r="B497" s="1403"/>
      <c r="C497" s="1403"/>
      <c r="D497" s="1403"/>
      <c r="E497" s="1404"/>
      <c r="F497" s="1405"/>
      <c r="G497" s="1404"/>
      <c r="H497" s="1405"/>
      <c r="I497" s="1404"/>
      <c r="J497" s="1405"/>
      <c r="K497" s="1404"/>
      <c r="L497" s="1405"/>
      <c r="M497" s="1403"/>
      <c r="N497" s="1" t="s">
        <v>392</v>
      </c>
    </row>
    <row r="498" spans="1:51" ht="30" customHeight="1">
      <c r="A498" s="8" t="s">
        <v>1521</v>
      </c>
      <c r="B498" s="8" t="s">
        <v>1522</v>
      </c>
      <c r="C498" s="8" t="s">
        <v>1230</v>
      </c>
      <c r="D498" s="9">
        <v>0.12</v>
      </c>
      <c r="E498" s="11">
        <f>단가대비표!O513</f>
        <v>15694</v>
      </c>
      <c r="F498" s="12">
        <f>TRUNC(E498*D498,1)</f>
        <v>1883.2</v>
      </c>
      <c r="G498" s="11">
        <f>단가대비표!P513</f>
        <v>0</v>
      </c>
      <c r="H498" s="12">
        <f>TRUNC(G498*D498,1)</f>
        <v>0</v>
      </c>
      <c r="I498" s="11">
        <f>단가대비표!V513</f>
        <v>0</v>
      </c>
      <c r="J498" s="12">
        <f>TRUNC(I498*D498,1)</f>
        <v>0</v>
      </c>
      <c r="K498" s="11">
        <f>TRUNC(E498+G498+I498,1)</f>
        <v>15694</v>
      </c>
      <c r="L498" s="12">
        <f>TRUNC(F498+H498+J498,1)</f>
        <v>1883.2</v>
      </c>
      <c r="M498" s="522" t="s">
        <v>51</v>
      </c>
      <c r="N498" s="2" t="s">
        <v>392</v>
      </c>
      <c r="O498" s="2" t="s">
        <v>1523</v>
      </c>
      <c r="P498" s="2" t="s">
        <v>62</v>
      </c>
      <c r="Q498" s="2" t="s">
        <v>62</v>
      </c>
      <c r="R498" s="2" t="s">
        <v>61</v>
      </c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2" t="s">
        <v>51</v>
      </c>
      <c r="AW498" s="2" t="s">
        <v>1524</v>
      </c>
      <c r="AX498" s="2" t="s">
        <v>51</v>
      </c>
      <c r="AY498" s="2" t="s">
        <v>51</v>
      </c>
    </row>
    <row r="499" spans="1:51" ht="30" customHeight="1">
      <c r="A499" s="8" t="s">
        <v>1525</v>
      </c>
      <c r="B499" s="8" t="s">
        <v>1526</v>
      </c>
      <c r="C499" s="8" t="s">
        <v>204</v>
      </c>
      <c r="D499" s="9">
        <v>1</v>
      </c>
      <c r="E499" s="11">
        <f>일위대가목록!F117</f>
        <v>0</v>
      </c>
      <c r="F499" s="12">
        <f>TRUNC(E499*D499,1)</f>
        <v>0</v>
      </c>
      <c r="G499" s="11">
        <f>일위대가목록!H117</f>
        <v>4417</v>
      </c>
      <c r="H499" s="12">
        <f>TRUNC(G499*D499,1)</f>
        <v>4417</v>
      </c>
      <c r="I499" s="11">
        <f>일위대가목록!J117</f>
        <v>0</v>
      </c>
      <c r="J499" s="12">
        <f>TRUNC(I499*D499,1)</f>
        <v>0</v>
      </c>
      <c r="K499" s="11">
        <f>TRUNC(E499+G499+I499,1)</f>
        <v>4417</v>
      </c>
      <c r="L499" s="12">
        <f>TRUNC(F499+H499+J499,1)</f>
        <v>4417</v>
      </c>
      <c r="M499" s="522" t="s">
        <v>1835</v>
      </c>
      <c r="N499" s="2" t="s">
        <v>392</v>
      </c>
      <c r="O499" s="2" t="s">
        <v>1527</v>
      </c>
      <c r="P499" s="2" t="s">
        <v>61</v>
      </c>
      <c r="Q499" s="2" t="s">
        <v>62</v>
      </c>
      <c r="R499" s="2" t="s">
        <v>62</v>
      </c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2" t="s">
        <v>51</v>
      </c>
      <c r="AW499" s="2" t="s">
        <v>1528</v>
      </c>
      <c r="AX499" s="2" t="s">
        <v>51</v>
      </c>
      <c r="AY499" s="2" t="s">
        <v>51</v>
      </c>
    </row>
    <row r="500" spans="1:51" ht="30" customHeight="1">
      <c r="A500" s="8" t="s">
        <v>950</v>
      </c>
      <c r="B500" s="8" t="s">
        <v>51</v>
      </c>
      <c r="C500" s="8" t="s">
        <v>51</v>
      </c>
      <c r="D500" s="9"/>
      <c r="E500" s="11"/>
      <c r="F500" s="12">
        <f>TRUNC(SUMIF(N498:N499, N497, F498:F499),0)</f>
        <v>1883</v>
      </c>
      <c r="G500" s="11"/>
      <c r="H500" s="12">
        <f>TRUNC(SUMIF(N498:N499, N497, H498:H499),0)</f>
        <v>4417</v>
      </c>
      <c r="I500" s="11"/>
      <c r="J500" s="12">
        <f>TRUNC(SUMIF(N498:N499, N497, J498:J499),0)</f>
        <v>0</v>
      </c>
      <c r="K500" s="11"/>
      <c r="L500" s="12">
        <f>F500+H500+J500</f>
        <v>6300</v>
      </c>
      <c r="M500" s="522" t="s">
        <v>51</v>
      </c>
      <c r="N500" s="2" t="s">
        <v>86</v>
      </c>
      <c r="O500" s="2" t="s">
        <v>86</v>
      </c>
      <c r="P500" s="2" t="s">
        <v>51</v>
      </c>
      <c r="Q500" s="2" t="s">
        <v>51</v>
      </c>
      <c r="R500" s="2" t="s">
        <v>51</v>
      </c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2" t="s">
        <v>51</v>
      </c>
      <c r="AW500" s="2" t="s">
        <v>51</v>
      </c>
      <c r="AX500" s="2" t="s">
        <v>51</v>
      </c>
      <c r="AY500" s="2" t="s">
        <v>51</v>
      </c>
    </row>
    <row r="501" spans="1:51" ht="30" customHeight="1">
      <c r="A501" s="9"/>
      <c r="B501" s="9"/>
      <c r="C501" s="9"/>
      <c r="D501" s="9"/>
      <c r="E501" s="11"/>
      <c r="F501" s="12"/>
      <c r="G501" s="11"/>
      <c r="H501" s="12"/>
      <c r="I501" s="11"/>
      <c r="J501" s="12"/>
      <c r="K501" s="11"/>
      <c r="L501" s="12"/>
      <c r="M501" s="523"/>
    </row>
    <row r="502" spans="1:51" ht="30" customHeight="1">
      <c r="A502" s="1403" t="s">
        <v>4525</v>
      </c>
      <c r="B502" s="1403"/>
      <c r="C502" s="1403"/>
      <c r="D502" s="1403"/>
      <c r="E502" s="1404"/>
      <c r="F502" s="1405"/>
      <c r="G502" s="1404"/>
      <c r="H502" s="1405"/>
      <c r="I502" s="1404"/>
      <c r="J502" s="1405"/>
      <c r="K502" s="1404"/>
      <c r="L502" s="1405"/>
      <c r="M502" s="1403"/>
      <c r="N502" s="1" t="s">
        <v>490</v>
      </c>
    </row>
    <row r="503" spans="1:51" ht="30" customHeight="1">
      <c r="A503" s="8" t="s">
        <v>1039</v>
      </c>
      <c r="B503" s="8" t="s">
        <v>418</v>
      </c>
      <c r="C503" s="8" t="s">
        <v>419</v>
      </c>
      <c r="D503" s="9">
        <v>1</v>
      </c>
      <c r="E503" s="11">
        <f>단가대비표!O572</f>
        <v>0</v>
      </c>
      <c r="F503" s="12">
        <f>TRUNC(E503*D503,1)</f>
        <v>0</v>
      </c>
      <c r="G503" s="11">
        <f>단가대비표!P572</f>
        <v>192305</v>
      </c>
      <c r="H503" s="12">
        <f>TRUNC(G503*D503,1)</f>
        <v>192305</v>
      </c>
      <c r="I503" s="11">
        <f>단가대비표!V572</f>
        <v>0</v>
      </c>
      <c r="J503" s="12">
        <f>TRUNC(I503*D503,1)</f>
        <v>0</v>
      </c>
      <c r="K503" s="11">
        <f>TRUNC(E503+G503+I503,1)</f>
        <v>192305</v>
      </c>
      <c r="L503" s="12">
        <f>TRUNC(F503+H503+J503,1)</f>
        <v>192305</v>
      </c>
      <c r="M503" s="522" t="s">
        <v>51</v>
      </c>
      <c r="N503" s="2" t="s">
        <v>490</v>
      </c>
      <c r="O503" s="2" t="s">
        <v>1040</v>
      </c>
      <c r="P503" s="2" t="s">
        <v>62</v>
      </c>
      <c r="Q503" s="2" t="s">
        <v>62</v>
      </c>
      <c r="R503" s="2" t="s">
        <v>61</v>
      </c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2" t="s">
        <v>51</v>
      </c>
      <c r="AW503" s="2" t="s">
        <v>1530</v>
      </c>
      <c r="AX503" s="2" t="s">
        <v>51</v>
      </c>
      <c r="AY503" s="2" t="s">
        <v>51</v>
      </c>
    </row>
    <row r="504" spans="1:51" ht="30" customHeight="1">
      <c r="A504" s="8" t="s">
        <v>950</v>
      </c>
      <c r="B504" s="8" t="s">
        <v>51</v>
      </c>
      <c r="C504" s="8" t="s">
        <v>51</v>
      </c>
      <c r="D504" s="9"/>
      <c r="E504" s="11"/>
      <c r="F504" s="12">
        <f>TRUNC(SUMIF(N503:N503, N502, F503:F503),0)</f>
        <v>0</v>
      </c>
      <c r="G504" s="11"/>
      <c r="H504" s="12">
        <f>TRUNC(SUMIF(N503:N503, N502, H503:H503),0)</f>
        <v>192305</v>
      </c>
      <c r="I504" s="11"/>
      <c r="J504" s="12">
        <f>TRUNC(SUMIF(N503:N503, N502, J503:J503),0)</f>
        <v>0</v>
      </c>
      <c r="K504" s="11"/>
      <c r="L504" s="12">
        <f>F504+H504+J504</f>
        <v>192305</v>
      </c>
      <c r="M504" s="522" t="s">
        <v>51</v>
      </c>
      <c r="N504" s="2" t="s">
        <v>86</v>
      </c>
      <c r="O504" s="2" t="s">
        <v>86</v>
      </c>
      <c r="P504" s="2" t="s">
        <v>51</v>
      </c>
      <c r="Q504" s="2" t="s">
        <v>51</v>
      </c>
      <c r="R504" s="2" t="s">
        <v>51</v>
      </c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2" t="s">
        <v>51</v>
      </c>
      <c r="AW504" s="2" t="s">
        <v>51</v>
      </c>
      <c r="AX504" s="2" t="s">
        <v>51</v>
      </c>
      <c r="AY504" s="2" t="s">
        <v>51</v>
      </c>
    </row>
    <row r="505" spans="1:51" ht="30" customHeight="1">
      <c r="A505" s="9"/>
      <c r="B505" s="9"/>
      <c r="C505" s="9"/>
      <c r="D505" s="9"/>
      <c r="E505" s="11"/>
      <c r="F505" s="12"/>
      <c r="G505" s="11"/>
      <c r="H505" s="12"/>
      <c r="I505" s="11"/>
      <c r="J505" s="12"/>
      <c r="K505" s="11"/>
      <c r="L505" s="12"/>
      <c r="M505" s="523"/>
    </row>
    <row r="506" spans="1:51" ht="30" customHeight="1">
      <c r="A506" s="1403" t="s">
        <v>4526</v>
      </c>
      <c r="B506" s="1403"/>
      <c r="C506" s="1403"/>
      <c r="D506" s="1403"/>
      <c r="E506" s="1404"/>
      <c r="F506" s="1405"/>
      <c r="G506" s="1404"/>
      <c r="H506" s="1405"/>
      <c r="I506" s="1404"/>
      <c r="J506" s="1405"/>
      <c r="K506" s="1404"/>
      <c r="L506" s="1405"/>
      <c r="M506" s="1403"/>
      <c r="N506" s="1" t="s">
        <v>492</v>
      </c>
    </row>
    <row r="507" spans="1:51" ht="30" customHeight="1">
      <c r="A507" s="8" t="s">
        <v>946</v>
      </c>
      <c r="B507" s="8" t="s">
        <v>947</v>
      </c>
      <c r="C507" s="8" t="s">
        <v>419</v>
      </c>
      <c r="D507" s="9">
        <v>0.1</v>
      </c>
      <c r="E507" s="11">
        <f>단가대비표!O568</f>
        <v>0</v>
      </c>
      <c r="F507" s="12">
        <f>TRUNC(E507*D507,1)</f>
        <v>0</v>
      </c>
      <c r="G507" s="11">
        <f>단가대비표!P568</f>
        <v>203532</v>
      </c>
      <c r="H507" s="12">
        <f>TRUNC(G507*D507,1)</f>
        <v>20353.2</v>
      </c>
      <c r="I507" s="11">
        <f>단가대비표!V568</f>
        <v>0</v>
      </c>
      <c r="J507" s="12">
        <f>TRUNC(I507*D507,1)</f>
        <v>0</v>
      </c>
      <c r="K507" s="11">
        <f>TRUNC(E507+G507+I507,1)</f>
        <v>203532</v>
      </c>
      <c r="L507" s="12">
        <f>TRUNC(F507+H507+J507,1)</f>
        <v>20353.2</v>
      </c>
      <c r="M507" s="522" t="s">
        <v>51</v>
      </c>
      <c r="N507" s="2" t="s">
        <v>492</v>
      </c>
      <c r="O507" s="2" t="s">
        <v>948</v>
      </c>
      <c r="P507" s="2" t="s">
        <v>62</v>
      </c>
      <c r="Q507" s="2" t="s">
        <v>62</v>
      </c>
      <c r="R507" s="2" t="s">
        <v>61</v>
      </c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2" t="s">
        <v>51</v>
      </c>
      <c r="AW507" s="2" t="s">
        <v>1532</v>
      </c>
      <c r="AX507" s="2" t="s">
        <v>51</v>
      </c>
      <c r="AY507" s="2" t="s">
        <v>51</v>
      </c>
    </row>
    <row r="508" spans="1:51" ht="30" customHeight="1">
      <c r="A508" s="8" t="s">
        <v>1420</v>
      </c>
      <c r="B508" s="8" t="s">
        <v>1421</v>
      </c>
      <c r="C508" s="8" t="s">
        <v>321</v>
      </c>
      <c r="D508" s="9">
        <v>1</v>
      </c>
      <c r="E508" s="11">
        <f>단가대비표!O36</f>
        <v>16461</v>
      </c>
      <c r="F508" s="12">
        <f>TRUNC(E508*D508,1)</f>
        <v>16461</v>
      </c>
      <c r="G508" s="11">
        <f>단가대비표!P36</f>
        <v>0</v>
      </c>
      <c r="H508" s="12">
        <f>TRUNC(G508*D508,1)</f>
        <v>0</v>
      </c>
      <c r="I508" s="11">
        <f>단가대비표!V36</f>
        <v>0</v>
      </c>
      <c r="J508" s="12">
        <f>TRUNC(I508*D508,1)</f>
        <v>0</v>
      </c>
      <c r="K508" s="11">
        <f>TRUNC(E508+G508+I508,1)</f>
        <v>16461</v>
      </c>
      <c r="L508" s="12">
        <f>TRUNC(F508+H508+J508,1)</f>
        <v>16461</v>
      </c>
      <c r="M508" s="522" t="s">
        <v>51</v>
      </c>
      <c r="N508" s="2" t="s">
        <v>492</v>
      </c>
      <c r="O508" s="2" t="s">
        <v>1422</v>
      </c>
      <c r="P508" s="2" t="s">
        <v>62</v>
      </c>
      <c r="Q508" s="2" t="s">
        <v>62</v>
      </c>
      <c r="R508" s="2" t="s">
        <v>61</v>
      </c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2" t="s">
        <v>51</v>
      </c>
      <c r="AW508" s="2" t="s">
        <v>1533</v>
      </c>
      <c r="AX508" s="2" t="s">
        <v>51</v>
      </c>
      <c r="AY508" s="2" t="s">
        <v>51</v>
      </c>
    </row>
    <row r="509" spans="1:51" ht="30" customHeight="1">
      <c r="A509" s="8" t="s">
        <v>950</v>
      </c>
      <c r="B509" s="8" t="s">
        <v>51</v>
      </c>
      <c r="C509" s="8" t="s">
        <v>51</v>
      </c>
      <c r="D509" s="9"/>
      <c r="E509" s="11"/>
      <c r="F509" s="12">
        <f>TRUNC(SUMIF(N507:N508, N506, F507:F508),0)</f>
        <v>16461</v>
      </c>
      <c r="G509" s="11"/>
      <c r="H509" s="12">
        <f>TRUNC(SUMIF(N507:N508, N506, H507:H508),0)</f>
        <v>20353</v>
      </c>
      <c r="I509" s="11"/>
      <c r="J509" s="12">
        <f>TRUNC(SUMIF(N507:N508, N506, J507:J508),0)</f>
        <v>0</v>
      </c>
      <c r="K509" s="11"/>
      <c r="L509" s="12">
        <f>F509+H509+J509</f>
        <v>36814</v>
      </c>
      <c r="M509" s="522" t="s">
        <v>51</v>
      </c>
      <c r="N509" s="2" t="s">
        <v>86</v>
      </c>
      <c r="O509" s="2" t="s">
        <v>86</v>
      </c>
      <c r="P509" s="2" t="s">
        <v>51</v>
      </c>
      <c r="Q509" s="2" t="s">
        <v>51</v>
      </c>
      <c r="R509" s="2" t="s">
        <v>51</v>
      </c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2" t="s">
        <v>51</v>
      </c>
      <c r="AW509" s="2" t="s">
        <v>51</v>
      </c>
      <c r="AX509" s="2" t="s">
        <v>51</v>
      </c>
      <c r="AY509" s="2" t="s">
        <v>51</v>
      </c>
    </row>
    <row r="510" spans="1:51" ht="30" customHeight="1">
      <c r="A510" s="9"/>
      <c r="B510" s="9"/>
      <c r="C510" s="9"/>
      <c r="D510" s="9"/>
      <c r="E510" s="11"/>
      <c r="F510" s="12"/>
      <c r="G510" s="11"/>
      <c r="H510" s="12"/>
      <c r="I510" s="11"/>
      <c r="J510" s="12"/>
      <c r="K510" s="11"/>
      <c r="L510" s="12"/>
      <c r="M510" s="523"/>
    </row>
    <row r="511" spans="1:51" ht="30" customHeight="1">
      <c r="A511" s="1403" t="s">
        <v>4527</v>
      </c>
      <c r="B511" s="1403"/>
      <c r="C511" s="1403"/>
      <c r="D511" s="1403"/>
      <c r="E511" s="1404"/>
      <c r="F511" s="1405"/>
      <c r="G511" s="1404"/>
      <c r="H511" s="1405"/>
      <c r="I511" s="1404"/>
      <c r="J511" s="1405"/>
      <c r="K511" s="1404"/>
      <c r="L511" s="1405"/>
      <c r="M511" s="1403"/>
      <c r="N511" s="1" t="s">
        <v>610</v>
      </c>
    </row>
    <row r="512" spans="1:51" ht="30" customHeight="1">
      <c r="A512" s="8" t="s">
        <v>946</v>
      </c>
      <c r="B512" s="8" t="s">
        <v>947</v>
      </c>
      <c r="C512" s="8" t="s">
        <v>419</v>
      </c>
      <c r="D512" s="9">
        <v>0.02</v>
      </c>
      <c r="E512" s="11">
        <f>단가대비표!O568</f>
        <v>0</v>
      </c>
      <c r="F512" s="12">
        <f>TRUNC(E512*D512,1)</f>
        <v>0</v>
      </c>
      <c r="G512" s="11">
        <f>단가대비표!P568</f>
        <v>203532</v>
      </c>
      <c r="H512" s="12">
        <f>TRUNC(G512*D512,1)</f>
        <v>4070.6</v>
      </c>
      <c r="I512" s="11">
        <f>단가대비표!V568</f>
        <v>0</v>
      </c>
      <c r="J512" s="12">
        <f>TRUNC(I512*D512,1)</f>
        <v>0</v>
      </c>
      <c r="K512" s="11">
        <f>TRUNC(E512+G512+I512,1)</f>
        <v>203532</v>
      </c>
      <c r="L512" s="12">
        <f>TRUNC(F512+H512+J512,1)</f>
        <v>4070.6</v>
      </c>
      <c r="M512" s="522" t="s">
        <v>51</v>
      </c>
      <c r="N512" s="2" t="s">
        <v>610</v>
      </c>
      <c r="O512" s="2" t="s">
        <v>948</v>
      </c>
      <c r="P512" s="2" t="s">
        <v>62</v>
      </c>
      <c r="Q512" s="2" t="s">
        <v>62</v>
      </c>
      <c r="R512" s="2" t="s">
        <v>61</v>
      </c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2" t="s">
        <v>51</v>
      </c>
      <c r="AW512" s="2" t="s">
        <v>1539</v>
      </c>
      <c r="AX512" s="2" t="s">
        <v>51</v>
      </c>
      <c r="AY512" s="2" t="s">
        <v>51</v>
      </c>
    </row>
    <row r="513" spans="1:52" ht="30" customHeight="1">
      <c r="A513" s="8" t="s">
        <v>996</v>
      </c>
      <c r="B513" s="8" t="s">
        <v>947</v>
      </c>
      <c r="C513" s="8" t="s">
        <v>419</v>
      </c>
      <c r="D513" s="9">
        <v>0.02</v>
      </c>
      <c r="E513" s="11">
        <f>단가대비표!O556</f>
        <v>0</v>
      </c>
      <c r="F513" s="12">
        <f>TRUNC(E513*D513,1)</f>
        <v>0</v>
      </c>
      <c r="G513" s="11">
        <f>단가대비표!P556</f>
        <v>130264</v>
      </c>
      <c r="H513" s="12">
        <f>TRUNC(G513*D513,1)</f>
        <v>2605.1999999999998</v>
      </c>
      <c r="I513" s="11">
        <f>단가대비표!V556</f>
        <v>0</v>
      </c>
      <c r="J513" s="12">
        <f>TRUNC(I513*D513,1)</f>
        <v>0</v>
      </c>
      <c r="K513" s="11">
        <f>TRUNC(E513+G513+I513,1)</f>
        <v>130264</v>
      </c>
      <c r="L513" s="12">
        <f>TRUNC(F513+H513+J513,1)</f>
        <v>2605.1999999999998</v>
      </c>
      <c r="M513" s="522" t="s">
        <v>51</v>
      </c>
      <c r="N513" s="2" t="s">
        <v>610</v>
      </c>
      <c r="O513" s="2" t="s">
        <v>997</v>
      </c>
      <c r="P513" s="2" t="s">
        <v>62</v>
      </c>
      <c r="Q513" s="2" t="s">
        <v>62</v>
      </c>
      <c r="R513" s="2" t="s">
        <v>61</v>
      </c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2" t="s">
        <v>51</v>
      </c>
      <c r="AW513" s="2" t="s">
        <v>1540</v>
      </c>
      <c r="AX513" s="2" t="s">
        <v>51</v>
      </c>
      <c r="AY513" s="2" t="s">
        <v>51</v>
      </c>
    </row>
    <row r="514" spans="1:52" ht="30" customHeight="1">
      <c r="A514" s="8" t="s">
        <v>950</v>
      </c>
      <c r="B514" s="8" t="s">
        <v>51</v>
      </c>
      <c r="C514" s="8" t="s">
        <v>51</v>
      </c>
      <c r="D514" s="9"/>
      <c r="E514" s="11"/>
      <c r="F514" s="12">
        <f>TRUNC(SUMIF(N512:N513, N511, F512:F513),0)</f>
        <v>0</v>
      </c>
      <c r="G514" s="11"/>
      <c r="H514" s="12">
        <f>TRUNC(SUMIF(N512:N513, N511, H512:H513),0)</f>
        <v>6675</v>
      </c>
      <c r="I514" s="11"/>
      <c r="J514" s="12">
        <f>TRUNC(SUMIF(N512:N513, N511, J512:J513),0)</f>
        <v>0</v>
      </c>
      <c r="K514" s="11"/>
      <c r="L514" s="12">
        <f>F514+H514+J514</f>
        <v>6675</v>
      </c>
      <c r="M514" s="522" t="s">
        <v>51</v>
      </c>
      <c r="N514" s="2" t="s">
        <v>86</v>
      </c>
      <c r="O514" s="2" t="s">
        <v>86</v>
      </c>
      <c r="P514" s="2" t="s">
        <v>51</v>
      </c>
      <c r="Q514" s="2" t="s">
        <v>51</v>
      </c>
      <c r="R514" s="2" t="s">
        <v>51</v>
      </c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2" t="s">
        <v>51</v>
      </c>
      <c r="AW514" s="2" t="s">
        <v>51</v>
      </c>
      <c r="AX514" s="2" t="s">
        <v>51</v>
      </c>
      <c r="AY514" s="2" t="s">
        <v>51</v>
      </c>
    </row>
    <row r="515" spans="1:52" ht="30" customHeight="1">
      <c r="A515" s="9"/>
      <c r="B515" s="9"/>
      <c r="C515" s="9"/>
      <c r="D515" s="9"/>
      <c r="E515" s="11"/>
      <c r="F515" s="12"/>
      <c r="G515" s="11"/>
      <c r="H515" s="12"/>
      <c r="I515" s="11"/>
      <c r="J515" s="12"/>
      <c r="K515" s="11"/>
      <c r="L515" s="12"/>
      <c r="M515" s="523"/>
    </row>
    <row r="516" spans="1:52" ht="30" customHeight="1">
      <c r="A516" s="1403" t="s">
        <v>4528</v>
      </c>
      <c r="B516" s="1403"/>
      <c r="C516" s="1403"/>
      <c r="D516" s="1403"/>
      <c r="E516" s="1404"/>
      <c r="F516" s="1405"/>
      <c r="G516" s="1404"/>
      <c r="H516" s="1405"/>
      <c r="I516" s="1404"/>
      <c r="J516" s="1405"/>
      <c r="K516" s="1404"/>
      <c r="L516" s="1405"/>
      <c r="M516" s="1403"/>
      <c r="N516" s="1" t="s">
        <v>619</v>
      </c>
    </row>
    <row r="517" spans="1:52" ht="30" customHeight="1">
      <c r="A517" s="8" t="s">
        <v>946</v>
      </c>
      <c r="B517" s="8" t="s">
        <v>947</v>
      </c>
      <c r="C517" s="8" t="s">
        <v>419</v>
      </c>
      <c r="D517" s="9">
        <v>6.0000000000000001E-3</v>
      </c>
      <c r="E517" s="11">
        <f>단가대비표!O568</f>
        <v>0</v>
      </c>
      <c r="F517" s="12">
        <f>TRUNC(E517*D517,1)</f>
        <v>0</v>
      </c>
      <c r="G517" s="11">
        <f>단가대비표!P568</f>
        <v>203532</v>
      </c>
      <c r="H517" s="12">
        <f>TRUNC(G517*D517,1)</f>
        <v>1221.0999999999999</v>
      </c>
      <c r="I517" s="11">
        <f>단가대비표!V568</f>
        <v>0</v>
      </c>
      <c r="J517" s="12">
        <f>TRUNC(I517*D517,1)</f>
        <v>0</v>
      </c>
      <c r="K517" s="11">
        <f>TRUNC(E517+G517+I517,1)</f>
        <v>203532</v>
      </c>
      <c r="L517" s="12">
        <f>TRUNC(F517+H517+J517,1)</f>
        <v>1221.0999999999999</v>
      </c>
      <c r="M517" s="522" t="s">
        <v>51</v>
      </c>
      <c r="N517" s="2" t="s">
        <v>619</v>
      </c>
      <c r="O517" s="2" t="s">
        <v>948</v>
      </c>
      <c r="P517" s="2" t="s">
        <v>62</v>
      </c>
      <c r="Q517" s="2" t="s">
        <v>62</v>
      </c>
      <c r="R517" s="2" t="s">
        <v>61</v>
      </c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2" t="s">
        <v>51</v>
      </c>
      <c r="AW517" s="2" t="s">
        <v>1542</v>
      </c>
      <c r="AX517" s="2" t="s">
        <v>51</v>
      </c>
      <c r="AY517" s="2" t="s">
        <v>51</v>
      </c>
    </row>
    <row r="518" spans="1:52" ht="30" customHeight="1">
      <c r="A518" s="8" t="s">
        <v>996</v>
      </c>
      <c r="B518" s="8" t="s">
        <v>947</v>
      </c>
      <c r="C518" s="8" t="s">
        <v>419</v>
      </c>
      <c r="D518" s="9">
        <v>0.02</v>
      </c>
      <c r="E518" s="11">
        <f>단가대비표!O556</f>
        <v>0</v>
      </c>
      <c r="F518" s="12">
        <f>TRUNC(E518*D518,1)</f>
        <v>0</v>
      </c>
      <c r="G518" s="11">
        <f>단가대비표!P556</f>
        <v>130264</v>
      </c>
      <c r="H518" s="12">
        <f>TRUNC(G518*D518,1)</f>
        <v>2605.1999999999998</v>
      </c>
      <c r="I518" s="11">
        <f>단가대비표!V556</f>
        <v>0</v>
      </c>
      <c r="J518" s="12">
        <f>TRUNC(I518*D518,1)</f>
        <v>0</v>
      </c>
      <c r="K518" s="11">
        <f>TRUNC(E518+G518+I518,1)</f>
        <v>130264</v>
      </c>
      <c r="L518" s="12">
        <f>TRUNC(F518+H518+J518,1)</f>
        <v>2605.1999999999998</v>
      </c>
      <c r="M518" s="522" t="s">
        <v>51</v>
      </c>
      <c r="N518" s="2" t="s">
        <v>619</v>
      </c>
      <c r="O518" s="2" t="s">
        <v>997</v>
      </c>
      <c r="P518" s="2" t="s">
        <v>62</v>
      </c>
      <c r="Q518" s="2" t="s">
        <v>62</v>
      </c>
      <c r="R518" s="2" t="s">
        <v>61</v>
      </c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2" t="s">
        <v>51</v>
      </c>
      <c r="AW518" s="2" t="s">
        <v>1543</v>
      </c>
      <c r="AX518" s="2" t="s">
        <v>51</v>
      </c>
      <c r="AY518" s="2" t="s">
        <v>51</v>
      </c>
    </row>
    <row r="519" spans="1:52" ht="30" customHeight="1">
      <c r="A519" s="8" t="s">
        <v>950</v>
      </c>
      <c r="B519" s="8" t="s">
        <v>51</v>
      </c>
      <c r="C519" s="8" t="s">
        <v>51</v>
      </c>
      <c r="D519" s="9"/>
      <c r="E519" s="11"/>
      <c r="F519" s="12">
        <f>TRUNC(SUMIF(N517:N518, N516, F517:F518),0)</f>
        <v>0</v>
      </c>
      <c r="G519" s="11"/>
      <c r="H519" s="12">
        <f>TRUNC(SUMIF(N517:N518, N516, H517:H518),0)</f>
        <v>3826</v>
      </c>
      <c r="I519" s="11"/>
      <c r="J519" s="12">
        <f>TRUNC(SUMIF(N517:N518, N516, J517:J518),0)</f>
        <v>0</v>
      </c>
      <c r="K519" s="11"/>
      <c r="L519" s="12">
        <f>F519+H519+J519</f>
        <v>3826</v>
      </c>
      <c r="M519" s="522" t="s">
        <v>51</v>
      </c>
      <c r="N519" s="2" t="s">
        <v>86</v>
      </c>
      <c r="O519" s="2" t="s">
        <v>86</v>
      </c>
      <c r="P519" s="2" t="s">
        <v>51</v>
      </c>
      <c r="Q519" s="2" t="s">
        <v>51</v>
      </c>
      <c r="R519" s="2" t="s">
        <v>51</v>
      </c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2" t="s">
        <v>51</v>
      </c>
      <c r="AW519" s="2" t="s">
        <v>51</v>
      </c>
      <c r="AX519" s="2" t="s">
        <v>51</v>
      </c>
      <c r="AY519" s="2" t="s">
        <v>51</v>
      </c>
    </row>
    <row r="520" spans="1:52" ht="30" customHeight="1">
      <c r="A520" s="9"/>
      <c r="B520" s="9"/>
      <c r="C520" s="9"/>
      <c r="D520" s="9"/>
      <c r="E520" s="11"/>
      <c r="F520" s="12"/>
      <c r="G520" s="11"/>
      <c r="H520" s="12"/>
      <c r="I520" s="11"/>
      <c r="J520" s="12"/>
      <c r="K520" s="11"/>
      <c r="L520" s="12"/>
      <c r="M520" s="523"/>
    </row>
    <row r="521" spans="1:52" ht="30" customHeight="1">
      <c r="A521" s="1400" t="s">
        <v>4529</v>
      </c>
      <c r="B521" s="1400"/>
      <c r="C521" s="1400"/>
      <c r="D521" s="1400"/>
      <c r="E521" s="1401"/>
      <c r="F521" s="1402"/>
      <c r="G521" s="1401"/>
      <c r="H521" s="1402"/>
      <c r="I521" s="1401"/>
      <c r="J521" s="1402"/>
      <c r="K521" s="1401"/>
      <c r="L521" s="1402"/>
      <c r="M521" s="1400"/>
      <c r="N521" s="1" t="s">
        <v>631</v>
      </c>
      <c r="AZ521" t="s">
        <v>6667</v>
      </c>
    </row>
    <row r="522" spans="1:52" ht="30" customHeight="1">
      <c r="A522" s="8" t="s">
        <v>1545</v>
      </c>
      <c r="B522" s="8" t="s">
        <v>1546</v>
      </c>
      <c r="C522" s="8" t="s">
        <v>140</v>
      </c>
      <c r="D522" s="9">
        <v>1.3620000000000001</v>
      </c>
      <c r="E522" s="11">
        <f>단가대비표!O484</f>
        <v>180</v>
      </c>
      <c r="F522" s="12">
        <f t="shared" ref="F522:F537" si="122">TRUNC(E522*D522,1)</f>
        <v>245.1</v>
      </c>
      <c r="G522" s="11">
        <f>단가대비표!P484</f>
        <v>0</v>
      </c>
      <c r="H522" s="12">
        <f t="shared" ref="H522:H537" si="123">TRUNC(G522*D522,1)</f>
        <v>0</v>
      </c>
      <c r="I522" s="11">
        <f>단가대비표!V484</f>
        <v>0</v>
      </c>
      <c r="J522" s="12">
        <f t="shared" ref="J522:J537" si="124">TRUNC(I522*D522,1)</f>
        <v>0</v>
      </c>
      <c r="K522" s="11">
        <f t="shared" ref="K522:K537" si="125">TRUNC(E522+G522+I522,1)</f>
        <v>180</v>
      </c>
      <c r="L522" s="12">
        <f t="shared" ref="L522:L537" si="126">TRUNC(F522+H522+J522,1)</f>
        <v>245.1</v>
      </c>
      <c r="M522" s="522" t="s">
        <v>51</v>
      </c>
      <c r="N522" s="2" t="s">
        <v>631</v>
      </c>
      <c r="O522" s="2" t="s">
        <v>1547</v>
      </c>
      <c r="P522" s="2" t="s">
        <v>62</v>
      </c>
      <c r="Q522" s="2" t="s">
        <v>62</v>
      </c>
      <c r="R522" s="2" t="s">
        <v>61</v>
      </c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2" t="s">
        <v>51</v>
      </c>
      <c r="AW522" s="2" t="s">
        <v>1548</v>
      </c>
      <c r="AX522" s="2" t="s">
        <v>51</v>
      </c>
      <c r="AY522" s="2" t="s">
        <v>51</v>
      </c>
    </row>
    <row r="523" spans="1:52" ht="30" customHeight="1">
      <c r="A523" s="8" t="s">
        <v>1549</v>
      </c>
      <c r="B523" s="8" t="s">
        <v>1550</v>
      </c>
      <c r="C523" s="8" t="s">
        <v>140</v>
      </c>
      <c r="D523" s="9">
        <v>1.3620000000000001</v>
      </c>
      <c r="E523" s="11">
        <f>일위대가목록!F118</f>
        <v>8</v>
      </c>
      <c r="F523" s="12">
        <f t="shared" si="122"/>
        <v>10.8</v>
      </c>
      <c r="G523" s="1173">
        <v>0</v>
      </c>
      <c r="H523" s="12">
        <f t="shared" si="123"/>
        <v>0</v>
      </c>
      <c r="I523" s="11">
        <f>일위대가목록!J118</f>
        <v>0</v>
      </c>
      <c r="J523" s="12">
        <f t="shared" si="124"/>
        <v>0</v>
      </c>
      <c r="K523" s="11">
        <f t="shared" si="125"/>
        <v>8</v>
      </c>
      <c r="L523" s="12">
        <f t="shared" si="126"/>
        <v>10.8</v>
      </c>
      <c r="M523" s="522" t="s">
        <v>1846</v>
      </c>
      <c r="N523" s="2" t="s">
        <v>631</v>
      </c>
      <c r="O523" s="2" t="s">
        <v>1551</v>
      </c>
      <c r="P523" s="2" t="s">
        <v>61</v>
      </c>
      <c r="Q523" s="2" t="s">
        <v>62</v>
      </c>
      <c r="R523" s="2" t="s">
        <v>62</v>
      </c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2" t="s">
        <v>51</v>
      </c>
      <c r="AW523" s="2" t="s">
        <v>1552</v>
      </c>
      <c r="AX523" s="2" t="s">
        <v>51</v>
      </c>
      <c r="AY523" s="2" t="s">
        <v>51</v>
      </c>
      <c r="AZ523" t="s">
        <v>6669</v>
      </c>
    </row>
    <row r="524" spans="1:52" ht="30" customHeight="1">
      <c r="A524" s="8" t="s">
        <v>1553</v>
      </c>
      <c r="B524" s="8" t="s">
        <v>1554</v>
      </c>
      <c r="C524" s="8" t="s">
        <v>140</v>
      </c>
      <c r="D524" s="9">
        <v>1.3620000000000001</v>
      </c>
      <c r="E524" s="11">
        <f>단가대비표!O70</f>
        <v>690</v>
      </c>
      <c r="F524" s="12">
        <f t="shared" si="122"/>
        <v>939.7</v>
      </c>
      <c r="G524" s="11">
        <f>단가대비표!P70</f>
        <v>0</v>
      </c>
      <c r="H524" s="12">
        <f t="shared" si="123"/>
        <v>0</v>
      </c>
      <c r="I524" s="11">
        <f>단가대비표!V70</f>
        <v>0</v>
      </c>
      <c r="J524" s="12">
        <f t="shared" si="124"/>
        <v>0</v>
      </c>
      <c r="K524" s="11">
        <f t="shared" si="125"/>
        <v>690</v>
      </c>
      <c r="L524" s="12">
        <f t="shared" si="126"/>
        <v>939.7</v>
      </c>
      <c r="M524" s="522" t="s">
        <v>51</v>
      </c>
      <c r="N524" s="2" t="s">
        <v>631</v>
      </c>
      <c r="O524" s="2" t="s">
        <v>1555</v>
      </c>
      <c r="P524" s="2" t="s">
        <v>62</v>
      </c>
      <c r="Q524" s="2" t="s">
        <v>62</v>
      </c>
      <c r="R524" s="2" t="s">
        <v>61</v>
      </c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2" t="s">
        <v>51</v>
      </c>
      <c r="AW524" s="2" t="s">
        <v>1556</v>
      </c>
      <c r="AX524" s="2" t="s">
        <v>51</v>
      </c>
      <c r="AY524" s="2" t="s">
        <v>51</v>
      </c>
    </row>
    <row r="525" spans="1:52" ht="30" customHeight="1">
      <c r="A525" s="8" t="s">
        <v>1553</v>
      </c>
      <c r="B525" s="8" t="s">
        <v>1557</v>
      </c>
      <c r="C525" s="8" t="s">
        <v>204</v>
      </c>
      <c r="D525" s="9">
        <v>1.222</v>
      </c>
      <c r="E525" s="11">
        <f>단가대비표!O71</f>
        <v>750</v>
      </c>
      <c r="F525" s="12">
        <f t="shared" si="122"/>
        <v>916.5</v>
      </c>
      <c r="G525" s="11">
        <f>단가대비표!P71</f>
        <v>0</v>
      </c>
      <c r="H525" s="12">
        <f t="shared" si="123"/>
        <v>0</v>
      </c>
      <c r="I525" s="11">
        <f>단가대비표!V71</f>
        <v>0</v>
      </c>
      <c r="J525" s="12">
        <f t="shared" si="124"/>
        <v>0</v>
      </c>
      <c r="K525" s="11">
        <f t="shared" si="125"/>
        <v>750</v>
      </c>
      <c r="L525" s="12">
        <f t="shared" si="126"/>
        <v>916.5</v>
      </c>
      <c r="M525" s="522" t="s">
        <v>51</v>
      </c>
      <c r="N525" s="2" t="s">
        <v>631</v>
      </c>
      <c r="O525" s="2" t="s">
        <v>1558</v>
      </c>
      <c r="P525" s="2" t="s">
        <v>62</v>
      </c>
      <c r="Q525" s="2" t="s">
        <v>62</v>
      </c>
      <c r="R525" s="2" t="s">
        <v>61</v>
      </c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2" t="s">
        <v>51</v>
      </c>
      <c r="AW525" s="2" t="s">
        <v>1559</v>
      </c>
      <c r="AX525" s="2" t="s">
        <v>51</v>
      </c>
      <c r="AY525" s="2" t="s">
        <v>51</v>
      </c>
    </row>
    <row r="526" spans="1:52" ht="30" customHeight="1">
      <c r="A526" s="8" t="s">
        <v>1553</v>
      </c>
      <c r="B526" s="8" t="s">
        <v>1560</v>
      </c>
      <c r="C526" s="8" t="s">
        <v>204</v>
      </c>
      <c r="D526" s="9">
        <v>0.52500000000000002</v>
      </c>
      <c r="E526" s="11">
        <f>단가대비표!O72</f>
        <v>550</v>
      </c>
      <c r="F526" s="12">
        <f t="shared" si="122"/>
        <v>288.7</v>
      </c>
      <c r="G526" s="11">
        <f>단가대비표!P72</f>
        <v>0</v>
      </c>
      <c r="H526" s="12">
        <f t="shared" si="123"/>
        <v>0</v>
      </c>
      <c r="I526" s="11">
        <f>단가대비표!V72</f>
        <v>0</v>
      </c>
      <c r="J526" s="12">
        <f t="shared" si="124"/>
        <v>0</v>
      </c>
      <c r="K526" s="11">
        <f t="shared" si="125"/>
        <v>550</v>
      </c>
      <c r="L526" s="12">
        <f t="shared" si="126"/>
        <v>288.7</v>
      </c>
      <c r="M526" s="522" t="s">
        <v>51</v>
      </c>
      <c r="N526" s="2" t="s">
        <v>631</v>
      </c>
      <c r="O526" s="2" t="s">
        <v>1561</v>
      </c>
      <c r="P526" s="2" t="s">
        <v>62</v>
      </c>
      <c r="Q526" s="2" t="s">
        <v>62</v>
      </c>
      <c r="R526" s="2" t="s">
        <v>61</v>
      </c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2" t="s">
        <v>51</v>
      </c>
      <c r="AW526" s="2" t="s">
        <v>1562</v>
      </c>
      <c r="AX526" s="2" t="s">
        <v>51</v>
      </c>
      <c r="AY526" s="2" t="s">
        <v>51</v>
      </c>
    </row>
    <row r="527" spans="1:52" ht="30" customHeight="1">
      <c r="A527" s="8" t="s">
        <v>1553</v>
      </c>
      <c r="B527" s="8" t="s">
        <v>1563</v>
      </c>
      <c r="C527" s="8" t="s">
        <v>377</v>
      </c>
      <c r="D527" s="9">
        <v>1.3620000000000001</v>
      </c>
      <c r="E527" s="11">
        <f>단가대비표!O73</f>
        <v>250</v>
      </c>
      <c r="F527" s="12">
        <f t="shared" si="122"/>
        <v>340.5</v>
      </c>
      <c r="G527" s="11">
        <f>단가대비표!P73</f>
        <v>0</v>
      </c>
      <c r="H527" s="12">
        <f t="shared" si="123"/>
        <v>0</v>
      </c>
      <c r="I527" s="11">
        <f>단가대비표!V73</f>
        <v>0</v>
      </c>
      <c r="J527" s="12">
        <f t="shared" si="124"/>
        <v>0</v>
      </c>
      <c r="K527" s="11">
        <f t="shared" si="125"/>
        <v>250</v>
      </c>
      <c r="L527" s="12">
        <f t="shared" si="126"/>
        <v>340.5</v>
      </c>
      <c r="M527" s="522" t="s">
        <v>51</v>
      </c>
      <c r="N527" s="2" t="s">
        <v>631</v>
      </c>
      <c r="O527" s="2" t="s">
        <v>1564</v>
      </c>
      <c r="P527" s="2" t="s">
        <v>62</v>
      </c>
      <c r="Q527" s="2" t="s">
        <v>62</v>
      </c>
      <c r="R527" s="2" t="s">
        <v>61</v>
      </c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2" t="s">
        <v>51</v>
      </c>
      <c r="AW527" s="2" t="s">
        <v>1565</v>
      </c>
      <c r="AX527" s="2" t="s">
        <v>51</v>
      </c>
      <c r="AY527" s="2" t="s">
        <v>51</v>
      </c>
    </row>
    <row r="528" spans="1:52" ht="30" customHeight="1">
      <c r="A528" s="8" t="s">
        <v>1553</v>
      </c>
      <c r="B528" s="8" t="s">
        <v>1566</v>
      </c>
      <c r="C528" s="8" t="s">
        <v>377</v>
      </c>
      <c r="D528" s="9">
        <v>0.58399999999999996</v>
      </c>
      <c r="E528" s="11">
        <f>단가대비표!O74</f>
        <v>111</v>
      </c>
      <c r="F528" s="12">
        <f t="shared" si="122"/>
        <v>64.8</v>
      </c>
      <c r="G528" s="11">
        <f>단가대비표!P74</f>
        <v>0</v>
      </c>
      <c r="H528" s="12">
        <f t="shared" si="123"/>
        <v>0</v>
      </c>
      <c r="I528" s="11">
        <f>단가대비표!V74</f>
        <v>0</v>
      </c>
      <c r="J528" s="12">
        <f t="shared" si="124"/>
        <v>0</v>
      </c>
      <c r="K528" s="11">
        <f t="shared" si="125"/>
        <v>111</v>
      </c>
      <c r="L528" s="12">
        <f t="shared" si="126"/>
        <v>64.8</v>
      </c>
      <c r="M528" s="522" t="s">
        <v>51</v>
      </c>
      <c r="N528" s="2" t="s">
        <v>631</v>
      </c>
      <c r="O528" s="2" t="s">
        <v>1567</v>
      </c>
      <c r="P528" s="2" t="s">
        <v>62</v>
      </c>
      <c r="Q528" s="2" t="s">
        <v>62</v>
      </c>
      <c r="R528" s="2" t="s">
        <v>61</v>
      </c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2" t="s">
        <v>51</v>
      </c>
      <c r="AW528" s="2" t="s">
        <v>1568</v>
      </c>
      <c r="AX528" s="2" t="s">
        <v>51</v>
      </c>
      <c r="AY528" s="2" t="s">
        <v>51</v>
      </c>
    </row>
    <row r="529" spans="1:52" ht="30" customHeight="1">
      <c r="A529" s="8" t="s">
        <v>1553</v>
      </c>
      <c r="B529" s="8" t="s">
        <v>1569</v>
      </c>
      <c r="C529" s="8" t="s">
        <v>377</v>
      </c>
      <c r="D529" s="9">
        <v>0.19500000000000001</v>
      </c>
      <c r="E529" s="11">
        <f>단가대비표!O75</f>
        <v>107</v>
      </c>
      <c r="F529" s="12">
        <f t="shared" si="122"/>
        <v>20.8</v>
      </c>
      <c r="G529" s="11">
        <f>단가대비표!P75</f>
        <v>0</v>
      </c>
      <c r="H529" s="12">
        <f t="shared" si="123"/>
        <v>0</v>
      </c>
      <c r="I529" s="11">
        <f>단가대비표!V75</f>
        <v>0</v>
      </c>
      <c r="J529" s="12">
        <f t="shared" si="124"/>
        <v>0</v>
      </c>
      <c r="K529" s="11">
        <f t="shared" si="125"/>
        <v>107</v>
      </c>
      <c r="L529" s="12">
        <f t="shared" si="126"/>
        <v>20.8</v>
      </c>
      <c r="M529" s="522" t="s">
        <v>51</v>
      </c>
      <c r="N529" s="2" t="s">
        <v>631</v>
      </c>
      <c r="O529" s="2" t="s">
        <v>1570</v>
      </c>
      <c r="P529" s="2" t="s">
        <v>62</v>
      </c>
      <c r="Q529" s="2" t="s">
        <v>62</v>
      </c>
      <c r="R529" s="2" t="s">
        <v>61</v>
      </c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2" t="s">
        <v>51</v>
      </c>
      <c r="AW529" s="2" t="s">
        <v>1571</v>
      </c>
      <c r="AX529" s="2" t="s">
        <v>51</v>
      </c>
      <c r="AY529" s="2" t="s">
        <v>51</v>
      </c>
    </row>
    <row r="530" spans="1:52" ht="30" customHeight="1">
      <c r="A530" s="8" t="s">
        <v>1553</v>
      </c>
      <c r="B530" s="8" t="s">
        <v>1572</v>
      </c>
      <c r="C530" s="8" t="s">
        <v>204</v>
      </c>
      <c r="D530" s="9">
        <v>3.6749999999999998</v>
      </c>
      <c r="E530" s="11">
        <f>단가대비표!O69</f>
        <v>620</v>
      </c>
      <c r="F530" s="12">
        <f t="shared" si="122"/>
        <v>2278.5</v>
      </c>
      <c r="G530" s="11">
        <f>단가대비표!P69</f>
        <v>0</v>
      </c>
      <c r="H530" s="12">
        <f t="shared" si="123"/>
        <v>0</v>
      </c>
      <c r="I530" s="11">
        <f>단가대비표!V69</f>
        <v>0</v>
      </c>
      <c r="J530" s="12">
        <f t="shared" si="124"/>
        <v>0</v>
      </c>
      <c r="K530" s="11">
        <f t="shared" si="125"/>
        <v>620</v>
      </c>
      <c r="L530" s="12">
        <f t="shared" si="126"/>
        <v>2278.5</v>
      </c>
      <c r="M530" s="522" t="s">
        <v>51</v>
      </c>
      <c r="N530" s="2" t="s">
        <v>631</v>
      </c>
      <c r="O530" s="2" t="s">
        <v>1573</v>
      </c>
      <c r="P530" s="2" t="s">
        <v>62</v>
      </c>
      <c r="Q530" s="2" t="s">
        <v>62</v>
      </c>
      <c r="R530" s="2" t="s">
        <v>61</v>
      </c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2" t="s">
        <v>51</v>
      </c>
      <c r="AW530" s="2" t="s">
        <v>1574</v>
      </c>
      <c r="AX530" s="2" t="s">
        <v>51</v>
      </c>
      <c r="AY530" s="2" t="s">
        <v>51</v>
      </c>
    </row>
    <row r="531" spans="1:52" ht="30" customHeight="1">
      <c r="A531" s="8" t="s">
        <v>1553</v>
      </c>
      <c r="B531" s="8" t="s">
        <v>1575</v>
      </c>
      <c r="C531" s="8" t="s">
        <v>140</v>
      </c>
      <c r="D531" s="9">
        <v>4.0839999999999996</v>
      </c>
      <c r="E531" s="11">
        <f>단가대비표!O76</f>
        <v>60</v>
      </c>
      <c r="F531" s="12">
        <f t="shared" si="122"/>
        <v>245</v>
      </c>
      <c r="G531" s="11">
        <f>단가대비표!P76</f>
        <v>0</v>
      </c>
      <c r="H531" s="12">
        <f t="shared" si="123"/>
        <v>0</v>
      </c>
      <c r="I531" s="11">
        <f>단가대비표!V76</f>
        <v>0</v>
      </c>
      <c r="J531" s="12">
        <f t="shared" si="124"/>
        <v>0</v>
      </c>
      <c r="K531" s="11">
        <f t="shared" si="125"/>
        <v>60</v>
      </c>
      <c r="L531" s="12">
        <f t="shared" si="126"/>
        <v>245</v>
      </c>
      <c r="M531" s="522" t="s">
        <v>51</v>
      </c>
      <c r="N531" s="2" t="s">
        <v>631</v>
      </c>
      <c r="O531" s="2" t="s">
        <v>1576</v>
      </c>
      <c r="P531" s="2" t="s">
        <v>62</v>
      </c>
      <c r="Q531" s="2" t="s">
        <v>62</v>
      </c>
      <c r="R531" s="2" t="s">
        <v>61</v>
      </c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2" t="s">
        <v>51</v>
      </c>
      <c r="AW531" s="2" t="s">
        <v>1577</v>
      </c>
      <c r="AX531" s="2" t="s">
        <v>51</v>
      </c>
      <c r="AY531" s="2" t="s">
        <v>51</v>
      </c>
    </row>
    <row r="532" spans="1:52" ht="30" customHeight="1">
      <c r="A532" s="8" t="s">
        <v>1553</v>
      </c>
      <c r="B532" s="8" t="s">
        <v>1578</v>
      </c>
      <c r="C532" s="8" t="s">
        <v>140</v>
      </c>
      <c r="D532" s="9">
        <v>0.58399999999999996</v>
      </c>
      <c r="E532" s="11">
        <f>단가대비표!O77</f>
        <v>80</v>
      </c>
      <c r="F532" s="12">
        <f t="shared" si="122"/>
        <v>46.7</v>
      </c>
      <c r="G532" s="11">
        <f>단가대비표!P77</f>
        <v>0</v>
      </c>
      <c r="H532" s="12">
        <f t="shared" si="123"/>
        <v>0</v>
      </c>
      <c r="I532" s="11">
        <f>단가대비표!V77</f>
        <v>0</v>
      </c>
      <c r="J532" s="12">
        <f t="shared" si="124"/>
        <v>0</v>
      </c>
      <c r="K532" s="11">
        <f t="shared" si="125"/>
        <v>80</v>
      </c>
      <c r="L532" s="12">
        <f t="shared" si="126"/>
        <v>46.7</v>
      </c>
      <c r="M532" s="522" t="s">
        <v>51</v>
      </c>
      <c r="N532" s="2" t="s">
        <v>631</v>
      </c>
      <c r="O532" s="2" t="s">
        <v>1579</v>
      </c>
      <c r="P532" s="2" t="s">
        <v>62</v>
      </c>
      <c r="Q532" s="2" t="s">
        <v>62</v>
      </c>
      <c r="R532" s="2" t="s">
        <v>61</v>
      </c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2" t="s">
        <v>51</v>
      </c>
      <c r="AW532" s="2" t="s">
        <v>1580</v>
      </c>
      <c r="AX532" s="2" t="s">
        <v>51</v>
      </c>
      <c r="AY532" s="2" t="s">
        <v>51</v>
      </c>
    </row>
    <row r="533" spans="1:52" ht="30" customHeight="1">
      <c r="A533" s="8" t="s">
        <v>1553</v>
      </c>
      <c r="B533" s="8" t="s">
        <v>1581</v>
      </c>
      <c r="C533" s="8" t="s">
        <v>140</v>
      </c>
      <c r="D533" s="9">
        <v>42.33</v>
      </c>
      <c r="E533" s="11">
        <f>단가대비표!O78</f>
        <v>4</v>
      </c>
      <c r="F533" s="12">
        <f t="shared" si="122"/>
        <v>169.3</v>
      </c>
      <c r="G533" s="11">
        <f>단가대비표!P78</f>
        <v>0</v>
      </c>
      <c r="H533" s="12">
        <f t="shared" si="123"/>
        <v>0</v>
      </c>
      <c r="I533" s="11">
        <f>단가대비표!V78</f>
        <v>0</v>
      </c>
      <c r="J533" s="12">
        <f t="shared" si="124"/>
        <v>0</v>
      </c>
      <c r="K533" s="11">
        <f t="shared" si="125"/>
        <v>4</v>
      </c>
      <c r="L533" s="12">
        <f t="shared" si="126"/>
        <v>169.3</v>
      </c>
      <c r="M533" s="522" t="s">
        <v>1582</v>
      </c>
      <c r="N533" s="2" t="s">
        <v>631</v>
      </c>
      <c r="O533" s="2" t="s">
        <v>1583</v>
      </c>
      <c r="P533" s="2" t="s">
        <v>62</v>
      </c>
      <c r="Q533" s="2" t="s">
        <v>62</v>
      </c>
      <c r="R533" s="2" t="s">
        <v>61</v>
      </c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2" t="s">
        <v>51</v>
      </c>
      <c r="AW533" s="2" t="s">
        <v>1584</v>
      </c>
      <c r="AX533" s="2" t="s">
        <v>51</v>
      </c>
      <c r="AY533" s="2" t="s">
        <v>51</v>
      </c>
    </row>
    <row r="534" spans="1:52" ht="30" customHeight="1">
      <c r="A534" s="8" t="s">
        <v>1130</v>
      </c>
      <c r="B534" s="8" t="s">
        <v>947</v>
      </c>
      <c r="C534" s="8" t="s">
        <v>419</v>
      </c>
      <c r="D534" s="1171">
        <v>0</v>
      </c>
      <c r="E534" s="11">
        <f>단가대비표!O557</f>
        <v>0</v>
      </c>
      <c r="F534" s="12">
        <f t="shared" si="122"/>
        <v>0</v>
      </c>
      <c r="G534" s="11">
        <f>단가대비표!P557</f>
        <v>155599</v>
      </c>
      <c r="H534" s="12">
        <f t="shared" si="123"/>
        <v>0</v>
      </c>
      <c r="I534" s="11">
        <f>단가대비표!V557</f>
        <v>0</v>
      </c>
      <c r="J534" s="12">
        <f t="shared" si="124"/>
        <v>0</v>
      </c>
      <c r="K534" s="11">
        <f t="shared" si="125"/>
        <v>155599</v>
      </c>
      <c r="L534" s="12">
        <f t="shared" si="126"/>
        <v>0</v>
      </c>
      <c r="M534" s="522" t="s">
        <v>51</v>
      </c>
      <c r="N534" s="2" t="s">
        <v>631</v>
      </c>
      <c r="O534" s="2" t="s">
        <v>1131</v>
      </c>
      <c r="P534" s="2" t="s">
        <v>62</v>
      </c>
      <c r="Q534" s="2" t="s">
        <v>62</v>
      </c>
      <c r="R534" s="2" t="s">
        <v>61</v>
      </c>
      <c r="S534" s="3"/>
      <c r="T534" s="3"/>
      <c r="U534" s="3"/>
      <c r="V534" s="3">
        <v>1</v>
      </c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2" t="s">
        <v>51</v>
      </c>
      <c r="AW534" s="2" t="s">
        <v>1585</v>
      </c>
      <c r="AX534" s="2" t="s">
        <v>51</v>
      </c>
      <c r="AY534" s="2" t="s">
        <v>51</v>
      </c>
      <c r="AZ534">
        <v>0.221</v>
      </c>
    </row>
    <row r="535" spans="1:52" ht="30" customHeight="1">
      <c r="A535" s="1172" t="s">
        <v>1039</v>
      </c>
      <c r="B535" s="1172" t="s">
        <v>418</v>
      </c>
      <c r="C535" s="1172" t="s">
        <v>419</v>
      </c>
      <c r="D535" s="1171">
        <v>4.2999999999999997E-2</v>
      </c>
      <c r="E535" s="1173">
        <f>단가대비표!$O$572</f>
        <v>0</v>
      </c>
      <c r="F535" s="1174">
        <f>TRUNC(E535*D535,1)</f>
        <v>0</v>
      </c>
      <c r="G535" s="1173">
        <f>단가대비표!$P$572</f>
        <v>192305</v>
      </c>
      <c r="H535" s="1174">
        <f>TRUNC(G535*D535,1)</f>
        <v>8269.1</v>
      </c>
      <c r="I535" s="1173">
        <f>단가대비표!$V$572</f>
        <v>0</v>
      </c>
      <c r="J535" s="1174">
        <f>TRUNC(I535*D535,1)</f>
        <v>0</v>
      </c>
      <c r="K535" s="1173">
        <f t="shared" si="125"/>
        <v>192305</v>
      </c>
      <c r="L535" s="1174">
        <f t="shared" si="126"/>
        <v>8269.1</v>
      </c>
      <c r="M535" s="1175" t="s">
        <v>51</v>
      </c>
      <c r="N535" s="2"/>
      <c r="O535" s="2"/>
      <c r="P535" s="2"/>
      <c r="Q535" s="2"/>
      <c r="R535" s="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2"/>
      <c r="AW535" s="2"/>
      <c r="AX535" s="2"/>
      <c r="AY535" s="2"/>
    </row>
    <row r="536" spans="1:52" ht="30" customHeight="1">
      <c r="A536" s="8" t="s">
        <v>996</v>
      </c>
      <c r="B536" s="8" t="s">
        <v>947</v>
      </c>
      <c r="C536" s="8" t="s">
        <v>419</v>
      </c>
      <c r="D536" s="1171">
        <v>4.0000000000000001E-3</v>
      </c>
      <c r="E536" s="11">
        <f>단가대비표!O556</f>
        <v>0</v>
      </c>
      <c r="F536" s="12">
        <f t="shared" si="122"/>
        <v>0</v>
      </c>
      <c r="G536" s="11">
        <f>단가대비표!P556</f>
        <v>130264</v>
      </c>
      <c r="H536" s="12">
        <f t="shared" si="123"/>
        <v>521</v>
      </c>
      <c r="I536" s="11">
        <f>단가대비표!V556</f>
        <v>0</v>
      </c>
      <c r="J536" s="12">
        <f t="shared" si="124"/>
        <v>0</v>
      </c>
      <c r="K536" s="11">
        <f t="shared" si="125"/>
        <v>130264</v>
      </c>
      <c r="L536" s="12">
        <f t="shared" si="126"/>
        <v>521</v>
      </c>
      <c r="M536" s="522" t="s">
        <v>51</v>
      </c>
      <c r="N536" s="2" t="s">
        <v>631</v>
      </c>
      <c r="O536" s="2" t="s">
        <v>997</v>
      </c>
      <c r="P536" s="2" t="s">
        <v>62</v>
      </c>
      <c r="Q536" s="2" t="s">
        <v>62</v>
      </c>
      <c r="R536" s="2" t="s">
        <v>61</v>
      </c>
      <c r="S536" s="3"/>
      <c r="T536" s="3"/>
      <c r="U536" s="3"/>
      <c r="V536" s="3">
        <v>1</v>
      </c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2" t="s">
        <v>51</v>
      </c>
      <c r="AW536" s="2" t="s">
        <v>1586</v>
      </c>
      <c r="AX536" s="2" t="s">
        <v>51</v>
      </c>
      <c r="AY536" s="2" t="s">
        <v>51</v>
      </c>
      <c r="AZ536">
        <v>1.4999999999999999E-2</v>
      </c>
    </row>
    <row r="537" spans="1:52" ht="30" customHeight="1">
      <c r="A537" s="8" t="s">
        <v>1134</v>
      </c>
      <c r="B537" s="8" t="s">
        <v>6668</v>
      </c>
      <c r="C537" s="8" t="s">
        <v>82</v>
      </c>
      <c r="D537" s="9">
        <v>1</v>
      </c>
      <c r="E537" s="11">
        <f>TRUNC(SUMIF(V522:V537, RIGHTB(O537, 1), H522:H537)*U537, 2)</f>
        <v>31.26</v>
      </c>
      <c r="F537" s="12">
        <f t="shared" si="122"/>
        <v>31.2</v>
      </c>
      <c r="G537" s="11">
        <v>0</v>
      </c>
      <c r="H537" s="12">
        <f t="shared" si="123"/>
        <v>0</v>
      </c>
      <c r="I537" s="11">
        <v>0</v>
      </c>
      <c r="J537" s="12">
        <f t="shared" si="124"/>
        <v>0</v>
      </c>
      <c r="K537" s="11">
        <f t="shared" si="125"/>
        <v>31.2</v>
      </c>
      <c r="L537" s="12">
        <f t="shared" si="126"/>
        <v>31.2</v>
      </c>
      <c r="M537" s="522" t="s">
        <v>51</v>
      </c>
      <c r="N537" s="2" t="s">
        <v>631</v>
      </c>
      <c r="O537" s="2" t="s">
        <v>1036</v>
      </c>
      <c r="P537" s="2" t="s">
        <v>62</v>
      </c>
      <c r="Q537" s="2" t="s">
        <v>62</v>
      </c>
      <c r="R537" s="2" t="s">
        <v>62</v>
      </c>
      <c r="S537" s="3">
        <v>1</v>
      </c>
      <c r="T537" s="3">
        <v>0</v>
      </c>
      <c r="U537" s="3">
        <v>0.06</v>
      </c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2" t="s">
        <v>51</v>
      </c>
      <c r="AW537" s="2" t="s">
        <v>1588</v>
      </c>
      <c r="AX537" s="2" t="s">
        <v>51</v>
      </c>
      <c r="AY537" s="2" t="s">
        <v>51</v>
      </c>
    </row>
    <row r="538" spans="1:52" ht="30" customHeight="1">
      <c r="A538" s="8" t="s">
        <v>950</v>
      </c>
      <c r="B538" s="8" t="s">
        <v>51</v>
      </c>
      <c r="C538" s="8" t="s">
        <v>51</v>
      </c>
      <c r="D538" s="9"/>
      <c r="E538" s="11"/>
      <c r="F538" s="12">
        <f>TRUNC(SUM(F522:F537),0)</f>
        <v>5597</v>
      </c>
      <c r="G538" s="11"/>
      <c r="H538" s="1061">
        <f>TRUNC(SUM(H522:H537),0)</f>
        <v>8790</v>
      </c>
      <c r="I538" s="11"/>
      <c r="J538" s="1061">
        <f>TRUNC(SUM(J522:J537),0)</f>
        <v>0</v>
      </c>
      <c r="K538" s="11"/>
      <c r="L538" s="12">
        <f>F538+H538+J538</f>
        <v>14387</v>
      </c>
      <c r="M538" s="522" t="s">
        <v>51</v>
      </c>
      <c r="N538" s="2" t="s">
        <v>86</v>
      </c>
      <c r="O538" s="2" t="s">
        <v>86</v>
      </c>
      <c r="P538" s="2" t="s">
        <v>51</v>
      </c>
      <c r="Q538" s="2" t="s">
        <v>51</v>
      </c>
      <c r="R538" s="2" t="s">
        <v>51</v>
      </c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2" t="s">
        <v>51</v>
      </c>
      <c r="AW538" s="2" t="s">
        <v>51</v>
      </c>
      <c r="AX538" s="2" t="s">
        <v>51</v>
      </c>
      <c r="AY538" s="2" t="s">
        <v>51</v>
      </c>
      <c r="AZ538" s="1170">
        <v>54040</v>
      </c>
    </row>
    <row r="539" spans="1:52" ht="30" customHeight="1">
      <c r="A539" s="9"/>
      <c r="B539" s="9"/>
      <c r="C539" s="9"/>
      <c r="D539" s="9"/>
      <c r="E539" s="11"/>
      <c r="F539" s="12"/>
      <c r="G539" s="11"/>
      <c r="H539" s="12"/>
      <c r="I539" s="11"/>
      <c r="J539" s="12"/>
      <c r="K539" s="11"/>
      <c r="L539" s="12"/>
      <c r="M539" s="523"/>
    </row>
    <row r="540" spans="1:52" ht="30" customHeight="1">
      <c r="A540" s="1403" t="s">
        <v>4530</v>
      </c>
      <c r="B540" s="1403"/>
      <c r="C540" s="1403"/>
      <c r="D540" s="1403"/>
      <c r="E540" s="1404"/>
      <c r="F540" s="1405"/>
      <c r="G540" s="1404"/>
      <c r="H540" s="1405"/>
      <c r="I540" s="1404"/>
      <c r="J540" s="1405"/>
      <c r="K540" s="1404"/>
      <c r="L540" s="1405"/>
      <c r="M540" s="1403"/>
      <c r="N540" s="1" t="s">
        <v>635</v>
      </c>
    </row>
    <row r="541" spans="1:52" ht="30" customHeight="1">
      <c r="A541" s="8" t="s">
        <v>1039</v>
      </c>
      <c r="B541" s="8" t="s">
        <v>418</v>
      </c>
      <c r="C541" s="8" t="s">
        <v>419</v>
      </c>
      <c r="D541" s="9">
        <v>4.5999999999999999E-2</v>
      </c>
      <c r="E541" s="11">
        <f>단가대비표!O572</f>
        <v>0</v>
      </c>
      <c r="F541" s="12">
        <f>TRUNC(E541*D541,1)</f>
        <v>0</v>
      </c>
      <c r="G541" s="11">
        <f>단가대비표!P572</f>
        <v>192305</v>
      </c>
      <c r="H541" s="12">
        <f>TRUNC(G541*D541,1)</f>
        <v>8846</v>
      </c>
      <c r="I541" s="11">
        <f>단가대비표!V572</f>
        <v>0</v>
      </c>
      <c r="J541" s="12">
        <f>TRUNC(I541*D541,1)</f>
        <v>0</v>
      </c>
      <c r="K541" s="11">
        <f t="shared" ref="K541:L545" si="127">TRUNC(E541+G541+I541,1)</f>
        <v>192305</v>
      </c>
      <c r="L541" s="12">
        <f t="shared" si="127"/>
        <v>8846</v>
      </c>
      <c r="M541" s="522" t="s">
        <v>51</v>
      </c>
      <c r="N541" s="2" t="s">
        <v>635</v>
      </c>
      <c r="O541" s="2" t="s">
        <v>1040</v>
      </c>
      <c r="P541" s="2" t="s">
        <v>62</v>
      </c>
      <c r="Q541" s="2" t="s">
        <v>62</v>
      </c>
      <c r="R541" s="2" t="s">
        <v>61</v>
      </c>
      <c r="S541" s="3"/>
      <c r="T541" s="3"/>
      <c r="U541" s="3"/>
      <c r="V541" s="3">
        <v>1</v>
      </c>
      <c r="W541" s="3">
        <v>2</v>
      </c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2" t="s">
        <v>51</v>
      </c>
      <c r="AW541" s="2" t="s">
        <v>1590</v>
      </c>
      <c r="AX541" s="2" t="s">
        <v>51</v>
      </c>
      <c r="AY541" s="2" t="s">
        <v>51</v>
      </c>
    </row>
    <row r="542" spans="1:52" ht="30" customHeight="1">
      <c r="A542" s="8" t="s">
        <v>185</v>
      </c>
      <c r="B542" s="8" t="s">
        <v>1162</v>
      </c>
      <c r="C542" s="8" t="s">
        <v>59</v>
      </c>
      <c r="D542" s="9">
        <v>2</v>
      </c>
      <c r="E542" s="11">
        <f>단가대비표!O66</f>
        <v>2440</v>
      </c>
      <c r="F542" s="12">
        <f>TRUNC(E542*D542,1)</f>
        <v>4880</v>
      </c>
      <c r="G542" s="11">
        <f>단가대비표!P66</f>
        <v>0</v>
      </c>
      <c r="H542" s="12">
        <f>TRUNC(G542*D542,1)</f>
        <v>0</v>
      </c>
      <c r="I542" s="11">
        <f>단가대비표!V66</f>
        <v>0</v>
      </c>
      <c r="J542" s="12">
        <f>TRUNC(I542*D542,1)</f>
        <v>0</v>
      </c>
      <c r="K542" s="11">
        <f t="shared" si="127"/>
        <v>2440</v>
      </c>
      <c r="L542" s="12">
        <f t="shared" si="127"/>
        <v>4880</v>
      </c>
      <c r="M542" s="522" t="s">
        <v>51</v>
      </c>
      <c r="N542" s="2" t="s">
        <v>635</v>
      </c>
      <c r="O542" s="2" t="s">
        <v>1163</v>
      </c>
      <c r="P542" s="2" t="s">
        <v>62</v>
      </c>
      <c r="Q542" s="2" t="s">
        <v>62</v>
      </c>
      <c r="R542" s="2" t="s">
        <v>61</v>
      </c>
      <c r="S542" s="3"/>
      <c r="T542" s="3"/>
      <c r="U542" s="3"/>
      <c r="V542" s="3">
        <v>1</v>
      </c>
      <c r="W542" s="3">
        <v>2</v>
      </c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2" t="s">
        <v>51</v>
      </c>
      <c r="AW542" s="2" t="s">
        <v>1591</v>
      </c>
      <c r="AX542" s="2" t="s">
        <v>51</v>
      </c>
      <c r="AY542" s="2" t="s">
        <v>51</v>
      </c>
    </row>
    <row r="543" spans="1:52" ht="30" customHeight="1">
      <c r="A543" s="8" t="s">
        <v>996</v>
      </c>
      <c r="B543" s="8" t="s">
        <v>947</v>
      </c>
      <c r="C543" s="8" t="s">
        <v>419</v>
      </c>
      <c r="D543" s="9">
        <v>2.3E-2</v>
      </c>
      <c r="E543" s="11">
        <f>단가대비표!O556</f>
        <v>0</v>
      </c>
      <c r="F543" s="12">
        <f>TRUNC(E543*D543,1)</f>
        <v>0</v>
      </c>
      <c r="G543" s="11">
        <f>단가대비표!P556</f>
        <v>130264</v>
      </c>
      <c r="H543" s="12">
        <f>TRUNC(G543*D543,1)</f>
        <v>2996</v>
      </c>
      <c r="I543" s="11">
        <f>단가대비표!V556</f>
        <v>0</v>
      </c>
      <c r="J543" s="12">
        <f>TRUNC(I543*D543,1)</f>
        <v>0</v>
      </c>
      <c r="K543" s="11">
        <f t="shared" si="127"/>
        <v>130264</v>
      </c>
      <c r="L543" s="12">
        <f t="shared" si="127"/>
        <v>2996</v>
      </c>
      <c r="M543" s="522" t="s">
        <v>51</v>
      </c>
      <c r="N543" s="2" t="s">
        <v>635</v>
      </c>
      <c r="O543" s="2" t="s">
        <v>997</v>
      </c>
      <c r="P543" s="2" t="s">
        <v>62</v>
      </c>
      <c r="Q543" s="2" t="s">
        <v>62</v>
      </c>
      <c r="R543" s="2" t="s">
        <v>61</v>
      </c>
      <c r="S543" s="3"/>
      <c r="T543" s="3"/>
      <c r="U543" s="3"/>
      <c r="V543" s="3">
        <v>1</v>
      </c>
      <c r="W543" s="3">
        <v>2</v>
      </c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2" t="s">
        <v>51</v>
      </c>
      <c r="AW543" s="2" t="s">
        <v>1592</v>
      </c>
      <c r="AX543" s="2" t="s">
        <v>51</v>
      </c>
      <c r="AY543" s="2" t="s">
        <v>51</v>
      </c>
    </row>
    <row r="544" spans="1:52" ht="30" customHeight="1">
      <c r="A544" s="8" t="s">
        <v>1593</v>
      </c>
      <c r="B544" s="8" t="s">
        <v>1594</v>
      </c>
      <c r="C544" s="8" t="s">
        <v>82</v>
      </c>
      <c r="D544" s="9">
        <v>1</v>
      </c>
      <c r="E544" s="11">
        <v>0</v>
      </c>
      <c r="F544" s="12">
        <f>TRUNC(E544*D544,1)</f>
        <v>0</v>
      </c>
      <c r="G544" s="11">
        <f>TRUNC(SUMIF(V541:V545, RIGHTB(O544, 1), H541:H545)*U544, 2)</f>
        <v>3552.6</v>
      </c>
      <c r="H544" s="12">
        <f>TRUNC(G544*D544,1)</f>
        <v>3552.6</v>
      </c>
      <c r="I544" s="11">
        <v>0</v>
      </c>
      <c r="J544" s="12">
        <f>TRUNC(I544*D544,1)</f>
        <v>0</v>
      </c>
      <c r="K544" s="11">
        <f t="shared" si="127"/>
        <v>3552.6</v>
      </c>
      <c r="L544" s="12">
        <f t="shared" si="127"/>
        <v>3552.6</v>
      </c>
      <c r="M544" s="522" t="s">
        <v>51</v>
      </c>
      <c r="N544" s="2" t="s">
        <v>635</v>
      </c>
      <c r="O544" s="2" t="s">
        <v>1036</v>
      </c>
      <c r="P544" s="2" t="s">
        <v>62</v>
      </c>
      <c r="Q544" s="2" t="s">
        <v>62</v>
      </c>
      <c r="R544" s="2" t="s">
        <v>62</v>
      </c>
      <c r="S544" s="3">
        <v>1</v>
      </c>
      <c r="T544" s="3">
        <v>1</v>
      </c>
      <c r="U544" s="3">
        <v>0.3</v>
      </c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2" t="s">
        <v>51</v>
      </c>
      <c r="AW544" s="2" t="s">
        <v>1595</v>
      </c>
      <c r="AX544" s="2" t="s">
        <v>51</v>
      </c>
      <c r="AY544" s="2" t="s">
        <v>51</v>
      </c>
    </row>
    <row r="545" spans="1:52" ht="30" customHeight="1">
      <c r="A545" s="8" t="s">
        <v>1134</v>
      </c>
      <c r="B545" s="8" t="s">
        <v>1596</v>
      </c>
      <c r="C545" s="8" t="s">
        <v>82</v>
      </c>
      <c r="D545" s="9">
        <v>1</v>
      </c>
      <c r="E545" s="11">
        <v>0</v>
      </c>
      <c r="F545" s="12">
        <f>TRUNC(E545*D545,1)</f>
        <v>0</v>
      </c>
      <c r="G545" s="11">
        <v>0</v>
      </c>
      <c r="H545" s="12">
        <f>TRUNC(G545*D545,1)</f>
        <v>0</v>
      </c>
      <c r="I545" s="11">
        <f>TRUNC(SUMIF(W541:W545, RIGHTB(O545, 1), H541:H545)*U545, 2)</f>
        <v>118.42</v>
      </c>
      <c r="J545" s="12">
        <f>TRUNC(I545*D545,1)</f>
        <v>118.4</v>
      </c>
      <c r="K545" s="11">
        <f t="shared" si="127"/>
        <v>118.4</v>
      </c>
      <c r="L545" s="12">
        <f t="shared" si="127"/>
        <v>118.4</v>
      </c>
      <c r="M545" s="522" t="s">
        <v>51</v>
      </c>
      <c r="N545" s="2" t="s">
        <v>635</v>
      </c>
      <c r="O545" s="2" t="s">
        <v>1251</v>
      </c>
      <c r="P545" s="2" t="s">
        <v>62</v>
      </c>
      <c r="Q545" s="2" t="s">
        <v>62</v>
      </c>
      <c r="R545" s="2" t="s">
        <v>62</v>
      </c>
      <c r="S545" s="3">
        <v>1</v>
      </c>
      <c r="T545" s="3">
        <v>2</v>
      </c>
      <c r="U545" s="3">
        <v>0.01</v>
      </c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2" t="s">
        <v>51</v>
      </c>
      <c r="AW545" s="2" t="s">
        <v>1597</v>
      </c>
      <c r="AX545" s="2" t="s">
        <v>51</v>
      </c>
      <c r="AY545" s="2" t="s">
        <v>51</v>
      </c>
    </row>
    <row r="546" spans="1:52" ht="30" customHeight="1">
      <c r="A546" s="8" t="s">
        <v>950</v>
      </c>
      <c r="B546" s="8" t="s">
        <v>51</v>
      </c>
      <c r="C546" s="8" t="s">
        <v>51</v>
      </c>
      <c r="D546" s="9"/>
      <c r="E546" s="11"/>
      <c r="F546" s="12">
        <f>TRUNC(SUMIF(N541:N545, N540, F541:F545),0)</f>
        <v>4880</v>
      </c>
      <c r="G546" s="11"/>
      <c r="H546" s="12">
        <f>TRUNC(SUMIF(N541:N545, N540, H541:H545),0)</f>
        <v>15394</v>
      </c>
      <c r="I546" s="11"/>
      <c r="J546" s="12">
        <f>TRUNC(SUMIF(N541:N545, N540, J541:J545),0)</f>
        <v>118</v>
      </c>
      <c r="K546" s="11"/>
      <c r="L546" s="12">
        <f>F546+H546+J546</f>
        <v>20392</v>
      </c>
      <c r="M546" s="522" t="s">
        <v>51</v>
      </c>
      <c r="N546" s="2" t="s">
        <v>86</v>
      </c>
      <c r="O546" s="2" t="s">
        <v>86</v>
      </c>
      <c r="P546" s="2" t="s">
        <v>51</v>
      </c>
      <c r="Q546" s="2" t="s">
        <v>51</v>
      </c>
      <c r="R546" s="2" t="s">
        <v>51</v>
      </c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2" t="s">
        <v>51</v>
      </c>
      <c r="AW546" s="2" t="s">
        <v>51</v>
      </c>
      <c r="AX546" s="2" t="s">
        <v>51</v>
      </c>
      <c r="AY546" s="2" t="s">
        <v>51</v>
      </c>
    </row>
    <row r="547" spans="1:52" ht="30" customHeight="1">
      <c r="A547" s="9"/>
      <c r="B547" s="9"/>
      <c r="C547" s="9"/>
      <c r="D547" s="9"/>
      <c r="E547" s="11"/>
      <c r="F547" s="12"/>
      <c r="G547" s="11"/>
      <c r="H547" s="12"/>
      <c r="I547" s="11"/>
      <c r="J547" s="12"/>
      <c r="K547" s="11"/>
      <c r="L547" s="12"/>
      <c r="M547" s="523"/>
    </row>
    <row r="548" spans="1:52" ht="30" customHeight="1">
      <c r="A548" s="1400" t="s">
        <v>4531</v>
      </c>
      <c r="B548" s="1400"/>
      <c r="C548" s="1400"/>
      <c r="D548" s="1400"/>
      <c r="E548" s="1401"/>
      <c r="F548" s="1402"/>
      <c r="G548" s="1401"/>
      <c r="H548" s="1402"/>
      <c r="I548" s="1401"/>
      <c r="J548" s="1402"/>
      <c r="K548" s="1401"/>
      <c r="L548" s="1402"/>
      <c r="M548" s="1400"/>
      <c r="N548" s="1" t="s">
        <v>638</v>
      </c>
      <c r="AZ548" t="s">
        <v>6689</v>
      </c>
    </row>
    <row r="549" spans="1:52" ht="30" customHeight="1">
      <c r="A549" s="8" t="s">
        <v>637</v>
      </c>
      <c r="B549" s="8" t="s">
        <v>1599</v>
      </c>
      <c r="C549" s="8" t="s">
        <v>1230</v>
      </c>
      <c r="D549" s="1171">
        <v>0</v>
      </c>
      <c r="E549" s="11">
        <f>단가대비표!O508</f>
        <v>3922.22</v>
      </c>
      <c r="F549" s="12">
        <f t="shared" ref="F549:F554" si="128">TRUNC(E549*D549,1)</f>
        <v>0</v>
      </c>
      <c r="G549" s="11">
        <f>단가대비표!P508</f>
        <v>0</v>
      </c>
      <c r="H549" s="12">
        <f t="shared" ref="H549:H554" si="129">TRUNC(G549*D549,1)</f>
        <v>0</v>
      </c>
      <c r="I549" s="11">
        <f>단가대비표!V508</f>
        <v>0</v>
      </c>
      <c r="J549" s="12">
        <f t="shared" ref="J549:J554" si="130">TRUNC(I549*D549,1)</f>
        <v>0</v>
      </c>
      <c r="K549" s="11">
        <f t="shared" ref="K549:L553" si="131">TRUNC(E549+G549+I549,1)</f>
        <v>3922.2</v>
      </c>
      <c r="L549" s="12">
        <f t="shared" si="131"/>
        <v>0</v>
      </c>
      <c r="M549" s="522" t="s">
        <v>51</v>
      </c>
      <c r="N549" s="2" t="s">
        <v>638</v>
      </c>
      <c r="O549" s="2" t="s">
        <v>1600</v>
      </c>
      <c r="P549" s="2" t="s">
        <v>62</v>
      </c>
      <c r="Q549" s="2" t="s">
        <v>62</v>
      </c>
      <c r="R549" s="2" t="s">
        <v>61</v>
      </c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2" t="s">
        <v>51</v>
      </c>
      <c r="AW549" s="2" t="s">
        <v>1601</v>
      </c>
      <c r="AX549" s="2" t="s">
        <v>51</v>
      </c>
      <c r="AY549" s="2" t="s">
        <v>51</v>
      </c>
      <c r="AZ549">
        <v>0.35520000000000002</v>
      </c>
    </row>
    <row r="550" spans="1:52" ht="30" customHeight="1">
      <c r="A550" s="8" t="s">
        <v>1246</v>
      </c>
      <c r="B550" s="8" t="s">
        <v>1247</v>
      </c>
      <c r="C550" s="8" t="s">
        <v>82</v>
      </c>
      <c r="D550" s="1171">
        <v>0</v>
      </c>
      <c r="E550" s="11">
        <f>TRUNC(SUMIF(V549:V553, RIGHTB(O550, 1), F549:F553)*U550, 2)</f>
        <v>0</v>
      </c>
      <c r="F550" s="12">
        <f t="shared" si="128"/>
        <v>0</v>
      </c>
      <c r="G550" s="11">
        <v>0</v>
      </c>
      <c r="H550" s="12">
        <f t="shared" si="129"/>
        <v>0</v>
      </c>
      <c r="I550" s="11">
        <v>0</v>
      </c>
      <c r="J550" s="12">
        <f t="shared" si="130"/>
        <v>0</v>
      </c>
      <c r="K550" s="11">
        <f t="shared" si="131"/>
        <v>0</v>
      </c>
      <c r="L550" s="12">
        <f t="shared" si="131"/>
        <v>0</v>
      </c>
      <c r="M550" s="522" t="s">
        <v>51</v>
      </c>
      <c r="N550" s="2" t="s">
        <v>638</v>
      </c>
      <c r="O550" s="2" t="s">
        <v>1036</v>
      </c>
      <c r="P550" s="2" t="s">
        <v>62</v>
      </c>
      <c r="Q550" s="2" t="s">
        <v>62</v>
      </c>
      <c r="R550" s="2" t="s">
        <v>62</v>
      </c>
      <c r="S550" s="3">
        <v>0</v>
      </c>
      <c r="T550" s="3">
        <v>0</v>
      </c>
      <c r="U550" s="3">
        <v>0.05</v>
      </c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2" t="s">
        <v>51</v>
      </c>
      <c r="AW550" s="2" t="s">
        <v>1602</v>
      </c>
      <c r="AX550" s="2" t="s">
        <v>51</v>
      </c>
      <c r="AY550" s="2" t="s">
        <v>51</v>
      </c>
      <c r="AZ550">
        <v>1</v>
      </c>
    </row>
    <row r="551" spans="1:52" ht="30" customHeight="1">
      <c r="A551" s="8" t="s">
        <v>1233</v>
      </c>
      <c r="B551" s="8" t="s">
        <v>1234</v>
      </c>
      <c r="C551" s="8" t="s">
        <v>979</v>
      </c>
      <c r="D551" s="1171">
        <v>0</v>
      </c>
      <c r="E551" s="11">
        <f>단가대비표!O485</f>
        <v>200</v>
      </c>
      <c r="F551" s="12">
        <f t="shared" si="128"/>
        <v>0</v>
      </c>
      <c r="G551" s="11">
        <f>단가대비표!P485</f>
        <v>0</v>
      </c>
      <c r="H551" s="12">
        <f t="shared" si="129"/>
        <v>0</v>
      </c>
      <c r="I551" s="11">
        <f>단가대비표!V485</f>
        <v>0</v>
      </c>
      <c r="J551" s="12">
        <f t="shared" si="130"/>
        <v>0</v>
      </c>
      <c r="K551" s="11">
        <f t="shared" si="131"/>
        <v>200</v>
      </c>
      <c r="L551" s="12">
        <f t="shared" si="131"/>
        <v>0</v>
      </c>
      <c r="M551" s="522" t="s">
        <v>51</v>
      </c>
      <c r="N551" s="2" t="s">
        <v>638</v>
      </c>
      <c r="O551" s="2" t="s">
        <v>1235</v>
      </c>
      <c r="P551" s="2" t="s">
        <v>62</v>
      </c>
      <c r="Q551" s="2" t="s">
        <v>62</v>
      </c>
      <c r="R551" s="2" t="s">
        <v>61</v>
      </c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2" t="s">
        <v>51</v>
      </c>
      <c r="AW551" s="2" t="s">
        <v>1603</v>
      </c>
      <c r="AX551" s="2" t="s">
        <v>51</v>
      </c>
      <c r="AY551" s="2" t="s">
        <v>51</v>
      </c>
      <c r="AZ551">
        <v>0.25</v>
      </c>
    </row>
    <row r="552" spans="1:52" ht="30" customHeight="1">
      <c r="A552" s="8" t="s">
        <v>1107</v>
      </c>
      <c r="B552" s="8" t="s">
        <v>418</v>
      </c>
      <c r="C552" s="8" t="s">
        <v>419</v>
      </c>
      <c r="D552" s="1171">
        <v>0</v>
      </c>
      <c r="E552" s="11">
        <f>단가대비표!O571</f>
        <v>0</v>
      </c>
      <c r="F552" s="12">
        <f t="shared" si="128"/>
        <v>0</v>
      </c>
      <c r="G552" s="11">
        <f>단가대비표!P571</f>
        <v>188854</v>
      </c>
      <c r="H552" s="12">
        <f t="shared" si="129"/>
        <v>0</v>
      </c>
      <c r="I552" s="11">
        <f>단가대비표!V571</f>
        <v>0</v>
      </c>
      <c r="J552" s="12">
        <f t="shared" si="130"/>
        <v>0</v>
      </c>
      <c r="K552" s="11">
        <f t="shared" si="131"/>
        <v>188854</v>
      </c>
      <c r="L552" s="12">
        <f t="shared" si="131"/>
        <v>0</v>
      </c>
      <c r="M552" s="522" t="s">
        <v>51</v>
      </c>
      <c r="N552" s="2" t="s">
        <v>638</v>
      </c>
      <c r="O552" s="2" t="s">
        <v>1108</v>
      </c>
      <c r="P552" s="2" t="s">
        <v>62</v>
      </c>
      <c r="Q552" s="2" t="s">
        <v>62</v>
      </c>
      <c r="R552" s="2" t="s">
        <v>61</v>
      </c>
      <c r="S552" s="3"/>
      <c r="T552" s="3"/>
      <c r="U552" s="3"/>
      <c r="V552" s="3"/>
      <c r="W552" s="3">
        <v>2</v>
      </c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2" t="s">
        <v>51</v>
      </c>
      <c r="AW552" s="2" t="s">
        <v>1604</v>
      </c>
      <c r="AX552" s="2" t="s">
        <v>51</v>
      </c>
      <c r="AY552" s="2" t="s">
        <v>51</v>
      </c>
      <c r="AZ552">
        <v>6.8400000000000002E-2</v>
      </c>
    </row>
    <row r="553" spans="1:52" ht="30" customHeight="1">
      <c r="A553" s="8" t="s">
        <v>1134</v>
      </c>
      <c r="B553" s="8" t="s">
        <v>1178</v>
      </c>
      <c r="C553" s="8" t="s">
        <v>82</v>
      </c>
      <c r="D553" s="1171">
        <v>0</v>
      </c>
      <c r="E553" s="11">
        <f>TRUNC(SUMIF(W549:W553, RIGHTB(O553, 1), H549:H553)*U553, 2)</f>
        <v>0</v>
      </c>
      <c r="F553" s="12">
        <f t="shared" si="128"/>
        <v>0</v>
      </c>
      <c r="G553" s="11">
        <v>0</v>
      </c>
      <c r="H553" s="12">
        <f t="shared" si="129"/>
        <v>0</v>
      </c>
      <c r="I553" s="11">
        <v>0</v>
      </c>
      <c r="J553" s="12">
        <f t="shared" si="130"/>
        <v>0</v>
      </c>
      <c r="K553" s="11">
        <f t="shared" si="131"/>
        <v>0</v>
      </c>
      <c r="L553" s="12">
        <f t="shared" si="131"/>
        <v>0</v>
      </c>
      <c r="M553" s="522" t="s">
        <v>51</v>
      </c>
      <c r="N553" s="2" t="s">
        <v>638</v>
      </c>
      <c r="O553" s="2" t="s">
        <v>1251</v>
      </c>
      <c r="P553" s="2" t="s">
        <v>62</v>
      </c>
      <c r="Q553" s="2" t="s">
        <v>62</v>
      </c>
      <c r="R553" s="2" t="s">
        <v>62</v>
      </c>
      <c r="S553" s="3">
        <v>1</v>
      </c>
      <c r="T553" s="3">
        <v>0</v>
      </c>
      <c r="U553" s="3">
        <v>0.02</v>
      </c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2" t="s">
        <v>51</v>
      </c>
      <c r="AW553" s="2" t="s">
        <v>1605</v>
      </c>
      <c r="AX553" s="2" t="s">
        <v>51</v>
      </c>
      <c r="AY553" s="2" t="s">
        <v>51</v>
      </c>
      <c r="AZ553">
        <v>1</v>
      </c>
    </row>
    <row r="554" spans="1:52" ht="30" customHeight="1">
      <c r="A554" s="1172" t="s">
        <v>6686</v>
      </c>
      <c r="B554" s="1172" t="s">
        <v>6687</v>
      </c>
      <c r="C554" s="1172" t="s">
        <v>6688</v>
      </c>
      <c r="D554" s="1171">
        <v>1</v>
      </c>
      <c r="E554" s="1173">
        <v>4200</v>
      </c>
      <c r="F554" s="1174">
        <f t="shared" si="128"/>
        <v>4200</v>
      </c>
      <c r="G554" s="1173">
        <v>9200</v>
      </c>
      <c r="H554" s="1174">
        <f t="shared" si="129"/>
        <v>9200</v>
      </c>
      <c r="I554" s="1173">
        <v>0</v>
      </c>
      <c r="J554" s="1174">
        <f t="shared" si="130"/>
        <v>0</v>
      </c>
      <c r="K554" s="1173">
        <f t="shared" ref="K554" si="132">TRUNC(E554+G554+I554,1)</f>
        <v>13400</v>
      </c>
      <c r="L554" s="1174">
        <f t="shared" ref="L554" si="133">TRUNC(F554+H554+J554,1)</f>
        <v>13400</v>
      </c>
      <c r="M554" s="1175"/>
      <c r="N554" s="2"/>
      <c r="O554" s="2"/>
      <c r="P554" s="2"/>
      <c r="Q554" s="2"/>
      <c r="R554" s="2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2"/>
      <c r="AW554" s="2"/>
      <c r="AX554" s="2"/>
      <c r="AY554" s="2"/>
    </row>
    <row r="555" spans="1:52" ht="30" customHeight="1">
      <c r="A555" s="8" t="s">
        <v>950</v>
      </c>
      <c r="B555" s="8" t="s">
        <v>51</v>
      </c>
      <c r="C555" s="8" t="s">
        <v>51</v>
      </c>
      <c r="D555" s="9"/>
      <c r="E555" s="11"/>
      <c r="F555" s="12">
        <f>TRUNC(SUM(F549:F554),0)</f>
        <v>4200</v>
      </c>
      <c r="G555" s="11"/>
      <c r="H555" s="1061">
        <f>TRUNC(SUM(H549:H554),0)</f>
        <v>9200</v>
      </c>
      <c r="I555" s="11"/>
      <c r="J555" s="1061">
        <f>TRUNC(SUM(J549:J554),0)</f>
        <v>0</v>
      </c>
      <c r="K555" s="11"/>
      <c r="L555" s="12">
        <f>F555+H555+J555</f>
        <v>13400</v>
      </c>
      <c r="M555" s="522" t="s">
        <v>51</v>
      </c>
      <c r="N555" s="2" t="s">
        <v>86</v>
      </c>
      <c r="O555" s="2" t="s">
        <v>86</v>
      </c>
      <c r="P555" s="2" t="s">
        <v>51</v>
      </c>
      <c r="Q555" s="2" t="s">
        <v>51</v>
      </c>
      <c r="R555" s="2" t="s">
        <v>51</v>
      </c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2" t="s">
        <v>51</v>
      </c>
      <c r="AW555" s="2" t="s">
        <v>51</v>
      </c>
      <c r="AX555" s="2" t="s">
        <v>51</v>
      </c>
      <c r="AY555" s="2" t="s">
        <v>51</v>
      </c>
      <c r="AZ555" s="1170">
        <v>14618</v>
      </c>
    </row>
    <row r="556" spans="1:52" ht="30" customHeight="1">
      <c r="A556" s="9"/>
      <c r="B556" s="9"/>
      <c r="C556" s="9"/>
      <c r="D556" s="9"/>
      <c r="E556" s="11"/>
      <c r="F556" s="12"/>
      <c r="G556" s="11"/>
      <c r="H556" s="12"/>
      <c r="I556" s="11"/>
      <c r="J556" s="12"/>
      <c r="K556" s="11"/>
      <c r="L556" s="12"/>
      <c r="M556" s="523"/>
    </row>
    <row r="557" spans="1:52" ht="30" customHeight="1">
      <c r="A557" s="1403" t="s">
        <v>4532</v>
      </c>
      <c r="B557" s="1403"/>
      <c r="C557" s="1403"/>
      <c r="D557" s="1403"/>
      <c r="E557" s="1404"/>
      <c r="F557" s="1405"/>
      <c r="G557" s="1404"/>
      <c r="H557" s="1405"/>
      <c r="I557" s="1404"/>
      <c r="J557" s="1405"/>
      <c r="K557" s="1404"/>
      <c r="L557" s="1405"/>
      <c r="M557" s="1403"/>
      <c r="N557" s="1" t="s">
        <v>645</v>
      </c>
    </row>
    <row r="558" spans="1:52" ht="30" customHeight="1">
      <c r="A558" s="8" t="s">
        <v>1181</v>
      </c>
      <c r="B558" s="8" t="s">
        <v>1607</v>
      </c>
      <c r="C558" s="8" t="s">
        <v>59</v>
      </c>
      <c r="D558" s="9">
        <v>1</v>
      </c>
      <c r="E558" s="11">
        <f>단가대비표!O34</f>
        <v>3426.49</v>
      </c>
      <c r="F558" s="12">
        <f>TRUNC(E558*D558,1)</f>
        <v>3426.4</v>
      </c>
      <c r="G558" s="11">
        <f>단가대비표!P34</f>
        <v>0</v>
      </c>
      <c r="H558" s="12">
        <f>TRUNC(G558*D558,1)</f>
        <v>0</v>
      </c>
      <c r="I558" s="11">
        <f>단가대비표!V34</f>
        <v>0</v>
      </c>
      <c r="J558" s="12">
        <f>TRUNC(I558*D558,1)</f>
        <v>0</v>
      </c>
      <c r="K558" s="11">
        <f>TRUNC(E558+G558+I558,1)</f>
        <v>3426.4</v>
      </c>
      <c r="L558" s="12">
        <f>TRUNC(F558+H558+J558,1)</f>
        <v>3426.4</v>
      </c>
      <c r="M558" s="522" t="s">
        <v>51</v>
      </c>
      <c r="N558" s="2" t="s">
        <v>645</v>
      </c>
      <c r="O558" s="2" t="s">
        <v>1608</v>
      </c>
      <c r="P558" s="2" t="s">
        <v>62</v>
      </c>
      <c r="Q558" s="2" t="s">
        <v>62</v>
      </c>
      <c r="R558" s="2" t="s">
        <v>61</v>
      </c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2" t="s">
        <v>51</v>
      </c>
      <c r="AW558" s="2" t="s">
        <v>1609</v>
      </c>
      <c r="AX558" s="2" t="s">
        <v>51</v>
      </c>
      <c r="AY558" s="2" t="s">
        <v>51</v>
      </c>
    </row>
    <row r="559" spans="1:52" ht="30" customHeight="1">
      <c r="A559" s="8" t="s">
        <v>1185</v>
      </c>
      <c r="B559" s="8" t="s">
        <v>1186</v>
      </c>
      <c r="C559" s="8" t="s">
        <v>59</v>
      </c>
      <c r="D559" s="9">
        <v>1</v>
      </c>
      <c r="E559" s="11">
        <f>일위대가목록!F107</f>
        <v>0</v>
      </c>
      <c r="F559" s="12">
        <f>TRUNC(E559*D559,1)</f>
        <v>0</v>
      </c>
      <c r="G559" s="11">
        <f>일위대가목록!H107</f>
        <v>12993</v>
      </c>
      <c r="H559" s="12">
        <f>TRUNC(G559*D559,1)</f>
        <v>12993</v>
      </c>
      <c r="I559" s="11">
        <f>일위대가목록!J107</f>
        <v>259</v>
      </c>
      <c r="J559" s="12">
        <f>TRUNC(I559*D559,1)</f>
        <v>259</v>
      </c>
      <c r="K559" s="11">
        <f>TRUNC(E559+G559+I559,1)</f>
        <v>13252</v>
      </c>
      <c r="L559" s="12">
        <f>TRUNC(F559+H559+J559,1)</f>
        <v>13252</v>
      </c>
      <c r="M559" s="522" t="s">
        <v>1744</v>
      </c>
      <c r="N559" s="2" t="s">
        <v>645</v>
      </c>
      <c r="O559" s="2" t="s">
        <v>1187</v>
      </c>
      <c r="P559" s="2" t="s">
        <v>61</v>
      </c>
      <c r="Q559" s="2" t="s">
        <v>62</v>
      </c>
      <c r="R559" s="2" t="s">
        <v>62</v>
      </c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2" t="s">
        <v>51</v>
      </c>
      <c r="AW559" s="2" t="s">
        <v>1610</v>
      </c>
      <c r="AX559" s="2" t="s">
        <v>51</v>
      </c>
      <c r="AY559" s="2" t="s">
        <v>51</v>
      </c>
    </row>
    <row r="560" spans="1:52" ht="30" customHeight="1">
      <c r="A560" s="8" t="s">
        <v>950</v>
      </c>
      <c r="B560" s="8" t="s">
        <v>51</v>
      </c>
      <c r="C560" s="8" t="s">
        <v>51</v>
      </c>
      <c r="D560" s="9"/>
      <c r="E560" s="11"/>
      <c r="F560" s="12">
        <f>TRUNC(SUMIF(N558:N559, N557, F558:F559),0)</f>
        <v>3426</v>
      </c>
      <c r="G560" s="11"/>
      <c r="H560" s="12">
        <f>TRUNC(SUMIF(N558:N559, N557, H558:H559),0)</f>
        <v>12993</v>
      </c>
      <c r="I560" s="11"/>
      <c r="J560" s="12">
        <f>TRUNC(SUMIF(N558:N559, N557, J558:J559),0)</f>
        <v>259</v>
      </c>
      <c r="K560" s="11"/>
      <c r="L560" s="12">
        <f>F560+H560+J560</f>
        <v>16678</v>
      </c>
      <c r="M560" s="522" t="s">
        <v>51</v>
      </c>
      <c r="N560" s="2" t="s">
        <v>86</v>
      </c>
      <c r="O560" s="2" t="s">
        <v>86</v>
      </c>
      <c r="P560" s="2" t="s">
        <v>51</v>
      </c>
      <c r="Q560" s="2" t="s">
        <v>51</v>
      </c>
      <c r="R560" s="2" t="s">
        <v>51</v>
      </c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2" t="s">
        <v>51</v>
      </c>
      <c r="AW560" s="2" t="s">
        <v>51</v>
      </c>
      <c r="AX560" s="2" t="s">
        <v>51</v>
      </c>
      <c r="AY560" s="2" t="s">
        <v>51</v>
      </c>
    </row>
    <row r="561" spans="1:51" ht="30" customHeight="1">
      <c r="A561" s="9"/>
      <c r="B561" s="9"/>
      <c r="C561" s="9"/>
      <c r="D561" s="9"/>
      <c r="E561" s="11"/>
      <c r="F561" s="12"/>
      <c r="G561" s="11"/>
      <c r="H561" s="12"/>
      <c r="I561" s="11"/>
      <c r="J561" s="12"/>
      <c r="K561" s="11"/>
      <c r="L561" s="12"/>
      <c r="M561" s="523"/>
    </row>
    <row r="562" spans="1:51" s="384" customFormat="1" ht="30" customHeight="1">
      <c r="A562" s="1403" t="s">
        <v>4533</v>
      </c>
      <c r="B562" s="1403"/>
      <c r="C562" s="1403"/>
      <c r="D562" s="1403"/>
      <c r="E562" s="1404"/>
      <c r="F562" s="1405"/>
      <c r="G562" s="1404"/>
      <c r="H562" s="1405"/>
      <c r="I562" s="1404"/>
      <c r="J562" s="1405"/>
      <c r="K562" s="1404"/>
      <c r="L562" s="1405"/>
      <c r="M562" s="1403"/>
      <c r="N562" s="439" t="s">
        <v>674</v>
      </c>
    </row>
    <row r="563" spans="1:51" s="384" customFormat="1" ht="30" customHeight="1">
      <c r="A563" s="8" t="s">
        <v>4725</v>
      </c>
      <c r="B563" s="8" t="s">
        <v>4728</v>
      </c>
      <c r="C563" s="8" t="s">
        <v>4727</v>
      </c>
      <c r="D563" s="401">
        <v>0.25</v>
      </c>
      <c r="E563" s="402">
        <f>단가대비표!O59</f>
        <v>40000</v>
      </c>
      <c r="F563" s="403">
        <f>TRUNC(E563*D563,1)</f>
        <v>10000</v>
      </c>
      <c r="G563" s="402">
        <f>단가대비표!P55</f>
        <v>0</v>
      </c>
      <c r="H563" s="403">
        <f>TRUNC(G563*D563,1)</f>
        <v>0</v>
      </c>
      <c r="I563" s="402">
        <f>단가대비표!V55</f>
        <v>0</v>
      </c>
      <c r="J563" s="403">
        <f>TRUNC(I563*D563,1)</f>
        <v>0</v>
      </c>
      <c r="K563" s="402">
        <f t="shared" ref="K563:L565" si="134">TRUNC(E563+G563+I563,1)</f>
        <v>40000</v>
      </c>
      <c r="L563" s="403">
        <f t="shared" si="134"/>
        <v>10000</v>
      </c>
      <c r="M563" s="522" t="s">
        <v>51</v>
      </c>
      <c r="N563" s="400" t="s">
        <v>674</v>
      </c>
      <c r="O563" s="400" t="s">
        <v>1613</v>
      </c>
      <c r="P563" s="400" t="s">
        <v>62</v>
      </c>
      <c r="Q563" s="400" t="s">
        <v>62</v>
      </c>
      <c r="R563" s="400" t="s">
        <v>61</v>
      </c>
      <c r="S563" s="438"/>
      <c r="T563" s="438"/>
      <c r="U563" s="438"/>
      <c r="V563" s="438"/>
      <c r="W563" s="438"/>
      <c r="X563" s="438"/>
      <c r="Y563" s="438"/>
      <c r="Z563" s="438"/>
      <c r="AA563" s="438"/>
      <c r="AB563" s="438"/>
      <c r="AC563" s="438"/>
      <c r="AD563" s="438"/>
      <c r="AE563" s="438"/>
      <c r="AF563" s="438"/>
      <c r="AG563" s="438"/>
      <c r="AH563" s="438"/>
      <c r="AI563" s="438"/>
      <c r="AJ563" s="438"/>
      <c r="AK563" s="438"/>
      <c r="AL563" s="438"/>
      <c r="AM563" s="438"/>
      <c r="AN563" s="438"/>
      <c r="AO563" s="438"/>
      <c r="AP563" s="438"/>
      <c r="AQ563" s="438"/>
      <c r="AR563" s="438"/>
      <c r="AS563" s="438"/>
      <c r="AT563" s="438"/>
      <c r="AU563" s="438"/>
      <c r="AV563" s="400" t="s">
        <v>51</v>
      </c>
      <c r="AW563" s="400" t="s">
        <v>1614</v>
      </c>
      <c r="AX563" s="400" t="s">
        <v>51</v>
      </c>
      <c r="AY563" s="400" t="s">
        <v>51</v>
      </c>
    </row>
    <row r="564" spans="1:51" s="384" customFormat="1" ht="30" customHeight="1">
      <c r="A564" s="8" t="s">
        <v>4724</v>
      </c>
      <c r="B564" s="8" t="s">
        <v>4730</v>
      </c>
      <c r="C564" s="8" t="s">
        <v>419</v>
      </c>
      <c r="D564" s="401">
        <v>0.04</v>
      </c>
      <c r="E564" s="402">
        <f>단가대비표!O568</f>
        <v>0</v>
      </c>
      <c r="F564" s="403">
        <f>TRUNC(E564*D564,1)</f>
        <v>0</v>
      </c>
      <c r="G564" s="402">
        <f>단가대비표!P571</f>
        <v>188854</v>
      </c>
      <c r="H564" s="403">
        <f>TRUNC(G564*D564,1)</f>
        <v>7554.1</v>
      </c>
      <c r="I564" s="402">
        <f>단가대비표!V568</f>
        <v>0</v>
      </c>
      <c r="J564" s="403">
        <f>TRUNC(I564*D564,1)</f>
        <v>0</v>
      </c>
      <c r="K564" s="402">
        <f t="shared" si="134"/>
        <v>188854</v>
      </c>
      <c r="L564" s="403">
        <f t="shared" si="134"/>
        <v>7554.1</v>
      </c>
      <c r="M564" s="522" t="s">
        <v>51</v>
      </c>
      <c r="N564" s="400" t="s">
        <v>674</v>
      </c>
      <c r="O564" s="400" t="s">
        <v>948</v>
      </c>
      <c r="P564" s="400" t="s">
        <v>62</v>
      </c>
      <c r="Q564" s="400" t="s">
        <v>62</v>
      </c>
      <c r="R564" s="400" t="s">
        <v>61</v>
      </c>
      <c r="S564" s="438"/>
      <c r="T564" s="438"/>
      <c r="U564" s="438"/>
      <c r="V564" s="438"/>
      <c r="W564" s="438"/>
      <c r="X564" s="438"/>
      <c r="Y564" s="438"/>
      <c r="Z564" s="438"/>
      <c r="AA564" s="438"/>
      <c r="AB564" s="438"/>
      <c r="AC564" s="438"/>
      <c r="AD564" s="438"/>
      <c r="AE564" s="438"/>
      <c r="AF564" s="438"/>
      <c r="AG564" s="438"/>
      <c r="AH564" s="438"/>
      <c r="AI564" s="438"/>
      <c r="AJ564" s="438"/>
      <c r="AK564" s="438"/>
      <c r="AL564" s="438"/>
      <c r="AM564" s="438"/>
      <c r="AN564" s="438"/>
      <c r="AO564" s="438"/>
      <c r="AP564" s="438"/>
      <c r="AQ564" s="438"/>
      <c r="AR564" s="438"/>
      <c r="AS564" s="438"/>
      <c r="AT564" s="438"/>
      <c r="AU564" s="438"/>
      <c r="AV564" s="400" t="s">
        <v>51</v>
      </c>
      <c r="AW564" s="400" t="s">
        <v>1615</v>
      </c>
      <c r="AX564" s="400" t="s">
        <v>51</v>
      </c>
      <c r="AY564" s="400" t="s">
        <v>51</v>
      </c>
    </row>
    <row r="565" spans="1:51" s="384" customFormat="1" ht="30" customHeight="1">
      <c r="A565" s="8" t="s">
        <v>996</v>
      </c>
      <c r="B565" s="8" t="s">
        <v>4730</v>
      </c>
      <c r="C565" s="8" t="s">
        <v>419</v>
      </c>
      <c r="D565" s="401">
        <v>2.8000000000000001E-2</v>
      </c>
      <c r="E565" s="402">
        <f>단가대비표!O556</f>
        <v>0</v>
      </c>
      <c r="F565" s="403">
        <f>TRUNC(E565*D565,1)</f>
        <v>0</v>
      </c>
      <c r="G565" s="402">
        <f>단가대비표!P556</f>
        <v>130264</v>
      </c>
      <c r="H565" s="403">
        <f>TRUNC(G565*D565,1)</f>
        <v>3647.3</v>
      </c>
      <c r="I565" s="402">
        <f>단가대비표!V556</f>
        <v>0</v>
      </c>
      <c r="J565" s="403">
        <f>TRUNC(I565*D565,1)</f>
        <v>0</v>
      </c>
      <c r="K565" s="402">
        <f t="shared" si="134"/>
        <v>130264</v>
      </c>
      <c r="L565" s="403">
        <f t="shared" si="134"/>
        <v>3647.3</v>
      </c>
      <c r="M565" s="522" t="s">
        <v>51</v>
      </c>
      <c r="N565" s="400" t="s">
        <v>674</v>
      </c>
      <c r="O565" s="400" t="s">
        <v>997</v>
      </c>
      <c r="P565" s="400" t="s">
        <v>62</v>
      </c>
      <c r="Q565" s="400" t="s">
        <v>62</v>
      </c>
      <c r="R565" s="400" t="s">
        <v>61</v>
      </c>
      <c r="S565" s="438"/>
      <c r="T565" s="438"/>
      <c r="U565" s="438"/>
      <c r="V565" s="438"/>
      <c r="W565" s="438"/>
      <c r="X565" s="438"/>
      <c r="Y565" s="438"/>
      <c r="Z565" s="438"/>
      <c r="AA565" s="438"/>
      <c r="AB565" s="438"/>
      <c r="AC565" s="438"/>
      <c r="AD565" s="438"/>
      <c r="AE565" s="438"/>
      <c r="AF565" s="438"/>
      <c r="AG565" s="438"/>
      <c r="AH565" s="438"/>
      <c r="AI565" s="438"/>
      <c r="AJ565" s="438"/>
      <c r="AK565" s="438"/>
      <c r="AL565" s="438"/>
      <c r="AM565" s="438"/>
      <c r="AN565" s="438"/>
      <c r="AO565" s="438"/>
      <c r="AP565" s="438"/>
      <c r="AQ565" s="438"/>
      <c r="AR565" s="438"/>
      <c r="AS565" s="438"/>
      <c r="AT565" s="438"/>
      <c r="AU565" s="438"/>
      <c r="AV565" s="400" t="s">
        <v>51</v>
      </c>
      <c r="AW565" s="400" t="s">
        <v>1616</v>
      </c>
      <c r="AX565" s="400" t="s">
        <v>51</v>
      </c>
      <c r="AY565" s="400" t="s">
        <v>51</v>
      </c>
    </row>
    <row r="566" spans="1:51" s="384" customFormat="1" ht="30" customHeight="1">
      <c r="A566" s="8" t="s">
        <v>950</v>
      </c>
      <c r="B566" s="8" t="s">
        <v>51</v>
      </c>
      <c r="C566" s="8" t="s">
        <v>51</v>
      </c>
      <c r="D566" s="401"/>
      <c r="E566" s="402"/>
      <c r="F566" s="403">
        <f>TRUNC(SUMIF(N563:N565, N562, F563:F565),0)</f>
        <v>10000</v>
      </c>
      <c r="G566" s="402"/>
      <c r="H566" s="403">
        <f>TRUNC(SUMIF(N563:N565, N562, H563:H565),0)</f>
        <v>11201</v>
      </c>
      <c r="I566" s="402"/>
      <c r="J566" s="403">
        <f>TRUNC(SUMIF(N563:N565, N562, J563:J565),0)</f>
        <v>0</v>
      </c>
      <c r="K566" s="402"/>
      <c r="L566" s="403">
        <f>F566+H566+J566</f>
        <v>21201</v>
      </c>
      <c r="M566" s="522" t="s">
        <v>51</v>
      </c>
      <c r="N566" s="400" t="s">
        <v>86</v>
      </c>
      <c r="O566" s="400" t="s">
        <v>86</v>
      </c>
      <c r="P566" s="400" t="s">
        <v>51</v>
      </c>
      <c r="Q566" s="400" t="s">
        <v>51</v>
      </c>
      <c r="R566" s="400" t="s">
        <v>51</v>
      </c>
      <c r="S566" s="438"/>
      <c r="T566" s="438"/>
      <c r="U566" s="438"/>
      <c r="V566" s="438"/>
      <c r="W566" s="438"/>
      <c r="X566" s="438"/>
      <c r="Y566" s="438"/>
      <c r="Z566" s="438"/>
      <c r="AA566" s="438"/>
      <c r="AB566" s="438"/>
      <c r="AC566" s="438"/>
      <c r="AD566" s="438"/>
      <c r="AE566" s="438"/>
      <c r="AF566" s="438"/>
      <c r="AG566" s="438"/>
      <c r="AH566" s="438"/>
      <c r="AI566" s="438"/>
      <c r="AJ566" s="438"/>
      <c r="AK566" s="438"/>
      <c r="AL566" s="438"/>
      <c r="AM566" s="438"/>
      <c r="AN566" s="438"/>
      <c r="AO566" s="438"/>
      <c r="AP566" s="438"/>
      <c r="AQ566" s="438"/>
      <c r="AR566" s="438"/>
      <c r="AS566" s="438"/>
      <c r="AT566" s="438"/>
      <c r="AU566" s="438"/>
      <c r="AV566" s="400" t="s">
        <v>51</v>
      </c>
      <c r="AW566" s="400" t="s">
        <v>51</v>
      </c>
      <c r="AX566" s="400" t="s">
        <v>51</v>
      </c>
      <c r="AY566" s="400" t="s">
        <v>51</v>
      </c>
    </row>
    <row r="567" spans="1:51" ht="30" customHeight="1">
      <c r="A567" s="9"/>
      <c r="B567" s="9"/>
      <c r="C567" s="9"/>
      <c r="D567" s="9"/>
      <c r="E567" s="11"/>
      <c r="F567" s="12"/>
      <c r="G567" s="11"/>
      <c r="H567" s="12"/>
      <c r="I567" s="11"/>
      <c r="J567" s="12"/>
      <c r="K567" s="11"/>
      <c r="L567" s="12"/>
      <c r="M567" s="523"/>
    </row>
    <row r="568" spans="1:51" ht="30" customHeight="1">
      <c r="A568" s="1403" t="s">
        <v>4534</v>
      </c>
      <c r="B568" s="1403"/>
      <c r="C568" s="1403"/>
      <c r="D568" s="1403"/>
      <c r="E568" s="1404"/>
      <c r="F568" s="1405"/>
      <c r="G568" s="1404"/>
      <c r="H568" s="1405"/>
      <c r="I568" s="1404"/>
      <c r="J568" s="1405"/>
      <c r="K568" s="1404"/>
      <c r="L568" s="1405"/>
      <c r="M568" s="1403"/>
      <c r="N568" s="1" t="s">
        <v>679</v>
      </c>
    </row>
    <row r="569" spans="1:51" ht="30" customHeight="1">
      <c r="A569" s="8" t="s">
        <v>1107</v>
      </c>
      <c r="B569" s="8" t="s">
        <v>418</v>
      </c>
      <c r="C569" s="8" t="s">
        <v>419</v>
      </c>
      <c r="D569" s="9">
        <v>0.05</v>
      </c>
      <c r="E569" s="11">
        <f>단가대비표!O571</f>
        <v>0</v>
      </c>
      <c r="F569" s="12">
        <f t="shared" ref="F569:F581" si="135">TRUNC(E569*D569,1)</f>
        <v>0</v>
      </c>
      <c r="G569" s="11">
        <f>단가대비표!P571</f>
        <v>188854</v>
      </c>
      <c r="H569" s="12">
        <f t="shared" ref="H569:H581" si="136">TRUNC(G569*D569,1)</f>
        <v>9442.7000000000007</v>
      </c>
      <c r="I569" s="11">
        <f>단가대비표!V571</f>
        <v>0</v>
      </c>
      <c r="J569" s="12">
        <f t="shared" ref="J569:J581" si="137">TRUNC(I569*D569,1)</f>
        <v>0</v>
      </c>
      <c r="K569" s="11">
        <f t="shared" ref="K569:K581" si="138">TRUNC(E569+G569+I569,1)</f>
        <v>188854</v>
      </c>
      <c r="L569" s="12">
        <f t="shared" ref="L569:L581" si="139">TRUNC(F569+H569+J569,1)</f>
        <v>9442.7000000000007</v>
      </c>
      <c r="M569" s="522" t="s">
        <v>51</v>
      </c>
      <c r="N569" s="2" t="s">
        <v>679</v>
      </c>
      <c r="O569" s="2" t="s">
        <v>1108</v>
      </c>
      <c r="P569" s="2" t="s">
        <v>62</v>
      </c>
      <c r="Q569" s="2" t="s">
        <v>62</v>
      </c>
      <c r="R569" s="2" t="s">
        <v>61</v>
      </c>
      <c r="S569" s="3"/>
      <c r="T569" s="3"/>
      <c r="U569" s="3"/>
      <c r="V569" s="3">
        <v>1</v>
      </c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2" t="s">
        <v>51</v>
      </c>
      <c r="AW569" s="2" t="s">
        <v>1618</v>
      </c>
      <c r="AX569" s="2" t="s">
        <v>51</v>
      </c>
      <c r="AY569" s="2" t="s">
        <v>51</v>
      </c>
    </row>
    <row r="570" spans="1:51" ht="30" customHeight="1">
      <c r="A570" s="8" t="s">
        <v>1619</v>
      </c>
      <c r="B570" s="8" t="s">
        <v>1620</v>
      </c>
      <c r="C570" s="8" t="s">
        <v>1621</v>
      </c>
      <c r="D570" s="9">
        <v>1</v>
      </c>
      <c r="E570" s="11">
        <f>단가대비표!O20</f>
        <v>1400</v>
      </c>
      <c r="F570" s="12">
        <f t="shared" si="135"/>
        <v>1400</v>
      </c>
      <c r="G570" s="11">
        <f>단가대비표!P20</f>
        <v>0</v>
      </c>
      <c r="H570" s="12">
        <f t="shared" si="136"/>
        <v>0</v>
      </c>
      <c r="I570" s="11">
        <f>단가대비표!V20</f>
        <v>0</v>
      </c>
      <c r="J570" s="12">
        <f t="shared" si="137"/>
        <v>0</v>
      </c>
      <c r="K570" s="11">
        <f t="shared" si="138"/>
        <v>1400</v>
      </c>
      <c r="L570" s="12">
        <f t="shared" si="139"/>
        <v>1400</v>
      </c>
      <c r="M570" s="522" t="s">
        <v>51</v>
      </c>
      <c r="N570" s="2" t="s">
        <v>679</v>
      </c>
      <c r="O570" s="2" t="s">
        <v>1622</v>
      </c>
      <c r="P570" s="2" t="s">
        <v>62</v>
      </c>
      <c r="Q570" s="2" t="s">
        <v>62</v>
      </c>
      <c r="R570" s="2" t="s">
        <v>61</v>
      </c>
      <c r="S570" s="3"/>
      <c r="T570" s="3"/>
      <c r="U570" s="3"/>
      <c r="V570" s="3">
        <v>1</v>
      </c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2" t="s">
        <v>51</v>
      </c>
      <c r="AW570" s="2" t="s">
        <v>1623</v>
      </c>
      <c r="AX570" s="2" t="s">
        <v>51</v>
      </c>
      <c r="AY570" s="2" t="s">
        <v>51</v>
      </c>
    </row>
    <row r="571" spans="1:51" ht="30" customHeight="1">
      <c r="A571" s="8" t="s">
        <v>1624</v>
      </c>
      <c r="B571" s="8" t="s">
        <v>1620</v>
      </c>
      <c r="C571" s="8" t="s">
        <v>1625</v>
      </c>
      <c r="D571" s="9">
        <v>1</v>
      </c>
      <c r="E571" s="11">
        <f>단가대비표!O21</f>
        <v>1200</v>
      </c>
      <c r="F571" s="12">
        <f t="shared" si="135"/>
        <v>1200</v>
      </c>
      <c r="G571" s="11">
        <f>단가대비표!P21</f>
        <v>0</v>
      </c>
      <c r="H571" s="12">
        <f t="shared" si="136"/>
        <v>0</v>
      </c>
      <c r="I571" s="11">
        <f>단가대비표!V21</f>
        <v>0</v>
      </c>
      <c r="J571" s="12">
        <f t="shared" si="137"/>
        <v>0</v>
      </c>
      <c r="K571" s="11">
        <f t="shared" si="138"/>
        <v>1200</v>
      </c>
      <c r="L571" s="12">
        <f t="shared" si="139"/>
        <v>1200</v>
      </c>
      <c r="M571" s="522" t="s">
        <v>51</v>
      </c>
      <c r="N571" s="2" t="s">
        <v>679</v>
      </c>
      <c r="O571" s="2" t="s">
        <v>1626</v>
      </c>
      <c r="P571" s="2" t="s">
        <v>62</v>
      </c>
      <c r="Q571" s="2" t="s">
        <v>62</v>
      </c>
      <c r="R571" s="2" t="s">
        <v>61</v>
      </c>
      <c r="S571" s="3"/>
      <c r="T571" s="3"/>
      <c r="U571" s="3"/>
      <c r="V571" s="3">
        <v>1</v>
      </c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2" t="s">
        <v>51</v>
      </c>
      <c r="AW571" s="2" t="s">
        <v>1627</v>
      </c>
      <c r="AX571" s="2" t="s">
        <v>51</v>
      </c>
      <c r="AY571" s="2" t="s">
        <v>51</v>
      </c>
    </row>
    <row r="572" spans="1:51" ht="30" customHeight="1">
      <c r="A572" s="8" t="s">
        <v>1628</v>
      </c>
      <c r="B572" s="8" t="s">
        <v>1629</v>
      </c>
      <c r="C572" s="8" t="s">
        <v>1630</v>
      </c>
      <c r="D572" s="9">
        <v>1</v>
      </c>
      <c r="E572" s="11">
        <f>단가대비표!O22</f>
        <v>7080</v>
      </c>
      <c r="F572" s="12">
        <f t="shared" si="135"/>
        <v>7080</v>
      </c>
      <c r="G572" s="11">
        <f>단가대비표!P22</f>
        <v>0</v>
      </c>
      <c r="H572" s="12">
        <f t="shared" si="136"/>
        <v>0</v>
      </c>
      <c r="I572" s="11">
        <f>단가대비표!V22</f>
        <v>0</v>
      </c>
      <c r="J572" s="12">
        <f t="shared" si="137"/>
        <v>0</v>
      </c>
      <c r="K572" s="11">
        <f t="shared" si="138"/>
        <v>7080</v>
      </c>
      <c r="L572" s="12">
        <f t="shared" si="139"/>
        <v>7080</v>
      </c>
      <c r="M572" s="522" t="s">
        <v>51</v>
      </c>
      <c r="N572" s="2" t="s">
        <v>679</v>
      </c>
      <c r="O572" s="2" t="s">
        <v>1631</v>
      </c>
      <c r="P572" s="2" t="s">
        <v>62</v>
      </c>
      <c r="Q572" s="2" t="s">
        <v>62</v>
      </c>
      <c r="R572" s="2" t="s">
        <v>61</v>
      </c>
      <c r="S572" s="3"/>
      <c r="T572" s="3"/>
      <c r="U572" s="3"/>
      <c r="V572" s="3">
        <v>1</v>
      </c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2" t="s">
        <v>51</v>
      </c>
      <c r="AW572" s="2" t="s">
        <v>1632</v>
      </c>
      <c r="AX572" s="2" t="s">
        <v>51</v>
      </c>
      <c r="AY572" s="2" t="s">
        <v>51</v>
      </c>
    </row>
    <row r="573" spans="1:51" ht="30" customHeight="1">
      <c r="A573" s="8" t="s">
        <v>1633</v>
      </c>
      <c r="B573" s="8" t="s">
        <v>1634</v>
      </c>
      <c r="C573" s="8" t="s">
        <v>1635</v>
      </c>
      <c r="D573" s="9">
        <v>1</v>
      </c>
      <c r="E573" s="11">
        <f>단가대비표!O23</f>
        <v>780</v>
      </c>
      <c r="F573" s="12">
        <f t="shared" si="135"/>
        <v>780</v>
      </c>
      <c r="G573" s="11">
        <f>단가대비표!P23</f>
        <v>0</v>
      </c>
      <c r="H573" s="12">
        <f t="shared" si="136"/>
        <v>0</v>
      </c>
      <c r="I573" s="11">
        <f>단가대비표!V23</f>
        <v>0</v>
      </c>
      <c r="J573" s="12">
        <f t="shared" si="137"/>
        <v>0</v>
      </c>
      <c r="K573" s="11">
        <f t="shared" si="138"/>
        <v>780</v>
      </c>
      <c r="L573" s="12">
        <f t="shared" si="139"/>
        <v>780</v>
      </c>
      <c r="M573" s="522" t="s">
        <v>51</v>
      </c>
      <c r="N573" s="2" t="s">
        <v>679</v>
      </c>
      <c r="O573" s="2" t="s">
        <v>1636</v>
      </c>
      <c r="P573" s="2" t="s">
        <v>62</v>
      </c>
      <c r="Q573" s="2" t="s">
        <v>62</v>
      </c>
      <c r="R573" s="2" t="s">
        <v>61</v>
      </c>
      <c r="S573" s="3"/>
      <c r="T573" s="3"/>
      <c r="U573" s="3"/>
      <c r="V573" s="3">
        <v>1</v>
      </c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2" t="s">
        <v>51</v>
      </c>
      <c r="AW573" s="2" t="s">
        <v>1637</v>
      </c>
      <c r="AX573" s="2" t="s">
        <v>51</v>
      </c>
      <c r="AY573" s="2" t="s">
        <v>51</v>
      </c>
    </row>
    <row r="574" spans="1:51" ht="30" customHeight="1">
      <c r="A574" s="8" t="s">
        <v>1638</v>
      </c>
      <c r="B574" s="8" t="s">
        <v>1620</v>
      </c>
      <c r="C574" s="8" t="s">
        <v>1639</v>
      </c>
      <c r="D574" s="9">
        <v>1</v>
      </c>
      <c r="E574" s="11">
        <f>단가대비표!O24</f>
        <v>780</v>
      </c>
      <c r="F574" s="12">
        <f t="shared" si="135"/>
        <v>780</v>
      </c>
      <c r="G574" s="11">
        <f>단가대비표!P24</f>
        <v>0</v>
      </c>
      <c r="H574" s="12">
        <f t="shared" si="136"/>
        <v>0</v>
      </c>
      <c r="I574" s="11">
        <f>단가대비표!V24</f>
        <v>0</v>
      </c>
      <c r="J574" s="12">
        <f t="shared" si="137"/>
        <v>0</v>
      </c>
      <c r="K574" s="11">
        <f t="shared" si="138"/>
        <v>780</v>
      </c>
      <c r="L574" s="12">
        <f t="shared" si="139"/>
        <v>780</v>
      </c>
      <c r="M574" s="522" t="s">
        <v>51</v>
      </c>
      <c r="N574" s="2" t="s">
        <v>679</v>
      </c>
      <c r="O574" s="2" t="s">
        <v>1640</v>
      </c>
      <c r="P574" s="2" t="s">
        <v>62</v>
      </c>
      <c r="Q574" s="2" t="s">
        <v>62</v>
      </c>
      <c r="R574" s="2" t="s">
        <v>61</v>
      </c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2" t="s">
        <v>51</v>
      </c>
      <c r="AW574" s="2" t="s">
        <v>1641</v>
      </c>
      <c r="AX574" s="2" t="s">
        <v>51</v>
      </c>
      <c r="AY574" s="2" t="s">
        <v>51</v>
      </c>
    </row>
    <row r="575" spans="1:51" ht="30" customHeight="1">
      <c r="A575" s="8" t="s">
        <v>1642</v>
      </c>
      <c r="B575" s="8" t="s">
        <v>51</v>
      </c>
      <c r="C575" s="8" t="s">
        <v>82</v>
      </c>
      <c r="D575" s="9">
        <v>1</v>
      </c>
      <c r="E575" s="11">
        <f>단가대비표!O25</f>
        <v>1000</v>
      </c>
      <c r="F575" s="12">
        <f t="shared" si="135"/>
        <v>1000</v>
      </c>
      <c r="G575" s="11">
        <f>단가대비표!P25</f>
        <v>0</v>
      </c>
      <c r="H575" s="12">
        <f t="shared" si="136"/>
        <v>0</v>
      </c>
      <c r="I575" s="11">
        <f>단가대비표!V25</f>
        <v>0</v>
      </c>
      <c r="J575" s="12">
        <f t="shared" si="137"/>
        <v>0</v>
      </c>
      <c r="K575" s="11">
        <f t="shared" si="138"/>
        <v>1000</v>
      </c>
      <c r="L575" s="12">
        <f t="shared" si="139"/>
        <v>1000</v>
      </c>
      <c r="M575" s="522" t="s">
        <v>51</v>
      </c>
      <c r="N575" s="2" t="s">
        <v>679</v>
      </c>
      <c r="O575" s="2" t="s">
        <v>1643</v>
      </c>
      <c r="P575" s="2" t="s">
        <v>62</v>
      </c>
      <c r="Q575" s="2" t="s">
        <v>62</v>
      </c>
      <c r="R575" s="2" t="s">
        <v>61</v>
      </c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2" t="s">
        <v>51</v>
      </c>
      <c r="AW575" s="2" t="s">
        <v>1644</v>
      </c>
      <c r="AX575" s="2" t="s">
        <v>51</v>
      </c>
      <c r="AY575" s="2" t="s">
        <v>51</v>
      </c>
    </row>
    <row r="576" spans="1:51" ht="30" customHeight="1">
      <c r="A576" s="8" t="s">
        <v>1645</v>
      </c>
      <c r="B576" s="8" t="s">
        <v>51</v>
      </c>
      <c r="C576" s="8" t="s">
        <v>82</v>
      </c>
      <c r="D576" s="9">
        <v>1</v>
      </c>
      <c r="E576" s="11">
        <f>단가대비표!O26</f>
        <v>500</v>
      </c>
      <c r="F576" s="12">
        <f t="shared" si="135"/>
        <v>500</v>
      </c>
      <c r="G576" s="11">
        <f>단가대비표!P26</f>
        <v>0</v>
      </c>
      <c r="H576" s="12">
        <f t="shared" si="136"/>
        <v>0</v>
      </c>
      <c r="I576" s="11">
        <f>단가대비표!V26</f>
        <v>0</v>
      </c>
      <c r="J576" s="12">
        <f t="shared" si="137"/>
        <v>0</v>
      </c>
      <c r="K576" s="11">
        <f t="shared" si="138"/>
        <v>500</v>
      </c>
      <c r="L576" s="12">
        <f t="shared" si="139"/>
        <v>500</v>
      </c>
      <c r="M576" s="522" t="s">
        <v>51</v>
      </c>
      <c r="N576" s="2" t="s">
        <v>679</v>
      </c>
      <c r="O576" s="2" t="s">
        <v>1646</v>
      </c>
      <c r="P576" s="2" t="s">
        <v>62</v>
      </c>
      <c r="Q576" s="2" t="s">
        <v>62</v>
      </c>
      <c r="R576" s="2" t="s">
        <v>61</v>
      </c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2" t="s">
        <v>51</v>
      </c>
      <c r="AW576" s="2" t="s">
        <v>1647</v>
      </c>
      <c r="AX576" s="2" t="s">
        <v>51</v>
      </c>
      <c r="AY576" s="2" t="s">
        <v>51</v>
      </c>
    </row>
    <row r="577" spans="1:51" ht="30" customHeight="1">
      <c r="A577" s="8" t="s">
        <v>1648</v>
      </c>
      <c r="B577" s="8" t="s">
        <v>51</v>
      </c>
      <c r="C577" s="8" t="s">
        <v>82</v>
      </c>
      <c r="D577" s="9">
        <v>1</v>
      </c>
      <c r="E577" s="11">
        <f>단가대비표!O27</f>
        <v>850</v>
      </c>
      <c r="F577" s="12">
        <f t="shared" si="135"/>
        <v>850</v>
      </c>
      <c r="G577" s="11">
        <f>단가대비표!P27</f>
        <v>0</v>
      </c>
      <c r="H577" s="12">
        <f t="shared" si="136"/>
        <v>0</v>
      </c>
      <c r="I577" s="11">
        <f>단가대비표!V27</f>
        <v>0</v>
      </c>
      <c r="J577" s="12">
        <f t="shared" si="137"/>
        <v>0</v>
      </c>
      <c r="K577" s="11">
        <f t="shared" si="138"/>
        <v>850</v>
      </c>
      <c r="L577" s="12">
        <f t="shared" si="139"/>
        <v>850</v>
      </c>
      <c r="M577" s="522" t="s">
        <v>51</v>
      </c>
      <c r="N577" s="2" t="s">
        <v>679</v>
      </c>
      <c r="O577" s="2" t="s">
        <v>1649</v>
      </c>
      <c r="P577" s="2" t="s">
        <v>62</v>
      </c>
      <c r="Q577" s="2" t="s">
        <v>62</v>
      </c>
      <c r="R577" s="2" t="s">
        <v>61</v>
      </c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2" t="s">
        <v>51</v>
      </c>
      <c r="AW577" s="2" t="s">
        <v>1650</v>
      </c>
      <c r="AX577" s="2" t="s">
        <v>51</v>
      </c>
      <c r="AY577" s="2" t="s">
        <v>51</v>
      </c>
    </row>
    <row r="578" spans="1:51" ht="30" customHeight="1">
      <c r="A578" s="8" t="s">
        <v>1130</v>
      </c>
      <c r="B578" s="8" t="s">
        <v>947</v>
      </c>
      <c r="C578" s="8" t="s">
        <v>419</v>
      </c>
      <c r="D578" s="9">
        <v>0.03</v>
      </c>
      <c r="E578" s="11">
        <f>단가대비표!O557</f>
        <v>0</v>
      </c>
      <c r="F578" s="12">
        <f t="shared" si="135"/>
        <v>0</v>
      </c>
      <c r="G578" s="11">
        <f>단가대비표!P557</f>
        <v>155599</v>
      </c>
      <c r="H578" s="12">
        <f t="shared" si="136"/>
        <v>4667.8999999999996</v>
      </c>
      <c r="I578" s="11">
        <f>단가대비표!V557</f>
        <v>0</v>
      </c>
      <c r="J578" s="12">
        <f t="shared" si="137"/>
        <v>0</v>
      </c>
      <c r="K578" s="11">
        <f t="shared" si="138"/>
        <v>155599</v>
      </c>
      <c r="L578" s="12">
        <f t="shared" si="139"/>
        <v>4667.8999999999996</v>
      </c>
      <c r="M578" s="522" t="s">
        <v>51</v>
      </c>
      <c r="N578" s="2" t="s">
        <v>679</v>
      </c>
      <c r="O578" s="2" t="s">
        <v>1131</v>
      </c>
      <c r="P578" s="2" t="s">
        <v>62</v>
      </c>
      <c r="Q578" s="2" t="s">
        <v>62</v>
      </c>
      <c r="R578" s="2" t="s">
        <v>61</v>
      </c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2" t="s">
        <v>51</v>
      </c>
      <c r="AW578" s="2" t="s">
        <v>1651</v>
      </c>
      <c r="AX578" s="2" t="s">
        <v>51</v>
      </c>
      <c r="AY578" s="2" t="s">
        <v>51</v>
      </c>
    </row>
    <row r="579" spans="1:51" ht="30" customHeight="1">
      <c r="A579" s="8" t="s">
        <v>996</v>
      </c>
      <c r="B579" s="8" t="s">
        <v>947</v>
      </c>
      <c r="C579" s="8" t="s">
        <v>419</v>
      </c>
      <c r="D579" s="9">
        <v>0.03</v>
      </c>
      <c r="E579" s="11">
        <f>단가대비표!O556</f>
        <v>0</v>
      </c>
      <c r="F579" s="12">
        <f t="shared" si="135"/>
        <v>0</v>
      </c>
      <c r="G579" s="11">
        <f>단가대비표!P556</f>
        <v>130264</v>
      </c>
      <c r="H579" s="12">
        <f t="shared" si="136"/>
        <v>3907.9</v>
      </c>
      <c r="I579" s="11">
        <f>단가대비표!V556</f>
        <v>0</v>
      </c>
      <c r="J579" s="12">
        <f t="shared" si="137"/>
        <v>0</v>
      </c>
      <c r="K579" s="11">
        <f t="shared" si="138"/>
        <v>130264</v>
      </c>
      <c r="L579" s="12">
        <f t="shared" si="139"/>
        <v>3907.9</v>
      </c>
      <c r="M579" s="522" t="s">
        <v>51</v>
      </c>
      <c r="N579" s="2" t="s">
        <v>679</v>
      </c>
      <c r="O579" s="2" t="s">
        <v>997</v>
      </c>
      <c r="P579" s="2" t="s">
        <v>62</v>
      </c>
      <c r="Q579" s="2" t="s">
        <v>62</v>
      </c>
      <c r="R579" s="2" t="s">
        <v>61</v>
      </c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2" t="s">
        <v>51</v>
      </c>
      <c r="AW579" s="2" t="s">
        <v>1652</v>
      </c>
      <c r="AX579" s="2" t="s">
        <v>51</v>
      </c>
      <c r="AY579" s="2" t="s">
        <v>51</v>
      </c>
    </row>
    <row r="580" spans="1:51" ht="30" customHeight="1">
      <c r="A580" s="8" t="s">
        <v>1295</v>
      </c>
      <c r="B580" s="8" t="s">
        <v>418</v>
      </c>
      <c r="C580" s="8" t="s">
        <v>419</v>
      </c>
      <c r="D580" s="9">
        <v>0.04</v>
      </c>
      <c r="E580" s="11">
        <f>단가대비표!O570</f>
        <v>0</v>
      </c>
      <c r="F580" s="12">
        <f t="shared" si="135"/>
        <v>0</v>
      </c>
      <c r="G580" s="11">
        <f>단가대비표!P570</f>
        <v>214502</v>
      </c>
      <c r="H580" s="12">
        <f t="shared" si="136"/>
        <v>8580</v>
      </c>
      <c r="I580" s="11">
        <f>단가대비표!V570</f>
        <v>0</v>
      </c>
      <c r="J580" s="12">
        <f t="shared" si="137"/>
        <v>0</v>
      </c>
      <c r="K580" s="11">
        <f t="shared" si="138"/>
        <v>214502</v>
      </c>
      <c r="L580" s="12">
        <f t="shared" si="139"/>
        <v>8580</v>
      </c>
      <c r="M580" s="522" t="s">
        <v>51</v>
      </c>
      <c r="N580" s="2" t="s">
        <v>679</v>
      </c>
      <c r="O580" s="2" t="s">
        <v>1296</v>
      </c>
      <c r="P580" s="2" t="s">
        <v>62</v>
      </c>
      <c r="Q580" s="2" t="s">
        <v>62</v>
      </c>
      <c r="R580" s="2" t="s">
        <v>61</v>
      </c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2" t="s">
        <v>51</v>
      </c>
      <c r="AW580" s="2" t="s">
        <v>1653</v>
      </c>
      <c r="AX580" s="2" t="s">
        <v>51</v>
      </c>
      <c r="AY580" s="2" t="s">
        <v>51</v>
      </c>
    </row>
    <row r="581" spans="1:51" ht="30" customHeight="1">
      <c r="A581" s="8" t="s">
        <v>1134</v>
      </c>
      <c r="B581" s="8" t="s">
        <v>1654</v>
      </c>
      <c r="C581" s="8" t="s">
        <v>82</v>
      </c>
      <c r="D581" s="9">
        <v>1</v>
      </c>
      <c r="E581" s="11">
        <v>0</v>
      </c>
      <c r="F581" s="12">
        <f t="shared" si="135"/>
        <v>0</v>
      </c>
      <c r="G581" s="11">
        <v>0</v>
      </c>
      <c r="H581" s="12">
        <f t="shared" si="136"/>
        <v>0</v>
      </c>
      <c r="I581" s="11">
        <f>TRUNC(SUMIF(V569:V581, RIGHTB(O581, 1), H569:H581)*U581, 2)</f>
        <v>849.84</v>
      </c>
      <c r="J581" s="12">
        <f t="shared" si="137"/>
        <v>849.8</v>
      </c>
      <c r="K581" s="11">
        <f t="shared" si="138"/>
        <v>849.8</v>
      </c>
      <c r="L581" s="12">
        <f t="shared" si="139"/>
        <v>849.8</v>
      </c>
      <c r="M581" s="522" t="s">
        <v>51</v>
      </c>
      <c r="N581" s="2" t="s">
        <v>679</v>
      </c>
      <c r="O581" s="2" t="s">
        <v>1036</v>
      </c>
      <c r="P581" s="2" t="s">
        <v>62</v>
      </c>
      <c r="Q581" s="2" t="s">
        <v>62</v>
      </c>
      <c r="R581" s="2" t="s">
        <v>62</v>
      </c>
      <c r="S581" s="3">
        <v>1</v>
      </c>
      <c r="T581" s="3">
        <v>2</v>
      </c>
      <c r="U581" s="3">
        <v>0.09</v>
      </c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2" t="s">
        <v>51</v>
      </c>
      <c r="AW581" s="2" t="s">
        <v>1655</v>
      </c>
      <c r="AX581" s="2" t="s">
        <v>51</v>
      </c>
      <c r="AY581" s="2" t="s">
        <v>51</v>
      </c>
    </row>
    <row r="582" spans="1:51" ht="30" customHeight="1">
      <c r="A582" s="8" t="s">
        <v>950</v>
      </c>
      <c r="B582" s="8" t="s">
        <v>51</v>
      </c>
      <c r="C582" s="8" t="s">
        <v>51</v>
      </c>
      <c r="D582" s="9"/>
      <c r="E582" s="11"/>
      <c r="F582" s="12">
        <f>TRUNC(SUMIF(N569:N581, N568, F569:F581),0)</f>
        <v>13590</v>
      </c>
      <c r="G582" s="11"/>
      <c r="H582" s="12">
        <f>TRUNC(SUMIF(N569:N581, N568, H569:H581),0)</f>
        <v>26598</v>
      </c>
      <c r="I582" s="11"/>
      <c r="J582" s="12">
        <f>TRUNC(SUMIF(N569:N581, N568, J569:J581),0)</f>
        <v>849</v>
      </c>
      <c r="K582" s="11"/>
      <c r="L582" s="12">
        <f>F582+H582+J582</f>
        <v>41037</v>
      </c>
      <c r="M582" s="522" t="s">
        <v>51</v>
      </c>
      <c r="N582" s="2" t="s">
        <v>86</v>
      </c>
      <c r="O582" s="2" t="s">
        <v>86</v>
      </c>
      <c r="P582" s="2" t="s">
        <v>51</v>
      </c>
      <c r="Q582" s="2" t="s">
        <v>51</v>
      </c>
      <c r="R582" s="2" t="s">
        <v>51</v>
      </c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2" t="s">
        <v>51</v>
      </c>
      <c r="AW582" s="2" t="s">
        <v>51</v>
      </c>
      <c r="AX582" s="2" t="s">
        <v>51</v>
      </c>
      <c r="AY582" s="2" t="s">
        <v>51</v>
      </c>
    </row>
    <row r="583" spans="1:51" ht="30" customHeight="1">
      <c r="A583" s="9"/>
      <c r="B583" s="9"/>
      <c r="C583" s="9"/>
      <c r="D583" s="9"/>
      <c r="E583" s="11"/>
      <c r="F583" s="12"/>
      <c r="G583" s="11"/>
      <c r="H583" s="12"/>
      <c r="I583" s="11"/>
      <c r="J583" s="12"/>
      <c r="K583" s="11"/>
      <c r="L583" s="12"/>
      <c r="M583" s="523"/>
    </row>
    <row r="584" spans="1:51" ht="30" customHeight="1">
      <c r="A584" s="1403" t="s">
        <v>4535</v>
      </c>
      <c r="B584" s="1403"/>
      <c r="C584" s="1403"/>
      <c r="D584" s="1403"/>
      <c r="E584" s="1404"/>
      <c r="F584" s="1405"/>
      <c r="G584" s="1404"/>
      <c r="H584" s="1405"/>
      <c r="I584" s="1404"/>
      <c r="J584" s="1405"/>
      <c r="K584" s="1404"/>
      <c r="L584" s="1405"/>
      <c r="M584" s="1403"/>
      <c r="N584" s="1" t="s">
        <v>685</v>
      </c>
    </row>
    <row r="585" spans="1:51" ht="30" customHeight="1">
      <c r="A585" s="8" t="s">
        <v>1658</v>
      </c>
      <c r="B585" s="8" t="s">
        <v>1659</v>
      </c>
      <c r="C585" s="8" t="s">
        <v>204</v>
      </c>
      <c r="D585" s="9">
        <v>1</v>
      </c>
      <c r="E585" s="11">
        <f>단가대비표!O428</f>
        <v>4500</v>
      </c>
      <c r="F585" s="12">
        <f>TRUNC(E585*D585,1)</f>
        <v>4500</v>
      </c>
      <c r="G585" s="11">
        <f>단가대비표!P428</f>
        <v>0</v>
      </c>
      <c r="H585" s="12">
        <f>TRUNC(G585*D585,1)</f>
        <v>0</v>
      </c>
      <c r="I585" s="11">
        <f>단가대비표!V428</f>
        <v>0</v>
      </c>
      <c r="J585" s="12">
        <f>TRUNC(I585*D585,1)</f>
        <v>0</v>
      </c>
      <c r="K585" s="11">
        <f t="shared" ref="K585:L587" si="140">TRUNC(E585+G585+I585,1)</f>
        <v>4500</v>
      </c>
      <c r="L585" s="12">
        <f t="shared" si="140"/>
        <v>4500</v>
      </c>
      <c r="M585" s="522" t="s">
        <v>51</v>
      </c>
      <c r="N585" s="2" t="s">
        <v>685</v>
      </c>
      <c r="O585" s="2" t="s">
        <v>1660</v>
      </c>
      <c r="P585" s="2" t="s">
        <v>62</v>
      </c>
      <c r="Q585" s="2" t="s">
        <v>62</v>
      </c>
      <c r="R585" s="2" t="s">
        <v>61</v>
      </c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2" t="s">
        <v>51</v>
      </c>
      <c r="AW585" s="2" t="s">
        <v>1661</v>
      </c>
      <c r="AX585" s="2" t="s">
        <v>51</v>
      </c>
      <c r="AY585" s="2" t="s">
        <v>51</v>
      </c>
    </row>
    <row r="586" spans="1:51" ht="30" customHeight="1">
      <c r="A586" s="8" t="s">
        <v>3220</v>
      </c>
      <c r="B586" s="8" t="s">
        <v>418</v>
      </c>
      <c r="C586" s="8" t="s">
        <v>419</v>
      </c>
      <c r="D586" s="9">
        <v>3.5000000000000003E-2</v>
      </c>
      <c r="E586" s="11">
        <f>단가대비표!O572</f>
        <v>0</v>
      </c>
      <c r="F586" s="12">
        <f>TRUNC(E586*D586,1)</f>
        <v>0</v>
      </c>
      <c r="G586" s="11">
        <f>단가대비표!P568</f>
        <v>203532</v>
      </c>
      <c r="H586" s="12">
        <f>TRUNC(G586*D586,1)</f>
        <v>7123.6</v>
      </c>
      <c r="I586" s="11">
        <f>단가대비표!V572</f>
        <v>0</v>
      </c>
      <c r="J586" s="12">
        <f>TRUNC(I586*D586,1)</f>
        <v>0</v>
      </c>
      <c r="K586" s="11">
        <f>TRUNC(E586+G586+I586,1)</f>
        <v>203532</v>
      </c>
      <c r="L586" s="12">
        <f>TRUNC(F586+H586+J586,1)</f>
        <v>7123.6</v>
      </c>
      <c r="M586" s="522" t="s">
        <v>51</v>
      </c>
      <c r="N586" s="2" t="s">
        <v>685</v>
      </c>
      <c r="O586" s="2" t="s">
        <v>1040</v>
      </c>
      <c r="P586" s="2" t="s">
        <v>62</v>
      </c>
      <c r="Q586" s="2" t="s">
        <v>62</v>
      </c>
      <c r="R586" s="2" t="s">
        <v>61</v>
      </c>
      <c r="S586" s="3"/>
      <c r="T586" s="3"/>
      <c r="U586" s="3"/>
      <c r="V586" s="3">
        <v>1</v>
      </c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2" t="s">
        <v>51</v>
      </c>
      <c r="AW586" s="2" t="s">
        <v>1657</v>
      </c>
      <c r="AX586" s="2" t="s">
        <v>51</v>
      </c>
      <c r="AY586" s="2" t="s">
        <v>51</v>
      </c>
    </row>
    <row r="587" spans="1:51" ht="30" customHeight="1">
      <c r="A587" s="8" t="s">
        <v>1134</v>
      </c>
      <c r="B587" s="8" t="s">
        <v>1662</v>
      </c>
      <c r="C587" s="8" t="s">
        <v>82</v>
      </c>
      <c r="D587" s="9">
        <v>1</v>
      </c>
      <c r="E587" s="11">
        <v>0</v>
      </c>
      <c r="F587" s="12">
        <f>TRUNC(E587*D587,1)</f>
        <v>0</v>
      </c>
      <c r="G587" s="11">
        <v>0</v>
      </c>
      <c r="H587" s="12">
        <f>TRUNC(G587*D587,1)</f>
        <v>0</v>
      </c>
      <c r="I587" s="11">
        <f>TRUNC(SUMIF(V585:V587, RIGHTB(O587, 1), H585:H587)*U587, 2)</f>
        <v>284.94</v>
      </c>
      <c r="J587" s="12">
        <f>TRUNC(I587*D587,1)</f>
        <v>284.89999999999998</v>
      </c>
      <c r="K587" s="11">
        <f t="shared" si="140"/>
        <v>284.89999999999998</v>
      </c>
      <c r="L587" s="12">
        <f t="shared" si="140"/>
        <v>284.89999999999998</v>
      </c>
      <c r="M587" s="522" t="s">
        <v>51</v>
      </c>
      <c r="N587" s="2" t="s">
        <v>685</v>
      </c>
      <c r="O587" s="2" t="s">
        <v>1036</v>
      </c>
      <c r="P587" s="2" t="s">
        <v>62</v>
      </c>
      <c r="Q587" s="2" t="s">
        <v>62</v>
      </c>
      <c r="R587" s="2" t="s">
        <v>62</v>
      </c>
      <c r="S587" s="3">
        <v>1</v>
      </c>
      <c r="T587" s="3">
        <v>2</v>
      </c>
      <c r="U587" s="3">
        <v>0.04</v>
      </c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2" t="s">
        <v>51</v>
      </c>
      <c r="AW587" s="2" t="s">
        <v>1663</v>
      </c>
      <c r="AX587" s="2" t="s">
        <v>51</v>
      </c>
      <c r="AY587" s="2" t="s">
        <v>51</v>
      </c>
    </row>
    <row r="588" spans="1:51" ht="30" customHeight="1">
      <c r="A588" s="8" t="s">
        <v>950</v>
      </c>
      <c r="B588" s="8" t="s">
        <v>51</v>
      </c>
      <c r="C588" s="8" t="s">
        <v>51</v>
      </c>
      <c r="D588" s="9"/>
      <c r="E588" s="11"/>
      <c r="F588" s="12">
        <f>TRUNC(SUMIF(N585:N587, N584, F585:F587),0)</f>
        <v>4500</v>
      </c>
      <c r="G588" s="11"/>
      <c r="H588" s="12">
        <f>TRUNC(SUMIF(N585:N587, N584, H585:H587),0)</f>
        <v>7123</v>
      </c>
      <c r="I588" s="11"/>
      <c r="J588" s="12">
        <f>TRUNC(SUMIF(N585:N587, N584, J585:J587),0)</f>
        <v>284</v>
      </c>
      <c r="K588" s="11"/>
      <c r="L588" s="12">
        <f>F588+H588+J588</f>
        <v>11907</v>
      </c>
      <c r="M588" s="522" t="s">
        <v>51</v>
      </c>
      <c r="N588" s="2" t="s">
        <v>86</v>
      </c>
      <c r="O588" s="2" t="s">
        <v>86</v>
      </c>
      <c r="P588" s="2" t="s">
        <v>51</v>
      </c>
      <c r="Q588" s="2" t="s">
        <v>51</v>
      </c>
      <c r="R588" s="2" t="s">
        <v>51</v>
      </c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2" t="s">
        <v>51</v>
      </c>
      <c r="AW588" s="2" t="s">
        <v>51</v>
      </c>
      <c r="AX588" s="2" t="s">
        <v>51</v>
      </c>
      <c r="AY588" s="2" t="s">
        <v>51</v>
      </c>
    </row>
    <row r="589" spans="1:51" ht="30" customHeight="1">
      <c r="A589" s="9"/>
      <c r="B589" s="9"/>
      <c r="C589" s="9"/>
      <c r="D589" s="9"/>
      <c r="E589" s="11"/>
      <c r="F589" s="12"/>
      <c r="G589" s="11"/>
      <c r="H589" s="12"/>
      <c r="I589" s="11"/>
      <c r="J589" s="12"/>
      <c r="K589" s="11"/>
      <c r="L589" s="12"/>
      <c r="M589" s="523"/>
    </row>
    <row r="590" spans="1:51" ht="30" customHeight="1">
      <c r="A590" s="1406" t="s">
        <v>4536</v>
      </c>
      <c r="B590" s="1406"/>
      <c r="C590" s="1406"/>
      <c r="D590" s="1406"/>
      <c r="E590" s="1407"/>
      <c r="F590" s="1408"/>
      <c r="G590" s="1407"/>
      <c r="H590" s="1408"/>
      <c r="I590" s="1407"/>
      <c r="J590" s="1408"/>
      <c r="K590" s="1407"/>
      <c r="L590" s="1408"/>
      <c r="M590" s="1406"/>
      <c r="N590" s="1" t="s">
        <v>710</v>
      </c>
    </row>
    <row r="591" spans="1:51" ht="30" customHeight="1">
      <c r="A591" s="8" t="s">
        <v>1665</v>
      </c>
      <c r="B591" s="8" t="s">
        <v>1666</v>
      </c>
      <c r="C591" s="8" t="s">
        <v>59</v>
      </c>
      <c r="D591" s="9">
        <v>1.1000000000000001</v>
      </c>
      <c r="E591" s="11">
        <f>단가대비표!O61</f>
        <v>32000</v>
      </c>
      <c r="F591" s="12">
        <f>TRUNC(E591*D591,1)</f>
        <v>35200</v>
      </c>
      <c r="G591" s="11">
        <f>단가대비표!P61</f>
        <v>0</v>
      </c>
      <c r="H591" s="12">
        <f>TRUNC(G591*D591,1)</f>
        <v>0</v>
      </c>
      <c r="I591" s="11">
        <f>단가대비표!V61</f>
        <v>0</v>
      </c>
      <c r="J591" s="12">
        <f>TRUNC(I591*D591,1)</f>
        <v>0</v>
      </c>
      <c r="K591" s="11">
        <f t="shared" ref="K591:L593" si="141">TRUNC(E591+G591+I591,1)</f>
        <v>32000</v>
      </c>
      <c r="L591" s="12">
        <f t="shared" si="141"/>
        <v>35200</v>
      </c>
      <c r="M591" s="522" t="s">
        <v>51</v>
      </c>
      <c r="N591" s="2" t="s">
        <v>710</v>
      </c>
      <c r="O591" s="2" t="s">
        <v>1667</v>
      </c>
      <c r="P591" s="2" t="s">
        <v>62</v>
      </c>
      <c r="Q591" s="2" t="s">
        <v>62</v>
      </c>
      <c r="R591" s="2" t="s">
        <v>61</v>
      </c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2" t="s">
        <v>51</v>
      </c>
      <c r="AW591" s="2" t="s">
        <v>1668</v>
      </c>
      <c r="AX591" s="2" t="s">
        <v>51</v>
      </c>
      <c r="AY591" s="2" t="s">
        <v>51</v>
      </c>
    </row>
    <row r="592" spans="1:51" ht="30" customHeight="1">
      <c r="A592" s="8" t="s">
        <v>1669</v>
      </c>
      <c r="B592" s="8" t="s">
        <v>1670</v>
      </c>
      <c r="C592" s="8" t="s">
        <v>1292</v>
      </c>
      <c r="D592" s="9">
        <v>0.03</v>
      </c>
      <c r="E592" s="11">
        <f>일위대가목록!F119</f>
        <v>0</v>
      </c>
      <c r="F592" s="12">
        <f>TRUNC(E592*D592,1)</f>
        <v>0</v>
      </c>
      <c r="G592" s="11">
        <f>일위대가목록!H119</f>
        <v>85974</v>
      </c>
      <c r="H592" s="12">
        <f>TRUNC(G592*D592,1)</f>
        <v>2579.1999999999998</v>
      </c>
      <c r="I592" s="11">
        <f>일위대가목록!J119</f>
        <v>0</v>
      </c>
      <c r="J592" s="12">
        <f>TRUNC(I592*D592,1)</f>
        <v>0</v>
      </c>
      <c r="K592" s="11">
        <f t="shared" si="141"/>
        <v>85974</v>
      </c>
      <c r="L592" s="12">
        <f t="shared" si="141"/>
        <v>2579.1999999999998</v>
      </c>
      <c r="M592" s="522" t="s">
        <v>1859</v>
      </c>
      <c r="N592" s="2" t="s">
        <v>710</v>
      </c>
      <c r="O592" s="2" t="s">
        <v>1671</v>
      </c>
      <c r="P592" s="2" t="s">
        <v>61</v>
      </c>
      <c r="Q592" s="2" t="s">
        <v>62</v>
      </c>
      <c r="R592" s="2" t="s">
        <v>62</v>
      </c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2" t="s">
        <v>51</v>
      </c>
      <c r="AW592" s="2" t="s">
        <v>1672</v>
      </c>
      <c r="AX592" s="2" t="s">
        <v>51</v>
      </c>
      <c r="AY592" s="2" t="s">
        <v>51</v>
      </c>
    </row>
    <row r="593" spans="1:51" ht="30" customHeight="1">
      <c r="A593" s="8" t="s">
        <v>1676</v>
      </c>
      <c r="B593" s="8" t="s">
        <v>1677</v>
      </c>
      <c r="C593" s="8" t="s">
        <v>59</v>
      </c>
      <c r="D593" s="9">
        <v>1</v>
      </c>
      <c r="E593" s="11">
        <f>일위대가목록!F120</f>
        <v>0</v>
      </c>
      <c r="F593" s="12">
        <f>TRUNC(E593*D593,1)</f>
        <v>0</v>
      </c>
      <c r="G593" s="11">
        <f>일위대가목록!H120</f>
        <v>92583</v>
      </c>
      <c r="H593" s="12">
        <f>TRUNC(G593*D593,1)</f>
        <v>92583</v>
      </c>
      <c r="I593" s="11">
        <f>일위대가목록!J120</f>
        <v>925</v>
      </c>
      <c r="J593" s="12">
        <f>TRUNC(I593*D593,1)</f>
        <v>925</v>
      </c>
      <c r="K593" s="11">
        <f t="shared" si="141"/>
        <v>93508</v>
      </c>
      <c r="L593" s="12">
        <f t="shared" si="141"/>
        <v>93508</v>
      </c>
      <c r="M593" s="522" t="s">
        <v>1870</v>
      </c>
      <c r="N593" s="2" t="s">
        <v>710</v>
      </c>
      <c r="O593" s="2" t="s">
        <v>1678</v>
      </c>
      <c r="P593" s="2" t="s">
        <v>61</v>
      </c>
      <c r="Q593" s="2" t="s">
        <v>62</v>
      </c>
      <c r="R593" s="2" t="s">
        <v>62</v>
      </c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2" t="s">
        <v>51</v>
      </c>
      <c r="AW593" s="2" t="s">
        <v>1679</v>
      </c>
      <c r="AX593" s="2" t="s">
        <v>51</v>
      </c>
      <c r="AY593" s="2" t="s">
        <v>51</v>
      </c>
    </row>
    <row r="594" spans="1:51" ht="30" customHeight="1">
      <c r="A594" s="8" t="s">
        <v>950</v>
      </c>
      <c r="B594" s="8" t="s">
        <v>51</v>
      </c>
      <c r="C594" s="8" t="s">
        <v>51</v>
      </c>
      <c r="D594" s="9"/>
      <c r="E594" s="11"/>
      <c r="F594" s="12">
        <f>TRUNC(SUMIF(N591:N593, N590, F591:F593),0)</f>
        <v>35200</v>
      </c>
      <c r="G594" s="11"/>
      <c r="H594" s="12">
        <f>TRUNC(SUMIF(N591:N593, N590, H591:H593),0)</f>
        <v>95162</v>
      </c>
      <c r="I594" s="11"/>
      <c r="J594" s="12">
        <f>TRUNC(SUMIF(N591:N593, N590, J591:J593),0)</f>
        <v>925</v>
      </c>
      <c r="K594" s="11"/>
      <c r="L594" s="12">
        <f>F594+H594+J594</f>
        <v>131287</v>
      </c>
      <c r="M594" s="522" t="s">
        <v>51</v>
      </c>
      <c r="N594" s="2" t="s">
        <v>86</v>
      </c>
      <c r="O594" s="2" t="s">
        <v>86</v>
      </c>
      <c r="P594" s="2" t="s">
        <v>51</v>
      </c>
      <c r="Q594" s="2" t="s">
        <v>51</v>
      </c>
      <c r="R594" s="2" t="s">
        <v>51</v>
      </c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2" t="s">
        <v>51</v>
      </c>
      <c r="AW594" s="2" t="s">
        <v>51</v>
      </c>
      <c r="AX594" s="2" t="s">
        <v>51</v>
      </c>
      <c r="AY594" s="2" t="s">
        <v>51</v>
      </c>
    </row>
    <row r="595" spans="1:51" ht="30" customHeight="1">
      <c r="A595" s="9"/>
      <c r="B595" s="9"/>
      <c r="C595" s="9"/>
      <c r="D595" s="9"/>
      <c r="E595" s="11"/>
      <c r="F595" s="12"/>
      <c r="G595" s="11"/>
      <c r="H595" s="12"/>
      <c r="I595" s="11"/>
      <c r="J595" s="12"/>
      <c r="K595" s="11"/>
      <c r="L595" s="12"/>
      <c r="M595" s="523"/>
    </row>
    <row r="596" spans="1:51" ht="30" customHeight="1">
      <c r="A596" s="1403" t="s">
        <v>4738</v>
      </c>
      <c r="B596" s="1403"/>
      <c r="C596" s="1403"/>
      <c r="D596" s="1403"/>
      <c r="E596" s="1404"/>
      <c r="F596" s="1405"/>
      <c r="G596" s="1404"/>
      <c r="H596" s="1405"/>
      <c r="I596" s="1404"/>
      <c r="J596" s="1405"/>
      <c r="K596" s="1404"/>
      <c r="L596" s="1405"/>
      <c r="M596" s="1403"/>
      <c r="N596" s="1" t="s">
        <v>718</v>
      </c>
    </row>
    <row r="597" spans="1:51" ht="30" customHeight="1">
      <c r="A597" s="8" t="s">
        <v>717</v>
      </c>
      <c r="B597" s="8"/>
      <c r="C597" s="8" t="s">
        <v>321</v>
      </c>
      <c r="D597" s="9">
        <v>1</v>
      </c>
      <c r="E597" s="11">
        <f>단가대비표!O445</f>
        <v>3937500</v>
      </c>
      <c r="F597" s="12">
        <f>TRUNC(E597*D597,1)</f>
        <v>3937500</v>
      </c>
      <c r="G597" s="11">
        <f>단가대비표!P445</f>
        <v>0</v>
      </c>
      <c r="H597" s="12">
        <f>TRUNC(G597*D597,1)</f>
        <v>0</v>
      </c>
      <c r="I597" s="11">
        <f>단가대비표!V445</f>
        <v>0</v>
      </c>
      <c r="J597" s="12">
        <f>TRUNC(I597*D597,1)</f>
        <v>0</v>
      </c>
      <c r="K597" s="11">
        <f>TRUNC(E597+G597+I597,1)</f>
        <v>3937500</v>
      </c>
      <c r="L597" s="12">
        <f>TRUNC(F597+H597+J597,1)</f>
        <v>3937500</v>
      </c>
      <c r="M597" s="522" t="s">
        <v>51</v>
      </c>
      <c r="N597" s="2" t="s">
        <v>718</v>
      </c>
      <c r="O597" s="2" t="s">
        <v>1681</v>
      </c>
      <c r="P597" s="2" t="s">
        <v>62</v>
      </c>
      <c r="Q597" s="2" t="s">
        <v>62</v>
      </c>
      <c r="R597" s="2" t="s">
        <v>61</v>
      </c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2" t="s">
        <v>51</v>
      </c>
      <c r="AW597" s="2" t="s">
        <v>1682</v>
      </c>
      <c r="AX597" s="2" t="s">
        <v>51</v>
      </c>
      <c r="AY597" s="2" t="s">
        <v>51</v>
      </c>
    </row>
    <row r="598" spans="1:51" ht="30" customHeight="1">
      <c r="A598" s="8" t="s">
        <v>1061</v>
      </c>
      <c r="B598" s="8"/>
      <c r="C598" s="8" t="s">
        <v>419</v>
      </c>
      <c r="D598" s="9">
        <v>1</v>
      </c>
      <c r="E598" s="11">
        <f>단가대비표!O590</f>
        <v>0</v>
      </c>
      <c r="F598" s="12">
        <f>TRUNC(E598*D598,1)</f>
        <v>0</v>
      </c>
      <c r="G598" s="11">
        <f>단가대비표!P590</f>
        <v>1287090</v>
      </c>
      <c r="H598" s="12">
        <f>TRUNC(G598*D598,1)</f>
        <v>1287090</v>
      </c>
      <c r="I598" s="11">
        <f>단가대비표!V590</f>
        <v>0</v>
      </c>
      <c r="J598" s="12">
        <f>TRUNC(I598*D598,1)</f>
        <v>0</v>
      </c>
      <c r="K598" s="11">
        <f>TRUNC(E598+G598+I598,1)</f>
        <v>1287090</v>
      </c>
      <c r="L598" s="12">
        <f>TRUNC(F598+H598+J598,1)</f>
        <v>1287090</v>
      </c>
      <c r="M598" s="522" t="s">
        <v>51</v>
      </c>
      <c r="N598" s="2" t="s">
        <v>718</v>
      </c>
      <c r="O598" s="2" t="s">
        <v>1683</v>
      </c>
      <c r="P598" s="2" t="s">
        <v>62</v>
      </c>
      <c r="Q598" s="2" t="s">
        <v>62</v>
      </c>
      <c r="R598" s="2" t="s">
        <v>61</v>
      </c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2" t="s">
        <v>51</v>
      </c>
      <c r="AW598" s="2" t="s">
        <v>1684</v>
      </c>
      <c r="AX598" s="2" t="s">
        <v>51</v>
      </c>
      <c r="AY598" s="2" t="s">
        <v>51</v>
      </c>
    </row>
    <row r="599" spans="1:51" ht="30" customHeight="1">
      <c r="A599" s="8" t="s">
        <v>950</v>
      </c>
      <c r="B599" s="8" t="s">
        <v>51</v>
      </c>
      <c r="C599" s="8" t="s">
        <v>51</v>
      </c>
      <c r="D599" s="9"/>
      <c r="E599" s="11"/>
      <c r="F599" s="12">
        <f>TRUNC(SUMIF(N597:N598, N596, F597:F598),0)</f>
        <v>3937500</v>
      </c>
      <c r="G599" s="11"/>
      <c r="H599" s="12">
        <f>TRUNC(SUMIF(N597:N598, N596, H597:H598),0)</f>
        <v>1287090</v>
      </c>
      <c r="I599" s="11"/>
      <c r="J599" s="12">
        <f>TRUNC(SUMIF(N597:N598, N596, J597:J598),0)</f>
        <v>0</v>
      </c>
      <c r="K599" s="11"/>
      <c r="L599" s="12">
        <f>F599+H599+J599</f>
        <v>5224590</v>
      </c>
      <c r="M599" s="522" t="s">
        <v>51</v>
      </c>
      <c r="N599" s="2" t="s">
        <v>86</v>
      </c>
      <c r="O599" s="2" t="s">
        <v>86</v>
      </c>
      <c r="P599" s="2" t="s">
        <v>51</v>
      </c>
      <c r="Q599" s="2" t="s">
        <v>51</v>
      </c>
      <c r="R599" s="2" t="s">
        <v>51</v>
      </c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2" t="s">
        <v>51</v>
      </c>
      <c r="AW599" s="2" t="s">
        <v>51</v>
      </c>
      <c r="AX599" s="2" t="s">
        <v>51</v>
      </c>
      <c r="AY599" s="2" t="s">
        <v>51</v>
      </c>
    </row>
    <row r="600" spans="1:51" ht="30" customHeight="1">
      <c r="A600" s="9"/>
      <c r="B600" s="9"/>
      <c r="C600" s="9"/>
      <c r="D600" s="9"/>
      <c r="E600" s="11"/>
      <c r="F600" s="12"/>
      <c r="G600" s="11"/>
      <c r="H600" s="12"/>
      <c r="I600" s="11"/>
      <c r="J600" s="12"/>
      <c r="K600" s="11"/>
      <c r="L600" s="12"/>
      <c r="M600" s="523"/>
    </row>
    <row r="601" spans="1:51" ht="30" customHeight="1">
      <c r="A601" s="1403" t="s">
        <v>4739</v>
      </c>
      <c r="B601" s="1403"/>
      <c r="C601" s="1403"/>
      <c r="D601" s="1403"/>
      <c r="E601" s="1404"/>
      <c r="F601" s="1405"/>
      <c r="G601" s="1404"/>
      <c r="H601" s="1405"/>
      <c r="I601" s="1404"/>
      <c r="J601" s="1405"/>
      <c r="K601" s="1404"/>
      <c r="L601" s="1405"/>
      <c r="M601" s="1403"/>
      <c r="N601" s="1" t="s">
        <v>721</v>
      </c>
    </row>
    <row r="602" spans="1:51" ht="30" customHeight="1">
      <c r="A602" s="8" t="s">
        <v>720</v>
      </c>
      <c r="B602" s="8"/>
      <c r="C602" s="8" t="s">
        <v>321</v>
      </c>
      <c r="D602" s="9">
        <v>1</v>
      </c>
      <c r="E602" s="11">
        <f>단가대비표!O446</f>
        <v>3250000</v>
      </c>
      <c r="F602" s="12">
        <f>TRUNC(E602*D602,1)</f>
        <v>3250000</v>
      </c>
      <c r="G602" s="11">
        <f>단가대비표!P446</f>
        <v>0</v>
      </c>
      <c r="H602" s="12">
        <f>TRUNC(G602*D602,1)</f>
        <v>0</v>
      </c>
      <c r="I602" s="11">
        <f>단가대비표!V446</f>
        <v>0</v>
      </c>
      <c r="J602" s="12">
        <f>TRUNC(I602*D602,1)</f>
        <v>0</v>
      </c>
      <c r="K602" s="11">
        <f>TRUNC(E602+G602+I602,1)</f>
        <v>3250000</v>
      </c>
      <c r="L602" s="12">
        <f>TRUNC(F602+H602+J602,1)</f>
        <v>3250000</v>
      </c>
      <c r="M602" s="522" t="s">
        <v>51</v>
      </c>
      <c r="N602" s="2" t="s">
        <v>721</v>
      </c>
      <c r="O602" s="2" t="s">
        <v>1686</v>
      </c>
      <c r="P602" s="2" t="s">
        <v>62</v>
      </c>
      <c r="Q602" s="2" t="s">
        <v>62</v>
      </c>
      <c r="R602" s="2" t="s">
        <v>61</v>
      </c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2" t="s">
        <v>51</v>
      </c>
      <c r="AW602" s="2" t="s">
        <v>1687</v>
      </c>
      <c r="AX602" s="2" t="s">
        <v>51</v>
      </c>
      <c r="AY602" s="2" t="s">
        <v>51</v>
      </c>
    </row>
    <row r="603" spans="1:51" ht="30" customHeight="1">
      <c r="A603" s="8" t="s">
        <v>1061</v>
      </c>
      <c r="B603" s="8"/>
      <c r="C603" s="8" t="s">
        <v>419</v>
      </c>
      <c r="D603" s="9">
        <v>1</v>
      </c>
      <c r="E603" s="11">
        <f>단가대비표!O591</f>
        <v>0</v>
      </c>
      <c r="F603" s="12">
        <f>TRUNC(E603*D603,1)</f>
        <v>0</v>
      </c>
      <c r="G603" s="11">
        <f>단가대비표!P591</f>
        <v>1066500</v>
      </c>
      <c r="H603" s="12">
        <f>TRUNC(G603*D603,1)</f>
        <v>1066500</v>
      </c>
      <c r="I603" s="11">
        <f>단가대비표!V591</f>
        <v>0</v>
      </c>
      <c r="J603" s="12">
        <f>TRUNC(I603*D603,1)</f>
        <v>0</v>
      </c>
      <c r="K603" s="11">
        <f>TRUNC(E603+G603+I603,1)</f>
        <v>1066500</v>
      </c>
      <c r="L603" s="12">
        <f>TRUNC(F603+H603+J603,1)</f>
        <v>1066500</v>
      </c>
      <c r="M603" s="522" t="s">
        <v>51</v>
      </c>
      <c r="N603" s="2" t="s">
        <v>721</v>
      </c>
      <c r="O603" s="2" t="s">
        <v>1688</v>
      </c>
      <c r="P603" s="2" t="s">
        <v>62</v>
      </c>
      <c r="Q603" s="2" t="s">
        <v>62</v>
      </c>
      <c r="R603" s="2" t="s">
        <v>61</v>
      </c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2" t="s">
        <v>51</v>
      </c>
      <c r="AW603" s="2" t="s">
        <v>1689</v>
      </c>
      <c r="AX603" s="2" t="s">
        <v>51</v>
      </c>
      <c r="AY603" s="2" t="s">
        <v>51</v>
      </c>
    </row>
    <row r="604" spans="1:51" ht="30" customHeight="1">
      <c r="A604" s="8" t="s">
        <v>950</v>
      </c>
      <c r="B604" s="8" t="s">
        <v>51</v>
      </c>
      <c r="C604" s="8" t="s">
        <v>51</v>
      </c>
      <c r="D604" s="9"/>
      <c r="E604" s="11"/>
      <c r="F604" s="12">
        <f>TRUNC(SUMIF(N602:N603, N601, F602:F603),0)</f>
        <v>3250000</v>
      </c>
      <c r="G604" s="11"/>
      <c r="H604" s="12">
        <f>TRUNC(SUMIF(N602:N603, N601, H602:H603),0)</f>
        <v>1066500</v>
      </c>
      <c r="I604" s="11"/>
      <c r="J604" s="12">
        <f>TRUNC(SUMIF(N602:N603, N601, J602:J603),0)</f>
        <v>0</v>
      </c>
      <c r="K604" s="11"/>
      <c r="L604" s="12">
        <f>F604+H604+J604</f>
        <v>4316500</v>
      </c>
      <c r="M604" s="522" t="s">
        <v>51</v>
      </c>
      <c r="N604" s="2" t="s">
        <v>86</v>
      </c>
      <c r="O604" s="2" t="s">
        <v>86</v>
      </c>
      <c r="P604" s="2" t="s">
        <v>51</v>
      </c>
      <c r="Q604" s="2" t="s">
        <v>51</v>
      </c>
      <c r="R604" s="2" t="s">
        <v>51</v>
      </c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2" t="s">
        <v>51</v>
      </c>
      <c r="AW604" s="2" t="s">
        <v>51</v>
      </c>
      <c r="AX604" s="2" t="s">
        <v>51</v>
      </c>
      <c r="AY604" s="2" t="s">
        <v>51</v>
      </c>
    </row>
    <row r="605" spans="1:51" ht="30" customHeight="1">
      <c r="A605" s="9"/>
      <c r="B605" s="9"/>
      <c r="C605" s="9"/>
      <c r="D605" s="9"/>
      <c r="E605" s="11"/>
      <c r="F605" s="12"/>
      <c r="G605" s="11"/>
      <c r="H605" s="12"/>
      <c r="I605" s="11"/>
      <c r="J605" s="12"/>
      <c r="K605" s="11"/>
      <c r="L605" s="12"/>
      <c r="M605" s="523"/>
    </row>
    <row r="606" spans="1:51" ht="30" customHeight="1">
      <c r="A606" s="1403" t="s">
        <v>4740</v>
      </c>
      <c r="B606" s="1403"/>
      <c r="C606" s="1403"/>
      <c r="D606" s="1403"/>
      <c r="E606" s="1404"/>
      <c r="F606" s="1405"/>
      <c r="G606" s="1404"/>
      <c r="H606" s="1405"/>
      <c r="I606" s="1404"/>
      <c r="J606" s="1405"/>
      <c r="K606" s="1404"/>
      <c r="L606" s="1405"/>
      <c r="M606" s="1403"/>
      <c r="N606" s="1" t="s">
        <v>724</v>
      </c>
    </row>
    <row r="607" spans="1:51" ht="30" customHeight="1">
      <c r="A607" s="8" t="s">
        <v>723</v>
      </c>
      <c r="B607" s="8"/>
      <c r="C607" s="8" t="s">
        <v>321</v>
      </c>
      <c r="D607" s="9">
        <v>1</v>
      </c>
      <c r="E607" s="11">
        <f>단가대비표!O447</f>
        <v>3150000</v>
      </c>
      <c r="F607" s="12">
        <f>TRUNC(E607*D607,1)</f>
        <v>3150000</v>
      </c>
      <c r="G607" s="11">
        <f>단가대비표!P447</f>
        <v>0</v>
      </c>
      <c r="H607" s="12">
        <f>TRUNC(G607*D607,1)</f>
        <v>0</v>
      </c>
      <c r="I607" s="11">
        <f>단가대비표!V447</f>
        <v>0</v>
      </c>
      <c r="J607" s="12">
        <f>TRUNC(I607*D607,1)</f>
        <v>0</v>
      </c>
      <c r="K607" s="11">
        <f>TRUNC(E607+G607+I607,1)</f>
        <v>3150000</v>
      </c>
      <c r="L607" s="12">
        <f>TRUNC(F607+H607+J607,1)</f>
        <v>3150000</v>
      </c>
      <c r="M607" s="522" t="s">
        <v>51</v>
      </c>
      <c r="N607" s="2" t="s">
        <v>724</v>
      </c>
      <c r="O607" s="2" t="s">
        <v>1691</v>
      </c>
      <c r="P607" s="2" t="s">
        <v>62</v>
      </c>
      <c r="Q607" s="2" t="s">
        <v>62</v>
      </c>
      <c r="R607" s="2" t="s">
        <v>61</v>
      </c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2" t="s">
        <v>51</v>
      </c>
      <c r="AW607" s="2" t="s">
        <v>1692</v>
      </c>
      <c r="AX607" s="2" t="s">
        <v>51</v>
      </c>
      <c r="AY607" s="2" t="s">
        <v>51</v>
      </c>
    </row>
    <row r="608" spans="1:51" ht="30" customHeight="1">
      <c r="A608" s="8" t="s">
        <v>1061</v>
      </c>
      <c r="B608" s="8"/>
      <c r="C608" s="8" t="s">
        <v>419</v>
      </c>
      <c r="D608" s="9">
        <v>1</v>
      </c>
      <c r="E608" s="11">
        <f>단가대비표!O592</f>
        <v>0</v>
      </c>
      <c r="F608" s="12">
        <f>TRUNC(E608*D608,1)</f>
        <v>0</v>
      </c>
      <c r="G608" s="11">
        <f>단가대비표!P592</f>
        <v>1031400</v>
      </c>
      <c r="H608" s="12">
        <f>TRUNC(G608*D608,1)</f>
        <v>1031400</v>
      </c>
      <c r="I608" s="11">
        <f>단가대비표!V592</f>
        <v>0</v>
      </c>
      <c r="J608" s="12">
        <f>TRUNC(I608*D608,1)</f>
        <v>0</v>
      </c>
      <c r="K608" s="11">
        <f>TRUNC(E608+G608+I608,1)</f>
        <v>1031400</v>
      </c>
      <c r="L608" s="12">
        <f>TRUNC(F608+H608+J608,1)</f>
        <v>1031400</v>
      </c>
      <c r="M608" s="522" t="s">
        <v>51</v>
      </c>
      <c r="N608" s="2" t="s">
        <v>724</v>
      </c>
      <c r="O608" s="2" t="s">
        <v>1693</v>
      </c>
      <c r="P608" s="2" t="s">
        <v>62</v>
      </c>
      <c r="Q608" s="2" t="s">
        <v>62</v>
      </c>
      <c r="R608" s="2" t="s">
        <v>61</v>
      </c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2" t="s">
        <v>51</v>
      </c>
      <c r="AW608" s="2" t="s">
        <v>1694</v>
      </c>
      <c r="AX608" s="2" t="s">
        <v>51</v>
      </c>
      <c r="AY608" s="2" t="s">
        <v>51</v>
      </c>
    </row>
    <row r="609" spans="1:51" ht="30" customHeight="1">
      <c r="A609" s="8" t="s">
        <v>950</v>
      </c>
      <c r="B609" s="8" t="s">
        <v>51</v>
      </c>
      <c r="C609" s="8" t="s">
        <v>51</v>
      </c>
      <c r="D609" s="9"/>
      <c r="E609" s="11"/>
      <c r="F609" s="12">
        <f>TRUNC(SUMIF(N607:N608, N606, F607:F608),0)</f>
        <v>3150000</v>
      </c>
      <c r="G609" s="11"/>
      <c r="H609" s="12">
        <f>TRUNC(SUMIF(N607:N608, N606, H607:H608),0)</f>
        <v>1031400</v>
      </c>
      <c r="I609" s="11"/>
      <c r="J609" s="12">
        <f>TRUNC(SUMIF(N607:N608, N606, J607:J608),0)</f>
        <v>0</v>
      </c>
      <c r="K609" s="11"/>
      <c r="L609" s="12">
        <f>F609+H609+J609</f>
        <v>4181400</v>
      </c>
      <c r="M609" s="522" t="s">
        <v>51</v>
      </c>
      <c r="N609" s="2" t="s">
        <v>86</v>
      </c>
      <c r="O609" s="2" t="s">
        <v>86</v>
      </c>
      <c r="P609" s="2" t="s">
        <v>51</v>
      </c>
      <c r="Q609" s="2" t="s">
        <v>51</v>
      </c>
      <c r="R609" s="2" t="s">
        <v>51</v>
      </c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2" t="s">
        <v>51</v>
      </c>
      <c r="AW609" s="2" t="s">
        <v>51</v>
      </c>
      <c r="AX609" s="2" t="s">
        <v>51</v>
      </c>
      <c r="AY609" s="2" t="s">
        <v>51</v>
      </c>
    </row>
    <row r="610" spans="1:51" ht="30" customHeight="1">
      <c r="A610" s="9"/>
      <c r="B610" s="9"/>
      <c r="C610" s="9"/>
      <c r="D610" s="9"/>
      <c r="E610" s="11"/>
      <c r="F610" s="12"/>
      <c r="G610" s="11"/>
      <c r="H610" s="12"/>
      <c r="I610" s="11"/>
      <c r="J610" s="12"/>
      <c r="K610" s="11"/>
      <c r="L610" s="12"/>
      <c r="M610" s="523"/>
    </row>
    <row r="611" spans="1:51" ht="30" customHeight="1">
      <c r="A611" s="1403" t="s">
        <v>4741</v>
      </c>
      <c r="B611" s="1403"/>
      <c r="C611" s="1403"/>
      <c r="D611" s="1403"/>
      <c r="E611" s="1404"/>
      <c r="F611" s="1405"/>
      <c r="G611" s="1404"/>
      <c r="H611" s="1405"/>
      <c r="I611" s="1404"/>
      <c r="J611" s="1405"/>
      <c r="K611" s="1404"/>
      <c r="L611" s="1405"/>
      <c r="M611" s="1403"/>
      <c r="N611" s="1" t="s">
        <v>727</v>
      </c>
    </row>
    <row r="612" spans="1:51" ht="30" customHeight="1">
      <c r="A612" s="8" t="s">
        <v>726</v>
      </c>
      <c r="B612" s="8"/>
      <c r="C612" s="8" t="s">
        <v>321</v>
      </c>
      <c r="D612" s="9">
        <v>1</v>
      </c>
      <c r="E612" s="11">
        <f>단가대비표!O448</f>
        <v>3100000</v>
      </c>
      <c r="F612" s="12">
        <f>TRUNC(E612*D612,1)</f>
        <v>3100000</v>
      </c>
      <c r="G612" s="11">
        <f>단가대비표!P448</f>
        <v>0</v>
      </c>
      <c r="H612" s="12">
        <f>TRUNC(G612*D612,1)</f>
        <v>0</v>
      </c>
      <c r="I612" s="11">
        <f>단가대비표!V448</f>
        <v>0</v>
      </c>
      <c r="J612" s="12">
        <f>TRUNC(I612*D612,1)</f>
        <v>0</v>
      </c>
      <c r="K612" s="11">
        <f>TRUNC(E612+G612+I612,1)</f>
        <v>3100000</v>
      </c>
      <c r="L612" s="12">
        <f>TRUNC(F612+H612+J612,1)</f>
        <v>3100000</v>
      </c>
      <c r="M612" s="522" t="s">
        <v>51</v>
      </c>
      <c r="N612" s="2" t="s">
        <v>727</v>
      </c>
      <c r="O612" s="2" t="s">
        <v>1696</v>
      </c>
      <c r="P612" s="2" t="s">
        <v>62</v>
      </c>
      <c r="Q612" s="2" t="s">
        <v>62</v>
      </c>
      <c r="R612" s="2" t="s">
        <v>61</v>
      </c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2" t="s">
        <v>51</v>
      </c>
      <c r="AW612" s="2" t="s">
        <v>1697</v>
      </c>
      <c r="AX612" s="2" t="s">
        <v>51</v>
      </c>
      <c r="AY612" s="2" t="s">
        <v>51</v>
      </c>
    </row>
    <row r="613" spans="1:51" ht="30" customHeight="1">
      <c r="A613" s="8" t="s">
        <v>1061</v>
      </c>
      <c r="B613" s="8"/>
      <c r="C613" s="8" t="s">
        <v>419</v>
      </c>
      <c r="D613" s="9">
        <v>1</v>
      </c>
      <c r="E613" s="11">
        <f>단가대비표!O593</f>
        <v>0</v>
      </c>
      <c r="F613" s="12">
        <f>TRUNC(E613*D613,1)</f>
        <v>0</v>
      </c>
      <c r="G613" s="11">
        <f>단가대비표!P593</f>
        <v>1103220</v>
      </c>
      <c r="H613" s="12">
        <f>TRUNC(G613*D613,1)</f>
        <v>1103220</v>
      </c>
      <c r="I613" s="11">
        <f>단가대비표!V593</f>
        <v>0</v>
      </c>
      <c r="J613" s="12">
        <f>TRUNC(I613*D613,1)</f>
        <v>0</v>
      </c>
      <c r="K613" s="11">
        <f>TRUNC(E613+G613+I613,1)</f>
        <v>1103220</v>
      </c>
      <c r="L613" s="12">
        <f>TRUNC(F613+H613+J613,1)</f>
        <v>1103220</v>
      </c>
      <c r="M613" s="522" t="s">
        <v>51</v>
      </c>
      <c r="N613" s="2" t="s">
        <v>727</v>
      </c>
      <c r="O613" s="2" t="s">
        <v>1698</v>
      </c>
      <c r="P613" s="2" t="s">
        <v>62</v>
      </c>
      <c r="Q613" s="2" t="s">
        <v>62</v>
      </c>
      <c r="R613" s="2" t="s">
        <v>61</v>
      </c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2" t="s">
        <v>51</v>
      </c>
      <c r="AW613" s="2" t="s">
        <v>1699</v>
      </c>
      <c r="AX613" s="2" t="s">
        <v>51</v>
      </c>
      <c r="AY613" s="2" t="s">
        <v>51</v>
      </c>
    </row>
    <row r="614" spans="1:51" ht="30" customHeight="1">
      <c r="A614" s="8" t="s">
        <v>950</v>
      </c>
      <c r="B614" s="8" t="s">
        <v>51</v>
      </c>
      <c r="C614" s="8" t="s">
        <v>51</v>
      </c>
      <c r="D614" s="9"/>
      <c r="E614" s="11"/>
      <c r="F614" s="12">
        <f>TRUNC(SUMIF(N612:N613, N611, F612:F613),0)</f>
        <v>3100000</v>
      </c>
      <c r="G614" s="11"/>
      <c r="H614" s="12">
        <f>TRUNC(SUMIF(N612:N613, N611, H612:H613),0)</f>
        <v>1103220</v>
      </c>
      <c r="I614" s="11"/>
      <c r="J614" s="12">
        <f>TRUNC(SUMIF(N612:N613, N611, J612:J613),0)</f>
        <v>0</v>
      </c>
      <c r="K614" s="11"/>
      <c r="L614" s="12">
        <f>F614+H614+J614</f>
        <v>4203220</v>
      </c>
      <c r="M614" s="522" t="s">
        <v>51</v>
      </c>
      <c r="N614" s="2" t="s">
        <v>86</v>
      </c>
      <c r="O614" s="2" t="s">
        <v>86</v>
      </c>
      <c r="P614" s="2" t="s">
        <v>51</v>
      </c>
      <c r="Q614" s="2" t="s">
        <v>51</v>
      </c>
      <c r="R614" s="2" t="s">
        <v>51</v>
      </c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2" t="s">
        <v>51</v>
      </c>
      <c r="AW614" s="2" t="s">
        <v>51</v>
      </c>
      <c r="AX614" s="2" t="s">
        <v>51</v>
      </c>
      <c r="AY614" s="2" t="s">
        <v>51</v>
      </c>
    </row>
    <row r="615" spans="1:51" ht="30" customHeight="1">
      <c r="A615" s="9"/>
      <c r="B615" s="9"/>
      <c r="C615" s="9"/>
      <c r="D615" s="9"/>
      <c r="E615" s="11"/>
      <c r="F615" s="12"/>
      <c r="G615" s="11"/>
      <c r="H615" s="12"/>
      <c r="I615" s="11"/>
      <c r="J615" s="12"/>
      <c r="K615" s="11"/>
      <c r="L615" s="12"/>
      <c r="M615" s="523"/>
    </row>
    <row r="616" spans="1:51" ht="30" customHeight="1">
      <c r="A616" s="1403" t="s">
        <v>4742</v>
      </c>
      <c r="B616" s="1403"/>
      <c r="C616" s="1403"/>
      <c r="D616" s="1403"/>
      <c r="E616" s="1404"/>
      <c r="F616" s="1405"/>
      <c r="G616" s="1404"/>
      <c r="H616" s="1405"/>
      <c r="I616" s="1404"/>
      <c r="J616" s="1405"/>
      <c r="K616" s="1404"/>
      <c r="L616" s="1405"/>
      <c r="M616" s="1403"/>
      <c r="N616" s="1" t="s">
        <v>730</v>
      </c>
    </row>
    <row r="617" spans="1:51" ht="30" customHeight="1">
      <c r="A617" s="8" t="s">
        <v>729</v>
      </c>
      <c r="B617" s="8"/>
      <c r="C617" s="8" t="s">
        <v>321</v>
      </c>
      <c r="D617" s="9">
        <v>1</v>
      </c>
      <c r="E617" s="11">
        <f>단가대비표!O449</f>
        <v>7150500</v>
      </c>
      <c r="F617" s="12">
        <f>TRUNC(E617*D617,1)</f>
        <v>7150500</v>
      </c>
      <c r="G617" s="11">
        <f>단가대비표!P449</f>
        <v>0</v>
      </c>
      <c r="H617" s="12">
        <f>TRUNC(G617*D617,1)</f>
        <v>0</v>
      </c>
      <c r="I617" s="11">
        <f>단가대비표!V449</f>
        <v>0</v>
      </c>
      <c r="J617" s="12">
        <f>TRUNC(I617*D617,1)</f>
        <v>0</v>
      </c>
      <c r="K617" s="11">
        <f>TRUNC(E617+G617+I617,1)</f>
        <v>7150500</v>
      </c>
      <c r="L617" s="12">
        <f>TRUNC(F617+H617+J617,1)</f>
        <v>7150500</v>
      </c>
      <c r="M617" s="522" t="s">
        <v>51</v>
      </c>
      <c r="N617" s="2" t="s">
        <v>730</v>
      </c>
      <c r="O617" s="2" t="s">
        <v>1701</v>
      </c>
      <c r="P617" s="2" t="s">
        <v>62</v>
      </c>
      <c r="Q617" s="2" t="s">
        <v>62</v>
      </c>
      <c r="R617" s="2" t="s">
        <v>61</v>
      </c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2" t="s">
        <v>51</v>
      </c>
      <c r="AW617" s="2" t="s">
        <v>1702</v>
      </c>
      <c r="AX617" s="2" t="s">
        <v>51</v>
      </c>
      <c r="AY617" s="2" t="s">
        <v>51</v>
      </c>
    </row>
    <row r="618" spans="1:51" ht="30" customHeight="1">
      <c r="A618" s="8" t="s">
        <v>1061</v>
      </c>
      <c r="B618" s="8"/>
      <c r="C618" s="8" t="s">
        <v>419</v>
      </c>
      <c r="D618" s="9">
        <v>1</v>
      </c>
      <c r="E618" s="11">
        <f>단가대비표!O594</f>
        <v>0</v>
      </c>
      <c r="F618" s="12">
        <f>TRUNC(E618*D618,1)</f>
        <v>0</v>
      </c>
      <c r="G618" s="11">
        <f>단가대비표!P594</f>
        <v>2347380</v>
      </c>
      <c r="H618" s="12">
        <f>TRUNC(G618*D618,1)</f>
        <v>2347380</v>
      </c>
      <c r="I618" s="11">
        <f>단가대비표!V594</f>
        <v>0</v>
      </c>
      <c r="J618" s="12">
        <f>TRUNC(I618*D618,1)</f>
        <v>0</v>
      </c>
      <c r="K618" s="11">
        <f>TRUNC(E618+G618+I618,1)</f>
        <v>2347380</v>
      </c>
      <c r="L618" s="12">
        <f>TRUNC(F618+H618+J618,1)</f>
        <v>2347380</v>
      </c>
      <c r="M618" s="522" t="s">
        <v>51</v>
      </c>
      <c r="N618" s="2" t="s">
        <v>730</v>
      </c>
      <c r="O618" s="2" t="s">
        <v>1703</v>
      </c>
      <c r="P618" s="2" t="s">
        <v>62</v>
      </c>
      <c r="Q618" s="2" t="s">
        <v>62</v>
      </c>
      <c r="R618" s="2" t="s">
        <v>61</v>
      </c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2" t="s">
        <v>51</v>
      </c>
      <c r="AW618" s="2" t="s">
        <v>1704</v>
      </c>
      <c r="AX618" s="2" t="s">
        <v>51</v>
      </c>
      <c r="AY618" s="2" t="s">
        <v>51</v>
      </c>
    </row>
    <row r="619" spans="1:51" ht="30" customHeight="1">
      <c r="A619" s="8" t="s">
        <v>950</v>
      </c>
      <c r="B619" s="8" t="s">
        <v>51</v>
      </c>
      <c r="C619" s="8" t="s">
        <v>51</v>
      </c>
      <c r="D619" s="9"/>
      <c r="E619" s="11"/>
      <c r="F619" s="12">
        <f>TRUNC(SUMIF(N617:N618, N616, F617:F618),0)</f>
        <v>7150500</v>
      </c>
      <c r="G619" s="11"/>
      <c r="H619" s="12">
        <f>TRUNC(SUMIF(N617:N618, N616, H617:H618),0)</f>
        <v>2347380</v>
      </c>
      <c r="I619" s="11"/>
      <c r="J619" s="12">
        <f>TRUNC(SUMIF(N617:N618, N616, J617:J618),0)</f>
        <v>0</v>
      </c>
      <c r="K619" s="11"/>
      <c r="L619" s="12">
        <f>F619+H619+J619</f>
        <v>9497880</v>
      </c>
      <c r="M619" s="522" t="s">
        <v>51</v>
      </c>
      <c r="N619" s="2" t="s">
        <v>86</v>
      </c>
      <c r="O619" s="2" t="s">
        <v>86</v>
      </c>
      <c r="P619" s="2" t="s">
        <v>51</v>
      </c>
      <c r="Q619" s="2" t="s">
        <v>51</v>
      </c>
      <c r="R619" s="2" t="s">
        <v>51</v>
      </c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2" t="s">
        <v>51</v>
      </c>
      <c r="AW619" s="2" t="s">
        <v>51</v>
      </c>
      <c r="AX619" s="2" t="s">
        <v>51</v>
      </c>
      <c r="AY619" s="2" t="s">
        <v>51</v>
      </c>
    </row>
    <row r="620" spans="1:51" ht="30" customHeight="1">
      <c r="A620" s="9"/>
      <c r="B620" s="9"/>
      <c r="C620" s="9"/>
      <c r="D620" s="9"/>
      <c r="E620" s="11"/>
      <c r="F620" s="12"/>
      <c r="G620" s="11"/>
      <c r="H620" s="12"/>
      <c r="I620" s="11"/>
      <c r="J620" s="12"/>
      <c r="K620" s="11"/>
      <c r="L620" s="12"/>
      <c r="M620" s="523"/>
    </row>
    <row r="621" spans="1:51" ht="30" customHeight="1">
      <c r="A621" s="1403" t="s">
        <v>4743</v>
      </c>
      <c r="B621" s="1403"/>
      <c r="C621" s="1403"/>
      <c r="D621" s="1403"/>
      <c r="E621" s="1404"/>
      <c r="F621" s="1405"/>
      <c r="G621" s="1404"/>
      <c r="H621" s="1405"/>
      <c r="I621" s="1404"/>
      <c r="J621" s="1405"/>
      <c r="K621" s="1404"/>
      <c r="L621" s="1405"/>
      <c r="M621" s="1403"/>
      <c r="N621" s="1" t="s">
        <v>733</v>
      </c>
    </row>
    <row r="622" spans="1:51" ht="30" customHeight="1">
      <c r="A622" s="8" t="s">
        <v>732</v>
      </c>
      <c r="B622" s="8"/>
      <c r="C622" s="8" t="s">
        <v>321</v>
      </c>
      <c r="D622" s="9">
        <v>1</v>
      </c>
      <c r="E622" s="11">
        <f>단가대비표!O450</f>
        <v>2962350</v>
      </c>
      <c r="F622" s="12">
        <f>TRUNC(E622*D622,1)</f>
        <v>2962350</v>
      </c>
      <c r="G622" s="11">
        <f>단가대비표!P450</f>
        <v>0</v>
      </c>
      <c r="H622" s="12">
        <f>TRUNC(G622*D622,1)</f>
        <v>0</v>
      </c>
      <c r="I622" s="11">
        <f>단가대비표!V450</f>
        <v>0</v>
      </c>
      <c r="J622" s="12">
        <f>TRUNC(I622*D622,1)</f>
        <v>0</v>
      </c>
      <c r="K622" s="11">
        <f>TRUNC(E622+G622+I622,1)</f>
        <v>2962350</v>
      </c>
      <c r="L622" s="12">
        <f>TRUNC(F622+H622+J622,1)</f>
        <v>2962350</v>
      </c>
      <c r="M622" s="522" t="s">
        <v>51</v>
      </c>
      <c r="N622" s="2" t="s">
        <v>733</v>
      </c>
      <c r="O622" s="2" t="s">
        <v>1706</v>
      </c>
      <c r="P622" s="2" t="s">
        <v>62</v>
      </c>
      <c r="Q622" s="2" t="s">
        <v>62</v>
      </c>
      <c r="R622" s="2" t="s">
        <v>61</v>
      </c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2" t="s">
        <v>51</v>
      </c>
      <c r="AW622" s="2" t="s">
        <v>1707</v>
      </c>
      <c r="AX622" s="2" t="s">
        <v>51</v>
      </c>
      <c r="AY622" s="2" t="s">
        <v>51</v>
      </c>
    </row>
    <row r="623" spans="1:51" ht="30" customHeight="1">
      <c r="A623" s="8" t="s">
        <v>1061</v>
      </c>
      <c r="B623" s="8"/>
      <c r="C623" s="8" t="s">
        <v>419</v>
      </c>
      <c r="D623" s="9">
        <v>1</v>
      </c>
      <c r="E623" s="11">
        <f>단가대비표!O595</f>
        <v>0</v>
      </c>
      <c r="F623" s="12">
        <f>TRUNC(E623*D623,1)</f>
        <v>0</v>
      </c>
      <c r="G623" s="11">
        <f>단가대비표!P595</f>
        <v>972540</v>
      </c>
      <c r="H623" s="12">
        <f>TRUNC(G623*D623,1)</f>
        <v>972540</v>
      </c>
      <c r="I623" s="11">
        <f>단가대비표!V595</f>
        <v>0</v>
      </c>
      <c r="J623" s="12">
        <f>TRUNC(I623*D623,1)</f>
        <v>0</v>
      </c>
      <c r="K623" s="11">
        <f>TRUNC(E623+G623+I623,1)</f>
        <v>972540</v>
      </c>
      <c r="L623" s="12">
        <f>TRUNC(F623+H623+J623,1)</f>
        <v>972540</v>
      </c>
      <c r="M623" s="522" t="s">
        <v>51</v>
      </c>
      <c r="N623" s="2" t="s">
        <v>733</v>
      </c>
      <c r="O623" s="2" t="s">
        <v>1708</v>
      </c>
      <c r="P623" s="2" t="s">
        <v>62</v>
      </c>
      <c r="Q623" s="2" t="s">
        <v>62</v>
      </c>
      <c r="R623" s="2" t="s">
        <v>61</v>
      </c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2" t="s">
        <v>51</v>
      </c>
      <c r="AW623" s="2" t="s">
        <v>1709</v>
      </c>
      <c r="AX623" s="2" t="s">
        <v>51</v>
      </c>
      <c r="AY623" s="2" t="s">
        <v>51</v>
      </c>
    </row>
    <row r="624" spans="1:51" ht="30" customHeight="1">
      <c r="A624" s="8" t="s">
        <v>950</v>
      </c>
      <c r="B624" s="8" t="s">
        <v>51</v>
      </c>
      <c r="C624" s="8" t="s">
        <v>51</v>
      </c>
      <c r="D624" s="9"/>
      <c r="E624" s="11"/>
      <c r="F624" s="12">
        <f>TRUNC(SUMIF(N622:N623, N621, F622:F623),0)</f>
        <v>2962350</v>
      </c>
      <c r="G624" s="11"/>
      <c r="H624" s="12">
        <f>TRUNC(SUMIF(N622:N623, N621, H622:H623),0)</f>
        <v>972540</v>
      </c>
      <c r="I624" s="11"/>
      <c r="J624" s="12">
        <f>TRUNC(SUMIF(N622:N623, N621, J622:J623),0)</f>
        <v>0</v>
      </c>
      <c r="K624" s="11"/>
      <c r="L624" s="12">
        <f>F624+H624+J624</f>
        <v>3934890</v>
      </c>
      <c r="M624" s="522" t="s">
        <v>51</v>
      </c>
      <c r="N624" s="2" t="s">
        <v>86</v>
      </c>
      <c r="O624" s="2" t="s">
        <v>86</v>
      </c>
      <c r="P624" s="2" t="s">
        <v>51</v>
      </c>
      <c r="Q624" s="2" t="s">
        <v>51</v>
      </c>
      <c r="R624" s="2" t="s">
        <v>51</v>
      </c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2" t="s">
        <v>51</v>
      </c>
      <c r="AW624" s="2" t="s">
        <v>51</v>
      </c>
      <c r="AX624" s="2" t="s">
        <v>51</v>
      </c>
      <c r="AY624" s="2" t="s">
        <v>51</v>
      </c>
    </row>
    <row r="625" spans="1:51" ht="30" customHeight="1">
      <c r="A625" s="9"/>
      <c r="B625" s="9"/>
      <c r="C625" s="9"/>
      <c r="D625" s="9"/>
      <c r="E625" s="11"/>
      <c r="F625" s="12"/>
      <c r="G625" s="11"/>
      <c r="H625" s="12"/>
      <c r="I625" s="11"/>
      <c r="J625" s="12"/>
      <c r="K625" s="11"/>
      <c r="L625" s="12"/>
      <c r="M625" s="523"/>
    </row>
    <row r="626" spans="1:51" ht="30" customHeight="1">
      <c r="A626" s="1403" t="s">
        <v>4744</v>
      </c>
      <c r="B626" s="1403"/>
      <c r="C626" s="1403"/>
      <c r="D626" s="1403"/>
      <c r="E626" s="1404"/>
      <c r="F626" s="1405"/>
      <c r="G626" s="1404"/>
      <c r="H626" s="1405"/>
      <c r="I626" s="1404"/>
      <c r="J626" s="1405"/>
      <c r="K626" s="1404"/>
      <c r="L626" s="1405"/>
      <c r="M626" s="1403"/>
      <c r="N626" s="1" t="s">
        <v>736</v>
      </c>
    </row>
    <row r="627" spans="1:51" ht="30" customHeight="1">
      <c r="A627" s="8" t="s">
        <v>735</v>
      </c>
      <c r="B627" s="8"/>
      <c r="C627" s="8" t="s">
        <v>321</v>
      </c>
      <c r="D627" s="9">
        <v>1</v>
      </c>
      <c r="E627" s="11">
        <f>단가대비표!O451</f>
        <v>2851600</v>
      </c>
      <c r="F627" s="12">
        <f>TRUNC(E627*D627,1)</f>
        <v>2851600</v>
      </c>
      <c r="G627" s="11">
        <f>단가대비표!P451</f>
        <v>0</v>
      </c>
      <c r="H627" s="12">
        <f>TRUNC(G627*D627,1)</f>
        <v>0</v>
      </c>
      <c r="I627" s="11">
        <f>단가대비표!V451</f>
        <v>0</v>
      </c>
      <c r="J627" s="12">
        <f>TRUNC(I627*D627,1)</f>
        <v>0</v>
      </c>
      <c r="K627" s="11">
        <f>TRUNC(E627+G627+I627,1)</f>
        <v>2851600</v>
      </c>
      <c r="L627" s="12">
        <f>TRUNC(F627+H627+J627,1)</f>
        <v>2851600</v>
      </c>
      <c r="M627" s="522" t="s">
        <v>51</v>
      </c>
      <c r="N627" s="2" t="s">
        <v>736</v>
      </c>
      <c r="O627" s="2" t="s">
        <v>1711</v>
      </c>
      <c r="P627" s="2" t="s">
        <v>62</v>
      </c>
      <c r="Q627" s="2" t="s">
        <v>62</v>
      </c>
      <c r="R627" s="2" t="s">
        <v>61</v>
      </c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2" t="s">
        <v>51</v>
      </c>
      <c r="AW627" s="2" t="s">
        <v>1712</v>
      </c>
      <c r="AX627" s="2" t="s">
        <v>51</v>
      </c>
      <c r="AY627" s="2" t="s">
        <v>51</v>
      </c>
    </row>
    <row r="628" spans="1:51" ht="30" customHeight="1">
      <c r="A628" s="8" t="s">
        <v>1061</v>
      </c>
      <c r="B628" s="8"/>
      <c r="C628" s="8" t="s">
        <v>419</v>
      </c>
      <c r="D628" s="9">
        <v>1</v>
      </c>
      <c r="E628" s="11">
        <f>단가대비표!O596</f>
        <v>0</v>
      </c>
      <c r="F628" s="12">
        <f>TRUNC(E628*D628,1)</f>
        <v>0</v>
      </c>
      <c r="G628" s="11">
        <f>단가대비표!P596</f>
        <v>972540</v>
      </c>
      <c r="H628" s="12">
        <f>TRUNC(G628*D628,1)</f>
        <v>972540</v>
      </c>
      <c r="I628" s="11">
        <f>단가대비표!V596</f>
        <v>0</v>
      </c>
      <c r="J628" s="12">
        <f>TRUNC(I628*D628,1)</f>
        <v>0</v>
      </c>
      <c r="K628" s="11">
        <f>TRUNC(E628+G628+I628,1)</f>
        <v>972540</v>
      </c>
      <c r="L628" s="12">
        <f>TRUNC(F628+H628+J628,1)</f>
        <v>972540</v>
      </c>
      <c r="M628" s="522" t="s">
        <v>51</v>
      </c>
      <c r="N628" s="2" t="s">
        <v>736</v>
      </c>
      <c r="O628" s="2" t="s">
        <v>1713</v>
      </c>
      <c r="P628" s="2" t="s">
        <v>62</v>
      </c>
      <c r="Q628" s="2" t="s">
        <v>62</v>
      </c>
      <c r="R628" s="2" t="s">
        <v>61</v>
      </c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2" t="s">
        <v>51</v>
      </c>
      <c r="AW628" s="2" t="s">
        <v>1714</v>
      </c>
      <c r="AX628" s="2" t="s">
        <v>51</v>
      </c>
      <c r="AY628" s="2" t="s">
        <v>51</v>
      </c>
    </row>
    <row r="629" spans="1:51" ht="30" customHeight="1">
      <c r="A629" s="8" t="s">
        <v>950</v>
      </c>
      <c r="B629" s="8" t="s">
        <v>51</v>
      </c>
      <c r="C629" s="8" t="s">
        <v>51</v>
      </c>
      <c r="D629" s="9"/>
      <c r="E629" s="11"/>
      <c r="F629" s="12">
        <f>TRUNC(SUMIF(N627:N628, N626, F627:F628),0)</f>
        <v>2851600</v>
      </c>
      <c r="G629" s="11"/>
      <c r="H629" s="12">
        <f>TRUNC(SUMIF(N627:N628, N626, H627:H628),0)</f>
        <v>972540</v>
      </c>
      <c r="I629" s="11"/>
      <c r="J629" s="12">
        <f>TRUNC(SUMIF(N627:N628, N626, J627:J628),0)</f>
        <v>0</v>
      </c>
      <c r="K629" s="11"/>
      <c r="L629" s="12">
        <f>F629+H629+J629</f>
        <v>3824140</v>
      </c>
      <c r="M629" s="522" t="s">
        <v>51</v>
      </c>
      <c r="N629" s="2" t="s">
        <v>86</v>
      </c>
      <c r="O629" s="2" t="s">
        <v>86</v>
      </c>
      <c r="P629" s="2" t="s">
        <v>51</v>
      </c>
      <c r="Q629" s="2" t="s">
        <v>51</v>
      </c>
      <c r="R629" s="2" t="s">
        <v>51</v>
      </c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2" t="s">
        <v>51</v>
      </c>
      <c r="AW629" s="2" t="s">
        <v>51</v>
      </c>
      <c r="AX629" s="2" t="s">
        <v>51</v>
      </c>
      <c r="AY629" s="2" t="s">
        <v>51</v>
      </c>
    </row>
    <row r="630" spans="1:51" ht="30" customHeight="1">
      <c r="A630" s="9"/>
      <c r="B630" s="9"/>
      <c r="C630" s="9"/>
      <c r="D630" s="9"/>
      <c r="E630" s="11"/>
      <c r="F630" s="12"/>
      <c r="G630" s="11"/>
      <c r="H630" s="12"/>
      <c r="I630" s="11"/>
      <c r="J630" s="12"/>
      <c r="K630" s="11"/>
      <c r="L630" s="12"/>
      <c r="M630" s="523"/>
    </row>
    <row r="631" spans="1:51" ht="30" customHeight="1">
      <c r="A631" s="1403" t="s">
        <v>4745</v>
      </c>
      <c r="B631" s="1403"/>
      <c r="C631" s="1403"/>
      <c r="D631" s="1403"/>
      <c r="E631" s="1404"/>
      <c r="F631" s="1405"/>
      <c r="G631" s="1404"/>
      <c r="H631" s="1405"/>
      <c r="I631" s="1404"/>
      <c r="J631" s="1405"/>
      <c r="K631" s="1404"/>
      <c r="L631" s="1405"/>
      <c r="M631" s="1403"/>
      <c r="N631" s="1" t="s">
        <v>738</v>
      </c>
    </row>
    <row r="632" spans="1:51" ht="30" customHeight="1">
      <c r="A632" s="8" t="s">
        <v>342</v>
      </c>
      <c r="B632" s="8"/>
      <c r="C632" s="8" t="s">
        <v>321</v>
      </c>
      <c r="D632" s="9">
        <v>1</v>
      </c>
      <c r="E632" s="11">
        <f>단가대비표!O452</f>
        <v>525000</v>
      </c>
      <c r="F632" s="12">
        <f>TRUNC(E632*D632,1)</f>
        <v>525000</v>
      </c>
      <c r="G632" s="11">
        <f>단가대비표!P452</f>
        <v>0</v>
      </c>
      <c r="H632" s="12">
        <f>TRUNC(G632*D632,1)</f>
        <v>0</v>
      </c>
      <c r="I632" s="11">
        <f>단가대비표!V452</f>
        <v>0</v>
      </c>
      <c r="J632" s="12">
        <f>TRUNC(I632*D632,1)</f>
        <v>0</v>
      </c>
      <c r="K632" s="11">
        <f>TRUNC(E632+G632+I632,1)</f>
        <v>525000</v>
      </c>
      <c r="L632" s="12">
        <f>TRUNC(F632+H632+J632,1)</f>
        <v>525000</v>
      </c>
      <c r="M632" s="522" t="s">
        <v>51</v>
      </c>
      <c r="N632" s="2" t="s">
        <v>738</v>
      </c>
      <c r="O632" s="2" t="s">
        <v>1716</v>
      </c>
      <c r="P632" s="2" t="s">
        <v>62</v>
      </c>
      <c r="Q632" s="2" t="s">
        <v>62</v>
      </c>
      <c r="R632" s="2" t="s">
        <v>61</v>
      </c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2" t="s">
        <v>51</v>
      </c>
      <c r="AW632" s="2" t="s">
        <v>1717</v>
      </c>
      <c r="AX632" s="2" t="s">
        <v>51</v>
      </c>
      <c r="AY632" s="2" t="s">
        <v>51</v>
      </c>
    </row>
    <row r="633" spans="1:51" ht="30" customHeight="1">
      <c r="A633" s="8" t="s">
        <v>1061</v>
      </c>
      <c r="B633" s="8"/>
      <c r="C633" s="8" t="s">
        <v>419</v>
      </c>
      <c r="D633" s="9">
        <v>1</v>
      </c>
      <c r="E633" s="11">
        <f>단가대비표!O597</f>
        <v>0</v>
      </c>
      <c r="F633" s="12">
        <f>TRUNC(E633*D633,1)</f>
        <v>0</v>
      </c>
      <c r="G633" s="11">
        <f>단가대비표!P597</f>
        <v>180000</v>
      </c>
      <c r="H633" s="12">
        <f>TRUNC(G633*D633,1)</f>
        <v>180000</v>
      </c>
      <c r="I633" s="11">
        <f>단가대비표!V597</f>
        <v>0</v>
      </c>
      <c r="J633" s="12">
        <f>TRUNC(I633*D633,1)</f>
        <v>0</v>
      </c>
      <c r="K633" s="11">
        <f>TRUNC(E633+G633+I633,1)</f>
        <v>180000</v>
      </c>
      <c r="L633" s="12">
        <f>TRUNC(F633+H633+J633,1)</f>
        <v>180000</v>
      </c>
      <c r="M633" s="522" t="s">
        <v>51</v>
      </c>
      <c r="N633" s="2" t="s">
        <v>738</v>
      </c>
      <c r="O633" s="2" t="s">
        <v>1718</v>
      </c>
      <c r="P633" s="2" t="s">
        <v>62</v>
      </c>
      <c r="Q633" s="2" t="s">
        <v>62</v>
      </c>
      <c r="R633" s="2" t="s">
        <v>61</v>
      </c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2" t="s">
        <v>51</v>
      </c>
      <c r="AW633" s="2" t="s">
        <v>1719</v>
      </c>
      <c r="AX633" s="2" t="s">
        <v>51</v>
      </c>
      <c r="AY633" s="2" t="s">
        <v>51</v>
      </c>
    </row>
    <row r="634" spans="1:51" ht="30" customHeight="1">
      <c r="A634" s="8" t="s">
        <v>950</v>
      </c>
      <c r="B634" s="8" t="s">
        <v>51</v>
      </c>
      <c r="C634" s="8" t="s">
        <v>51</v>
      </c>
      <c r="D634" s="9"/>
      <c r="E634" s="11"/>
      <c r="F634" s="12">
        <f>TRUNC(SUMIF(N632:N633, N631, F632:F633),0)</f>
        <v>525000</v>
      </c>
      <c r="G634" s="11"/>
      <c r="H634" s="12">
        <f>TRUNC(SUMIF(N632:N633, N631, H632:H633),0)</f>
        <v>180000</v>
      </c>
      <c r="I634" s="11"/>
      <c r="J634" s="12">
        <f>TRUNC(SUMIF(N632:N633, N631, J632:J633),0)</f>
        <v>0</v>
      </c>
      <c r="K634" s="11"/>
      <c r="L634" s="12">
        <f>F634+H634+J634</f>
        <v>705000</v>
      </c>
      <c r="M634" s="522" t="s">
        <v>51</v>
      </c>
      <c r="N634" s="2" t="s">
        <v>86</v>
      </c>
      <c r="O634" s="2" t="s">
        <v>86</v>
      </c>
      <c r="P634" s="2" t="s">
        <v>51</v>
      </c>
      <c r="Q634" s="2" t="s">
        <v>51</v>
      </c>
      <c r="R634" s="2" t="s">
        <v>51</v>
      </c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2" t="s">
        <v>51</v>
      </c>
      <c r="AW634" s="2" t="s">
        <v>51</v>
      </c>
      <c r="AX634" s="2" t="s">
        <v>51</v>
      </c>
      <c r="AY634" s="2" t="s">
        <v>51</v>
      </c>
    </row>
    <row r="635" spans="1:51" ht="30" customHeight="1">
      <c r="A635" s="9"/>
      <c r="B635" s="9"/>
      <c r="C635" s="9"/>
      <c r="D635" s="9"/>
      <c r="E635" s="11"/>
      <c r="F635" s="12"/>
      <c r="G635" s="11"/>
      <c r="H635" s="12"/>
      <c r="I635" s="11"/>
      <c r="J635" s="12"/>
      <c r="K635" s="11"/>
      <c r="L635" s="12"/>
      <c r="M635" s="523"/>
    </row>
    <row r="636" spans="1:51" ht="30" customHeight="1">
      <c r="A636" s="1403" t="s">
        <v>4746</v>
      </c>
      <c r="B636" s="1403"/>
      <c r="C636" s="1403"/>
      <c r="D636" s="1403"/>
      <c r="E636" s="1404"/>
      <c r="F636" s="1405"/>
      <c r="G636" s="1404"/>
      <c r="H636" s="1405"/>
      <c r="I636" s="1404"/>
      <c r="J636" s="1405"/>
      <c r="K636" s="1404"/>
      <c r="L636" s="1405"/>
      <c r="M636" s="1403"/>
      <c r="N636" s="1" t="s">
        <v>742</v>
      </c>
    </row>
    <row r="637" spans="1:51" ht="30" customHeight="1">
      <c r="A637" s="8" t="s">
        <v>741</v>
      </c>
      <c r="B637" s="8"/>
      <c r="C637" s="8" t="s">
        <v>321</v>
      </c>
      <c r="D637" s="9">
        <v>1</v>
      </c>
      <c r="E637" s="11">
        <f>단가대비표!O550</f>
        <v>112200</v>
      </c>
      <c r="F637" s="12">
        <f>TRUNC(E637*D637,1)</f>
        <v>112200</v>
      </c>
      <c r="G637" s="11">
        <v>0</v>
      </c>
      <c r="H637" s="12">
        <f>TRUNC(G637*D637,1)</f>
        <v>0</v>
      </c>
      <c r="I637" s="11">
        <v>0</v>
      </c>
      <c r="J637" s="12">
        <f>TRUNC(I637*D637,1)</f>
        <v>0</v>
      </c>
      <c r="K637" s="11">
        <f>TRUNC(E637+G637+I637,1)</f>
        <v>112200</v>
      </c>
      <c r="L637" s="12">
        <f>TRUNC(F637+H637+J637,1)</f>
        <v>112200</v>
      </c>
      <c r="M637" s="522" t="s">
        <v>51</v>
      </c>
      <c r="N637" s="2" t="s">
        <v>742</v>
      </c>
      <c r="O637" s="2" t="s">
        <v>1721</v>
      </c>
      <c r="P637" s="2" t="s">
        <v>62</v>
      </c>
      <c r="Q637" s="2" t="s">
        <v>62</v>
      </c>
      <c r="R637" s="2" t="s">
        <v>61</v>
      </c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2" t="s">
        <v>51</v>
      </c>
      <c r="AW637" s="2" t="s">
        <v>1722</v>
      </c>
      <c r="AX637" s="2" t="s">
        <v>51</v>
      </c>
      <c r="AY637" s="2" t="s">
        <v>51</v>
      </c>
    </row>
    <row r="638" spans="1:51" ht="30" customHeight="1">
      <c r="A638" s="8" t="s">
        <v>1061</v>
      </c>
      <c r="B638" s="8"/>
      <c r="C638" s="8" t="s">
        <v>419</v>
      </c>
      <c r="D638" s="9">
        <v>1</v>
      </c>
      <c r="E638" s="11">
        <f>단가대비표!O599</f>
        <v>0</v>
      </c>
      <c r="F638" s="12">
        <f>TRUNC(E638*D638,1)</f>
        <v>0</v>
      </c>
      <c r="G638" s="11">
        <f>단가대비표!P599</f>
        <v>122400</v>
      </c>
      <c r="H638" s="12">
        <f>TRUNC(G638*D638,1)</f>
        <v>122400</v>
      </c>
      <c r="I638" s="11">
        <f>단가대비표!V599</f>
        <v>0</v>
      </c>
      <c r="J638" s="12">
        <f>TRUNC(I638*D638,1)</f>
        <v>0</v>
      </c>
      <c r="K638" s="11">
        <f>TRUNC(E638+G638+I638,1)</f>
        <v>122400</v>
      </c>
      <c r="L638" s="12">
        <f>TRUNC(F638+H638+J638,1)</f>
        <v>122400</v>
      </c>
      <c r="M638" s="522" t="s">
        <v>51</v>
      </c>
      <c r="N638" s="2" t="s">
        <v>742</v>
      </c>
      <c r="O638" s="2" t="s">
        <v>1723</v>
      </c>
      <c r="P638" s="2" t="s">
        <v>62</v>
      </c>
      <c r="Q638" s="2" t="s">
        <v>62</v>
      </c>
      <c r="R638" s="2" t="s">
        <v>61</v>
      </c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2" t="s">
        <v>51</v>
      </c>
      <c r="AW638" s="2" t="s">
        <v>1724</v>
      </c>
      <c r="AX638" s="2" t="s">
        <v>51</v>
      </c>
      <c r="AY638" s="2" t="s">
        <v>51</v>
      </c>
    </row>
    <row r="639" spans="1:51" ht="30" customHeight="1">
      <c r="A639" s="8" t="s">
        <v>950</v>
      </c>
      <c r="B639" s="8" t="s">
        <v>51</v>
      </c>
      <c r="C639" s="8" t="s">
        <v>51</v>
      </c>
      <c r="D639" s="9"/>
      <c r="E639" s="11"/>
      <c r="F639" s="12">
        <f>TRUNC(SUMIF(N637:N638, N636, F637:F638),0)</f>
        <v>112200</v>
      </c>
      <c r="G639" s="11"/>
      <c r="H639" s="12">
        <f>TRUNC(SUMIF(N637:N638, N636, H637:H638),0)</f>
        <v>122400</v>
      </c>
      <c r="I639" s="11"/>
      <c r="J639" s="12">
        <f>TRUNC(SUMIF(N637:N638, N636, J637:J638),0)</f>
        <v>0</v>
      </c>
      <c r="K639" s="11"/>
      <c r="L639" s="12">
        <f>F639+H639+J639</f>
        <v>234600</v>
      </c>
      <c r="M639" s="522" t="s">
        <v>51</v>
      </c>
      <c r="N639" s="2" t="s">
        <v>86</v>
      </c>
      <c r="O639" s="2" t="s">
        <v>86</v>
      </c>
      <c r="P639" s="2" t="s">
        <v>51</v>
      </c>
      <c r="Q639" s="2" t="s">
        <v>51</v>
      </c>
      <c r="R639" s="2" t="s">
        <v>51</v>
      </c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2" t="s">
        <v>51</v>
      </c>
      <c r="AW639" s="2" t="s">
        <v>51</v>
      </c>
      <c r="AX639" s="2" t="s">
        <v>51</v>
      </c>
      <c r="AY639" s="2" t="s">
        <v>51</v>
      </c>
    </row>
    <row r="640" spans="1:51" ht="30" customHeight="1">
      <c r="A640" s="9"/>
      <c r="B640" s="9"/>
      <c r="C640" s="9"/>
      <c r="D640" s="9"/>
      <c r="E640" s="11"/>
      <c r="F640" s="12"/>
      <c r="G640" s="11"/>
      <c r="H640" s="12"/>
      <c r="I640" s="11"/>
      <c r="J640" s="12"/>
      <c r="K640" s="11"/>
      <c r="L640" s="12"/>
      <c r="M640" s="523"/>
    </row>
    <row r="641" spans="1:52" ht="30" customHeight="1">
      <c r="A641" s="1400" t="s">
        <v>4537</v>
      </c>
      <c r="B641" s="1400"/>
      <c r="C641" s="1400"/>
      <c r="D641" s="1400"/>
      <c r="E641" s="1401"/>
      <c r="F641" s="1402"/>
      <c r="G641" s="1401"/>
      <c r="H641" s="1402"/>
      <c r="I641" s="1401"/>
      <c r="J641" s="1402"/>
      <c r="K641" s="1401"/>
      <c r="L641" s="1402"/>
      <c r="M641" s="1400"/>
      <c r="N641" s="1" t="s">
        <v>747</v>
      </c>
      <c r="AZ641" t="s">
        <v>6747</v>
      </c>
    </row>
    <row r="642" spans="1:52" ht="30" customHeight="1">
      <c r="A642" s="8" t="s">
        <v>987</v>
      </c>
      <c r="B642" s="8" t="s">
        <v>1726</v>
      </c>
      <c r="C642" s="8" t="s">
        <v>993</v>
      </c>
      <c r="D642" s="9">
        <v>0.04</v>
      </c>
      <c r="E642" s="11">
        <f>단가대비표!O517</f>
        <v>1200</v>
      </c>
      <c r="F642" s="12">
        <f>TRUNC(E642*D642,1)</f>
        <v>48</v>
      </c>
      <c r="G642" s="11">
        <f>단가대비표!P517</f>
        <v>0</v>
      </c>
      <c r="H642" s="12">
        <f>TRUNC(G642*D642,1)</f>
        <v>0</v>
      </c>
      <c r="I642" s="11">
        <f>단가대비표!V517</f>
        <v>0</v>
      </c>
      <c r="J642" s="12">
        <f>TRUNC(I642*D642,1)</f>
        <v>0</v>
      </c>
      <c r="K642" s="11">
        <f t="shared" ref="K642:L645" si="142">TRUNC(E642+G642+I642,1)</f>
        <v>1200</v>
      </c>
      <c r="L642" s="12">
        <f t="shared" si="142"/>
        <v>48</v>
      </c>
      <c r="M642" s="522" t="s">
        <v>51</v>
      </c>
      <c r="N642" s="2" t="s">
        <v>747</v>
      </c>
      <c r="O642" s="2" t="s">
        <v>1727</v>
      </c>
      <c r="P642" s="2" t="s">
        <v>62</v>
      </c>
      <c r="Q642" s="2" t="s">
        <v>62</v>
      </c>
      <c r="R642" s="2" t="s">
        <v>61</v>
      </c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2" t="s">
        <v>51</v>
      </c>
      <c r="AW642" s="2" t="s">
        <v>1728</v>
      </c>
      <c r="AX642" s="2" t="s">
        <v>51</v>
      </c>
      <c r="AY642" s="2" t="s">
        <v>51</v>
      </c>
    </row>
    <row r="643" spans="1:52" ht="30" customHeight="1">
      <c r="A643" s="8" t="s">
        <v>987</v>
      </c>
      <c r="B643" s="8" t="s">
        <v>1729</v>
      </c>
      <c r="C643" s="8" t="s">
        <v>1394</v>
      </c>
      <c r="D643" s="9">
        <v>15</v>
      </c>
      <c r="E643" s="11">
        <f>단가대비표!O518</f>
        <v>50</v>
      </c>
      <c r="F643" s="12">
        <f>TRUNC(E643*D643,1)</f>
        <v>750</v>
      </c>
      <c r="G643" s="11">
        <f>단가대비표!P518</f>
        <v>0</v>
      </c>
      <c r="H643" s="12">
        <f>TRUNC(G643*D643,1)</f>
        <v>0</v>
      </c>
      <c r="I643" s="11">
        <f>단가대비표!V518</f>
        <v>0</v>
      </c>
      <c r="J643" s="12">
        <f>TRUNC(I643*D643,1)</f>
        <v>0</v>
      </c>
      <c r="K643" s="11">
        <f t="shared" si="142"/>
        <v>50</v>
      </c>
      <c r="L643" s="12">
        <f t="shared" si="142"/>
        <v>750</v>
      </c>
      <c r="M643" s="522" t="s">
        <v>51</v>
      </c>
      <c r="N643" s="2" t="s">
        <v>747</v>
      </c>
      <c r="O643" s="2" t="s">
        <v>1730</v>
      </c>
      <c r="P643" s="2" t="s">
        <v>62</v>
      </c>
      <c r="Q643" s="2" t="s">
        <v>62</v>
      </c>
      <c r="R643" s="2" t="s">
        <v>61</v>
      </c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2" t="s">
        <v>51</v>
      </c>
      <c r="AW643" s="2" t="s">
        <v>1731</v>
      </c>
      <c r="AX643" s="2" t="s">
        <v>51</v>
      </c>
      <c r="AY643" s="2" t="s">
        <v>51</v>
      </c>
    </row>
    <row r="644" spans="1:52" ht="30" customHeight="1">
      <c r="A644" s="8" t="s">
        <v>1061</v>
      </c>
      <c r="B644" s="8" t="s">
        <v>418</v>
      </c>
      <c r="C644" s="8" t="s">
        <v>419</v>
      </c>
      <c r="D644" s="1171">
        <v>0.13600000000000001</v>
      </c>
      <c r="E644" s="11">
        <f>단가대비표!O569</f>
        <v>0</v>
      </c>
      <c r="F644" s="12">
        <f>TRUNC(E644*D644,1)</f>
        <v>0</v>
      </c>
      <c r="G644" s="11">
        <f>단가대비표!P569</f>
        <v>190247</v>
      </c>
      <c r="H644" s="12">
        <f>TRUNC(G644*D644,1)</f>
        <v>25873.5</v>
      </c>
      <c r="I644" s="11">
        <f>단가대비표!V569</f>
        <v>0</v>
      </c>
      <c r="J644" s="12">
        <f>TRUNC(I644*D644,1)</f>
        <v>0</v>
      </c>
      <c r="K644" s="11">
        <f t="shared" si="142"/>
        <v>190247</v>
      </c>
      <c r="L644" s="12">
        <f t="shared" si="142"/>
        <v>25873.5</v>
      </c>
      <c r="M644" s="522" t="s">
        <v>51</v>
      </c>
      <c r="N644" s="2" t="s">
        <v>747</v>
      </c>
      <c r="O644" s="2" t="s">
        <v>1062</v>
      </c>
      <c r="P644" s="2" t="s">
        <v>62</v>
      </c>
      <c r="Q644" s="2" t="s">
        <v>62</v>
      </c>
      <c r="R644" s="2" t="s">
        <v>61</v>
      </c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2" t="s">
        <v>51</v>
      </c>
      <c r="AW644" s="2" t="s">
        <v>1732</v>
      </c>
      <c r="AX644" s="2" t="s">
        <v>51</v>
      </c>
      <c r="AY644" s="2" t="s">
        <v>51</v>
      </c>
      <c r="AZ644">
        <v>0.47</v>
      </c>
    </row>
    <row r="645" spans="1:52" ht="30" customHeight="1">
      <c r="A645" s="8" t="s">
        <v>996</v>
      </c>
      <c r="B645" s="8" t="s">
        <v>947</v>
      </c>
      <c r="C645" s="8" t="s">
        <v>419</v>
      </c>
      <c r="D645" s="1171">
        <v>0</v>
      </c>
      <c r="E645" s="11">
        <f>단가대비표!O556</f>
        <v>0</v>
      </c>
      <c r="F645" s="12">
        <f>TRUNC(E645*D645,1)</f>
        <v>0</v>
      </c>
      <c r="G645" s="11">
        <f>단가대비표!P556</f>
        <v>130264</v>
      </c>
      <c r="H645" s="12">
        <f>TRUNC(G645*D645,1)</f>
        <v>0</v>
      </c>
      <c r="I645" s="11">
        <f>단가대비표!V556</f>
        <v>0</v>
      </c>
      <c r="J645" s="12">
        <f>TRUNC(I645*D645,1)</f>
        <v>0</v>
      </c>
      <c r="K645" s="11">
        <f t="shared" si="142"/>
        <v>130264</v>
      </c>
      <c r="L645" s="12">
        <f t="shared" si="142"/>
        <v>0</v>
      </c>
      <c r="M645" s="522" t="s">
        <v>51</v>
      </c>
      <c r="N645" s="2" t="s">
        <v>747</v>
      </c>
      <c r="O645" s="2" t="s">
        <v>997</v>
      </c>
      <c r="P645" s="2" t="s">
        <v>62</v>
      </c>
      <c r="Q645" s="2" t="s">
        <v>62</v>
      </c>
      <c r="R645" s="2" t="s">
        <v>61</v>
      </c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2" t="s">
        <v>51</v>
      </c>
      <c r="AW645" s="2" t="s">
        <v>1733</v>
      </c>
      <c r="AX645" s="2" t="s">
        <v>51</v>
      </c>
      <c r="AY645" s="2" t="s">
        <v>51</v>
      </c>
      <c r="AZ645">
        <v>5.5E-2</v>
      </c>
    </row>
    <row r="646" spans="1:52" ht="30" customHeight="1">
      <c r="A646" s="8" t="s">
        <v>950</v>
      </c>
      <c r="B646" s="8" t="s">
        <v>51</v>
      </c>
      <c r="C646" s="8" t="s">
        <v>51</v>
      </c>
      <c r="D646" s="9"/>
      <c r="E646" s="11"/>
      <c r="F646" s="12">
        <f>TRUNC(SUMIF(N642:N645, N641, F642:F645),0)</f>
        <v>798</v>
      </c>
      <c r="G646" s="11"/>
      <c r="H646" s="12">
        <f>TRUNC(SUMIF(N642:N645, N641, H642:H645),0)</f>
        <v>25873</v>
      </c>
      <c r="I646" s="11"/>
      <c r="J646" s="12">
        <f>TRUNC(SUMIF(N642:N645, N641, J642:J645),0)</f>
        <v>0</v>
      </c>
      <c r="K646" s="11"/>
      <c r="L646" s="12">
        <f>F646+H646+J646</f>
        <v>26671</v>
      </c>
      <c r="M646" s="522" t="s">
        <v>51</v>
      </c>
      <c r="N646" s="2" t="s">
        <v>86</v>
      </c>
      <c r="O646" s="2" t="s">
        <v>86</v>
      </c>
      <c r="P646" s="2" t="s">
        <v>51</v>
      </c>
      <c r="Q646" s="2" t="s">
        <v>51</v>
      </c>
      <c r="R646" s="2" t="s">
        <v>51</v>
      </c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2" t="s">
        <v>51</v>
      </c>
      <c r="AW646" s="2" t="s">
        <v>51</v>
      </c>
      <c r="AX646" s="2" t="s">
        <v>51</v>
      </c>
      <c r="AY646" s="2" t="s">
        <v>51</v>
      </c>
      <c r="AZ646" s="1170">
        <v>97378</v>
      </c>
    </row>
    <row r="647" spans="1:52" ht="30" customHeight="1">
      <c r="A647" s="9"/>
      <c r="B647" s="9"/>
      <c r="C647" s="9"/>
      <c r="D647" s="9"/>
      <c r="E647" s="11"/>
      <c r="F647" s="12"/>
      <c r="G647" s="11"/>
      <c r="H647" s="12"/>
      <c r="I647" s="11"/>
      <c r="J647" s="12"/>
      <c r="K647" s="11"/>
      <c r="L647" s="12"/>
      <c r="M647" s="523"/>
    </row>
    <row r="648" spans="1:52" ht="30" customHeight="1">
      <c r="A648" s="1400" t="s">
        <v>4538</v>
      </c>
      <c r="B648" s="1400"/>
      <c r="C648" s="1400"/>
      <c r="D648" s="1400"/>
      <c r="E648" s="1401"/>
      <c r="F648" s="1402"/>
      <c r="G648" s="1401"/>
      <c r="H648" s="1402"/>
      <c r="I648" s="1401"/>
      <c r="J648" s="1402"/>
      <c r="K648" s="1401"/>
      <c r="L648" s="1402"/>
      <c r="M648" s="1400"/>
      <c r="N648" s="1" t="s">
        <v>753</v>
      </c>
      <c r="AZ648" t="s">
        <v>6748</v>
      </c>
    </row>
    <row r="649" spans="1:52" ht="30" customHeight="1">
      <c r="A649" s="8" t="s">
        <v>987</v>
      </c>
      <c r="B649" s="8" t="s">
        <v>1726</v>
      </c>
      <c r="C649" s="8" t="s">
        <v>993</v>
      </c>
      <c r="D649" s="9">
        <v>0.04</v>
      </c>
      <c r="E649" s="11">
        <f>단가대비표!O517</f>
        <v>1200</v>
      </c>
      <c r="F649" s="12">
        <f>TRUNC(E649*D649,1)</f>
        <v>48</v>
      </c>
      <c r="G649" s="11">
        <f>단가대비표!P517</f>
        <v>0</v>
      </c>
      <c r="H649" s="12">
        <f>TRUNC(G649*D649,1)</f>
        <v>0</v>
      </c>
      <c r="I649" s="11">
        <f>단가대비표!V517</f>
        <v>0</v>
      </c>
      <c r="J649" s="12">
        <f>TRUNC(I649*D649,1)</f>
        <v>0</v>
      </c>
      <c r="K649" s="11">
        <f t="shared" ref="K649:L652" si="143">TRUNC(E649+G649+I649,1)</f>
        <v>1200</v>
      </c>
      <c r="L649" s="12">
        <f t="shared" si="143"/>
        <v>48</v>
      </c>
      <c r="M649" s="522" t="s">
        <v>51</v>
      </c>
      <c r="N649" s="2" t="s">
        <v>753</v>
      </c>
      <c r="O649" s="2" t="s">
        <v>1727</v>
      </c>
      <c r="P649" s="2" t="s">
        <v>62</v>
      </c>
      <c r="Q649" s="2" t="s">
        <v>62</v>
      </c>
      <c r="R649" s="2" t="s">
        <v>61</v>
      </c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2" t="s">
        <v>51</v>
      </c>
      <c r="AW649" s="2" t="s">
        <v>1735</v>
      </c>
      <c r="AX649" s="2" t="s">
        <v>51</v>
      </c>
      <c r="AY649" s="2" t="s">
        <v>51</v>
      </c>
    </row>
    <row r="650" spans="1:52" ht="30" customHeight="1">
      <c r="A650" s="8" t="s">
        <v>987</v>
      </c>
      <c r="B650" s="8" t="s">
        <v>1729</v>
      </c>
      <c r="C650" s="8" t="s">
        <v>1394</v>
      </c>
      <c r="D650" s="9">
        <v>15</v>
      </c>
      <c r="E650" s="11">
        <f>단가대비표!O518</f>
        <v>50</v>
      </c>
      <c r="F650" s="12">
        <f>TRUNC(E650*D650,1)</f>
        <v>750</v>
      </c>
      <c r="G650" s="11">
        <f>단가대비표!P518</f>
        <v>0</v>
      </c>
      <c r="H650" s="12">
        <f>TRUNC(G650*D650,1)</f>
        <v>0</v>
      </c>
      <c r="I650" s="11">
        <f>단가대비표!V518</f>
        <v>0</v>
      </c>
      <c r="J650" s="12">
        <f>TRUNC(I650*D650,1)</f>
        <v>0</v>
      </c>
      <c r="K650" s="11">
        <f t="shared" si="143"/>
        <v>50</v>
      </c>
      <c r="L650" s="12">
        <f t="shared" si="143"/>
        <v>750</v>
      </c>
      <c r="M650" s="522" t="s">
        <v>51</v>
      </c>
      <c r="N650" s="2" t="s">
        <v>753</v>
      </c>
      <c r="O650" s="2" t="s">
        <v>1730</v>
      </c>
      <c r="P650" s="2" t="s">
        <v>62</v>
      </c>
      <c r="Q650" s="2" t="s">
        <v>62</v>
      </c>
      <c r="R650" s="2" t="s">
        <v>61</v>
      </c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2" t="s">
        <v>51</v>
      </c>
      <c r="AW650" s="2" t="s">
        <v>1736</v>
      </c>
      <c r="AX650" s="2" t="s">
        <v>51</v>
      </c>
      <c r="AY650" s="2" t="s">
        <v>51</v>
      </c>
    </row>
    <row r="651" spans="1:52" ht="30" customHeight="1">
      <c r="A651" s="8" t="s">
        <v>1061</v>
      </c>
      <c r="B651" s="8" t="s">
        <v>418</v>
      </c>
      <c r="C651" s="8" t="s">
        <v>419</v>
      </c>
      <c r="D651" s="1171">
        <v>0.13800000000000001</v>
      </c>
      <c r="E651" s="11">
        <f>단가대비표!O569</f>
        <v>0</v>
      </c>
      <c r="F651" s="12">
        <f>TRUNC(E651*D651,1)</f>
        <v>0</v>
      </c>
      <c r="G651" s="11">
        <f>단가대비표!P569</f>
        <v>190247</v>
      </c>
      <c r="H651" s="12">
        <f>TRUNC(G651*D651,1)</f>
        <v>26254</v>
      </c>
      <c r="I651" s="11">
        <f>단가대비표!V569</f>
        <v>0</v>
      </c>
      <c r="J651" s="12">
        <f>TRUNC(I651*D651,1)</f>
        <v>0</v>
      </c>
      <c r="K651" s="11">
        <f t="shared" si="143"/>
        <v>190247</v>
      </c>
      <c r="L651" s="12">
        <f t="shared" si="143"/>
        <v>26254</v>
      </c>
      <c r="M651" s="522" t="s">
        <v>51</v>
      </c>
      <c r="N651" s="2" t="s">
        <v>753</v>
      </c>
      <c r="O651" s="2" t="s">
        <v>1062</v>
      </c>
      <c r="P651" s="2" t="s">
        <v>62</v>
      </c>
      <c r="Q651" s="2" t="s">
        <v>62</v>
      </c>
      <c r="R651" s="2" t="s">
        <v>61</v>
      </c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2" t="s">
        <v>51</v>
      </c>
      <c r="AW651" s="2" t="s">
        <v>1737</v>
      </c>
      <c r="AX651" s="2" t="s">
        <v>51</v>
      </c>
      <c r="AY651" s="2" t="s">
        <v>51</v>
      </c>
      <c r="AZ651">
        <v>0.3</v>
      </c>
    </row>
    <row r="652" spans="1:52" ht="30" customHeight="1">
      <c r="A652" s="8" t="s">
        <v>996</v>
      </c>
      <c r="B652" s="8" t="s">
        <v>947</v>
      </c>
      <c r="C652" s="8" t="s">
        <v>419</v>
      </c>
      <c r="D652" s="1171">
        <v>0</v>
      </c>
      <c r="E652" s="11">
        <f>단가대비표!O556</f>
        <v>0</v>
      </c>
      <c r="F652" s="12">
        <f>TRUNC(E652*D652,1)</f>
        <v>0</v>
      </c>
      <c r="G652" s="11">
        <f>단가대비표!P556</f>
        <v>130264</v>
      </c>
      <c r="H652" s="12">
        <f>TRUNC(G652*D652,1)</f>
        <v>0</v>
      </c>
      <c r="I652" s="11">
        <f>단가대비표!V556</f>
        <v>0</v>
      </c>
      <c r="J652" s="12">
        <f>TRUNC(I652*D652,1)</f>
        <v>0</v>
      </c>
      <c r="K652" s="11">
        <f t="shared" si="143"/>
        <v>130264</v>
      </c>
      <c r="L652" s="12">
        <f t="shared" si="143"/>
        <v>0</v>
      </c>
      <c r="M652" s="522" t="s">
        <v>51</v>
      </c>
      <c r="N652" s="2" t="s">
        <v>753</v>
      </c>
      <c r="O652" s="2" t="s">
        <v>997</v>
      </c>
      <c r="P652" s="2" t="s">
        <v>62</v>
      </c>
      <c r="Q652" s="2" t="s">
        <v>62</v>
      </c>
      <c r="R652" s="2" t="s">
        <v>61</v>
      </c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2" t="s">
        <v>51</v>
      </c>
      <c r="AW652" s="2" t="s">
        <v>1738</v>
      </c>
      <c r="AX652" s="2" t="s">
        <v>51</v>
      </c>
      <c r="AY652" s="2" t="s">
        <v>51</v>
      </c>
      <c r="AZ652">
        <v>5.5E-2</v>
      </c>
    </row>
    <row r="653" spans="1:52" ht="30" customHeight="1">
      <c r="A653" s="8" t="s">
        <v>950</v>
      </c>
      <c r="B653" s="8" t="s">
        <v>51</v>
      </c>
      <c r="C653" s="8" t="s">
        <v>51</v>
      </c>
      <c r="D653" s="9"/>
      <c r="E653" s="11"/>
      <c r="F653" s="12">
        <f>TRUNC(SUMIF(N649:N652, N648, F649:F652),0)</f>
        <v>798</v>
      </c>
      <c r="G653" s="11"/>
      <c r="H653" s="12">
        <f>TRUNC(SUMIF(N649:N652, N648, H649:H652),0)</f>
        <v>26254</v>
      </c>
      <c r="I653" s="11"/>
      <c r="J653" s="12">
        <f>TRUNC(SUMIF(N649:N652, N648, J649:J652),0)</f>
        <v>0</v>
      </c>
      <c r="K653" s="11"/>
      <c r="L653" s="12">
        <f>F653+H653+J653</f>
        <v>27052</v>
      </c>
      <c r="M653" s="522" t="s">
        <v>51</v>
      </c>
      <c r="N653" s="2" t="s">
        <v>86</v>
      </c>
      <c r="O653" s="2" t="s">
        <v>86</v>
      </c>
      <c r="P653" s="2" t="s">
        <v>51</v>
      </c>
      <c r="Q653" s="2" t="s">
        <v>51</v>
      </c>
      <c r="R653" s="2" t="s">
        <v>51</v>
      </c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2" t="s">
        <v>51</v>
      </c>
      <c r="AW653" s="2" t="s">
        <v>51</v>
      </c>
      <c r="AX653" s="2" t="s">
        <v>51</v>
      </c>
      <c r="AY653" s="2" t="s">
        <v>51</v>
      </c>
      <c r="AZ653" s="1170">
        <v>65036</v>
      </c>
    </row>
    <row r="654" spans="1:52" ht="30" customHeight="1">
      <c r="A654" s="9"/>
      <c r="B654" s="9"/>
      <c r="C654" s="9"/>
      <c r="D654" s="9"/>
      <c r="E654" s="11"/>
      <c r="F654" s="12"/>
      <c r="G654" s="11"/>
      <c r="H654" s="12"/>
      <c r="I654" s="11"/>
      <c r="J654" s="12"/>
      <c r="K654" s="11"/>
      <c r="L654" s="12"/>
      <c r="M654" s="523"/>
    </row>
    <row r="655" spans="1:52" ht="30" customHeight="1">
      <c r="A655" s="1403" t="s">
        <v>4539</v>
      </c>
      <c r="B655" s="1403"/>
      <c r="C655" s="1403"/>
      <c r="D655" s="1403"/>
      <c r="E655" s="1404"/>
      <c r="F655" s="1405"/>
      <c r="G655" s="1404"/>
      <c r="H655" s="1405"/>
      <c r="I655" s="1404"/>
      <c r="J655" s="1405"/>
      <c r="K655" s="1404"/>
      <c r="L655" s="1405"/>
      <c r="M655" s="1403"/>
      <c r="N655" s="1" t="s">
        <v>809</v>
      </c>
    </row>
    <row r="656" spans="1:52" ht="30" customHeight="1">
      <c r="A656" s="8" t="s">
        <v>2343</v>
      </c>
      <c r="B656" s="8" t="s">
        <v>3798</v>
      </c>
      <c r="C656" s="8" t="s">
        <v>2344</v>
      </c>
      <c r="D656" s="207">
        <v>1.2</v>
      </c>
      <c r="E656" s="208">
        <f>단가대비표!O56</f>
        <v>4000</v>
      </c>
      <c r="F656" s="209">
        <f>TRUNC(E656*D656,1)</f>
        <v>4800</v>
      </c>
      <c r="G656" s="208">
        <f>단가대비표!P440</f>
        <v>0</v>
      </c>
      <c r="H656" s="209">
        <f>TRUNC(G656*D656,1)</f>
        <v>0</v>
      </c>
      <c r="I656" s="208">
        <f>단가대비표!V440</f>
        <v>0</v>
      </c>
      <c r="J656" s="209">
        <f>TRUNC(I656*D656,1)</f>
        <v>0</v>
      </c>
      <c r="K656" s="208">
        <f t="shared" ref="K656:L660" si="144">TRUNC(E656+G656+I656,1)</f>
        <v>4000</v>
      </c>
      <c r="L656" s="209">
        <f t="shared" si="144"/>
        <v>4800</v>
      </c>
      <c r="M656" s="522" t="s">
        <v>51</v>
      </c>
      <c r="N656" s="2" t="s">
        <v>216</v>
      </c>
      <c r="O656" s="2" t="s">
        <v>1214</v>
      </c>
      <c r="P656" s="2" t="s">
        <v>62</v>
      </c>
      <c r="Q656" s="2" t="s">
        <v>62</v>
      </c>
      <c r="R656" s="2" t="s">
        <v>61</v>
      </c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2" t="s">
        <v>51</v>
      </c>
      <c r="AW656" s="2" t="s">
        <v>1215</v>
      </c>
      <c r="AX656" s="2" t="s">
        <v>51</v>
      </c>
      <c r="AY656" s="2" t="s">
        <v>51</v>
      </c>
    </row>
    <row r="657" spans="1:52" ht="30" customHeight="1">
      <c r="A657" s="8" t="s">
        <v>1118</v>
      </c>
      <c r="B657" s="8" t="s">
        <v>1151</v>
      </c>
      <c r="C657" s="8" t="s">
        <v>993</v>
      </c>
      <c r="D657" s="207">
        <v>3.0000000000000001E-3</v>
      </c>
      <c r="E657" s="208">
        <f>단가대비표!O936</f>
        <v>0</v>
      </c>
      <c r="F657" s="209">
        <f>TRUNC(E657*D657,1)</f>
        <v>0</v>
      </c>
      <c r="G657" s="208">
        <f>단가대비표!P936</f>
        <v>0</v>
      </c>
      <c r="H657" s="209">
        <f>TRUNC(G657*D657,1)</f>
        <v>0</v>
      </c>
      <c r="I657" s="208">
        <f>단가대비표!V936</f>
        <v>0</v>
      </c>
      <c r="J657" s="209">
        <f>TRUNC(I657*D657,1)</f>
        <v>0</v>
      </c>
      <c r="K657" s="208">
        <f t="shared" si="144"/>
        <v>0</v>
      </c>
      <c r="L657" s="209">
        <f t="shared" si="144"/>
        <v>0</v>
      </c>
      <c r="M657" s="522" t="s">
        <v>51</v>
      </c>
      <c r="N657" s="2" t="s">
        <v>216</v>
      </c>
      <c r="O657" s="2" t="s">
        <v>1152</v>
      </c>
      <c r="P657" s="2" t="s">
        <v>62</v>
      </c>
      <c r="Q657" s="2" t="s">
        <v>62</v>
      </c>
      <c r="R657" s="2" t="s">
        <v>61</v>
      </c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2" t="s">
        <v>51</v>
      </c>
      <c r="AW657" s="2" t="s">
        <v>1216</v>
      </c>
      <c r="AX657" s="2" t="s">
        <v>51</v>
      </c>
      <c r="AY657" s="2" t="s">
        <v>51</v>
      </c>
    </row>
    <row r="658" spans="1:52" ht="30" customHeight="1">
      <c r="A658" s="8" t="s">
        <v>946</v>
      </c>
      <c r="B658" s="8" t="s">
        <v>418</v>
      </c>
      <c r="C658" s="8" t="s">
        <v>419</v>
      </c>
      <c r="D658" s="207">
        <v>0.23</v>
      </c>
      <c r="E658" s="208"/>
      <c r="F658" s="209">
        <f>TRUNC(E658*D658,1)</f>
        <v>0</v>
      </c>
      <c r="G658" s="208">
        <f>단가대비표!P568</f>
        <v>203532</v>
      </c>
      <c r="H658" s="209">
        <f>TRUNC(G658*D658,1)</f>
        <v>46812.3</v>
      </c>
      <c r="I658" s="208">
        <f>단가대비표!V568</f>
        <v>0</v>
      </c>
      <c r="J658" s="209">
        <f>TRUNC(I658*D658,1)</f>
        <v>0</v>
      </c>
      <c r="K658" s="208">
        <f>TRUNC(E658+G658+I658,1)</f>
        <v>203532</v>
      </c>
      <c r="L658" s="209">
        <f>TRUNC(F658+H658+J658,1)</f>
        <v>46812.3</v>
      </c>
      <c r="M658" s="522" t="s">
        <v>51</v>
      </c>
      <c r="N658" s="2" t="s">
        <v>685</v>
      </c>
      <c r="O658" s="2" t="s">
        <v>1040</v>
      </c>
      <c r="P658" s="2" t="s">
        <v>62</v>
      </c>
      <c r="Q658" s="2" t="s">
        <v>62</v>
      </c>
      <c r="R658" s="2" t="s">
        <v>61</v>
      </c>
      <c r="S658" s="3"/>
      <c r="T658" s="3"/>
      <c r="U658" s="3"/>
      <c r="V658" s="3">
        <v>1</v>
      </c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2" t="s">
        <v>51</v>
      </c>
      <c r="AW658" s="2" t="s">
        <v>1657</v>
      </c>
      <c r="AX658" s="2" t="s">
        <v>51</v>
      </c>
      <c r="AY658" s="2" t="s">
        <v>51</v>
      </c>
    </row>
    <row r="659" spans="1:52" ht="30" customHeight="1">
      <c r="A659" s="8" t="s">
        <v>1134</v>
      </c>
      <c r="B659" s="8" t="s">
        <v>1662</v>
      </c>
      <c r="C659" s="8" t="s">
        <v>82</v>
      </c>
      <c r="D659" s="207">
        <v>1</v>
      </c>
      <c r="E659" s="208">
        <v>0</v>
      </c>
      <c r="F659" s="209">
        <f>TRUNC(E659*D659,1)</f>
        <v>0</v>
      </c>
      <c r="G659" s="208">
        <v>0</v>
      </c>
      <c r="H659" s="209">
        <f>TRUNC(G659*D659,1)</f>
        <v>0</v>
      </c>
      <c r="I659" s="208">
        <f>TRUNC(SUMIF(V657:V659, RIGHTB(O659, 1), H657:H659)*U659, 2)</f>
        <v>1872.49</v>
      </c>
      <c r="J659" s="209">
        <f>TRUNC(I659*D659,1)</f>
        <v>1872.4</v>
      </c>
      <c r="K659" s="208">
        <f t="shared" ref="K659" si="145">TRUNC(E659+G659+I659,1)</f>
        <v>1872.4</v>
      </c>
      <c r="L659" s="209">
        <f t="shared" ref="L659" si="146">TRUNC(F659+H659+J659,1)</f>
        <v>1872.4</v>
      </c>
      <c r="M659" s="522" t="s">
        <v>51</v>
      </c>
      <c r="N659" s="2" t="s">
        <v>685</v>
      </c>
      <c r="O659" s="2" t="s">
        <v>1036</v>
      </c>
      <c r="P659" s="2" t="s">
        <v>62</v>
      </c>
      <c r="Q659" s="2" t="s">
        <v>62</v>
      </c>
      <c r="R659" s="2" t="s">
        <v>62</v>
      </c>
      <c r="S659" s="3">
        <v>1</v>
      </c>
      <c r="T659" s="3">
        <v>2</v>
      </c>
      <c r="U659" s="3">
        <v>0.04</v>
      </c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2" t="s">
        <v>51</v>
      </c>
      <c r="AW659" s="2" t="s">
        <v>1663</v>
      </c>
      <c r="AX659" s="2" t="s">
        <v>51</v>
      </c>
      <c r="AY659" s="2" t="s">
        <v>51</v>
      </c>
    </row>
    <row r="660" spans="1:52" ht="30" customHeight="1">
      <c r="A660" s="8" t="s">
        <v>3800</v>
      </c>
      <c r="B660" s="8"/>
      <c r="C660" s="8" t="s">
        <v>3521</v>
      </c>
      <c r="D660" s="9">
        <v>0.15</v>
      </c>
      <c r="E660" s="11">
        <f>일위대가목록!F45</f>
        <v>8530.1999999999989</v>
      </c>
      <c r="F660" s="12">
        <f t="shared" ref="F660" si="147">TRUNC(E660*D660,1)</f>
        <v>1279.5</v>
      </c>
      <c r="G660" s="11">
        <f>일위대가목록!H45</f>
        <v>36448.800000000003</v>
      </c>
      <c r="H660" s="12">
        <f t="shared" ref="H660" si="148">TRUNC(G660*D660,1)</f>
        <v>5467.3</v>
      </c>
      <c r="I660" s="11">
        <f>단가대비표!V560</f>
        <v>0</v>
      </c>
      <c r="J660" s="12">
        <f t="shared" ref="J660" si="149">TRUNC(I660*D660,1)</f>
        <v>0</v>
      </c>
      <c r="K660" s="11">
        <f t="shared" si="144"/>
        <v>44979</v>
      </c>
      <c r="L660" s="12">
        <f t="shared" si="144"/>
        <v>6746.8</v>
      </c>
      <c r="M660" s="522" t="s">
        <v>1274</v>
      </c>
      <c r="N660" s="2" t="s">
        <v>809</v>
      </c>
      <c r="O660" s="2" t="s">
        <v>1368</v>
      </c>
      <c r="P660" s="2" t="s">
        <v>62</v>
      </c>
      <c r="Q660" s="2" t="s">
        <v>62</v>
      </c>
      <c r="R660" s="2" t="s">
        <v>61</v>
      </c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2" t="s">
        <v>51</v>
      </c>
      <c r="AW660" s="2" t="s">
        <v>1743</v>
      </c>
      <c r="AX660" s="2" t="s">
        <v>51</v>
      </c>
      <c r="AY660" s="2" t="s">
        <v>51</v>
      </c>
    </row>
    <row r="661" spans="1:52" ht="30" customHeight="1">
      <c r="A661" s="8" t="s">
        <v>950</v>
      </c>
      <c r="B661" s="8" t="s">
        <v>51</v>
      </c>
      <c r="C661" s="8" t="s">
        <v>51</v>
      </c>
      <c r="D661" s="9"/>
      <c r="E661" s="11"/>
      <c r="F661" s="12">
        <f>SUM(F656:F660)</f>
        <v>6079.5</v>
      </c>
      <c r="G661" s="11"/>
      <c r="H661" s="12">
        <f>SUM(H656:H660)</f>
        <v>52279.600000000006</v>
      </c>
      <c r="I661" s="11"/>
      <c r="J661" s="12">
        <f>SUM(J656:J660)</f>
        <v>1872.4</v>
      </c>
      <c r="K661" s="11"/>
      <c r="L661" s="12">
        <f>F661+H661+J661</f>
        <v>60231.500000000007</v>
      </c>
      <c r="M661" s="522" t="s">
        <v>51</v>
      </c>
      <c r="N661" s="2" t="s">
        <v>86</v>
      </c>
      <c r="O661" s="2" t="s">
        <v>86</v>
      </c>
      <c r="P661" s="2" t="s">
        <v>51</v>
      </c>
      <c r="Q661" s="2" t="s">
        <v>51</v>
      </c>
      <c r="R661" s="2" t="s">
        <v>51</v>
      </c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2" t="s">
        <v>51</v>
      </c>
      <c r="AW661" s="2" t="s">
        <v>51</v>
      </c>
      <c r="AX661" s="2" t="s">
        <v>51</v>
      </c>
      <c r="AY661" s="2" t="s">
        <v>51</v>
      </c>
    </row>
    <row r="662" spans="1:52" ht="30" customHeight="1">
      <c r="A662" s="9"/>
      <c r="B662" s="9"/>
      <c r="C662" s="9"/>
      <c r="D662" s="9"/>
      <c r="E662" s="11"/>
      <c r="F662" s="12"/>
      <c r="G662" s="11"/>
      <c r="H662" s="12"/>
      <c r="I662" s="11"/>
      <c r="J662" s="12"/>
      <c r="K662" s="11"/>
      <c r="L662" s="12"/>
      <c r="M662" s="523"/>
    </row>
    <row r="663" spans="1:52" ht="30" customHeight="1">
      <c r="A663" s="1403" t="s">
        <v>4540</v>
      </c>
      <c r="B663" s="1403"/>
      <c r="C663" s="1403"/>
      <c r="D663" s="1403"/>
      <c r="E663" s="1404"/>
      <c r="F663" s="1405"/>
      <c r="G663" s="1404"/>
      <c r="H663" s="1405"/>
      <c r="I663" s="1404"/>
      <c r="J663" s="1405"/>
      <c r="K663" s="1404"/>
      <c r="L663" s="1405"/>
      <c r="M663" s="1403"/>
      <c r="N663" s="1" t="s">
        <v>983</v>
      </c>
    </row>
    <row r="664" spans="1:52" ht="30" customHeight="1">
      <c r="A664" s="8" t="s">
        <v>1745</v>
      </c>
      <c r="B664" s="8" t="s">
        <v>418</v>
      </c>
      <c r="C664" s="8" t="s">
        <v>419</v>
      </c>
      <c r="D664" s="9">
        <v>0.25</v>
      </c>
      <c r="E664" s="11">
        <f>단가대비표!O558</f>
        <v>0</v>
      </c>
      <c r="F664" s="12">
        <f>TRUNC(E664*D664,1)</f>
        <v>0</v>
      </c>
      <c r="G664" s="11">
        <f>단가대비표!P558</f>
        <v>228462</v>
      </c>
      <c r="H664" s="12">
        <f>TRUNC(G664*D664,1)</f>
        <v>57115.5</v>
      </c>
      <c r="I664" s="11">
        <f>단가대비표!V558</f>
        <v>0</v>
      </c>
      <c r="J664" s="12">
        <f>TRUNC(I664*D664,1)</f>
        <v>0</v>
      </c>
      <c r="K664" s="11">
        <f>TRUNC(E664+G664+I664,1)</f>
        <v>228462</v>
      </c>
      <c r="L664" s="12">
        <f>TRUNC(F664+H664+J664,1)</f>
        <v>57115.5</v>
      </c>
      <c r="M664" s="522" t="s">
        <v>51</v>
      </c>
      <c r="N664" s="2" t="s">
        <v>983</v>
      </c>
      <c r="O664" s="2" t="s">
        <v>1746</v>
      </c>
      <c r="P664" s="2" t="s">
        <v>62</v>
      </c>
      <c r="Q664" s="2" t="s">
        <v>62</v>
      </c>
      <c r="R664" s="2" t="s">
        <v>61</v>
      </c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" t="s">
        <v>51</v>
      </c>
      <c r="AW664" s="2" t="s">
        <v>1747</v>
      </c>
      <c r="AX664" s="2" t="s">
        <v>51</v>
      </c>
      <c r="AY664" s="2" t="s">
        <v>51</v>
      </c>
    </row>
    <row r="665" spans="1:52" ht="30" customHeight="1">
      <c r="A665" s="8" t="s">
        <v>996</v>
      </c>
      <c r="B665" s="8" t="s">
        <v>947</v>
      </c>
      <c r="C665" s="8" t="s">
        <v>419</v>
      </c>
      <c r="D665" s="9">
        <v>0.14000000000000001</v>
      </c>
      <c r="E665" s="11">
        <f>단가대비표!O556</f>
        <v>0</v>
      </c>
      <c r="F665" s="12">
        <f>TRUNC(E665*D665,1)</f>
        <v>0</v>
      </c>
      <c r="G665" s="11">
        <f>단가대비표!P556</f>
        <v>130264</v>
      </c>
      <c r="H665" s="12">
        <f>TRUNC(G665*D665,1)</f>
        <v>18236.900000000001</v>
      </c>
      <c r="I665" s="11">
        <f>단가대비표!V556</f>
        <v>0</v>
      </c>
      <c r="J665" s="12">
        <f>TRUNC(I665*D665,1)</f>
        <v>0</v>
      </c>
      <c r="K665" s="11">
        <f>TRUNC(E665+G665+I665,1)</f>
        <v>130264</v>
      </c>
      <c r="L665" s="12">
        <f>TRUNC(F665+H665+J665,1)</f>
        <v>18236.900000000001</v>
      </c>
      <c r="M665" s="522" t="s">
        <v>51</v>
      </c>
      <c r="N665" s="2" t="s">
        <v>983</v>
      </c>
      <c r="O665" s="2" t="s">
        <v>997</v>
      </c>
      <c r="P665" s="2" t="s">
        <v>62</v>
      </c>
      <c r="Q665" s="2" t="s">
        <v>62</v>
      </c>
      <c r="R665" s="2" t="s">
        <v>61</v>
      </c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2" t="s">
        <v>51</v>
      </c>
      <c r="AW665" s="2" t="s">
        <v>1748</v>
      </c>
      <c r="AX665" s="2" t="s">
        <v>51</v>
      </c>
      <c r="AY665" s="2" t="s">
        <v>51</v>
      </c>
    </row>
    <row r="666" spans="1:52" ht="30" customHeight="1">
      <c r="A666" s="8" t="s">
        <v>950</v>
      </c>
      <c r="B666" s="8" t="s">
        <v>51</v>
      </c>
      <c r="C666" s="8" t="s">
        <v>51</v>
      </c>
      <c r="D666" s="9"/>
      <c r="E666" s="11"/>
      <c r="F666" s="12">
        <f>TRUNC(SUMIF(N664:N665, N663, F664:F665),0)</f>
        <v>0</v>
      </c>
      <c r="G666" s="11"/>
      <c r="H666" s="12">
        <f>TRUNC(SUMIF(N664:N665, N663, H664:H665),0)</f>
        <v>75352</v>
      </c>
      <c r="I666" s="11"/>
      <c r="J666" s="12">
        <f>TRUNC(SUMIF(N664:N665, N663, J664:J665),0)</f>
        <v>0</v>
      </c>
      <c r="K666" s="11"/>
      <c r="L666" s="12">
        <f>F666+H666+J666</f>
        <v>75352</v>
      </c>
      <c r="M666" s="522" t="s">
        <v>51</v>
      </c>
      <c r="N666" s="2" t="s">
        <v>86</v>
      </c>
      <c r="O666" s="2" t="s">
        <v>86</v>
      </c>
      <c r="P666" s="2" t="s">
        <v>51</v>
      </c>
      <c r="Q666" s="2" t="s">
        <v>51</v>
      </c>
      <c r="R666" s="2" t="s">
        <v>51</v>
      </c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2" t="s">
        <v>51</v>
      </c>
      <c r="AW666" s="2" t="s">
        <v>51</v>
      </c>
      <c r="AX666" s="2" t="s">
        <v>51</v>
      </c>
      <c r="AY666" s="2" t="s">
        <v>51</v>
      </c>
    </row>
    <row r="667" spans="1:52" ht="30" customHeight="1">
      <c r="A667" s="9"/>
      <c r="B667" s="9"/>
      <c r="C667" s="9"/>
      <c r="D667" s="9"/>
      <c r="E667" s="11"/>
      <c r="F667" s="12"/>
      <c r="G667" s="11"/>
      <c r="H667" s="12"/>
      <c r="I667" s="11"/>
      <c r="J667" s="12"/>
      <c r="K667" s="11"/>
      <c r="L667" s="12"/>
      <c r="M667" s="523"/>
    </row>
    <row r="668" spans="1:52" ht="30" customHeight="1">
      <c r="A668" s="1403" t="s">
        <v>4541</v>
      </c>
      <c r="B668" s="1403"/>
      <c r="C668" s="1403"/>
      <c r="D668" s="1403"/>
      <c r="E668" s="1404"/>
      <c r="F668" s="1405"/>
      <c r="G668" s="1404"/>
      <c r="H668" s="1405"/>
      <c r="I668" s="1404"/>
      <c r="J668" s="1405"/>
      <c r="K668" s="1404"/>
      <c r="L668" s="1405"/>
      <c r="M668" s="1403"/>
      <c r="N668" s="1" t="s">
        <v>1087</v>
      </c>
    </row>
    <row r="669" spans="1:52" ht="30" customHeight="1">
      <c r="A669" s="8" t="s">
        <v>996</v>
      </c>
      <c r="B669" s="8" t="s">
        <v>4710</v>
      </c>
      <c r="C669" s="8" t="s">
        <v>419</v>
      </c>
      <c r="D669" s="9">
        <v>0.03</v>
      </c>
      <c r="E669" s="11">
        <f>단가대비표!$O$556</f>
        <v>0</v>
      </c>
      <c r="F669" s="12">
        <f>TRUNC(E669*D669,1)</f>
        <v>0</v>
      </c>
      <c r="G669" s="11">
        <f>단가대비표!$P$556</f>
        <v>130264</v>
      </c>
      <c r="H669" s="12">
        <f>TRUNC(G669*D669,1)</f>
        <v>3907.9</v>
      </c>
      <c r="I669" s="11">
        <f>단가대비표!$V$556</f>
        <v>0</v>
      </c>
      <c r="J669" s="12">
        <f>TRUNC(I669*D669,1)</f>
        <v>0</v>
      </c>
      <c r="K669" s="11">
        <f>TRUNC(E669+G669+I669,1)</f>
        <v>130264</v>
      </c>
      <c r="L669" s="12">
        <f>TRUNC(F669+H669+J669,1)</f>
        <v>3907.9</v>
      </c>
      <c r="M669" s="522" t="s">
        <v>51</v>
      </c>
      <c r="N669" s="2" t="s">
        <v>1087</v>
      </c>
      <c r="O669" s="2" t="s">
        <v>997</v>
      </c>
      <c r="P669" s="2" t="s">
        <v>62</v>
      </c>
      <c r="Q669" s="2" t="s">
        <v>62</v>
      </c>
      <c r="R669" s="2" t="s">
        <v>61</v>
      </c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2" t="s">
        <v>51</v>
      </c>
      <c r="AW669" s="2" t="s">
        <v>1750</v>
      </c>
      <c r="AX669" s="2" t="s">
        <v>51</v>
      </c>
      <c r="AY669" s="2" t="s">
        <v>51</v>
      </c>
    </row>
    <row r="670" spans="1:52" ht="30" customHeight="1">
      <c r="A670" s="8" t="s">
        <v>950</v>
      </c>
      <c r="B670" s="8" t="s">
        <v>51</v>
      </c>
      <c r="C670" s="8" t="s">
        <v>51</v>
      </c>
      <c r="D670" s="9"/>
      <c r="E670" s="11"/>
      <c r="F670" s="12">
        <f>TRUNC(SUMIF(N669:N669, N668, F669:F669),0)</f>
        <v>0</v>
      </c>
      <c r="G670" s="11"/>
      <c r="H670" s="12">
        <f>TRUNC(SUMIF(N669:N669, N668, H669:H669),0)</f>
        <v>3907</v>
      </c>
      <c r="I670" s="11"/>
      <c r="J670" s="12">
        <f>TRUNC(SUMIF(N669:N669, N668, J669:J669),0)</f>
        <v>0</v>
      </c>
      <c r="K670" s="11"/>
      <c r="L670" s="12">
        <f>F670+H670+J670</f>
        <v>3907</v>
      </c>
      <c r="M670" s="522" t="s">
        <v>51</v>
      </c>
      <c r="N670" s="2" t="s">
        <v>86</v>
      </c>
      <c r="O670" s="2" t="s">
        <v>86</v>
      </c>
      <c r="P670" s="2" t="s">
        <v>51</v>
      </c>
      <c r="Q670" s="2" t="s">
        <v>51</v>
      </c>
      <c r="R670" s="2" t="s">
        <v>51</v>
      </c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2" t="s">
        <v>51</v>
      </c>
      <c r="AW670" s="2" t="s">
        <v>51</v>
      </c>
      <c r="AX670" s="2" t="s">
        <v>51</v>
      </c>
      <c r="AY670" s="2" t="s">
        <v>51</v>
      </c>
    </row>
    <row r="671" spans="1:52" ht="30" customHeight="1">
      <c r="A671" s="9"/>
      <c r="B671" s="9"/>
      <c r="C671" s="9"/>
      <c r="D671" s="9"/>
      <c r="E671" s="11"/>
      <c r="F671" s="12"/>
      <c r="G671" s="11"/>
      <c r="H671" s="12"/>
      <c r="I671" s="11"/>
      <c r="J671" s="12"/>
      <c r="K671" s="11"/>
      <c r="L671" s="12"/>
      <c r="M671" s="523"/>
    </row>
    <row r="672" spans="1:52" ht="30" customHeight="1">
      <c r="A672" s="1400" t="s">
        <v>4542</v>
      </c>
      <c r="B672" s="1400"/>
      <c r="C672" s="1400"/>
      <c r="D672" s="1400"/>
      <c r="E672" s="1401"/>
      <c r="F672" s="1402"/>
      <c r="G672" s="1401"/>
      <c r="H672" s="1402"/>
      <c r="I672" s="1401"/>
      <c r="J672" s="1402"/>
      <c r="K672" s="1401"/>
      <c r="L672" s="1402"/>
      <c r="M672" s="1400"/>
      <c r="N672" s="1" t="s">
        <v>1105</v>
      </c>
      <c r="AZ672" t="s">
        <v>6713</v>
      </c>
    </row>
    <row r="673" spans="1:52" ht="30" customHeight="1">
      <c r="A673" s="8" t="s">
        <v>1242</v>
      </c>
      <c r="B673" s="8" t="s">
        <v>1752</v>
      </c>
      <c r="C673" s="8" t="s">
        <v>1230</v>
      </c>
      <c r="D673" s="9">
        <v>0.25600000000000001</v>
      </c>
      <c r="E673" s="11">
        <f>단가대비표!O506</f>
        <v>2705.55</v>
      </c>
      <c r="F673" s="12">
        <f>TRUNC(E673*D673,1)</f>
        <v>692.6</v>
      </c>
      <c r="G673" s="11">
        <f>단가대비표!P506</f>
        <v>0</v>
      </c>
      <c r="H673" s="12">
        <f>TRUNC(G673*D673,1)</f>
        <v>0</v>
      </c>
      <c r="I673" s="11">
        <f>단가대비표!V506</f>
        <v>0</v>
      </c>
      <c r="J673" s="12">
        <f>TRUNC(I673*D673,1)</f>
        <v>0</v>
      </c>
      <c r="K673" s="11">
        <f t="shared" ref="K673:L675" si="150">TRUNC(E673+G673+I673,1)</f>
        <v>2705.5</v>
      </c>
      <c r="L673" s="12">
        <f t="shared" si="150"/>
        <v>692.6</v>
      </c>
      <c r="M673" s="522" t="s">
        <v>51</v>
      </c>
      <c r="N673" s="2" t="s">
        <v>1105</v>
      </c>
      <c r="O673" s="2" t="s">
        <v>1753</v>
      </c>
      <c r="P673" s="2" t="s">
        <v>62</v>
      </c>
      <c r="Q673" s="2" t="s">
        <v>62</v>
      </c>
      <c r="R673" s="2" t="s">
        <v>61</v>
      </c>
      <c r="S673" s="3"/>
      <c r="T673" s="3"/>
      <c r="U673" s="3"/>
      <c r="V673" s="3">
        <v>1</v>
      </c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2" t="s">
        <v>51</v>
      </c>
      <c r="AW673" s="2" t="s">
        <v>1754</v>
      </c>
      <c r="AX673" s="2" t="s">
        <v>51</v>
      </c>
      <c r="AY673" s="2" t="s">
        <v>51</v>
      </c>
    </row>
    <row r="674" spans="1:52" ht="30" customHeight="1">
      <c r="A674" s="8" t="s">
        <v>1034</v>
      </c>
      <c r="B674" s="8" t="s">
        <v>1755</v>
      </c>
      <c r="C674" s="8" t="s">
        <v>82</v>
      </c>
      <c r="D674" s="9">
        <v>1</v>
      </c>
      <c r="E674" s="11">
        <f>TRUNC(SUMIF(V673:V674, RIGHTB(O674, 1), F673:F674)*U674, 2)</f>
        <v>41.55</v>
      </c>
      <c r="F674" s="12">
        <f>TRUNC(E674*D674,1)</f>
        <v>41.5</v>
      </c>
      <c r="G674" s="11">
        <v>0</v>
      </c>
      <c r="H674" s="12">
        <f>TRUNC(G674*D674,1)</f>
        <v>0</v>
      </c>
      <c r="I674" s="11">
        <v>0</v>
      </c>
      <c r="J674" s="12">
        <f>TRUNC(I674*D674,1)</f>
        <v>0</v>
      </c>
      <c r="K674" s="11">
        <f t="shared" si="150"/>
        <v>41.5</v>
      </c>
      <c r="L674" s="12">
        <f t="shared" si="150"/>
        <v>41.5</v>
      </c>
      <c r="M674" s="522" t="s">
        <v>51</v>
      </c>
      <c r="N674" s="2" t="s">
        <v>1105</v>
      </c>
      <c r="O674" s="2" t="s">
        <v>1036</v>
      </c>
      <c r="P674" s="2" t="s">
        <v>62</v>
      </c>
      <c r="Q674" s="2" t="s">
        <v>62</v>
      </c>
      <c r="R674" s="2" t="s">
        <v>62</v>
      </c>
      <c r="S674" s="3">
        <v>0</v>
      </c>
      <c r="T674" s="3">
        <v>0</v>
      </c>
      <c r="U674" s="3">
        <v>0.06</v>
      </c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2" t="s">
        <v>51</v>
      </c>
      <c r="AW674" s="2" t="s">
        <v>1756</v>
      </c>
      <c r="AX674" s="2" t="s">
        <v>51</v>
      </c>
      <c r="AY674" s="2" t="s">
        <v>51</v>
      </c>
    </row>
    <row r="675" spans="1:52" ht="30" customHeight="1">
      <c r="A675" s="8" t="s">
        <v>4708</v>
      </c>
      <c r="B675" s="8" t="s">
        <v>4709</v>
      </c>
      <c r="C675" s="8" t="s">
        <v>4711</v>
      </c>
      <c r="D675" s="1171">
        <v>5.4000000000000003E-3</v>
      </c>
      <c r="E675" s="253">
        <f>단가대비표!O571</f>
        <v>0</v>
      </c>
      <c r="F675" s="254">
        <f>TRUNC(E675*D675,1)</f>
        <v>0</v>
      </c>
      <c r="G675" s="253">
        <f>단가대비표!P571</f>
        <v>188854</v>
      </c>
      <c r="H675" s="254">
        <f>TRUNC(G675*D675,1)</f>
        <v>1019.8</v>
      </c>
      <c r="I675" s="253">
        <v>0</v>
      </c>
      <c r="J675" s="1167">
        <f>TRUNC(I675*D675,1)</f>
        <v>0</v>
      </c>
      <c r="K675" s="253">
        <f t="shared" si="150"/>
        <v>188854</v>
      </c>
      <c r="L675" s="254">
        <f t="shared" si="150"/>
        <v>1019.8</v>
      </c>
      <c r="M675" s="522"/>
      <c r="N675" s="2"/>
      <c r="O675" s="2"/>
      <c r="P675" s="2"/>
      <c r="Q675" s="2"/>
      <c r="R675" s="2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2"/>
      <c r="AW675" s="2"/>
      <c r="AX675" s="2"/>
      <c r="AY675" s="2"/>
      <c r="AZ675">
        <v>3.6999999999999998E-2</v>
      </c>
    </row>
    <row r="676" spans="1:52" ht="30" customHeight="1">
      <c r="A676" s="1172" t="s">
        <v>996</v>
      </c>
      <c r="B676" s="1172" t="s">
        <v>4710</v>
      </c>
      <c r="C676" s="1172" t="s">
        <v>419</v>
      </c>
      <c r="D676" s="1171">
        <v>2.5999999999999999E-3</v>
      </c>
      <c r="E676" s="1173">
        <f>단가대비표!$O$556</f>
        <v>0</v>
      </c>
      <c r="F676" s="1174">
        <f>TRUNC(E676*D676,1)</f>
        <v>0</v>
      </c>
      <c r="G676" s="1173">
        <f>단가대비표!$P$556</f>
        <v>130264</v>
      </c>
      <c r="H676" s="1174">
        <f>TRUNC(G676*D676,1)</f>
        <v>338.6</v>
      </c>
      <c r="I676" s="1173">
        <f>단가대비표!$V$556</f>
        <v>0</v>
      </c>
      <c r="J676" s="1174">
        <f>TRUNC(I676*D676,1)</f>
        <v>0</v>
      </c>
      <c r="K676" s="1173">
        <f>TRUNC(E676+G676+I676,1)</f>
        <v>130264</v>
      </c>
      <c r="L676" s="1174">
        <f>TRUNC(F676+H676+J676,1)</f>
        <v>338.6</v>
      </c>
      <c r="M676" s="1175" t="s">
        <v>51</v>
      </c>
      <c r="N676" s="2"/>
      <c r="O676" s="2"/>
      <c r="P676" s="2"/>
      <c r="Q676" s="2"/>
      <c r="R676" s="2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2"/>
      <c r="AW676" s="2"/>
      <c r="AX676" s="2"/>
      <c r="AY676" s="2"/>
    </row>
    <row r="677" spans="1:52" ht="30" customHeight="1">
      <c r="A677" s="1172" t="s">
        <v>6714</v>
      </c>
      <c r="B677" s="1172" t="s">
        <v>6715</v>
      </c>
      <c r="C677" s="1172" t="s">
        <v>6716</v>
      </c>
      <c r="D677" s="1171">
        <v>1</v>
      </c>
      <c r="E677" s="1173">
        <v>0</v>
      </c>
      <c r="F677" s="1174">
        <f>TRUNC(E677*D677,1)</f>
        <v>0</v>
      </c>
      <c r="G677" s="1173">
        <v>0</v>
      </c>
      <c r="H677" s="1174">
        <f>TRUNC(G677*D677,1)</f>
        <v>0</v>
      </c>
      <c r="I677" s="1173">
        <f>TRUNC(SUM(L675:L676)*9%,0)</f>
        <v>122</v>
      </c>
      <c r="J677" s="1174">
        <f>TRUNC(I677*D677,1)</f>
        <v>122</v>
      </c>
      <c r="K677" s="1173">
        <f>TRUNC(E677+G677+I677,1)</f>
        <v>122</v>
      </c>
      <c r="L677" s="1174">
        <f>TRUNC(F677+H677+J677,1)</f>
        <v>122</v>
      </c>
      <c r="M677" s="1175"/>
      <c r="N677" s="2"/>
      <c r="O677" s="2"/>
      <c r="P677" s="2"/>
      <c r="Q677" s="2"/>
      <c r="R677" s="2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2"/>
      <c r="AW677" s="2"/>
      <c r="AX677" s="2"/>
      <c r="AY677" s="2"/>
    </row>
    <row r="678" spans="1:52" ht="30" customHeight="1">
      <c r="A678" s="8" t="s">
        <v>950</v>
      </c>
      <c r="B678" s="8" t="s">
        <v>51</v>
      </c>
      <c r="C678" s="8" t="s">
        <v>51</v>
      </c>
      <c r="D678" s="9"/>
      <c r="E678" s="11"/>
      <c r="F678" s="12">
        <f>TRUNC(SUM(F673:F677),0)</f>
        <v>734</v>
      </c>
      <c r="G678" s="11"/>
      <c r="H678" s="1167">
        <f>TRUNC(SUM(H673:H677),0)</f>
        <v>1358</v>
      </c>
      <c r="I678" s="11"/>
      <c r="J678" s="1167">
        <f>TRUNC(SUM(J673:J677),0)</f>
        <v>122</v>
      </c>
      <c r="K678" s="1167">
        <f>TRUNC(SUM(K673:K677),0)</f>
        <v>321987</v>
      </c>
      <c r="L678" s="12">
        <f>F678+H678+J678</f>
        <v>2214</v>
      </c>
      <c r="M678" s="522" t="s">
        <v>51</v>
      </c>
      <c r="N678" s="2" t="s">
        <v>86</v>
      </c>
      <c r="O678" s="2" t="s">
        <v>86</v>
      </c>
      <c r="P678" s="2" t="s">
        <v>51</v>
      </c>
      <c r="Q678" s="2" t="s">
        <v>51</v>
      </c>
      <c r="R678" s="2" t="s">
        <v>51</v>
      </c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2" t="s">
        <v>51</v>
      </c>
      <c r="AW678" s="2" t="s">
        <v>51</v>
      </c>
      <c r="AX678" s="2" t="s">
        <v>51</v>
      </c>
      <c r="AY678" s="2" t="s">
        <v>51</v>
      </c>
      <c r="AZ678" s="1170">
        <v>7721.5</v>
      </c>
    </row>
    <row r="679" spans="1:52" ht="30" customHeight="1">
      <c r="A679" s="9"/>
      <c r="B679" s="9"/>
      <c r="C679" s="9"/>
      <c r="D679" s="9"/>
      <c r="E679" s="11"/>
      <c r="F679" s="12"/>
      <c r="G679" s="11"/>
      <c r="H679" s="12"/>
      <c r="I679" s="11"/>
      <c r="J679" s="12"/>
      <c r="K679" s="11"/>
      <c r="L679" s="12"/>
      <c r="M679" s="523"/>
    </row>
    <row r="680" spans="1:52" ht="30" customHeight="1">
      <c r="A680" s="1403" t="s">
        <v>4543</v>
      </c>
      <c r="B680" s="1403"/>
      <c r="C680" s="1403"/>
      <c r="D680" s="1403"/>
      <c r="E680" s="1404"/>
      <c r="F680" s="1405"/>
      <c r="G680" s="1404"/>
      <c r="H680" s="1405"/>
      <c r="I680" s="1404"/>
      <c r="J680" s="1405"/>
      <c r="K680" s="1404"/>
      <c r="L680" s="1405"/>
      <c r="M680" s="1403"/>
      <c r="N680" s="1" t="s">
        <v>1145</v>
      </c>
    </row>
    <row r="681" spans="1:52" ht="30" customHeight="1">
      <c r="A681" s="8" t="s">
        <v>1758</v>
      </c>
      <c r="B681" s="8" t="s">
        <v>418</v>
      </c>
      <c r="C681" s="8" t="s">
        <v>419</v>
      </c>
      <c r="D681" s="9">
        <v>2.8000000000000001E-2</v>
      </c>
      <c r="E681" s="11">
        <f>단가대비표!O567</f>
        <v>0</v>
      </c>
      <c r="F681" s="12">
        <f>TRUNC(E681*D681,1)</f>
        <v>0</v>
      </c>
      <c r="G681" s="11">
        <f>단가대비표!P567</f>
        <v>192633</v>
      </c>
      <c r="H681" s="12">
        <f>TRUNC(G681*D681,1)</f>
        <v>5393.7</v>
      </c>
      <c r="I681" s="11">
        <f>단가대비표!V567</f>
        <v>0</v>
      </c>
      <c r="J681" s="12">
        <f>TRUNC(I681*D681,1)</f>
        <v>0</v>
      </c>
      <c r="K681" s="11">
        <f>TRUNC(E681+G681+I681,1)</f>
        <v>192633</v>
      </c>
      <c r="L681" s="12">
        <f>TRUNC(F681+H681+J681,1)</f>
        <v>5393.7</v>
      </c>
      <c r="M681" s="522" t="s">
        <v>51</v>
      </c>
      <c r="N681" s="2" t="s">
        <v>1145</v>
      </c>
      <c r="O681" s="2" t="s">
        <v>1759</v>
      </c>
      <c r="P681" s="2" t="s">
        <v>62</v>
      </c>
      <c r="Q681" s="2" t="s">
        <v>62</v>
      </c>
      <c r="R681" s="2" t="s">
        <v>61</v>
      </c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2" t="s">
        <v>51</v>
      </c>
      <c r="AW681" s="2" t="s">
        <v>1760</v>
      </c>
      <c r="AX681" s="2" t="s">
        <v>51</v>
      </c>
      <c r="AY681" s="2" t="s">
        <v>51</v>
      </c>
    </row>
    <row r="682" spans="1:52" ht="30" customHeight="1">
      <c r="A682" s="8" t="s">
        <v>950</v>
      </c>
      <c r="B682" s="8" t="s">
        <v>51</v>
      </c>
      <c r="C682" s="8" t="s">
        <v>51</v>
      </c>
      <c r="D682" s="9"/>
      <c r="E682" s="11"/>
      <c r="F682" s="12">
        <f>TRUNC(SUMIF(N681:N681, N680, F681:F681),0)</f>
        <v>0</v>
      </c>
      <c r="G682" s="11"/>
      <c r="H682" s="12">
        <f>TRUNC(SUMIF(N681:N681, N680, H681:H681),0)</f>
        <v>5393</v>
      </c>
      <c r="I682" s="11"/>
      <c r="J682" s="12">
        <f>TRUNC(SUMIF(N681:N681, N680, J681:J681),0)</f>
        <v>0</v>
      </c>
      <c r="K682" s="11"/>
      <c r="L682" s="12">
        <f>F682+H682+J682</f>
        <v>5393</v>
      </c>
      <c r="M682" s="522" t="s">
        <v>51</v>
      </c>
      <c r="N682" s="2" t="s">
        <v>86</v>
      </c>
      <c r="O682" s="2" t="s">
        <v>86</v>
      </c>
      <c r="P682" s="2" t="s">
        <v>51</v>
      </c>
      <c r="Q682" s="2" t="s">
        <v>51</v>
      </c>
      <c r="R682" s="2" t="s">
        <v>51</v>
      </c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2" t="s">
        <v>51</v>
      </c>
      <c r="AW682" s="2" t="s">
        <v>51</v>
      </c>
      <c r="AX682" s="2" t="s">
        <v>51</v>
      </c>
      <c r="AY682" s="2" t="s">
        <v>51</v>
      </c>
    </row>
    <row r="683" spans="1:52" ht="30" customHeight="1">
      <c r="A683" s="9"/>
      <c r="B683" s="9"/>
      <c r="C683" s="9"/>
      <c r="D683" s="9"/>
      <c r="E683" s="11"/>
      <c r="F683" s="12"/>
      <c r="G683" s="11"/>
      <c r="H683" s="12"/>
      <c r="I683" s="11"/>
      <c r="J683" s="12"/>
      <c r="K683" s="11"/>
      <c r="L683" s="12"/>
      <c r="M683" s="523"/>
    </row>
    <row r="684" spans="1:52" ht="30" customHeight="1">
      <c r="A684" s="1403" t="s">
        <v>4544</v>
      </c>
      <c r="B684" s="1403"/>
      <c r="C684" s="1403"/>
      <c r="D684" s="1403"/>
      <c r="E684" s="1404"/>
      <c r="F684" s="1405"/>
      <c r="G684" s="1404"/>
      <c r="H684" s="1405"/>
      <c r="I684" s="1404"/>
      <c r="J684" s="1405"/>
      <c r="K684" s="1404"/>
      <c r="L684" s="1405"/>
      <c r="M684" s="1403"/>
      <c r="N684" s="1" t="s">
        <v>1187</v>
      </c>
    </row>
    <row r="685" spans="1:52" ht="30" customHeight="1">
      <c r="A685" s="8" t="s">
        <v>946</v>
      </c>
      <c r="B685" s="8" t="s">
        <v>947</v>
      </c>
      <c r="C685" s="8" t="s">
        <v>419</v>
      </c>
      <c r="D685" s="9">
        <v>0.06</v>
      </c>
      <c r="E685" s="11">
        <f>단가대비표!O568</f>
        <v>0</v>
      </c>
      <c r="F685" s="12">
        <f>TRUNC(E685*D685,1)</f>
        <v>0</v>
      </c>
      <c r="G685" s="11">
        <f>단가대비표!P568</f>
        <v>203532</v>
      </c>
      <c r="H685" s="12">
        <f>TRUNC(G685*D685,1)</f>
        <v>12211.9</v>
      </c>
      <c r="I685" s="11">
        <f>단가대비표!V568</f>
        <v>0</v>
      </c>
      <c r="J685" s="12">
        <f>TRUNC(I685*D685,1)</f>
        <v>0</v>
      </c>
      <c r="K685" s="11">
        <f t="shared" ref="K685:L687" si="151">TRUNC(E685+G685+I685,1)</f>
        <v>203532</v>
      </c>
      <c r="L685" s="12">
        <f t="shared" si="151"/>
        <v>12211.9</v>
      </c>
      <c r="M685" s="522" t="s">
        <v>51</v>
      </c>
      <c r="N685" s="2" t="s">
        <v>1187</v>
      </c>
      <c r="O685" s="2" t="s">
        <v>948</v>
      </c>
      <c r="P685" s="2" t="s">
        <v>62</v>
      </c>
      <c r="Q685" s="2" t="s">
        <v>62</v>
      </c>
      <c r="R685" s="2" t="s">
        <v>61</v>
      </c>
      <c r="S685" s="3"/>
      <c r="T685" s="3"/>
      <c r="U685" s="3"/>
      <c r="V685" s="3">
        <v>1</v>
      </c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2" t="s">
        <v>51</v>
      </c>
      <c r="AW685" s="2" t="s">
        <v>1762</v>
      </c>
      <c r="AX685" s="2" t="s">
        <v>51</v>
      </c>
      <c r="AY685" s="2" t="s">
        <v>51</v>
      </c>
    </row>
    <row r="686" spans="1:52" ht="30" customHeight="1">
      <c r="A686" s="8" t="s">
        <v>996</v>
      </c>
      <c r="B686" s="8" t="s">
        <v>947</v>
      </c>
      <c r="C686" s="8" t="s">
        <v>419</v>
      </c>
      <c r="D686" s="9">
        <v>6.0000000000000001E-3</v>
      </c>
      <c r="E686" s="11">
        <f>단가대비표!O556</f>
        <v>0</v>
      </c>
      <c r="F686" s="12">
        <f>TRUNC(E686*D686,1)</f>
        <v>0</v>
      </c>
      <c r="G686" s="11">
        <f>단가대비표!P556</f>
        <v>130264</v>
      </c>
      <c r="H686" s="12">
        <f>TRUNC(G686*D686,1)</f>
        <v>781.5</v>
      </c>
      <c r="I686" s="11">
        <f>단가대비표!V556</f>
        <v>0</v>
      </c>
      <c r="J686" s="12">
        <f>TRUNC(I686*D686,1)</f>
        <v>0</v>
      </c>
      <c r="K686" s="11">
        <f t="shared" si="151"/>
        <v>130264</v>
      </c>
      <c r="L686" s="12">
        <f t="shared" si="151"/>
        <v>781.5</v>
      </c>
      <c r="M686" s="522" t="s">
        <v>51</v>
      </c>
      <c r="N686" s="2" t="s">
        <v>1187</v>
      </c>
      <c r="O686" s="2" t="s">
        <v>997</v>
      </c>
      <c r="P686" s="2" t="s">
        <v>62</v>
      </c>
      <c r="Q686" s="2" t="s">
        <v>62</v>
      </c>
      <c r="R686" s="2" t="s">
        <v>61</v>
      </c>
      <c r="S686" s="3"/>
      <c r="T686" s="3"/>
      <c r="U686" s="3"/>
      <c r="V686" s="3">
        <v>1</v>
      </c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2" t="s">
        <v>51</v>
      </c>
      <c r="AW686" s="2" t="s">
        <v>1763</v>
      </c>
      <c r="AX686" s="2" t="s">
        <v>51</v>
      </c>
      <c r="AY686" s="2" t="s">
        <v>51</v>
      </c>
    </row>
    <row r="687" spans="1:52" ht="30" customHeight="1">
      <c r="A687" s="8" t="s">
        <v>1134</v>
      </c>
      <c r="B687" s="8" t="s">
        <v>1178</v>
      </c>
      <c r="C687" s="8" t="s">
        <v>82</v>
      </c>
      <c r="D687" s="9">
        <v>1</v>
      </c>
      <c r="E687" s="11">
        <v>0</v>
      </c>
      <c r="F687" s="12">
        <f>TRUNC(E687*D687,1)</f>
        <v>0</v>
      </c>
      <c r="G687" s="11">
        <v>0</v>
      </c>
      <c r="H687" s="12">
        <f>TRUNC(G687*D687,1)</f>
        <v>0</v>
      </c>
      <c r="I687" s="11">
        <f>TRUNC(SUMIF(V685:V687, RIGHTB(O687, 1), H685:H687)*U687, 2)</f>
        <v>259.86</v>
      </c>
      <c r="J687" s="12">
        <f>TRUNC(I687*D687,1)</f>
        <v>259.8</v>
      </c>
      <c r="K687" s="11">
        <f t="shared" si="151"/>
        <v>259.8</v>
      </c>
      <c r="L687" s="12">
        <f t="shared" si="151"/>
        <v>259.8</v>
      </c>
      <c r="M687" s="522" t="s">
        <v>51</v>
      </c>
      <c r="N687" s="2" t="s">
        <v>1187</v>
      </c>
      <c r="O687" s="2" t="s">
        <v>1036</v>
      </c>
      <c r="P687" s="2" t="s">
        <v>62</v>
      </c>
      <c r="Q687" s="2" t="s">
        <v>62</v>
      </c>
      <c r="R687" s="2" t="s">
        <v>62</v>
      </c>
      <c r="S687" s="3">
        <v>1</v>
      </c>
      <c r="T687" s="3">
        <v>2</v>
      </c>
      <c r="U687" s="3">
        <v>0.02</v>
      </c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2" t="s">
        <v>51</v>
      </c>
      <c r="AW687" s="2" t="s">
        <v>1764</v>
      </c>
      <c r="AX687" s="2" t="s">
        <v>51</v>
      </c>
      <c r="AY687" s="2" t="s">
        <v>51</v>
      </c>
    </row>
    <row r="688" spans="1:52" ht="30" customHeight="1">
      <c r="A688" s="8" t="s">
        <v>950</v>
      </c>
      <c r="B688" s="8" t="s">
        <v>51</v>
      </c>
      <c r="C688" s="8" t="s">
        <v>51</v>
      </c>
      <c r="D688" s="9"/>
      <c r="E688" s="11"/>
      <c r="F688" s="12">
        <f>TRUNC(SUMIF(N685:N687, N684, F685:F687),0)</f>
        <v>0</v>
      </c>
      <c r="G688" s="11"/>
      <c r="H688" s="12">
        <f>TRUNC(SUMIF(N685:N687, N684, H685:H687),0)</f>
        <v>12993</v>
      </c>
      <c r="I688" s="11"/>
      <c r="J688" s="12">
        <f>TRUNC(SUMIF(N685:N687, N684, J685:J687),0)</f>
        <v>259</v>
      </c>
      <c r="K688" s="11"/>
      <c r="L688" s="12">
        <f>F688+H688+J688</f>
        <v>13252</v>
      </c>
      <c r="M688" s="522" t="s">
        <v>51</v>
      </c>
      <c r="N688" s="2" t="s">
        <v>86</v>
      </c>
      <c r="O688" s="2" t="s">
        <v>86</v>
      </c>
      <c r="P688" s="2" t="s">
        <v>51</v>
      </c>
      <c r="Q688" s="2" t="s">
        <v>51</v>
      </c>
      <c r="R688" s="2" t="s">
        <v>51</v>
      </c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2" t="s">
        <v>51</v>
      </c>
      <c r="AW688" s="2" t="s">
        <v>51</v>
      </c>
      <c r="AX688" s="2" t="s">
        <v>51</v>
      </c>
      <c r="AY688" s="2" t="s">
        <v>51</v>
      </c>
    </row>
    <row r="689" spans="1:51" ht="30" customHeight="1">
      <c r="A689" s="9"/>
      <c r="B689" s="9"/>
      <c r="C689" s="9"/>
      <c r="D689" s="9"/>
      <c r="E689" s="11"/>
      <c r="F689" s="12"/>
      <c r="G689" s="11"/>
      <c r="H689" s="12"/>
      <c r="I689" s="11"/>
      <c r="J689" s="12"/>
      <c r="K689" s="11"/>
      <c r="L689" s="12"/>
      <c r="M689" s="523"/>
    </row>
    <row r="690" spans="1:51" ht="30" customHeight="1">
      <c r="A690" s="1403" t="s">
        <v>4545</v>
      </c>
      <c r="B690" s="1403"/>
      <c r="C690" s="1403"/>
      <c r="D690" s="1403"/>
      <c r="E690" s="1404"/>
      <c r="F690" s="1405"/>
      <c r="G690" s="1404"/>
      <c r="H690" s="1405"/>
      <c r="I690" s="1404"/>
      <c r="J690" s="1405"/>
      <c r="K690" s="1404"/>
      <c r="L690" s="1405"/>
      <c r="M690" s="1403"/>
      <c r="N690" s="1" t="s">
        <v>1219</v>
      </c>
    </row>
    <row r="691" spans="1:51" ht="30" customHeight="1">
      <c r="A691" s="8" t="s">
        <v>1766</v>
      </c>
      <c r="B691" s="8" t="s">
        <v>1767</v>
      </c>
      <c r="C691" s="8" t="s">
        <v>1230</v>
      </c>
      <c r="D691" s="9">
        <v>0.08</v>
      </c>
      <c r="E691" s="11">
        <f>단가대비표!O512</f>
        <v>1354</v>
      </c>
      <c r="F691" s="12">
        <f t="shared" ref="F691:F700" si="152">TRUNC(E691*D691,1)</f>
        <v>108.3</v>
      </c>
      <c r="G691" s="11">
        <f>단가대비표!P512</f>
        <v>0</v>
      </c>
      <c r="H691" s="12">
        <f t="shared" ref="H691:H700" si="153">TRUNC(G691*D691,1)</f>
        <v>0</v>
      </c>
      <c r="I691" s="11">
        <f>단가대비표!V512</f>
        <v>0</v>
      </c>
      <c r="J691" s="12">
        <f t="shared" ref="J691:J700" si="154">TRUNC(I691*D691,1)</f>
        <v>0</v>
      </c>
      <c r="K691" s="11">
        <f t="shared" ref="K691:K700" si="155">TRUNC(E691+G691+I691,1)</f>
        <v>1354</v>
      </c>
      <c r="L691" s="12">
        <f t="shared" ref="L691:L700" si="156">TRUNC(F691+H691+J691,1)</f>
        <v>108.3</v>
      </c>
      <c r="M691" s="522" t="s">
        <v>51</v>
      </c>
      <c r="N691" s="2" t="s">
        <v>1219</v>
      </c>
      <c r="O691" s="2" t="s">
        <v>1768</v>
      </c>
      <c r="P691" s="2" t="s">
        <v>62</v>
      </c>
      <c r="Q691" s="2" t="s">
        <v>62</v>
      </c>
      <c r="R691" s="2" t="s">
        <v>61</v>
      </c>
      <c r="S691" s="3"/>
      <c r="T691" s="3"/>
      <c r="U691" s="3"/>
      <c r="V691" s="3">
        <v>1</v>
      </c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2" t="s">
        <v>51</v>
      </c>
      <c r="AW691" s="2" t="s">
        <v>1769</v>
      </c>
      <c r="AX691" s="2" t="s">
        <v>51</v>
      </c>
      <c r="AY691" s="2" t="s">
        <v>51</v>
      </c>
    </row>
    <row r="692" spans="1:51" ht="30" customHeight="1">
      <c r="A692" s="8" t="s">
        <v>1766</v>
      </c>
      <c r="B692" s="8" t="s">
        <v>1770</v>
      </c>
      <c r="C692" s="8" t="s">
        <v>1230</v>
      </c>
      <c r="D692" s="9">
        <v>0.08</v>
      </c>
      <c r="E692" s="11">
        <f>단가대비표!O511</f>
        <v>2708</v>
      </c>
      <c r="F692" s="12">
        <f t="shared" si="152"/>
        <v>216.6</v>
      </c>
      <c r="G692" s="11">
        <f>단가대비표!P511</f>
        <v>0</v>
      </c>
      <c r="H692" s="12">
        <f t="shared" si="153"/>
        <v>0</v>
      </c>
      <c r="I692" s="11">
        <f>단가대비표!V511</f>
        <v>0</v>
      </c>
      <c r="J692" s="12">
        <f t="shared" si="154"/>
        <v>0</v>
      </c>
      <c r="K692" s="11">
        <f t="shared" si="155"/>
        <v>2708</v>
      </c>
      <c r="L692" s="12">
        <f t="shared" si="156"/>
        <v>216.6</v>
      </c>
      <c r="M692" s="522" t="s">
        <v>51</v>
      </c>
      <c r="N692" s="2" t="s">
        <v>1219</v>
      </c>
      <c r="O692" s="2" t="s">
        <v>1771</v>
      </c>
      <c r="P692" s="2" t="s">
        <v>62</v>
      </c>
      <c r="Q692" s="2" t="s">
        <v>62</v>
      </c>
      <c r="R692" s="2" t="s">
        <v>61</v>
      </c>
      <c r="S692" s="3"/>
      <c r="T692" s="3"/>
      <c r="U692" s="3"/>
      <c r="V692" s="3">
        <v>1</v>
      </c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2" t="s">
        <v>51</v>
      </c>
      <c r="AW692" s="2" t="s">
        <v>1772</v>
      </c>
      <c r="AX692" s="2" t="s">
        <v>51</v>
      </c>
      <c r="AY692" s="2" t="s">
        <v>51</v>
      </c>
    </row>
    <row r="693" spans="1:51" ht="30" customHeight="1">
      <c r="A693" s="8" t="s">
        <v>1773</v>
      </c>
      <c r="B693" s="8" t="s">
        <v>1774</v>
      </c>
      <c r="C693" s="8" t="s">
        <v>1230</v>
      </c>
      <c r="D693" s="9">
        <v>0.54</v>
      </c>
      <c r="E693" s="11">
        <f>단가대비표!O515</f>
        <v>1780</v>
      </c>
      <c r="F693" s="12">
        <f t="shared" si="152"/>
        <v>961.2</v>
      </c>
      <c r="G693" s="11">
        <f>단가대비표!P515</f>
        <v>0</v>
      </c>
      <c r="H693" s="12">
        <f t="shared" si="153"/>
        <v>0</v>
      </c>
      <c r="I693" s="11">
        <f>단가대비표!V515</f>
        <v>0</v>
      </c>
      <c r="J693" s="12">
        <f t="shared" si="154"/>
        <v>0</v>
      </c>
      <c r="K693" s="11">
        <f t="shared" si="155"/>
        <v>1780</v>
      </c>
      <c r="L693" s="12">
        <f t="shared" si="156"/>
        <v>961.2</v>
      </c>
      <c r="M693" s="522" t="s">
        <v>51</v>
      </c>
      <c r="N693" s="2" t="s">
        <v>1219</v>
      </c>
      <c r="O693" s="2" t="s">
        <v>1775</v>
      </c>
      <c r="P693" s="2" t="s">
        <v>62</v>
      </c>
      <c r="Q693" s="2" t="s">
        <v>62</v>
      </c>
      <c r="R693" s="2" t="s">
        <v>61</v>
      </c>
      <c r="S693" s="3"/>
      <c r="T693" s="3"/>
      <c r="U693" s="3"/>
      <c r="V693" s="3">
        <v>1</v>
      </c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2" t="s">
        <v>51</v>
      </c>
      <c r="AW693" s="2" t="s">
        <v>1776</v>
      </c>
      <c r="AX693" s="2" t="s">
        <v>51</v>
      </c>
      <c r="AY693" s="2" t="s">
        <v>51</v>
      </c>
    </row>
    <row r="694" spans="1:51" ht="30" customHeight="1">
      <c r="A694" s="8" t="s">
        <v>1766</v>
      </c>
      <c r="B694" s="8" t="s">
        <v>1777</v>
      </c>
      <c r="C694" s="8" t="s">
        <v>1230</v>
      </c>
      <c r="D694" s="9">
        <v>0.18</v>
      </c>
      <c r="E694" s="11">
        <f>단가대비표!O510</f>
        <v>5416.66</v>
      </c>
      <c r="F694" s="12">
        <f t="shared" si="152"/>
        <v>974.9</v>
      </c>
      <c r="G694" s="11">
        <f>단가대비표!P510</f>
        <v>0</v>
      </c>
      <c r="H694" s="12">
        <f t="shared" si="153"/>
        <v>0</v>
      </c>
      <c r="I694" s="11">
        <f>단가대비표!V510</f>
        <v>0</v>
      </c>
      <c r="J694" s="12">
        <f t="shared" si="154"/>
        <v>0</v>
      </c>
      <c r="K694" s="11">
        <f t="shared" si="155"/>
        <v>5416.6</v>
      </c>
      <c r="L694" s="12">
        <f t="shared" si="156"/>
        <v>974.9</v>
      </c>
      <c r="M694" s="522" t="s">
        <v>51</v>
      </c>
      <c r="N694" s="2" t="s">
        <v>1219</v>
      </c>
      <c r="O694" s="2" t="s">
        <v>1778</v>
      </c>
      <c r="P694" s="2" t="s">
        <v>62</v>
      </c>
      <c r="Q694" s="2" t="s">
        <v>62</v>
      </c>
      <c r="R694" s="2" t="s">
        <v>61</v>
      </c>
      <c r="S694" s="3"/>
      <c r="T694" s="3"/>
      <c r="U694" s="3"/>
      <c r="V694" s="3">
        <v>1</v>
      </c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2" t="s">
        <v>51</v>
      </c>
      <c r="AW694" s="2" t="s">
        <v>1779</v>
      </c>
      <c r="AX694" s="2" t="s">
        <v>51</v>
      </c>
      <c r="AY694" s="2" t="s">
        <v>51</v>
      </c>
    </row>
    <row r="695" spans="1:51" ht="30" customHeight="1">
      <c r="A695" s="8" t="s">
        <v>1766</v>
      </c>
      <c r="B695" s="8" t="s">
        <v>1780</v>
      </c>
      <c r="C695" s="8" t="s">
        <v>1230</v>
      </c>
      <c r="D695" s="9">
        <v>0.49</v>
      </c>
      <c r="E695" s="11">
        <f>단가대비표!O509</f>
        <v>5588.88</v>
      </c>
      <c r="F695" s="12">
        <f t="shared" si="152"/>
        <v>2738.5</v>
      </c>
      <c r="G695" s="11">
        <f>단가대비표!P509</f>
        <v>0</v>
      </c>
      <c r="H695" s="12">
        <f t="shared" si="153"/>
        <v>0</v>
      </c>
      <c r="I695" s="11">
        <f>단가대비표!V509</f>
        <v>0</v>
      </c>
      <c r="J695" s="12">
        <f t="shared" si="154"/>
        <v>0</v>
      </c>
      <c r="K695" s="11">
        <f t="shared" si="155"/>
        <v>5588.8</v>
      </c>
      <c r="L695" s="12">
        <f t="shared" si="156"/>
        <v>2738.5</v>
      </c>
      <c r="M695" s="522" t="s">
        <v>51</v>
      </c>
      <c r="N695" s="2" t="s">
        <v>1219</v>
      </c>
      <c r="O695" s="2" t="s">
        <v>1781</v>
      </c>
      <c r="P695" s="2" t="s">
        <v>62</v>
      </c>
      <c r="Q695" s="2" t="s">
        <v>62</v>
      </c>
      <c r="R695" s="2" t="s">
        <v>61</v>
      </c>
      <c r="S695" s="3"/>
      <c r="T695" s="3"/>
      <c r="U695" s="3"/>
      <c r="V695" s="3">
        <v>1</v>
      </c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2" t="s">
        <v>51</v>
      </c>
      <c r="AW695" s="2" t="s">
        <v>1782</v>
      </c>
      <c r="AX695" s="2" t="s">
        <v>51</v>
      </c>
      <c r="AY695" s="2" t="s">
        <v>51</v>
      </c>
    </row>
    <row r="696" spans="1:51" ht="30" customHeight="1">
      <c r="A696" s="8" t="s">
        <v>1773</v>
      </c>
      <c r="B696" s="8" t="s">
        <v>1783</v>
      </c>
      <c r="C696" s="8" t="s">
        <v>1230</v>
      </c>
      <c r="D696" s="9">
        <v>0.04</v>
      </c>
      <c r="E696" s="11">
        <f>단가대비표!O514</f>
        <v>1778</v>
      </c>
      <c r="F696" s="12">
        <f t="shared" si="152"/>
        <v>71.099999999999994</v>
      </c>
      <c r="G696" s="11">
        <f>단가대비표!P514</f>
        <v>0</v>
      </c>
      <c r="H696" s="12">
        <f t="shared" si="153"/>
        <v>0</v>
      </c>
      <c r="I696" s="11">
        <f>단가대비표!V514</f>
        <v>0</v>
      </c>
      <c r="J696" s="12">
        <f t="shared" si="154"/>
        <v>0</v>
      </c>
      <c r="K696" s="11">
        <f t="shared" si="155"/>
        <v>1778</v>
      </c>
      <c r="L696" s="12">
        <f t="shared" si="156"/>
        <v>71.099999999999994</v>
      </c>
      <c r="M696" s="522" t="s">
        <v>51</v>
      </c>
      <c r="N696" s="2" t="s">
        <v>1219</v>
      </c>
      <c r="O696" s="2" t="s">
        <v>1784</v>
      </c>
      <c r="P696" s="2" t="s">
        <v>62</v>
      </c>
      <c r="Q696" s="2" t="s">
        <v>62</v>
      </c>
      <c r="R696" s="2" t="s">
        <v>61</v>
      </c>
      <c r="S696" s="3"/>
      <c r="T696" s="3"/>
      <c r="U696" s="3"/>
      <c r="V696" s="3">
        <v>1</v>
      </c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2" t="s">
        <v>51</v>
      </c>
      <c r="AW696" s="2" t="s">
        <v>1785</v>
      </c>
      <c r="AX696" s="2" t="s">
        <v>51</v>
      </c>
      <c r="AY696" s="2" t="s">
        <v>51</v>
      </c>
    </row>
    <row r="697" spans="1:51" ht="30" customHeight="1">
      <c r="A697" s="8" t="s">
        <v>1246</v>
      </c>
      <c r="B697" s="8" t="s">
        <v>1247</v>
      </c>
      <c r="C697" s="8" t="s">
        <v>82</v>
      </c>
      <c r="D697" s="9">
        <v>1</v>
      </c>
      <c r="E697" s="11">
        <f>TRUNC(SUMIF(V691:V700, RIGHTB(O697, 1), F691:F700)*U697, 2)</f>
        <v>253.53</v>
      </c>
      <c r="F697" s="12">
        <f t="shared" si="152"/>
        <v>253.5</v>
      </c>
      <c r="G697" s="11">
        <v>0</v>
      </c>
      <c r="H697" s="12">
        <f t="shared" si="153"/>
        <v>0</v>
      </c>
      <c r="I697" s="11">
        <v>0</v>
      </c>
      <c r="J697" s="12">
        <f t="shared" si="154"/>
        <v>0</v>
      </c>
      <c r="K697" s="11">
        <f t="shared" si="155"/>
        <v>253.5</v>
      </c>
      <c r="L697" s="12">
        <f t="shared" si="156"/>
        <v>253.5</v>
      </c>
      <c r="M697" s="522" t="s">
        <v>51</v>
      </c>
      <c r="N697" s="2" t="s">
        <v>1219</v>
      </c>
      <c r="O697" s="2" t="s">
        <v>1036</v>
      </c>
      <c r="P697" s="2" t="s">
        <v>62</v>
      </c>
      <c r="Q697" s="2" t="s">
        <v>62</v>
      </c>
      <c r="R697" s="2" t="s">
        <v>62</v>
      </c>
      <c r="S697" s="3">
        <v>0</v>
      </c>
      <c r="T697" s="3">
        <v>0</v>
      </c>
      <c r="U697" s="3">
        <v>0.05</v>
      </c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2" t="s">
        <v>51</v>
      </c>
      <c r="AW697" s="2" t="s">
        <v>1786</v>
      </c>
      <c r="AX697" s="2" t="s">
        <v>51</v>
      </c>
      <c r="AY697" s="2" t="s">
        <v>51</v>
      </c>
    </row>
    <row r="698" spans="1:51" ht="30" customHeight="1">
      <c r="A698" s="8" t="s">
        <v>1228</v>
      </c>
      <c r="B698" s="8" t="s">
        <v>1787</v>
      </c>
      <c r="C698" s="8" t="s">
        <v>993</v>
      </c>
      <c r="D698" s="9">
        <v>0.05</v>
      </c>
      <c r="E698" s="11">
        <f>단가대비표!O488</f>
        <v>2139.7800000000002</v>
      </c>
      <c r="F698" s="12">
        <f t="shared" si="152"/>
        <v>106.9</v>
      </c>
      <c r="G698" s="11">
        <f>단가대비표!P488</f>
        <v>0</v>
      </c>
      <c r="H698" s="12">
        <f t="shared" si="153"/>
        <v>0</v>
      </c>
      <c r="I698" s="11">
        <f>단가대비표!V488</f>
        <v>0</v>
      </c>
      <c r="J698" s="12">
        <f t="shared" si="154"/>
        <v>0</v>
      </c>
      <c r="K698" s="11">
        <f t="shared" si="155"/>
        <v>2139.6999999999998</v>
      </c>
      <c r="L698" s="12">
        <f t="shared" si="156"/>
        <v>106.9</v>
      </c>
      <c r="M698" s="522" t="s">
        <v>1788</v>
      </c>
      <c r="N698" s="2" t="s">
        <v>1219</v>
      </c>
      <c r="O698" s="2" t="s">
        <v>1789</v>
      </c>
      <c r="P698" s="2" t="s">
        <v>62</v>
      </c>
      <c r="Q698" s="2" t="s">
        <v>62</v>
      </c>
      <c r="R698" s="2" t="s">
        <v>61</v>
      </c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2" t="s">
        <v>51</v>
      </c>
      <c r="AW698" s="2" t="s">
        <v>1790</v>
      </c>
      <c r="AX698" s="2" t="s">
        <v>51</v>
      </c>
      <c r="AY698" s="2" t="s">
        <v>51</v>
      </c>
    </row>
    <row r="699" spans="1:51" ht="30" customHeight="1">
      <c r="A699" s="8" t="s">
        <v>1233</v>
      </c>
      <c r="B699" s="8" t="s">
        <v>1234</v>
      </c>
      <c r="C699" s="8" t="s">
        <v>979</v>
      </c>
      <c r="D699" s="9">
        <v>0.375</v>
      </c>
      <c r="E699" s="11">
        <f>단가대비표!O485</f>
        <v>200</v>
      </c>
      <c r="F699" s="12">
        <f t="shared" si="152"/>
        <v>75</v>
      </c>
      <c r="G699" s="11">
        <f>단가대비표!P485</f>
        <v>0</v>
      </c>
      <c r="H699" s="12">
        <f t="shared" si="153"/>
        <v>0</v>
      </c>
      <c r="I699" s="11">
        <f>단가대비표!V485</f>
        <v>0</v>
      </c>
      <c r="J699" s="12">
        <f t="shared" si="154"/>
        <v>0</v>
      </c>
      <c r="K699" s="11">
        <f t="shared" si="155"/>
        <v>200</v>
      </c>
      <c r="L699" s="12">
        <f t="shared" si="156"/>
        <v>75</v>
      </c>
      <c r="M699" s="522" t="s">
        <v>51</v>
      </c>
      <c r="N699" s="2" t="s">
        <v>1219</v>
      </c>
      <c r="O699" s="2" t="s">
        <v>1235</v>
      </c>
      <c r="P699" s="2" t="s">
        <v>62</v>
      </c>
      <c r="Q699" s="2" t="s">
        <v>62</v>
      </c>
      <c r="R699" s="2" t="s">
        <v>61</v>
      </c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2" t="s">
        <v>51</v>
      </c>
      <c r="AW699" s="2" t="s">
        <v>1791</v>
      </c>
      <c r="AX699" s="2" t="s">
        <v>51</v>
      </c>
      <c r="AY699" s="2" t="s">
        <v>51</v>
      </c>
    </row>
    <row r="700" spans="1:51" ht="30" customHeight="1">
      <c r="A700" s="8" t="s">
        <v>1107</v>
      </c>
      <c r="B700" s="8" t="s">
        <v>418</v>
      </c>
      <c r="C700" s="8" t="s">
        <v>419</v>
      </c>
      <c r="D700" s="9">
        <v>0.39</v>
      </c>
      <c r="E700" s="11">
        <f>단가대비표!O571</f>
        <v>0</v>
      </c>
      <c r="F700" s="12">
        <f t="shared" si="152"/>
        <v>0</v>
      </c>
      <c r="G700" s="11">
        <f>단가대비표!P571</f>
        <v>188854</v>
      </c>
      <c r="H700" s="12">
        <f t="shared" si="153"/>
        <v>73653</v>
      </c>
      <c r="I700" s="11">
        <f>단가대비표!V571</f>
        <v>0</v>
      </c>
      <c r="J700" s="12">
        <f t="shared" si="154"/>
        <v>0</v>
      </c>
      <c r="K700" s="11">
        <f t="shared" si="155"/>
        <v>188854</v>
      </c>
      <c r="L700" s="12">
        <f t="shared" si="156"/>
        <v>73653</v>
      </c>
      <c r="M700" s="522" t="s">
        <v>51</v>
      </c>
      <c r="N700" s="2" t="s">
        <v>1219</v>
      </c>
      <c r="O700" s="2" t="s">
        <v>1108</v>
      </c>
      <c r="P700" s="2" t="s">
        <v>62</v>
      </c>
      <c r="Q700" s="2" t="s">
        <v>62</v>
      </c>
      <c r="R700" s="2" t="s">
        <v>61</v>
      </c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2" t="s">
        <v>51</v>
      </c>
      <c r="AW700" s="2" t="s">
        <v>1792</v>
      </c>
      <c r="AX700" s="2" t="s">
        <v>51</v>
      </c>
      <c r="AY700" s="2" t="s">
        <v>51</v>
      </c>
    </row>
    <row r="701" spans="1:51" ht="30" customHeight="1">
      <c r="A701" s="8" t="s">
        <v>950</v>
      </c>
      <c r="B701" s="8" t="s">
        <v>51</v>
      </c>
      <c r="C701" s="8" t="s">
        <v>51</v>
      </c>
      <c r="D701" s="9"/>
      <c r="E701" s="11"/>
      <c r="F701" s="12">
        <f>TRUNC(SUMIF(N691:N700, N690, F691:F700),0)</f>
        <v>5506</v>
      </c>
      <c r="G701" s="11"/>
      <c r="H701" s="12">
        <f>TRUNC(SUMIF(N691:N700, N690, H691:H700),0)</f>
        <v>73653</v>
      </c>
      <c r="I701" s="11"/>
      <c r="J701" s="12">
        <f>TRUNC(SUMIF(N691:N700, N690, J691:J700),0)</f>
        <v>0</v>
      </c>
      <c r="K701" s="11"/>
      <c r="L701" s="12">
        <f>F701+H701+J701</f>
        <v>79159</v>
      </c>
      <c r="M701" s="522" t="s">
        <v>51</v>
      </c>
      <c r="N701" s="2" t="s">
        <v>86</v>
      </c>
      <c r="O701" s="2" t="s">
        <v>86</v>
      </c>
      <c r="P701" s="2" t="s">
        <v>51</v>
      </c>
      <c r="Q701" s="2" t="s">
        <v>51</v>
      </c>
      <c r="R701" s="2" t="s">
        <v>51</v>
      </c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2" t="s">
        <v>51</v>
      </c>
      <c r="AW701" s="2" t="s">
        <v>51</v>
      </c>
      <c r="AX701" s="2" t="s">
        <v>51</v>
      </c>
      <c r="AY701" s="2" t="s">
        <v>51</v>
      </c>
    </row>
    <row r="702" spans="1:51" ht="30" customHeight="1">
      <c r="A702" s="9"/>
      <c r="B702" s="9"/>
      <c r="C702" s="9"/>
      <c r="D702" s="9"/>
      <c r="E702" s="11"/>
      <c r="F702" s="12"/>
      <c r="G702" s="11"/>
      <c r="H702" s="12"/>
      <c r="I702" s="11"/>
      <c r="J702" s="12"/>
      <c r="K702" s="11"/>
      <c r="L702" s="12"/>
      <c r="M702" s="523"/>
    </row>
    <row r="703" spans="1:51" ht="30" customHeight="1">
      <c r="A703" s="1403" t="s">
        <v>4546</v>
      </c>
      <c r="B703" s="1403"/>
      <c r="C703" s="1403"/>
      <c r="D703" s="1403"/>
      <c r="E703" s="1404"/>
      <c r="F703" s="1405"/>
      <c r="G703" s="1404"/>
      <c r="H703" s="1405"/>
      <c r="I703" s="1404"/>
      <c r="J703" s="1405"/>
      <c r="K703" s="1404"/>
      <c r="L703" s="1405"/>
      <c r="M703" s="1403"/>
      <c r="N703" s="1" t="s">
        <v>1241</v>
      </c>
    </row>
    <row r="704" spans="1:51" ht="30" customHeight="1">
      <c r="A704" s="8" t="s">
        <v>1228</v>
      </c>
      <c r="B704" s="8" t="s">
        <v>1787</v>
      </c>
      <c r="C704" s="8" t="s">
        <v>993</v>
      </c>
      <c r="D704" s="9">
        <v>0.05</v>
      </c>
      <c r="E704" s="11">
        <f>단가대비표!O488</f>
        <v>2139.7800000000002</v>
      </c>
      <c r="F704" s="12">
        <f>TRUNC(E704*D704,1)</f>
        <v>106.9</v>
      </c>
      <c r="G704" s="11">
        <f>단가대비표!P488</f>
        <v>0</v>
      </c>
      <c r="H704" s="12">
        <f>TRUNC(G704*D704,1)</f>
        <v>0</v>
      </c>
      <c r="I704" s="11">
        <f>단가대비표!V488</f>
        <v>0</v>
      </c>
      <c r="J704" s="12">
        <f>TRUNC(I704*D704,1)</f>
        <v>0</v>
      </c>
      <c r="K704" s="11">
        <f t="shared" ref="K704:L707" si="157">TRUNC(E704+G704+I704,1)</f>
        <v>2139.6999999999998</v>
      </c>
      <c r="L704" s="12">
        <f t="shared" si="157"/>
        <v>106.9</v>
      </c>
      <c r="M704" s="522" t="s">
        <v>1788</v>
      </c>
      <c r="N704" s="2" t="s">
        <v>1241</v>
      </c>
      <c r="O704" s="2" t="s">
        <v>1789</v>
      </c>
      <c r="P704" s="2" t="s">
        <v>62</v>
      </c>
      <c r="Q704" s="2" t="s">
        <v>62</v>
      </c>
      <c r="R704" s="2" t="s">
        <v>61</v>
      </c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2" t="s">
        <v>51</v>
      </c>
      <c r="AW704" s="2" t="s">
        <v>1794</v>
      </c>
      <c r="AX704" s="2" t="s">
        <v>51</v>
      </c>
      <c r="AY704" s="2" t="s">
        <v>51</v>
      </c>
    </row>
    <row r="705" spans="1:51" ht="30" customHeight="1">
      <c r="A705" s="8" t="s">
        <v>1233</v>
      </c>
      <c r="B705" s="8" t="s">
        <v>1234</v>
      </c>
      <c r="C705" s="8" t="s">
        <v>979</v>
      </c>
      <c r="D705" s="9">
        <v>0.1</v>
      </c>
      <c r="E705" s="11">
        <f>단가대비표!O485</f>
        <v>200</v>
      </c>
      <c r="F705" s="12">
        <f>TRUNC(E705*D705,1)</f>
        <v>20</v>
      </c>
      <c r="G705" s="11">
        <f>단가대비표!P485</f>
        <v>0</v>
      </c>
      <c r="H705" s="12">
        <f>TRUNC(G705*D705,1)</f>
        <v>0</v>
      </c>
      <c r="I705" s="11">
        <f>단가대비표!V485</f>
        <v>0</v>
      </c>
      <c r="J705" s="12">
        <f>TRUNC(I705*D705,1)</f>
        <v>0</v>
      </c>
      <c r="K705" s="11">
        <f t="shared" si="157"/>
        <v>200</v>
      </c>
      <c r="L705" s="12">
        <f t="shared" si="157"/>
        <v>20</v>
      </c>
      <c r="M705" s="522" t="s">
        <v>51</v>
      </c>
      <c r="N705" s="2" t="s">
        <v>1241</v>
      </c>
      <c r="O705" s="2" t="s">
        <v>1235</v>
      </c>
      <c r="P705" s="2" t="s">
        <v>62</v>
      </c>
      <c r="Q705" s="2" t="s">
        <v>62</v>
      </c>
      <c r="R705" s="2" t="s">
        <v>61</v>
      </c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2" t="s">
        <v>51</v>
      </c>
      <c r="AW705" s="2" t="s">
        <v>1795</v>
      </c>
      <c r="AX705" s="2" t="s">
        <v>51</v>
      </c>
      <c r="AY705" s="2" t="s">
        <v>51</v>
      </c>
    </row>
    <row r="706" spans="1:51" ht="30" customHeight="1">
      <c r="A706" s="8" t="s">
        <v>1107</v>
      </c>
      <c r="B706" s="8" t="s">
        <v>418</v>
      </c>
      <c r="C706" s="8" t="s">
        <v>419</v>
      </c>
      <c r="D706" s="9">
        <v>0.01</v>
      </c>
      <c r="E706" s="11">
        <f>단가대비표!O571</f>
        <v>0</v>
      </c>
      <c r="F706" s="12">
        <f>TRUNC(E706*D706,1)</f>
        <v>0</v>
      </c>
      <c r="G706" s="11">
        <f>단가대비표!P571</f>
        <v>188854</v>
      </c>
      <c r="H706" s="12">
        <f>TRUNC(G706*D706,1)</f>
        <v>1888.5</v>
      </c>
      <c r="I706" s="11">
        <f>단가대비표!V571</f>
        <v>0</v>
      </c>
      <c r="J706" s="12">
        <f>TRUNC(I706*D706,1)</f>
        <v>0</v>
      </c>
      <c r="K706" s="11">
        <f t="shared" si="157"/>
        <v>188854</v>
      </c>
      <c r="L706" s="12">
        <f t="shared" si="157"/>
        <v>1888.5</v>
      </c>
      <c r="M706" s="522" t="s">
        <v>51</v>
      </c>
      <c r="N706" s="2" t="s">
        <v>1241</v>
      </c>
      <c r="O706" s="2" t="s">
        <v>1108</v>
      </c>
      <c r="P706" s="2" t="s">
        <v>62</v>
      </c>
      <c r="Q706" s="2" t="s">
        <v>62</v>
      </c>
      <c r="R706" s="2" t="s">
        <v>61</v>
      </c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2" t="s">
        <v>51</v>
      </c>
      <c r="AW706" s="2" t="s">
        <v>1796</v>
      </c>
      <c r="AX706" s="2" t="s">
        <v>51</v>
      </c>
      <c r="AY706" s="2" t="s">
        <v>51</v>
      </c>
    </row>
    <row r="707" spans="1:51" ht="30" customHeight="1">
      <c r="A707" s="8" t="s">
        <v>996</v>
      </c>
      <c r="B707" s="8" t="s">
        <v>947</v>
      </c>
      <c r="C707" s="8" t="s">
        <v>419</v>
      </c>
      <c r="D707" s="9">
        <v>1E-3</v>
      </c>
      <c r="E707" s="11">
        <f>단가대비표!O556</f>
        <v>0</v>
      </c>
      <c r="F707" s="12">
        <f>TRUNC(E707*D707,1)</f>
        <v>0</v>
      </c>
      <c r="G707" s="11">
        <f>단가대비표!P556</f>
        <v>130264</v>
      </c>
      <c r="H707" s="12">
        <f>TRUNC(G707*D707,1)</f>
        <v>130.19999999999999</v>
      </c>
      <c r="I707" s="11">
        <f>단가대비표!V556</f>
        <v>0</v>
      </c>
      <c r="J707" s="12">
        <f>TRUNC(I707*D707,1)</f>
        <v>0</v>
      </c>
      <c r="K707" s="11">
        <f t="shared" si="157"/>
        <v>130264</v>
      </c>
      <c r="L707" s="12">
        <f t="shared" si="157"/>
        <v>130.19999999999999</v>
      </c>
      <c r="M707" s="522" t="s">
        <v>51</v>
      </c>
      <c r="N707" s="2" t="s">
        <v>1241</v>
      </c>
      <c r="O707" s="2" t="s">
        <v>997</v>
      </c>
      <c r="P707" s="2" t="s">
        <v>62</v>
      </c>
      <c r="Q707" s="2" t="s">
        <v>62</v>
      </c>
      <c r="R707" s="2" t="s">
        <v>61</v>
      </c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2" t="s">
        <v>51</v>
      </c>
      <c r="AW707" s="2" t="s">
        <v>1797</v>
      </c>
      <c r="AX707" s="2" t="s">
        <v>51</v>
      </c>
      <c r="AY707" s="2" t="s">
        <v>51</v>
      </c>
    </row>
    <row r="708" spans="1:51" ht="30" customHeight="1">
      <c r="A708" s="8" t="s">
        <v>950</v>
      </c>
      <c r="B708" s="8" t="s">
        <v>51</v>
      </c>
      <c r="C708" s="8" t="s">
        <v>51</v>
      </c>
      <c r="D708" s="9"/>
      <c r="E708" s="11"/>
      <c r="F708" s="12">
        <f>TRUNC(SUMIF(N704:N707, N703, F704:F707),0)</f>
        <v>126</v>
      </c>
      <c r="G708" s="11"/>
      <c r="H708" s="12">
        <f>TRUNC(SUMIF(N704:N707, N703, H704:H707),0)</f>
        <v>2018</v>
      </c>
      <c r="I708" s="11"/>
      <c r="J708" s="12">
        <f>TRUNC(SUMIF(N704:N707, N703, J704:J707),0)</f>
        <v>0</v>
      </c>
      <c r="K708" s="11"/>
      <c r="L708" s="12">
        <f>F708+H708+J708</f>
        <v>2144</v>
      </c>
      <c r="M708" s="522" t="s">
        <v>51</v>
      </c>
      <c r="N708" s="2" t="s">
        <v>86</v>
      </c>
      <c r="O708" s="2" t="s">
        <v>86</v>
      </c>
      <c r="P708" s="2" t="s">
        <v>51</v>
      </c>
      <c r="Q708" s="2" t="s">
        <v>51</v>
      </c>
      <c r="R708" s="2" t="s">
        <v>51</v>
      </c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2" t="s">
        <v>51</v>
      </c>
      <c r="AW708" s="2" t="s">
        <v>51</v>
      </c>
      <c r="AX708" s="2" t="s">
        <v>51</v>
      </c>
      <c r="AY708" s="2" t="s">
        <v>51</v>
      </c>
    </row>
    <row r="709" spans="1:51" ht="30" customHeight="1">
      <c r="A709" s="9"/>
      <c r="B709" s="9"/>
      <c r="C709" s="9"/>
      <c r="D709" s="9"/>
      <c r="E709" s="11"/>
      <c r="F709" s="12"/>
      <c r="G709" s="11"/>
      <c r="H709" s="12"/>
      <c r="I709" s="11"/>
      <c r="J709" s="12"/>
      <c r="K709" s="11"/>
      <c r="L709" s="12"/>
      <c r="M709" s="523"/>
    </row>
    <row r="710" spans="1:51" ht="30" customHeight="1">
      <c r="A710" s="1403" t="s">
        <v>4547</v>
      </c>
      <c r="B710" s="1403"/>
      <c r="C710" s="1403"/>
      <c r="D710" s="1403"/>
      <c r="E710" s="1404"/>
      <c r="F710" s="1405"/>
      <c r="G710" s="1404"/>
      <c r="H710" s="1405"/>
      <c r="I710" s="1404"/>
      <c r="J710" s="1405"/>
      <c r="K710" s="1404"/>
      <c r="L710" s="1405"/>
      <c r="M710" s="1403"/>
      <c r="N710" s="1" t="s">
        <v>1338</v>
      </c>
    </row>
    <row r="711" spans="1:51" ht="30" customHeight="1">
      <c r="A711" s="8" t="s">
        <v>1799</v>
      </c>
      <c r="B711" s="8" t="s">
        <v>1337</v>
      </c>
      <c r="C711" s="8" t="s">
        <v>993</v>
      </c>
      <c r="D711" s="9">
        <v>1</v>
      </c>
      <c r="E711" s="11">
        <f>일위대가목록!F112</f>
        <v>214</v>
      </c>
      <c r="F711" s="12">
        <f>TRUNC(E711*D711,1)</f>
        <v>214</v>
      </c>
      <c r="G711" s="11">
        <f>일위대가목록!H112</f>
        <v>4514</v>
      </c>
      <c r="H711" s="12">
        <f>TRUNC(G711*D711,1)</f>
        <v>4514</v>
      </c>
      <c r="I711" s="11">
        <f>일위대가목록!J112</f>
        <v>144</v>
      </c>
      <c r="J711" s="12">
        <f>TRUNC(I711*D711,1)</f>
        <v>144</v>
      </c>
      <c r="K711" s="11">
        <f>TRUNC(E711+G711+I711,1)</f>
        <v>4872</v>
      </c>
      <c r="L711" s="12">
        <f>TRUNC(F711+H711+J711,1)</f>
        <v>4872</v>
      </c>
      <c r="M711" s="522" t="s">
        <v>4839</v>
      </c>
      <c r="N711" s="2" t="s">
        <v>1338</v>
      </c>
      <c r="O711" s="2" t="s">
        <v>1800</v>
      </c>
      <c r="P711" s="2" t="s">
        <v>61</v>
      </c>
      <c r="Q711" s="2" t="s">
        <v>62</v>
      </c>
      <c r="R711" s="2" t="s">
        <v>62</v>
      </c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2" t="s">
        <v>51</v>
      </c>
      <c r="AW711" s="2" t="s">
        <v>1801</v>
      </c>
      <c r="AX711" s="2" t="s">
        <v>51</v>
      </c>
      <c r="AY711" s="2" t="s">
        <v>51</v>
      </c>
    </row>
    <row r="712" spans="1:51" ht="30" customHeight="1">
      <c r="A712" s="8" t="s">
        <v>1802</v>
      </c>
      <c r="B712" s="8" t="s">
        <v>1337</v>
      </c>
      <c r="C712" s="8" t="s">
        <v>993</v>
      </c>
      <c r="D712" s="9">
        <v>1</v>
      </c>
      <c r="E712" s="11">
        <f>일위대가목록!F113</f>
        <v>37</v>
      </c>
      <c r="F712" s="12">
        <f>TRUNC(E712*D712,1)</f>
        <v>37</v>
      </c>
      <c r="G712" s="11">
        <f>일위대가목록!H113</f>
        <v>1153</v>
      </c>
      <c r="H712" s="12">
        <f>TRUNC(G712*D712,1)</f>
        <v>1153</v>
      </c>
      <c r="I712" s="11">
        <f>일위대가목록!J113</f>
        <v>36</v>
      </c>
      <c r="J712" s="12">
        <f>TRUNC(I712*D712,1)</f>
        <v>36</v>
      </c>
      <c r="K712" s="11">
        <f>TRUNC(E712+G712+I712,1)</f>
        <v>1226</v>
      </c>
      <c r="L712" s="12">
        <f>TRUNC(F712+H712+J712,1)</f>
        <v>1226</v>
      </c>
      <c r="M712" s="522" t="s">
        <v>4841</v>
      </c>
      <c r="N712" s="2" t="s">
        <v>1338</v>
      </c>
      <c r="O712" s="2" t="s">
        <v>1803</v>
      </c>
      <c r="P712" s="2" t="s">
        <v>61</v>
      </c>
      <c r="Q712" s="2" t="s">
        <v>62</v>
      </c>
      <c r="R712" s="2" t="s">
        <v>62</v>
      </c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2" t="s">
        <v>51</v>
      </c>
      <c r="AW712" s="2" t="s">
        <v>1804</v>
      </c>
      <c r="AX712" s="2" t="s">
        <v>51</v>
      </c>
      <c r="AY712" s="2" t="s">
        <v>51</v>
      </c>
    </row>
    <row r="713" spans="1:51" ht="30" customHeight="1">
      <c r="A713" s="8" t="s">
        <v>950</v>
      </c>
      <c r="B713" s="8" t="s">
        <v>51</v>
      </c>
      <c r="C713" s="8" t="s">
        <v>51</v>
      </c>
      <c r="D713" s="9"/>
      <c r="E713" s="11"/>
      <c r="F713" s="12">
        <f>TRUNC(SUMIF(N711:N712, N710, F711:F712),0)</f>
        <v>251</v>
      </c>
      <c r="G713" s="11"/>
      <c r="H713" s="12">
        <f>TRUNC(SUMIF(N711:N712, N710, H711:H712),0)</f>
        <v>5667</v>
      </c>
      <c r="I713" s="11"/>
      <c r="J713" s="12">
        <f>TRUNC(SUMIF(N711:N712, N710, J711:J712),0)</f>
        <v>180</v>
      </c>
      <c r="K713" s="11"/>
      <c r="L713" s="12">
        <f>F713+H713+J713</f>
        <v>6098</v>
      </c>
      <c r="M713" s="522" t="s">
        <v>51</v>
      </c>
      <c r="N713" s="2" t="s">
        <v>86</v>
      </c>
      <c r="O713" s="2" t="s">
        <v>86</v>
      </c>
      <c r="P713" s="2" t="s">
        <v>51</v>
      </c>
      <c r="Q713" s="2" t="s">
        <v>51</v>
      </c>
      <c r="R713" s="2" t="s">
        <v>51</v>
      </c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2" t="s">
        <v>51</v>
      </c>
      <c r="AW713" s="2" t="s">
        <v>51</v>
      </c>
      <c r="AX713" s="2" t="s">
        <v>51</v>
      </c>
      <c r="AY713" s="2" t="s">
        <v>51</v>
      </c>
    </row>
    <row r="714" spans="1:51" ht="30" customHeight="1">
      <c r="A714" s="9"/>
      <c r="B714" s="9"/>
      <c r="C714" s="9"/>
      <c r="D714" s="9"/>
      <c r="E714" s="11"/>
      <c r="F714" s="12"/>
      <c r="G714" s="11"/>
      <c r="H714" s="12"/>
      <c r="I714" s="11"/>
      <c r="J714" s="12"/>
      <c r="K714" s="11"/>
      <c r="L714" s="12"/>
      <c r="M714" s="523"/>
    </row>
    <row r="715" spans="1:51" ht="30" customHeight="1">
      <c r="A715" s="1403" t="s">
        <v>4548</v>
      </c>
      <c r="B715" s="1403"/>
      <c r="C715" s="1403"/>
      <c r="D715" s="1403"/>
      <c r="E715" s="1404"/>
      <c r="F715" s="1405"/>
      <c r="G715" s="1404"/>
      <c r="H715" s="1405"/>
      <c r="I715" s="1404"/>
      <c r="J715" s="1405"/>
      <c r="K715" s="1404"/>
      <c r="L715" s="1405"/>
      <c r="M715" s="1403"/>
      <c r="N715" s="1" t="s">
        <v>1341</v>
      </c>
    </row>
    <row r="716" spans="1:51" ht="30" customHeight="1">
      <c r="A716" s="8" t="s">
        <v>1799</v>
      </c>
      <c r="B716" s="8" t="s">
        <v>1340</v>
      </c>
      <c r="C716" s="8" t="s">
        <v>993</v>
      </c>
      <c r="D716" s="9">
        <v>1</v>
      </c>
      <c r="E716" s="11">
        <f>일위대가목록!F114</f>
        <v>73</v>
      </c>
      <c r="F716" s="12">
        <f>TRUNC(E716*D716,1)</f>
        <v>73</v>
      </c>
      <c r="G716" s="11">
        <f>일위대가목록!H114</f>
        <v>4514</v>
      </c>
      <c r="H716" s="12">
        <f>TRUNC(G716*D716,1)</f>
        <v>4514</v>
      </c>
      <c r="I716" s="11">
        <f>일위대가목록!J114</f>
        <v>144</v>
      </c>
      <c r="J716" s="12">
        <f>TRUNC(I716*D716,1)</f>
        <v>144</v>
      </c>
      <c r="K716" s="11">
        <f>TRUNC(E716+G716+I716,1)</f>
        <v>4731</v>
      </c>
      <c r="L716" s="12">
        <f>TRUNC(F716+H716+J716,1)</f>
        <v>4731</v>
      </c>
      <c r="M716" s="522" t="s">
        <v>4840</v>
      </c>
      <c r="N716" s="2" t="s">
        <v>1341</v>
      </c>
      <c r="O716" s="2" t="s">
        <v>1806</v>
      </c>
      <c r="P716" s="2" t="s">
        <v>61</v>
      </c>
      <c r="Q716" s="2" t="s">
        <v>62</v>
      </c>
      <c r="R716" s="2" t="s">
        <v>62</v>
      </c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2" t="s">
        <v>51</v>
      </c>
      <c r="AW716" s="2" t="s">
        <v>1807</v>
      </c>
      <c r="AX716" s="2" t="s">
        <v>51</v>
      </c>
      <c r="AY716" s="2" t="s">
        <v>51</v>
      </c>
    </row>
    <row r="717" spans="1:51" ht="30" customHeight="1">
      <c r="A717" s="8" t="s">
        <v>1802</v>
      </c>
      <c r="B717" s="8" t="s">
        <v>1340</v>
      </c>
      <c r="C717" s="8" t="s">
        <v>993</v>
      </c>
      <c r="D717" s="9">
        <v>1</v>
      </c>
      <c r="E717" s="11">
        <f>일위대가목록!F115</f>
        <v>12</v>
      </c>
      <c r="F717" s="12">
        <f>TRUNC(E717*D717,1)</f>
        <v>12</v>
      </c>
      <c r="G717" s="11">
        <f>일위대가목록!H115</f>
        <v>1153</v>
      </c>
      <c r="H717" s="12">
        <f>TRUNC(G717*D717,1)</f>
        <v>1153</v>
      </c>
      <c r="I717" s="11">
        <f>일위대가목록!J115</f>
        <v>36</v>
      </c>
      <c r="J717" s="12">
        <f>TRUNC(I717*D717,1)</f>
        <v>36</v>
      </c>
      <c r="K717" s="11">
        <f>TRUNC(E717+G717+I717,1)</f>
        <v>1201</v>
      </c>
      <c r="L717" s="12">
        <f>TRUNC(F717+H717+J717,1)</f>
        <v>1201</v>
      </c>
      <c r="M717" s="522" t="s">
        <v>4842</v>
      </c>
      <c r="N717" s="2" t="s">
        <v>1341</v>
      </c>
      <c r="O717" s="2" t="s">
        <v>1808</v>
      </c>
      <c r="P717" s="2" t="s">
        <v>61</v>
      </c>
      <c r="Q717" s="2" t="s">
        <v>62</v>
      </c>
      <c r="R717" s="2" t="s">
        <v>62</v>
      </c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2" t="s">
        <v>51</v>
      </c>
      <c r="AW717" s="2" t="s">
        <v>1809</v>
      </c>
      <c r="AX717" s="2" t="s">
        <v>51</v>
      </c>
      <c r="AY717" s="2" t="s">
        <v>51</v>
      </c>
    </row>
    <row r="718" spans="1:51" ht="30" customHeight="1">
      <c r="A718" s="8" t="s">
        <v>950</v>
      </c>
      <c r="B718" s="8" t="s">
        <v>51</v>
      </c>
      <c r="C718" s="8" t="s">
        <v>51</v>
      </c>
      <c r="D718" s="9"/>
      <c r="E718" s="11"/>
      <c r="F718" s="12">
        <f>TRUNC(SUMIF(N716:N717, N715, F716:F717),0)</f>
        <v>85</v>
      </c>
      <c r="G718" s="11"/>
      <c r="H718" s="12">
        <f>TRUNC(SUMIF(N716:N717, N715, H716:H717),0)</f>
        <v>5667</v>
      </c>
      <c r="I718" s="11"/>
      <c r="J718" s="12">
        <f>TRUNC(SUMIF(N716:N717, N715, J716:J717),0)</f>
        <v>180</v>
      </c>
      <c r="K718" s="11"/>
      <c r="L718" s="12">
        <f>F718+H718+J718</f>
        <v>5932</v>
      </c>
      <c r="M718" s="522" t="s">
        <v>51</v>
      </c>
      <c r="N718" s="2" t="s">
        <v>86</v>
      </c>
      <c r="O718" s="2" t="s">
        <v>86</v>
      </c>
      <c r="P718" s="2" t="s">
        <v>51</v>
      </c>
      <c r="Q718" s="2" t="s">
        <v>51</v>
      </c>
      <c r="R718" s="2" t="s">
        <v>51</v>
      </c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2" t="s">
        <v>51</v>
      </c>
      <c r="AW718" s="2" t="s">
        <v>51</v>
      </c>
      <c r="AX718" s="2" t="s">
        <v>51</v>
      </c>
      <c r="AY718" s="2" t="s">
        <v>51</v>
      </c>
    </row>
    <row r="719" spans="1:51" ht="30" customHeight="1">
      <c r="A719" s="9"/>
      <c r="B719" s="9"/>
      <c r="C719" s="9"/>
      <c r="D719" s="9"/>
      <c r="E719" s="11"/>
      <c r="F719" s="12"/>
      <c r="G719" s="11"/>
      <c r="H719" s="12"/>
      <c r="I719" s="11"/>
      <c r="J719" s="12"/>
      <c r="K719" s="11"/>
      <c r="L719" s="12"/>
      <c r="M719" s="523"/>
    </row>
    <row r="720" spans="1:51" ht="30" customHeight="1">
      <c r="A720" s="1403" t="s">
        <v>4549</v>
      </c>
      <c r="B720" s="1403"/>
      <c r="C720" s="1403"/>
      <c r="D720" s="1403"/>
      <c r="E720" s="1404"/>
      <c r="F720" s="1405"/>
      <c r="G720" s="1404"/>
      <c r="H720" s="1405"/>
      <c r="I720" s="1404"/>
      <c r="J720" s="1405"/>
      <c r="K720" s="1404"/>
      <c r="L720" s="1405"/>
      <c r="M720" s="1403"/>
      <c r="N720" s="1" t="s">
        <v>1800</v>
      </c>
    </row>
    <row r="721" spans="1:51" ht="30" customHeight="1">
      <c r="A721" s="8" t="s">
        <v>1811</v>
      </c>
      <c r="B721" s="8" t="s">
        <v>1812</v>
      </c>
      <c r="C721" s="8" t="s">
        <v>993</v>
      </c>
      <c r="D721" s="9">
        <v>1.5709999999999998E-2</v>
      </c>
      <c r="E721" s="11">
        <f>단가대비표!O46</f>
        <v>11270</v>
      </c>
      <c r="F721" s="12">
        <f t="shared" ref="F721:F730" si="158">TRUNC(E721*D721,1)</f>
        <v>177</v>
      </c>
      <c r="G721" s="11">
        <f>단가대비표!P46</f>
        <v>0</v>
      </c>
      <c r="H721" s="12">
        <f t="shared" ref="H721:H730" si="159">TRUNC(G721*D721,1)</f>
        <v>0</v>
      </c>
      <c r="I721" s="11">
        <f>단가대비표!V46</f>
        <v>0</v>
      </c>
      <c r="J721" s="12">
        <f t="shared" ref="J721:J730" si="160">TRUNC(I721*D721,1)</f>
        <v>0</v>
      </c>
      <c r="K721" s="11">
        <f t="shared" ref="K721:K730" si="161">TRUNC(E721+G721+I721,1)</f>
        <v>11270</v>
      </c>
      <c r="L721" s="12">
        <f t="shared" ref="L721:L730" si="162">TRUNC(F721+H721+J721,1)</f>
        <v>177</v>
      </c>
      <c r="M721" s="522" t="s">
        <v>51</v>
      </c>
      <c r="N721" s="2" t="s">
        <v>1800</v>
      </c>
      <c r="O721" s="2" t="s">
        <v>1813</v>
      </c>
      <c r="P721" s="2" t="s">
        <v>62</v>
      </c>
      <c r="Q721" s="2" t="s">
        <v>62</v>
      </c>
      <c r="R721" s="2" t="s">
        <v>61</v>
      </c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2" t="s">
        <v>51</v>
      </c>
      <c r="AW721" s="2" t="s">
        <v>1814</v>
      </c>
      <c r="AX721" s="2" t="s">
        <v>51</v>
      </c>
      <c r="AY721" s="2" t="s">
        <v>51</v>
      </c>
    </row>
    <row r="722" spans="1:51" ht="30" customHeight="1">
      <c r="A722" s="8" t="s">
        <v>1387</v>
      </c>
      <c r="B722" s="8" t="s">
        <v>1388</v>
      </c>
      <c r="C722" s="8" t="s">
        <v>1230</v>
      </c>
      <c r="D722" s="9">
        <v>5.3550000000000004</v>
      </c>
      <c r="E722" s="11">
        <f>단가대비표!O40</f>
        <v>2.2200000000000002</v>
      </c>
      <c r="F722" s="12">
        <f t="shared" si="158"/>
        <v>11.8</v>
      </c>
      <c r="G722" s="11">
        <f>단가대비표!P40</f>
        <v>0</v>
      </c>
      <c r="H722" s="12">
        <f t="shared" si="159"/>
        <v>0</v>
      </c>
      <c r="I722" s="11">
        <f>단가대비표!V40</f>
        <v>0</v>
      </c>
      <c r="J722" s="12">
        <f t="shared" si="160"/>
        <v>0</v>
      </c>
      <c r="K722" s="11">
        <f t="shared" si="161"/>
        <v>2.2000000000000002</v>
      </c>
      <c r="L722" s="12">
        <f t="shared" si="162"/>
        <v>11.8</v>
      </c>
      <c r="M722" s="522" t="s">
        <v>1389</v>
      </c>
      <c r="N722" s="2" t="s">
        <v>1800</v>
      </c>
      <c r="O722" s="2" t="s">
        <v>1390</v>
      </c>
      <c r="P722" s="2" t="s">
        <v>62</v>
      </c>
      <c r="Q722" s="2" t="s">
        <v>62</v>
      </c>
      <c r="R722" s="2" t="s">
        <v>61</v>
      </c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2" t="s">
        <v>51</v>
      </c>
      <c r="AW722" s="2" t="s">
        <v>1815</v>
      </c>
      <c r="AX722" s="2" t="s">
        <v>51</v>
      </c>
      <c r="AY722" s="2" t="s">
        <v>51</v>
      </c>
    </row>
    <row r="723" spans="1:51" ht="30" customHeight="1">
      <c r="A723" s="8" t="s">
        <v>1392</v>
      </c>
      <c r="B723" s="8" t="s">
        <v>1816</v>
      </c>
      <c r="C723" s="8" t="s">
        <v>993</v>
      </c>
      <c r="D723" s="9">
        <v>2.3999999999999998E-3</v>
      </c>
      <c r="E723" s="11">
        <f>단가대비표!O42</f>
        <v>10652</v>
      </c>
      <c r="F723" s="12">
        <f t="shared" si="158"/>
        <v>25.5</v>
      </c>
      <c r="G723" s="11">
        <f>단가대비표!P42</f>
        <v>0</v>
      </c>
      <c r="H723" s="12">
        <f t="shared" si="159"/>
        <v>0</v>
      </c>
      <c r="I723" s="11">
        <f>단가대비표!V42</f>
        <v>0</v>
      </c>
      <c r="J723" s="12">
        <f t="shared" si="160"/>
        <v>0</v>
      </c>
      <c r="K723" s="11">
        <f t="shared" si="161"/>
        <v>10652</v>
      </c>
      <c r="L723" s="12">
        <f t="shared" si="162"/>
        <v>25.5</v>
      </c>
      <c r="M723" s="522" t="s">
        <v>51</v>
      </c>
      <c r="N723" s="2" t="s">
        <v>1800</v>
      </c>
      <c r="O723" s="2" t="s">
        <v>1817</v>
      </c>
      <c r="P723" s="2" t="s">
        <v>62</v>
      </c>
      <c r="Q723" s="2" t="s">
        <v>62</v>
      </c>
      <c r="R723" s="2" t="s">
        <v>61</v>
      </c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2" t="s">
        <v>51</v>
      </c>
      <c r="AW723" s="2" t="s">
        <v>1818</v>
      </c>
      <c r="AX723" s="2" t="s">
        <v>51</v>
      </c>
      <c r="AY723" s="2" t="s">
        <v>51</v>
      </c>
    </row>
    <row r="724" spans="1:51" ht="30" customHeight="1">
      <c r="A724" s="8" t="s">
        <v>1819</v>
      </c>
      <c r="B724" s="8" t="s">
        <v>1820</v>
      </c>
      <c r="C724" s="8" t="s">
        <v>1821</v>
      </c>
      <c r="D724" s="9">
        <v>1.771E-2</v>
      </c>
      <c r="E724" s="11">
        <f>일위대가목록!F116</f>
        <v>0</v>
      </c>
      <c r="F724" s="12">
        <f t="shared" si="158"/>
        <v>0</v>
      </c>
      <c r="G724" s="11">
        <f>일위대가목록!H116</f>
        <v>0</v>
      </c>
      <c r="H724" s="12">
        <f t="shared" si="159"/>
        <v>0</v>
      </c>
      <c r="I724" s="11">
        <f>일위대가목록!J116</f>
        <v>0</v>
      </c>
      <c r="J724" s="12">
        <f t="shared" si="160"/>
        <v>0</v>
      </c>
      <c r="K724" s="11">
        <f t="shared" si="161"/>
        <v>0</v>
      </c>
      <c r="L724" s="12">
        <f t="shared" si="162"/>
        <v>0</v>
      </c>
      <c r="M724" s="522" t="s">
        <v>51</v>
      </c>
      <c r="N724" s="2" t="s">
        <v>1800</v>
      </c>
      <c r="O724" s="2" t="s">
        <v>1822</v>
      </c>
      <c r="P724" s="2" t="s">
        <v>61</v>
      </c>
      <c r="Q724" s="2" t="s">
        <v>62</v>
      </c>
      <c r="R724" s="2" t="s">
        <v>62</v>
      </c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2" t="s">
        <v>51</v>
      </c>
      <c r="AW724" s="2" t="s">
        <v>1823</v>
      </c>
      <c r="AX724" s="2" t="s">
        <v>51</v>
      </c>
      <c r="AY724" s="2" t="s">
        <v>51</v>
      </c>
    </row>
    <row r="725" spans="1:51" ht="30" customHeight="1">
      <c r="A725" s="8" t="s">
        <v>987</v>
      </c>
      <c r="B725" s="8" t="s">
        <v>1824</v>
      </c>
      <c r="C725" s="8" t="s">
        <v>1825</v>
      </c>
      <c r="D725" s="9">
        <v>0.1071</v>
      </c>
      <c r="E725" s="11">
        <f>단가대비표!O554</f>
        <v>0</v>
      </c>
      <c r="F725" s="12">
        <f t="shared" si="158"/>
        <v>0</v>
      </c>
      <c r="G725" s="11">
        <f>단가대비표!P554</f>
        <v>0</v>
      </c>
      <c r="H725" s="12">
        <f t="shared" si="159"/>
        <v>0</v>
      </c>
      <c r="I725" s="11">
        <f>단가대비표!V554</f>
        <v>87</v>
      </c>
      <c r="J725" s="12">
        <f t="shared" si="160"/>
        <v>9.3000000000000007</v>
      </c>
      <c r="K725" s="11">
        <f t="shared" si="161"/>
        <v>87</v>
      </c>
      <c r="L725" s="12">
        <f t="shared" si="162"/>
        <v>9.3000000000000007</v>
      </c>
      <c r="M725" s="522" t="s">
        <v>51</v>
      </c>
      <c r="N725" s="2" t="s">
        <v>1800</v>
      </c>
      <c r="O725" s="2" t="s">
        <v>1826</v>
      </c>
      <c r="P725" s="2" t="s">
        <v>62</v>
      </c>
      <c r="Q725" s="2" t="s">
        <v>62</v>
      </c>
      <c r="R725" s="2" t="s">
        <v>61</v>
      </c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2" t="s">
        <v>51</v>
      </c>
      <c r="AW725" s="2" t="s">
        <v>1827</v>
      </c>
      <c r="AX725" s="2" t="s">
        <v>51</v>
      </c>
      <c r="AY725" s="2" t="s">
        <v>51</v>
      </c>
    </row>
    <row r="726" spans="1:51" ht="30" customHeight="1">
      <c r="A726" s="8" t="s">
        <v>1828</v>
      </c>
      <c r="B726" s="8" t="s">
        <v>418</v>
      </c>
      <c r="C726" s="8" t="s">
        <v>419</v>
      </c>
      <c r="D726" s="9">
        <v>2.18E-2</v>
      </c>
      <c r="E726" s="11">
        <f>단가대비표!O561</f>
        <v>0</v>
      </c>
      <c r="F726" s="12">
        <f t="shared" si="158"/>
        <v>0</v>
      </c>
      <c r="G726" s="11">
        <f>단가대비표!P561</f>
        <v>178010</v>
      </c>
      <c r="H726" s="12">
        <f t="shared" si="159"/>
        <v>3880.6</v>
      </c>
      <c r="I726" s="11">
        <f>단가대비표!V561</f>
        <v>0</v>
      </c>
      <c r="J726" s="12">
        <f t="shared" si="160"/>
        <v>0</v>
      </c>
      <c r="K726" s="11">
        <f t="shared" si="161"/>
        <v>178010</v>
      </c>
      <c r="L726" s="12">
        <f t="shared" si="162"/>
        <v>3880.6</v>
      </c>
      <c r="M726" s="522" t="s">
        <v>51</v>
      </c>
      <c r="N726" s="2" t="s">
        <v>1800</v>
      </c>
      <c r="O726" s="2" t="s">
        <v>1829</v>
      </c>
      <c r="P726" s="2" t="s">
        <v>62</v>
      </c>
      <c r="Q726" s="2" t="s">
        <v>62</v>
      </c>
      <c r="R726" s="2" t="s">
        <v>61</v>
      </c>
      <c r="S726" s="3"/>
      <c r="T726" s="3"/>
      <c r="U726" s="3"/>
      <c r="V726" s="3">
        <v>1</v>
      </c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2" t="s">
        <v>51</v>
      </c>
      <c r="AW726" s="2" t="s">
        <v>1830</v>
      </c>
      <c r="AX726" s="2" t="s">
        <v>51</v>
      </c>
      <c r="AY726" s="2" t="s">
        <v>51</v>
      </c>
    </row>
    <row r="727" spans="1:51" ht="30" customHeight="1">
      <c r="A727" s="8" t="s">
        <v>996</v>
      </c>
      <c r="B727" s="8" t="s">
        <v>947</v>
      </c>
      <c r="C727" s="8" t="s">
        <v>419</v>
      </c>
      <c r="D727" s="9">
        <v>5.5999999999999995E-4</v>
      </c>
      <c r="E727" s="11">
        <f>단가대비표!O556</f>
        <v>0</v>
      </c>
      <c r="F727" s="12">
        <f t="shared" si="158"/>
        <v>0</v>
      </c>
      <c r="G727" s="11">
        <f>단가대비표!P556</f>
        <v>130264</v>
      </c>
      <c r="H727" s="12">
        <f t="shared" si="159"/>
        <v>72.900000000000006</v>
      </c>
      <c r="I727" s="11">
        <f>단가대비표!V556</f>
        <v>0</v>
      </c>
      <c r="J727" s="12">
        <f t="shared" si="160"/>
        <v>0</v>
      </c>
      <c r="K727" s="11">
        <f t="shared" si="161"/>
        <v>130264</v>
      </c>
      <c r="L727" s="12">
        <f t="shared" si="162"/>
        <v>72.900000000000006</v>
      </c>
      <c r="M727" s="522" t="s">
        <v>51</v>
      </c>
      <c r="N727" s="2" t="s">
        <v>1800</v>
      </c>
      <c r="O727" s="2" t="s">
        <v>997</v>
      </c>
      <c r="P727" s="2" t="s">
        <v>62</v>
      </c>
      <c r="Q727" s="2" t="s">
        <v>62</v>
      </c>
      <c r="R727" s="2" t="s">
        <v>61</v>
      </c>
      <c r="S727" s="3"/>
      <c r="T727" s="3"/>
      <c r="U727" s="3"/>
      <c r="V727" s="3">
        <v>1</v>
      </c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2" t="s">
        <v>51</v>
      </c>
      <c r="AW727" s="2" t="s">
        <v>1831</v>
      </c>
      <c r="AX727" s="2" t="s">
        <v>51</v>
      </c>
      <c r="AY727" s="2" t="s">
        <v>51</v>
      </c>
    </row>
    <row r="728" spans="1:51" ht="30" customHeight="1">
      <c r="A728" s="8" t="s">
        <v>1006</v>
      </c>
      <c r="B728" s="8" t="s">
        <v>418</v>
      </c>
      <c r="C728" s="8" t="s">
        <v>419</v>
      </c>
      <c r="D728" s="9">
        <v>2.2100000000000002E-3</v>
      </c>
      <c r="E728" s="11">
        <f>단가대비표!O562</f>
        <v>0</v>
      </c>
      <c r="F728" s="12">
        <f t="shared" si="158"/>
        <v>0</v>
      </c>
      <c r="G728" s="11">
        <f>단가대비표!P562</f>
        <v>209394</v>
      </c>
      <c r="H728" s="12">
        <f t="shared" si="159"/>
        <v>462.7</v>
      </c>
      <c r="I728" s="11">
        <f>단가대비표!V562</f>
        <v>0</v>
      </c>
      <c r="J728" s="12">
        <f t="shared" si="160"/>
        <v>0</v>
      </c>
      <c r="K728" s="11">
        <f t="shared" si="161"/>
        <v>209394</v>
      </c>
      <c r="L728" s="12">
        <f t="shared" si="162"/>
        <v>462.7</v>
      </c>
      <c r="M728" s="522" t="s">
        <v>51</v>
      </c>
      <c r="N728" s="2" t="s">
        <v>1800</v>
      </c>
      <c r="O728" s="2" t="s">
        <v>1007</v>
      </c>
      <c r="P728" s="2" t="s">
        <v>62</v>
      </c>
      <c r="Q728" s="2" t="s">
        <v>62</v>
      </c>
      <c r="R728" s="2" t="s">
        <v>61</v>
      </c>
      <c r="S728" s="3"/>
      <c r="T728" s="3"/>
      <c r="U728" s="3"/>
      <c r="V728" s="3">
        <v>1</v>
      </c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2" t="s">
        <v>51</v>
      </c>
      <c r="AW728" s="2" t="s">
        <v>1832</v>
      </c>
      <c r="AX728" s="2" t="s">
        <v>51</v>
      </c>
      <c r="AY728" s="2" t="s">
        <v>51</v>
      </c>
    </row>
    <row r="729" spans="1:51" ht="30" customHeight="1">
      <c r="A729" s="8" t="s">
        <v>1130</v>
      </c>
      <c r="B729" s="8" t="s">
        <v>947</v>
      </c>
      <c r="C729" s="8" t="s">
        <v>419</v>
      </c>
      <c r="D729" s="9">
        <v>6.3000000000000003E-4</v>
      </c>
      <c r="E729" s="11">
        <f>단가대비표!O557</f>
        <v>0</v>
      </c>
      <c r="F729" s="12">
        <f t="shared" si="158"/>
        <v>0</v>
      </c>
      <c r="G729" s="11">
        <f>단가대비표!P557</f>
        <v>155599</v>
      </c>
      <c r="H729" s="12">
        <f t="shared" si="159"/>
        <v>98</v>
      </c>
      <c r="I729" s="11">
        <f>단가대비표!V557</f>
        <v>0</v>
      </c>
      <c r="J729" s="12">
        <f t="shared" si="160"/>
        <v>0</v>
      </c>
      <c r="K729" s="11">
        <f t="shared" si="161"/>
        <v>155599</v>
      </c>
      <c r="L729" s="12">
        <f t="shared" si="162"/>
        <v>98</v>
      </c>
      <c r="M729" s="522" t="s">
        <v>51</v>
      </c>
      <c r="N729" s="2" t="s">
        <v>1800</v>
      </c>
      <c r="O729" s="2" t="s">
        <v>1131</v>
      </c>
      <c r="P729" s="2" t="s">
        <v>62</v>
      </c>
      <c r="Q729" s="2" t="s">
        <v>62</v>
      </c>
      <c r="R729" s="2" t="s">
        <v>61</v>
      </c>
      <c r="S729" s="3"/>
      <c r="T729" s="3"/>
      <c r="U729" s="3"/>
      <c r="V729" s="3">
        <v>1</v>
      </c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2" t="s">
        <v>51</v>
      </c>
      <c r="AW729" s="2" t="s">
        <v>1833</v>
      </c>
      <c r="AX729" s="2" t="s">
        <v>51</v>
      </c>
      <c r="AY729" s="2" t="s">
        <v>51</v>
      </c>
    </row>
    <row r="730" spans="1:51" ht="30" customHeight="1">
      <c r="A730" s="8" t="s">
        <v>1134</v>
      </c>
      <c r="B730" s="8" t="s">
        <v>1587</v>
      </c>
      <c r="C730" s="8" t="s">
        <v>82</v>
      </c>
      <c r="D730" s="9">
        <v>1</v>
      </c>
      <c r="E730" s="11">
        <v>0</v>
      </c>
      <c r="F730" s="12">
        <f t="shared" si="158"/>
        <v>0</v>
      </c>
      <c r="G730" s="11">
        <v>0</v>
      </c>
      <c r="H730" s="12">
        <f t="shared" si="159"/>
        <v>0</v>
      </c>
      <c r="I730" s="11">
        <f>TRUNC(SUMIF(V721:V730, RIGHTB(O730, 1), H721:H730)*U730, 2)</f>
        <v>135.41999999999999</v>
      </c>
      <c r="J730" s="12">
        <f t="shared" si="160"/>
        <v>135.4</v>
      </c>
      <c r="K730" s="11">
        <f t="shared" si="161"/>
        <v>135.4</v>
      </c>
      <c r="L730" s="12">
        <f t="shared" si="162"/>
        <v>135.4</v>
      </c>
      <c r="M730" s="522" t="s">
        <v>51</v>
      </c>
      <c r="N730" s="2" t="s">
        <v>1800</v>
      </c>
      <c r="O730" s="2" t="s">
        <v>1036</v>
      </c>
      <c r="P730" s="2" t="s">
        <v>62</v>
      </c>
      <c r="Q730" s="2" t="s">
        <v>62</v>
      </c>
      <c r="R730" s="2" t="s">
        <v>62</v>
      </c>
      <c r="S730" s="3">
        <v>1</v>
      </c>
      <c r="T730" s="3">
        <v>2</v>
      </c>
      <c r="U730" s="3">
        <v>0.03</v>
      </c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2" t="s">
        <v>51</v>
      </c>
      <c r="AW730" s="2" t="s">
        <v>1834</v>
      </c>
      <c r="AX730" s="2" t="s">
        <v>51</v>
      </c>
      <c r="AY730" s="2" t="s">
        <v>51</v>
      </c>
    </row>
    <row r="731" spans="1:51" ht="30" customHeight="1">
      <c r="A731" s="8" t="s">
        <v>950</v>
      </c>
      <c r="B731" s="8" t="s">
        <v>51</v>
      </c>
      <c r="C731" s="8" t="s">
        <v>51</v>
      </c>
      <c r="D731" s="9"/>
      <c r="E731" s="11"/>
      <c r="F731" s="12">
        <f>TRUNC(SUMIF(N721:N730, N720, F721:F730),0)</f>
        <v>214</v>
      </c>
      <c r="G731" s="11"/>
      <c r="H731" s="12">
        <f>TRUNC(SUMIF(N721:N730, N720, H721:H730),0)</f>
        <v>4514</v>
      </c>
      <c r="I731" s="11"/>
      <c r="J731" s="12">
        <f>TRUNC(SUMIF(N721:N730, N720, J721:J730),0)</f>
        <v>144</v>
      </c>
      <c r="K731" s="11"/>
      <c r="L731" s="12">
        <f>F731+H731+J731</f>
        <v>4872</v>
      </c>
      <c r="M731" s="522" t="s">
        <v>51</v>
      </c>
      <c r="N731" s="2" t="s">
        <v>86</v>
      </c>
      <c r="O731" s="2" t="s">
        <v>86</v>
      </c>
      <c r="P731" s="2" t="s">
        <v>51</v>
      </c>
      <c r="Q731" s="2" t="s">
        <v>51</v>
      </c>
      <c r="R731" s="2" t="s">
        <v>51</v>
      </c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2" t="s">
        <v>51</v>
      </c>
      <c r="AW731" s="2" t="s">
        <v>51</v>
      </c>
      <c r="AX731" s="2" t="s">
        <v>51</v>
      </c>
      <c r="AY731" s="2" t="s">
        <v>51</v>
      </c>
    </row>
    <row r="732" spans="1:51" ht="30" customHeight="1">
      <c r="A732" s="9"/>
      <c r="B732" s="9"/>
      <c r="C732" s="9"/>
      <c r="D732" s="9"/>
      <c r="E732" s="11"/>
      <c r="F732" s="12"/>
      <c r="G732" s="11"/>
      <c r="H732" s="12"/>
      <c r="I732" s="11"/>
      <c r="J732" s="12"/>
      <c r="K732" s="11"/>
      <c r="L732" s="12"/>
      <c r="M732" s="523"/>
    </row>
    <row r="733" spans="1:51" ht="30" customHeight="1">
      <c r="A733" s="1403" t="s">
        <v>4550</v>
      </c>
      <c r="B733" s="1403"/>
      <c r="C733" s="1403"/>
      <c r="D733" s="1403"/>
      <c r="E733" s="1404"/>
      <c r="F733" s="1405"/>
      <c r="G733" s="1404"/>
      <c r="H733" s="1405"/>
      <c r="I733" s="1404"/>
      <c r="J733" s="1405"/>
      <c r="K733" s="1404"/>
      <c r="L733" s="1405"/>
      <c r="M733" s="1403"/>
      <c r="N733" s="1" t="s">
        <v>1803</v>
      </c>
    </row>
    <row r="734" spans="1:51" ht="30" customHeight="1">
      <c r="A734" s="8" t="s">
        <v>1811</v>
      </c>
      <c r="B734" s="8" t="s">
        <v>1812</v>
      </c>
      <c r="C734" s="8" t="s">
        <v>993</v>
      </c>
      <c r="D734" s="9">
        <v>2.7699999999999999E-3</v>
      </c>
      <c r="E734" s="11">
        <f>단가대비표!O46</f>
        <v>11270</v>
      </c>
      <c r="F734" s="12">
        <f t="shared" ref="F734:F743" si="163">TRUNC(E734*D734,1)</f>
        <v>31.2</v>
      </c>
      <c r="G734" s="11">
        <f>단가대비표!P46</f>
        <v>0</v>
      </c>
      <c r="H734" s="12">
        <f t="shared" ref="H734:H743" si="164">TRUNC(G734*D734,1)</f>
        <v>0</v>
      </c>
      <c r="I734" s="11">
        <f>단가대비표!V46</f>
        <v>0</v>
      </c>
      <c r="J734" s="12">
        <f t="shared" ref="J734:J743" si="165">TRUNC(I734*D734,1)</f>
        <v>0</v>
      </c>
      <c r="K734" s="11">
        <f t="shared" ref="K734:K743" si="166">TRUNC(E734+G734+I734,1)</f>
        <v>11270</v>
      </c>
      <c r="L734" s="12">
        <f t="shared" ref="L734:L743" si="167">TRUNC(F734+H734+J734,1)</f>
        <v>31.2</v>
      </c>
      <c r="M734" s="522" t="s">
        <v>51</v>
      </c>
      <c r="N734" s="2" t="s">
        <v>1803</v>
      </c>
      <c r="O734" s="2" t="s">
        <v>1813</v>
      </c>
      <c r="P734" s="2" t="s">
        <v>62</v>
      </c>
      <c r="Q734" s="2" t="s">
        <v>62</v>
      </c>
      <c r="R734" s="2" t="s">
        <v>61</v>
      </c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2" t="s">
        <v>51</v>
      </c>
      <c r="AW734" s="2" t="s">
        <v>1836</v>
      </c>
      <c r="AX734" s="2" t="s">
        <v>51</v>
      </c>
      <c r="AY734" s="2" t="s">
        <v>51</v>
      </c>
    </row>
    <row r="735" spans="1:51" ht="30" customHeight="1">
      <c r="A735" s="8" t="s">
        <v>1387</v>
      </c>
      <c r="B735" s="8" t="s">
        <v>1388</v>
      </c>
      <c r="C735" s="8" t="s">
        <v>1230</v>
      </c>
      <c r="D735" s="9">
        <v>0.94499999999999995</v>
      </c>
      <c r="E735" s="11">
        <f>단가대비표!O40</f>
        <v>2.2200000000000002</v>
      </c>
      <c r="F735" s="12">
        <f t="shared" si="163"/>
        <v>2</v>
      </c>
      <c r="G735" s="11">
        <f>단가대비표!P40</f>
        <v>0</v>
      </c>
      <c r="H735" s="12">
        <f t="shared" si="164"/>
        <v>0</v>
      </c>
      <c r="I735" s="11">
        <f>단가대비표!V40</f>
        <v>0</v>
      </c>
      <c r="J735" s="12">
        <f t="shared" si="165"/>
        <v>0</v>
      </c>
      <c r="K735" s="11">
        <f t="shared" si="166"/>
        <v>2.2000000000000002</v>
      </c>
      <c r="L735" s="12">
        <f t="shared" si="167"/>
        <v>2</v>
      </c>
      <c r="M735" s="522" t="s">
        <v>1389</v>
      </c>
      <c r="N735" s="2" t="s">
        <v>1803</v>
      </c>
      <c r="O735" s="2" t="s">
        <v>1390</v>
      </c>
      <c r="P735" s="2" t="s">
        <v>62</v>
      </c>
      <c r="Q735" s="2" t="s">
        <v>62</v>
      </c>
      <c r="R735" s="2" t="s">
        <v>61</v>
      </c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2" t="s">
        <v>51</v>
      </c>
      <c r="AW735" s="2" t="s">
        <v>1837</v>
      </c>
      <c r="AX735" s="2" t="s">
        <v>51</v>
      </c>
      <c r="AY735" s="2" t="s">
        <v>51</v>
      </c>
    </row>
    <row r="736" spans="1:51" ht="30" customHeight="1">
      <c r="A736" s="8" t="s">
        <v>1392</v>
      </c>
      <c r="B736" s="8" t="s">
        <v>1816</v>
      </c>
      <c r="C736" s="8" t="s">
        <v>993</v>
      </c>
      <c r="D736" s="9">
        <v>4.0000000000000002E-4</v>
      </c>
      <c r="E736" s="11">
        <f>단가대비표!O42</f>
        <v>10652</v>
      </c>
      <c r="F736" s="12">
        <f t="shared" si="163"/>
        <v>4.2</v>
      </c>
      <c r="G736" s="11">
        <f>단가대비표!P42</f>
        <v>0</v>
      </c>
      <c r="H736" s="12">
        <f t="shared" si="164"/>
        <v>0</v>
      </c>
      <c r="I736" s="11">
        <f>단가대비표!V42</f>
        <v>0</v>
      </c>
      <c r="J736" s="12">
        <f t="shared" si="165"/>
        <v>0</v>
      </c>
      <c r="K736" s="11">
        <f t="shared" si="166"/>
        <v>10652</v>
      </c>
      <c r="L736" s="12">
        <f t="shared" si="167"/>
        <v>4.2</v>
      </c>
      <c r="M736" s="522" t="s">
        <v>51</v>
      </c>
      <c r="N736" s="2" t="s">
        <v>1803</v>
      </c>
      <c r="O736" s="2" t="s">
        <v>1817</v>
      </c>
      <c r="P736" s="2" t="s">
        <v>62</v>
      </c>
      <c r="Q736" s="2" t="s">
        <v>62</v>
      </c>
      <c r="R736" s="2" t="s">
        <v>61</v>
      </c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2" t="s">
        <v>51</v>
      </c>
      <c r="AW736" s="2" t="s">
        <v>1838</v>
      </c>
      <c r="AX736" s="2" t="s">
        <v>51</v>
      </c>
      <c r="AY736" s="2" t="s">
        <v>51</v>
      </c>
    </row>
    <row r="737" spans="1:51" ht="30" customHeight="1">
      <c r="A737" s="8" t="s">
        <v>1819</v>
      </c>
      <c r="B737" s="8" t="s">
        <v>1820</v>
      </c>
      <c r="C737" s="8" t="s">
        <v>1821</v>
      </c>
      <c r="D737" s="9">
        <v>3.1199999999999999E-3</v>
      </c>
      <c r="E737" s="11">
        <f>일위대가목록!F116</f>
        <v>0</v>
      </c>
      <c r="F737" s="12">
        <f t="shared" si="163"/>
        <v>0</v>
      </c>
      <c r="G737" s="11">
        <f>일위대가목록!H116</f>
        <v>0</v>
      </c>
      <c r="H737" s="12">
        <f t="shared" si="164"/>
        <v>0</v>
      </c>
      <c r="I737" s="11">
        <f>일위대가목록!J116</f>
        <v>0</v>
      </c>
      <c r="J737" s="12">
        <f t="shared" si="165"/>
        <v>0</v>
      </c>
      <c r="K737" s="11">
        <f t="shared" si="166"/>
        <v>0</v>
      </c>
      <c r="L737" s="12">
        <f t="shared" si="167"/>
        <v>0</v>
      </c>
      <c r="M737" s="522" t="s">
        <v>51</v>
      </c>
      <c r="N737" s="2" t="s">
        <v>1803</v>
      </c>
      <c r="O737" s="2" t="s">
        <v>1822</v>
      </c>
      <c r="P737" s="2" t="s">
        <v>61</v>
      </c>
      <c r="Q737" s="2" t="s">
        <v>62</v>
      </c>
      <c r="R737" s="2" t="s">
        <v>62</v>
      </c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2" t="s">
        <v>51</v>
      </c>
      <c r="AW737" s="2" t="s">
        <v>1839</v>
      </c>
      <c r="AX737" s="2" t="s">
        <v>51</v>
      </c>
      <c r="AY737" s="2" t="s">
        <v>51</v>
      </c>
    </row>
    <row r="738" spans="1:51" ht="30" customHeight="1">
      <c r="A738" s="8" t="s">
        <v>987</v>
      </c>
      <c r="B738" s="8" t="s">
        <v>1824</v>
      </c>
      <c r="C738" s="8" t="s">
        <v>1825</v>
      </c>
      <c r="D738" s="9">
        <v>1.89E-2</v>
      </c>
      <c r="E738" s="11">
        <f>단가대비표!O554</f>
        <v>0</v>
      </c>
      <c r="F738" s="12">
        <f t="shared" si="163"/>
        <v>0</v>
      </c>
      <c r="G738" s="11">
        <f>단가대비표!P554</f>
        <v>0</v>
      </c>
      <c r="H738" s="12">
        <f t="shared" si="164"/>
        <v>0</v>
      </c>
      <c r="I738" s="11">
        <f>단가대비표!V554</f>
        <v>87</v>
      </c>
      <c r="J738" s="12">
        <f t="shared" si="165"/>
        <v>1.6</v>
      </c>
      <c r="K738" s="11">
        <f t="shared" si="166"/>
        <v>87</v>
      </c>
      <c r="L738" s="12">
        <f t="shared" si="167"/>
        <v>1.6</v>
      </c>
      <c r="M738" s="522" t="s">
        <v>51</v>
      </c>
      <c r="N738" s="2" t="s">
        <v>1803</v>
      </c>
      <c r="O738" s="2" t="s">
        <v>1826</v>
      </c>
      <c r="P738" s="2" t="s">
        <v>62</v>
      </c>
      <c r="Q738" s="2" t="s">
        <v>62</v>
      </c>
      <c r="R738" s="2" t="s">
        <v>61</v>
      </c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2" t="s">
        <v>51</v>
      </c>
      <c r="AW738" s="2" t="s">
        <v>1840</v>
      </c>
      <c r="AX738" s="2" t="s">
        <v>51</v>
      </c>
      <c r="AY738" s="2" t="s">
        <v>51</v>
      </c>
    </row>
    <row r="739" spans="1:51" ht="30" customHeight="1">
      <c r="A739" s="8" t="s">
        <v>1828</v>
      </c>
      <c r="B739" s="8" t="s">
        <v>418</v>
      </c>
      <c r="C739" s="8" t="s">
        <v>419</v>
      </c>
      <c r="D739" s="9">
        <v>5.8500000000000002E-3</v>
      </c>
      <c r="E739" s="11">
        <f>단가대비표!O561</f>
        <v>0</v>
      </c>
      <c r="F739" s="12">
        <f t="shared" si="163"/>
        <v>0</v>
      </c>
      <c r="G739" s="11">
        <f>단가대비표!P561</f>
        <v>178010</v>
      </c>
      <c r="H739" s="12">
        <f t="shared" si="164"/>
        <v>1041.3</v>
      </c>
      <c r="I739" s="11">
        <f>단가대비표!V561</f>
        <v>0</v>
      </c>
      <c r="J739" s="12">
        <f t="shared" si="165"/>
        <v>0</v>
      </c>
      <c r="K739" s="11">
        <f t="shared" si="166"/>
        <v>178010</v>
      </c>
      <c r="L739" s="12">
        <f t="shared" si="167"/>
        <v>1041.3</v>
      </c>
      <c r="M739" s="522" t="s">
        <v>51</v>
      </c>
      <c r="N739" s="2" t="s">
        <v>1803</v>
      </c>
      <c r="O739" s="2" t="s">
        <v>1829</v>
      </c>
      <c r="P739" s="2" t="s">
        <v>62</v>
      </c>
      <c r="Q739" s="2" t="s">
        <v>62</v>
      </c>
      <c r="R739" s="2" t="s">
        <v>61</v>
      </c>
      <c r="S739" s="3"/>
      <c r="T739" s="3"/>
      <c r="U739" s="3"/>
      <c r="V739" s="3">
        <v>1</v>
      </c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2" t="s">
        <v>51</v>
      </c>
      <c r="AW739" s="2" t="s">
        <v>1841</v>
      </c>
      <c r="AX739" s="2" t="s">
        <v>51</v>
      </c>
      <c r="AY739" s="2" t="s">
        <v>51</v>
      </c>
    </row>
    <row r="740" spans="1:51" ht="30" customHeight="1">
      <c r="A740" s="8" t="s">
        <v>996</v>
      </c>
      <c r="B740" s="8" t="s">
        <v>947</v>
      </c>
      <c r="C740" s="8" t="s">
        <v>419</v>
      </c>
      <c r="D740" s="9">
        <v>1E-4</v>
      </c>
      <c r="E740" s="11">
        <f>단가대비표!O556</f>
        <v>0</v>
      </c>
      <c r="F740" s="12">
        <f t="shared" si="163"/>
        <v>0</v>
      </c>
      <c r="G740" s="11">
        <f>단가대비표!P556</f>
        <v>130264</v>
      </c>
      <c r="H740" s="12">
        <f t="shared" si="164"/>
        <v>13</v>
      </c>
      <c r="I740" s="11">
        <f>단가대비표!V556</f>
        <v>0</v>
      </c>
      <c r="J740" s="12">
        <f t="shared" si="165"/>
        <v>0</v>
      </c>
      <c r="K740" s="11">
        <f t="shared" si="166"/>
        <v>130264</v>
      </c>
      <c r="L740" s="12">
        <f t="shared" si="167"/>
        <v>13</v>
      </c>
      <c r="M740" s="522" t="s">
        <v>51</v>
      </c>
      <c r="N740" s="2" t="s">
        <v>1803</v>
      </c>
      <c r="O740" s="2" t="s">
        <v>997</v>
      </c>
      <c r="P740" s="2" t="s">
        <v>62</v>
      </c>
      <c r="Q740" s="2" t="s">
        <v>62</v>
      </c>
      <c r="R740" s="2" t="s">
        <v>61</v>
      </c>
      <c r="S740" s="3"/>
      <c r="T740" s="3"/>
      <c r="U740" s="3"/>
      <c r="V740" s="3">
        <v>1</v>
      </c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" t="s">
        <v>51</v>
      </c>
      <c r="AW740" s="2" t="s">
        <v>1842</v>
      </c>
      <c r="AX740" s="2" t="s">
        <v>51</v>
      </c>
      <c r="AY740" s="2" t="s">
        <v>51</v>
      </c>
    </row>
    <row r="741" spans="1:51" ht="30" customHeight="1">
      <c r="A741" s="8" t="s">
        <v>1006</v>
      </c>
      <c r="B741" s="8" t="s">
        <v>418</v>
      </c>
      <c r="C741" s="8" t="s">
        <v>419</v>
      </c>
      <c r="D741" s="9">
        <v>3.8999999999999999E-4</v>
      </c>
      <c r="E741" s="11">
        <f>단가대비표!O562</f>
        <v>0</v>
      </c>
      <c r="F741" s="12">
        <f t="shared" si="163"/>
        <v>0</v>
      </c>
      <c r="G741" s="11">
        <f>단가대비표!P562</f>
        <v>209394</v>
      </c>
      <c r="H741" s="12">
        <f t="shared" si="164"/>
        <v>81.599999999999994</v>
      </c>
      <c r="I741" s="11">
        <f>단가대비표!V562</f>
        <v>0</v>
      </c>
      <c r="J741" s="12">
        <f t="shared" si="165"/>
        <v>0</v>
      </c>
      <c r="K741" s="11">
        <f t="shared" si="166"/>
        <v>209394</v>
      </c>
      <c r="L741" s="12">
        <f t="shared" si="167"/>
        <v>81.599999999999994</v>
      </c>
      <c r="M741" s="522" t="s">
        <v>51</v>
      </c>
      <c r="N741" s="2" t="s">
        <v>1803</v>
      </c>
      <c r="O741" s="2" t="s">
        <v>1007</v>
      </c>
      <c r="P741" s="2" t="s">
        <v>62</v>
      </c>
      <c r="Q741" s="2" t="s">
        <v>62</v>
      </c>
      <c r="R741" s="2" t="s">
        <v>61</v>
      </c>
      <c r="S741" s="3"/>
      <c r="T741" s="3"/>
      <c r="U741" s="3"/>
      <c r="V741" s="3">
        <v>1</v>
      </c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" t="s">
        <v>51</v>
      </c>
      <c r="AW741" s="2" t="s">
        <v>1843</v>
      </c>
      <c r="AX741" s="2" t="s">
        <v>51</v>
      </c>
      <c r="AY741" s="2" t="s">
        <v>51</v>
      </c>
    </row>
    <row r="742" spans="1:51" ht="30" customHeight="1">
      <c r="A742" s="8" t="s">
        <v>1130</v>
      </c>
      <c r="B742" s="8" t="s">
        <v>947</v>
      </c>
      <c r="C742" s="8" t="s">
        <v>419</v>
      </c>
      <c r="D742" s="9">
        <v>1.1E-4</v>
      </c>
      <c r="E742" s="11">
        <f>단가대비표!O557</f>
        <v>0</v>
      </c>
      <c r="F742" s="12">
        <f t="shared" si="163"/>
        <v>0</v>
      </c>
      <c r="G742" s="11">
        <f>단가대비표!P557</f>
        <v>155599</v>
      </c>
      <c r="H742" s="12">
        <f t="shared" si="164"/>
        <v>17.100000000000001</v>
      </c>
      <c r="I742" s="11">
        <f>단가대비표!V557</f>
        <v>0</v>
      </c>
      <c r="J742" s="12">
        <f t="shared" si="165"/>
        <v>0</v>
      </c>
      <c r="K742" s="11">
        <f t="shared" si="166"/>
        <v>155599</v>
      </c>
      <c r="L742" s="12">
        <f t="shared" si="167"/>
        <v>17.100000000000001</v>
      </c>
      <c r="M742" s="522" t="s">
        <v>51</v>
      </c>
      <c r="N742" s="2" t="s">
        <v>1803</v>
      </c>
      <c r="O742" s="2" t="s">
        <v>1131</v>
      </c>
      <c r="P742" s="2" t="s">
        <v>62</v>
      </c>
      <c r="Q742" s="2" t="s">
        <v>62</v>
      </c>
      <c r="R742" s="2" t="s">
        <v>61</v>
      </c>
      <c r="S742" s="3"/>
      <c r="T742" s="3"/>
      <c r="U742" s="3"/>
      <c r="V742" s="3">
        <v>1</v>
      </c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2" t="s">
        <v>51</v>
      </c>
      <c r="AW742" s="2" t="s">
        <v>1844</v>
      </c>
      <c r="AX742" s="2" t="s">
        <v>51</v>
      </c>
      <c r="AY742" s="2" t="s">
        <v>51</v>
      </c>
    </row>
    <row r="743" spans="1:51" ht="30" customHeight="1">
      <c r="A743" s="8" t="s">
        <v>1134</v>
      </c>
      <c r="B743" s="8" t="s">
        <v>1587</v>
      </c>
      <c r="C743" s="8" t="s">
        <v>82</v>
      </c>
      <c r="D743" s="9">
        <v>1</v>
      </c>
      <c r="E743" s="11">
        <v>0</v>
      </c>
      <c r="F743" s="12">
        <f t="shared" si="163"/>
        <v>0</v>
      </c>
      <c r="G743" s="11">
        <v>0</v>
      </c>
      <c r="H743" s="12">
        <f t="shared" si="164"/>
        <v>0</v>
      </c>
      <c r="I743" s="11">
        <f>TRUNC(SUMIF(V734:V743, RIGHTB(O743, 1), H734:H743)*U743, 2)</f>
        <v>34.590000000000003</v>
      </c>
      <c r="J743" s="12">
        <f t="shared" si="165"/>
        <v>34.5</v>
      </c>
      <c r="K743" s="11">
        <f t="shared" si="166"/>
        <v>34.5</v>
      </c>
      <c r="L743" s="12">
        <f t="shared" si="167"/>
        <v>34.5</v>
      </c>
      <c r="M743" s="522" t="s">
        <v>51</v>
      </c>
      <c r="N743" s="2" t="s">
        <v>1803</v>
      </c>
      <c r="O743" s="2" t="s">
        <v>1036</v>
      </c>
      <c r="P743" s="2" t="s">
        <v>62</v>
      </c>
      <c r="Q743" s="2" t="s">
        <v>62</v>
      </c>
      <c r="R743" s="2" t="s">
        <v>62</v>
      </c>
      <c r="S743" s="3">
        <v>1</v>
      </c>
      <c r="T743" s="3">
        <v>2</v>
      </c>
      <c r="U743" s="3">
        <v>0.03</v>
      </c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2" t="s">
        <v>51</v>
      </c>
      <c r="AW743" s="2" t="s">
        <v>1845</v>
      </c>
      <c r="AX743" s="2" t="s">
        <v>51</v>
      </c>
      <c r="AY743" s="2" t="s">
        <v>51</v>
      </c>
    </row>
    <row r="744" spans="1:51" ht="30" customHeight="1">
      <c r="A744" s="8" t="s">
        <v>950</v>
      </c>
      <c r="B744" s="8" t="s">
        <v>51</v>
      </c>
      <c r="C744" s="8" t="s">
        <v>51</v>
      </c>
      <c r="D744" s="9"/>
      <c r="E744" s="11"/>
      <c r="F744" s="12">
        <f>TRUNC(SUMIF(N734:N743, N733, F734:F743),0)</f>
        <v>37</v>
      </c>
      <c r="G744" s="11"/>
      <c r="H744" s="12">
        <f>TRUNC(SUMIF(N734:N743, N733, H734:H743),0)</f>
        <v>1153</v>
      </c>
      <c r="I744" s="11"/>
      <c r="J744" s="12">
        <f>TRUNC(SUMIF(N734:N743, N733, J734:J743),0)</f>
        <v>36</v>
      </c>
      <c r="K744" s="11"/>
      <c r="L744" s="12">
        <f>F744+H744+J744</f>
        <v>1226</v>
      </c>
      <c r="M744" s="522" t="s">
        <v>51</v>
      </c>
      <c r="N744" s="2" t="s">
        <v>86</v>
      </c>
      <c r="O744" s="2" t="s">
        <v>86</v>
      </c>
      <c r="P744" s="2" t="s">
        <v>51</v>
      </c>
      <c r="Q744" s="2" t="s">
        <v>51</v>
      </c>
      <c r="R744" s="2" t="s">
        <v>51</v>
      </c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2" t="s">
        <v>51</v>
      </c>
      <c r="AW744" s="2" t="s">
        <v>51</v>
      </c>
      <c r="AX744" s="2" t="s">
        <v>51</v>
      </c>
      <c r="AY744" s="2" t="s">
        <v>51</v>
      </c>
    </row>
    <row r="745" spans="1:51" ht="30" customHeight="1">
      <c r="A745" s="9"/>
      <c r="B745" s="9"/>
      <c r="C745" s="9"/>
      <c r="D745" s="9"/>
      <c r="E745" s="11"/>
      <c r="F745" s="12"/>
      <c r="G745" s="11"/>
      <c r="H745" s="12"/>
      <c r="I745" s="11"/>
      <c r="J745" s="12"/>
      <c r="K745" s="11"/>
      <c r="L745" s="12"/>
      <c r="M745" s="523"/>
    </row>
    <row r="746" spans="1:51" ht="30" customHeight="1">
      <c r="A746" s="1403" t="s">
        <v>4551</v>
      </c>
      <c r="B746" s="1403"/>
      <c r="C746" s="1403"/>
      <c r="D746" s="1403"/>
      <c r="E746" s="1404"/>
      <c r="F746" s="1405"/>
      <c r="G746" s="1404"/>
      <c r="H746" s="1405"/>
      <c r="I746" s="1404"/>
      <c r="J746" s="1405"/>
      <c r="K746" s="1404"/>
      <c r="L746" s="1405"/>
      <c r="M746" s="1403"/>
      <c r="N746" s="1" t="s">
        <v>1806</v>
      </c>
    </row>
    <row r="747" spans="1:51" ht="30" customHeight="1">
      <c r="A747" s="8" t="s">
        <v>1126</v>
      </c>
      <c r="B747" s="8" t="s">
        <v>1847</v>
      </c>
      <c r="C747" s="8" t="s">
        <v>993</v>
      </c>
      <c r="D747" s="9">
        <v>1.5709999999999998E-2</v>
      </c>
      <c r="E747" s="11">
        <f>단가대비표!$O$45</f>
        <v>2290</v>
      </c>
      <c r="F747" s="12">
        <f t="shared" ref="F747:F756" si="168">TRUNC(E747*D747,1)</f>
        <v>35.9</v>
      </c>
      <c r="G747" s="11">
        <f>단가대비표!$P$45</f>
        <v>0</v>
      </c>
      <c r="H747" s="12">
        <f t="shared" ref="H747:H756" si="169">TRUNC(G747*D747,1)</f>
        <v>0</v>
      </c>
      <c r="I747" s="11">
        <f>단가대비표!$V$45</f>
        <v>0</v>
      </c>
      <c r="J747" s="12">
        <f t="shared" ref="J747:J756" si="170">TRUNC(I747*D747,1)</f>
        <v>0</v>
      </c>
      <c r="K747" s="11">
        <f t="shared" ref="K747:K756" si="171">TRUNC(E747+G747+I747,1)</f>
        <v>2290</v>
      </c>
      <c r="L747" s="12">
        <f t="shared" ref="L747:L756" si="172">TRUNC(F747+H747+J747,1)</f>
        <v>35.9</v>
      </c>
      <c r="M747" s="522" t="s">
        <v>51</v>
      </c>
      <c r="N747" s="2" t="s">
        <v>1806</v>
      </c>
      <c r="O747" s="2" t="s">
        <v>1848</v>
      </c>
      <c r="P747" s="2" t="s">
        <v>62</v>
      </c>
      <c r="Q747" s="2" t="s">
        <v>62</v>
      </c>
      <c r="R747" s="2" t="s">
        <v>61</v>
      </c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2" t="s">
        <v>51</v>
      </c>
      <c r="AW747" s="2" t="s">
        <v>1849</v>
      </c>
      <c r="AX747" s="2" t="s">
        <v>51</v>
      </c>
      <c r="AY747" s="2" t="s">
        <v>51</v>
      </c>
    </row>
    <row r="748" spans="1:51" ht="30" customHeight="1">
      <c r="A748" s="8" t="s">
        <v>1387</v>
      </c>
      <c r="B748" s="8" t="s">
        <v>1388</v>
      </c>
      <c r="C748" s="8" t="s">
        <v>1230</v>
      </c>
      <c r="D748" s="9">
        <v>5.3550000000000004</v>
      </c>
      <c r="E748" s="11">
        <f>단가대비표!$O$40</f>
        <v>2.2200000000000002</v>
      </c>
      <c r="F748" s="12">
        <f t="shared" si="168"/>
        <v>11.8</v>
      </c>
      <c r="G748" s="11">
        <f>단가대비표!$P$40</f>
        <v>0</v>
      </c>
      <c r="H748" s="12">
        <f t="shared" si="169"/>
        <v>0</v>
      </c>
      <c r="I748" s="11">
        <f>단가대비표!$V$40</f>
        <v>0</v>
      </c>
      <c r="J748" s="12">
        <f t="shared" si="170"/>
        <v>0</v>
      </c>
      <c r="K748" s="11">
        <f t="shared" si="171"/>
        <v>2.2000000000000002</v>
      </c>
      <c r="L748" s="12">
        <f t="shared" si="172"/>
        <v>11.8</v>
      </c>
      <c r="M748" s="522" t="s">
        <v>1389</v>
      </c>
      <c r="N748" s="2" t="s">
        <v>1806</v>
      </c>
      <c r="O748" s="2" t="s">
        <v>1390</v>
      </c>
      <c r="P748" s="2" t="s">
        <v>62</v>
      </c>
      <c r="Q748" s="2" t="s">
        <v>62</v>
      </c>
      <c r="R748" s="2" t="s">
        <v>61</v>
      </c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2" t="s">
        <v>51</v>
      </c>
      <c r="AW748" s="2" t="s">
        <v>1850</v>
      </c>
      <c r="AX748" s="2" t="s">
        <v>51</v>
      </c>
      <c r="AY748" s="2" t="s">
        <v>51</v>
      </c>
    </row>
    <row r="749" spans="1:51" ht="30" customHeight="1">
      <c r="A749" s="8" t="s">
        <v>1392</v>
      </c>
      <c r="B749" s="8" t="s">
        <v>1816</v>
      </c>
      <c r="C749" s="8" t="s">
        <v>993</v>
      </c>
      <c r="D749" s="9">
        <v>2.3999999999999998E-3</v>
      </c>
      <c r="E749" s="11">
        <f>단가대비표!$O$42</f>
        <v>10652</v>
      </c>
      <c r="F749" s="12">
        <f t="shared" si="168"/>
        <v>25.5</v>
      </c>
      <c r="G749" s="11">
        <f>단가대비표!$P$42</f>
        <v>0</v>
      </c>
      <c r="H749" s="12">
        <f t="shared" si="169"/>
        <v>0</v>
      </c>
      <c r="I749" s="11">
        <f>단가대비표!$V$42</f>
        <v>0</v>
      </c>
      <c r="J749" s="12">
        <f t="shared" si="170"/>
        <v>0</v>
      </c>
      <c r="K749" s="11">
        <f t="shared" si="171"/>
        <v>10652</v>
      </c>
      <c r="L749" s="12">
        <f t="shared" si="172"/>
        <v>25.5</v>
      </c>
      <c r="M749" s="522" t="s">
        <v>51</v>
      </c>
      <c r="N749" s="2" t="s">
        <v>1806</v>
      </c>
      <c r="O749" s="2" t="s">
        <v>1817</v>
      </c>
      <c r="P749" s="2" t="s">
        <v>62</v>
      </c>
      <c r="Q749" s="2" t="s">
        <v>62</v>
      </c>
      <c r="R749" s="2" t="s">
        <v>61</v>
      </c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" t="s">
        <v>51</v>
      </c>
      <c r="AW749" s="2" t="s">
        <v>1851</v>
      </c>
      <c r="AX749" s="2" t="s">
        <v>51</v>
      </c>
      <c r="AY749" s="2" t="s">
        <v>51</v>
      </c>
    </row>
    <row r="750" spans="1:51" ht="30" customHeight="1">
      <c r="A750" s="8" t="s">
        <v>1819</v>
      </c>
      <c r="B750" s="8" t="s">
        <v>1820</v>
      </c>
      <c r="C750" s="8" t="s">
        <v>1821</v>
      </c>
      <c r="D750" s="9">
        <v>1.771E-2</v>
      </c>
      <c r="E750" s="11">
        <f>일위대가목록!$F$116</f>
        <v>0</v>
      </c>
      <c r="F750" s="12">
        <f t="shared" si="168"/>
        <v>0</v>
      </c>
      <c r="G750" s="11">
        <f>일위대가목록!$H$116</f>
        <v>0</v>
      </c>
      <c r="H750" s="12">
        <f t="shared" si="169"/>
        <v>0</v>
      </c>
      <c r="I750" s="11">
        <f>일위대가목록!$J$116</f>
        <v>0</v>
      </c>
      <c r="J750" s="12">
        <f t="shared" si="170"/>
        <v>0</v>
      </c>
      <c r="K750" s="11">
        <f t="shared" si="171"/>
        <v>0</v>
      </c>
      <c r="L750" s="12">
        <f t="shared" si="172"/>
        <v>0</v>
      </c>
      <c r="M750" s="522" t="s">
        <v>51</v>
      </c>
      <c r="N750" s="2" t="s">
        <v>1806</v>
      </c>
      <c r="O750" s="2" t="s">
        <v>1822</v>
      </c>
      <c r="P750" s="2" t="s">
        <v>61</v>
      </c>
      <c r="Q750" s="2" t="s">
        <v>62</v>
      </c>
      <c r="R750" s="2" t="s">
        <v>62</v>
      </c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" t="s">
        <v>51</v>
      </c>
      <c r="AW750" s="2" t="s">
        <v>1852</v>
      </c>
      <c r="AX750" s="2" t="s">
        <v>51</v>
      </c>
      <c r="AY750" s="2" t="s">
        <v>51</v>
      </c>
    </row>
    <row r="751" spans="1:51" ht="30" customHeight="1">
      <c r="A751" s="8" t="s">
        <v>987</v>
      </c>
      <c r="B751" s="8" t="s">
        <v>1824</v>
      </c>
      <c r="C751" s="8" t="s">
        <v>1825</v>
      </c>
      <c r="D751" s="9">
        <v>0.1071</v>
      </c>
      <c r="E751" s="11">
        <f>단가대비표!$O$554</f>
        <v>0</v>
      </c>
      <c r="F751" s="12">
        <f t="shared" si="168"/>
        <v>0</v>
      </c>
      <c r="G751" s="11">
        <f>단가대비표!$P$554</f>
        <v>0</v>
      </c>
      <c r="H751" s="12">
        <f t="shared" si="169"/>
        <v>0</v>
      </c>
      <c r="I751" s="11">
        <f>단가대비표!$V$554</f>
        <v>87</v>
      </c>
      <c r="J751" s="12">
        <f t="shared" si="170"/>
        <v>9.3000000000000007</v>
      </c>
      <c r="K751" s="11">
        <f t="shared" si="171"/>
        <v>87</v>
      </c>
      <c r="L751" s="12">
        <f t="shared" si="172"/>
        <v>9.3000000000000007</v>
      </c>
      <c r="M751" s="522" t="s">
        <v>51</v>
      </c>
      <c r="N751" s="2" t="s">
        <v>1806</v>
      </c>
      <c r="O751" s="2" t="s">
        <v>1826</v>
      </c>
      <c r="P751" s="2" t="s">
        <v>62</v>
      </c>
      <c r="Q751" s="2" t="s">
        <v>62</v>
      </c>
      <c r="R751" s="2" t="s">
        <v>61</v>
      </c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2" t="s">
        <v>51</v>
      </c>
      <c r="AW751" s="2" t="s">
        <v>1853</v>
      </c>
      <c r="AX751" s="2" t="s">
        <v>51</v>
      </c>
      <c r="AY751" s="2" t="s">
        <v>51</v>
      </c>
    </row>
    <row r="752" spans="1:51" ht="30" customHeight="1">
      <c r="A752" s="8" t="s">
        <v>1828</v>
      </c>
      <c r="B752" s="8" t="s">
        <v>418</v>
      </c>
      <c r="C752" s="8" t="s">
        <v>419</v>
      </c>
      <c r="D752" s="9">
        <v>2.18E-2</v>
      </c>
      <c r="E752" s="11">
        <f>단가대비표!$O$561</f>
        <v>0</v>
      </c>
      <c r="F752" s="12">
        <f t="shared" si="168"/>
        <v>0</v>
      </c>
      <c r="G752" s="11">
        <f>단가대비표!$P$561</f>
        <v>178010</v>
      </c>
      <c r="H752" s="12">
        <f t="shared" si="169"/>
        <v>3880.6</v>
      </c>
      <c r="I752" s="11">
        <f>단가대비표!$V$561</f>
        <v>0</v>
      </c>
      <c r="J752" s="12">
        <f t="shared" si="170"/>
        <v>0</v>
      </c>
      <c r="K752" s="11">
        <f t="shared" si="171"/>
        <v>178010</v>
      </c>
      <c r="L752" s="12">
        <f t="shared" si="172"/>
        <v>3880.6</v>
      </c>
      <c r="M752" s="522" t="s">
        <v>51</v>
      </c>
      <c r="N752" s="2" t="s">
        <v>1806</v>
      </c>
      <c r="O752" s="2" t="s">
        <v>1829</v>
      </c>
      <c r="P752" s="2" t="s">
        <v>62</v>
      </c>
      <c r="Q752" s="2" t="s">
        <v>62</v>
      </c>
      <c r="R752" s="2" t="s">
        <v>61</v>
      </c>
      <c r="S752" s="3"/>
      <c r="T752" s="3"/>
      <c r="U752" s="3"/>
      <c r="V752" s="3">
        <v>1</v>
      </c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2" t="s">
        <v>51</v>
      </c>
      <c r="AW752" s="2" t="s">
        <v>1854</v>
      </c>
      <c r="AX752" s="2" t="s">
        <v>51</v>
      </c>
      <c r="AY752" s="2" t="s">
        <v>51</v>
      </c>
    </row>
    <row r="753" spans="1:51" ht="30" customHeight="1">
      <c r="A753" s="8" t="s">
        <v>996</v>
      </c>
      <c r="B753" s="8" t="s">
        <v>947</v>
      </c>
      <c r="C753" s="8" t="s">
        <v>419</v>
      </c>
      <c r="D753" s="9">
        <v>5.5999999999999995E-4</v>
      </c>
      <c r="E753" s="11">
        <f>단가대비표!$O$556</f>
        <v>0</v>
      </c>
      <c r="F753" s="12">
        <f t="shared" si="168"/>
        <v>0</v>
      </c>
      <c r="G753" s="11">
        <f>단가대비표!$P$556</f>
        <v>130264</v>
      </c>
      <c r="H753" s="12">
        <f t="shared" si="169"/>
        <v>72.900000000000006</v>
      </c>
      <c r="I753" s="11">
        <f>단가대비표!$V$556</f>
        <v>0</v>
      </c>
      <c r="J753" s="12">
        <f t="shared" si="170"/>
        <v>0</v>
      </c>
      <c r="K753" s="11">
        <f t="shared" si="171"/>
        <v>130264</v>
      </c>
      <c r="L753" s="12">
        <f t="shared" si="172"/>
        <v>72.900000000000006</v>
      </c>
      <c r="M753" s="522" t="s">
        <v>51</v>
      </c>
      <c r="N753" s="2" t="s">
        <v>1806</v>
      </c>
      <c r="O753" s="2" t="s">
        <v>997</v>
      </c>
      <c r="P753" s="2" t="s">
        <v>62</v>
      </c>
      <c r="Q753" s="2" t="s">
        <v>62</v>
      </c>
      <c r="R753" s="2" t="s">
        <v>61</v>
      </c>
      <c r="S753" s="3"/>
      <c r="T753" s="3"/>
      <c r="U753" s="3"/>
      <c r="V753" s="3">
        <v>1</v>
      </c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2" t="s">
        <v>51</v>
      </c>
      <c r="AW753" s="2" t="s">
        <v>1855</v>
      </c>
      <c r="AX753" s="2" t="s">
        <v>51</v>
      </c>
      <c r="AY753" s="2" t="s">
        <v>51</v>
      </c>
    </row>
    <row r="754" spans="1:51" ht="30" customHeight="1">
      <c r="A754" s="8" t="s">
        <v>1006</v>
      </c>
      <c r="B754" s="8" t="s">
        <v>418</v>
      </c>
      <c r="C754" s="8" t="s">
        <v>419</v>
      </c>
      <c r="D754" s="9">
        <v>2.2100000000000002E-3</v>
      </c>
      <c r="E754" s="11">
        <f>단가대비표!$O$562</f>
        <v>0</v>
      </c>
      <c r="F754" s="12">
        <f t="shared" si="168"/>
        <v>0</v>
      </c>
      <c r="G754" s="11">
        <f>단가대비표!$P$562</f>
        <v>209394</v>
      </c>
      <c r="H754" s="12">
        <f t="shared" si="169"/>
        <v>462.7</v>
      </c>
      <c r="I754" s="11">
        <f>단가대비표!$V$562</f>
        <v>0</v>
      </c>
      <c r="J754" s="12">
        <f t="shared" si="170"/>
        <v>0</v>
      </c>
      <c r="K754" s="11">
        <f t="shared" si="171"/>
        <v>209394</v>
      </c>
      <c r="L754" s="12">
        <f t="shared" si="172"/>
        <v>462.7</v>
      </c>
      <c r="M754" s="522" t="s">
        <v>51</v>
      </c>
      <c r="N754" s="2" t="s">
        <v>1806</v>
      </c>
      <c r="O754" s="2" t="s">
        <v>1007</v>
      </c>
      <c r="P754" s="2" t="s">
        <v>62</v>
      </c>
      <c r="Q754" s="2" t="s">
        <v>62</v>
      </c>
      <c r="R754" s="2" t="s">
        <v>61</v>
      </c>
      <c r="S754" s="3"/>
      <c r="T754" s="3"/>
      <c r="U754" s="3"/>
      <c r="V754" s="3">
        <v>1</v>
      </c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2" t="s">
        <v>51</v>
      </c>
      <c r="AW754" s="2" t="s">
        <v>1856</v>
      </c>
      <c r="AX754" s="2" t="s">
        <v>51</v>
      </c>
      <c r="AY754" s="2" t="s">
        <v>51</v>
      </c>
    </row>
    <row r="755" spans="1:51" ht="30" customHeight="1">
      <c r="A755" s="8" t="s">
        <v>1130</v>
      </c>
      <c r="B755" s="8" t="s">
        <v>947</v>
      </c>
      <c r="C755" s="8" t="s">
        <v>419</v>
      </c>
      <c r="D755" s="9">
        <v>6.3000000000000003E-4</v>
      </c>
      <c r="E755" s="11">
        <f>단가대비표!$O$557</f>
        <v>0</v>
      </c>
      <c r="F755" s="12">
        <f t="shared" si="168"/>
        <v>0</v>
      </c>
      <c r="G755" s="11">
        <f>단가대비표!$P$557</f>
        <v>155599</v>
      </c>
      <c r="H755" s="12">
        <f t="shared" si="169"/>
        <v>98</v>
      </c>
      <c r="I755" s="11">
        <f>단가대비표!$V$557</f>
        <v>0</v>
      </c>
      <c r="J755" s="12">
        <f t="shared" si="170"/>
        <v>0</v>
      </c>
      <c r="K755" s="11">
        <f t="shared" si="171"/>
        <v>155599</v>
      </c>
      <c r="L755" s="12">
        <f t="shared" si="172"/>
        <v>98</v>
      </c>
      <c r="M755" s="522" t="s">
        <v>51</v>
      </c>
      <c r="N755" s="2" t="s">
        <v>1806</v>
      </c>
      <c r="O755" s="2" t="s">
        <v>1131</v>
      </c>
      <c r="P755" s="2" t="s">
        <v>62</v>
      </c>
      <c r="Q755" s="2" t="s">
        <v>62</v>
      </c>
      <c r="R755" s="2" t="s">
        <v>61</v>
      </c>
      <c r="S755" s="3"/>
      <c r="T755" s="3"/>
      <c r="U755" s="3"/>
      <c r="V755" s="3">
        <v>1</v>
      </c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2" t="s">
        <v>51</v>
      </c>
      <c r="AW755" s="2" t="s">
        <v>1857</v>
      </c>
      <c r="AX755" s="2" t="s">
        <v>51</v>
      </c>
      <c r="AY755" s="2" t="s">
        <v>51</v>
      </c>
    </row>
    <row r="756" spans="1:51" ht="30" customHeight="1">
      <c r="A756" s="8" t="s">
        <v>1134</v>
      </c>
      <c r="B756" s="8" t="s">
        <v>1587</v>
      </c>
      <c r="C756" s="8" t="s">
        <v>82</v>
      </c>
      <c r="D756" s="9">
        <v>1</v>
      </c>
      <c r="E756" s="11">
        <v>0</v>
      </c>
      <c r="F756" s="12">
        <f t="shared" si="168"/>
        <v>0</v>
      </c>
      <c r="G756" s="11">
        <v>0</v>
      </c>
      <c r="H756" s="12">
        <f t="shared" si="169"/>
        <v>0</v>
      </c>
      <c r="I756" s="11">
        <f>TRUNC(SUMIF(V747:V756, RIGHTB(O756, 1), H747:H756)*U756, 2)</f>
        <v>135.41999999999999</v>
      </c>
      <c r="J756" s="12">
        <f t="shared" si="170"/>
        <v>135.4</v>
      </c>
      <c r="K756" s="11">
        <f t="shared" si="171"/>
        <v>135.4</v>
      </c>
      <c r="L756" s="12">
        <f t="shared" si="172"/>
        <v>135.4</v>
      </c>
      <c r="M756" s="522" t="s">
        <v>51</v>
      </c>
      <c r="N756" s="2" t="s">
        <v>1806</v>
      </c>
      <c r="O756" s="2" t="s">
        <v>1036</v>
      </c>
      <c r="P756" s="2" t="s">
        <v>62</v>
      </c>
      <c r="Q756" s="2" t="s">
        <v>62</v>
      </c>
      <c r="R756" s="2" t="s">
        <v>62</v>
      </c>
      <c r="S756" s="3">
        <v>1</v>
      </c>
      <c r="T756" s="3">
        <v>2</v>
      </c>
      <c r="U756" s="3">
        <v>0.03</v>
      </c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2" t="s">
        <v>51</v>
      </c>
      <c r="AW756" s="2" t="s">
        <v>1858</v>
      </c>
      <c r="AX756" s="2" t="s">
        <v>51</v>
      </c>
      <c r="AY756" s="2" t="s">
        <v>51</v>
      </c>
    </row>
    <row r="757" spans="1:51" ht="30" customHeight="1">
      <c r="A757" s="8" t="s">
        <v>950</v>
      </c>
      <c r="B757" s="8" t="s">
        <v>51</v>
      </c>
      <c r="C757" s="8" t="s">
        <v>51</v>
      </c>
      <c r="D757" s="9"/>
      <c r="E757" s="11"/>
      <c r="F757" s="12">
        <f>TRUNC(SUMIF(N747:N756, N746, F747:F756),0)</f>
        <v>73</v>
      </c>
      <c r="G757" s="11"/>
      <c r="H757" s="12">
        <f>TRUNC(SUMIF(N747:N756, N746, H747:H756),0)</f>
        <v>4514</v>
      </c>
      <c r="I757" s="11"/>
      <c r="J757" s="12">
        <f>TRUNC(SUMIF(N747:N756, N746, J747:J756),0)</f>
        <v>144</v>
      </c>
      <c r="K757" s="11"/>
      <c r="L757" s="12">
        <f>F757+H757+J757</f>
        <v>4731</v>
      </c>
      <c r="M757" s="522" t="s">
        <v>51</v>
      </c>
      <c r="N757" s="2" t="s">
        <v>86</v>
      </c>
      <c r="O757" s="2" t="s">
        <v>86</v>
      </c>
      <c r="P757" s="2" t="s">
        <v>51</v>
      </c>
      <c r="Q757" s="2" t="s">
        <v>51</v>
      </c>
      <c r="R757" s="2" t="s">
        <v>51</v>
      </c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2" t="s">
        <v>51</v>
      </c>
      <c r="AW757" s="2" t="s">
        <v>51</v>
      </c>
      <c r="AX757" s="2" t="s">
        <v>51</v>
      </c>
      <c r="AY757" s="2" t="s">
        <v>51</v>
      </c>
    </row>
    <row r="758" spans="1:51" ht="30" customHeight="1">
      <c r="A758" s="9"/>
      <c r="B758" s="9"/>
      <c r="C758" s="9"/>
      <c r="D758" s="9"/>
      <c r="E758" s="11"/>
      <c r="F758" s="12"/>
      <c r="G758" s="11"/>
      <c r="H758" s="12"/>
      <c r="I758" s="11"/>
      <c r="J758" s="12"/>
      <c r="K758" s="11"/>
      <c r="L758" s="12"/>
      <c r="M758" s="523"/>
    </row>
    <row r="759" spans="1:51" ht="30" customHeight="1">
      <c r="A759" s="1403" t="s">
        <v>4552</v>
      </c>
      <c r="B759" s="1403"/>
      <c r="C759" s="1403"/>
      <c r="D759" s="1403"/>
      <c r="E759" s="1404"/>
      <c r="F759" s="1405"/>
      <c r="G759" s="1404"/>
      <c r="H759" s="1405"/>
      <c r="I759" s="1404"/>
      <c r="J759" s="1405"/>
      <c r="K759" s="1404"/>
      <c r="L759" s="1405"/>
      <c r="M759" s="1403"/>
      <c r="N759" s="1" t="s">
        <v>1808</v>
      </c>
    </row>
    <row r="760" spans="1:51" ht="30" customHeight="1">
      <c r="A760" s="8" t="s">
        <v>1126</v>
      </c>
      <c r="B760" s="8" t="s">
        <v>1847</v>
      </c>
      <c r="C760" s="8" t="s">
        <v>993</v>
      </c>
      <c r="D760" s="9">
        <v>2.7699999999999999E-3</v>
      </c>
      <c r="E760" s="11">
        <f>단가대비표!$O$45</f>
        <v>2290</v>
      </c>
      <c r="F760" s="12">
        <f t="shared" ref="F760:F769" si="173">TRUNC(E760*D760,1)</f>
        <v>6.3</v>
      </c>
      <c r="G760" s="11">
        <f>단가대비표!$P$45</f>
        <v>0</v>
      </c>
      <c r="H760" s="12">
        <f t="shared" ref="H760:H769" si="174">TRUNC(G760*D760,1)</f>
        <v>0</v>
      </c>
      <c r="I760" s="11">
        <f>단가대비표!$V$45</f>
        <v>0</v>
      </c>
      <c r="J760" s="12">
        <f t="shared" ref="J760:J769" si="175">TRUNC(I760*D760,1)</f>
        <v>0</v>
      </c>
      <c r="K760" s="11">
        <f t="shared" ref="K760:K769" si="176">TRUNC(E760+G760+I760,1)</f>
        <v>2290</v>
      </c>
      <c r="L760" s="12">
        <f t="shared" ref="L760:L769" si="177">TRUNC(F760+H760+J760,1)</f>
        <v>6.3</v>
      </c>
      <c r="M760" s="522" t="s">
        <v>51</v>
      </c>
      <c r="N760" s="2" t="s">
        <v>1808</v>
      </c>
      <c r="O760" s="2" t="s">
        <v>1848</v>
      </c>
      <c r="P760" s="2" t="s">
        <v>62</v>
      </c>
      <c r="Q760" s="2" t="s">
        <v>62</v>
      </c>
      <c r="R760" s="2" t="s">
        <v>61</v>
      </c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2" t="s">
        <v>51</v>
      </c>
      <c r="AW760" s="2" t="s">
        <v>1860</v>
      </c>
      <c r="AX760" s="2" t="s">
        <v>51</v>
      </c>
      <c r="AY760" s="2" t="s">
        <v>51</v>
      </c>
    </row>
    <row r="761" spans="1:51" ht="30" customHeight="1">
      <c r="A761" s="8" t="s">
        <v>1387</v>
      </c>
      <c r="B761" s="8" t="s">
        <v>1388</v>
      </c>
      <c r="C761" s="8" t="s">
        <v>1230</v>
      </c>
      <c r="D761" s="9">
        <v>0.94499999999999995</v>
      </c>
      <c r="E761" s="11">
        <f>단가대비표!$O$40</f>
        <v>2.2200000000000002</v>
      </c>
      <c r="F761" s="12">
        <f t="shared" si="173"/>
        <v>2</v>
      </c>
      <c r="G761" s="11">
        <f>단가대비표!$P$40</f>
        <v>0</v>
      </c>
      <c r="H761" s="12">
        <f t="shared" si="174"/>
        <v>0</v>
      </c>
      <c r="I761" s="11">
        <f>단가대비표!$V$40</f>
        <v>0</v>
      </c>
      <c r="J761" s="12">
        <f t="shared" si="175"/>
        <v>0</v>
      </c>
      <c r="K761" s="11">
        <f t="shared" si="176"/>
        <v>2.2000000000000002</v>
      </c>
      <c r="L761" s="12">
        <f t="shared" si="177"/>
        <v>2</v>
      </c>
      <c r="M761" s="522" t="s">
        <v>1389</v>
      </c>
      <c r="N761" s="2" t="s">
        <v>1808</v>
      </c>
      <c r="O761" s="2" t="s">
        <v>1390</v>
      </c>
      <c r="P761" s="2" t="s">
        <v>62</v>
      </c>
      <c r="Q761" s="2" t="s">
        <v>62</v>
      </c>
      <c r="R761" s="2" t="s">
        <v>61</v>
      </c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2" t="s">
        <v>51</v>
      </c>
      <c r="AW761" s="2" t="s">
        <v>1861</v>
      </c>
      <c r="AX761" s="2" t="s">
        <v>51</v>
      </c>
      <c r="AY761" s="2" t="s">
        <v>51</v>
      </c>
    </row>
    <row r="762" spans="1:51" ht="30" customHeight="1">
      <c r="A762" s="8" t="s">
        <v>1392</v>
      </c>
      <c r="B762" s="8" t="s">
        <v>1816</v>
      </c>
      <c r="C762" s="8" t="s">
        <v>993</v>
      </c>
      <c r="D762" s="9">
        <v>4.0000000000000002E-4</v>
      </c>
      <c r="E762" s="11">
        <f>단가대비표!$O$42</f>
        <v>10652</v>
      </c>
      <c r="F762" s="12">
        <f t="shared" si="173"/>
        <v>4.2</v>
      </c>
      <c r="G762" s="11">
        <f>단가대비표!$P$42</f>
        <v>0</v>
      </c>
      <c r="H762" s="12">
        <f t="shared" si="174"/>
        <v>0</v>
      </c>
      <c r="I762" s="11">
        <f>단가대비표!$V$42</f>
        <v>0</v>
      </c>
      <c r="J762" s="12">
        <f t="shared" si="175"/>
        <v>0</v>
      </c>
      <c r="K762" s="11">
        <f t="shared" si="176"/>
        <v>10652</v>
      </c>
      <c r="L762" s="12">
        <f t="shared" si="177"/>
        <v>4.2</v>
      </c>
      <c r="M762" s="522" t="s">
        <v>51</v>
      </c>
      <c r="N762" s="2" t="s">
        <v>1808</v>
      </c>
      <c r="O762" s="2" t="s">
        <v>1817</v>
      </c>
      <c r="P762" s="2" t="s">
        <v>62</v>
      </c>
      <c r="Q762" s="2" t="s">
        <v>62</v>
      </c>
      <c r="R762" s="2" t="s">
        <v>61</v>
      </c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2" t="s">
        <v>51</v>
      </c>
      <c r="AW762" s="2" t="s">
        <v>1862</v>
      </c>
      <c r="AX762" s="2" t="s">
        <v>51</v>
      </c>
      <c r="AY762" s="2" t="s">
        <v>51</v>
      </c>
    </row>
    <row r="763" spans="1:51" ht="30" customHeight="1">
      <c r="A763" s="8" t="s">
        <v>1819</v>
      </c>
      <c r="B763" s="8" t="s">
        <v>1820</v>
      </c>
      <c r="C763" s="8" t="s">
        <v>1821</v>
      </c>
      <c r="D763" s="9">
        <v>3.1199999999999999E-3</v>
      </c>
      <c r="E763" s="11">
        <f>일위대가목록!$F$116</f>
        <v>0</v>
      </c>
      <c r="F763" s="12">
        <f t="shared" si="173"/>
        <v>0</v>
      </c>
      <c r="G763" s="11">
        <f>일위대가목록!$H$116</f>
        <v>0</v>
      </c>
      <c r="H763" s="12">
        <f t="shared" si="174"/>
        <v>0</v>
      </c>
      <c r="I763" s="11">
        <f>일위대가목록!$J$116</f>
        <v>0</v>
      </c>
      <c r="J763" s="12">
        <f t="shared" si="175"/>
        <v>0</v>
      </c>
      <c r="K763" s="11">
        <f t="shared" si="176"/>
        <v>0</v>
      </c>
      <c r="L763" s="12">
        <f t="shared" si="177"/>
        <v>0</v>
      </c>
      <c r="M763" s="522" t="s">
        <v>51</v>
      </c>
      <c r="N763" s="2" t="s">
        <v>1808</v>
      </c>
      <c r="O763" s="2" t="s">
        <v>1822</v>
      </c>
      <c r="P763" s="2" t="s">
        <v>61</v>
      </c>
      <c r="Q763" s="2" t="s">
        <v>62</v>
      </c>
      <c r="R763" s="2" t="s">
        <v>62</v>
      </c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2" t="s">
        <v>51</v>
      </c>
      <c r="AW763" s="2" t="s">
        <v>1863</v>
      </c>
      <c r="AX763" s="2" t="s">
        <v>51</v>
      </c>
      <c r="AY763" s="2" t="s">
        <v>51</v>
      </c>
    </row>
    <row r="764" spans="1:51" ht="30" customHeight="1">
      <c r="A764" s="8" t="s">
        <v>987</v>
      </c>
      <c r="B764" s="8" t="s">
        <v>1824</v>
      </c>
      <c r="C764" s="8" t="s">
        <v>1825</v>
      </c>
      <c r="D764" s="9">
        <v>1.89E-2</v>
      </c>
      <c r="E764" s="11">
        <f>단가대비표!$O$554</f>
        <v>0</v>
      </c>
      <c r="F764" s="12">
        <f t="shared" si="173"/>
        <v>0</v>
      </c>
      <c r="G764" s="11">
        <f>단가대비표!$P$554</f>
        <v>0</v>
      </c>
      <c r="H764" s="12">
        <f t="shared" si="174"/>
        <v>0</v>
      </c>
      <c r="I764" s="11">
        <f>단가대비표!$V$554</f>
        <v>87</v>
      </c>
      <c r="J764" s="12">
        <f t="shared" si="175"/>
        <v>1.6</v>
      </c>
      <c r="K764" s="11">
        <f t="shared" si="176"/>
        <v>87</v>
      </c>
      <c r="L764" s="12">
        <f t="shared" si="177"/>
        <v>1.6</v>
      </c>
      <c r="M764" s="522" t="s">
        <v>51</v>
      </c>
      <c r="N764" s="2" t="s">
        <v>1808</v>
      </c>
      <c r="O764" s="2" t="s">
        <v>1826</v>
      </c>
      <c r="P764" s="2" t="s">
        <v>62</v>
      </c>
      <c r="Q764" s="2" t="s">
        <v>62</v>
      </c>
      <c r="R764" s="2" t="s">
        <v>61</v>
      </c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2" t="s">
        <v>51</v>
      </c>
      <c r="AW764" s="2" t="s">
        <v>1864</v>
      </c>
      <c r="AX764" s="2" t="s">
        <v>51</v>
      </c>
      <c r="AY764" s="2" t="s">
        <v>51</v>
      </c>
    </row>
    <row r="765" spans="1:51" ht="30" customHeight="1">
      <c r="A765" s="8" t="s">
        <v>1828</v>
      </c>
      <c r="B765" s="8" t="s">
        <v>418</v>
      </c>
      <c r="C765" s="8" t="s">
        <v>419</v>
      </c>
      <c r="D765" s="9">
        <v>5.8500000000000002E-3</v>
      </c>
      <c r="E765" s="11">
        <f>단가대비표!$O$561</f>
        <v>0</v>
      </c>
      <c r="F765" s="12">
        <f t="shared" si="173"/>
        <v>0</v>
      </c>
      <c r="G765" s="11">
        <f>단가대비표!$P$561</f>
        <v>178010</v>
      </c>
      <c r="H765" s="12">
        <f t="shared" si="174"/>
        <v>1041.3</v>
      </c>
      <c r="I765" s="11">
        <f>단가대비표!$V$561</f>
        <v>0</v>
      </c>
      <c r="J765" s="12">
        <f t="shared" si="175"/>
        <v>0</v>
      </c>
      <c r="K765" s="11">
        <f t="shared" si="176"/>
        <v>178010</v>
      </c>
      <c r="L765" s="12">
        <f t="shared" si="177"/>
        <v>1041.3</v>
      </c>
      <c r="M765" s="522" t="s">
        <v>51</v>
      </c>
      <c r="N765" s="2" t="s">
        <v>1808</v>
      </c>
      <c r="O765" s="2" t="s">
        <v>1829</v>
      </c>
      <c r="P765" s="2" t="s">
        <v>62</v>
      </c>
      <c r="Q765" s="2" t="s">
        <v>62</v>
      </c>
      <c r="R765" s="2" t="s">
        <v>61</v>
      </c>
      <c r="S765" s="3"/>
      <c r="T765" s="3"/>
      <c r="U765" s="3"/>
      <c r="V765" s="3">
        <v>1</v>
      </c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2" t="s">
        <v>51</v>
      </c>
      <c r="AW765" s="2" t="s">
        <v>1865</v>
      </c>
      <c r="AX765" s="2" t="s">
        <v>51</v>
      </c>
      <c r="AY765" s="2" t="s">
        <v>51</v>
      </c>
    </row>
    <row r="766" spans="1:51" ht="30" customHeight="1">
      <c r="A766" s="8" t="s">
        <v>996</v>
      </c>
      <c r="B766" s="8" t="s">
        <v>947</v>
      </c>
      <c r="C766" s="8" t="s">
        <v>419</v>
      </c>
      <c r="D766" s="9">
        <v>1E-4</v>
      </c>
      <c r="E766" s="11">
        <f>단가대비표!$O$556</f>
        <v>0</v>
      </c>
      <c r="F766" s="12">
        <f t="shared" si="173"/>
        <v>0</v>
      </c>
      <c r="G766" s="11">
        <f>단가대비표!$P$556</f>
        <v>130264</v>
      </c>
      <c r="H766" s="12">
        <f t="shared" si="174"/>
        <v>13</v>
      </c>
      <c r="I766" s="11">
        <f>단가대비표!$V$556</f>
        <v>0</v>
      </c>
      <c r="J766" s="12">
        <f t="shared" si="175"/>
        <v>0</v>
      </c>
      <c r="K766" s="11">
        <f t="shared" si="176"/>
        <v>130264</v>
      </c>
      <c r="L766" s="12">
        <f t="shared" si="177"/>
        <v>13</v>
      </c>
      <c r="M766" s="522" t="s">
        <v>51</v>
      </c>
      <c r="N766" s="2" t="s">
        <v>1808</v>
      </c>
      <c r="O766" s="2" t="s">
        <v>997</v>
      </c>
      <c r="P766" s="2" t="s">
        <v>62</v>
      </c>
      <c r="Q766" s="2" t="s">
        <v>62</v>
      </c>
      <c r="R766" s="2" t="s">
        <v>61</v>
      </c>
      <c r="S766" s="3"/>
      <c r="T766" s="3"/>
      <c r="U766" s="3"/>
      <c r="V766" s="3">
        <v>1</v>
      </c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2" t="s">
        <v>51</v>
      </c>
      <c r="AW766" s="2" t="s">
        <v>1866</v>
      </c>
      <c r="AX766" s="2" t="s">
        <v>51</v>
      </c>
      <c r="AY766" s="2" t="s">
        <v>51</v>
      </c>
    </row>
    <row r="767" spans="1:51" ht="30" customHeight="1">
      <c r="A767" s="8" t="s">
        <v>1006</v>
      </c>
      <c r="B767" s="8" t="s">
        <v>418</v>
      </c>
      <c r="C767" s="8" t="s">
        <v>419</v>
      </c>
      <c r="D767" s="9">
        <v>3.8999999999999999E-4</v>
      </c>
      <c r="E767" s="11">
        <f>단가대비표!$O$562</f>
        <v>0</v>
      </c>
      <c r="F767" s="12">
        <f t="shared" si="173"/>
        <v>0</v>
      </c>
      <c r="G767" s="11">
        <f>단가대비표!$P$562</f>
        <v>209394</v>
      </c>
      <c r="H767" s="12">
        <f t="shared" si="174"/>
        <v>81.599999999999994</v>
      </c>
      <c r="I767" s="11">
        <f>단가대비표!$V$562</f>
        <v>0</v>
      </c>
      <c r="J767" s="12">
        <f t="shared" si="175"/>
        <v>0</v>
      </c>
      <c r="K767" s="11">
        <f t="shared" si="176"/>
        <v>209394</v>
      </c>
      <c r="L767" s="12">
        <f t="shared" si="177"/>
        <v>81.599999999999994</v>
      </c>
      <c r="M767" s="522" t="s">
        <v>51</v>
      </c>
      <c r="N767" s="2" t="s">
        <v>1808</v>
      </c>
      <c r="O767" s="2" t="s">
        <v>1007</v>
      </c>
      <c r="P767" s="2" t="s">
        <v>62</v>
      </c>
      <c r="Q767" s="2" t="s">
        <v>62</v>
      </c>
      <c r="R767" s="2" t="s">
        <v>61</v>
      </c>
      <c r="S767" s="3"/>
      <c r="T767" s="3"/>
      <c r="U767" s="3"/>
      <c r="V767" s="3">
        <v>1</v>
      </c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2" t="s">
        <v>51</v>
      </c>
      <c r="AW767" s="2" t="s">
        <v>1867</v>
      </c>
      <c r="AX767" s="2" t="s">
        <v>51</v>
      </c>
      <c r="AY767" s="2" t="s">
        <v>51</v>
      </c>
    </row>
    <row r="768" spans="1:51" ht="30" customHeight="1">
      <c r="A768" s="8" t="s">
        <v>1130</v>
      </c>
      <c r="B768" s="8" t="s">
        <v>947</v>
      </c>
      <c r="C768" s="8" t="s">
        <v>419</v>
      </c>
      <c r="D768" s="9">
        <v>1.1E-4</v>
      </c>
      <c r="E768" s="11">
        <f>단가대비표!$O$557</f>
        <v>0</v>
      </c>
      <c r="F768" s="12">
        <f t="shared" si="173"/>
        <v>0</v>
      </c>
      <c r="G768" s="11">
        <f>단가대비표!$P$557</f>
        <v>155599</v>
      </c>
      <c r="H768" s="12">
        <f t="shared" si="174"/>
        <v>17.100000000000001</v>
      </c>
      <c r="I768" s="11">
        <f>단가대비표!$V$557</f>
        <v>0</v>
      </c>
      <c r="J768" s="12">
        <f t="shared" si="175"/>
        <v>0</v>
      </c>
      <c r="K768" s="11">
        <f t="shared" si="176"/>
        <v>155599</v>
      </c>
      <c r="L768" s="12">
        <f t="shared" si="177"/>
        <v>17.100000000000001</v>
      </c>
      <c r="M768" s="522" t="s">
        <v>51</v>
      </c>
      <c r="N768" s="2" t="s">
        <v>1808</v>
      </c>
      <c r="O768" s="2" t="s">
        <v>1131</v>
      </c>
      <c r="P768" s="2" t="s">
        <v>62</v>
      </c>
      <c r="Q768" s="2" t="s">
        <v>62</v>
      </c>
      <c r="R768" s="2" t="s">
        <v>61</v>
      </c>
      <c r="S768" s="3"/>
      <c r="T768" s="3"/>
      <c r="U768" s="3"/>
      <c r="V768" s="3">
        <v>1</v>
      </c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2" t="s">
        <v>51</v>
      </c>
      <c r="AW768" s="2" t="s">
        <v>1868</v>
      </c>
      <c r="AX768" s="2" t="s">
        <v>51</v>
      </c>
      <c r="AY768" s="2" t="s">
        <v>51</v>
      </c>
    </row>
    <row r="769" spans="1:51" ht="30" customHeight="1">
      <c r="A769" s="8" t="s">
        <v>1134</v>
      </c>
      <c r="B769" s="8" t="s">
        <v>1587</v>
      </c>
      <c r="C769" s="8" t="s">
        <v>82</v>
      </c>
      <c r="D769" s="9">
        <v>1</v>
      </c>
      <c r="E769" s="11">
        <v>0</v>
      </c>
      <c r="F769" s="12">
        <f t="shared" si="173"/>
        <v>0</v>
      </c>
      <c r="G769" s="11">
        <v>0</v>
      </c>
      <c r="H769" s="12">
        <f t="shared" si="174"/>
        <v>0</v>
      </c>
      <c r="I769" s="11">
        <f>TRUNC(SUMIF(V760:V769, RIGHTB(O769, 1), H760:H769)*U769, 2)</f>
        <v>34.590000000000003</v>
      </c>
      <c r="J769" s="12">
        <f t="shared" si="175"/>
        <v>34.5</v>
      </c>
      <c r="K769" s="11">
        <f t="shared" si="176"/>
        <v>34.5</v>
      </c>
      <c r="L769" s="12">
        <f t="shared" si="177"/>
        <v>34.5</v>
      </c>
      <c r="M769" s="522" t="s">
        <v>51</v>
      </c>
      <c r="N769" s="2" t="s">
        <v>1808</v>
      </c>
      <c r="O769" s="2" t="s">
        <v>1036</v>
      </c>
      <c r="P769" s="2" t="s">
        <v>62</v>
      </c>
      <c r="Q769" s="2" t="s">
        <v>62</v>
      </c>
      <c r="R769" s="2" t="s">
        <v>62</v>
      </c>
      <c r="S769" s="3">
        <v>1</v>
      </c>
      <c r="T769" s="3">
        <v>2</v>
      </c>
      <c r="U769" s="3">
        <v>0.03</v>
      </c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2" t="s">
        <v>51</v>
      </c>
      <c r="AW769" s="2" t="s">
        <v>1869</v>
      </c>
      <c r="AX769" s="2" t="s">
        <v>51</v>
      </c>
      <c r="AY769" s="2" t="s">
        <v>51</v>
      </c>
    </row>
    <row r="770" spans="1:51" ht="30" customHeight="1">
      <c r="A770" s="8" t="s">
        <v>950</v>
      </c>
      <c r="B770" s="8" t="s">
        <v>51</v>
      </c>
      <c r="C770" s="8" t="s">
        <v>51</v>
      </c>
      <c r="D770" s="9"/>
      <c r="E770" s="11"/>
      <c r="F770" s="12">
        <f>TRUNC(SUMIF(N760:N769, N759, F760:F769),0)</f>
        <v>12</v>
      </c>
      <c r="G770" s="11"/>
      <c r="H770" s="12">
        <f>TRUNC(SUMIF(N760:N769, N759, H760:H769),0)</f>
        <v>1153</v>
      </c>
      <c r="I770" s="11"/>
      <c r="J770" s="12">
        <f>TRUNC(SUMIF(N760:N769, N759, J760:J769),0)</f>
        <v>36</v>
      </c>
      <c r="K770" s="11"/>
      <c r="L770" s="12">
        <f>F770+H770+J770</f>
        <v>1201</v>
      </c>
      <c r="M770" s="522" t="s">
        <v>51</v>
      </c>
      <c r="N770" s="2" t="s">
        <v>86</v>
      </c>
      <c r="O770" s="2" t="s">
        <v>86</v>
      </c>
      <c r="P770" s="2" t="s">
        <v>51</v>
      </c>
      <c r="Q770" s="2" t="s">
        <v>51</v>
      </c>
      <c r="R770" s="2" t="s">
        <v>51</v>
      </c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2" t="s">
        <v>51</v>
      </c>
      <c r="AW770" s="2" t="s">
        <v>51</v>
      </c>
      <c r="AX770" s="2" t="s">
        <v>51</v>
      </c>
      <c r="AY770" s="2" t="s">
        <v>51</v>
      </c>
    </row>
    <row r="771" spans="1:51" ht="30" customHeight="1">
      <c r="A771" s="9"/>
      <c r="B771" s="9"/>
      <c r="C771" s="9"/>
      <c r="D771" s="9"/>
      <c r="E771" s="11"/>
      <c r="F771" s="12"/>
      <c r="G771" s="11"/>
      <c r="H771" s="12"/>
      <c r="I771" s="11"/>
      <c r="J771" s="12"/>
      <c r="K771" s="11"/>
      <c r="L771" s="12"/>
      <c r="M771" s="523"/>
    </row>
    <row r="772" spans="1:51" ht="30" customHeight="1">
      <c r="A772" s="1403" t="s">
        <v>4553</v>
      </c>
      <c r="B772" s="1403"/>
      <c r="C772" s="1403"/>
      <c r="D772" s="1403"/>
      <c r="E772" s="1404"/>
      <c r="F772" s="1405"/>
      <c r="G772" s="1404"/>
      <c r="H772" s="1405"/>
      <c r="I772" s="1404"/>
      <c r="J772" s="1405"/>
      <c r="K772" s="1404"/>
      <c r="L772" s="1405"/>
      <c r="M772" s="1403"/>
      <c r="N772" s="1" t="s">
        <v>1822</v>
      </c>
    </row>
    <row r="773" spans="1:51" ht="30" customHeight="1">
      <c r="A773" s="8" t="s">
        <v>1819</v>
      </c>
      <c r="B773" s="8" t="s">
        <v>1820</v>
      </c>
      <c r="C773" s="8" t="s">
        <v>66</v>
      </c>
      <c r="D773" s="9">
        <v>0.23619999999999999</v>
      </c>
      <c r="E773" s="11">
        <f>단가대비표!O5</f>
        <v>0</v>
      </c>
      <c r="F773" s="12">
        <f>TRUNC(E773*D773,1)</f>
        <v>0</v>
      </c>
      <c r="G773" s="11">
        <f>단가대비표!P5</f>
        <v>0</v>
      </c>
      <c r="H773" s="12">
        <f>TRUNC(G773*D773,1)</f>
        <v>0</v>
      </c>
      <c r="I773" s="11">
        <f>단가대비표!V5</f>
        <v>0</v>
      </c>
      <c r="J773" s="12">
        <f>TRUNC(I773*D773,1)</f>
        <v>0</v>
      </c>
      <c r="K773" s="11">
        <f>TRUNC(E773+G773+I773,1)</f>
        <v>0</v>
      </c>
      <c r="L773" s="12">
        <f>TRUNC(F773+H773+J773,1)</f>
        <v>0</v>
      </c>
      <c r="M773" s="522" t="s">
        <v>1872</v>
      </c>
      <c r="N773" s="2" t="s">
        <v>1822</v>
      </c>
      <c r="O773" s="2" t="s">
        <v>1873</v>
      </c>
      <c r="P773" s="2" t="s">
        <v>62</v>
      </c>
      <c r="Q773" s="2" t="s">
        <v>62</v>
      </c>
      <c r="R773" s="2" t="s">
        <v>61</v>
      </c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2" t="s">
        <v>51</v>
      </c>
      <c r="AW773" s="2" t="s">
        <v>1874</v>
      </c>
      <c r="AX773" s="2" t="s">
        <v>51</v>
      </c>
      <c r="AY773" s="2" t="s">
        <v>51</v>
      </c>
    </row>
    <row r="774" spans="1:51" ht="30" customHeight="1">
      <c r="A774" s="8" t="s">
        <v>950</v>
      </c>
      <c r="B774" s="8" t="s">
        <v>51</v>
      </c>
      <c r="C774" s="8" t="s">
        <v>51</v>
      </c>
      <c r="D774" s="9"/>
      <c r="E774" s="11"/>
      <c r="F774" s="12">
        <f>TRUNC(SUMIF(N773:N773, N772, F773:F773),0)</f>
        <v>0</v>
      </c>
      <c r="G774" s="11"/>
      <c r="H774" s="12">
        <f>TRUNC(SUMIF(N773:N773, N772, H773:H773),0)</f>
        <v>0</v>
      </c>
      <c r="I774" s="11"/>
      <c r="J774" s="12">
        <f>TRUNC(SUMIF(N773:N773, N772, J773:J773),0)</f>
        <v>0</v>
      </c>
      <c r="K774" s="11"/>
      <c r="L774" s="12">
        <f>F774+H774+J774</f>
        <v>0</v>
      </c>
      <c r="M774" s="522" t="s">
        <v>51</v>
      </c>
      <c r="N774" s="2" t="s">
        <v>86</v>
      </c>
      <c r="O774" s="2" t="s">
        <v>86</v>
      </c>
      <c r="P774" s="2" t="s">
        <v>51</v>
      </c>
      <c r="Q774" s="2" t="s">
        <v>51</v>
      </c>
      <c r="R774" s="2" t="s">
        <v>51</v>
      </c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2" t="s">
        <v>51</v>
      </c>
      <c r="AW774" s="2" t="s">
        <v>51</v>
      </c>
      <c r="AX774" s="2" t="s">
        <v>51</v>
      </c>
      <c r="AY774" s="2" t="s">
        <v>51</v>
      </c>
    </row>
    <row r="775" spans="1:51" ht="30" customHeight="1">
      <c r="A775" s="9"/>
      <c r="B775" s="9"/>
      <c r="C775" s="9"/>
      <c r="D775" s="9"/>
      <c r="E775" s="11"/>
      <c r="F775" s="12"/>
      <c r="G775" s="11"/>
      <c r="H775" s="12"/>
      <c r="I775" s="11"/>
      <c r="J775" s="12"/>
      <c r="K775" s="11"/>
      <c r="L775" s="12"/>
      <c r="M775" s="523"/>
    </row>
    <row r="776" spans="1:51" ht="30" customHeight="1">
      <c r="A776" s="1403" t="s">
        <v>4554</v>
      </c>
      <c r="B776" s="1403"/>
      <c r="C776" s="1403"/>
      <c r="D776" s="1403"/>
      <c r="E776" s="1404"/>
      <c r="F776" s="1405"/>
      <c r="G776" s="1404"/>
      <c r="H776" s="1405"/>
      <c r="I776" s="1404"/>
      <c r="J776" s="1405"/>
      <c r="K776" s="1404"/>
      <c r="L776" s="1405"/>
      <c r="M776" s="1403"/>
      <c r="N776" s="1" t="s">
        <v>1527</v>
      </c>
    </row>
    <row r="777" spans="1:51" ht="30" customHeight="1">
      <c r="A777" s="8" t="s">
        <v>1876</v>
      </c>
      <c r="B777" s="8" t="s">
        <v>1877</v>
      </c>
      <c r="C777" s="8" t="s">
        <v>419</v>
      </c>
      <c r="D777" s="9">
        <v>2.5000000000000001E-2</v>
      </c>
      <c r="E777" s="11">
        <f>단가대비표!O602</f>
        <v>0</v>
      </c>
      <c r="F777" s="12">
        <f>TRUNC(E777*D777,1)</f>
        <v>0</v>
      </c>
      <c r="G777" s="11">
        <f>단가대비표!P602</f>
        <v>176693</v>
      </c>
      <c r="H777" s="12">
        <f>TRUNC(G777*D777,1)</f>
        <v>4417.3</v>
      </c>
      <c r="I777" s="11">
        <f>단가대비표!V602</f>
        <v>0</v>
      </c>
      <c r="J777" s="12">
        <f>TRUNC(I777*D777,1)</f>
        <v>0</v>
      </c>
      <c r="K777" s="11">
        <f>TRUNC(E777+G777+I777,1)</f>
        <v>176693</v>
      </c>
      <c r="L777" s="12">
        <f>TRUNC(F777+H777+J777,1)</f>
        <v>4417.3</v>
      </c>
      <c r="M777" s="522" t="s">
        <v>51</v>
      </c>
      <c r="N777" s="2" t="s">
        <v>1527</v>
      </c>
      <c r="O777" s="2" t="s">
        <v>1878</v>
      </c>
      <c r="P777" s="2" t="s">
        <v>62</v>
      </c>
      <c r="Q777" s="2" t="s">
        <v>62</v>
      </c>
      <c r="R777" s="2" t="s">
        <v>61</v>
      </c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2" t="s">
        <v>51</v>
      </c>
      <c r="AW777" s="2" t="s">
        <v>1879</v>
      </c>
      <c r="AX777" s="2" t="s">
        <v>51</v>
      </c>
      <c r="AY777" s="2" t="s">
        <v>51</v>
      </c>
    </row>
    <row r="778" spans="1:51" ht="30" customHeight="1">
      <c r="A778" s="8" t="s">
        <v>950</v>
      </c>
      <c r="B778" s="8" t="s">
        <v>51</v>
      </c>
      <c r="C778" s="8" t="s">
        <v>51</v>
      </c>
      <c r="D778" s="9"/>
      <c r="E778" s="11"/>
      <c r="F778" s="12">
        <f>TRUNC(SUMIF(N777:N777, N776, F777:F777),0)</f>
        <v>0</v>
      </c>
      <c r="G778" s="11"/>
      <c r="H778" s="12">
        <f>TRUNC(SUMIF(N777:N777, N776, H777:H777),0)</f>
        <v>4417</v>
      </c>
      <c r="I778" s="11"/>
      <c r="J778" s="12">
        <f>TRUNC(SUMIF(N777:N777, N776, J777:J777),0)</f>
        <v>0</v>
      </c>
      <c r="K778" s="11"/>
      <c r="L778" s="12">
        <f>F778+H778+J778</f>
        <v>4417</v>
      </c>
      <c r="M778" s="522" t="s">
        <v>51</v>
      </c>
      <c r="N778" s="2" t="s">
        <v>86</v>
      </c>
      <c r="O778" s="2" t="s">
        <v>86</v>
      </c>
      <c r="P778" s="2" t="s">
        <v>51</v>
      </c>
      <c r="Q778" s="2" t="s">
        <v>51</v>
      </c>
      <c r="R778" s="2" t="s">
        <v>51</v>
      </c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2" t="s">
        <v>51</v>
      </c>
      <c r="AW778" s="2" t="s">
        <v>51</v>
      </c>
      <c r="AX778" s="2" t="s">
        <v>51</v>
      </c>
      <c r="AY778" s="2" t="s">
        <v>51</v>
      </c>
    </row>
    <row r="779" spans="1:51" ht="30" customHeight="1">
      <c r="A779" s="9"/>
      <c r="B779" s="9"/>
      <c r="C779" s="9"/>
      <c r="D779" s="9"/>
      <c r="E779" s="11"/>
      <c r="F779" s="12"/>
      <c r="G779" s="11"/>
      <c r="H779" s="12"/>
      <c r="I779" s="11"/>
      <c r="J779" s="12"/>
      <c r="K779" s="11"/>
      <c r="L779" s="12"/>
      <c r="M779" s="523"/>
    </row>
    <row r="780" spans="1:51" ht="30" customHeight="1">
      <c r="A780" s="1403" t="s">
        <v>4555</v>
      </c>
      <c r="B780" s="1403"/>
      <c r="C780" s="1403"/>
      <c r="D780" s="1403"/>
      <c r="E780" s="1404"/>
      <c r="F780" s="1405"/>
      <c r="G780" s="1404"/>
      <c r="H780" s="1405"/>
      <c r="I780" s="1404"/>
      <c r="J780" s="1405"/>
      <c r="K780" s="1404"/>
      <c r="L780" s="1405"/>
      <c r="M780" s="1403"/>
      <c r="N780" s="1" t="s">
        <v>1551</v>
      </c>
    </row>
    <row r="781" spans="1:51" ht="30" customHeight="1">
      <c r="A781" s="8" t="s">
        <v>1118</v>
      </c>
      <c r="B781" s="8" t="s">
        <v>1881</v>
      </c>
      <c r="C781" s="8" t="s">
        <v>993</v>
      </c>
      <c r="D781" s="9">
        <v>8.0000000000000002E-3</v>
      </c>
      <c r="E781" s="11">
        <f>단가대비표!O476</f>
        <v>1105</v>
      </c>
      <c r="F781" s="12">
        <f>TRUNC(E781*D781,1)</f>
        <v>8.8000000000000007</v>
      </c>
      <c r="G781" s="11">
        <f>단가대비표!P476</f>
        <v>0</v>
      </c>
      <c r="H781" s="12">
        <f>TRUNC(G781*D781,1)</f>
        <v>0</v>
      </c>
      <c r="I781" s="11">
        <f>단가대비표!V476</f>
        <v>0</v>
      </c>
      <c r="J781" s="12">
        <f>TRUNC(I781*D781,1)</f>
        <v>0</v>
      </c>
      <c r="K781" s="11">
        <f>TRUNC(E781+G781+I781,1)</f>
        <v>1105</v>
      </c>
      <c r="L781" s="12">
        <f>TRUNC(F781+H781+J781,1)</f>
        <v>8.8000000000000007</v>
      </c>
      <c r="M781" s="522" t="s">
        <v>51</v>
      </c>
      <c r="N781" s="2" t="s">
        <v>1551</v>
      </c>
      <c r="O781" s="2" t="s">
        <v>1882</v>
      </c>
      <c r="P781" s="2" t="s">
        <v>62</v>
      </c>
      <c r="Q781" s="2" t="s">
        <v>62</v>
      </c>
      <c r="R781" s="2" t="s">
        <v>61</v>
      </c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2" t="s">
        <v>51</v>
      </c>
      <c r="AW781" s="2" t="s">
        <v>1883</v>
      </c>
      <c r="AX781" s="2" t="s">
        <v>51</v>
      </c>
      <c r="AY781" s="2" t="s">
        <v>51</v>
      </c>
    </row>
    <row r="782" spans="1:51" ht="30" customHeight="1">
      <c r="A782" s="8" t="s">
        <v>1884</v>
      </c>
      <c r="B782" s="8" t="s">
        <v>947</v>
      </c>
      <c r="C782" s="8" t="s">
        <v>419</v>
      </c>
      <c r="D782" s="9">
        <v>3.3E-3</v>
      </c>
      <c r="E782" s="11">
        <f>단가대비표!O559</f>
        <v>0</v>
      </c>
      <c r="F782" s="12">
        <f>TRUNC(E782*D782,1)</f>
        <v>0</v>
      </c>
      <c r="G782" s="11">
        <f>단가대비표!P559</f>
        <v>207239</v>
      </c>
      <c r="H782" s="12">
        <f>TRUNC(G782*D782,1)</f>
        <v>683.8</v>
      </c>
      <c r="I782" s="11">
        <f>단가대비표!V559</f>
        <v>0</v>
      </c>
      <c r="J782" s="12">
        <f>TRUNC(I782*D782,1)</f>
        <v>0</v>
      </c>
      <c r="K782" s="11">
        <f>TRUNC(E782+G782+I782,1)</f>
        <v>207239</v>
      </c>
      <c r="L782" s="12">
        <f>TRUNC(F782+H782+J782,1)</f>
        <v>683.8</v>
      </c>
      <c r="M782" s="522" t="s">
        <v>51</v>
      </c>
      <c r="N782" s="2" t="s">
        <v>1551</v>
      </c>
      <c r="O782" s="2" t="s">
        <v>1885</v>
      </c>
      <c r="P782" s="2" t="s">
        <v>62</v>
      </c>
      <c r="Q782" s="2" t="s">
        <v>62</v>
      </c>
      <c r="R782" s="2" t="s">
        <v>61</v>
      </c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2" t="s">
        <v>51</v>
      </c>
      <c r="AW782" s="2" t="s">
        <v>1886</v>
      </c>
      <c r="AX782" s="2" t="s">
        <v>51</v>
      </c>
      <c r="AY782" s="2" t="s">
        <v>51</v>
      </c>
    </row>
    <row r="783" spans="1:51" ht="30" customHeight="1">
      <c r="A783" s="8" t="s">
        <v>950</v>
      </c>
      <c r="B783" s="8" t="s">
        <v>51</v>
      </c>
      <c r="C783" s="8" t="s">
        <v>51</v>
      </c>
      <c r="D783" s="9"/>
      <c r="E783" s="11"/>
      <c r="F783" s="12">
        <f>TRUNC(SUMIF(N781:N782, N780, F781:F782),0)</f>
        <v>8</v>
      </c>
      <c r="G783" s="11"/>
      <c r="H783" s="12">
        <f>TRUNC(SUMIF(N781:N782, N780, H781:H782),0)</f>
        <v>683</v>
      </c>
      <c r="I783" s="11"/>
      <c r="J783" s="12">
        <f>TRUNC(SUMIF(N781:N782, N780, J781:J782),0)</f>
        <v>0</v>
      </c>
      <c r="K783" s="11"/>
      <c r="L783" s="12">
        <f>F783+H783+J783</f>
        <v>691</v>
      </c>
      <c r="M783" s="522" t="s">
        <v>51</v>
      </c>
      <c r="N783" s="2" t="s">
        <v>86</v>
      </c>
      <c r="O783" s="2" t="s">
        <v>86</v>
      </c>
      <c r="P783" s="2" t="s">
        <v>51</v>
      </c>
      <c r="Q783" s="2" t="s">
        <v>51</v>
      </c>
      <c r="R783" s="2" t="s">
        <v>51</v>
      </c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2" t="s">
        <v>51</v>
      </c>
      <c r="AW783" s="2" t="s">
        <v>51</v>
      </c>
      <c r="AX783" s="2" t="s">
        <v>51</v>
      </c>
      <c r="AY783" s="2" t="s">
        <v>51</v>
      </c>
    </row>
    <row r="784" spans="1:51" ht="30" customHeight="1">
      <c r="A784" s="9"/>
      <c r="B784" s="9"/>
      <c r="C784" s="9"/>
      <c r="D784" s="9"/>
      <c r="E784" s="11"/>
      <c r="F784" s="12"/>
      <c r="G784" s="11"/>
      <c r="H784" s="12"/>
      <c r="I784" s="11"/>
      <c r="J784" s="12"/>
      <c r="K784" s="11"/>
      <c r="L784" s="12"/>
      <c r="M784" s="523"/>
    </row>
    <row r="785" spans="1:51" ht="30" customHeight="1">
      <c r="A785" s="1403" t="s">
        <v>4556</v>
      </c>
      <c r="B785" s="1403"/>
      <c r="C785" s="1403"/>
      <c r="D785" s="1403"/>
      <c r="E785" s="1404"/>
      <c r="F785" s="1405"/>
      <c r="G785" s="1404"/>
      <c r="H785" s="1405"/>
      <c r="I785" s="1404"/>
      <c r="J785" s="1405"/>
      <c r="K785" s="1404"/>
      <c r="L785" s="1405"/>
      <c r="M785" s="1403"/>
      <c r="N785" s="1" t="s">
        <v>1671</v>
      </c>
    </row>
    <row r="786" spans="1:51" ht="30" customHeight="1">
      <c r="A786" s="8" t="s">
        <v>1286</v>
      </c>
      <c r="B786" s="8" t="s">
        <v>1888</v>
      </c>
      <c r="C786" s="8" t="s">
        <v>993</v>
      </c>
      <c r="D786" s="9">
        <v>510</v>
      </c>
      <c r="E786" s="11">
        <f>단가대비표!O57</f>
        <v>0</v>
      </c>
      <c r="F786" s="12">
        <f>TRUNC(E786*D786,1)</f>
        <v>0</v>
      </c>
      <c r="G786" s="11">
        <f>단가대비표!P57</f>
        <v>0</v>
      </c>
      <c r="H786" s="12">
        <f>TRUNC(G786*D786,1)</f>
        <v>0</v>
      </c>
      <c r="I786" s="11">
        <f>단가대비표!V57</f>
        <v>0</v>
      </c>
      <c r="J786" s="12">
        <f>TRUNC(I786*D786,1)</f>
        <v>0</v>
      </c>
      <c r="K786" s="11">
        <f t="shared" ref="K786:L788" si="178">TRUNC(E786+G786+I786,1)</f>
        <v>0</v>
      </c>
      <c r="L786" s="12">
        <f t="shared" si="178"/>
        <v>0</v>
      </c>
      <c r="M786" s="522" t="s">
        <v>1889</v>
      </c>
      <c r="N786" s="2" t="s">
        <v>1671</v>
      </c>
      <c r="O786" s="2" t="s">
        <v>1890</v>
      </c>
      <c r="P786" s="2" t="s">
        <v>62</v>
      </c>
      <c r="Q786" s="2" t="s">
        <v>62</v>
      </c>
      <c r="R786" s="2" t="s">
        <v>61</v>
      </c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2" t="s">
        <v>51</v>
      </c>
      <c r="AW786" s="2" t="s">
        <v>1891</v>
      </c>
      <c r="AX786" s="2" t="s">
        <v>51</v>
      </c>
      <c r="AY786" s="2" t="s">
        <v>51</v>
      </c>
    </row>
    <row r="787" spans="1:51" ht="30" customHeight="1">
      <c r="A787" s="8" t="s">
        <v>1290</v>
      </c>
      <c r="B787" s="8" t="s">
        <v>1892</v>
      </c>
      <c r="C787" s="8" t="s">
        <v>1292</v>
      </c>
      <c r="D787" s="9">
        <v>1.1000000000000001</v>
      </c>
      <c r="E787" s="11">
        <f>단가대비표!O28</f>
        <v>0</v>
      </c>
      <c r="F787" s="12">
        <f>TRUNC(E787*D787,1)</f>
        <v>0</v>
      </c>
      <c r="G787" s="11">
        <f>단가대비표!P28</f>
        <v>0</v>
      </c>
      <c r="H787" s="12">
        <f>TRUNC(G787*D787,1)</f>
        <v>0</v>
      </c>
      <c r="I787" s="11">
        <f>단가대비표!V28</f>
        <v>0</v>
      </c>
      <c r="J787" s="12">
        <f>TRUNC(I787*D787,1)</f>
        <v>0</v>
      </c>
      <c r="K787" s="11">
        <f t="shared" si="178"/>
        <v>0</v>
      </c>
      <c r="L787" s="12">
        <f t="shared" si="178"/>
        <v>0</v>
      </c>
      <c r="M787" s="522" t="s">
        <v>1889</v>
      </c>
      <c r="N787" s="2" t="s">
        <v>1671</v>
      </c>
      <c r="O787" s="2" t="s">
        <v>1893</v>
      </c>
      <c r="P787" s="2" t="s">
        <v>62</v>
      </c>
      <c r="Q787" s="2" t="s">
        <v>62</v>
      </c>
      <c r="R787" s="2" t="s">
        <v>61</v>
      </c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2" t="s">
        <v>51</v>
      </c>
      <c r="AW787" s="2" t="s">
        <v>1894</v>
      </c>
      <c r="AX787" s="2" t="s">
        <v>51</v>
      </c>
      <c r="AY787" s="2" t="s">
        <v>51</v>
      </c>
    </row>
    <row r="788" spans="1:51" ht="30" customHeight="1">
      <c r="A788" s="8" t="s">
        <v>1895</v>
      </c>
      <c r="B788" s="8" t="s">
        <v>1896</v>
      </c>
      <c r="C788" s="8" t="s">
        <v>1292</v>
      </c>
      <c r="D788" s="9">
        <v>1</v>
      </c>
      <c r="E788" s="11">
        <f>일위대가목록!F121</f>
        <v>0</v>
      </c>
      <c r="F788" s="12">
        <f>TRUNC(E788*D788,1)</f>
        <v>0</v>
      </c>
      <c r="G788" s="11">
        <f>일위대가목록!H121</f>
        <v>85974</v>
      </c>
      <c r="H788" s="12">
        <f>TRUNC(G788*D788,1)</f>
        <v>85974</v>
      </c>
      <c r="I788" s="11">
        <f>일위대가목록!J121</f>
        <v>0</v>
      </c>
      <c r="J788" s="12">
        <f>TRUNC(I788*D788,1)</f>
        <v>0</v>
      </c>
      <c r="K788" s="11">
        <f t="shared" si="178"/>
        <v>85974</v>
      </c>
      <c r="L788" s="12">
        <f t="shared" si="178"/>
        <v>85974</v>
      </c>
      <c r="M788" s="522" t="s">
        <v>1875</v>
      </c>
      <c r="N788" s="2" t="s">
        <v>1671</v>
      </c>
      <c r="O788" s="2" t="s">
        <v>1897</v>
      </c>
      <c r="P788" s="2" t="s">
        <v>61</v>
      </c>
      <c r="Q788" s="2" t="s">
        <v>62</v>
      </c>
      <c r="R788" s="2" t="s">
        <v>62</v>
      </c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2" t="s">
        <v>51</v>
      </c>
      <c r="AW788" s="2" t="s">
        <v>1898</v>
      </c>
      <c r="AX788" s="2" t="s">
        <v>51</v>
      </c>
      <c r="AY788" s="2" t="s">
        <v>51</v>
      </c>
    </row>
    <row r="789" spans="1:51" ht="30" customHeight="1">
      <c r="A789" s="8" t="s">
        <v>950</v>
      </c>
      <c r="B789" s="8" t="s">
        <v>51</v>
      </c>
      <c r="C789" s="8" t="s">
        <v>51</v>
      </c>
      <c r="D789" s="9"/>
      <c r="E789" s="11"/>
      <c r="F789" s="12">
        <f>TRUNC(SUMIF(N786:N788, N785, F786:F788),0)</f>
        <v>0</v>
      </c>
      <c r="G789" s="11"/>
      <c r="H789" s="12">
        <f>TRUNC(SUMIF(N786:N788, N785, H786:H788),0)</f>
        <v>85974</v>
      </c>
      <c r="I789" s="11"/>
      <c r="J789" s="12">
        <f>TRUNC(SUMIF(N786:N788, N785, J786:J788),0)</f>
        <v>0</v>
      </c>
      <c r="K789" s="11"/>
      <c r="L789" s="12">
        <f>F789+H789+J789</f>
        <v>85974</v>
      </c>
      <c r="M789" s="522" t="s">
        <v>51</v>
      </c>
      <c r="N789" s="2" t="s">
        <v>86</v>
      </c>
      <c r="O789" s="2" t="s">
        <v>86</v>
      </c>
      <c r="P789" s="2" t="s">
        <v>51</v>
      </c>
      <c r="Q789" s="2" t="s">
        <v>51</v>
      </c>
      <c r="R789" s="2" t="s">
        <v>51</v>
      </c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2" t="s">
        <v>51</v>
      </c>
      <c r="AW789" s="2" t="s">
        <v>51</v>
      </c>
      <c r="AX789" s="2" t="s">
        <v>51</v>
      </c>
      <c r="AY789" s="2" t="s">
        <v>51</v>
      </c>
    </row>
    <row r="790" spans="1:51" ht="30" customHeight="1">
      <c r="A790" s="9"/>
      <c r="B790" s="9"/>
      <c r="C790" s="9"/>
      <c r="D790" s="9"/>
      <c r="E790" s="11"/>
      <c r="F790" s="12"/>
      <c r="G790" s="11"/>
      <c r="H790" s="12"/>
      <c r="I790" s="11"/>
      <c r="J790" s="12"/>
      <c r="K790" s="11"/>
      <c r="L790" s="12"/>
      <c r="M790" s="523"/>
    </row>
    <row r="791" spans="1:51" ht="30" customHeight="1">
      <c r="A791" s="1403" t="s">
        <v>4557</v>
      </c>
      <c r="B791" s="1403"/>
      <c r="C791" s="1403"/>
      <c r="D791" s="1403"/>
      <c r="E791" s="1404"/>
      <c r="F791" s="1405"/>
      <c r="G791" s="1404"/>
      <c r="H791" s="1405"/>
      <c r="I791" s="1404"/>
      <c r="J791" s="1405"/>
      <c r="K791" s="1404"/>
      <c r="L791" s="1405"/>
      <c r="M791" s="1403"/>
      <c r="N791" s="1" t="s">
        <v>1678</v>
      </c>
    </row>
    <row r="792" spans="1:51" ht="30" customHeight="1">
      <c r="A792" s="8" t="s">
        <v>1900</v>
      </c>
      <c r="B792" s="8" t="s">
        <v>947</v>
      </c>
      <c r="C792" s="8" t="s">
        <v>419</v>
      </c>
      <c r="D792" s="9">
        <v>0.35</v>
      </c>
      <c r="E792" s="11">
        <f>단가대비표!O573</f>
        <v>0</v>
      </c>
      <c r="F792" s="12">
        <f>TRUNC(E792*D792,1)</f>
        <v>0</v>
      </c>
      <c r="G792" s="11">
        <f>단가대비표!P573</f>
        <v>204974</v>
      </c>
      <c r="H792" s="12">
        <f>TRUNC(G792*D792,1)</f>
        <v>71740.899999999994</v>
      </c>
      <c r="I792" s="11">
        <f>단가대비표!V573</f>
        <v>0</v>
      </c>
      <c r="J792" s="12">
        <f>TRUNC(I792*D792,1)</f>
        <v>0</v>
      </c>
      <c r="K792" s="11">
        <f t="shared" ref="K792:L794" si="179">TRUNC(E792+G792+I792,1)</f>
        <v>204974</v>
      </c>
      <c r="L792" s="12">
        <f t="shared" si="179"/>
        <v>71740.899999999994</v>
      </c>
      <c r="M792" s="522" t="s">
        <v>51</v>
      </c>
      <c r="N792" s="2" t="s">
        <v>1678</v>
      </c>
      <c r="O792" s="2" t="s">
        <v>1901</v>
      </c>
      <c r="P792" s="2" t="s">
        <v>62</v>
      </c>
      <c r="Q792" s="2" t="s">
        <v>62</v>
      </c>
      <c r="R792" s="2" t="s">
        <v>61</v>
      </c>
      <c r="S792" s="3"/>
      <c r="T792" s="3"/>
      <c r="U792" s="3"/>
      <c r="V792" s="3">
        <v>1</v>
      </c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2" t="s">
        <v>51</v>
      </c>
      <c r="AW792" s="2" t="s">
        <v>1902</v>
      </c>
      <c r="AX792" s="2" t="s">
        <v>51</v>
      </c>
      <c r="AY792" s="2" t="s">
        <v>51</v>
      </c>
    </row>
    <row r="793" spans="1:51" ht="30" customHeight="1">
      <c r="A793" s="8" t="s">
        <v>996</v>
      </c>
      <c r="B793" s="8" t="s">
        <v>947</v>
      </c>
      <c r="C793" s="8" t="s">
        <v>419</v>
      </c>
      <c r="D793" s="9">
        <v>0.16</v>
      </c>
      <c r="E793" s="11">
        <f>단가대비표!O556</f>
        <v>0</v>
      </c>
      <c r="F793" s="12">
        <f>TRUNC(E793*D793,1)</f>
        <v>0</v>
      </c>
      <c r="G793" s="11">
        <f>단가대비표!P556</f>
        <v>130264</v>
      </c>
      <c r="H793" s="12">
        <f>TRUNC(G793*D793,1)</f>
        <v>20842.2</v>
      </c>
      <c r="I793" s="11">
        <f>단가대비표!V556</f>
        <v>0</v>
      </c>
      <c r="J793" s="12">
        <f>TRUNC(I793*D793,1)</f>
        <v>0</v>
      </c>
      <c r="K793" s="11">
        <f t="shared" si="179"/>
        <v>130264</v>
      </c>
      <c r="L793" s="12">
        <f t="shared" si="179"/>
        <v>20842.2</v>
      </c>
      <c r="M793" s="522" t="s">
        <v>51</v>
      </c>
      <c r="N793" s="2" t="s">
        <v>1678</v>
      </c>
      <c r="O793" s="2" t="s">
        <v>997</v>
      </c>
      <c r="P793" s="2" t="s">
        <v>62</v>
      </c>
      <c r="Q793" s="2" t="s">
        <v>62</v>
      </c>
      <c r="R793" s="2" t="s">
        <v>61</v>
      </c>
      <c r="S793" s="3"/>
      <c r="T793" s="3"/>
      <c r="U793" s="3"/>
      <c r="V793" s="3">
        <v>1</v>
      </c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2" t="s">
        <v>51</v>
      </c>
      <c r="AW793" s="2" t="s">
        <v>1903</v>
      </c>
      <c r="AX793" s="2" t="s">
        <v>51</v>
      </c>
      <c r="AY793" s="2" t="s">
        <v>51</v>
      </c>
    </row>
    <row r="794" spans="1:51" ht="30" customHeight="1">
      <c r="A794" s="8" t="s">
        <v>1134</v>
      </c>
      <c r="B794" s="8" t="s">
        <v>1596</v>
      </c>
      <c r="C794" s="8" t="s">
        <v>82</v>
      </c>
      <c r="D794" s="9">
        <v>1</v>
      </c>
      <c r="E794" s="11">
        <v>0</v>
      </c>
      <c r="F794" s="12">
        <f>TRUNC(E794*D794,1)</f>
        <v>0</v>
      </c>
      <c r="G794" s="11">
        <v>0</v>
      </c>
      <c r="H794" s="12">
        <f>TRUNC(G794*D794,1)</f>
        <v>0</v>
      </c>
      <c r="I794" s="11">
        <f>TRUNC(SUMIF(V792:V794, RIGHTB(O794, 1), H792:H794)*U794, 2)</f>
        <v>925.83</v>
      </c>
      <c r="J794" s="12">
        <f>TRUNC(I794*D794,1)</f>
        <v>925.8</v>
      </c>
      <c r="K794" s="11">
        <f t="shared" si="179"/>
        <v>925.8</v>
      </c>
      <c r="L794" s="12">
        <f t="shared" si="179"/>
        <v>925.8</v>
      </c>
      <c r="M794" s="522" t="s">
        <v>51</v>
      </c>
      <c r="N794" s="2" t="s">
        <v>1678</v>
      </c>
      <c r="O794" s="2" t="s">
        <v>1036</v>
      </c>
      <c r="P794" s="2" t="s">
        <v>62</v>
      </c>
      <c r="Q794" s="2" t="s">
        <v>62</v>
      </c>
      <c r="R794" s="2" t="s">
        <v>62</v>
      </c>
      <c r="S794" s="3">
        <v>1</v>
      </c>
      <c r="T794" s="3">
        <v>2</v>
      </c>
      <c r="U794" s="3">
        <v>0.01</v>
      </c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2" t="s">
        <v>51</v>
      </c>
      <c r="AW794" s="2" t="s">
        <v>1904</v>
      </c>
      <c r="AX794" s="2" t="s">
        <v>51</v>
      </c>
      <c r="AY794" s="2" t="s">
        <v>51</v>
      </c>
    </row>
    <row r="795" spans="1:51" ht="30" customHeight="1">
      <c r="A795" s="8" t="s">
        <v>950</v>
      </c>
      <c r="B795" s="8" t="s">
        <v>51</v>
      </c>
      <c r="C795" s="8" t="s">
        <v>51</v>
      </c>
      <c r="D795" s="9"/>
      <c r="E795" s="11"/>
      <c r="F795" s="12">
        <f>TRUNC(SUMIF(N792:N794, N791, F792:F794),0)</f>
        <v>0</v>
      </c>
      <c r="G795" s="11"/>
      <c r="H795" s="12">
        <f>TRUNC(SUMIF(N792:N794, N791, H792:H794),0)</f>
        <v>92583</v>
      </c>
      <c r="I795" s="11"/>
      <c r="J795" s="12">
        <f>TRUNC(SUMIF(N792:N794, N791, J792:J794),0)</f>
        <v>925</v>
      </c>
      <c r="K795" s="11"/>
      <c r="L795" s="12">
        <f>F795+H795+J795</f>
        <v>93508</v>
      </c>
      <c r="M795" s="522" t="s">
        <v>51</v>
      </c>
      <c r="N795" s="2" t="s">
        <v>86</v>
      </c>
      <c r="O795" s="2" t="s">
        <v>86</v>
      </c>
      <c r="P795" s="2" t="s">
        <v>51</v>
      </c>
      <c r="Q795" s="2" t="s">
        <v>51</v>
      </c>
      <c r="R795" s="2" t="s">
        <v>51</v>
      </c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2" t="s">
        <v>51</v>
      </c>
      <c r="AW795" s="2" t="s">
        <v>51</v>
      </c>
      <c r="AX795" s="2" t="s">
        <v>51</v>
      </c>
      <c r="AY795" s="2" t="s">
        <v>51</v>
      </c>
    </row>
    <row r="796" spans="1:51" ht="30" customHeight="1">
      <c r="A796" s="9"/>
      <c r="B796" s="9"/>
      <c r="C796" s="9"/>
      <c r="D796" s="9"/>
      <c r="E796" s="11"/>
      <c r="F796" s="12"/>
      <c r="G796" s="11"/>
      <c r="H796" s="12"/>
      <c r="I796" s="11"/>
      <c r="J796" s="12"/>
      <c r="K796" s="11"/>
      <c r="L796" s="12"/>
      <c r="M796" s="523"/>
    </row>
    <row r="797" spans="1:51" ht="30" customHeight="1">
      <c r="A797" s="1403" t="s">
        <v>4558</v>
      </c>
      <c r="B797" s="1403"/>
      <c r="C797" s="1403"/>
      <c r="D797" s="1403"/>
      <c r="E797" s="1404"/>
      <c r="F797" s="1405"/>
      <c r="G797" s="1404"/>
      <c r="H797" s="1405"/>
      <c r="I797" s="1404"/>
      <c r="J797" s="1405"/>
      <c r="K797" s="1404"/>
      <c r="L797" s="1405"/>
      <c r="M797" s="1403"/>
      <c r="N797" s="1" t="s">
        <v>1897</v>
      </c>
    </row>
    <row r="798" spans="1:51" ht="30" customHeight="1">
      <c r="A798" s="8" t="s">
        <v>996</v>
      </c>
      <c r="B798" s="8" t="s">
        <v>947</v>
      </c>
      <c r="C798" s="8" t="s">
        <v>419</v>
      </c>
      <c r="D798" s="9">
        <v>0.66</v>
      </c>
      <c r="E798" s="11">
        <f>단가대비표!O556</f>
        <v>0</v>
      </c>
      <c r="F798" s="12">
        <f>TRUNC(E798*D798,1)</f>
        <v>0</v>
      </c>
      <c r="G798" s="11">
        <f>단가대비표!P556</f>
        <v>130264</v>
      </c>
      <c r="H798" s="12">
        <f>TRUNC(G798*D798,1)</f>
        <v>85974.2</v>
      </c>
      <c r="I798" s="11">
        <f>단가대비표!V556</f>
        <v>0</v>
      </c>
      <c r="J798" s="12">
        <f>TRUNC(I798*D798,1)</f>
        <v>0</v>
      </c>
      <c r="K798" s="11">
        <f>TRUNC(E798+G798+I798,1)</f>
        <v>130264</v>
      </c>
      <c r="L798" s="12">
        <f>TRUNC(F798+H798+J798,1)</f>
        <v>85974.2</v>
      </c>
      <c r="M798" s="522" t="s">
        <v>51</v>
      </c>
      <c r="N798" s="2" t="s">
        <v>1897</v>
      </c>
      <c r="O798" s="2" t="s">
        <v>997</v>
      </c>
      <c r="P798" s="2" t="s">
        <v>62</v>
      </c>
      <c r="Q798" s="2" t="s">
        <v>62</v>
      </c>
      <c r="R798" s="2" t="s">
        <v>61</v>
      </c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2" t="s">
        <v>51</v>
      </c>
      <c r="AW798" s="2" t="s">
        <v>1906</v>
      </c>
      <c r="AX798" s="2" t="s">
        <v>51</v>
      </c>
      <c r="AY798" s="2" t="s">
        <v>51</v>
      </c>
    </row>
    <row r="799" spans="1:51" ht="30" customHeight="1">
      <c r="A799" s="8" t="s">
        <v>950</v>
      </c>
      <c r="B799" s="8" t="s">
        <v>51</v>
      </c>
      <c r="C799" s="8" t="s">
        <v>51</v>
      </c>
      <c r="D799" s="9"/>
      <c r="E799" s="11"/>
      <c r="F799" s="12">
        <f>TRUNC(SUMIF(N798:N798, N797, F798:F798),0)</f>
        <v>0</v>
      </c>
      <c r="G799" s="11"/>
      <c r="H799" s="12">
        <f>TRUNC(SUMIF(N798:N798, N797, H798:H798),0)</f>
        <v>85974</v>
      </c>
      <c r="I799" s="11"/>
      <c r="J799" s="12">
        <f>TRUNC(SUMIF(N798:N798, N797, J798:J798),0)</f>
        <v>0</v>
      </c>
      <c r="K799" s="11"/>
      <c r="L799" s="12">
        <f>F799+H799+J799</f>
        <v>85974</v>
      </c>
      <c r="M799" s="522" t="s">
        <v>51</v>
      </c>
      <c r="N799" s="2" t="s">
        <v>86</v>
      </c>
      <c r="O799" s="2" t="s">
        <v>86</v>
      </c>
      <c r="P799" s="2" t="s">
        <v>51</v>
      </c>
      <c r="Q799" s="2" t="s">
        <v>51</v>
      </c>
      <c r="R799" s="2" t="s">
        <v>51</v>
      </c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2" t="s">
        <v>51</v>
      </c>
      <c r="AW799" s="2" t="s">
        <v>51</v>
      </c>
      <c r="AX799" s="2" t="s">
        <v>51</v>
      </c>
      <c r="AY799" s="2" t="s">
        <v>51</v>
      </c>
    </row>
    <row r="800" spans="1:51" ht="30" customHeight="1">
      <c r="A800" s="154"/>
      <c r="B800" s="154"/>
      <c r="C800" s="154"/>
      <c r="D800" s="154"/>
      <c r="E800" s="155"/>
      <c r="F800" s="156"/>
      <c r="G800" s="155"/>
      <c r="H800" s="156"/>
      <c r="I800" s="155"/>
      <c r="J800" s="156"/>
      <c r="K800" s="155"/>
      <c r="L800" s="156"/>
      <c r="M800" s="523"/>
    </row>
    <row r="801" spans="1:52" ht="30" customHeight="1">
      <c r="A801" s="1403" t="s">
        <v>4559</v>
      </c>
      <c r="B801" s="1403"/>
      <c r="C801" s="1403"/>
      <c r="D801" s="1403"/>
      <c r="E801" s="1404"/>
      <c r="F801" s="1405"/>
      <c r="G801" s="1404"/>
      <c r="H801" s="1405"/>
      <c r="I801" s="1404"/>
      <c r="J801" s="1405"/>
      <c r="K801" s="1404"/>
      <c r="L801" s="1405"/>
      <c r="M801" s="1403"/>
      <c r="N801" s="153"/>
    </row>
    <row r="802" spans="1:52" ht="30" customHeight="1">
      <c r="A802" s="154" t="s">
        <v>3497</v>
      </c>
      <c r="B802" s="154" t="s">
        <v>3504</v>
      </c>
      <c r="C802" s="154" t="s">
        <v>3505</v>
      </c>
      <c r="D802" s="154">
        <v>1</v>
      </c>
      <c r="E802" s="155">
        <f>단가대비표!O541</f>
        <v>8100</v>
      </c>
      <c r="F802" s="156">
        <f t="shared" ref="F802:F805" si="180">TRUNC(E802*D802,1)</f>
        <v>8100</v>
      </c>
      <c r="G802" s="155">
        <v>0</v>
      </c>
      <c r="H802" s="156">
        <f t="shared" ref="H802:H805" si="181">TRUNC(G802*D802,1)</f>
        <v>0</v>
      </c>
      <c r="I802" s="155"/>
      <c r="J802" s="156">
        <f t="shared" ref="J802:J804" si="182">TRUNC(I802*D802,1)</f>
        <v>0</v>
      </c>
      <c r="K802" s="155">
        <f t="shared" ref="K802:L805" si="183">TRUNC(E802+G802+I802,1)</f>
        <v>8100</v>
      </c>
      <c r="L802" s="156">
        <f t="shared" si="183"/>
        <v>8100</v>
      </c>
      <c r="M802" s="523"/>
    </row>
    <row r="803" spans="1:52" ht="30" customHeight="1">
      <c r="A803" s="154" t="s">
        <v>3500</v>
      </c>
      <c r="B803" s="154" t="s">
        <v>3503</v>
      </c>
      <c r="C803" s="154" t="s">
        <v>3506</v>
      </c>
      <c r="D803" s="154">
        <v>1</v>
      </c>
      <c r="E803" s="155">
        <f>E802*3%</f>
        <v>243</v>
      </c>
      <c r="F803" s="156">
        <f t="shared" si="180"/>
        <v>243</v>
      </c>
      <c r="G803" s="155">
        <v>0</v>
      </c>
      <c r="H803" s="156">
        <f t="shared" si="181"/>
        <v>0</v>
      </c>
      <c r="I803" s="155"/>
      <c r="J803" s="156">
        <f t="shared" si="182"/>
        <v>0</v>
      </c>
      <c r="K803" s="155">
        <f t="shared" si="183"/>
        <v>243</v>
      </c>
      <c r="L803" s="156">
        <f t="shared" si="183"/>
        <v>243</v>
      </c>
      <c r="M803" s="523"/>
    </row>
    <row r="804" spans="1:52" ht="30" customHeight="1">
      <c r="A804" s="154" t="s">
        <v>3501</v>
      </c>
      <c r="B804" s="154" t="s">
        <v>3502</v>
      </c>
      <c r="C804" s="154" t="s">
        <v>3507</v>
      </c>
      <c r="D804" s="154">
        <v>0.308</v>
      </c>
      <c r="E804" s="155">
        <v>0</v>
      </c>
      <c r="F804" s="156">
        <f t="shared" si="180"/>
        <v>0</v>
      </c>
      <c r="G804" s="155">
        <f>단가대비표!$P$572</f>
        <v>192305</v>
      </c>
      <c r="H804" s="156">
        <f t="shared" si="181"/>
        <v>59229.9</v>
      </c>
      <c r="I804" s="155"/>
      <c r="J804" s="156">
        <f t="shared" si="182"/>
        <v>0</v>
      </c>
      <c r="K804" s="155">
        <f t="shared" si="183"/>
        <v>192305</v>
      </c>
      <c r="L804" s="156">
        <f t="shared" si="183"/>
        <v>59229.9</v>
      </c>
      <c r="M804" s="523"/>
    </row>
    <row r="805" spans="1:52" ht="30" customHeight="1">
      <c r="A805" s="154" t="s">
        <v>3510</v>
      </c>
      <c r="B805" s="154" t="s">
        <v>3502</v>
      </c>
      <c r="C805" s="154" t="s">
        <v>3507</v>
      </c>
      <c r="D805" s="154">
        <v>5.7000000000000002E-2</v>
      </c>
      <c r="E805" s="155">
        <v>0</v>
      </c>
      <c r="F805" s="156">
        <f t="shared" si="180"/>
        <v>0</v>
      </c>
      <c r="G805" s="155">
        <f>단가대비표!$P$557</f>
        <v>155599</v>
      </c>
      <c r="H805" s="156">
        <f t="shared" si="181"/>
        <v>8869.1</v>
      </c>
      <c r="I805" s="155"/>
      <c r="J805" s="156">
        <f t="shared" ref="J805" si="184">TRUNC(I805*D805,1)</f>
        <v>0</v>
      </c>
      <c r="K805" s="155">
        <f t="shared" si="183"/>
        <v>155599</v>
      </c>
      <c r="L805" s="156">
        <f t="shared" si="183"/>
        <v>8869.1</v>
      </c>
      <c r="M805" s="523"/>
    </row>
    <row r="806" spans="1:52" ht="30" customHeight="1">
      <c r="A806" s="8" t="s">
        <v>950</v>
      </c>
      <c r="B806" s="8" t="s">
        <v>51</v>
      </c>
      <c r="C806" s="8" t="s">
        <v>51</v>
      </c>
      <c r="D806" s="154"/>
      <c r="E806" s="155"/>
      <c r="F806" s="156">
        <f>SUM(F802:F805)</f>
        <v>8343</v>
      </c>
      <c r="G806" s="155"/>
      <c r="H806" s="156">
        <f>SUM(H802:H805)</f>
        <v>68099</v>
      </c>
      <c r="I806" s="155"/>
      <c r="J806" s="156">
        <f>SUM(J802:J805)</f>
        <v>0</v>
      </c>
      <c r="K806" s="155"/>
      <c r="L806" s="156">
        <f>SUM(L802:L805)</f>
        <v>76442</v>
      </c>
      <c r="M806" s="522" t="s">
        <v>51</v>
      </c>
      <c r="N806" s="2" t="s">
        <v>86</v>
      </c>
      <c r="O806" s="2" t="s">
        <v>86</v>
      </c>
      <c r="P806" s="2" t="s">
        <v>51</v>
      </c>
      <c r="Q806" s="2" t="s">
        <v>51</v>
      </c>
      <c r="R806" s="2" t="s">
        <v>51</v>
      </c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2" t="s">
        <v>51</v>
      </c>
      <c r="AW806" s="2" t="s">
        <v>51</v>
      </c>
      <c r="AX806" s="2" t="s">
        <v>51</v>
      </c>
      <c r="AY806" s="2" t="s">
        <v>51</v>
      </c>
    </row>
    <row r="807" spans="1:52" ht="30" customHeight="1">
      <c r="A807" s="154"/>
      <c r="B807" s="154"/>
      <c r="C807" s="154"/>
      <c r="D807" s="154"/>
      <c r="E807" s="155"/>
      <c r="F807" s="156"/>
      <c r="G807" s="155"/>
      <c r="H807" s="156"/>
      <c r="I807" s="155"/>
      <c r="J807" s="156"/>
      <c r="K807" s="155"/>
      <c r="L807" s="156"/>
      <c r="M807" s="523"/>
    </row>
    <row r="808" spans="1:52" ht="30" customHeight="1">
      <c r="A808" s="1409" t="s">
        <v>6834</v>
      </c>
      <c r="B808" s="1400"/>
      <c r="C808" s="1400"/>
      <c r="D808" s="1400"/>
      <c r="E808" s="1401"/>
      <c r="F808" s="1402"/>
      <c r="G808" s="1401"/>
      <c r="H808" s="1402"/>
      <c r="I808" s="1401"/>
      <c r="J808" s="1402"/>
      <c r="K808" s="1401"/>
      <c r="L808" s="1402"/>
      <c r="M808" s="1400"/>
      <c r="N808" s="153"/>
      <c r="AZ808" t="s">
        <v>6722</v>
      </c>
    </row>
    <row r="809" spans="1:52" ht="30" customHeight="1">
      <c r="A809" s="154" t="s">
        <v>3513</v>
      </c>
      <c r="B809" s="154" t="s">
        <v>3518</v>
      </c>
      <c r="C809" s="154" t="s">
        <v>3521</v>
      </c>
      <c r="D809" s="154">
        <v>1</v>
      </c>
      <c r="E809" s="155">
        <f>단가대비표!O542</f>
        <v>7000</v>
      </c>
      <c r="F809" s="156">
        <f t="shared" ref="F809:F814" si="185">TRUNC(E809*D809,1)</f>
        <v>7000</v>
      </c>
      <c r="G809" s="155">
        <v>0</v>
      </c>
      <c r="H809" s="156">
        <f t="shared" ref="H809:H814" si="186">TRUNC(G809*D809,1)</f>
        <v>0</v>
      </c>
      <c r="I809" s="155"/>
      <c r="J809" s="156">
        <f t="shared" ref="J809:J814" si="187">TRUNC(I809*D809,1)</f>
        <v>0</v>
      </c>
      <c r="K809" s="155">
        <f t="shared" ref="K809:K814" si="188">TRUNC(E809+G809+I809,1)</f>
        <v>7000</v>
      </c>
      <c r="L809" s="156">
        <f t="shared" ref="L809:L814" si="189">TRUNC(F809+H809+J809,1)</f>
        <v>7000</v>
      </c>
      <c r="M809" s="523"/>
    </row>
    <row r="810" spans="1:52" ht="30" customHeight="1">
      <c r="A810" s="1171" t="s">
        <v>6723</v>
      </c>
      <c r="B810" s="1171" t="s">
        <v>6724</v>
      </c>
      <c r="C810" s="1171" t="s">
        <v>6716</v>
      </c>
      <c r="D810" s="1171">
        <v>1</v>
      </c>
      <c r="E810" s="1173">
        <f>TRUNC(F809*3%)</f>
        <v>210</v>
      </c>
      <c r="F810" s="1174">
        <f t="shared" si="185"/>
        <v>210</v>
      </c>
      <c r="G810" s="1173">
        <v>0</v>
      </c>
      <c r="H810" s="1174">
        <f t="shared" si="186"/>
        <v>0</v>
      </c>
      <c r="I810" s="1173"/>
      <c r="J810" s="1174">
        <f t="shared" ref="J810" si="190">TRUNC(I810*D810,1)</f>
        <v>0</v>
      </c>
      <c r="K810" s="1173">
        <f t="shared" ref="K810" si="191">TRUNC(E810+G810+I810,1)</f>
        <v>210</v>
      </c>
      <c r="L810" s="1174">
        <f t="shared" ref="L810" si="192">TRUNC(F810+H810+J810,1)</f>
        <v>210</v>
      </c>
      <c r="M810" s="1221"/>
    </row>
    <row r="811" spans="1:52" ht="30" customHeight="1">
      <c r="A811" s="154" t="s">
        <v>3514</v>
      </c>
      <c r="B811" s="154" t="s">
        <v>3517</v>
      </c>
      <c r="C811" s="154" t="s">
        <v>3522</v>
      </c>
      <c r="D811" s="1171">
        <v>0</v>
      </c>
      <c r="E811" s="155">
        <v>0</v>
      </c>
      <c r="F811" s="156">
        <f t="shared" si="185"/>
        <v>0</v>
      </c>
      <c r="G811" s="155">
        <f>단가대비표!P557</f>
        <v>155599</v>
      </c>
      <c r="H811" s="156">
        <f t="shared" si="186"/>
        <v>0</v>
      </c>
      <c r="I811" s="155"/>
      <c r="J811" s="156">
        <f t="shared" si="187"/>
        <v>0</v>
      </c>
      <c r="K811" s="155">
        <f t="shared" si="188"/>
        <v>155599</v>
      </c>
      <c r="L811" s="156">
        <f t="shared" si="189"/>
        <v>0</v>
      </c>
      <c r="M811" s="523"/>
      <c r="AZ811">
        <v>0.06</v>
      </c>
    </row>
    <row r="812" spans="1:52" ht="30" customHeight="1">
      <c r="A812" s="1171" t="s">
        <v>3501</v>
      </c>
      <c r="B812" s="1171" t="s">
        <v>3502</v>
      </c>
      <c r="C812" s="1171" t="s">
        <v>3507</v>
      </c>
      <c r="D812" s="1171">
        <v>0.05</v>
      </c>
      <c r="E812" s="1173">
        <v>0</v>
      </c>
      <c r="F812" s="1174">
        <f t="shared" si="185"/>
        <v>0</v>
      </c>
      <c r="G812" s="1173">
        <f>단가대비표!$P$572</f>
        <v>192305</v>
      </c>
      <c r="H812" s="1174">
        <f t="shared" si="186"/>
        <v>9615.2000000000007</v>
      </c>
      <c r="I812" s="1173"/>
      <c r="J812" s="1174">
        <f t="shared" si="187"/>
        <v>0</v>
      </c>
      <c r="K812" s="1173">
        <f t="shared" si="188"/>
        <v>192305</v>
      </c>
      <c r="L812" s="1174">
        <f t="shared" si="189"/>
        <v>9615.2000000000007</v>
      </c>
      <c r="M812" s="1221"/>
    </row>
    <row r="813" spans="1:52" ht="30" customHeight="1">
      <c r="A813" s="1171" t="s">
        <v>3510</v>
      </c>
      <c r="B813" s="1171" t="s">
        <v>3502</v>
      </c>
      <c r="C813" s="1171" t="s">
        <v>3507</v>
      </c>
      <c r="D813" s="1171">
        <v>0.01</v>
      </c>
      <c r="E813" s="1173">
        <v>0</v>
      </c>
      <c r="F813" s="1174">
        <f t="shared" si="185"/>
        <v>0</v>
      </c>
      <c r="G813" s="1173">
        <f>단가대비표!$P$557</f>
        <v>155599</v>
      </c>
      <c r="H813" s="1174">
        <f t="shared" si="186"/>
        <v>1555.9</v>
      </c>
      <c r="I813" s="1173"/>
      <c r="J813" s="1174">
        <f t="shared" si="187"/>
        <v>0</v>
      </c>
      <c r="K813" s="1173">
        <f t="shared" si="188"/>
        <v>155599</v>
      </c>
      <c r="L813" s="1174">
        <f t="shared" si="189"/>
        <v>1555.9</v>
      </c>
      <c r="M813" s="1221"/>
    </row>
    <row r="814" spans="1:52" ht="30" customHeight="1">
      <c r="A814" s="154" t="s">
        <v>3515</v>
      </c>
      <c r="B814" s="154" t="s">
        <v>3516</v>
      </c>
      <c r="C814" s="154" t="s">
        <v>3506</v>
      </c>
      <c r="D814" s="154">
        <v>1</v>
      </c>
      <c r="E814" s="155">
        <v>0</v>
      </c>
      <c r="F814" s="156">
        <f t="shared" si="185"/>
        <v>0</v>
      </c>
      <c r="G814" s="155">
        <f>TRUNC(SUM(H811:H813)*3%,0)</f>
        <v>335</v>
      </c>
      <c r="H814" s="156">
        <f t="shared" si="186"/>
        <v>335</v>
      </c>
      <c r="I814" s="155"/>
      <c r="J814" s="156">
        <f t="shared" si="187"/>
        <v>0</v>
      </c>
      <c r="K814" s="155">
        <f t="shared" si="188"/>
        <v>335</v>
      </c>
      <c r="L814" s="156">
        <f t="shared" si="189"/>
        <v>335</v>
      </c>
      <c r="M814" s="523"/>
    </row>
    <row r="815" spans="1:52" ht="30" customHeight="1">
      <c r="A815" s="8" t="s">
        <v>950</v>
      </c>
      <c r="B815" s="8" t="s">
        <v>51</v>
      </c>
      <c r="C815" s="8" t="s">
        <v>51</v>
      </c>
      <c r="D815" s="154"/>
      <c r="E815" s="155"/>
      <c r="F815" s="156">
        <f>SUM(F809:F814)</f>
        <v>7210</v>
      </c>
      <c r="G815" s="155"/>
      <c r="H815" s="1167">
        <f>SUM(H809:H814)</f>
        <v>11506.1</v>
      </c>
      <c r="I815" s="155"/>
      <c r="J815" s="1167">
        <f>SUM(J809:J814)</f>
        <v>0</v>
      </c>
      <c r="K815" s="155"/>
      <c r="L815" s="156">
        <f>SUM(L809:L814)</f>
        <v>18716.100000000002</v>
      </c>
      <c r="M815" s="522" t="s">
        <v>51</v>
      </c>
      <c r="N815" s="2" t="s">
        <v>86</v>
      </c>
      <c r="O815" s="2" t="s">
        <v>86</v>
      </c>
      <c r="P815" s="2" t="s">
        <v>51</v>
      </c>
      <c r="Q815" s="2" t="s">
        <v>51</v>
      </c>
      <c r="R815" s="2" t="s">
        <v>51</v>
      </c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2" t="s">
        <v>51</v>
      </c>
      <c r="AW815" s="2" t="s">
        <v>51</v>
      </c>
      <c r="AX815" s="2" t="s">
        <v>51</v>
      </c>
      <c r="AY815" s="2" t="s">
        <v>51</v>
      </c>
      <c r="AZ815" s="1170">
        <v>17815.900000000001</v>
      </c>
    </row>
    <row r="816" spans="1:52" ht="30" customHeight="1">
      <c r="A816" s="154"/>
      <c r="B816" s="154"/>
      <c r="C816" s="154"/>
      <c r="D816" s="154"/>
      <c r="E816" s="155"/>
      <c r="F816" s="156"/>
      <c r="G816" s="155"/>
      <c r="H816" s="156"/>
      <c r="I816" s="155"/>
      <c r="J816" s="156"/>
      <c r="K816" s="155"/>
      <c r="L816" s="156"/>
      <c r="M816" s="523"/>
    </row>
    <row r="817" spans="1:51" ht="30" customHeight="1">
      <c r="A817" s="1403" t="s">
        <v>4560</v>
      </c>
      <c r="B817" s="1403"/>
      <c r="C817" s="1403"/>
      <c r="D817" s="1403"/>
      <c r="E817" s="1404"/>
      <c r="F817" s="1405"/>
      <c r="G817" s="1404"/>
      <c r="H817" s="1405"/>
      <c r="I817" s="1404"/>
      <c r="J817" s="1405"/>
      <c r="K817" s="1404"/>
      <c r="L817" s="1405"/>
      <c r="M817" s="1403"/>
      <c r="N817" s="153"/>
    </row>
    <row r="818" spans="1:51" ht="30" customHeight="1">
      <c r="A818" s="154" t="s">
        <v>3524</v>
      </c>
      <c r="B818" s="154" t="s">
        <v>3526</v>
      </c>
      <c r="C818" s="154" t="s">
        <v>3527</v>
      </c>
      <c r="D818" s="154">
        <v>3.7999999999999999E-2</v>
      </c>
      <c r="E818" s="155">
        <v>0</v>
      </c>
      <c r="F818" s="156">
        <f t="shared" ref="F818:F819" si="193">TRUNC(E818*D818,1)</f>
        <v>0</v>
      </c>
      <c r="G818" s="155">
        <f>단가대비표!P557</f>
        <v>155599</v>
      </c>
      <c r="H818" s="156">
        <f t="shared" ref="H818:H819" si="194">TRUNC(G818*D818,1)</f>
        <v>5912.7</v>
      </c>
      <c r="I818" s="155"/>
      <c r="J818" s="156">
        <f t="shared" ref="J818:J819" si="195">TRUNC(I818*D818,1)</f>
        <v>0</v>
      </c>
      <c r="K818" s="155">
        <f t="shared" ref="K818:K819" si="196">TRUNC(E818+G818+I818,1)</f>
        <v>155599</v>
      </c>
      <c r="L818" s="156">
        <f t="shared" ref="L818:L819" si="197">TRUNC(F818+H818+J818,1)</f>
        <v>5912.7</v>
      </c>
      <c r="M818" s="523"/>
    </row>
    <row r="819" spans="1:51" ht="30" customHeight="1">
      <c r="A819" s="154" t="s">
        <v>3525</v>
      </c>
      <c r="B819" s="154" t="s">
        <v>3516</v>
      </c>
      <c r="C819" s="154" t="s">
        <v>3506</v>
      </c>
      <c r="D819" s="154">
        <v>1</v>
      </c>
      <c r="E819" s="155">
        <v>0</v>
      </c>
      <c r="F819" s="156">
        <f t="shared" si="193"/>
        <v>0</v>
      </c>
      <c r="G819" s="159">
        <f>H818*3%</f>
        <v>177.381</v>
      </c>
      <c r="H819" s="156">
        <f t="shared" si="194"/>
        <v>177.3</v>
      </c>
      <c r="I819" s="155"/>
      <c r="J819" s="156">
        <f t="shared" si="195"/>
        <v>0</v>
      </c>
      <c r="K819" s="155">
        <f t="shared" si="196"/>
        <v>177.3</v>
      </c>
      <c r="L819" s="156">
        <f t="shared" si="197"/>
        <v>177.3</v>
      </c>
      <c r="M819" s="523"/>
    </row>
    <row r="820" spans="1:51" ht="30" customHeight="1">
      <c r="A820" s="8" t="s">
        <v>950</v>
      </c>
      <c r="B820" s="8" t="s">
        <v>51</v>
      </c>
      <c r="C820" s="8" t="s">
        <v>51</v>
      </c>
      <c r="D820" s="154"/>
      <c r="E820" s="155"/>
      <c r="F820" s="156">
        <f>SUM(F818:F819)</f>
        <v>0</v>
      </c>
      <c r="G820" s="155"/>
      <c r="H820" s="156">
        <f>SUM(H818:H819)</f>
        <v>6090</v>
      </c>
      <c r="I820" s="155"/>
      <c r="J820" s="156">
        <f>SUM(J818:J819)</f>
        <v>0</v>
      </c>
      <c r="K820" s="155"/>
      <c r="L820" s="156">
        <f>SUM(L818:L819)</f>
        <v>6090</v>
      </c>
      <c r="M820" s="522" t="s">
        <v>51</v>
      </c>
      <c r="N820" s="2" t="s">
        <v>86</v>
      </c>
      <c r="O820" s="2" t="s">
        <v>86</v>
      </c>
      <c r="P820" s="2" t="s">
        <v>51</v>
      </c>
      <c r="Q820" s="2" t="s">
        <v>51</v>
      </c>
      <c r="R820" s="2" t="s">
        <v>51</v>
      </c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2" t="s">
        <v>51</v>
      </c>
      <c r="AW820" s="2" t="s">
        <v>51</v>
      </c>
      <c r="AX820" s="2" t="s">
        <v>51</v>
      </c>
      <c r="AY820" s="2" t="s">
        <v>51</v>
      </c>
    </row>
    <row r="821" spans="1:51" ht="30" customHeight="1">
      <c r="A821" s="154"/>
      <c r="B821" s="154"/>
      <c r="C821" s="154"/>
      <c r="D821" s="154"/>
      <c r="E821" s="155"/>
      <c r="F821" s="156"/>
      <c r="G821" s="155"/>
      <c r="H821" s="156"/>
      <c r="I821" s="155"/>
      <c r="J821" s="156"/>
      <c r="K821" s="155"/>
      <c r="L821" s="156"/>
      <c r="M821" s="523"/>
    </row>
    <row r="822" spans="1:51" ht="30" customHeight="1">
      <c r="A822" s="1403" t="s">
        <v>4561</v>
      </c>
      <c r="B822" s="1403"/>
      <c r="C822" s="1403"/>
      <c r="D822" s="1403"/>
      <c r="E822" s="1404"/>
      <c r="F822" s="1405"/>
      <c r="G822" s="1404"/>
      <c r="H822" s="1405"/>
      <c r="I822" s="1404"/>
      <c r="J822" s="1405"/>
      <c r="K822" s="1404"/>
      <c r="L822" s="1405"/>
      <c r="M822" s="1403"/>
      <c r="N822" s="153"/>
    </row>
    <row r="823" spans="1:51" ht="30" customHeight="1">
      <c r="A823" s="154" t="s">
        <v>3535</v>
      </c>
      <c r="B823" s="154" t="s">
        <v>3538</v>
      </c>
      <c r="C823" s="154" t="s">
        <v>3533</v>
      </c>
      <c r="D823" s="154">
        <v>2</v>
      </c>
      <c r="E823" s="155">
        <f>단가대비표!O31</f>
        <v>3997.58</v>
      </c>
      <c r="F823" s="156">
        <f t="shared" ref="F823:F826" si="198">TRUNC(E823*D823,1)</f>
        <v>7995.1</v>
      </c>
      <c r="G823" s="155">
        <v>0</v>
      </c>
      <c r="H823" s="156">
        <f t="shared" ref="H823:H826" si="199">TRUNC(G823*D823,1)</f>
        <v>0</v>
      </c>
      <c r="I823" s="155">
        <v>0</v>
      </c>
      <c r="J823" s="156">
        <f t="shared" ref="J823:J826" si="200">TRUNC(I823*D823,1)</f>
        <v>0</v>
      </c>
      <c r="K823" s="155">
        <f t="shared" ref="K823:K826" si="201">TRUNC(E823+G823+I823,1)</f>
        <v>3997.5</v>
      </c>
      <c r="L823" s="156">
        <f t="shared" ref="L823:L826" si="202">TRUNC(F823+H823+J823,1)</f>
        <v>7995.1</v>
      </c>
      <c r="M823" s="523"/>
    </row>
    <row r="824" spans="1:51" ht="30" customHeight="1">
      <c r="A824" s="154" t="s">
        <v>3534</v>
      </c>
      <c r="B824" s="154" t="s">
        <v>3537</v>
      </c>
      <c r="C824" s="154" t="s">
        <v>3527</v>
      </c>
      <c r="D824" s="154">
        <v>0.06</v>
      </c>
      <c r="E824" s="155">
        <v>0</v>
      </c>
      <c r="F824" s="156">
        <f t="shared" si="198"/>
        <v>0</v>
      </c>
      <c r="G824" s="155">
        <f>단가대비표!P568</f>
        <v>203532</v>
      </c>
      <c r="H824" s="156">
        <f t="shared" si="199"/>
        <v>12211.9</v>
      </c>
      <c r="I824" s="155">
        <v>0</v>
      </c>
      <c r="J824" s="156">
        <f t="shared" si="200"/>
        <v>0</v>
      </c>
      <c r="K824" s="155">
        <f t="shared" si="201"/>
        <v>203532</v>
      </c>
      <c r="L824" s="156">
        <f t="shared" si="202"/>
        <v>12211.9</v>
      </c>
      <c r="M824" s="523"/>
    </row>
    <row r="825" spans="1:51" ht="30" customHeight="1">
      <c r="A825" s="154" t="s">
        <v>3536</v>
      </c>
      <c r="B825" s="154" t="s">
        <v>3537</v>
      </c>
      <c r="C825" s="154" t="s">
        <v>3527</v>
      </c>
      <c r="D825" s="154">
        <v>6.0000000000000001E-3</v>
      </c>
      <c r="E825" s="155">
        <v>0</v>
      </c>
      <c r="F825" s="156">
        <f t="shared" si="198"/>
        <v>0</v>
      </c>
      <c r="G825" s="155">
        <f>단가대비표!P557</f>
        <v>155599</v>
      </c>
      <c r="H825" s="156">
        <f t="shared" si="199"/>
        <v>933.5</v>
      </c>
      <c r="I825" s="155">
        <v>0</v>
      </c>
      <c r="J825" s="156">
        <f t="shared" si="200"/>
        <v>0</v>
      </c>
      <c r="K825" s="155">
        <f t="shared" si="201"/>
        <v>155599</v>
      </c>
      <c r="L825" s="156">
        <f t="shared" si="202"/>
        <v>933.5</v>
      </c>
      <c r="M825" s="523"/>
    </row>
    <row r="826" spans="1:51" ht="30" customHeight="1">
      <c r="A826" s="154" t="s">
        <v>3539</v>
      </c>
      <c r="B826" s="154" t="s">
        <v>3540</v>
      </c>
      <c r="C826" s="154" t="s">
        <v>3506</v>
      </c>
      <c r="D826" s="154">
        <v>1</v>
      </c>
      <c r="E826" s="155">
        <v>0</v>
      </c>
      <c r="F826" s="156">
        <f t="shared" si="198"/>
        <v>0</v>
      </c>
      <c r="G826" s="155">
        <v>0</v>
      </c>
      <c r="H826" s="156">
        <f t="shared" si="199"/>
        <v>0</v>
      </c>
      <c r="I826" s="155">
        <f>SUM(H823:H825)*2%</f>
        <v>262.90800000000002</v>
      </c>
      <c r="J826" s="156">
        <f t="shared" si="200"/>
        <v>262.89999999999998</v>
      </c>
      <c r="K826" s="155">
        <f t="shared" si="201"/>
        <v>262.89999999999998</v>
      </c>
      <c r="L826" s="156">
        <f t="shared" si="202"/>
        <v>262.89999999999998</v>
      </c>
      <c r="M826" s="523"/>
    </row>
    <row r="827" spans="1:51" ht="30" customHeight="1">
      <c r="A827" s="8" t="s">
        <v>950</v>
      </c>
      <c r="B827" s="8" t="s">
        <v>51</v>
      </c>
      <c r="C827" s="8" t="s">
        <v>51</v>
      </c>
      <c r="D827" s="154"/>
      <c r="E827" s="155"/>
      <c r="F827" s="156">
        <f>SUM(F823:F826)</f>
        <v>7995.1</v>
      </c>
      <c r="G827" s="155"/>
      <c r="H827" s="156">
        <f>SUM(H823:H826)</f>
        <v>13145.4</v>
      </c>
      <c r="I827" s="155"/>
      <c r="J827" s="156">
        <f>SUM(J823:J826)</f>
        <v>262.89999999999998</v>
      </c>
      <c r="K827" s="155"/>
      <c r="L827" s="156">
        <f>SUM(L823:L826)</f>
        <v>21403.4</v>
      </c>
      <c r="M827" s="522" t="s">
        <v>51</v>
      </c>
      <c r="N827" s="2" t="s">
        <v>86</v>
      </c>
      <c r="O827" s="2" t="s">
        <v>86</v>
      </c>
      <c r="P827" s="2" t="s">
        <v>51</v>
      </c>
      <c r="Q827" s="2" t="s">
        <v>51</v>
      </c>
      <c r="R827" s="2" t="s">
        <v>51</v>
      </c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2" t="s">
        <v>51</v>
      </c>
      <c r="AW827" s="2" t="s">
        <v>51</v>
      </c>
      <c r="AX827" s="2" t="s">
        <v>51</v>
      </c>
      <c r="AY827" s="2" t="s">
        <v>51</v>
      </c>
    </row>
    <row r="828" spans="1:51" ht="30" customHeight="1">
      <c r="A828" s="154"/>
      <c r="B828" s="154"/>
      <c r="C828" s="154"/>
      <c r="D828" s="154"/>
      <c r="E828" s="155"/>
      <c r="F828" s="156"/>
      <c r="G828" s="155"/>
      <c r="H828" s="156"/>
      <c r="I828" s="155"/>
      <c r="J828" s="156"/>
      <c r="K828" s="155"/>
      <c r="L828" s="156"/>
      <c r="M828" s="523"/>
    </row>
    <row r="829" spans="1:51" ht="30" customHeight="1">
      <c r="A829" s="1403" t="s">
        <v>4562</v>
      </c>
      <c r="B829" s="1403"/>
      <c r="C829" s="1403"/>
      <c r="D829" s="1403"/>
      <c r="E829" s="1404"/>
      <c r="F829" s="1405"/>
      <c r="G829" s="1404"/>
      <c r="H829" s="1405"/>
      <c r="I829" s="1404"/>
      <c r="J829" s="1405"/>
      <c r="K829" s="1404"/>
      <c r="L829" s="1405"/>
      <c r="M829" s="1403"/>
      <c r="N829" s="153"/>
    </row>
    <row r="830" spans="1:51" ht="30" customHeight="1">
      <c r="A830" s="154" t="s">
        <v>3545</v>
      </c>
      <c r="B830" s="154" t="s">
        <v>3547</v>
      </c>
      <c r="C830" s="154" t="s">
        <v>3544</v>
      </c>
      <c r="D830" s="154">
        <v>1.05</v>
      </c>
      <c r="E830" s="155">
        <f>단가대비표!O543</f>
        <v>1542</v>
      </c>
      <c r="F830" s="156">
        <f t="shared" ref="F830:F837" si="203">TRUNC(E830*D830,1)</f>
        <v>1619.1</v>
      </c>
      <c r="G830" s="155"/>
      <c r="H830" s="156">
        <f t="shared" ref="H830:H837" si="204">TRUNC(G830*D830,1)</f>
        <v>0</v>
      </c>
      <c r="I830" s="155"/>
      <c r="J830" s="156">
        <f t="shared" ref="J830:J837" si="205">TRUNC(I830*D830,1)</f>
        <v>0</v>
      </c>
      <c r="K830" s="155">
        <f t="shared" ref="K830:K837" si="206">TRUNC(E830+G830+I830,1)</f>
        <v>1542</v>
      </c>
      <c r="L830" s="156">
        <f t="shared" ref="L830:L837" si="207">TRUNC(F830+H830+J830,1)</f>
        <v>1619.1</v>
      </c>
      <c r="M830" s="523"/>
    </row>
    <row r="831" spans="1:51" ht="30" customHeight="1">
      <c r="A831" s="154" t="s">
        <v>3545</v>
      </c>
      <c r="B831" s="154" t="s">
        <v>3548</v>
      </c>
      <c r="C831" s="154" t="s">
        <v>3544</v>
      </c>
      <c r="D831" s="154">
        <v>4.0918000000000001</v>
      </c>
      <c r="E831" s="155">
        <f>단가대비표!O544</f>
        <v>743</v>
      </c>
      <c r="F831" s="156">
        <f t="shared" si="203"/>
        <v>3040.2</v>
      </c>
      <c r="G831" s="155"/>
      <c r="H831" s="156">
        <f t="shared" si="204"/>
        <v>0</v>
      </c>
      <c r="I831" s="155"/>
      <c r="J831" s="156">
        <f t="shared" si="205"/>
        <v>0</v>
      </c>
      <c r="K831" s="155">
        <f t="shared" si="206"/>
        <v>743</v>
      </c>
      <c r="L831" s="156">
        <f t="shared" si="207"/>
        <v>3040.2</v>
      </c>
      <c r="M831" s="523"/>
    </row>
    <row r="832" spans="1:51" ht="30" customHeight="1">
      <c r="A832" s="154" t="s">
        <v>3546</v>
      </c>
      <c r="B832" s="154" t="s">
        <v>3549</v>
      </c>
      <c r="C832" s="154" t="s">
        <v>3579</v>
      </c>
      <c r="D832" s="154">
        <v>4.33</v>
      </c>
      <c r="E832" s="155">
        <f>단가대비표!O545</f>
        <v>454</v>
      </c>
      <c r="F832" s="156">
        <f t="shared" si="203"/>
        <v>1965.8</v>
      </c>
      <c r="G832" s="155"/>
      <c r="H832" s="156">
        <f t="shared" si="204"/>
        <v>0</v>
      </c>
      <c r="I832" s="155"/>
      <c r="J832" s="156">
        <f t="shared" si="205"/>
        <v>0</v>
      </c>
      <c r="K832" s="155">
        <f t="shared" si="206"/>
        <v>454</v>
      </c>
      <c r="L832" s="156">
        <f t="shared" si="207"/>
        <v>1965.8</v>
      </c>
      <c r="M832" s="523"/>
    </row>
    <row r="833" spans="1:51" ht="30" customHeight="1">
      <c r="A833" s="154" t="s">
        <v>3550</v>
      </c>
      <c r="B833" s="154" t="s">
        <v>3553</v>
      </c>
      <c r="C833" s="154" t="s">
        <v>3579</v>
      </c>
      <c r="D833" s="154">
        <v>4.33</v>
      </c>
      <c r="E833" s="155">
        <f>단가대비표!O546</f>
        <v>43</v>
      </c>
      <c r="F833" s="156">
        <f t="shared" si="203"/>
        <v>186.1</v>
      </c>
      <c r="G833" s="155">
        <f>단가대비표!P546</f>
        <v>237</v>
      </c>
      <c r="H833" s="156">
        <f t="shared" si="204"/>
        <v>1026.2</v>
      </c>
      <c r="I833" s="155"/>
      <c r="J833" s="156">
        <f t="shared" si="205"/>
        <v>0</v>
      </c>
      <c r="K833" s="155">
        <f t="shared" si="206"/>
        <v>280</v>
      </c>
      <c r="L833" s="156">
        <f t="shared" si="207"/>
        <v>1212.3</v>
      </c>
      <c r="M833" s="523"/>
    </row>
    <row r="834" spans="1:51" ht="30" customHeight="1">
      <c r="A834" s="154" t="s">
        <v>3551</v>
      </c>
      <c r="B834" s="154" t="s">
        <v>3555</v>
      </c>
      <c r="C834" s="154" t="s">
        <v>3578</v>
      </c>
      <c r="D834" s="154">
        <v>4.8540000000000001</v>
      </c>
      <c r="E834" s="155">
        <f>단가대비표!O547</f>
        <v>82</v>
      </c>
      <c r="F834" s="156">
        <f t="shared" si="203"/>
        <v>398</v>
      </c>
      <c r="G834" s="155">
        <f>단가대비표!P547</f>
        <v>4131</v>
      </c>
      <c r="H834" s="156">
        <f t="shared" si="204"/>
        <v>20051.8</v>
      </c>
      <c r="I834" s="155"/>
      <c r="J834" s="156">
        <f t="shared" si="205"/>
        <v>0</v>
      </c>
      <c r="K834" s="155">
        <f t="shared" si="206"/>
        <v>4213</v>
      </c>
      <c r="L834" s="156">
        <f t="shared" si="207"/>
        <v>20449.8</v>
      </c>
      <c r="M834" s="523"/>
    </row>
    <row r="835" spans="1:51" ht="30" customHeight="1">
      <c r="A835" s="154" t="s">
        <v>3552</v>
      </c>
      <c r="B835" s="154" t="s">
        <v>3556</v>
      </c>
      <c r="C835" s="154" t="s">
        <v>3533</v>
      </c>
      <c r="D835" s="154">
        <v>0.47</v>
      </c>
      <c r="E835" s="155">
        <f>단가대비표!O548</f>
        <v>506</v>
      </c>
      <c r="F835" s="156">
        <f t="shared" si="203"/>
        <v>237.8</v>
      </c>
      <c r="G835" s="155">
        <f>단가대비표!P548</f>
        <v>3223</v>
      </c>
      <c r="H835" s="156">
        <f t="shared" si="204"/>
        <v>1514.8</v>
      </c>
      <c r="I835" s="155"/>
      <c r="J835" s="156">
        <f t="shared" si="205"/>
        <v>0</v>
      </c>
      <c r="K835" s="155">
        <f t="shared" si="206"/>
        <v>3729</v>
      </c>
      <c r="L835" s="156">
        <f t="shared" si="207"/>
        <v>1752.6</v>
      </c>
      <c r="M835" s="523"/>
    </row>
    <row r="836" spans="1:51" ht="30" customHeight="1">
      <c r="A836" s="154" t="s">
        <v>3574</v>
      </c>
      <c r="B836" s="154" t="s">
        <v>3575</v>
      </c>
      <c r="C836" s="154" t="s">
        <v>3533</v>
      </c>
      <c r="D836" s="154">
        <v>0.47</v>
      </c>
      <c r="E836" s="155">
        <f>단가대비표!O549</f>
        <v>846</v>
      </c>
      <c r="F836" s="156">
        <f t="shared" si="203"/>
        <v>397.6</v>
      </c>
      <c r="G836" s="155">
        <f>단가대비표!P549</f>
        <v>8596</v>
      </c>
      <c r="H836" s="156">
        <f t="shared" si="204"/>
        <v>4040.1</v>
      </c>
      <c r="I836" s="155"/>
      <c r="J836" s="156">
        <f t="shared" si="205"/>
        <v>0</v>
      </c>
      <c r="K836" s="155">
        <f t="shared" si="206"/>
        <v>9442</v>
      </c>
      <c r="L836" s="156">
        <f t="shared" si="207"/>
        <v>4437.7</v>
      </c>
      <c r="M836" s="523"/>
    </row>
    <row r="837" spans="1:51" ht="30" customHeight="1">
      <c r="A837" s="154" t="s">
        <v>3576</v>
      </c>
      <c r="B837" s="154" t="s">
        <v>3577</v>
      </c>
      <c r="C837" s="154" t="s">
        <v>3578</v>
      </c>
      <c r="D837" s="154">
        <v>-0.21840000000000001</v>
      </c>
      <c r="E837" s="155">
        <f>단가대비표!O38</f>
        <v>340</v>
      </c>
      <c r="F837" s="156">
        <f t="shared" si="203"/>
        <v>-74.2</v>
      </c>
      <c r="G837" s="155"/>
      <c r="H837" s="156">
        <f t="shared" si="204"/>
        <v>0</v>
      </c>
      <c r="I837" s="155"/>
      <c r="J837" s="156">
        <f t="shared" si="205"/>
        <v>0</v>
      </c>
      <c r="K837" s="155">
        <f t="shared" si="206"/>
        <v>340</v>
      </c>
      <c r="L837" s="156">
        <f t="shared" si="207"/>
        <v>-74.2</v>
      </c>
      <c r="M837" s="523"/>
    </row>
    <row r="838" spans="1:51" ht="30" customHeight="1">
      <c r="A838" s="8" t="s">
        <v>950</v>
      </c>
      <c r="B838" s="8" t="s">
        <v>51</v>
      </c>
      <c r="C838" s="8" t="s">
        <v>51</v>
      </c>
      <c r="D838" s="154"/>
      <c r="E838" s="155"/>
      <c r="F838" s="156">
        <f>SUM(F830:F837)</f>
        <v>7770.4000000000005</v>
      </c>
      <c r="G838" s="155"/>
      <c r="H838" s="156">
        <f>SUM(H830:H837)</f>
        <v>26632.899999999998</v>
      </c>
      <c r="I838" s="155"/>
      <c r="J838" s="156">
        <f>SUM(J830:J837)</f>
        <v>0</v>
      </c>
      <c r="K838" s="155"/>
      <c r="L838" s="156">
        <f>SUM(L830:L837)</f>
        <v>34403.299999999996</v>
      </c>
      <c r="M838" s="522" t="s">
        <v>51</v>
      </c>
      <c r="N838" s="2" t="s">
        <v>86</v>
      </c>
      <c r="O838" s="2" t="s">
        <v>86</v>
      </c>
      <c r="P838" s="2" t="s">
        <v>51</v>
      </c>
      <c r="Q838" s="2" t="s">
        <v>51</v>
      </c>
      <c r="R838" s="2" t="s">
        <v>51</v>
      </c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2" t="s">
        <v>51</v>
      </c>
      <c r="AW838" s="2" t="s">
        <v>51</v>
      </c>
      <c r="AX838" s="2" t="s">
        <v>51</v>
      </c>
      <c r="AY838" s="2" t="s">
        <v>51</v>
      </c>
    </row>
    <row r="839" spans="1:51" ht="30" customHeight="1">
      <c r="A839" s="154"/>
      <c r="B839" s="154"/>
      <c r="C839" s="154"/>
      <c r="D839" s="154"/>
      <c r="E839" s="155"/>
      <c r="F839" s="156"/>
      <c r="G839" s="155"/>
      <c r="H839" s="156"/>
      <c r="I839" s="155"/>
      <c r="J839" s="156"/>
      <c r="K839" s="155"/>
      <c r="L839" s="156"/>
      <c r="M839" s="523"/>
    </row>
    <row r="840" spans="1:51" ht="30" customHeight="1">
      <c r="A840" s="1403" t="s">
        <v>4563</v>
      </c>
      <c r="B840" s="1403"/>
      <c r="C840" s="1403"/>
      <c r="D840" s="1403"/>
      <c r="E840" s="1404"/>
      <c r="F840" s="1405"/>
      <c r="G840" s="1404"/>
      <c r="H840" s="1405"/>
      <c r="I840" s="1404"/>
      <c r="J840" s="1405"/>
      <c r="K840" s="1404"/>
      <c r="L840" s="1405"/>
      <c r="M840" s="1403"/>
      <c r="N840" s="153" t="s">
        <v>279</v>
      </c>
    </row>
    <row r="841" spans="1:51" ht="30" customHeight="1">
      <c r="A841" s="8" t="s">
        <v>1378</v>
      </c>
      <c r="B841" s="8" t="s">
        <v>1379</v>
      </c>
      <c r="C841" s="8" t="s">
        <v>204</v>
      </c>
      <c r="D841" s="154">
        <v>4.5</v>
      </c>
      <c r="E841" s="155">
        <f>단가대비표!O49</f>
        <v>711</v>
      </c>
      <c r="F841" s="156">
        <f t="shared" ref="F841:F850" si="208">TRUNC(E841*D841,1)</f>
        <v>3199.5</v>
      </c>
      <c r="G841" s="155"/>
      <c r="H841" s="156">
        <f t="shared" ref="H841:H850" si="209">TRUNC(G841*D841,1)</f>
        <v>0</v>
      </c>
      <c r="I841" s="155">
        <f>단가대비표!V1054</f>
        <v>0</v>
      </c>
      <c r="J841" s="156">
        <f t="shared" ref="J841:J850" si="210">TRUNC(I841*D841,1)</f>
        <v>0</v>
      </c>
      <c r="K841" s="155">
        <f t="shared" ref="K841:K850" si="211">TRUNC(E841+G841+I841,1)</f>
        <v>711</v>
      </c>
      <c r="L841" s="156">
        <f t="shared" ref="L841:L850" si="212">TRUNC(F841+H841+J841,1)</f>
        <v>3199.5</v>
      </c>
      <c r="M841" s="522" t="s">
        <v>51</v>
      </c>
      <c r="N841" s="2" t="s">
        <v>279</v>
      </c>
      <c r="O841" s="2" t="s">
        <v>1380</v>
      </c>
      <c r="P841" s="2" t="s">
        <v>62</v>
      </c>
      <c r="Q841" s="2" t="s">
        <v>62</v>
      </c>
      <c r="R841" s="2" t="s">
        <v>61</v>
      </c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2" t="s">
        <v>51</v>
      </c>
      <c r="AW841" s="2" t="s">
        <v>1381</v>
      </c>
      <c r="AX841" s="2" t="s">
        <v>51</v>
      </c>
      <c r="AY841" s="2" t="s">
        <v>51</v>
      </c>
    </row>
    <row r="842" spans="1:51" ht="30" customHeight="1">
      <c r="A842" s="8" t="s">
        <v>1382</v>
      </c>
      <c r="B842" s="8" t="s">
        <v>1383</v>
      </c>
      <c r="C842" s="8" t="s">
        <v>993</v>
      </c>
      <c r="D842" s="154">
        <v>13.816000000000001</v>
      </c>
      <c r="E842" s="155">
        <f>단가대비표!O50</f>
        <v>700</v>
      </c>
      <c r="F842" s="156">
        <f t="shared" si="208"/>
        <v>9671.2000000000007</v>
      </c>
      <c r="G842" s="155"/>
      <c r="H842" s="156">
        <f t="shared" si="209"/>
        <v>0</v>
      </c>
      <c r="I842" s="155">
        <f>단가대비표!V613</f>
        <v>0</v>
      </c>
      <c r="J842" s="156">
        <f t="shared" si="210"/>
        <v>0</v>
      </c>
      <c r="K842" s="155">
        <f t="shared" si="211"/>
        <v>700</v>
      </c>
      <c r="L842" s="156">
        <f t="shared" si="212"/>
        <v>9671.2000000000007</v>
      </c>
      <c r="M842" s="522" t="s">
        <v>51</v>
      </c>
      <c r="N842" s="2" t="s">
        <v>279</v>
      </c>
      <c r="O842" s="2" t="s">
        <v>1384</v>
      </c>
      <c r="P842" s="2" t="s">
        <v>62</v>
      </c>
      <c r="Q842" s="2" t="s">
        <v>62</v>
      </c>
      <c r="R842" s="2" t="s">
        <v>61</v>
      </c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2" t="s">
        <v>51</v>
      </c>
      <c r="AW842" s="2" t="s">
        <v>1385</v>
      </c>
      <c r="AX842" s="2" t="s">
        <v>51</v>
      </c>
      <c r="AY842" s="2" t="s">
        <v>51</v>
      </c>
    </row>
    <row r="843" spans="1:51" ht="30" customHeight="1">
      <c r="A843" s="8" t="s">
        <v>1126</v>
      </c>
      <c r="B843" s="8" t="s">
        <v>1127</v>
      </c>
      <c r="C843" s="8" t="s">
        <v>993</v>
      </c>
      <c r="D843" s="154">
        <v>0.02</v>
      </c>
      <c r="E843" s="155">
        <f>단가대비표!O45</f>
        <v>2290</v>
      </c>
      <c r="F843" s="156">
        <f t="shared" si="208"/>
        <v>45.8</v>
      </c>
      <c r="G843" s="155"/>
      <c r="H843" s="156">
        <f t="shared" si="209"/>
        <v>0</v>
      </c>
      <c r="I843" s="155">
        <f>단가대비표!V606</f>
        <v>1159</v>
      </c>
      <c r="J843" s="156">
        <f t="shared" si="210"/>
        <v>23.1</v>
      </c>
      <c r="K843" s="155">
        <f t="shared" si="211"/>
        <v>3449</v>
      </c>
      <c r="L843" s="156">
        <f t="shared" si="212"/>
        <v>68.900000000000006</v>
      </c>
      <c r="M843" s="522" t="s">
        <v>51</v>
      </c>
      <c r="N843" s="2" t="s">
        <v>279</v>
      </c>
      <c r="O843" s="2" t="s">
        <v>1128</v>
      </c>
      <c r="P843" s="2" t="s">
        <v>62</v>
      </c>
      <c r="Q843" s="2" t="s">
        <v>62</v>
      </c>
      <c r="R843" s="2" t="s">
        <v>61</v>
      </c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2" t="s">
        <v>51</v>
      </c>
      <c r="AW843" s="2" t="s">
        <v>1386</v>
      </c>
      <c r="AX843" s="2" t="s">
        <v>51</v>
      </c>
      <c r="AY843" s="2" t="s">
        <v>51</v>
      </c>
    </row>
    <row r="844" spans="1:51" ht="30" customHeight="1">
      <c r="A844" s="8" t="s">
        <v>1387</v>
      </c>
      <c r="B844" s="8" t="s">
        <v>1388</v>
      </c>
      <c r="C844" s="8" t="s">
        <v>1230</v>
      </c>
      <c r="D844" s="154">
        <v>7.4969999999999999</v>
      </c>
      <c r="E844" s="155">
        <f>단가대비표!O40</f>
        <v>2.2200000000000002</v>
      </c>
      <c r="F844" s="156">
        <f t="shared" si="208"/>
        <v>16.600000000000001</v>
      </c>
      <c r="G844" s="155"/>
      <c r="H844" s="156">
        <f t="shared" si="209"/>
        <v>0</v>
      </c>
      <c r="I844" s="155">
        <f>단가대비표!V602</f>
        <v>0</v>
      </c>
      <c r="J844" s="156">
        <f t="shared" si="210"/>
        <v>0</v>
      </c>
      <c r="K844" s="155">
        <f t="shared" si="211"/>
        <v>2.2000000000000002</v>
      </c>
      <c r="L844" s="156">
        <f t="shared" si="212"/>
        <v>16.600000000000001</v>
      </c>
      <c r="M844" s="522" t="s">
        <v>1389</v>
      </c>
      <c r="N844" s="2" t="s">
        <v>279</v>
      </c>
      <c r="O844" s="2" t="s">
        <v>1390</v>
      </c>
      <c r="P844" s="2" t="s">
        <v>62</v>
      </c>
      <c r="Q844" s="2" t="s">
        <v>62</v>
      </c>
      <c r="R844" s="2" t="s">
        <v>61</v>
      </c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2" t="s">
        <v>51</v>
      </c>
      <c r="AW844" s="2" t="s">
        <v>1391</v>
      </c>
      <c r="AX844" s="2" t="s">
        <v>51</v>
      </c>
      <c r="AY844" s="2" t="s">
        <v>51</v>
      </c>
    </row>
    <row r="845" spans="1:51" ht="30" customHeight="1">
      <c r="A845" s="8" t="s">
        <v>1392</v>
      </c>
      <c r="B845" s="8" t="s">
        <v>1393</v>
      </c>
      <c r="C845" s="8" t="s">
        <v>1394</v>
      </c>
      <c r="D845" s="154">
        <v>20</v>
      </c>
      <c r="E845" s="155">
        <f>단가대비표!O43</f>
        <v>13</v>
      </c>
      <c r="F845" s="156">
        <f t="shared" si="208"/>
        <v>260</v>
      </c>
      <c r="G845" s="155"/>
      <c r="H845" s="156">
        <f t="shared" si="209"/>
        <v>0</v>
      </c>
      <c r="I845" s="155">
        <f>단가대비표!V605</f>
        <v>25</v>
      </c>
      <c r="J845" s="156">
        <f t="shared" si="210"/>
        <v>500</v>
      </c>
      <c r="K845" s="155">
        <f t="shared" si="211"/>
        <v>38</v>
      </c>
      <c r="L845" s="156">
        <f t="shared" si="212"/>
        <v>760</v>
      </c>
      <c r="M845" s="522" t="s">
        <v>51</v>
      </c>
      <c r="N845" s="2" t="s">
        <v>279</v>
      </c>
      <c r="O845" s="2" t="s">
        <v>1395</v>
      </c>
      <c r="P845" s="2" t="s">
        <v>62</v>
      </c>
      <c r="Q845" s="2" t="s">
        <v>62</v>
      </c>
      <c r="R845" s="2" t="s">
        <v>61</v>
      </c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2" t="s">
        <v>51</v>
      </c>
      <c r="AW845" s="2" t="s">
        <v>1396</v>
      </c>
      <c r="AX845" s="2" t="s">
        <v>51</v>
      </c>
      <c r="AY845" s="2" t="s">
        <v>51</v>
      </c>
    </row>
    <row r="846" spans="1:51" ht="30" customHeight="1">
      <c r="A846" s="8" t="s">
        <v>1367</v>
      </c>
      <c r="B846" s="8" t="s">
        <v>418</v>
      </c>
      <c r="C846" s="8" t="s">
        <v>419</v>
      </c>
      <c r="D846" s="154">
        <v>0.24</v>
      </c>
      <c r="E846" s="155"/>
      <c r="F846" s="156">
        <f t="shared" si="208"/>
        <v>0</v>
      </c>
      <c r="G846" s="155">
        <f>단가대비표!P561</f>
        <v>178010</v>
      </c>
      <c r="H846" s="156">
        <f t="shared" si="209"/>
        <v>42722.400000000001</v>
      </c>
      <c r="I846" s="155">
        <f>단가대비표!V1081</f>
        <v>0</v>
      </c>
      <c r="J846" s="156">
        <f t="shared" si="210"/>
        <v>0</v>
      </c>
      <c r="K846" s="155">
        <f t="shared" si="211"/>
        <v>178010</v>
      </c>
      <c r="L846" s="156">
        <f t="shared" si="212"/>
        <v>42722.400000000001</v>
      </c>
      <c r="M846" s="522" t="s">
        <v>51</v>
      </c>
      <c r="N846" s="2" t="s">
        <v>279</v>
      </c>
      <c r="O846" s="2" t="s">
        <v>1368</v>
      </c>
      <c r="P846" s="2" t="s">
        <v>62</v>
      </c>
      <c r="Q846" s="2" t="s">
        <v>62</v>
      </c>
      <c r="R846" s="2" t="s">
        <v>61</v>
      </c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2" t="s">
        <v>51</v>
      </c>
      <c r="AW846" s="2" t="s">
        <v>1397</v>
      </c>
      <c r="AX846" s="2" t="s">
        <v>51</v>
      </c>
      <c r="AY846" s="2" t="s">
        <v>51</v>
      </c>
    </row>
    <row r="847" spans="1:51" ht="30" customHeight="1">
      <c r="A847" s="8" t="s">
        <v>996</v>
      </c>
      <c r="B847" s="8" t="s">
        <v>947</v>
      </c>
      <c r="C847" s="8" t="s">
        <v>419</v>
      </c>
      <c r="D847" s="154">
        <v>0.1</v>
      </c>
      <c r="E847" s="155"/>
      <c r="F847" s="156">
        <f t="shared" si="208"/>
        <v>0</v>
      </c>
      <c r="G847" s="155">
        <f>단가대비표!P556</f>
        <v>130264</v>
      </c>
      <c r="H847" s="156">
        <f t="shared" si="209"/>
        <v>13026.4</v>
      </c>
      <c r="I847" s="155">
        <f>단가대비표!V1077</f>
        <v>0</v>
      </c>
      <c r="J847" s="156">
        <f t="shared" si="210"/>
        <v>0</v>
      </c>
      <c r="K847" s="155">
        <f t="shared" si="211"/>
        <v>130264</v>
      </c>
      <c r="L847" s="156">
        <f t="shared" si="212"/>
        <v>13026.4</v>
      </c>
      <c r="M847" s="522" t="s">
        <v>51</v>
      </c>
      <c r="N847" s="2" t="s">
        <v>279</v>
      </c>
      <c r="O847" s="2" t="s">
        <v>997</v>
      </c>
      <c r="P847" s="2" t="s">
        <v>62</v>
      </c>
      <c r="Q847" s="2" t="s">
        <v>62</v>
      </c>
      <c r="R847" s="2" t="s">
        <v>61</v>
      </c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2" t="s">
        <v>51</v>
      </c>
      <c r="AW847" s="2" t="s">
        <v>1398</v>
      </c>
      <c r="AX847" s="2" t="s">
        <v>51</v>
      </c>
      <c r="AY847" s="2" t="s">
        <v>51</v>
      </c>
    </row>
    <row r="848" spans="1:51" ht="30" customHeight="1">
      <c r="A848" s="8" t="s">
        <v>1006</v>
      </c>
      <c r="B848" s="8" t="s">
        <v>418</v>
      </c>
      <c r="C848" s="8" t="s">
        <v>419</v>
      </c>
      <c r="D848" s="154">
        <v>0.15</v>
      </c>
      <c r="E848" s="155"/>
      <c r="F848" s="156">
        <f t="shared" si="208"/>
        <v>0</v>
      </c>
      <c r="G848" s="155">
        <f>단가대비표!P562</f>
        <v>209394</v>
      </c>
      <c r="H848" s="156">
        <f t="shared" si="209"/>
        <v>31409.1</v>
      </c>
      <c r="I848" s="155">
        <f>단가대비표!V1083</f>
        <v>0</v>
      </c>
      <c r="J848" s="156">
        <f t="shared" si="210"/>
        <v>0</v>
      </c>
      <c r="K848" s="155">
        <f t="shared" si="211"/>
        <v>209394</v>
      </c>
      <c r="L848" s="156">
        <f t="shared" si="212"/>
        <v>31409.1</v>
      </c>
      <c r="M848" s="522" t="s">
        <v>51</v>
      </c>
      <c r="N848" s="2" t="s">
        <v>279</v>
      </c>
      <c r="O848" s="2" t="s">
        <v>1007</v>
      </c>
      <c r="P848" s="2" t="s">
        <v>62</v>
      </c>
      <c r="Q848" s="2" t="s">
        <v>62</v>
      </c>
      <c r="R848" s="2" t="s">
        <v>61</v>
      </c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2" t="s">
        <v>51</v>
      </c>
      <c r="AW848" s="2" t="s">
        <v>1399</v>
      </c>
      <c r="AX848" s="2" t="s">
        <v>51</v>
      </c>
      <c r="AY848" s="2" t="s">
        <v>51</v>
      </c>
    </row>
    <row r="849" spans="1:52" ht="30" customHeight="1">
      <c r="A849" s="8" t="s">
        <v>1372</v>
      </c>
      <c r="B849" s="8" t="s">
        <v>1135</v>
      </c>
      <c r="C849" s="8" t="s">
        <v>82</v>
      </c>
      <c r="D849" s="154">
        <v>1</v>
      </c>
      <c r="E849" s="155"/>
      <c r="F849" s="156">
        <f t="shared" si="208"/>
        <v>0</v>
      </c>
      <c r="G849" s="155"/>
      <c r="H849" s="156">
        <f t="shared" si="209"/>
        <v>0</v>
      </c>
      <c r="I849" s="155">
        <f>단가대비표!V1001</f>
        <v>0</v>
      </c>
      <c r="J849" s="156">
        <f t="shared" si="210"/>
        <v>0</v>
      </c>
      <c r="K849" s="155">
        <f t="shared" si="211"/>
        <v>0</v>
      </c>
      <c r="L849" s="156">
        <f t="shared" si="212"/>
        <v>0</v>
      </c>
      <c r="M849" s="522" t="s">
        <v>51</v>
      </c>
      <c r="N849" s="2" t="s">
        <v>279</v>
      </c>
      <c r="O849" s="2" t="s">
        <v>1373</v>
      </c>
      <c r="P849" s="2" t="s">
        <v>62</v>
      </c>
      <c r="Q849" s="2" t="s">
        <v>62</v>
      </c>
      <c r="R849" s="2" t="s">
        <v>61</v>
      </c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2" t="s">
        <v>51</v>
      </c>
      <c r="AW849" s="2" t="s">
        <v>1400</v>
      </c>
      <c r="AX849" s="2" t="s">
        <v>51</v>
      </c>
      <c r="AY849" s="2" t="s">
        <v>51</v>
      </c>
    </row>
    <row r="850" spans="1:52" ht="30" customHeight="1">
      <c r="A850" s="8" t="s">
        <v>1134</v>
      </c>
      <c r="B850" s="8" t="s">
        <v>1135</v>
      </c>
      <c r="C850" s="8" t="s">
        <v>82</v>
      </c>
      <c r="D850" s="154">
        <v>1</v>
      </c>
      <c r="E850" s="155"/>
      <c r="F850" s="156">
        <f t="shared" si="208"/>
        <v>0</v>
      </c>
      <c r="G850" s="155"/>
      <c r="H850" s="156">
        <f t="shared" si="209"/>
        <v>0</v>
      </c>
      <c r="I850" s="155">
        <f>단가대비표!V1002</f>
        <v>0</v>
      </c>
      <c r="J850" s="156">
        <f t="shared" si="210"/>
        <v>0</v>
      </c>
      <c r="K850" s="155">
        <f t="shared" si="211"/>
        <v>0</v>
      </c>
      <c r="L850" s="156">
        <f t="shared" si="212"/>
        <v>0</v>
      </c>
      <c r="M850" s="522" t="s">
        <v>51</v>
      </c>
      <c r="N850" s="2" t="s">
        <v>279</v>
      </c>
      <c r="O850" s="2" t="s">
        <v>1375</v>
      </c>
      <c r="P850" s="2" t="s">
        <v>62</v>
      </c>
      <c r="Q850" s="2" t="s">
        <v>62</v>
      </c>
      <c r="R850" s="2" t="s">
        <v>61</v>
      </c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2" t="s">
        <v>51</v>
      </c>
      <c r="AW850" s="2" t="s">
        <v>1401</v>
      </c>
      <c r="AX850" s="2" t="s">
        <v>51</v>
      </c>
      <c r="AY850" s="2" t="s">
        <v>51</v>
      </c>
    </row>
    <row r="851" spans="1:52" ht="30" customHeight="1">
      <c r="A851" s="8" t="s">
        <v>950</v>
      </c>
      <c r="B851" s="8" t="s">
        <v>51</v>
      </c>
      <c r="C851" s="8" t="s">
        <v>51</v>
      </c>
      <c r="D851" s="154"/>
      <c r="E851" s="155"/>
      <c r="F851" s="156">
        <f>TRUNC(SUMIF(N841:N850, N840, F841:F850),0)</f>
        <v>13193</v>
      </c>
      <c r="G851" s="155"/>
      <c r="H851" s="156">
        <f>TRUNC(SUMIF(N841:N850, N840, H841:H850),0)</f>
        <v>87157</v>
      </c>
      <c r="I851" s="155"/>
      <c r="J851" s="156">
        <f>TRUNC(SUMIF(N841:N850, N840, J841:J850),0)</f>
        <v>523</v>
      </c>
      <c r="K851" s="155"/>
      <c r="L851" s="156">
        <f>F851+H851+J851</f>
        <v>100873</v>
      </c>
      <c r="M851" s="522" t="s">
        <v>51</v>
      </c>
      <c r="N851" s="2" t="s">
        <v>86</v>
      </c>
      <c r="O851" s="2" t="s">
        <v>86</v>
      </c>
      <c r="P851" s="2" t="s">
        <v>51</v>
      </c>
      <c r="Q851" s="2" t="s">
        <v>51</v>
      </c>
      <c r="R851" s="2" t="s">
        <v>51</v>
      </c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2" t="s">
        <v>51</v>
      </c>
      <c r="AW851" s="2" t="s">
        <v>51</v>
      </c>
      <c r="AX851" s="2" t="s">
        <v>51</v>
      </c>
      <c r="AY851" s="2" t="s">
        <v>51</v>
      </c>
    </row>
    <row r="852" spans="1:52" ht="30" customHeight="1">
      <c r="A852" s="154"/>
      <c r="B852" s="154"/>
      <c r="C852" s="154"/>
      <c r="D852" s="154"/>
      <c r="E852" s="155"/>
      <c r="F852" s="156"/>
      <c r="G852" s="155"/>
      <c r="H852" s="156"/>
      <c r="I852" s="155"/>
      <c r="J852" s="156"/>
      <c r="K852" s="155"/>
      <c r="L852" s="156"/>
      <c r="M852" s="523"/>
    </row>
    <row r="853" spans="1:52" ht="30" customHeight="1">
      <c r="A853" s="1400" t="s">
        <v>6744</v>
      </c>
      <c r="B853" s="1400"/>
      <c r="C853" s="1400"/>
      <c r="D853" s="1400"/>
      <c r="E853" s="1401"/>
      <c r="F853" s="1402"/>
      <c r="G853" s="1401"/>
      <c r="H853" s="1402"/>
      <c r="I853" s="1401"/>
      <c r="J853" s="1402"/>
      <c r="K853" s="1401"/>
      <c r="L853" s="1402"/>
      <c r="M853" s="1400"/>
      <c r="N853" s="153" t="s">
        <v>724</v>
      </c>
      <c r="AZ853" t="s">
        <v>6745</v>
      </c>
    </row>
    <row r="854" spans="1:52" ht="30" customHeight="1">
      <c r="A854" s="8" t="s">
        <v>3592</v>
      </c>
      <c r="B854" s="8" t="s">
        <v>3537</v>
      </c>
      <c r="C854" s="8" t="s">
        <v>3527</v>
      </c>
      <c r="D854" s="154">
        <v>0.06</v>
      </c>
      <c r="E854" s="155">
        <v>0</v>
      </c>
      <c r="F854" s="156">
        <f>TRUNC(E854*D854,1)</f>
        <v>0</v>
      </c>
      <c r="G854" s="155">
        <f>단가대비표!P558</f>
        <v>228462</v>
      </c>
      <c r="H854" s="156">
        <f>TRUNC(G854*D854,1)</f>
        <v>13707.7</v>
      </c>
      <c r="I854" s="155">
        <v>0</v>
      </c>
      <c r="J854" s="156">
        <f>TRUNC(I854*D854,1)</f>
        <v>0</v>
      </c>
      <c r="K854" s="155">
        <f>TRUNC(E854+G854+I854,1)</f>
        <v>228462</v>
      </c>
      <c r="L854" s="156">
        <f>TRUNC(F854+H854+J854,1)</f>
        <v>13707.7</v>
      </c>
      <c r="M854" s="522" t="s">
        <v>51</v>
      </c>
      <c r="N854" s="2" t="s">
        <v>724</v>
      </c>
      <c r="O854" s="2" t="s">
        <v>1691</v>
      </c>
      <c r="P854" s="2" t="s">
        <v>62</v>
      </c>
      <c r="Q854" s="2" t="s">
        <v>62</v>
      </c>
      <c r="R854" s="2" t="s">
        <v>61</v>
      </c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2" t="s">
        <v>51</v>
      </c>
      <c r="AW854" s="2" t="s">
        <v>1692</v>
      </c>
      <c r="AX854" s="2" t="s">
        <v>51</v>
      </c>
      <c r="AY854" s="2" t="s">
        <v>51</v>
      </c>
    </row>
    <row r="855" spans="1:52" ht="30" customHeight="1">
      <c r="A855" s="8" t="s">
        <v>3593</v>
      </c>
      <c r="B855" s="8" t="s">
        <v>3594</v>
      </c>
      <c r="C855" s="8" t="s">
        <v>419</v>
      </c>
      <c r="D855" s="154">
        <v>0.02</v>
      </c>
      <c r="E855" s="155">
        <v>0</v>
      </c>
      <c r="F855" s="156">
        <f>TRUNC(E855*D855,1)</f>
        <v>0</v>
      </c>
      <c r="G855" s="155">
        <f>단가대비표!P556</f>
        <v>130264</v>
      </c>
      <c r="H855" s="156">
        <f>TRUNC(G855*D855,1)</f>
        <v>2605.1999999999998</v>
      </c>
      <c r="I855" s="155">
        <v>0</v>
      </c>
      <c r="J855" s="156">
        <f>TRUNC(I855*D855,1)</f>
        <v>0</v>
      </c>
      <c r="K855" s="155">
        <f>TRUNC(E855+G855+I855,1)</f>
        <v>130264</v>
      </c>
      <c r="L855" s="156">
        <f>TRUNC(F855+H855+J855,1)</f>
        <v>2605.1999999999998</v>
      </c>
      <c r="M855" s="522" t="s">
        <v>51</v>
      </c>
      <c r="N855" s="2" t="s">
        <v>724</v>
      </c>
      <c r="O855" s="2" t="s">
        <v>1693</v>
      </c>
      <c r="P855" s="2" t="s">
        <v>62</v>
      </c>
      <c r="Q855" s="2" t="s">
        <v>62</v>
      </c>
      <c r="R855" s="2" t="s">
        <v>61</v>
      </c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2" t="s">
        <v>51</v>
      </c>
      <c r="AW855" s="2" t="s">
        <v>1694</v>
      </c>
      <c r="AX855" s="2" t="s">
        <v>51</v>
      </c>
      <c r="AY855" s="2" t="s">
        <v>51</v>
      </c>
    </row>
    <row r="856" spans="1:52" ht="30" customHeight="1">
      <c r="A856" s="8" t="s">
        <v>3539</v>
      </c>
      <c r="B856" s="8" t="s">
        <v>3540</v>
      </c>
      <c r="C856" s="8" t="s">
        <v>3506</v>
      </c>
      <c r="D856" s="154">
        <v>1</v>
      </c>
      <c r="E856" s="155">
        <v>0</v>
      </c>
      <c r="F856" s="156">
        <f>TRUNC(E856*D856,1)</f>
        <v>0</v>
      </c>
      <c r="G856" s="155">
        <v>0</v>
      </c>
      <c r="H856" s="156">
        <f>TRUNC(G856*D856,1)</f>
        <v>0</v>
      </c>
      <c r="I856" s="155">
        <f>SUM(H854:H855)*2%</f>
        <v>326.25800000000004</v>
      </c>
      <c r="J856" s="156">
        <f>TRUNC(I856*D856,1)</f>
        <v>326.2</v>
      </c>
      <c r="K856" s="155">
        <f t="shared" ref="K856:K857" si="213">TRUNC(E856+G856+I856,1)</f>
        <v>326.2</v>
      </c>
      <c r="L856" s="156">
        <f t="shared" ref="L856:L857" si="214">TRUNC(F856+H856+J856,1)</f>
        <v>326.2</v>
      </c>
      <c r="M856" s="522"/>
      <c r="N856" s="2"/>
      <c r="O856" s="2"/>
      <c r="P856" s="2"/>
      <c r="Q856" s="2"/>
      <c r="R856" s="2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2"/>
      <c r="AW856" s="2"/>
      <c r="AX856" s="2"/>
      <c r="AY856" s="2"/>
    </row>
    <row r="857" spans="1:52" ht="30" customHeight="1">
      <c r="A857" s="8" t="s">
        <v>3595</v>
      </c>
      <c r="B857" s="8" t="s">
        <v>3597</v>
      </c>
      <c r="C857" s="8" t="s">
        <v>3596</v>
      </c>
      <c r="D857" s="1171">
        <v>0</v>
      </c>
      <c r="E857" s="155">
        <v>1065</v>
      </c>
      <c r="F857" s="156">
        <f>TRUNC(E857*D857,1)</f>
        <v>0</v>
      </c>
      <c r="G857" s="155">
        <v>0</v>
      </c>
      <c r="H857" s="156">
        <f>TRUNC(G857*D857,1)</f>
        <v>0</v>
      </c>
      <c r="I857" s="155">
        <v>0</v>
      </c>
      <c r="J857" s="156">
        <f>TRUNC(I857*D857,1)</f>
        <v>0</v>
      </c>
      <c r="K857" s="155">
        <f t="shared" si="213"/>
        <v>1065</v>
      </c>
      <c r="L857" s="156">
        <f t="shared" si="214"/>
        <v>0</v>
      </c>
      <c r="M857" s="522"/>
      <c r="N857" s="2"/>
      <c r="O857" s="2"/>
      <c r="P857" s="2"/>
      <c r="Q857" s="2"/>
      <c r="R857" s="2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2"/>
      <c r="AW857" s="2"/>
      <c r="AX857" s="2"/>
      <c r="AY857" s="2"/>
      <c r="AZ857">
        <v>1</v>
      </c>
    </row>
    <row r="858" spans="1:52" ht="30" customHeight="1">
      <c r="A858" s="8" t="s">
        <v>950</v>
      </c>
      <c r="B858" s="8" t="s">
        <v>51</v>
      </c>
      <c r="C858" s="8" t="s">
        <v>51</v>
      </c>
      <c r="D858" s="154"/>
      <c r="E858" s="155"/>
      <c r="F858" s="156">
        <f>SUM(F854:F857)</f>
        <v>0</v>
      </c>
      <c r="G858" s="155"/>
      <c r="H858" s="156">
        <f>SUM(H854:H857)</f>
        <v>16312.900000000001</v>
      </c>
      <c r="I858" s="155"/>
      <c r="J858" s="156">
        <f>SUM(J854:J857)</f>
        <v>326.2</v>
      </c>
      <c r="K858" s="155"/>
      <c r="L858" s="156">
        <f>SUM(L854:L857)</f>
        <v>16639.100000000002</v>
      </c>
      <c r="M858" s="522" t="s">
        <v>51</v>
      </c>
      <c r="N858" s="2" t="s">
        <v>86</v>
      </c>
      <c r="O858" s="2" t="s">
        <v>86</v>
      </c>
      <c r="P858" s="2" t="s">
        <v>51</v>
      </c>
      <c r="Q858" s="2" t="s">
        <v>51</v>
      </c>
      <c r="R858" s="2" t="s">
        <v>51</v>
      </c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2" t="s">
        <v>51</v>
      </c>
      <c r="AW858" s="2" t="s">
        <v>51</v>
      </c>
      <c r="AX858" s="2" t="s">
        <v>51</v>
      </c>
      <c r="AY858" s="2" t="s">
        <v>51</v>
      </c>
      <c r="AZ858" s="1170">
        <v>17704.100000000002</v>
      </c>
    </row>
    <row r="859" spans="1:52" ht="30" customHeight="1">
      <c r="A859" s="154"/>
      <c r="B859" s="154"/>
      <c r="C859" s="154"/>
      <c r="D859" s="154"/>
      <c r="E859" s="155"/>
      <c r="F859" s="156"/>
      <c r="G859" s="155"/>
      <c r="H859" s="156"/>
      <c r="I859" s="155"/>
      <c r="J859" s="156"/>
      <c r="K859" s="155"/>
      <c r="L859" s="156"/>
      <c r="M859" s="523"/>
    </row>
    <row r="860" spans="1:52" ht="30" customHeight="1">
      <c r="A860" s="1403" t="s">
        <v>6631</v>
      </c>
      <c r="B860" s="1403"/>
      <c r="C860" s="1403"/>
      <c r="D860" s="1403"/>
      <c r="E860" s="1404"/>
      <c r="F860" s="1405"/>
      <c r="G860" s="1404"/>
      <c r="H860" s="1405"/>
      <c r="I860" s="1404"/>
      <c r="J860" s="1405"/>
      <c r="K860" s="1404"/>
      <c r="L860" s="1405"/>
      <c r="M860" s="1403"/>
      <c r="N860" s="153" t="s">
        <v>724</v>
      </c>
    </row>
    <row r="861" spans="1:52" ht="30" customHeight="1">
      <c r="A861" s="8" t="s">
        <v>3600</v>
      </c>
      <c r="B861" s="8"/>
      <c r="C861" s="8" t="s">
        <v>321</v>
      </c>
      <c r="D861" s="154">
        <v>1</v>
      </c>
      <c r="E861" s="155">
        <f>단가대비표!O551</f>
        <v>91800</v>
      </c>
      <c r="F861" s="156">
        <f>TRUNC(E861*D861,1)</f>
        <v>91800</v>
      </c>
      <c r="G861" s="155">
        <v>0</v>
      </c>
      <c r="H861" s="156">
        <f>TRUNC(G861*D861,1)</f>
        <v>0</v>
      </c>
      <c r="I861" s="155">
        <v>0</v>
      </c>
      <c r="J861" s="156">
        <f>TRUNC(I861*D861,1)</f>
        <v>0</v>
      </c>
      <c r="K861" s="155">
        <f>TRUNC(E861+G861+I861,1)</f>
        <v>91800</v>
      </c>
      <c r="L861" s="156">
        <f>TRUNC(F861+H861+J861,1)</f>
        <v>91800</v>
      </c>
      <c r="M861" s="522" t="s">
        <v>51</v>
      </c>
      <c r="N861" s="2" t="s">
        <v>724</v>
      </c>
      <c r="O861" s="2" t="s">
        <v>1691</v>
      </c>
      <c r="P861" s="2" t="s">
        <v>62</v>
      </c>
      <c r="Q861" s="2" t="s">
        <v>62</v>
      </c>
      <c r="R861" s="2" t="s">
        <v>61</v>
      </c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2" t="s">
        <v>51</v>
      </c>
      <c r="AW861" s="2" t="s">
        <v>1692</v>
      </c>
      <c r="AX861" s="2" t="s">
        <v>51</v>
      </c>
      <c r="AY861" s="2" t="s">
        <v>51</v>
      </c>
    </row>
    <row r="862" spans="1:52" ht="30" customHeight="1">
      <c r="A862" s="8" t="s">
        <v>1061</v>
      </c>
      <c r="B862" s="8" t="s">
        <v>3600</v>
      </c>
      <c r="C862" s="8" t="s">
        <v>419</v>
      </c>
      <c r="D862" s="154">
        <v>1</v>
      </c>
      <c r="E862" s="155">
        <v>0</v>
      </c>
      <c r="F862" s="156">
        <f>TRUNC(E862*D862,1)</f>
        <v>0</v>
      </c>
      <c r="G862" s="155">
        <f>단가대비표!P600</f>
        <v>122400</v>
      </c>
      <c r="H862" s="156">
        <f>TRUNC(G862*D862,1)</f>
        <v>122400</v>
      </c>
      <c r="I862" s="155">
        <v>0</v>
      </c>
      <c r="J862" s="156">
        <f>TRUNC(I862*D862,1)</f>
        <v>0</v>
      </c>
      <c r="K862" s="155">
        <f>TRUNC(E862+G862+I862,1)</f>
        <v>122400</v>
      </c>
      <c r="L862" s="156">
        <f>TRUNC(F862+H862+J862,1)</f>
        <v>122400</v>
      </c>
      <c r="M862" s="522" t="s">
        <v>51</v>
      </c>
      <c r="N862" s="2" t="s">
        <v>724</v>
      </c>
      <c r="O862" s="2" t="s">
        <v>1693</v>
      </c>
      <c r="P862" s="2" t="s">
        <v>62</v>
      </c>
      <c r="Q862" s="2" t="s">
        <v>62</v>
      </c>
      <c r="R862" s="2" t="s">
        <v>61</v>
      </c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2" t="s">
        <v>51</v>
      </c>
      <c r="AW862" s="2" t="s">
        <v>1694</v>
      </c>
      <c r="AX862" s="2" t="s">
        <v>51</v>
      </c>
      <c r="AY862" s="2" t="s">
        <v>51</v>
      </c>
    </row>
    <row r="863" spans="1:52" ht="30" customHeight="1">
      <c r="A863" s="8" t="s">
        <v>950</v>
      </c>
      <c r="B863" s="8" t="s">
        <v>51</v>
      </c>
      <c r="C863" s="8" t="s">
        <v>51</v>
      </c>
      <c r="D863" s="154"/>
      <c r="E863" s="155"/>
      <c r="F863" s="156">
        <f>TRUNC(SUMIF(N861:N862, N860, F861:F862),0)</f>
        <v>91800</v>
      </c>
      <c r="G863" s="155"/>
      <c r="H863" s="156">
        <f>TRUNC(SUMIF(N861:N862, N860, H861:H862),0)</f>
        <v>122400</v>
      </c>
      <c r="I863" s="155"/>
      <c r="J863" s="156">
        <f>TRUNC(SUMIF(N861:N862, N860, J861:J862),0)</f>
        <v>0</v>
      </c>
      <c r="K863" s="155"/>
      <c r="L863" s="156">
        <f>F863+H863+J863</f>
        <v>214200</v>
      </c>
      <c r="M863" s="522" t="s">
        <v>51</v>
      </c>
      <c r="N863" s="2" t="s">
        <v>86</v>
      </c>
      <c r="O863" s="2" t="s">
        <v>86</v>
      </c>
      <c r="P863" s="2" t="s">
        <v>51</v>
      </c>
      <c r="Q863" s="2" t="s">
        <v>51</v>
      </c>
      <c r="R863" s="2" t="s">
        <v>51</v>
      </c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2" t="s">
        <v>51</v>
      </c>
      <c r="AW863" s="2" t="s">
        <v>51</v>
      </c>
      <c r="AX863" s="2" t="s">
        <v>51</v>
      </c>
      <c r="AY863" s="2" t="s">
        <v>51</v>
      </c>
    </row>
    <row r="864" spans="1:52" ht="30" customHeight="1">
      <c r="A864" s="401"/>
      <c r="B864" s="401"/>
      <c r="C864" s="401"/>
      <c r="D864" s="401"/>
      <c r="E864" s="402"/>
      <c r="F864" s="403"/>
      <c r="G864" s="402"/>
      <c r="H864" s="403"/>
      <c r="I864" s="402"/>
      <c r="J864" s="403"/>
      <c r="K864" s="402"/>
      <c r="L864" s="403"/>
      <c r="M864" s="523"/>
    </row>
    <row r="865" spans="1:52" ht="30" customHeight="1">
      <c r="A865" s="1403" t="s">
        <v>6632</v>
      </c>
      <c r="B865" s="1403"/>
      <c r="C865" s="1403"/>
      <c r="D865" s="1403"/>
      <c r="E865" s="1404"/>
      <c r="F865" s="1405"/>
      <c r="G865" s="1404"/>
      <c r="H865" s="1405"/>
      <c r="I865" s="1404"/>
      <c r="J865" s="1405"/>
      <c r="K865" s="1404"/>
      <c r="L865" s="1405"/>
      <c r="M865" s="1403"/>
      <c r="N865" s="399" t="s">
        <v>724</v>
      </c>
    </row>
    <row r="866" spans="1:52" ht="30" customHeight="1">
      <c r="A866" s="8" t="s">
        <v>4733</v>
      </c>
      <c r="B866" s="8"/>
      <c r="C866" s="8" t="s">
        <v>321</v>
      </c>
      <c r="D866" s="401">
        <v>1</v>
      </c>
      <c r="E866" s="402">
        <f>단가대비표!M444</f>
        <v>3050000</v>
      </c>
      <c r="F866" s="403">
        <f>TRUNC(E866*D866,1)</f>
        <v>3050000</v>
      </c>
      <c r="G866" s="402">
        <v>0</v>
      </c>
      <c r="H866" s="403">
        <f>TRUNC(G866*D866,1)</f>
        <v>0</v>
      </c>
      <c r="I866" s="402">
        <v>0</v>
      </c>
      <c r="J866" s="403">
        <f>TRUNC(I866*D866,1)</f>
        <v>0</v>
      </c>
      <c r="K866" s="402">
        <f>TRUNC(E866+G866+I866,1)</f>
        <v>3050000</v>
      </c>
      <c r="L866" s="403">
        <f>TRUNC(F866+H866+J866,1)</f>
        <v>3050000</v>
      </c>
      <c r="M866" s="522" t="s">
        <v>51</v>
      </c>
      <c r="N866" s="2" t="s">
        <v>724</v>
      </c>
      <c r="O866" s="2" t="s">
        <v>1691</v>
      </c>
      <c r="P866" s="2" t="s">
        <v>62</v>
      </c>
      <c r="Q866" s="2" t="s">
        <v>62</v>
      </c>
      <c r="R866" s="2" t="s">
        <v>61</v>
      </c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2" t="s">
        <v>51</v>
      </c>
      <c r="AW866" s="2" t="s">
        <v>1692</v>
      </c>
      <c r="AX866" s="2" t="s">
        <v>51</v>
      </c>
      <c r="AY866" s="2" t="s">
        <v>51</v>
      </c>
    </row>
    <row r="867" spans="1:52" ht="30" customHeight="1">
      <c r="A867" s="8" t="s">
        <v>1061</v>
      </c>
      <c r="B867" s="8" t="s">
        <v>4733</v>
      </c>
      <c r="C867" s="8" t="s">
        <v>419</v>
      </c>
      <c r="D867" s="401">
        <v>1</v>
      </c>
      <c r="E867" s="402">
        <v>0</v>
      </c>
      <c r="F867" s="403">
        <f>TRUNC(E867*D867,1)</f>
        <v>0</v>
      </c>
      <c r="G867" s="402">
        <f>단가대비표!P601</f>
        <v>1103220</v>
      </c>
      <c r="H867" s="403">
        <f>TRUNC(G867*D867,1)</f>
        <v>1103220</v>
      </c>
      <c r="I867" s="402">
        <v>0</v>
      </c>
      <c r="J867" s="403">
        <f>TRUNC(I867*D867,1)</f>
        <v>0</v>
      </c>
      <c r="K867" s="402">
        <f>TRUNC(E867+G867+I867,1)</f>
        <v>1103220</v>
      </c>
      <c r="L867" s="403">
        <f>TRUNC(F867+H867+J867,1)</f>
        <v>1103220</v>
      </c>
      <c r="M867" s="522" t="s">
        <v>51</v>
      </c>
      <c r="N867" s="2" t="s">
        <v>724</v>
      </c>
      <c r="O867" s="2" t="s">
        <v>1693</v>
      </c>
      <c r="P867" s="2" t="s">
        <v>62</v>
      </c>
      <c r="Q867" s="2" t="s">
        <v>62</v>
      </c>
      <c r="R867" s="2" t="s">
        <v>61</v>
      </c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2" t="s">
        <v>51</v>
      </c>
      <c r="AW867" s="2" t="s">
        <v>1694</v>
      </c>
      <c r="AX867" s="2" t="s">
        <v>51</v>
      </c>
      <c r="AY867" s="2" t="s">
        <v>51</v>
      </c>
    </row>
    <row r="868" spans="1:52" ht="30" customHeight="1">
      <c r="A868" s="8" t="s">
        <v>950</v>
      </c>
      <c r="B868" s="8" t="s">
        <v>51</v>
      </c>
      <c r="C868" s="8" t="s">
        <v>51</v>
      </c>
      <c r="D868" s="401"/>
      <c r="E868" s="402"/>
      <c r="F868" s="403">
        <f>TRUNC(SUMIF(N866:N867, N865, F866:F867),0)</f>
        <v>3050000</v>
      </c>
      <c r="G868" s="402"/>
      <c r="H868" s="403">
        <f>TRUNC(SUMIF(N866:N867, N865, H866:H867),0)</f>
        <v>1103220</v>
      </c>
      <c r="I868" s="402"/>
      <c r="J868" s="403">
        <f>TRUNC(SUMIF(N866:N867, N865, J866:J867),0)</f>
        <v>0</v>
      </c>
      <c r="K868" s="402"/>
      <c r="L868" s="403">
        <f>F868+H868+J868</f>
        <v>4153220</v>
      </c>
      <c r="M868" s="522" t="s">
        <v>51</v>
      </c>
      <c r="N868" s="2" t="s">
        <v>86</v>
      </c>
      <c r="O868" s="2" t="s">
        <v>86</v>
      </c>
      <c r="P868" s="2" t="s">
        <v>51</v>
      </c>
      <c r="Q868" s="2" t="s">
        <v>51</v>
      </c>
      <c r="R868" s="2" t="s">
        <v>51</v>
      </c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2" t="s">
        <v>51</v>
      </c>
      <c r="AW868" s="2" t="s">
        <v>51</v>
      </c>
      <c r="AX868" s="2" t="s">
        <v>51</v>
      </c>
      <c r="AY868" s="2" t="s">
        <v>51</v>
      </c>
    </row>
    <row r="869" spans="1:52" ht="30" customHeight="1">
      <c r="A869" s="401"/>
      <c r="B869" s="401"/>
      <c r="C869" s="401"/>
      <c r="D869" s="401"/>
      <c r="E869" s="402"/>
      <c r="F869" s="403"/>
      <c r="G869" s="402"/>
      <c r="H869" s="403"/>
      <c r="I869" s="402"/>
      <c r="J869" s="403"/>
      <c r="K869" s="402"/>
      <c r="L869" s="403"/>
      <c r="M869" s="523"/>
    </row>
    <row r="870" spans="1:52" ht="30" customHeight="1">
      <c r="A870" s="1059"/>
      <c r="B870" s="1059"/>
      <c r="C870" s="1059"/>
      <c r="D870" s="1059"/>
      <c r="E870" s="1060"/>
      <c r="F870" s="1061"/>
      <c r="G870" s="1060"/>
      <c r="H870" s="1061"/>
      <c r="I870" s="1060"/>
      <c r="J870" s="1061"/>
      <c r="K870" s="1060"/>
      <c r="L870" s="1061"/>
      <c r="M870" s="523"/>
    </row>
    <row r="871" spans="1:52" ht="30" customHeight="1">
      <c r="A871" s="1397" t="s">
        <v>6676</v>
      </c>
      <c r="B871" s="1397"/>
      <c r="C871" s="1397"/>
      <c r="D871" s="1397"/>
      <c r="E871" s="1398"/>
      <c r="F871" s="1399"/>
      <c r="G871" s="1398"/>
      <c r="H871" s="1399"/>
      <c r="I871" s="1398"/>
      <c r="J871" s="1399"/>
      <c r="K871" s="1398"/>
      <c r="L871" s="1399"/>
      <c r="M871" s="1397"/>
      <c r="AZ871" t="s">
        <v>6679</v>
      </c>
    </row>
    <row r="872" spans="1:52" ht="30" customHeight="1">
      <c r="A872" s="8" t="s">
        <v>185</v>
      </c>
      <c r="B872" s="8" t="s">
        <v>1156</v>
      </c>
      <c r="C872" s="8" t="s">
        <v>59</v>
      </c>
      <c r="D872" s="1059">
        <v>2.2000000000000002</v>
      </c>
      <c r="E872" s="1060">
        <f>단가대비표!O65</f>
        <v>1920</v>
      </c>
      <c r="F872" s="1061">
        <f>TRUNC(E872*D872,1)</f>
        <v>4224</v>
      </c>
      <c r="G872" s="1060">
        <f>단가대비표!P65</f>
        <v>0</v>
      </c>
      <c r="H872" s="1061">
        <f>TRUNC(G872*D872,1)</f>
        <v>0</v>
      </c>
      <c r="I872" s="1060">
        <f>단가대비표!V65</f>
        <v>0</v>
      </c>
      <c r="J872" s="1061">
        <f>TRUNC(I872*D872,1)</f>
        <v>0</v>
      </c>
      <c r="K872" s="1060">
        <f t="shared" ref="K872:K877" si="215">TRUNC(E872+G872+I872,1)</f>
        <v>1920</v>
      </c>
      <c r="L872" s="1061">
        <f t="shared" ref="L872:L877" si="216">TRUNC(F872+H872+J872,1)</f>
        <v>4224</v>
      </c>
      <c r="M872" s="522" t="s">
        <v>51</v>
      </c>
    </row>
    <row r="873" spans="1:52" ht="30" customHeight="1">
      <c r="A873" s="8" t="s">
        <v>1118</v>
      </c>
      <c r="B873" s="8" t="s">
        <v>1151</v>
      </c>
      <c r="C873" s="8" t="s">
        <v>993</v>
      </c>
      <c r="D873" s="1059">
        <v>3.5000000000000003E-2</v>
      </c>
      <c r="E873" s="1060">
        <f>단가대비표!O65</f>
        <v>1920</v>
      </c>
      <c r="F873" s="1061">
        <f>TRUNC(E873*D873,1)</f>
        <v>67.2</v>
      </c>
      <c r="G873" s="1060">
        <f>단가대비표!P65</f>
        <v>0</v>
      </c>
      <c r="H873" s="1061">
        <f>TRUNC(G873*D873,1)</f>
        <v>0</v>
      </c>
      <c r="I873" s="1060">
        <f>단가대비표!V65</f>
        <v>0</v>
      </c>
      <c r="J873" s="1061">
        <f>TRUNC(I873*D873,1)</f>
        <v>0</v>
      </c>
      <c r="K873" s="1060">
        <f t="shared" si="215"/>
        <v>1920</v>
      </c>
      <c r="L873" s="1061">
        <f t="shared" si="216"/>
        <v>67.2</v>
      </c>
      <c r="M873" s="522" t="s">
        <v>51</v>
      </c>
    </row>
    <row r="874" spans="1:52" ht="30" customHeight="1">
      <c r="A874" s="1185" t="s">
        <v>1039</v>
      </c>
      <c r="B874" s="1185" t="s">
        <v>418</v>
      </c>
      <c r="C874" s="1185" t="s">
        <v>419</v>
      </c>
      <c r="D874" s="1186">
        <v>6.6000000000000003E-2</v>
      </c>
      <c r="E874" s="1187">
        <f>단가대비표!$O$572</f>
        <v>0</v>
      </c>
      <c r="F874" s="1188">
        <f>TRUNC(E874*D874,1)</f>
        <v>0</v>
      </c>
      <c r="G874" s="1187">
        <f>단가대비표!$P$572</f>
        <v>192305</v>
      </c>
      <c r="H874" s="1188">
        <f>TRUNC(G874*D874,1)</f>
        <v>12692.1</v>
      </c>
      <c r="I874" s="1187">
        <f>단가대비표!$V$572</f>
        <v>0</v>
      </c>
      <c r="J874" s="1188">
        <f>TRUNC(I874*D874,1)</f>
        <v>0</v>
      </c>
      <c r="K874" s="1187">
        <f t="shared" si="215"/>
        <v>192305</v>
      </c>
      <c r="L874" s="1188">
        <f t="shared" si="216"/>
        <v>12692.1</v>
      </c>
      <c r="M874" s="1189" t="s">
        <v>51</v>
      </c>
    </row>
    <row r="875" spans="1:52" ht="30" customHeight="1">
      <c r="A875" s="1185" t="s">
        <v>996</v>
      </c>
      <c r="B875" s="1185" t="s">
        <v>947</v>
      </c>
      <c r="C875" s="1185" t="s">
        <v>419</v>
      </c>
      <c r="D875" s="1186">
        <v>3.2000000000000001E-2</v>
      </c>
      <c r="E875" s="1187">
        <f>단가대비표!$O$556</f>
        <v>0</v>
      </c>
      <c r="F875" s="1188">
        <f>TRUNC(E875*D875,1)</f>
        <v>0</v>
      </c>
      <c r="G875" s="1187">
        <f>단가대비표!$P$556</f>
        <v>130264</v>
      </c>
      <c r="H875" s="1188">
        <f>TRUNC(G875*D875,1)</f>
        <v>4168.3999999999996</v>
      </c>
      <c r="I875" s="1187">
        <f>단가대비표!$V$556</f>
        <v>0</v>
      </c>
      <c r="J875" s="1188">
        <f>TRUNC(I875*D875,1)</f>
        <v>0</v>
      </c>
      <c r="K875" s="1187">
        <f t="shared" si="215"/>
        <v>130264</v>
      </c>
      <c r="L875" s="1188">
        <f t="shared" si="216"/>
        <v>4168.3999999999996</v>
      </c>
      <c r="M875" s="1189" t="s">
        <v>51</v>
      </c>
    </row>
    <row r="876" spans="1:52" ht="30" customHeight="1">
      <c r="A876" s="1185" t="s">
        <v>6675</v>
      </c>
      <c r="B876" s="1185" t="s">
        <v>6677</v>
      </c>
      <c r="C876" s="1185" t="s">
        <v>6678</v>
      </c>
      <c r="D876" s="1186">
        <v>1</v>
      </c>
      <c r="E876" s="1187">
        <v>0</v>
      </c>
      <c r="F876" s="1188">
        <f>TRUNC(E876*D876,1)</f>
        <v>0</v>
      </c>
      <c r="G876" s="1187">
        <f>TRUNC(SUM(H874:H875)*30%,0)</f>
        <v>5058</v>
      </c>
      <c r="H876" s="1188">
        <f>TRUNC(G876*D876,1)</f>
        <v>5058</v>
      </c>
      <c r="I876" s="1187">
        <v>0</v>
      </c>
      <c r="J876" s="1188">
        <f>TRUNC(I876*D876,1)</f>
        <v>0</v>
      </c>
      <c r="K876" s="1187">
        <f t="shared" ref="K876" si="217">TRUNC(E876+G876+I876,1)</f>
        <v>5058</v>
      </c>
      <c r="L876" s="1188">
        <f t="shared" ref="L876" si="218">TRUNC(F876+H876+J876,1)</f>
        <v>5058</v>
      </c>
      <c r="M876" s="1189"/>
    </row>
    <row r="877" spans="1:52" ht="30" customHeight="1">
      <c r="A877" s="1185" t="s">
        <v>1134</v>
      </c>
      <c r="B877" s="1185" t="s">
        <v>1135</v>
      </c>
      <c r="C877" s="1185" t="s">
        <v>82</v>
      </c>
      <c r="D877" s="1186">
        <v>1</v>
      </c>
      <c r="E877" s="1187">
        <f>TRUNC(SUM(H874:H876)*3%,0)</f>
        <v>657</v>
      </c>
      <c r="F877" s="1188">
        <f t="shared" ref="F877" si="219">TRUNC(E877*D877,1)</f>
        <v>657</v>
      </c>
      <c r="G877" s="1187">
        <f>단가대비표!P1151</f>
        <v>0</v>
      </c>
      <c r="H877" s="1188">
        <f t="shared" ref="H877" si="220">TRUNC(G877*D877,1)</f>
        <v>0</v>
      </c>
      <c r="I877" s="1187">
        <f>단가대비표!V1151</f>
        <v>0</v>
      </c>
      <c r="J877" s="1188">
        <f t="shared" ref="J877" si="221">TRUNC(I877*D877,1)</f>
        <v>0</v>
      </c>
      <c r="K877" s="1187">
        <f t="shared" si="215"/>
        <v>657</v>
      </c>
      <c r="L877" s="1188">
        <f t="shared" si="216"/>
        <v>657</v>
      </c>
      <c r="M877" s="1189" t="s">
        <v>51</v>
      </c>
    </row>
    <row r="878" spans="1:52" ht="30" customHeight="1">
      <c r="A878" s="8" t="s">
        <v>950</v>
      </c>
      <c r="B878" s="8" t="s">
        <v>51</v>
      </c>
      <c r="C878" s="8" t="s">
        <v>51</v>
      </c>
      <c r="D878" s="1059"/>
      <c r="E878" s="1060"/>
      <c r="F878" s="1061">
        <f>TRUNC(SUM(F872:F877),0)</f>
        <v>4948</v>
      </c>
      <c r="G878" s="1060"/>
      <c r="H878" s="1061">
        <f>TRUNC(SUM(H872:H877),0)</f>
        <v>21918</v>
      </c>
      <c r="I878" s="1060"/>
      <c r="J878" s="1061">
        <f>TRUNC(SUM(J872:J877),0)</f>
        <v>0</v>
      </c>
      <c r="K878" s="1060"/>
      <c r="L878" s="1061">
        <f>F878+H878+J878</f>
        <v>26866</v>
      </c>
      <c r="M878" s="522" t="s">
        <v>51</v>
      </c>
    </row>
    <row r="879" spans="1:52" ht="30" customHeight="1">
      <c r="A879" s="1059"/>
      <c r="B879" s="1059"/>
      <c r="C879" s="1059"/>
      <c r="D879" s="1059"/>
      <c r="E879" s="1060"/>
      <c r="F879" s="1061"/>
      <c r="G879" s="1060"/>
      <c r="H879" s="1061"/>
      <c r="I879" s="1060"/>
      <c r="J879" s="1061"/>
      <c r="K879" s="1060"/>
      <c r="L879" s="1061"/>
      <c r="M879" s="1059"/>
    </row>
    <row r="880" spans="1:52" ht="30" customHeight="1">
      <c r="A880" s="1397" t="s">
        <v>6705</v>
      </c>
      <c r="B880" s="1397"/>
      <c r="C880" s="1397"/>
      <c r="D880" s="1397"/>
      <c r="E880" s="1398"/>
      <c r="F880" s="1399"/>
      <c r="G880" s="1398"/>
      <c r="H880" s="1399"/>
      <c r="I880" s="1398"/>
      <c r="J880" s="1399"/>
      <c r="K880" s="1398"/>
      <c r="L880" s="1399"/>
      <c r="M880" s="1397"/>
      <c r="AZ880" t="s">
        <v>6681</v>
      </c>
    </row>
    <row r="881" spans="1:52" ht="30" customHeight="1">
      <c r="A881" s="8" t="s">
        <v>6695</v>
      </c>
      <c r="B881" s="8" t="s">
        <v>6696</v>
      </c>
      <c r="C881" s="8" t="s">
        <v>66</v>
      </c>
      <c r="D881" s="1059">
        <v>0.53129999999999999</v>
      </c>
      <c r="E881" s="1060">
        <f>단가대비표!O603</f>
        <v>0</v>
      </c>
      <c r="F881" s="1061">
        <f>TRUNC(E881*D881,1)</f>
        <v>0</v>
      </c>
      <c r="G881" s="1060">
        <f>단가대비표!P603</f>
        <v>0</v>
      </c>
      <c r="H881" s="1061">
        <f>TRUNC(G881*D881,1)</f>
        <v>0</v>
      </c>
      <c r="I881" s="1060">
        <f>단가대비표!V603</f>
        <v>2315</v>
      </c>
      <c r="J881" s="1061">
        <f>TRUNC(I881*D881,1)</f>
        <v>1229.9000000000001</v>
      </c>
      <c r="K881" s="1060">
        <f t="shared" ref="K881:L883" si="222">TRUNC(E881+G881+I881,1)</f>
        <v>2315</v>
      </c>
      <c r="L881" s="1061">
        <f t="shared" si="222"/>
        <v>1229.9000000000001</v>
      </c>
      <c r="M881" s="8" t="s">
        <v>1872</v>
      </c>
    </row>
    <row r="882" spans="1:52" ht="30" customHeight="1">
      <c r="A882" s="8" t="s">
        <v>6697</v>
      </c>
      <c r="B882" s="8" t="s">
        <v>6698</v>
      </c>
      <c r="C882" s="8" t="s">
        <v>1230</v>
      </c>
      <c r="D882" s="1059">
        <v>1</v>
      </c>
      <c r="E882" s="1060">
        <f>단가대비표!O604</f>
        <v>1317.3</v>
      </c>
      <c r="F882" s="1061">
        <f>TRUNC(E882*D882,1)</f>
        <v>1317.3</v>
      </c>
      <c r="G882" s="1060">
        <f>단가대비표!P604</f>
        <v>0</v>
      </c>
      <c r="H882" s="1061">
        <f>TRUNC(G882*D882,1)</f>
        <v>0</v>
      </c>
      <c r="I882" s="1060">
        <f>단가대비표!V604</f>
        <v>0</v>
      </c>
      <c r="J882" s="1061">
        <f>TRUNC(I882*D882,1)</f>
        <v>0</v>
      </c>
      <c r="K882" s="1060">
        <f t="shared" si="222"/>
        <v>1317.3</v>
      </c>
      <c r="L882" s="1061">
        <f t="shared" si="222"/>
        <v>1317.3</v>
      </c>
      <c r="M882" s="8" t="s">
        <v>51</v>
      </c>
    </row>
    <row r="883" spans="1:52" ht="30" customHeight="1">
      <c r="A883" s="8" t="s">
        <v>1034</v>
      </c>
      <c r="B883" s="8" t="s">
        <v>6699</v>
      </c>
      <c r="C883" s="8" t="s">
        <v>82</v>
      </c>
      <c r="D883" s="1059">
        <v>1</v>
      </c>
      <c r="E883" s="1060">
        <f>TRUNC(SUM(F882)*10%, 2)</f>
        <v>131.72999999999999</v>
      </c>
      <c r="F883" s="1061">
        <f>TRUNC(E883*D883,1)</f>
        <v>131.69999999999999</v>
      </c>
      <c r="G883" s="1060">
        <v>0</v>
      </c>
      <c r="H883" s="1061">
        <f>TRUNC(G883*D883,1)</f>
        <v>0</v>
      </c>
      <c r="I883" s="1060">
        <v>0</v>
      </c>
      <c r="J883" s="1061">
        <f>TRUNC(I883*D883,1)</f>
        <v>0</v>
      </c>
      <c r="K883" s="1060">
        <f t="shared" si="222"/>
        <v>131.69999999999999</v>
      </c>
      <c r="L883" s="1061">
        <f t="shared" si="222"/>
        <v>131.69999999999999</v>
      </c>
      <c r="M883" s="8" t="s">
        <v>51</v>
      </c>
    </row>
    <row r="884" spans="1:52" ht="30" customHeight="1">
      <c r="A884" s="8" t="s">
        <v>950</v>
      </c>
      <c r="B884" s="8" t="s">
        <v>51</v>
      </c>
      <c r="C884" s="8" t="s">
        <v>51</v>
      </c>
      <c r="D884" s="1059"/>
      <c r="E884" s="1060"/>
      <c r="F884" s="1061">
        <f>TRUNC(SUM(F881:F883),0)</f>
        <v>1449</v>
      </c>
      <c r="G884" s="1060"/>
      <c r="H884" s="1061">
        <f>TRUNC(SUM(H881:H883),0)</f>
        <v>0</v>
      </c>
      <c r="I884" s="1060"/>
      <c r="J884" s="1061">
        <f>TRUNC(SUM(J881:J883),0)</f>
        <v>1229</v>
      </c>
      <c r="K884" s="1060"/>
      <c r="L884" s="1061">
        <f>F884+H884+J884</f>
        <v>2678</v>
      </c>
      <c r="M884" s="8" t="s">
        <v>51</v>
      </c>
    </row>
    <row r="885" spans="1:52" ht="30" customHeight="1">
      <c r="A885" s="1059"/>
      <c r="B885" s="1059"/>
      <c r="C885" s="1059"/>
      <c r="D885" s="1059"/>
      <c r="E885" s="1060"/>
      <c r="F885" s="1061"/>
      <c r="G885" s="1060"/>
      <c r="H885" s="1061"/>
      <c r="I885" s="1060"/>
      <c r="J885" s="1061"/>
      <c r="K885" s="1060"/>
      <c r="L885" s="1061"/>
      <c r="M885" s="1059"/>
    </row>
    <row r="886" spans="1:52" ht="30" customHeight="1">
      <c r="A886" s="1397" t="s">
        <v>6706</v>
      </c>
      <c r="B886" s="1397"/>
      <c r="C886" s="1397"/>
      <c r="D886" s="1397"/>
      <c r="E886" s="1398"/>
      <c r="F886" s="1399"/>
      <c r="G886" s="1398"/>
      <c r="H886" s="1399"/>
      <c r="I886" s="1398"/>
      <c r="J886" s="1399"/>
      <c r="K886" s="1398"/>
      <c r="L886" s="1399"/>
      <c r="M886" s="1397"/>
      <c r="AZ886" t="s">
        <v>6681</v>
      </c>
    </row>
    <row r="887" spans="1:52" ht="30" customHeight="1">
      <c r="A887" s="8" t="s">
        <v>6700</v>
      </c>
      <c r="B887" s="8" t="s">
        <v>6701</v>
      </c>
      <c r="C887" s="8" t="s">
        <v>140</v>
      </c>
      <c r="D887" s="1059">
        <v>1.39</v>
      </c>
      <c r="E887" s="1060">
        <f>단가대비표!O605</f>
        <v>0</v>
      </c>
      <c r="F887" s="1061">
        <f>TRUNC(E887*D887,1)</f>
        <v>0</v>
      </c>
      <c r="G887" s="1060">
        <f>단가대비표!P605</f>
        <v>0</v>
      </c>
      <c r="H887" s="1061">
        <f>TRUNC(G887*D887,1)</f>
        <v>0</v>
      </c>
      <c r="I887" s="1060">
        <f>단가대비표!V605</f>
        <v>25</v>
      </c>
      <c r="J887" s="1061">
        <f>TRUNC(I887*D887,1)</f>
        <v>34.700000000000003</v>
      </c>
      <c r="K887" s="1060">
        <f>TRUNC(E887+G887+I887,1)</f>
        <v>25</v>
      </c>
      <c r="L887" s="1061">
        <f>TRUNC(F887+H887+J887,1)</f>
        <v>34.700000000000003</v>
      </c>
      <c r="M887" s="8" t="s">
        <v>1872</v>
      </c>
    </row>
    <row r="888" spans="1:52" ht="30" customHeight="1">
      <c r="A888" s="8" t="s">
        <v>950</v>
      </c>
      <c r="B888" s="8" t="s">
        <v>51</v>
      </c>
      <c r="C888" s="8" t="s">
        <v>51</v>
      </c>
      <c r="D888" s="1059"/>
      <c r="E888" s="1060"/>
      <c r="F888" s="1061">
        <f>F887</f>
        <v>0</v>
      </c>
      <c r="G888" s="1060"/>
      <c r="H888" s="1061">
        <f>H887</f>
        <v>0</v>
      </c>
      <c r="I888" s="1060"/>
      <c r="J888" s="1061">
        <f>J887</f>
        <v>34.700000000000003</v>
      </c>
      <c r="K888" s="1060"/>
      <c r="L888" s="1061">
        <f>F888+H888+J888</f>
        <v>34.700000000000003</v>
      </c>
      <c r="M888" s="8" t="s">
        <v>51</v>
      </c>
    </row>
    <row r="889" spans="1:52" ht="30" customHeight="1">
      <c r="A889" s="8"/>
      <c r="B889" s="8"/>
      <c r="C889" s="8"/>
      <c r="D889" s="1165"/>
      <c r="E889" s="1166"/>
      <c r="F889" s="1167"/>
      <c r="G889" s="1166"/>
      <c r="H889" s="1167"/>
      <c r="I889" s="1166"/>
      <c r="J889" s="1167"/>
      <c r="K889" s="1166"/>
      <c r="L889" s="1167"/>
      <c r="M889" s="8"/>
    </row>
    <row r="890" spans="1:52" ht="30" customHeight="1">
      <c r="A890" s="1397" t="s">
        <v>6731</v>
      </c>
      <c r="B890" s="1397"/>
      <c r="C890" s="1397"/>
      <c r="D890" s="1397"/>
      <c r="E890" s="1398"/>
      <c r="F890" s="1399"/>
      <c r="G890" s="1398"/>
      <c r="H890" s="1399"/>
      <c r="I890" s="1398"/>
      <c r="J890" s="1399"/>
      <c r="K890" s="1398"/>
      <c r="L890" s="1399"/>
      <c r="M890" s="1397"/>
      <c r="AZ890" t="s">
        <v>6834</v>
      </c>
    </row>
    <row r="891" spans="1:52" ht="30" customHeight="1">
      <c r="A891" s="8" t="s">
        <v>6726</v>
      </c>
      <c r="B891" s="8" t="s">
        <v>6727</v>
      </c>
      <c r="C891" s="8" t="s">
        <v>993</v>
      </c>
      <c r="D891" s="1165">
        <v>1</v>
      </c>
      <c r="E891" s="1166">
        <f>일위대가목록!F135</f>
        <v>87</v>
      </c>
      <c r="F891" s="1167">
        <f>TRUNC(E891*D891,1)</f>
        <v>87</v>
      </c>
      <c r="G891" s="1166">
        <f>일위대가목록!H135</f>
        <v>5576</v>
      </c>
      <c r="H891" s="1167">
        <f>TRUNC(G891*D891,1)</f>
        <v>5576</v>
      </c>
      <c r="I891" s="1166">
        <f>일위대가목록!J135</f>
        <v>178</v>
      </c>
      <c r="J891" s="1167">
        <f>TRUNC(I891*D891,1)</f>
        <v>178</v>
      </c>
      <c r="K891" s="1166">
        <f>TRUNC(E891+G891+I891,1)</f>
        <v>5841</v>
      </c>
      <c r="L891" s="1167">
        <f>TRUNC(F891+H891+J891,1)</f>
        <v>5841</v>
      </c>
      <c r="M891" s="8" t="s">
        <v>6728</v>
      </c>
    </row>
    <row r="892" spans="1:52" ht="30" customHeight="1">
      <c r="A892" s="8" t="s">
        <v>6729</v>
      </c>
      <c r="B892" s="8" t="s">
        <v>6727</v>
      </c>
      <c r="C892" s="8" t="s">
        <v>993</v>
      </c>
      <c r="D892" s="1165">
        <v>1</v>
      </c>
      <c r="E892" s="1166">
        <f>일위대가목록!F136</f>
        <v>15</v>
      </c>
      <c r="F892" s="1167">
        <f>TRUNC(E892*D892,1)</f>
        <v>15</v>
      </c>
      <c r="G892" s="1166">
        <f>일위대가목록!H136</f>
        <v>1426</v>
      </c>
      <c r="H892" s="1167">
        <f>TRUNC(G892*D892,1)</f>
        <v>1426</v>
      </c>
      <c r="I892" s="1166">
        <f>일위대가목록!J136</f>
        <v>44</v>
      </c>
      <c r="J892" s="1167">
        <f>TRUNC(I892*D892,1)</f>
        <v>44</v>
      </c>
      <c r="K892" s="1166">
        <f>TRUNC(E892+G892+I892,1)</f>
        <v>1485</v>
      </c>
      <c r="L892" s="1167">
        <f>TRUNC(F892+H892+J892,1)</f>
        <v>1485</v>
      </c>
      <c r="M892" s="8" t="s">
        <v>6730</v>
      </c>
    </row>
    <row r="893" spans="1:52" ht="30" customHeight="1">
      <c r="A893" s="8" t="s">
        <v>950</v>
      </c>
      <c r="B893" s="8" t="s">
        <v>51</v>
      </c>
      <c r="C893" s="8" t="s">
        <v>51</v>
      </c>
      <c r="D893" s="1165"/>
      <c r="E893" s="1166"/>
      <c r="F893" s="1167">
        <f>TRUNC(SUM(F891:F892),0)</f>
        <v>102</v>
      </c>
      <c r="G893" s="1166"/>
      <c r="H893" s="1167">
        <f>TRUNC(SUM(H891:H892),0)</f>
        <v>7002</v>
      </c>
      <c r="I893" s="1166"/>
      <c r="J893" s="1167">
        <f>TRUNC(SUM(J891:J892),0)</f>
        <v>222</v>
      </c>
      <c r="K893" s="1166"/>
      <c r="L893" s="1167">
        <f>F893+H893+J893</f>
        <v>7326</v>
      </c>
      <c r="M893" s="8" t="s">
        <v>51</v>
      </c>
    </row>
    <row r="894" spans="1:52" ht="30" customHeight="1">
      <c r="A894" s="1059"/>
      <c r="B894" s="1059"/>
      <c r="C894" s="1059"/>
      <c r="D894" s="1059"/>
      <c r="E894" s="1060"/>
      <c r="F894" s="1061"/>
      <c r="G894" s="1060"/>
      <c r="H894" s="1061"/>
      <c r="I894" s="1060"/>
      <c r="J894" s="1061"/>
      <c r="K894" s="1060"/>
      <c r="L894" s="1061"/>
      <c r="M894" s="1059"/>
    </row>
    <row r="895" spans="1:52" ht="30" customHeight="1">
      <c r="A895" s="1397" t="s">
        <v>6732</v>
      </c>
      <c r="B895" s="1397"/>
      <c r="C895" s="1397"/>
      <c r="D895" s="1397"/>
      <c r="E895" s="1398"/>
      <c r="F895" s="1399"/>
      <c r="G895" s="1398"/>
      <c r="H895" s="1399"/>
      <c r="I895" s="1398"/>
      <c r="J895" s="1399"/>
      <c r="K895" s="1398"/>
      <c r="L895" s="1399"/>
      <c r="M895" s="1397"/>
      <c r="N895" s="1164" t="s">
        <v>1806</v>
      </c>
      <c r="AZ895" t="s">
        <v>6835</v>
      </c>
    </row>
    <row r="896" spans="1:52" ht="30" customHeight="1">
      <c r="A896" s="8" t="s">
        <v>1126</v>
      </c>
      <c r="B896" s="8" t="s">
        <v>1847</v>
      </c>
      <c r="C896" s="8" t="s">
        <v>993</v>
      </c>
      <c r="D896" s="1165">
        <v>1.8852000000000001E-2</v>
      </c>
      <c r="E896" s="1166">
        <f>단가대비표!$O$45</f>
        <v>2290</v>
      </c>
      <c r="F896" s="1167">
        <f t="shared" ref="F896:F905" si="223">TRUNC(E896*D896,1)</f>
        <v>43.1</v>
      </c>
      <c r="G896" s="1166">
        <f>단가대비표!$P$45</f>
        <v>0</v>
      </c>
      <c r="H896" s="1167">
        <f t="shared" ref="H896:H905" si="224">TRUNC(G896*D896,1)</f>
        <v>0</v>
      </c>
      <c r="I896" s="1166">
        <f>단가대비표!$V$45</f>
        <v>0</v>
      </c>
      <c r="J896" s="1167">
        <f t="shared" ref="J896:J905" si="225">TRUNC(I896*D896,1)</f>
        <v>0</v>
      </c>
      <c r="K896" s="1166">
        <f t="shared" ref="K896:K905" si="226">TRUNC(E896+G896+I896,1)</f>
        <v>2290</v>
      </c>
      <c r="L896" s="1167">
        <f t="shared" ref="L896:L905" si="227">TRUNC(F896+H896+J896,1)</f>
        <v>43.1</v>
      </c>
      <c r="M896" s="522" t="s">
        <v>51</v>
      </c>
      <c r="N896" s="2" t="s">
        <v>1806</v>
      </c>
      <c r="O896" s="2" t="s">
        <v>1848</v>
      </c>
      <c r="P896" s="2" t="s">
        <v>62</v>
      </c>
      <c r="Q896" s="2" t="s">
        <v>62</v>
      </c>
      <c r="R896" s="2" t="s">
        <v>61</v>
      </c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2" t="s">
        <v>51</v>
      </c>
      <c r="AW896" s="2" t="s">
        <v>1849</v>
      </c>
      <c r="AX896" s="2" t="s">
        <v>51</v>
      </c>
      <c r="AY896" s="2" t="s">
        <v>51</v>
      </c>
    </row>
    <row r="897" spans="1:52" ht="30" customHeight="1">
      <c r="A897" s="8" t="s">
        <v>1387</v>
      </c>
      <c r="B897" s="8" t="s">
        <v>1388</v>
      </c>
      <c r="C897" s="8" t="s">
        <v>1230</v>
      </c>
      <c r="D897" s="1165">
        <v>6.4260000000000002</v>
      </c>
      <c r="E897" s="1166">
        <f>단가대비표!$O$40</f>
        <v>2.2200000000000002</v>
      </c>
      <c r="F897" s="1167">
        <f t="shared" si="223"/>
        <v>14.2</v>
      </c>
      <c r="G897" s="1166">
        <f>단가대비표!$P$40</f>
        <v>0</v>
      </c>
      <c r="H897" s="1167">
        <f t="shared" si="224"/>
        <v>0</v>
      </c>
      <c r="I897" s="1166">
        <f>단가대비표!$V$40</f>
        <v>0</v>
      </c>
      <c r="J897" s="1167">
        <f t="shared" si="225"/>
        <v>0</v>
      </c>
      <c r="K897" s="1166">
        <f t="shared" si="226"/>
        <v>2.2000000000000002</v>
      </c>
      <c r="L897" s="1167">
        <f t="shared" si="227"/>
        <v>14.2</v>
      </c>
      <c r="M897" s="522" t="s">
        <v>1389</v>
      </c>
      <c r="N897" s="2" t="s">
        <v>1806</v>
      </c>
      <c r="O897" s="2" t="s">
        <v>1390</v>
      </c>
      <c r="P897" s="2" t="s">
        <v>62</v>
      </c>
      <c r="Q897" s="2" t="s">
        <v>62</v>
      </c>
      <c r="R897" s="2" t="s">
        <v>61</v>
      </c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2" t="s">
        <v>51</v>
      </c>
      <c r="AW897" s="2" t="s">
        <v>1850</v>
      </c>
      <c r="AX897" s="2" t="s">
        <v>51</v>
      </c>
      <c r="AY897" s="2" t="s">
        <v>51</v>
      </c>
    </row>
    <row r="898" spans="1:52" ht="30" customHeight="1">
      <c r="A898" s="8" t="s">
        <v>1392</v>
      </c>
      <c r="B898" s="8" t="s">
        <v>1816</v>
      </c>
      <c r="C898" s="8" t="s">
        <v>993</v>
      </c>
      <c r="D898" s="1165">
        <v>2.8800000000000002E-3</v>
      </c>
      <c r="E898" s="1166">
        <f>단가대비표!$O$42</f>
        <v>10652</v>
      </c>
      <c r="F898" s="1167">
        <f t="shared" si="223"/>
        <v>30.6</v>
      </c>
      <c r="G898" s="1166">
        <f>단가대비표!$P$42</f>
        <v>0</v>
      </c>
      <c r="H898" s="1167">
        <f t="shared" si="224"/>
        <v>0</v>
      </c>
      <c r="I898" s="1166">
        <f>단가대비표!$V$42</f>
        <v>0</v>
      </c>
      <c r="J898" s="1167">
        <f t="shared" si="225"/>
        <v>0</v>
      </c>
      <c r="K898" s="1166">
        <f t="shared" si="226"/>
        <v>10652</v>
      </c>
      <c r="L898" s="1167">
        <f t="shared" si="227"/>
        <v>30.6</v>
      </c>
      <c r="M898" s="522" t="s">
        <v>51</v>
      </c>
      <c r="N898" s="2" t="s">
        <v>1806</v>
      </c>
      <c r="O898" s="2" t="s">
        <v>1817</v>
      </c>
      <c r="P898" s="2" t="s">
        <v>62</v>
      </c>
      <c r="Q898" s="2" t="s">
        <v>62</v>
      </c>
      <c r="R898" s="2" t="s">
        <v>61</v>
      </c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2" t="s">
        <v>51</v>
      </c>
      <c r="AW898" s="2" t="s">
        <v>1851</v>
      </c>
      <c r="AX898" s="2" t="s">
        <v>51</v>
      </c>
      <c r="AY898" s="2" t="s">
        <v>51</v>
      </c>
    </row>
    <row r="899" spans="1:52" ht="30" customHeight="1">
      <c r="A899" s="8" t="s">
        <v>1819</v>
      </c>
      <c r="B899" s="8" t="s">
        <v>1820</v>
      </c>
      <c r="C899" s="8" t="s">
        <v>1821</v>
      </c>
      <c r="D899" s="1165">
        <v>2.1252E-2</v>
      </c>
      <c r="E899" s="1166">
        <f>일위대가목록!$F$116</f>
        <v>0</v>
      </c>
      <c r="F899" s="1167">
        <f t="shared" si="223"/>
        <v>0</v>
      </c>
      <c r="G899" s="1166">
        <f>일위대가목록!$H$116</f>
        <v>0</v>
      </c>
      <c r="H899" s="1167">
        <f t="shared" si="224"/>
        <v>0</v>
      </c>
      <c r="I899" s="1166">
        <f>일위대가목록!$J$116</f>
        <v>0</v>
      </c>
      <c r="J899" s="1167">
        <f t="shared" si="225"/>
        <v>0</v>
      </c>
      <c r="K899" s="1166">
        <f t="shared" si="226"/>
        <v>0</v>
      </c>
      <c r="L899" s="1167">
        <f t="shared" si="227"/>
        <v>0</v>
      </c>
      <c r="M899" s="522" t="s">
        <v>51</v>
      </c>
      <c r="N899" s="2" t="s">
        <v>1806</v>
      </c>
      <c r="O899" s="2" t="s">
        <v>1822</v>
      </c>
      <c r="P899" s="2" t="s">
        <v>61</v>
      </c>
      <c r="Q899" s="2" t="s">
        <v>62</v>
      </c>
      <c r="R899" s="2" t="s">
        <v>62</v>
      </c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2" t="s">
        <v>51</v>
      </c>
      <c r="AW899" s="2" t="s">
        <v>1852</v>
      </c>
      <c r="AX899" s="2" t="s">
        <v>51</v>
      </c>
      <c r="AY899" s="2" t="s">
        <v>51</v>
      </c>
    </row>
    <row r="900" spans="1:52" ht="30" customHeight="1">
      <c r="A900" s="8" t="s">
        <v>987</v>
      </c>
      <c r="B900" s="8" t="s">
        <v>1824</v>
      </c>
      <c r="C900" s="8" t="s">
        <v>1825</v>
      </c>
      <c r="D900" s="1165">
        <v>0.12852</v>
      </c>
      <c r="E900" s="1166">
        <f>단가대비표!$O$554</f>
        <v>0</v>
      </c>
      <c r="F900" s="1167">
        <f t="shared" si="223"/>
        <v>0</v>
      </c>
      <c r="G900" s="1166">
        <f>단가대비표!$P$554</f>
        <v>0</v>
      </c>
      <c r="H900" s="1167">
        <f t="shared" si="224"/>
        <v>0</v>
      </c>
      <c r="I900" s="1166">
        <f>단가대비표!$V$554</f>
        <v>87</v>
      </c>
      <c r="J900" s="1167">
        <f t="shared" si="225"/>
        <v>11.1</v>
      </c>
      <c r="K900" s="1166">
        <f t="shared" si="226"/>
        <v>87</v>
      </c>
      <c r="L900" s="1167">
        <f t="shared" si="227"/>
        <v>11.1</v>
      </c>
      <c r="M900" s="522" t="s">
        <v>51</v>
      </c>
      <c r="N900" s="2" t="s">
        <v>1806</v>
      </c>
      <c r="O900" s="2" t="s">
        <v>1826</v>
      </c>
      <c r="P900" s="2" t="s">
        <v>62</v>
      </c>
      <c r="Q900" s="2" t="s">
        <v>62</v>
      </c>
      <c r="R900" s="2" t="s">
        <v>61</v>
      </c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2" t="s">
        <v>51</v>
      </c>
      <c r="AW900" s="2" t="s">
        <v>1853</v>
      </c>
      <c r="AX900" s="2" t="s">
        <v>51</v>
      </c>
      <c r="AY900" s="2" t="s">
        <v>51</v>
      </c>
    </row>
    <row r="901" spans="1:52" ht="30" customHeight="1">
      <c r="A901" s="8" t="s">
        <v>6734</v>
      </c>
      <c r="B901" s="8" t="s">
        <v>418</v>
      </c>
      <c r="C901" s="8" t="s">
        <v>419</v>
      </c>
      <c r="D901" s="1165">
        <v>2.6159999999999999E-2</v>
      </c>
      <c r="E901" s="1166">
        <f>단가대비표!$O$560</f>
        <v>0</v>
      </c>
      <c r="F901" s="1167">
        <f t="shared" si="223"/>
        <v>0</v>
      </c>
      <c r="G901" s="1166">
        <f>단가대비표!$P$560</f>
        <v>184100</v>
      </c>
      <c r="H901" s="1167">
        <f t="shared" si="224"/>
        <v>4816</v>
      </c>
      <c r="I901" s="1166">
        <f>단가대비표!$V$560</f>
        <v>0</v>
      </c>
      <c r="J901" s="1167">
        <f t="shared" si="225"/>
        <v>0</v>
      </c>
      <c r="K901" s="1166">
        <f t="shared" si="226"/>
        <v>184100</v>
      </c>
      <c r="L901" s="1167">
        <f t="shared" si="227"/>
        <v>4816</v>
      </c>
      <c r="M901" s="522" t="s">
        <v>51</v>
      </c>
      <c r="N901" s="2" t="s">
        <v>1806</v>
      </c>
      <c r="O901" s="2" t="s">
        <v>1829</v>
      </c>
      <c r="P901" s="2" t="s">
        <v>62</v>
      </c>
      <c r="Q901" s="2" t="s">
        <v>62</v>
      </c>
      <c r="R901" s="2" t="s">
        <v>61</v>
      </c>
      <c r="S901" s="3"/>
      <c r="T901" s="3"/>
      <c r="U901" s="3"/>
      <c r="V901" s="3">
        <v>1</v>
      </c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2" t="s">
        <v>51</v>
      </c>
      <c r="AW901" s="2" t="s">
        <v>1854</v>
      </c>
      <c r="AX901" s="2" t="s">
        <v>51</v>
      </c>
      <c r="AY901" s="2" t="s">
        <v>51</v>
      </c>
    </row>
    <row r="902" spans="1:52" ht="30" customHeight="1">
      <c r="A902" s="8" t="s">
        <v>996</v>
      </c>
      <c r="B902" s="8" t="s">
        <v>947</v>
      </c>
      <c r="C902" s="8" t="s">
        <v>419</v>
      </c>
      <c r="D902" s="1165">
        <v>6.7199999999999996E-4</v>
      </c>
      <c r="E902" s="1166">
        <f>단가대비표!$O$556</f>
        <v>0</v>
      </c>
      <c r="F902" s="1167">
        <f t="shared" si="223"/>
        <v>0</v>
      </c>
      <c r="G902" s="1166">
        <f>단가대비표!$P$556</f>
        <v>130264</v>
      </c>
      <c r="H902" s="1167">
        <f t="shared" si="224"/>
        <v>87.5</v>
      </c>
      <c r="I902" s="1166">
        <f>단가대비표!$V$556</f>
        <v>0</v>
      </c>
      <c r="J902" s="1167">
        <f t="shared" si="225"/>
        <v>0</v>
      </c>
      <c r="K902" s="1166">
        <f t="shared" si="226"/>
        <v>130264</v>
      </c>
      <c r="L902" s="1167">
        <f t="shared" si="227"/>
        <v>87.5</v>
      </c>
      <c r="M902" s="522" t="s">
        <v>51</v>
      </c>
      <c r="N902" s="2" t="s">
        <v>1806</v>
      </c>
      <c r="O902" s="2" t="s">
        <v>997</v>
      </c>
      <c r="P902" s="2" t="s">
        <v>62</v>
      </c>
      <c r="Q902" s="2" t="s">
        <v>62</v>
      </c>
      <c r="R902" s="2" t="s">
        <v>61</v>
      </c>
      <c r="S902" s="3"/>
      <c r="T902" s="3"/>
      <c r="U902" s="3"/>
      <c r="V902" s="3">
        <v>1</v>
      </c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2" t="s">
        <v>51</v>
      </c>
      <c r="AW902" s="2" t="s">
        <v>1855</v>
      </c>
      <c r="AX902" s="2" t="s">
        <v>51</v>
      </c>
      <c r="AY902" s="2" t="s">
        <v>51</v>
      </c>
    </row>
    <row r="903" spans="1:52" ht="30" customHeight="1">
      <c r="A903" s="8" t="s">
        <v>1006</v>
      </c>
      <c r="B903" s="8" t="s">
        <v>418</v>
      </c>
      <c r="C903" s="8" t="s">
        <v>419</v>
      </c>
      <c r="D903" s="1165">
        <v>2.6519999999999998E-3</v>
      </c>
      <c r="E903" s="1166">
        <f>단가대비표!$O$562</f>
        <v>0</v>
      </c>
      <c r="F903" s="1167">
        <f t="shared" si="223"/>
        <v>0</v>
      </c>
      <c r="G903" s="1166">
        <f>단가대비표!$P$562</f>
        <v>209394</v>
      </c>
      <c r="H903" s="1167">
        <f t="shared" si="224"/>
        <v>555.29999999999995</v>
      </c>
      <c r="I903" s="1166">
        <f>단가대비표!$V$562</f>
        <v>0</v>
      </c>
      <c r="J903" s="1167">
        <f t="shared" si="225"/>
        <v>0</v>
      </c>
      <c r="K903" s="1166">
        <f t="shared" si="226"/>
        <v>209394</v>
      </c>
      <c r="L903" s="1167">
        <f t="shared" si="227"/>
        <v>555.29999999999995</v>
      </c>
      <c r="M903" s="522" t="s">
        <v>51</v>
      </c>
      <c r="N903" s="2" t="s">
        <v>1806</v>
      </c>
      <c r="O903" s="2" t="s">
        <v>1007</v>
      </c>
      <c r="P903" s="2" t="s">
        <v>62</v>
      </c>
      <c r="Q903" s="2" t="s">
        <v>62</v>
      </c>
      <c r="R903" s="2" t="s">
        <v>61</v>
      </c>
      <c r="S903" s="3"/>
      <c r="T903" s="3"/>
      <c r="U903" s="3"/>
      <c r="V903" s="3">
        <v>1</v>
      </c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2" t="s">
        <v>51</v>
      </c>
      <c r="AW903" s="2" t="s">
        <v>1856</v>
      </c>
      <c r="AX903" s="2" t="s">
        <v>51</v>
      </c>
      <c r="AY903" s="2" t="s">
        <v>51</v>
      </c>
    </row>
    <row r="904" spans="1:52" ht="30" customHeight="1">
      <c r="A904" s="8" t="s">
        <v>1130</v>
      </c>
      <c r="B904" s="8" t="s">
        <v>947</v>
      </c>
      <c r="C904" s="8" t="s">
        <v>419</v>
      </c>
      <c r="D904" s="1165">
        <v>7.5600000000000005E-4</v>
      </c>
      <c r="E904" s="1166">
        <f>단가대비표!$O$557</f>
        <v>0</v>
      </c>
      <c r="F904" s="1167">
        <f t="shared" si="223"/>
        <v>0</v>
      </c>
      <c r="G904" s="1166">
        <f>단가대비표!$P$557</f>
        <v>155599</v>
      </c>
      <c r="H904" s="1167">
        <f t="shared" si="224"/>
        <v>117.6</v>
      </c>
      <c r="I904" s="1166">
        <f>단가대비표!$V$557</f>
        <v>0</v>
      </c>
      <c r="J904" s="1167">
        <f t="shared" si="225"/>
        <v>0</v>
      </c>
      <c r="K904" s="1166">
        <f t="shared" si="226"/>
        <v>155599</v>
      </c>
      <c r="L904" s="1167">
        <f t="shared" si="227"/>
        <v>117.6</v>
      </c>
      <c r="M904" s="522" t="s">
        <v>51</v>
      </c>
      <c r="N904" s="2" t="s">
        <v>1806</v>
      </c>
      <c r="O904" s="2" t="s">
        <v>1131</v>
      </c>
      <c r="P904" s="2" t="s">
        <v>62</v>
      </c>
      <c r="Q904" s="2" t="s">
        <v>62</v>
      </c>
      <c r="R904" s="2" t="s">
        <v>61</v>
      </c>
      <c r="S904" s="3"/>
      <c r="T904" s="3"/>
      <c r="U904" s="3"/>
      <c r="V904" s="3">
        <v>1</v>
      </c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2" t="s">
        <v>51</v>
      </c>
      <c r="AW904" s="2" t="s">
        <v>1857</v>
      </c>
      <c r="AX904" s="2" t="s">
        <v>51</v>
      </c>
      <c r="AY904" s="2" t="s">
        <v>51</v>
      </c>
    </row>
    <row r="905" spans="1:52" ht="30" customHeight="1">
      <c r="A905" s="8" t="s">
        <v>1134</v>
      </c>
      <c r="B905" s="8" t="s">
        <v>1587</v>
      </c>
      <c r="C905" s="8" t="s">
        <v>82</v>
      </c>
      <c r="D905" s="1165">
        <v>1</v>
      </c>
      <c r="E905" s="1166">
        <v>0</v>
      </c>
      <c r="F905" s="1167">
        <f t="shared" si="223"/>
        <v>0</v>
      </c>
      <c r="G905" s="1166">
        <v>0</v>
      </c>
      <c r="H905" s="1167">
        <f t="shared" si="224"/>
        <v>0</v>
      </c>
      <c r="I905" s="1166">
        <f>TRUNC(SUMIF(V896:V905, RIGHTB(O905, 1), H896:H905)*U905, 2)</f>
        <v>167.29</v>
      </c>
      <c r="J905" s="1167">
        <f t="shared" si="225"/>
        <v>167.2</v>
      </c>
      <c r="K905" s="1166">
        <f t="shared" si="226"/>
        <v>167.2</v>
      </c>
      <c r="L905" s="1167">
        <f t="shared" si="227"/>
        <v>167.2</v>
      </c>
      <c r="M905" s="522" t="s">
        <v>51</v>
      </c>
      <c r="N905" s="2" t="s">
        <v>1806</v>
      </c>
      <c r="O905" s="2" t="s">
        <v>1036</v>
      </c>
      <c r="P905" s="2" t="s">
        <v>62</v>
      </c>
      <c r="Q905" s="2" t="s">
        <v>62</v>
      </c>
      <c r="R905" s="2" t="s">
        <v>62</v>
      </c>
      <c r="S905" s="3">
        <v>1</v>
      </c>
      <c r="T905" s="3">
        <v>2</v>
      </c>
      <c r="U905" s="3">
        <v>0.03</v>
      </c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2" t="s">
        <v>51</v>
      </c>
      <c r="AW905" s="2" t="s">
        <v>1858</v>
      </c>
      <c r="AX905" s="2" t="s">
        <v>51</v>
      </c>
      <c r="AY905" s="2" t="s">
        <v>51</v>
      </c>
    </row>
    <row r="906" spans="1:52" ht="30" customHeight="1">
      <c r="A906" s="8" t="s">
        <v>950</v>
      </c>
      <c r="B906" s="8" t="s">
        <v>51</v>
      </c>
      <c r="C906" s="8" t="s">
        <v>51</v>
      </c>
      <c r="D906" s="1165"/>
      <c r="E906" s="1166"/>
      <c r="F906" s="1167">
        <f>TRUNC(SUMIF(N896:N905, N895, F896:F905),0)</f>
        <v>87</v>
      </c>
      <c r="G906" s="1166"/>
      <c r="H906" s="1167">
        <f>TRUNC(SUMIF(N896:N905, N895, H896:H905),0)</f>
        <v>5576</v>
      </c>
      <c r="I906" s="1166"/>
      <c r="J906" s="1167">
        <f>TRUNC(SUMIF(N896:N905, N895, J896:J905),0)</f>
        <v>178</v>
      </c>
      <c r="K906" s="1166"/>
      <c r="L906" s="1167">
        <f>F906+H906+J906</f>
        <v>5841</v>
      </c>
      <c r="M906" s="522" t="s">
        <v>51</v>
      </c>
      <c r="N906" s="2" t="s">
        <v>86</v>
      </c>
      <c r="O906" s="2" t="s">
        <v>86</v>
      </c>
      <c r="P906" s="2" t="s">
        <v>51</v>
      </c>
      <c r="Q906" s="2" t="s">
        <v>51</v>
      </c>
      <c r="R906" s="2" t="s">
        <v>51</v>
      </c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2" t="s">
        <v>51</v>
      </c>
      <c r="AW906" s="2" t="s">
        <v>51</v>
      </c>
      <c r="AX906" s="2" t="s">
        <v>51</v>
      </c>
      <c r="AY906" s="2" t="s">
        <v>51</v>
      </c>
    </row>
    <row r="907" spans="1:52" ht="30" customHeight="1">
      <c r="A907" s="1165"/>
      <c r="B907" s="1165"/>
      <c r="C907" s="1165"/>
      <c r="D907" s="1165"/>
      <c r="E907" s="1166"/>
      <c r="F907" s="1167"/>
      <c r="G907" s="1166"/>
      <c r="H907" s="1167"/>
      <c r="I907" s="1166"/>
      <c r="J907" s="1167"/>
      <c r="K907" s="1166"/>
      <c r="L907" s="1167"/>
      <c r="M907" s="523"/>
    </row>
    <row r="908" spans="1:52" ht="30" customHeight="1">
      <c r="A908" s="1397" t="s">
        <v>6733</v>
      </c>
      <c r="B908" s="1397"/>
      <c r="C908" s="1397"/>
      <c r="D908" s="1397"/>
      <c r="E908" s="1398"/>
      <c r="F908" s="1399"/>
      <c r="G908" s="1398"/>
      <c r="H908" s="1399"/>
      <c r="I908" s="1398"/>
      <c r="J908" s="1399"/>
      <c r="K908" s="1398"/>
      <c r="L908" s="1399"/>
      <c r="M908" s="1397"/>
      <c r="N908" s="1164" t="s">
        <v>1808</v>
      </c>
      <c r="AZ908" t="s">
        <v>6835</v>
      </c>
    </row>
    <row r="909" spans="1:52" ht="30" customHeight="1">
      <c r="A909" s="8" t="s">
        <v>1126</v>
      </c>
      <c r="B909" s="8" t="s">
        <v>1847</v>
      </c>
      <c r="C909" s="8" t="s">
        <v>993</v>
      </c>
      <c r="D909" s="1165">
        <v>3.3240000000000001E-3</v>
      </c>
      <c r="E909" s="1166">
        <f>단가대비표!$O$45</f>
        <v>2290</v>
      </c>
      <c r="F909" s="1167">
        <f t="shared" ref="F909:F918" si="228">TRUNC(E909*D909,1)</f>
        <v>7.6</v>
      </c>
      <c r="G909" s="1166">
        <f>단가대비표!$P$45</f>
        <v>0</v>
      </c>
      <c r="H909" s="1167">
        <f t="shared" ref="H909:H918" si="229">TRUNC(G909*D909,1)</f>
        <v>0</v>
      </c>
      <c r="I909" s="1166">
        <f>단가대비표!$V$45</f>
        <v>0</v>
      </c>
      <c r="J909" s="1167">
        <f t="shared" ref="J909:J918" si="230">TRUNC(I909*D909,1)</f>
        <v>0</v>
      </c>
      <c r="K909" s="1166">
        <f t="shared" ref="K909:K918" si="231">TRUNC(E909+G909+I909,1)</f>
        <v>2290</v>
      </c>
      <c r="L909" s="1167">
        <f t="shared" ref="L909:L918" si="232">TRUNC(F909+H909+J909,1)</f>
        <v>7.6</v>
      </c>
      <c r="M909" s="522" t="s">
        <v>51</v>
      </c>
      <c r="N909" s="2" t="s">
        <v>1808</v>
      </c>
      <c r="O909" s="2" t="s">
        <v>1848</v>
      </c>
      <c r="P909" s="2" t="s">
        <v>62</v>
      </c>
      <c r="Q909" s="2" t="s">
        <v>62</v>
      </c>
      <c r="R909" s="2" t="s">
        <v>61</v>
      </c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2" t="s">
        <v>51</v>
      </c>
      <c r="AW909" s="2" t="s">
        <v>1860</v>
      </c>
      <c r="AX909" s="2" t="s">
        <v>51</v>
      </c>
      <c r="AY909" s="2" t="s">
        <v>51</v>
      </c>
    </row>
    <row r="910" spans="1:52" ht="30" customHeight="1">
      <c r="A910" s="8" t="s">
        <v>1387</v>
      </c>
      <c r="B910" s="8" t="s">
        <v>1388</v>
      </c>
      <c r="C910" s="8" t="s">
        <v>1230</v>
      </c>
      <c r="D910" s="1165">
        <v>1.1339999999999999</v>
      </c>
      <c r="E910" s="1166">
        <f>단가대비표!$O$40</f>
        <v>2.2200000000000002</v>
      </c>
      <c r="F910" s="1167">
        <f t="shared" si="228"/>
        <v>2.5</v>
      </c>
      <c r="G910" s="1166">
        <f>단가대비표!$P$40</f>
        <v>0</v>
      </c>
      <c r="H910" s="1167">
        <f t="shared" si="229"/>
        <v>0</v>
      </c>
      <c r="I910" s="1166">
        <f>단가대비표!$V$40</f>
        <v>0</v>
      </c>
      <c r="J910" s="1167">
        <f t="shared" si="230"/>
        <v>0</v>
      </c>
      <c r="K910" s="1166">
        <f t="shared" si="231"/>
        <v>2.2000000000000002</v>
      </c>
      <c r="L910" s="1167">
        <f t="shared" si="232"/>
        <v>2.5</v>
      </c>
      <c r="M910" s="522" t="s">
        <v>1389</v>
      </c>
      <c r="N910" s="2" t="s">
        <v>1808</v>
      </c>
      <c r="O910" s="2" t="s">
        <v>1390</v>
      </c>
      <c r="P910" s="2" t="s">
        <v>62</v>
      </c>
      <c r="Q910" s="2" t="s">
        <v>62</v>
      </c>
      <c r="R910" s="2" t="s">
        <v>61</v>
      </c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2" t="s">
        <v>51</v>
      </c>
      <c r="AW910" s="2" t="s">
        <v>1861</v>
      </c>
      <c r="AX910" s="2" t="s">
        <v>51</v>
      </c>
      <c r="AY910" s="2" t="s">
        <v>51</v>
      </c>
    </row>
    <row r="911" spans="1:52" ht="30" customHeight="1">
      <c r="A911" s="8" t="s">
        <v>1392</v>
      </c>
      <c r="B911" s="8" t="s">
        <v>1816</v>
      </c>
      <c r="C911" s="8" t="s">
        <v>993</v>
      </c>
      <c r="D911" s="1165">
        <v>4.8000000000000001E-4</v>
      </c>
      <c r="E911" s="1166">
        <f>단가대비표!$O$42</f>
        <v>10652</v>
      </c>
      <c r="F911" s="1167">
        <f t="shared" si="228"/>
        <v>5.0999999999999996</v>
      </c>
      <c r="G911" s="1166">
        <f>단가대비표!$P$42</f>
        <v>0</v>
      </c>
      <c r="H911" s="1167">
        <f t="shared" si="229"/>
        <v>0</v>
      </c>
      <c r="I911" s="1166">
        <f>단가대비표!$V$42</f>
        <v>0</v>
      </c>
      <c r="J911" s="1167">
        <f t="shared" si="230"/>
        <v>0</v>
      </c>
      <c r="K911" s="1166">
        <f t="shared" si="231"/>
        <v>10652</v>
      </c>
      <c r="L911" s="1167">
        <f t="shared" si="232"/>
        <v>5.0999999999999996</v>
      </c>
      <c r="M911" s="522" t="s">
        <v>51</v>
      </c>
      <c r="N911" s="2" t="s">
        <v>1808</v>
      </c>
      <c r="O911" s="2" t="s">
        <v>1817</v>
      </c>
      <c r="P911" s="2" t="s">
        <v>62</v>
      </c>
      <c r="Q911" s="2" t="s">
        <v>62</v>
      </c>
      <c r="R911" s="2" t="s">
        <v>61</v>
      </c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2" t="s">
        <v>51</v>
      </c>
      <c r="AW911" s="2" t="s">
        <v>1862</v>
      </c>
      <c r="AX911" s="2" t="s">
        <v>51</v>
      </c>
      <c r="AY911" s="2" t="s">
        <v>51</v>
      </c>
    </row>
    <row r="912" spans="1:52" ht="30" customHeight="1">
      <c r="A912" s="8" t="s">
        <v>1819</v>
      </c>
      <c r="B912" s="8" t="s">
        <v>1820</v>
      </c>
      <c r="C912" s="8" t="s">
        <v>1821</v>
      </c>
      <c r="D912" s="1165">
        <v>3.7439999999999999E-3</v>
      </c>
      <c r="E912" s="1166">
        <f>일위대가목록!$F$116</f>
        <v>0</v>
      </c>
      <c r="F912" s="1167">
        <f t="shared" si="228"/>
        <v>0</v>
      </c>
      <c r="G912" s="1166">
        <f>일위대가목록!$H$116</f>
        <v>0</v>
      </c>
      <c r="H912" s="1167">
        <f t="shared" si="229"/>
        <v>0</v>
      </c>
      <c r="I912" s="1166">
        <f>일위대가목록!$J$116</f>
        <v>0</v>
      </c>
      <c r="J912" s="1167">
        <f t="shared" si="230"/>
        <v>0</v>
      </c>
      <c r="K912" s="1166">
        <f t="shared" si="231"/>
        <v>0</v>
      </c>
      <c r="L912" s="1167">
        <f t="shared" si="232"/>
        <v>0</v>
      </c>
      <c r="M912" s="522" t="s">
        <v>51</v>
      </c>
      <c r="N912" s="2" t="s">
        <v>1808</v>
      </c>
      <c r="O912" s="2" t="s">
        <v>1822</v>
      </c>
      <c r="P912" s="2" t="s">
        <v>61</v>
      </c>
      <c r="Q912" s="2" t="s">
        <v>62</v>
      </c>
      <c r="R912" s="2" t="s">
        <v>62</v>
      </c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2" t="s">
        <v>51</v>
      </c>
      <c r="AW912" s="2" t="s">
        <v>1863</v>
      </c>
      <c r="AX912" s="2" t="s">
        <v>51</v>
      </c>
      <c r="AY912" s="2" t="s">
        <v>51</v>
      </c>
    </row>
    <row r="913" spans="1:52" ht="30" customHeight="1">
      <c r="A913" s="8" t="s">
        <v>987</v>
      </c>
      <c r="B913" s="8" t="s">
        <v>1824</v>
      </c>
      <c r="C913" s="8" t="s">
        <v>1825</v>
      </c>
      <c r="D913" s="1165">
        <v>2.2679999999999999E-2</v>
      </c>
      <c r="E913" s="1166">
        <f>단가대비표!$O$554</f>
        <v>0</v>
      </c>
      <c r="F913" s="1167">
        <f t="shared" si="228"/>
        <v>0</v>
      </c>
      <c r="G913" s="1166">
        <f>단가대비표!$P$554</f>
        <v>0</v>
      </c>
      <c r="H913" s="1167">
        <f t="shared" si="229"/>
        <v>0</v>
      </c>
      <c r="I913" s="1166">
        <f>단가대비표!$V$554</f>
        <v>87</v>
      </c>
      <c r="J913" s="1167">
        <f t="shared" si="230"/>
        <v>1.9</v>
      </c>
      <c r="K913" s="1166">
        <f t="shared" si="231"/>
        <v>87</v>
      </c>
      <c r="L913" s="1167">
        <f t="shared" si="232"/>
        <v>1.9</v>
      </c>
      <c r="M913" s="522" t="s">
        <v>51</v>
      </c>
      <c r="N913" s="2" t="s">
        <v>1808</v>
      </c>
      <c r="O913" s="2" t="s">
        <v>1826</v>
      </c>
      <c r="P913" s="2" t="s">
        <v>62</v>
      </c>
      <c r="Q913" s="2" t="s">
        <v>62</v>
      </c>
      <c r="R913" s="2" t="s">
        <v>61</v>
      </c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2" t="s">
        <v>51</v>
      </c>
      <c r="AW913" s="2" t="s">
        <v>1864</v>
      </c>
      <c r="AX913" s="2" t="s">
        <v>51</v>
      </c>
      <c r="AY913" s="2" t="s">
        <v>51</v>
      </c>
    </row>
    <row r="914" spans="1:52" ht="30" customHeight="1">
      <c r="A914" s="8" t="s">
        <v>6734</v>
      </c>
      <c r="B914" s="8" t="s">
        <v>418</v>
      </c>
      <c r="C914" s="8" t="s">
        <v>419</v>
      </c>
      <c r="D914" s="1165">
        <v>7.0200000000000002E-3</v>
      </c>
      <c r="E914" s="1166">
        <f>단가대비표!$O$560</f>
        <v>0</v>
      </c>
      <c r="F914" s="1167">
        <f t="shared" si="228"/>
        <v>0</v>
      </c>
      <c r="G914" s="1166">
        <f>단가대비표!$P$560</f>
        <v>184100</v>
      </c>
      <c r="H914" s="1167">
        <f t="shared" si="229"/>
        <v>1292.3</v>
      </c>
      <c r="I914" s="1166">
        <f>단가대비표!$V$560</f>
        <v>0</v>
      </c>
      <c r="J914" s="1167">
        <f t="shared" si="230"/>
        <v>0</v>
      </c>
      <c r="K914" s="1166">
        <f t="shared" si="231"/>
        <v>184100</v>
      </c>
      <c r="L914" s="1167">
        <f t="shared" si="232"/>
        <v>1292.3</v>
      </c>
      <c r="M914" s="522" t="s">
        <v>51</v>
      </c>
      <c r="N914" s="2" t="s">
        <v>1808</v>
      </c>
      <c r="O914" s="2" t="s">
        <v>1829</v>
      </c>
      <c r="P914" s="2" t="s">
        <v>62</v>
      </c>
      <c r="Q914" s="2" t="s">
        <v>62</v>
      </c>
      <c r="R914" s="2" t="s">
        <v>61</v>
      </c>
      <c r="S914" s="3"/>
      <c r="T914" s="3"/>
      <c r="U914" s="3"/>
      <c r="V914" s="3">
        <v>1</v>
      </c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2" t="s">
        <v>51</v>
      </c>
      <c r="AW914" s="2" t="s">
        <v>1865</v>
      </c>
      <c r="AX914" s="2" t="s">
        <v>51</v>
      </c>
      <c r="AY914" s="2" t="s">
        <v>51</v>
      </c>
    </row>
    <row r="915" spans="1:52" ht="30" customHeight="1">
      <c r="A915" s="8" t="s">
        <v>996</v>
      </c>
      <c r="B915" s="8" t="s">
        <v>947</v>
      </c>
      <c r="C915" s="8" t="s">
        <v>419</v>
      </c>
      <c r="D915" s="1165">
        <v>1.2E-4</v>
      </c>
      <c r="E915" s="1166">
        <f>단가대비표!$O$556</f>
        <v>0</v>
      </c>
      <c r="F915" s="1167">
        <f t="shared" si="228"/>
        <v>0</v>
      </c>
      <c r="G915" s="1166">
        <f>단가대비표!$P$556</f>
        <v>130264</v>
      </c>
      <c r="H915" s="1167">
        <f t="shared" si="229"/>
        <v>15.6</v>
      </c>
      <c r="I915" s="1166">
        <f>단가대비표!$V$556</f>
        <v>0</v>
      </c>
      <c r="J915" s="1167">
        <f t="shared" si="230"/>
        <v>0</v>
      </c>
      <c r="K915" s="1166">
        <f t="shared" si="231"/>
        <v>130264</v>
      </c>
      <c r="L915" s="1167">
        <f t="shared" si="232"/>
        <v>15.6</v>
      </c>
      <c r="M915" s="522" t="s">
        <v>51</v>
      </c>
      <c r="N915" s="2" t="s">
        <v>1808</v>
      </c>
      <c r="O915" s="2" t="s">
        <v>997</v>
      </c>
      <c r="P915" s="2" t="s">
        <v>62</v>
      </c>
      <c r="Q915" s="2" t="s">
        <v>62</v>
      </c>
      <c r="R915" s="2" t="s">
        <v>61</v>
      </c>
      <c r="S915" s="3"/>
      <c r="T915" s="3"/>
      <c r="U915" s="3"/>
      <c r="V915" s="3">
        <v>1</v>
      </c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2" t="s">
        <v>51</v>
      </c>
      <c r="AW915" s="2" t="s">
        <v>1866</v>
      </c>
      <c r="AX915" s="2" t="s">
        <v>51</v>
      </c>
      <c r="AY915" s="2" t="s">
        <v>51</v>
      </c>
    </row>
    <row r="916" spans="1:52" ht="30" customHeight="1">
      <c r="A916" s="8" t="s">
        <v>1006</v>
      </c>
      <c r="B916" s="8" t="s">
        <v>418</v>
      </c>
      <c r="C916" s="8" t="s">
        <v>419</v>
      </c>
      <c r="D916" s="1165">
        <v>4.6799999999999999E-4</v>
      </c>
      <c r="E916" s="1166">
        <f>단가대비표!$O$562</f>
        <v>0</v>
      </c>
      <c r="F916" s="1167">
        <f t="shared" si="228"/>
        <v>0</v>
      </c>
      <c r="G916" s="1166">
        <f>단가대비표!$P$562</f>
        <v>209394</v>
      </c>
      <c r="H916" s="1167">
        <f t="shared" si="229"/>
        <v>97.9</v>
      </c>
      <c r="I916" s="1166">
        <f>단가대비표!$V$562</f>
        <v>0</v>
      </c>
      <c r="J916" s="1167">
        <f t="shared" si="230"/>
        <v>0</v>
      </c>
      <c r="K916" s="1166">
        <f t="shared" si="231"/>
        <v>209394</v>
      </c>
      <c r="L916" s="1167">
        <f t="shared" si="232"/>
        <v>97.9</v>
      </c>
      <c r="M916" s="522" t="s">
        <v>51</v>
      </c>
      <c r="N916" s="2" t="s">
        <v>1808</v>
      </c>
      <c r="O916" s="2" t="s">
        <v>1007</v>
      </c>
      <c r="P916" s="2" t="s">
        <v>62</v>
      </c>
      <c r="Q916" s="2" t="s">
        <v>62</v>
      </c>
      <c r="R916" s="2" t="s">
        <v>61</v>
      </c>
      <c r="S916" s="3"/>
      <c r="T916" s="3"/>
      <c r="U916" s="3"/>
      <c r="V916" s="3">
        <v>1</v>
      </c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2" t="s">
        <v>51</v>
      </c>
      <c r="AW916" s="2" t="s">
        <v>1867</v>
      </c>
      <c r="AX916" s="2" t="s">
        <v>51</v>
      </c>
      <c r="AY916" s="2" t="s">
        <v>51</v>
      </c>
    </row>
    <row r="917" spans="1:52" ht="30" customHeight="1">
      <c r="A917" s="8" t="s">
        <v>1130</v>
      </c>
      <c r="B917" s="8" t="s">
        <v>947</v>
      </c>
      <c r="C917" s="8" t="s">
        <v>419</v>
      </c>
      <c r="D917" s="1165">
        <v>1.3200000000000001E-4</v>
      </c>
      <c r="E917" s="1166">
        <f>단가대비표!$O$557</f>
        <v>0</v>
      </c>
      <c r="F917" s="1167">
        <f t="shared" si="228"/>
        <v>0</v>
      </c>
      <c r="G917" s="1166">
        <f>단가대비표!$P$557</f>
        <v>155599</v>
      </c>
      <c r="H917" s="1167">
        <f t="shared" si="229"/>
        <v>20.5</v>
      </c>
      <c r="I917" s="1166">
        <f>단가대비표!$V$557</f>
        <v>0</v>
      </c>
      <c r="J917" s="1167">
        <f t="shared" si="230"/>
        <v>0</v>
      </c>
      <c r="K917" s="1166">
        <f t="shared" si="231"/>
        <v>155599</v>
      </c>
      <c r="L917" s="1167">
        <f t="shared" si="232"/>
        <v>20.5</v>
      </c>
      <c r="M917" s="522" t="s">
        <v>51</v>
      </c>
      <c r="N917" s="2" t="s">
        <v>1808</v>
      </c>
      <c r="O917" s="2" t="s">
        <v>1131</v>
      </c>
      <c r="P917" s="2" t="s">
        <v>62</v>
      </c>
      <c r="Q917" s="2" t="s">
        <v>62</v>
      </c>
      <c r="R917" s="2" t="s">
        <v>61</v>
      </c>
      <c r="S917" s="3"/>
      <c r="T917" s="3"/>
      <c r="U917" s="3"/>
      <c r="V917" s="3">
        <v>1</v>
      </c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2" t="s">
        <v>51</v>
      </c>
      <c r="AW917" s="2" t="s">
        <v>1868</v>
      </c>
      <c r="AX917" s="2" t="s">
        <v>51</v>
      </c>
      <c r="AY917" s="2" t="s">
        <v>51</v>
      </c>
    </row>
    <row r="918" spans="1:52" ht="30" customHeight="1">
      <c r="A918" s="8" t="s">
        <v>1134</v>
      </c>
      <c r="B918" s="8" t="s">
        <v>1587</v>
      </c>
      <c r="C918" s="8" t="s">
        <v>82</v>
      </c>
      <c r="D918" s="1165">
        <v>1</v>
      </c>
      <c r="E918" s="1166">
        <v>0</v>
      </c>
      <c r="F918" s="1167">
        <f t="shared" si="228"/>
        <v>0</v>
      </c>
      <c r="G918" s="1166">
        <v>0</v>
      </c>
      <c r="H918" s="1167">
        <f t="shared" si="229"/>
        <v>0</v>
      </c>
      <c r="I918" s="1166">
        <f>TRUNC(SUMIF(V909:V918, RIGHTB(O918, 1), H909:H918)*U918, 2)</f>
        <v>42.78</v>
      </c>
      <c r="J918" s="1167">
        <f t="shared" si="230"/>
        <v>42.7</v>
      </c>
      <c r="K918" s="1166">
        <f t="shared" si="231"/>
        <v>42.7</v>
      </c>
      <c r="L918" s="1167">
        <f t="shared" si="232"/>
        <v>42.7</v>
      </c>
      <c r="M918" s="522" t="s">
        <v>51</v>
      </c>
      <c r="N918" s="2" t="s">
        <v>1808</v>
      </c>
      <c r="O918" s="2" t="s">
        <v>1036</v>
      </c>
      <c r="P918" s="2" t="s">
        <v>62</v>
      </c>
      <c r="Q918" s="2" t="s">
        <v>62</v>
      </c>
      <c r="R918" s="2" t="s">
        <v>62</v>
      </c>
      <c r="S918" s="3">
        <v>1</v>
      </c>
      <c r="T918" s="3">
        <v>2</v>
      </c>
      <c r="U918" s="3">
        <v>0.03</v>
      </c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2" t="s">
        <v>51</v>
      </c>
      <c r="AW918" s="2" t="s">
        <v>1869</v>
      </c>
      <c r="AX918" s="2" t="s">
        <v>51</v>
      </c>
      <c r="AY918" s="2" t="s">
        <v>51</v>
      </c>
    </row>
    <row r="919" spans="1:52" ht="30" customHeight="1">
      <c r="A919" s="8" t="s">
        <v>950</v>
      </c>
      <c r="B919" s="8" t="s">
        <v>51</v>
      </c>
      <c r="C919" s="8" t="s">
        <v>51</v>
      </c>
      <c r="D919" s="1165"/>
      <c r="E919" s="1166"/>
      <c r="F919" s="1167">
        <f>TRUNC(SUMIF(N909:N918, N908, F909:F918),0)</f>
        <v>15</v>
      </c>
      <c r="G919" s="1166"/>
      <c r="H919" s="1167">
        <f>TRUNC(SUMIF(N909:N918, N908, H909:H918),0)</f>
        <v>1426</v>
      </c>
      <c r="I919" s="1166"/>
      <c r="J919" s="1167">
        <f>TRUNC(SUMIF(N909:N918, N908, J909:J918),0)</f>
        <v>44</v>
      </c>
      <c r="K919" s="1166"/>
      <c r="L919" s="1167">
        <f>F919+H919+J919</f>
        <v>1485</v>
      </c>
      <c r="M919" s="522" t="s">
        <v>51</v>
      </c>
      <c r="N919" s="2" t="s">
        <v>86</v>
      </c>
      <c r="O919" s="2" t="s">
        <v>86</v>
      </c>
      <c r="P919" s="2" t="s">
        <v>51</v>
      </c>
      <c r="Q919" s="2" t="s">
        <v>51</v>
      </c>
      <c r="R919" s="2" t="s">
        <v>51</v>
      </c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2" t="s">
        <v>51</v>
      </c>
      <c r="AW919" s="2" t="s">
        <v>51</v>
      </c>
      <c r="AX919" s="2" t="s">
        <v>51</v>
      </c>
      <c r="AY919" s="2" t="s">
        <v>51</v>
      </c>
    </row>
    <row r="920" spans="1:52" ht="30" customHeight="1">
      <c r="A920" s="1218"/>
      <c r="B920" s="1218"/>
      <c r="C920" s="1218"/>
      <c r="D920" s="1218"/>
      <c r="E920" s="1219"/>
      <c r="F920" s="1220"/>
      <c r="G920" s="1219"/>
      <c r="H920" s="1220"/>
      <c r="I920" s="1219"/>
      <c r="J920" s="1220"/>
      <c r="K920" s="1219"/>
      <c r="L920" s="1220"/>
      <c r="M920" s="523"/>
    </row>
    <row r="921" spans="1:52" ht="30" customHeight="1">
      <c r="A921" s="1397" t="s">
        <v>6755</v>
      </c>
      <c r="B921" s="1397"/>
      <c r="C921" s="1397"/>
      <c r="D921" s="1397"/>
      <c r="E921" s="1398"/>
      <c r="F921" s="1399"/>
      <c r="G921" s="1398"/>
      <c r="H921" s="1399"/>
      <c r="I921" s="1398"/>
      <c r="J921" s="1399"/>
      <c r="K921" s="1398"/>
      <c r="L921" s="1399"/>
      <c r="M921" s="1397"/>
      <c r="N921" s="1214" t="s">
        <v>116</v>
      </c>
      <c r="AZ921" t="s">
        <v>6756</v>
      </c>
    </row>
    <row r="922" spans="1:52" ht="30" customHeight="1">
      <c r="A922" s="8" t="s">
        <v>6762</v>
      </c>
      <c r="B922" s="8" t="s">
        <v>6754</v>
      </c>
      <c r="C922" s="8" t="s">
        <v>6763</v>
      </c>
      <c r="D922" s="1218">
        <v>1.885</v>
      </c>
      <c r="E922" s="1219">
        <f>일위대가목록!$F$138</f>
        <v>0</v>
      </c>
      <c r="F922" s="1220">
        <f>TRUNC(E922*D922,1)</f>
        <v>0</v>
      </c>
      <c r="G922" s="1219">
        <f>일위대가목록!$H$138</f>
        <v>0</v>
      </c>
      <c r="H922" s="1220">
        <f>TRUNC(G922*D922,1)</f>
        <v>0</v>
      </c>
      <c r="I922" s="1219">
        <f>일위대가목록!$J$138</f>
        <v>289</v>
      </c>
      <c r="J922" s="1220">
        <f>TRUNC(I922*D922,1)</f>
        <v>544.70000000000005</v>
      </c>
      <c r="K922" s="1219">
        <f t="shared" ref="K922" si="233">TRUNC(E922+G922+I922,1)</f>
        <v>289</v>
      </c>
      <c r="L922" s="1220">
        <f t="shared" ref="L922" si="234">TRUNC(F922+H922+J922,1)</f>
        <v>544.70000000000005</v>
      </c>
      <c r="M922" s="522"/>
      <c r="N922" s="2"/>
      <c r="O922" s="2"/>
      <c r="P922" s="2"/>
      <c r="Q922" s="2"/>
      <c r="R922" s="2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2"/>
      <c r="AW922" s="2"/>
      <c r="AX922" s="2"/>
      <c r="AY922" s="2"/>
    </row>
    <row r="923" spans="1:52" ht="30" customHeight="1">
      <c r="A923" s="8" t="s">
        <v>6757</v>
      </c>
      <c r="B923" s="8" t="s">
        <v>418</v>
      </c>
      <c r="C923" s="8" t="s">
        <v>419</v>
      </c>
      <c r="D923" s="1218">
        <v>0.39</v>
      </c>
      <c r="E923" s="1219">
        <f>단가대비표!$O$607</f>
        <v>0</v>
      </c>
      <c r="F923" s="1220">
        <f>TRUNC(E923*D923,1)</f>
        <v>0</v>
      </c>
      <c r="G923" s="1219">
        <f>단가대비표!$P$607</f>
        <v>150052</v>
      </c>
      <c r="H923" s="1220">
        <f>TRUNC(G923*D923,1)</f>
        <v>58520.2</v>
      </c>
      <c r="I923" s="1219">
        <f>단가대비표!$V$607</f>
        <v>0</v>
      </c>
      <c r="J923" s="1220">
        <f>TRUNC(I923*D923,1)</f>
        <v>0</v>
      </c>
      <c r="K923" s="1219">
        <f t="shared" ref="K923:K925" si="235">TRUNC(E923+G923+I923,1)</f>
        <v>150052</v>
      </c>
      <c r="L923" s="1220">
        <f t="shared" ref="L923:L925" si="236">TRUNC(F923+H923+J923,1)</f>
        <v>58520.2</v>
      </c>
      <c r="M923" s="522" t="s">
        <v>51</v>
      </c>
      <c r="N923" s="2" t="s">
        <v>116</v>
      </c>
      <c r="O923" s="2" t="s">
        <v>1031</v>
      </c>
      <c r="P923" s="2" t="s">
        <v>62</v>
      </c>
      <c r="Q923" s="2" t="s">
        <v>62</v>
      </c>
      <c r="R923" s="2" t="s">
        <v>61</v>
      </c>
      <c r="S923" s="3"/>
      <c r="T923" s="3"/>
      <c r="U923" s="3"/>
      <c r="V923" s="3">
        <v>1</v>
      </c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2" t="s">
        <v>51</v>
      </c>
      <c r="AW923" s="2" t="s">
        <v>1032</v>
      </c>
      <c r="AX923" s="2" t="s">
        <v>51</v>
      </c>
      <c r="AY923" s="2" t="s">
        <v>51</v>
      </c>
    </row>
    <row r="924" spans="1:52" ht="30" customHeight="1">
      <c r="A924" s="8" t="s">
        <v>996</v>
      </c>
      <c r="B924" s="8" t="s">
        <v>947</v>
      </c>
      <c r="C924" s="8" t="s">
        <v>419</v>
      </c>
      <c r="D924" s="1218">
        <v>0.16500000000000001</v>
      </c>
      <c r="E924" s="1219">
        <f>단가대비표!$O$556</f>
        <v>0</v>
      </c>
      <c r="F924" s="1220">
        <f>TRUNC(E924*D924,1)</f>
        <v>0</v>
      </c>
      <c r="G924" s="1219">
        <f>단가대비표!$P$556</f>
        <v>130264</v>
      </c>
      <c r="H924" s="1220">
        <f>TRUNC(G924*D924,1)</f>
        <v>21493.5</v>
      </c>
      <c r="I924" s="1219">
        <f>단가대비표!$V$556</f>
        <v>0</v>
      </c>
      <c r="J924" s="1220">
        <f>TRUNC(I924*D924,1)</f>
        <v>0</v>
      </c>
      <c r="K924" s="1219">
        <f t="shared" si="235"/>
        <v>130264</v>
      </c>
      <c r="L924" s="1220">
        <f t="shared" si="236"/>
        <v>21493.5</v>
      </c>
      <c r="M924" s="522" t="s">
        <v>51</v>
      </c>
      <c r="N924" s="2" t="s">
        <v>116</v>
      </c>
      <c r="O924" s="2" t="s">
        <v>997</v>
      </c>
      <c r="P924" s="2" t="s">
        <v>62</v>
      </c>
      <c r="Q924" s="2" t="s">
        <v>62</v>
      </c>
      <c r="R924" s="2" t="s">
        <v>61</v>
      </c>
      <c r="S924" s="3"/>
      <c r="T924" s="3"/>
      <c r="U924" s="3"/>
      <c r="V924" s="3">
        <v>1</v>
      </c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2" t="s">
        <v>51</v>
      </c>
      <c r="AW924" s="2" t="s">
        <v>1033</v>
      </c>
      <c r="AX924" s="2" t="s">
        <v>51</v>
      </c>
      <c r="AY924" s="2" t="s">
        <v>51</v>
      </c>
    </row>
    <row r="925" spans="1:52" ht="30" customHeight="1">
      <c r="A925" s="8" t="s">
        <v>1034</v>
      </c>
      <c r="B925" s="8" t="s">
        <v>6769</v>
      </c>
      <c r="C925" s="8" t="s">
        <v>82</v>
      </c>
      <c r="D925" s="1218">
        <v>1</v>
      </c>
      <c r="E925" s="1219">
        <f>TRUNC(SUMIF(V923:V925, RIGHTB(O925, 1), H923:H925)*1%, 2)</f>
        <v>800.13</v>
      </c>
      <c r="F925" s="1220">
        <f>TRUNC(E925*D925,1)</f>
        <v>800.1</v>
      </c>
      <c r="G925" s="1219">
        <v>0</v>
      </c>
      <c r="H925" s="1220">
        <f>TRUNC(G925*D925,1)</f>
        <v>0</v>
      </c>
      <c r="I925" s="1219">
        <v>0</v>
      </c>
      <c r="J925" s="1220">
        <f>TRUNC(I925*D925,1)</f>
        <v>0</v>
      </c>
      <c r="K925" s="1219">
        <f t="shared" si="235"/>
        <v>800.1</v>
      </c>
      <c r="L925" s="1220">
        <f t="shared" si="236"/>
        <v>800.1</v>
      </c>
      <c r="M925" s="522" t="s">
        <v>51</v>
      </c>
      <c r="N925" s="2" t="s">
        <v>116</v>
      </c>
      <c r="O925" s="2" t="s">
        <v>1036</v>
      </c>
      <c r="P925" s="2" t="s">
        <v>62</v>
      </c>
      <c r="Q925" s="2" t="s">
        <v>62</v>
      </c>
      <c r="R925" s="2" t="s">
        <v>62</v>
      </c>
      <c r="S925" s="3">
        <v>1</v>
      </c>
      <c r="T925" s="3">
        <v>0</v>
      </c>
      <c r="U925" s="3">
        <v>0.05</v>
      </c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2" t="s">
        <v>51</v>
      </c>
      <c r="AW925" s="2" t="s">
        <v>1037</v>
      </c>
      <c r="AX925" s="2" t="s">
        <v>51</v>
      </c>
      <c r="AY925" s="2" t="s">
        <v>51</v>
      </c>
    </row>
    <row r="926" spans="1:52" ht="30" customHeight="1">
      <c r="A926" s="8" t="s">
        <v>950</v>
      </c>
      <c r="B926" s="8" t="s">
        <v>51</v>
      </c>
      <c r="C926" s="8" t="s">
        <v>51</v>
      </c>
      <c r="D926" s="1218"/>
      <c r="E926" s="1219"/>
      <c r="F926" s="1220">
        <f>TRUNC(SUM(F922:F925),0)</f>
        <v>800</v>
      </c>
      <c r="G926" s="1219"/>
      <c r="H926" s="1220">
        <f>TRUNC(SUM(H922:H925),0)</f>
        <v>80013</v>
      </c>
      <c r="I926" s="1219"/>
      <c r="J926" s="1220">
        <f>TRUNC(SUM(J922:J925),0)</f>
        <v>544</v>
      </c>
      <c r="K926" s="1219"/>
      <c r="L926" s="1220">
        <f>F926+H926+J926</f>
        <v>81357</v>
      </c>
      <c r="M926" s="522" t="s">
        <v>51</v>
      </c>
      <c r="N926" s="2" t="s">
        <v>86</v>
      </c>
      <c r="O926" s="2" t="s">
        <v>86</v>
      </c>
      <c r="P926" s="2" t="s">
        <v>51</v>
      </c>
      <c r="Q926" s="2" t="s">
        <v>51</v>
      </c>
      <c r="R926" s="2" t="s">
        <v>51</v>
      </c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2" t="s">
        <v>51</v>
      </c>
      <c r="AW926" s="2" t="s">
        <v>51</v>
      </c>
      <c r="AX926" s="2" t="s">
        <v>51</v>
      </c>
      <c r="AY926" s="2" t="s">
        <v>51</v>
      </c>
    </row>
    <row r="927" spans="1:52" ht="30" customHeight="1">
      <c r="A927" s="1218"/>
      <c r="B927" s="1218"/>
      <c r="C927" s="1218"/>
      <c r="D927" s="1218"/>
      <c r="E927" s="1219"/>
      <c r="F927" s="1220"/>
      <c r="G927" s="1219"/>
      <c r="H927" s="1220"/>
      <c r="I927" s="1219"/>
      <c r="J927" s="1220"/>
      <c r="K927" s="1219"/>
      <c r="L927" s="1220"/>
      <c r="M927" s="523"/>
    </row>
    <row r="928" spans="1:52" ht="30" customHeight="1">
      <c r="A928" s="1397" t="s">
        <v>6764</v>
      </c>
      <c r="B928" s="1397"/>
      <c r="C928" s="1397"/>
      <c r="D928" s="1397"/>
      <c r="E928" s="1398"/>
      <c r="F928" s="1399"/>
      <c r="G928" s="1398"/>
      <c r="H928" s="1399"/>
      <c r="I928" s="1398"/>
      <c r="J928" s="1399"/>
      <c r="K928" s="1398"/>
      <c r="L928" s="1399"/>
      <c r="M928" s="1397"/>
      <c r="AZ928" t="s">
        <v>6756</v>
      </c>
    </row>
    <row r="929" spans="1:13" ht="30" customHeight="1">
      <c r="A929" s="8" t="s">
        <v>6753</v>
      </c>
      <c r="B929" s="8" t="s">
        <v>6754</v>
      </c>
      <c r="C929" s="8" t="s">
        <v>66</v>
      </c>
      <c r="D929" s="1218">
        <v>0.25</v>
      </c>
      <c r="E929" s="1219">
        <f>단가대비표!O606</f>
        <v>0</v>
      </c>
      <c r="F929" s="1220">
        <f>TRUNC(E929*D929,1)</f>
        <v>0</v>
      </c>
      <c r="G929" s="1219">
        <f>단가대비표!P606</f>
        <v>0</v>
      </c>
      <c r="H929" s="1220">
        <f>TRUNC(G929*D929,1)</f>
        <v>0</v>
      </c>
      <c r="I929" s="1219">
        <f>단가대비표!V606</f>
        <v>1159</v>
      </c>
      <c r="J929" s="1220">
        <f>TRUNC(I929*D929,1)</f>
        <v>289.7</v>
      </c>
      <c r="K929" s="1219">
        <f>TRUNC(E929+G929+I929,1)</f>
        <v>1159</v>
      </c>
      <c r="L929" s="1220">
        <f>TRUNC(F929+H929+J929,1)</f>
        <v>289.7</v>
      </c>
      <c r="M929" s="8" t="s">
        <v>1872</v>
      </c>
    </row>
    <row r="930" spans="1:13" ht="30" customHeight="1">
      <c r="A930" s="8" t="s">
        <v>950</v>
      </c>
      <c r="B930" s="8" t="s">
        <v>51</v>
      </c>
      <c r="C930" s="8" t="s">
        <v>51</v>
      </c>
      <c r="D930" s="1218"/>
      <c r="E930" s="1219"/>
      <c r="F930" s="1220">
        <f>TRUNC(F929,0)</f>
        <v>0</v>
      </c>
      <c r="G930" s="1219"/>
      <c r="H930" s="1220">
        <f>TRUNC(H929,0)</f>
        <v>0</v>
      </c>
      <c r="I930" s="1219"/>
      <c r="J930" s="1220">
        <f>TRUNC(J929,0)</f>
        <v>289</v>
      </c>
      <c r="K930" s="1219"/>
      <c r="L930" s="1220">
        <f>F930+H930+J930</f>
        <v>289</v>
      </c>
      <c r="M930" s="8" t="s">
        <v>51</v>
      </c>
    </row>
    <row r="931" spans="1:13" ht="30" customHeight="1">
      <c r="A931" s="1218"/>
      <c r="B931" s="1218"/>
      <c r="C931" s="1218"/>
      <c r="D931" s="1218"/>
      <c r="E931" s="1219"/>
      <c r="F931" s="1220"/>
      <c r="G931" s="1219"/>
      <c r="H931" s="1220"/>
      <c r="I931" s="1219"/>
      <c r="J931" s="1220"/>
      <c r="K931" s="1219"/>
      <c r="L931" s="1220"/>
      <c r="M931" s="1218"/>
    </row>
    <row r="932" spans="1:13" ht="30" customHeight="1"/>
    <row r="933" spans="1:13" ht="30" customHeight="1"/>
    <row r="934" spans="1:13" ht="30" customHeight="1"/>
    <row r="935" spans="1:13" ht="30" customHeight="1"/>
    <row r="936" spans="1:13" ht="30" customHeight="1"/>
    <row r="937" spans="1:13" ht="30" customHeight="1"/>
    <row r="938" spans="1:13" ht="30" customHeight="1"/>
    <row r="939" spans="1:13" ht="30" customHeight="1"/>
    <row r="940" spans="1:13" ht="30" customHeight="1"/>
    <row r="941" spans="1:13" ht="30" customHeight="1"/>
    <row r="942" spans="1:13" ht="30" customHeight="1"/>
    <row r="943" spans="1:13" ht="30" customHeight="1"/>
    <row r="944" spans="1:13" ht="30" customHeight="1"/>
    <row r="945" ht="30" customHeight="1"/>
    <row r="946" ht="30" customHeight="1"/>
    <row r="947" ht="30" customHeight="1"/>
    <row r="948" ht="30" customHeight="1"/>
    <row r="949" ht="30" customHeight="1"/>
  </sheetData>
  <mergeCells count="181">
    <mergeCell ref="A895:M895"/>
    <mergeCell ref="A908:M908"/>
    <mergeCell ref="A890:M890"/>
    <mergeCell ref="A865:M865"/>
    <mergeCell ref="A791:M791"/>
    <mergeCell ref="A797:M797"/>
    <mergeCell ref="A746:M746"/>
    <mergeCell ref="A759:M759"/>
    <mergeCell ref="A772:M772"/>
    <mergeCell ref="A776:M776"/>
    <mergeCell ref="A780:M780"/>
    <mergeCell ref="A785:M785"/>
    <mergeCell ref="A860:M860"/>
    <mergeCell ref="A801:M801"/>
    <mergeCell ref="A808:M808"/>
    <mergeCell ref="A817:M817"/>
    <mergeCell ref="A822:M822"/>
    <mergeCell ref="A829:M829"/>
    <mergeCell ref="A840:M840"/>
    <mergeCell ref="A853:M853"/>
    <mergeCell ref="A871:M871"/>
    <mergeCell ref="A880:M880"/>
    <mergeCell ref="A886:M886"/>
    <mergeCell ref="A690:M690"/>
    <mergeCell ref="A703:M703"/>
    <mergeCell ref="A710:M710"/>
    <mergeCell ref="A715:M715"/>
    <mergeCell ref="A720:M720"/>
    <mergeCell ref="A733:M733"/>
    <mergeCell ref="A655:M655"/>
    <mergeCell ref="A663:M663"/>
    <mergeCell ref="A668:M668"/>
    <mergeCell ref="A672:M672"/>
    <mergeCell ref="A680:M680"/>
    <mergeCell ref="A684:M684"/>
    <mergeCell ref="A621:M621"/>
    <mergeCell ref="A626:M626"/>
    <mergeCell ref="A631:M631"/>
    <mergeCell ref="A636:M636"/>
    <mergeCell ref="A641:M641"/>
    <mergeCell ref="A648:M648"/>
    <mergeCell ref="A601:M601"/>
    <mergeCell ref="A606:M606"/>
    <mergeCell ref="A611:M611"/>
    <mergeCell ref="A616:M616"/>
    <mergeCell ref="A492:M492"/>
    <mergeCell ref="A497:M497"/>
    <mergeCell ref="A502:M502"/>
    <mergeCell ref="A506:M506"/>
    <mergeCell ref="A590:M590"/>
    <mergeCell ref="A596:M596"/>
    <mergeCell ref="A462:M462"/>
    <mergeCell ref="A467:M467"/>
    <mergeCell ref="A472:M472"/>
    <mergeCell ref="A477:M477"/>
    <mergeCell ref="A482:M482"/>
    <mergeCell ref="A487:M487"/>
    <mergeCell ref="A540:M540"/>
    <mergeCell ref="A548:M548"/>
    <mergeCell ref="A557:M557"/>
    <mergeCell ref="A562:M562"/>
    <mergeCell ref="A568:M568"/>
    <mergeCell ref="A584:M584"/>
    <mergeCell ref="A511:M511"/>
    <mergeCell ref="A516:M516"/>
    <mergeCell ref="A521:M521"/>
    <mergeCell ref="A432:M432"/>
    <mergeCell ref="A437:M437"/>
    <mergeCell ref="A442:M442"/>
    <mergeCell ref="A447:M447"/>
    <mergeCell ref="A452:M452"/>
    <mergeCell ref="A457:M457"/>
    <mergeCell ref="A391:M391"/>
    <mergeCell ref="A398:M398"/>
    <mergeCell ref="A405:M405"/>
    <mergeCell ref="A414:M414"/>
    <mergeCell ref="A421:M421"/>
    <mergeCell ref="A427:M427"/>
    <mergeCell ref="A339:M339"/>
    <mergeCell ref="A348:M348"/>
    <mergeCell ref="A357:M357"/>
    <mergeCell ref="A370:M370"/>
    <mergeCell ref="A376:M376"/>
    <mergeCell ref="A383:M383"/>
    <mergeCell ref="A292:M292"/>
    <mergeCell ref="A300:M300"/>
    <mergeCell ref="A307:M307"/>
    <mergeCell ref="A317:M317"/>
    <mergeCell ref="A327:M327"/>
    <mergeCell ref="A333:M333"/>
    <mergeCell ref="A236:M236"/>
    <mergeCell ref="A243:M243"/>
    <mergeCell ref="A251:M251"/>
    <mergeCell ref="A261:M261"/>
    <mergeCell ref="A270:M270"/>
    <mergeCell ref="A283:M283"/>
    <mergeCell ref="A190:M190"/>
    <mergeCell ref="A199:M199"/>
    <mergeCell ref="A208:M208"/>
    <mergeCell ref="A215:M215"/>
    <mergeCell ref="A222:M222"/>
    <mergeCell ref="A229:M229"/>
    <mergeCell ref="A173:M173"/>
    <mergeCell ref="A178:M178"/>
    <mergeCell ref="A184:M184"/>
    <mergeCell ref="A114:M114"/>
    <mergeCell ref="A120:M120"/>
    <mergeCell ref="A128:M128"/>
    <mergeCell ref="A136:M136"/>
    <mergeCell ref="A140:M140"/>
    <mergeCell ref="A146:M146"/>
    <mergeCell ref="AF2:AF3"/>
    <mergeCell ref="AG2:AG3"/>
    <mergeCell ref="AH2:AH3"/>
    <mergeCell ref="AI2:AI3"/>
    <mergeCell ref="AJ2:AJ3"/>
    <mergeCell ref="AK2:AK3"/>
    <mergeCell ref="Z2:Z3"/>
    <mergeCell ref="AA2:AA3"/>
    <mergeCell ref="AB2:AB3"/>
    <mergeCell ref="AC2:AC3"/>
    <mergeCell ref="AD2:AD3"/>
    <mergeCell ref="AE2:AE3"/>
    <mergeCell ref="AT2:AT3"/>
    <mergeCell ref="AU2:AU3"/>
    <mergeCell ref="AV2:AV3"/>
    <mergeCell ref="AW2:AW3"/>
    <mergeCell ref="AL2:AL3"/>
    <mergeCell ref="AM2:AM3"/>
    <mergeCell ref="AN2:AN3"/>
    <mergeCell ref="AO2:AO3"/>
    <mergeCell ref="AP2:AP3"/>
    <mergeCell ref="AQ2:AQ3"/>
    <mergeCell ref="AR2:AR3"/>
    <mergeCell ref="AS2:AS3"/>
    <mergeCell ref="W2:W3"/>
    <mergeCell ref="X2:X3"/>
    <mergeCell ref="Y2:Y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  <mergeCell ref="A921:M921"/>
    <mergeCell ref="A928:M928"/>
    <mergeCell ref="A4:M4"/>
    <mergeCell ref="A8:M8"/>
    <mergeCell ref="A21:M21"/>
    <mergeCell ref="A27:M27"/>
    <mergeCell ref="A36:M36"/>
    <mergeCell ref="A41:M41"/>
    <mergeCell ref="A31:M31"/>
    <mergeCell ref="A81:M81"/>
    <mergeCell ref="A86:M86"/>
    <mergeCell ref="A102:M102"/>
    <mergeCell ref="A108:M108"/>
    <mergeCell ref="A47:M47"/>
    <mergeCell ref="A52:M52"/>
    <mergeCell ref="A57:M57"/>
    <mergeCell ref="A63:M63"/>
    <mergeCell ref="A69:M69"/>
    <mergeCell ref="A75:M75"/>
    <mergeCell ref="A152:M152"/>
    <mergeCell ref="A91:M91"/>
    <mergeCell ref="A96:M96"/>
    <mergeCell ref="A156:M156"/>
    <mergeCell ref="A162:M162"/>
  </mergeCells>
  <phoneticPr fontId="1" type="noConversion"/>
  <pageMargins left="0.39370078740157483" right="0" top="0.39370078740157483" bottom="0.39370078740157483" header="0" footer="0"/>
  <pageSetup paperSize="9" scale="66" fitToHeight="0" orientation="landscape" horizontalDpi="4294967293" verticalDpi="4294967293" r:id="rId1"/>
  <headerFooter>
    <oddFooter>&amp;C&amp;P&amp;R일위대가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21"/>
  <sheetViews>
    <sheetView topLeftCell="B1" zoomScale="80" zoomScaleNormal="80" workbookViewId="0">
      <pane xSplit="3" ySplit="4" topLeftCell="E5" activePane="bottomRight" state="frozen"/>
      <selection activeCell="B1" sqref="B1"/>
      <selection pane="topRight" activeCell="E1" sqref="E1"/>
      <selection pane="bottomLeft" activeCell="B5" sqref="B5"/>
      <selection pane="bottomRight" sqref="A1:X1"/>
    </sheetView>
  </sheetViews>
  <sheetFormatPr defaultRowHeight="16.5"/>
  <cols>
    <col min="1" max="1" width="21.625" hidden="1" customWidth="1"/>
    <col min="2" max="2" width="29.375" style="17" bestFit="1" customWidth="1"/>
    <col min="3" max="3" width="30.5" style="17" bestFit="1" customWidth="1"/>
    <col min="4" max="4" width="5.5" style="17" bestFit="1" customWidth="1"/>
    <col min="5" max="5" width="11.625" style="168" bestFit="1" customWidth="1"/>
    <col min="6" max="6" width="6.625" style="168" bestFit="1" customWidth="1"/>
    <col min="7" max="7" width="13.875" style="168" bestFit="1" customWidth="1"/>
    <col min="8" max="8" width="6.625" style="168" bestFit="1" customWidth="1"/>
    <col min="9" max="9" width="13.875" style="168" bestFit="1" customWidth="1"/>
    <col min="10" max="10" width="6.625" style="168" bestFit="1" customWidth="1"/>
    <col min="11" max="11" width="13.875" style="168" bestFit="1" customWidth="1"/>
    <col min="12" max="12" width="6.625" style="168" bestFit="1" customWidth="1"/>
    <col min="13" max="13" width="13.875" style="168" bestFit="1" customWidth="1"/>
    <col min="14" max="14" width="6.625" style="17" bestFit="1" customWidth="1"/>
    <col min="15" max="16" width="13.875" style="17" bestFit="1" customWidth="1"/>
    <col min="17" max="17" width="11.25" style="17" bestFit="1" customWidth="1"/>
    <col min="18" max="19" width="9.25" style="17" bestFit="1" customWidth="1"/>
    <col min="20" max="20" width="10.375" style="17" bestFit="1" customWidth="1"/>
    <col min="21" max="22" width="10.5" bestFit="1" customWidth="1"/>
    <col min="23" max="23" width="8.5" bestFit="1" customWidth="1"/>
    <col min="24" max="24" width="11.625" bestFit="1" customWidth="1"/>
    <col min="25" max="26" width="9" hidden="1" customWidth="1"/>
    <col min="27" max="27" width="11" hidden="1" customWidth="1"/>
    <col min="28" max="28" width="9" hidden="1" customWidth="1"/>
  </cols>
  <sheetData>
    <row r="1" spans="1:28" ht="30" customHeight="1">
      <c r="A1" s="1383" t="s">
        <v>1907</v>
      </c>
      <c r="B1" s="1383"/>
      <c r="C1" s="1383"/>
      <c r="D1" s="1383"/>
      <c r="E1" s="1383"/>
      <c r="F1" s="1383"/>
      <c r="G1" s="1383"/>
      <c r="H1" s="1383"/>
      <c r="I1" s="1383"/>
      <c r="J1" s="1383"/>
      <c r="K1" s="1383"/>
      <c r="L1" s="1383"/>
      <c r="M1" s="1383"/>
      <c r="N1" s="1383"/>
      <c r="O1" s="1383"/>
      <c r="P1" s="1383"/>
      <c r="Q1" s="1383"/>
      <c r="R1" s="1383"/>
      <c r="S1" s="1383"/>
      <c r="T1" s="1383"/>
      <c r="U1" s="1383"/>
      <c r="V1" s="1383"/>
      <c r="W1" s="1383"/>
      <c r="X1" s="1383"/>
    </row>
    <row r="2" spans="1:28" ht="30" customHeight="1">
      <c r="A2" s="514" t="s">
        <v>4794</v>
      </c>
      <c r="B2" s="514" t="s">
        <v>4794</v>
      </c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</row>
    <row r="3" spans="1:28" ht="30" customHeight="1">
      <c r="A3" s="1385" t="s">
        <v>927</v>
      </c>
      <c r="B3" s="1410" t="s">
        <v>1</v>
      </c>
      <c r="C3" s="1410" t="s">
        <v>1908</v>
      </c>
      <c r="D3" s="1410" t="s">
        <v>3</v>
      </c>
      <c r="E3" s="1410" t="s">
        <v>5</v>
      </c>
      <c r="F3" s="1410"/>
      <c r="G3" s="1410"/>
      <c r="H3" s="1410"/>
      <c r="I3" s="1410"/>
      <c r="J3" s="1410"/>
      <c r="K3" s="1410"/>
      <c r="L3" s="1410"/>
      <c r="M3" s="1410"/>
      <c r="N3" s="1410"/>
      <c r="O3" s="1410"/>
      <c r="P3" s="1410" t="s">
        <v>928</v>
      </c>
      <c r="Q3" s="1385" t="s">
        <v>929</v>
      </c>
      <c r="R3" s="1385"/>
      <c r="S3" s="1385"/>
      <c r="T3" s="1385"/>
      <c r="U3" s="1385"/>
      <c r="V3" s="1385"/>
      <c r="W3" s="1385" t="s">
        <v>931</v>
      </c>
      <c r="X3" s="1385" t="s">
        <v>11</v>
      </c>
      <c r="Y3" s="1389" t="s">
        <v>1916</v>
      </c>
      <c r="Z3" s="1389" t="s">
        <v>1917</v>
      </c>
      <c r="AA3" s="1389" t="s">
        <v>1918</v>
      </c>
      <c r="AB3" s="1389" t="s">
        <v>47</v>
      </c>
    </row>
    <row r="4" spans="1:28" ht="30" customHeight="1">
      <c r="A4" s="1385"/>
      <c r="B4" s="1410"/>
      <c r="C4" s="1410"/>
      <c r="D4" s="1410"/>
      <c r="E4" s="161" t="s">
        <v>1909</v>
      </c>
      <c r="F4" s="161" t="s">
        <v>1910</v>
      </c>
      <c r="G4" s="161" t="s">
        <v>1911</v>
      </c>
      <c r="H4" s="161" t="s">
        <v>1910</v>
      </c>
      <c r="I4" s="161" t="s">
        <v>1912</v>
      </c>
      <c r="J4" s="161" t="s">
        <v>1910</v>
      </c>
      <c r="K4" s="161" t="s">
        <v>1913</v>
      </c>
      <c r="L4" s="161" t="s">
        <v>1910</v>
      </c>
      <c r="M4" s="161" t="s">
        <v>1914</v>
      </c>
      <c r="N4" s="162" t="s">
        <v>1910</v>
      </c>
      <c r="O4" s="162" t="s">
        <v>1915</v>
      </c>
      <c r="P4" s="1410"/>
      <c r="Q4" s="162" t="s">
        <v>1909</v>
      </c>
      <c r="R4" s="162" t="s">
        <v>1911</v>
      </c>
      <c r="S4" s="162" t="s">
        <v>1912</v>
      </c>
      <c r="T4" s="162" t="s">
        <v>1913</v>
      </c>
      <c r="U4" s="4" t="s">
        <v>1914</v>
      </c>
      <c r="V4" s="4" t="s">
        <v>1915</v>
      </c>
      <c r="W4" s="1385"/>
      <c r="X4" s="1385"/>
      <c r="Y4" s="1389"/>
      <c r="Z4" s="1389"/>
      <c r="AA4" s="1389"/>
      <c r="AB4" s="1389"/>
    </row>
    <row r="5" spans="1:28" ht="30" hidden="1" customHeight="1">
      <c r="A5" s="8"/>
      <c r="B5" s="157"/>
      <c r="C5" s="157"/>
      <c r="D5" s="163"/>
      <c r="E5" s="164"/>
      <c r="F5" s="165"/>
      <c r="G5" s="164"/>
      <c r="H5" s="165"/>
      <c r="I5" s="164"/>
      <c r="J5" s="165"/>
      <c r="K5" s="164"/>
      <c r="L5" s="165"/>
      <c r="M5" s="164"/>
      <c r="N5" s="165"/>
      <c r="O5" s="164"/>
      <c r="P5" s="166"/>
      <c r="Q5" s="166"/>
      <c r="R5" s="166"/>
      <c r="S5" s="166"/>
      <c r="T5" s="166"/>
      <c r="U5" s="13"/>
      <c r="V5" s="13"/>
      <c r="W5" s="8"/>
      <c r="X5" s="8"/>
      <c r="Y5" s="2"/>
      <c r="Z5" s="2"/>
      <c r="AA5" s="14"/>
      <c r="AB5" s="2"/>
    </row>
    <row r="6" spans="1:28" ht="30" hidden="1" customHeight="1">
      <c r="A6" s="8"/>
      <c r="B6" s="157"/>
      <c r="C6" s="157"/>
      <c r="D6" s="163"/>
      <c r="E6" s="164"/>
      <c r="F6" s="165"/>
      <c r="G6" s="164"/>
      <c r="H6" s="165"/>
      <c r="I6" s="164"/>
      <c r="J6" s="165"/>
      <c r="K6" s="164"/>
      <c r="L6" s="165"/>
      <c r="M6" s="164"/>
      <c r="N6" s="165"/>
      <c r="O6" s="164"/>
      <c r="P6" s="166"/>
      <c r="Q6" s="166"/>
      <c r="R6" s="166"/>
      <c r="S6" s="166"/>
      <c r="T6" s="166"/>
      <c r="U6" s="13"/>
      <c r="V6" s="13"/>
      <c r="W6" s="8"/>
      <c r="X6" s="8"/>
      <c r="Y6" s="2"/>
      <c r="Z6" s="2"/>
      <c r="AA6" s="14"/>
      <c r="AB6" s="2"/>
    </row>
    <row r="7" spans="1:28" ht="30" hidden="1" customHeight="1">
      <c r="A7" s="8"/>
      <c r="B7" s="157"/>
      <c r="C7" s="157"/>
      <c r="D7" s="163"/>
      <c r="E7" s="164"/>
      <c r="F7" s="165"/>
      <c r="G7" s="164"/>
      <c r="H7" s="165"/>
      <c r="I7" s="164"/>
      <c r="J7" s="165"/>
      <c r="K7" s="164"/>
      <c r="L7" s="165"/>
      <c r="M7" s="164"/>
      <c r="N7" s="165"/>
      <c r="O7" s="164"/>
      <c r="P7" s="166"/>
      <c r="Q7" s="166"/>
      <c r="R7" s="166"/>
      <c r="S7" s="166"/>
      <c r="T7" s="166"/>
      <c r="U7" s="13"/>
      <c r="V7" s="13"/>
      <c r="W7" s="8"/>
      <c r="X7" s="8"/>
      <c r="Y7" s="2"/>
      <c r="Z7" s="2"/>
      <c r="AA7" s="14"/>
      <c r="AB7" s="2"/>
    </row>
    <row r="8" spans="1:28" ht="30" hidden="1" customHeight="1">
      <c r="A8" s="8"/>
      <c r="B8" s="157"/>
      <c r="C8" s="157"/>
      <c r="D8" s="163"/>
      <c r="E8" s="164"/>
      <c r="F8" s="165"/>
      <c r="G8" s="164"/>
      <c r="H8" s="165"/>
      <c r="I8" s="164"/>
      <c r="J8" s="165"/>
      <c r="K8" s="164"/>
      <c r="L8" s="165"/>
      <c r="M8" s="164"/>
      <c r="N8" s="165"/>
      <c r="O8" s="164"/>
      <c r="P8" s="166"/>
      <c r="Q8" s="166"/>
      <c r="R8" s="166"/>
      <c r="S8" s="166"/>
      <c r="T8" s="166"/>
      <c r="U8" s="13"/>
      <c r="V8" s="13"/>
      <c r="W8" s="8"/>
      <c r="X8" s="8"/>
      <c r="Y8" s="2"/>
      <c r="Z8" s="2"/>
      <c r="AA8" s="14"/>
      <c r="AB8" s="2"/>
    </row>
    <row r="9" spans="1:28" ht="30" hidden="1" customHeight="1">
      <c r="A9" s="8"/>
      <c r="B9" s="157"/>
      <c r="C9" s="157"/>
      <c r="D9" s="163"/>
      <c r="E9" s="164"/>
      <c r="F9" s="165"/>
      <c r="G9" s="164"/>
      <c r="H9" s="165"/>
      <c r="I9" s="164"/>
      <c r="J9" s="165"/>
      <c r="K9" s="164"/>
      <c r="L9" s="165"/>
      <c r="M9" s="164"/>
      <c r="N9" s="165"/>
      <c r="O9" s="164"/>
      <c r="P9" s="166"/>
      <c r="Q9" s="166"/>
      <c r="R9" s="166"/>
      <c r="S9" s="166"/>
      <c r="T9" s="166"/>
      <c r="U9" s="13"/>
      <c r="V9" s="13"/>
      <c r="W9" s="8"/>
      <c r="X9" s="8"/>
      <c r="Y9" s="2"/>
      <c r="Z9" s="2"/>
      <c r="AA9" s="14"/>
      <c r="AB9" s="2"/>
    </row>
    <row r="10" spans="1:28" ht="30" hidden="1" customHeight="1">
      <c r="A10" s="8"/>
      <c r="B10" s="157"/>
      <c r="C10" s="157"/>
      <c r="D10" s="163"/>
      <c r="E10" s="164"/>
      <c r="F10" s="165"/>
      <c r="G10" s="164"/>
      <c r="H10" s="165"/>
      <c r="I10" s="164"/>
      <c r="J10" s="165"/>
      <c r="K10" s="164"/>
      <c r="L10" s="165"/>
      <c r="M10" s="164"/>
      <c r="N10" s="165"/>
      <c r="O10" s="164"/>
      <c r="P10" s="166"/>
      <c r="Q10" s="166"/>
      <c r="R10" s="166"/>
      <c r="S10" s="166"/>
      <c r="T10" s="166"/>
      <c r="U10" s="13"/>
      <c r="V10" s="13"/>
      <c r="W10" s="8"/>
      <c r="X10" s="8"/>
      <c r="Y10" s="2"/>
      <c r="Z10" s="2"/>
      <c r="AA10" s="14"/>
      <c r="AB10" s="2"/>
    </row>
    <row r="11" spans="1:28" ht="30" hidden="1" customHeight="1">
      <c r="A11" s="8"/>
      <c r="B11" s="157"/>
      <c r="C11" s="157"/>
      <c r="D11" s="163"/>
      <c r="E11" s="164"/>
      <c r="F11" s="165"/>
      <c r="G11" s="164"/>
      <c r="H11" s="165"/>
      <c r="I11" s="164"/>
      <c r="J11" s="165"/>
      <c r="K11" s="164"/>
      <c r="L11" s="165"/>
      <c r="M11" s="164"/>
      <c r="N11" s="165"/>
      <c r="O11" s="164"/>
      <c r="P11" s="166"/>
      <c r="Q11" s="166"/>
      <c r="R11" s="166"/>
      <c r="S11" s="166"/>
      <c r="T11" s="166"/>
      <c r="U11" s="13"/>
      <c r="V11" s="13"/>
      <c r="W11" s="8"/>
      <c r="X11" s="8"/>
      <c r="Y11" s="2"/>
      <c r="Z11" s="2"/>
      <c r="AA11" s="14"/>
      <c r="AB11" s="2"/>
    </row>
    <row r="12" spans="1:28" ht="30" hidden="1" customHeight="1">
      <c r="A12" s="8"/>
      <c r="B12" s="157"/>
      <c r="C12" s="157"/>
      <c r="D12" s="163"/>
      <c r="E12" s="164"/>
      <c r="F12" s="165"/>
      <c r="G12" s="164"/>
      <c r="H12" s="165"/>
      <c r="I12" s="164"/>
      <c r="J12" s="165"/>
      <c r="K12" s="164"/>
      <c r="L12" s="165"/>
      <c r="M12" s="164"/>
      <c r="N12" s="165"/>
      <c r="O12" s="164"/>
      <c r="P12" s="166"/>
      <c r="Q12" s="166"/>
      <c r="R12" s="166"/>
      <c r="S12" s="166"/>
      <c r="T12" s="166"/>
      <c r="U12" s="13"/>
      <c r="V12" s="13"/>
      <c r="W12" s="8"/>
      <c r="X12" s="8"/>
      <c r="Y12" s="2"/>
      <c r="Z12" s="2"/>
      <c r="AA12" s="14"/>
      <c r="AB12" s="2"/>
    </row>
    <row r="13" spans="1:28" ht="30" hidden="1" customHeight="1">
      <c r="A13" s="8"/>
      <c r="B13" s="157"/>
      <c r="C13" s="157"/>
      <c r="D13" s="163"/>
      <c r="E13" s="164"/>
      <c r="F13" s="165"/>
      <c r="G13" s="164"/>
      <c r="H13" s="165"/>
      <c r="I13" s="164"/>
      <c r="J13" s="165"/>
      <c r="K13" s="164"/>
      <c r="L13" s="165"/>
      <c r="M13" s="164"/>
      <c r="N13" s="165"/>
      <c r="O13" s="164"/>
      <c r="P13" s="166"/>
      <c r="Q13" s="166"/>
      <c r="R13" s="166"/>
      <c r="S13" s="166"/>
      <c r="T13" s="166"/>
      <c r="U13" s="13"/>
      <c r="V13" s="13"/>
      <c r="W13" s="8"/>
      <c r="X13" s="8"/>
      <c r="Y13" s="2"/>
      <c r="Z13" s="2"/>
      <c r="AA13" s="14"/>
      <c r="AB13" s="2"/>
    </row>
    <row r="14" spans="1:28" ht="30" hidden="1" customHeight="1">
      <c r="A14" s="8"/>
      <c r="B14" s="157"/>
      <c r="C14" s="157"/>
      <c r="D14" s="163"/>
      <c r="E14" s="164"/>
      <c r="F14" s="165"/>
      <c r="G14" s="164"/>
      <c r="H14" s="165"/>
      <c r="I14" s="164"/>
      <c r="J14" s="165"/>
      <c r="K14" s="164"/>
      <c r="L14" s="165"/>
      <c r="M14" s="164"/>
      <c r="N14" s="165"/>
      <c r="O14" s="164"/>
      <c r="P14" s="166"/>
      <c r="Q14" s="166"/>
      <c r="R14" s="166"/>
      <c r="S14" s="166"/>
      <c r="T14" s="166"/>
      <c r="U14" s="13"/>
      <c r="V14" s="13"/>
      <c r="W14" s="8"/>
      <c r="X14" s="8"/>
      <c r="Y14" s="2"/>
      <c r="Z14" s="2"/>
      <c r="AA14" s="14"/>
      <c r="AB14" s="2"/>
    </row>
    <row r="15" spans="1:28" ht="30" hidden="1" customHeight="1">
      <c r="A15" s="8"/>
      <c r="B15" s="157"/>
      <c r="C15" s="157"/>
      <c r="D15" s="163"/>
      <c r="E15" s="164"/>
      <c r="F15" s="165"/>
      <c r="G15" s="164"/>
      <c r="H15" s="165"/>
      <c r="I15" s="164"/>
      <c r="J15" s="165"/>
      <c r="K15" s="164"/>
      <c r="L15" s="165"/>
      <c r="M15" s="164"/>
      <c r="N15" s="165"/>
      <c r="O15" s="164"/>
      <c r="P15" s="166"/>
      <c r="Q15" s="166"/>
      <c r="R15" s="166"/>
      <c r="S15" s="166"/>
      <c r="T15" s="166"/>
      <c r="U15" s="13"/>
      <c r="V15" s="13"/>
      <c r="W15" s="8"/>
      <c r="X15" s="8"/>
      <c r="Y15" s="2"/>
      <c r="Z15" s="2"/>
      <c r="AA15" s="14"/>
      <c r="AB15" s="2"/>
    </row>
    <row r="16" spans="1:28" ht="30" hidden="1" customHeight="1">
      <c r="A16" s="8"/>
      <c r="B16" s="157"/>
      <c r="C16" s="157"/>
      <c r="D16" s="163"/>
      <c r="E16" s="164"/>
      <c r="F16" s="165"/>
      <c r="G16" s="164"/>
      <c r="H16" s="165"/>
      <c r="I16" s="164"/>
      <c r="J16" s="165"/>
      <c r="K16" s="164"/>
      <c r="L16" s="165"/>
      <c r="M16" s="164"/>
      <c r="N16" s="165"/>
      <c r="O16" s="164"/>
      <c r="P16" s="166"/>
      <c r="Q16" s="166"/>
      <c r="R16" s="166"/>
      <c r="S16" s="166"/>
      <c r="T16" s="166"/>
      <c r="U16" s="13"/>
      <c r="V16" s="13"/>
      <c r="W16" s="8"/>
      <c r="X16" s="8"/>
      <c r="Y16" s="2"/>
      <c r="Z16" s="2"/>
      <c r="AA16" s="14"/>
      <c r="AB16" s="2"/>
    </row>
    <row r="17" spans="1:28" ht="30" hidden="1" customHeight="1">
      <c r="A17" s="8"/>
      <c r="B17" s="157"/>
      <c r="C17" s="157"/>
      <c r="D17" s="163"/>
      <c r="E17" s="164"/>
      <c r="F17" s="165"/>
      <c r="G17" s="164"/>
      <c r="H17" s="165"/>
      <c r="I17" s="164"/>
      <c r="J17" s="165"/>
      <c r="K17" s="164"/>
      <c r="L17" s="165"/>
      <c r="M17" s="164"/>
      <c r="N17" s="165"/>
      <c r="O17" s="164"/>
      <c r="P17" s="166"/>
      <c r="Q17" s="166"/>
      <c r="R17" s="166"/>
      <c r="S17" s="166"/>
      <c r="T17" s="166"/>
      <c r="U17" s="13"/>
      <c r="V17" s="13"/>
      <c r="W17" s="8"/>
      <c r="X17" s="8"/>
      <c r="Y17" s="2"/>
      <c r="Z17" s="2"/>
      <c r="AA17" s="14"/>
      <c r="AB17" s="2"/>
    </row>
    <row r="18" spans="1:28" ht="30" hidden="1" customHeight="1">
      <c r="A18" s="8"/>
      <c r="B18" s="157"/>
      <c r="C18" s="157"/>
      <c r="D18" s="163"/>
      <c r="E18" s="164"/>
      <c r="F18" s="165"/>
      <c r="G18" s="164"/>
      <c r="H18" s="165"/>
      <c r="I18" s="164"/>
      <c r="J18" s="165"/>
      <c r="K18" s="164"/>
      <c r="L18" s="165"/>
      <c r="M18" s="164"/>
      <c r="N18" s="157"/>
      <c r="O18" s="166"/>
      <c r="P18" s="166"/>
      <c r="Q18" s="166"/>
      <c r="R18" s="166"/>
      <c r="S18" s="166"/>
      <c r="T18" s="166"/>
      <c r="U18" s="13"/>
      <c r="V18" s="13"/>
      <c r="W18" s="8"/>
      <c r="X18" s="8"/>
      <c r="Y18" s="2"/>
      <c r="Z18" s="2"/>
      <c r="AA18" s="14"/>
      <c r="AB18" s="2"/>
    </row>
    <row r="19" spans="1:28" ht="30" hidden="1" customHeight="1">
      <c r="A19" s="8"/>
      <c r="B19" s="157"/>
      <c r="C19" s="157"/>
      <c r="D19" s="163"/>
      <c r="E19" s="164"/>
      <c r="F19" s="165"/>
      <c r="G19" s="164"/>
      <c r="H19" s="165"/>
      <c r="I19" s="164"/>
      <c r="J19" s="165"/>
      <c r="K19" s="164"/>
      <c r="L19" s="165"/>
      <c r="M19" s="164"/>
      <c r="N19" s="165"/>
      <c r="O19" s="164"/>
      <c r="P19" s="166"/>
      <c r="Q19" s="166"/>
      <c r="R19" s="166"/>
      <c r="S19" s="166"/>
      <c r="T19" s="166"/>
      <c r="U19" s="13"/>
      <c r="V19" s="13"/>
      <c r="W19" s="8"/>
      <c r="X19" s="8"/>
      <c r="Y19" s="2"/>
      <c r="Z19" s="2"/>
      <c r="AA19" s="14"/>
      <c r="AB19" s="2"/>
    </row>
    <row r="20" spans="1:28" ht="30" customHeight="1">
      <c r="A20" s="8" t="s">
        <v>1622</v>
      </c>
      <c r="B20" s="157" t="s">
        <v>1619</v>
      </c>
      <c r="C20" s="157" t="s">
        <v>1620</v>
      </c>
      <c r="D20" s="163" t="s">
        <v>1621</v>
      </c>
      <c r="E20" s="164">
        <v>0</v>
      </c>
      <c r="F20" s="165" t="s">
        <v>51</v>
      </c>
      <c r="G20" s="164">
        <v>1400</v>
      </c>
      <c r="H20" s="165" t="s">
        <v>51</v>
      </c>
      <c r="I20" s="164">
        <v>0</v>
      </c>
      <c r="J20" s="165" t="s">
        <v>51</v>
      </c>
      <c r="K20" s="164">
        <v>0</v>
      </c>
      <c r="L20" s="165" t="s">
        <v>51</v>
      </c>
      <c r="M20" s="164">
        <v>0</v>
      </c>
      <c r="N20" s="165" t="s">
        <v>51</v>
      </c>
      <c r="O20" s="164">
        <f t="shared" ref="O20:O27" si="0">SMALL(E20:M20,COUNTIF(E20:M20,0)+1)</f>
        <v>1400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3">
        <v>0</v>
      </c>
      <c r="V20" s="13">
        <v>0</v>
      </c>
      <c r="W20" s="8" t="s">
        <v>3869</v>
      </c>
      <c r="X20" s="8" t="s">
        <v>51</v>
      </c>
      <c r="Y20" s="2" t="s">
        <v>51</v>
      </c>
      <c r="Z20" s="2" t="s">
        <v>51</v>
      </c>
      <c r="AA20" s="14"/>
      <c r="AB20" s="2" t="s">
        <v>51</v>
      </c>
    </row>
    <row r="21" spans="1:28" ht="30" customHeight="1">
      <c r="A21" s="8" t="s">
        <v>1626</v>
      </c>
      <c r="B21" s="157" t="s">
        <v>1624</v>
      </c>
      <c r="C21" s="157" t="s">
        <v>1620</v>
      </c>
      <c r="D21" s="163" t="s">
        <v>1625</v>
      </c>
      <c r="E21" s="164">
        <v>0</v>
      </c>
      <c r="F21" s="165" t="s">
        <v>51</v>
      </c>
      <c r="G21" s="164">
        <v>1200</v>
      </c>
      <c r="H21" s="165" t="s">
        <v>51</v>
      </c>
      <c r="I21" s="164">
        <v>0</v>
      </c>
      <c r="J21" s="165" t="s">
        <v>51</v>
      </c>
      <c r="K21" s="164">
        <v>0</v>
      </c>
      <c r="L21" s="165" t="s">
        <v>51</v>
      </c>
      <c r="M21" s="164">
        <v>0</v>
      </c>
      <c r="N21" s="165" t="s">
        <v>51</v>
      </c>
      <c r="O21" s="164">
        <f t="shared" si="0"/>
        <v>1200</v>
      </c>
      <c r="P21" s="166">
        <v>0</v>
      </c>
      <c r="Q21" s="166">
        <v>0</v>
      </c>
      <c r="R21" s="166">
        <v>0</v>
      </c>
      <c r="S21" s="166">
        <v>0</v>
      </c>
      <c r="T21" s="166">
        <v>0</v>
      </c>
      <c r="U21" s="13">
        <v>0</v>
      </c>
      <c r="V21" s="13">
        <v>0</v>
      </c>
      <c r="W21" s="8" t="s">
        <v>1919</v>
      </c>
      <c r="X21" s="8" t="s">
        <v>51</v>
      </c>
      <c r="Y21" s="2" t="s">
        <v>51</v>
      </c>
      <c r="Z21" s="2" t="s">
        <v>51</v>
      </c>
      <c r="AA21" s="14"/>
      <c r="AB21" s="2" t="s">
        <v>51</v>
      </c>
    </row>
    <row r="22" spans="1:28" ht="30" customHeight="1">
      <c r="A22" s="8" t="s">
        <v>1631</v>
      </c>
      <c r="B22" s="157" t="s">
        <v>1628</v>
      </c>
      <c r="C22" s="157" t="s">
        <v>1629</v>
      </c>
      <c r="D22" s="163" t="s">
        <v>1630</v>
      </c>
      <c r="E22" s="164">
        <v>0</v>
      </c>
      <c r="F22" s="165" t="s">
        <v>51</v>
      </c>
      <c r="G22" s="164">
        <v>7080</v>
      </c>
      <c r="H22" s="165" t="s">
        <v>51</v>
      </c>
      <c r="I22" s="164">
        <v>0</v>
      </c>
      <c r="J22" s="165" t="s">
        <v>51</v>
      </c>
      <c r="K22" s="164">
        <v>0</v>
      </c>
      <c r="L22" s="165" t="s">
        <v>51</v>
      </c>
      <c r="M22" s="164">
        <v>0</v>
      </c>
      <c r="N22" s="165" t="s">
        <v>51</v>
      </c>
      <c r="O22" s="164">
        <f t="shared" si="0"/>
        <v>7080</v>
      </c>
      <c r="P22" s="166">
        <v>0</v>
      </c>
      <c r="Q22" s="166">
        <v>0</v>
      </c>
      <c r="R22" s="166">
        <v>0</v>
      </c>
      <c r="S22" s="166">
        <v>0</v>
      </c>
      <c r="T22" s="166">
        <v>0</v>
      </c>
      <c r="U22" s="13">
        <v>0</v>
      </c>
      <c r="V22" s="13">
        <v>0</v>
      </c>
      <c r="W22" s="8" t="s">
        <v>1920</v>
      </c>
      <c r="X22" s="8" t="s">
        <v>51</v>
      </c>
      <c r="Y22" s="2" t="s">
        <v>51</v>
      </c>
      <c r="Z22" s="2" t="s">
        <v>51</v>
      </c>
      <c r="AA22" s="14"/>
      <c r="AB22" s="2" t="s">
        <v>51</v>
      </c>
    </row>
    <row r="23" spans="1:28" ht="30" customHeight="1">
      <c r="A23" s="8" t="s">
        <v>1636</v>
      </c>
      <c r="B23" s="157" t="s">
        <v>1633</v>
      </c>
      <c r="C23" s="157" t="s">
        <v>1634</v>
      </c>
      <c r="D23" s="163" t="s">
        <v>1635</v>
      </c>
      <c r="E23" s="164">
        <v>0</v>
      </c>
      <c r="F23" s="165" t="s">
        <v>51</v>
      </c>
      <c r="G23" s="164">
        <v>780</v>
      </c>
      <c r="H23" s="165" t="s">
        <v>51</v>
      </c>
      <c r="I23" s="164">
        <v>0</v>
      </c>
      <c r="J23" s="165" t="s">
        <v>51</v>
      </c>
      <c r="K23" s="164">
        <v>0</v>
      </c>
      <c r="L23" s="165" t="s">
        <v>51</v>
      </c>
      <c r="M23" s="164">
        <v>0</v>
      </c>
      <c r="N23" s="165" t="s">
        <v>51</v>
      </c>
      <c r="O23" s="164">
        <f t="shared" si="0"/>
        <v>780</v>
      </c>
      <c r="P23" s="166">
        <v>0</v>
      </c>
      <c r="Q23" s="166">
        <v>0</v>
      </c>
      <c r="R23" s="166">
        <v>0</v>
      </c>
      <c r="S23" s="166">
        <v>0</v>
      </c>
      <c r="T23" s="166">
        <v>0</v>
      </c>
      <c r="U23" s="13">
        <v>0</v>
      </c>
      <c r="V23" s="13">
        <v>0</v>
      </c>
      <c r="W23" s="8" t="s">
        <v>1921</v>
      </c>
      <c r="X23" s="8" t="s">
        <v>51</v>
      </c>
      <c r="Y23" s="2" t="s">
        <v>51</v>
      </c>
      <c r="Z23" s="2" t="s">
        <v>51</v>
      </c>
      <c r="AA23" s="14"/>
      <c r="AB23" s="2" t="s">
        <v>51</v>
      </c>
    </row>
    <row r="24" spans="1:28" ht="30" customHeight="1">
      <c r="A24" s="8" t="s">
        <v>1640</v>
      </c>
      <c r="B24" s="157" t="s">
        <v>1638</v>
      </c>
      <c r="C24" s="157" t="s">
        <v>1620</v>
      </c>
      <c r="D24" s="163" t="s">
        <v>1639</v>
      </c>
      <c r="E24" s="164">
        <v>0</v>
      </c>
      <c r="F24" s="165" t="s">
        <v>51</v>
      </c>
      <c r="G24" s="164">
        <v>780</v>
      </c>
      <c r="H24" s="165" t="s">
        <v>51</v>
      </c>
      <c r="I24" s="164">
        <v>0</v>
      </c>
      <c r="J24" s="165" t="s">
        <v>51</v>
      </c>
      <c r="K24" s="164">
        <v>0</v>
      </c>
      <c r="L24" s="165" t="s">
        <v>51</v>
      </c>
      <c r="M24" s="164">
        <v>0</v>
      </c>
      <c r="N24" s="165" t="s">
        <v>51</v>
      </c>
      <c r="O24" s="164">
        <f t="shared" si="0"/>
        <v>780</v>
      </c>
      <c r="P24" s="166">
        <v>0</v>
      </c>
      <c r="Q24" s="166">
        <v>0</v>
      </c>
      <c r="R24" s="166">
        <v>0</v>
      </c>
      <c r="S24" s="166">
        <v>0</v>
      </c>
      <c r="T24" s="166">
        <v>0</v>
      </c>
      <c r="U24" s="13">
        <v>0</v>
      </c>
      <c r="V24" s="13">
        <v>0</v>
      </c>
      <c r="W24" s="8" t="s">
        <v>1922</v>
      </c>
      <c r="X24" s="8" t="s">
        <v>51</v>
      </c>
      <c r="Y24" s="2" t="s">
        <v>51</v>
      </c>
      <c r="Z24" s="2" t="s">
        <v>51</v>
      </c>
      <c r="AA24" s="14"/>
      <c r="AB24" s="2" t="s">
        <v>51</v>
      </c>
    </row>
    <row r="25" spans="1:28" ht="30" customHeight="1">
      <c r="A25" s="8" t="s">
        <v>1643</v>
      </c>
      <c r="B25" s="157" t="s">
        <v>1642</v>
      </c>
      <c r="C25" s="157" t="s">
        <v>51</v>
      </c>
      <c r="D25" s="163" t="s">
        <v>82</v>
      </c>
      <c r="E25" s="164">
        <v>0</v>
      </c>
      <c r="F25" s="165" t="s">
        <v>51</v>
      </c>
      <c r="G25" s="164">
        <v>1000</v>
      </c>
      <c r="H25" s="165" t="s">
        <v>51</v>
      </c>
      <c r="I25" s="164">
        <v>0</v>
      </c>
      <c r="J25" s="165" t="s">
        <v>51</v>
      </c>
      <c r="K25" s="164">
        <v>0</v>
      </c>
      <c r="L25" s="165" t="s">
        <v>51</v>
      </c>
      <c r="M25" s="164">
        <v>0</v>
      </c>
      <c r="N25" s="165" t="s">
        <v>51</v>
      </c>
      <c r="O25" s="164">
        <f t="shared" si="0"/>
        <v>1000</v>
      </c>
      <c r="P25" s="166">
        <v>0</v>
      </c>
      <c r="Q25" s="166">
        <v>0</v>
      </c>
      <c r="R25" s="166">
        <v>0</v>
      </c>
      <c r="S25" s="166">
        <v>0</v>
      </c>
      <c r="T25" s="166">
        <v>0</v>
      </c>
      <c r="U25" s="13">
        <v>0</v>
      </c>
      <c r="V25" s="13">
        <v>0</v>
      </c>
      <c r="W25" s="8" t="s">
        <v>1923</v>
      </c>
      <c r="X25" s="8" t="s">
        <v>51</v>
      </c>
      <c r="Y25" s="2" t="s">
        <v>51</v>
      </c>
      <c r="Z25" s="2" t="s">
        <v>51</v>
      </c>
      <c r="AA25" s="14"/>
      <c r="AB25" s="2" t="s">
        <v>51</v>
      </c>
    </row>
    <row r="26" spans="1:28" ht="30" customHeight="1">
      <c r="A26" s="8" t="s">
        <v>1646</v>
      </c>
      <c r="B26" s="157" t="s">
        <v>1645</v>
      </c>
      <c r="C26" s="157" t="s">
        <v>51</v>
      </c>
      <c r="D26" s="163" t="s">
        <v>82</v>
      </c>
      <c r="E26" s="164">
        <v>0</v>
      </c>
      <c r="F26" s="165" t="s">
        <v>51</v>
      </c>
      <c r="G26" s="164">
        <v>500</v>
      </c>
      <c r="H26" s="165" t="s">
        <v>51</v>
      </c>
      <c r="I26" s="164">
        <v>0</v>
      </c>
      <c r="J26" s="165" t="s">
        <v>51</v>
      </c>
      <c r="K26" s="164">
        <v>0</v>
      </c>
      <c r="L26" s="165" t="s">
        <v>51</v>
      </c>
      <c r="M26" s="164">
        <v>0</v>
      </c>
      <c r="N26" s="165" t="s">
        <v>51</v>
      </c>
      <c r="O26" s="164">
        <f t="shared" si="0"/>
        <v>500</v>
      </c>
      <c r="P26" s="166">
        <v>0</v>
      </c>
      <c r="Q26" s="166">
        <v>0</v>
      </c>
      <c r="R26" s="166">
        <v>0</v>
      </c>
      <c r="S26" s="166">
        <v>0</v>
      </c>
      <c r="T26" s="166">
        <v>0</v>
      </c>
      <c r="U26" s="13">
        <v>0</v>
      </c>
      <c r="V26" s="13">
        <v>0</v>
      </c>
      <c r="W26" s="8" t="s">
        <v>1924</v>
      </c>
      <c r="X26" s="8" t="s">
        <v>51</v>
      </c>
      <c r="Y26" s="2" t="s">
        <v>51</v>
      </c>
      <c r="Z26" s="2" t="s">
        <v>51</v>
      </c>
      <c r="AA26" s="14"/>
      <c r="AB26" s="2" t="s">
        <v>51</v>
      </c>
    </row>
    <row r="27" spans="1:28" ht="30" customHeight="1">
      <c r="A27" s="8" t="s">
        <v>1649</v>
      </c>
      <c r="B27" s="157" t="s">
        <v>1648</v>
      </c>
      <c r="C27" s="157" t="s">
        <v>51</v>
      </c>
      <c r="D27" s="163" t="s">
        <v>82</v>
      </c>
      <c r="E27" s="164">
        <v>0</v>
      </c>
      <c r="F27" s="165" t="s">
        <v>51</v>
      </c>
      <c r="G27" s="164">
        <v>850</v>
      </c>
      <c r="H27" s="165" t="s">
        <v>51</v>
      </c>
      <c r="I27" s="164">
        <v>0</v>
      </c>
      <c r="J27" s="165" t="s">
        <v>51</v>
      </c>
      <c r="K27" s="164">
        <v>0</v>
      </c>
      <c r="L27" s="165" t="s">
        <v>51</v>
      </c>
      <c r="M27" s="164">
        <v>0</v>
      </c>
      <c r="N27" s="165" t="s">
        <v>51</v>
      </c>
      <c r="O27" s="164">
        <f t="shared" si="0"/>
        <v>850</v>
      </c>
      <c r="P27" s="166">
        <v>0</v>
      </c>
      <c r="Q27" s="166">
        <v>0</v>
      </c>
      <c r="R27" s="166">
        <v>0</v>
      </c>
      <c r="S27" s="166">
        <v>0</v>
      </c>
      <c r="T27" s="166">
        <v>0</v>
      </c>
      <c r="U27" s="13">
        <v>0</v>
      </c>
      <c r="V27" s="13">
        <v>0</v>
      </c>
      <c r="W27" s="8" t="s">
        <v>1925</v>
      </c>
      <c r="X27" s="8" t="s">
        <v>51</v>
      </c>
      <c r="Y27" s="2" t="s">
        <v>51</v>
      </c>
      <c r="Z27" s="2" t="s">
        <v>51</v>
      </c>
      <c r="AA27" s="14"/>
      <c r="AB27" s="2" t="s">
        <v>51</v>
      </c>
    </row>
    <row r="28" spans="1:28" ht="30" customHeight="1">
      <c r="A28" s="8" t="s">
        <v>1893</v>
      </c>
      <c r="B28" s="157" t="s">
        <v>1290</v>
      </c>
      <c r="C28" s="157" t="s">
        <v>1892</v>
      </c>
      <c r="D28" s="163" t="s">
        <v>1292</v>
      </c>
      <c r="E28" s="164">
        <v>0</v>
      </c>
      <c r="F28" s="165" t="s">
        <v>51</v>
      </c>
      <c r="G28" s="164">
        <v>0</v>
      </c>
      <c r="H28" s="165" t="s">
        <v>51</v>
      </c>
      <c r="I28" s="164">
        <v>0</v>
      </c>
      <c r="J28" s="165" t="s">
        <v>51</v>
      </c>
      <c r="K28" s="164">
        <v>0</v>
      </c>
      <c r="L28" s="165" t="s">
        <v>51</v>
      </c>
      <c r="M28" s="164">
        <v>0</v>
      </c>
      <c r="N28" s="165" t="s">
        <v>51</v>
      </c>
      <c r="O28" s="164">
        <v>0</v>
      </c>
      <c r="P28" s="166">
        <v>0</v>
      </c>
      <c r="Q28" s="166">
        <v>0</v>
      </c>
      <c r="R28" s="166">
        <v>0</v>
      </c>
      <c r="S28" s="166">
        <v>0</v>
      </c>
      <c r="T28" s="166">
        <v>0</v>
      </c>
      <c r="U28" s="13">
        <v>0</v>
      </c>
      <c r="V28" s="13">
        <v>0</v>
      </c>
      <c r="W28" s="8" t="s">
        <v>1926</v>
      </c>
      <c r="X28" s="8" t="s">
        <v>1889</v>
      </c>
      <c r="Y28" s="2" t="s">
        <v>51</v>
      </c>
      <c r="Z28" s="2" t="s">
        <v>51</v>
      </c>
      <c r="AA28" s="14"/>
      <c r="AB28" s="2" t="s">
        <v>51</v>
      </c>
    </row>
    <row r="29" spans="1:28" ht="30" customHeight="1">
      <c r="A29" s="8" t="s">
        <v>1293</v>
      </c>
      <c r="B29" s="1178" t="s">
        <v>1290</v>
      </c>
      <c r="C29" s="1178" t="s">
        <v>1291</v>
      </c>
      <c r="D29" s="1179" t="s">
        <v>1292</v>
      </c>
      <c r="E29" s="1180">
        <v>0</v>
      </c>
      <c r="F29" s="1181" t="s">
        <v>51</v>
      </c>
      <c r="G29" s="1182">
        <v>29000</v>
      </c>
      <c r="H29" s="1183" t="s">
        <v>6827</v>
      </c>
      <c r="I29" s="1180">
        <v>30000</v>
      </c>
      <c r="J29" s="1181" t="s">
        <v>1942</v>
      </c>
      <c r="K29" s="1180">
        <v>0</v>
      </c>
      <c r="L29" s="1181" t="s">
        <v>51</v>
      </c>
      <c r="M29" s="1180">
        <v>0</v>
      </c>
      <c r="N29" s="1181" t="s">
        <v>51</v>
      </c>
      <c r="O29" s="1180">
        <f t="shared" ref="O29:O56" si="1">SMALL(E29:M29,COUNTIF(E29:M29,0)+1)</f>
        <v>29000</v>
      </c>
      <c r="P29" s="1184">
        <v>0</v>
      </c>
      <c r="Q29" s="1184">
        <v>0</v>
      </c>
      <c r="R29" s="1184">
        <v>0</v>
      </c>
      <c r="S29" s="1184">
        <v>0</v>
      </c>
      <c r="T29" s="1184">
        <v>0</v>
      </c>
      <c r="U29" s="1184">
        <v>0</v>
      </c>
      <c r="V29" s="1184">
        <v>0</v>
      </c>
      <c r="W29" s="1178" t="s">
        <v>1927</v>
      </c>
      <c r="X29" s="1178" t="s">
        <v>51</v>
      </c>
      <c r="Y29" s="2" t="s">
        <v>51</v>
      </c>
      <c r="Z29" s="2" t="s">
        <v>51</v>
      </c>
      <c r="AA29" s="14"/>
      <c r="AB29" s="2" t="s">
        <v>51</v>
      </c>
    </row>
    <row r="30" spans="1:28" ht="30" customHeight="1">
      <c r="A30" s="8" t="s">
        <v>1175</v>
      </c>
      <c r="B30" s="1178" t="s">
        <v>1173</v>
      </c>
      <c r="C30" s="1178" t="s">
        <v>6836</v>
      </c>
      <c r="D30" s="1179" t="s">
        <v>59</v>
      </c>
      <c r="E30" s="1180">
        <v>11081</v>
      </c>
      <c r="F30" s="1181" t="s">
        <v>51</v>
      </c>
      <c r="G30" s="1180">
        <v>9800</v>
      </c>
      <c r="H30" s="1181" t="s">
        <v>1944</v>
      </c>
      <c r="I30" s="1180">
        <v>11900</v>
      </c>
      <c r="J30" s="1181" t="s">
        <v>1945</v>
      </c>
      <c r="K30" s="1180">
        <v>0</v>
      </c>
      <c r="L30" s="1181" t="s">
        <v>51</v>
      </c>
      <c r="M30" s="1182">
        <v>3064</v>
      </c>
      <c r="N30" s="1183" t="s">
        <v>6828</v>
      </c>
      <c r="O30" s="1180">
        <f t="shared" ref="O30" si="2">SMALL(E30:M30,COUNTIF(E30:M30,0)+1)</f>
        <v>3064</v>
      </c>
      <c r="P30" s="1184">
        <v>0</v>
      </c>
      <c r="Q30" s="1184">
        <v>0</v>
      </c>
      <c r="R30" s="1184">
        <v>0</v>
      </c>
      <c r="S30" s="1184">
        <v>0</v>
      </c>
      <c r="T30" s="1184">
        <v>0</v>
      </c>
      <c r="U30" s="1184">
        <v>0</v>
      </c>
      <c r="V30" s="1184">
        <v>0</v>
      </c>
      <c r="W30" s="1178" t="s">
        <v>1928</v>
      </c>
      <c r="X30" s="1178" t="s">
        <v>51</v>
      </c>
      <c r="Y30" s="2" t="s">
        <v>51</v>
      </c>
      <c r="Z30" s="2" t="s">
        <v>51</v>
      </c>
      <c r="AA30" s="14"/>
      <c r="AB30" s="2" t="s">
        <v>51</v>
      </c>
    </row>
    <row r="31" spans="1:28" ht="30" customHeight="1">
      <c r="A31" s="8" t="s">
        <v>1175</v>
      </c>
      <c r="B31" s="157" t="s">
        <v>1173</v>
      </c>
      <c r="C31" s="157" t="s">
        <v>1174</v>
      </c>
      <c r="D31" s="163" t="s">
        <v>59</v>
      </c>
      <c r="E31" s="164">
        <v>6439</v>
      </c>
      <c r="F31" s="165" t="s">
        <v>51</v>
      </c>
      <c r="G31" s="164">
        <v>3997.58</v>
      </c>
      <c r="H31" s="165" t="s">
        <v>1944</v>
      </c>
      <c r="I31" s="164">
        <v>7155.33</v>
      </c>
      <c r="J31" s="165" t="s">
        <v>1945</v>
      </c>
      <c r="K31" s="164">
        <v>0</v>
      </c>
      <c r="L31" s="165" t="s">
        <v>51</v>
      </c>
      <c r="M31" s="164">
        <v>0</v>
      </c>
      <c r="N31" s="165" t="s">
        <v>51</v>
      </c>
      <c r="O31" s="164">
        <f t="shared" si="1"/>
        <v>3997.58</v>
      </c>
      <c r="P31" s="166">
        <v>0</v>
      </c>
      <c r="Q31" s="166">
        <v>0</v>
      </c>
      <c r="R31" s="166">
        <v>0</v>
      </c>
      <c r="S31" s="166">
        <v>0</v>
      </c>
      <c r="T31" s="166">
        <v>0</v>
      </c>
      <c r="U31" s="13">
        <v>0</v>
      </c>
      <c r="V31" s="13">
        <v>0</v>
      </c>
      <c r="W31" s="8" t="s">
        <v>1929</v>
      </c>
      <c r="X31" s="8" t="s">
        <v>51</v>
      </c>
      <c r="Y31" s="2" t="s">
        <v>51</v>
      </c>
      <c r="Z31" s="2" t="s">
        <v>51</v>
      </c>
      <c r="AA31" s="14"/>
      <c r="AB31" s="2" t="s">
        <v>51</v>
      </c>
    </row>
    <row r="32" spans="1:28" ht="30" customHeight="1">
      <c r="A32" s="8" t="s">
        <v>1206</v>
      </c>
      <c r="B32" s="157" t="s">
        <v>1173</v>
      </c>
      <c r="C32" s="157" t="s">
        <v>1205</v>
      </c>
      <c r="D32" s="163" t="s">
        <v>59</v>
      </c>
      <c r="E32" s="164">
        <v>8120</v>
      </c>
      <c r="F32" s="165" t="s">
        <v>51</v>
      </c>
      <c r="G32" s="164">
        <v>8834.99</v>
      </c>
      <c r="H32" s="165" t="s">
        <v>1944</v>
      </c>
      <c r="I32" s="164">
        <v>8566.24</v>
      </c>
      <c r="J32" s="165" t="s">
        <v>1945</v>
      </c>
      <c r="K32" s="164">
        <v>0</v>
      </c>
      <c r="L32" s="165" t="s">
        <v>51</v>
      </c>
      <c r="M32" s="164">
        <v>0</v>
      </c>
      <c r="N32" s="165" t="s">
        <v>51</v>
      </c>
      <c r="O32" s="164">
        <f t="shared" si="1"/>
        <v>8120</v>
      </c>
      <c r="P32" s="166">
        <v>0</v>
      </c>
      <c r="Q32" s="166">
        <v>0</v>
      </c>
      <c r="R32" s="166">
        <v>0</v>
      </c>
      <c r="S32" s="166">
        <v>0</v>
      </c>
      <c r="T32" s="166">
        <v>0</v>
      </c>
      <c r="U32" s="13">
        <v>0</v>
      </c>
      <c r="V32" s="13">
        <v>0</v>
      </c>
      <c r="W32" s="8" t="s">
        <v>1930</v>
      </c>
      <c r="X32" s="8" t="s">
        <v>51</v>
      </c>
      <c r="Y32" s="2" t="s">
        <v>51</v>
      </c>
      <c r="Z32" s="2" t="s">
        <v>51</v>
      </c>
      <c r="AA32" s="14"/>
      <c r="AB32" s="2" t="s">
        <v>51</v>
      </c>
    </row>
    <row r="33" spans="1:29" ht="30" customHeight="1">
      <c r="A33" s="8" t="s">
        <v>1409</v>
      </c>
      <c r="B33" s="157" t="s">
        <v>1173</v>
      </c>
      <c r="C33" s="157" t="s">
        <v>1408</v>
      </c>
      <c r="D33" s="163" t="s">
        <v>59</v>
      </c>
      <c r="E33" s="164">
        <v>10206</v>
      </c>
      <c r="F33" s="165" t="s">
        <v>51</v>
      </c>
      <c r="G33" s="164">
        <v>9674.81</v>
      </c>
      <c r="H33" s="165" t="s">
        <v>1944</v>
      </c>
      <c r="I33" s="164">
        <v>12295.08</v>
      </c>
      <c r="J33" s="165" t="s">
        <v>1945</v>
      </c>
      <c r="K33" s="164">
        <v>0</v>
      </c>
      <c r="L33" s="165" t="s">
        <v>51</v>
      </c>
      <c r="M33" s="164">
        <v>0</v>
      </c>
      <c r="N33" s="165" t="s">
        <v>51</v>
      </c>
      <c r="O33" s="164">
        <f t="shared" si="1"/>
        <v>9674.81</v>
      </c>
      <c r="P33" s="166">
        <v>0</v>
      </c>
      <c r="Q33" s="166">
        <v>0</v>
      </c>
      <c r="R33" s="166">
        <v>0</v>
      </c>
      <c r="S33" s="166">
        <v>0</v>
      </c>
      <c r="T33" s="166">
        <v>0</v>
      </c>
      <c r="U33" s="166">
        <v>0</v>
      </c>
      <c r="V33" s="166">
        <v>0</v>
      </c>
      <c r="W33" s="157" t="s">
        <v>1931</v>
      </c>
      <c r="X33" s="157" t="s">
        <v>51</v>
      </c>
      <c r="Y33" s="2" t="s">
        <v>51</v>
      </c>
      <c r="Z33" s="2" t="s">
        <v>51</v>
      </c>
      <c r="AA33" s="14"/>
      <c r="AB33" s="2" t="s">
        <v>51</v>
      </c>
    </row>
    <row r="34" spans="1:29" ht="30" customHeight="1">
      <c r="A34" s="8" t="s">
        <v>1608</v>
      </c>
      <c r="B34" s="157" t="s">
        <v>1181</v>
      </c>
      <c r="C34" s="157" t="s">
        <v>1607</v>
      </c>
      <c r="D34" s="163" t="s">
        <v>59</v>
      </c>
      <c r="E34" s="164">
        <v>0</v>
      </c>
      <c r="F34" s="165" t="s">
        <v>51</v>
      </c>
      <c r="G34" s="164">
        <v>3426.49</v>
      </c>
      <c r="H34" s="165" t="s">
        <v>1949</v>
      </c>
      <c r="I34" s="164">
        <v>0</v>
      </c>
      <c r="J34" s="165" t="s">
        <v>51</v>
      </c>
      <c r="K34" s="164">
        <v>0</v>
      </c>
      <c r="L34" s="165" t="s">
        <v>51</v>
      </c>
      <c r="M34" s="164">
        <v>0</v>
      </c>
      <c r="N34" s="165" t="s">
        <v>51</v>
      </c>
      <c r="O34" s="164">
        <f t="shared" si="1"/>
        <v>3426.49</v>
      </c>
      <c r="P34" s="166">
        <v>0</v>
      </c>
      <c r="Q34" s="166">
        <v>0</v>
      </c>
      <c r="R34" s="166">
        <v>0</v>
      </c>
      <c r="S34" s="166">
        <v>0</v>
      </c>
      <c r="T34" s="166">
        <v>0</v>
      </c>
      <c r="U34" s="13">
        <v>0</v>
      </c>
      <c r="V34" s="13">
        <v>0</v>
      </c>
      <c r="W34" s="8" t="s">
        <v>1932</v>
      </c>
      <c r="X34" s="8" t="s">
        <v>51</v>
      </c>
      <c r="Y34" s="2" t="s">
        <v>51</v>
      </c>
      <c r="Z34" s="2" t="s">
        <v>51</v>
      </c>
      <c r="AA34" s="14"/>
      <c r="AB34" s="2" t="s">
        <v>51</v>
      </c>
    </row>
    <row r="35" spans="1:29" ht="30" customHeight="1">
      <c r="A35" s="8" t="s">
        <v>1183</v>
      </c>
      <c r="B35" s="157" t="s">
        <v>1181</v>
      </c>
      <c r="C35" s="157" t="s">
        <v>1182</v>
      </c>
      <c r="D35" s="163" t="s">
        <v>59</v>
      </c>
      <c r="E35" s="164">
        <v>3811</v>
      </c>
      <c r="F35" s="165" t="s">
        <v>51</v>
      </c>
      <c r="G35" s="164">
        <v>4703.03</v>
      </c>
      <c r="H35" s="165" t="s">
        <v>1949</v>
      </c>
      <c r="I35" s="164">
        <v>3997.58</v>
      </c>
      <c r="J35" s="165" t="s">
        <v>1951</v>
      </c>
      <c r="K35" s="164">
        <v>0</v>
      </c>
      <c r="L35" s="165" t="s">
        <v>51</v>
      </c>
      <c r="M35" s="164">
        <v>0</v>
      </c>
      <c r="N35" s="165" t="s">
        <v>51</v>
      </c>
      <c r="O35" s="164">
        <f t="shared" si="1"/>
        <v>3811</v>
      </c>
      <c r="P35" s="166">
        <v>0</v>
      </c>
      <c r="Q35" s="166">
        <v>0</v>
      </c>
      <c r="R35" s="166">
        <v>0</v>
      </c>
      <c r="S35" s="166">
        <v>0</v>
      </c>
      <c r="T35" s="166">
        <v>0</v>
      </c>
      <c r="U35" s="13">
        <v>0</v>
      </c>
      <c r="V35" s="13">
        <v>0</v>
      </c>
      <c r="W35" s="8" t="s">
        <v>1933</v>
      </c>
      <c r="X35" s="8" t="s">
        <v>51</v>
      </c>
      <c r="Y35" s="2" t="s">
        <v>51</v>
      </c>
      <c r="Z35" s="2" t="s">
        <v>51</v>
      </c>
      <c r="AA35" s="14"/>
      <c r="AB35" s="2" t="s">
        <v>51</v>
      </c>
    </row>
    <row r="36" spans="1:29" ht="30" customHeight="1">
      <c r="A36" s="8" t="s">
        <v>1422</v>
      </c>
      <c r="B36" s="1178" t="s">
        <v>3812</v>
      </c>
      <c r="C36" s="1178" t="s">
        <v>3808</v>
      </c>
      <c r="D36" s="1179" t="s">
        <v>59</v>
      </c>
      <c r="E36" s="1180">
        <v>0</v>
      </c>
      <c r="F36" s="1181" t="s">
        <v>51</v>
      </c>
      <c r="G36" s="1180">
        <v>45000</v>
      </c>
      <c r="H36" s="1181" t="s">
        <v>6546</v>
      </c>
      <c r="I36" s="1180">
        <v>0</v>
      </c>
      <c r="J36" s="1181" t="s">
        <v>51</v>
      </c>
      <c r="K36" s="1180"/>
      <c r="L36" s="1181" t="s">
        <v>51</v>
      </c>
      <c r="M36" s="1182">
        <v>16461</v>
      </c>
      <c r="N36" s="1183" t="s">
        <v>6829</v>
      </c>
      <c r="O36" s="1180">
        <f t="shared" si="1"/>
        <v>16461</v>
      </c>
      <c r="P36" s="1184">
        <v>0</v>
      </c>
      <c r="Q36" s="1184">
        <v>0</v>
      </c>
      <c r="R36" s="1184">
        <v>0</v>
      </c>
      <c r="S36" s="1184">
        <v>0</v>
      </c>
      <c r="T36" s="1184">
        <v>0</v>
      </c>
      <c r="U36" s="1184">
        <v>0</v>
      </c>
      <c r="V36" s="1184">
        <v>0</v>
      </c>
      <c r="W36" s="1178" t="s">
        <v>1934</v>
      </c>
      <c r="X36" s="1178" t="s">
        <v>51</v>
      </c>
      <c r="Y36" s="2" t="s">
        <v>51</v>
      </c>
      <c r="Z36" s="2" t="s">
        <v>51</v>
      </c>
      <c r="AA36" s="14"/>
      <c r="AB36" s="2" t="s">
        <v>51</v>
      </c>
      <c r="AC36" t="s">
        <v>6830</v>
      </c>
    </row>
    <row r="37" spans="1:29" ht="30" customHeight="1">
      <c r="A37" s="8" t="s">
        <v>596</v>
      </c>
      <c r="B37" s="1178" t="s">
        <v>593</v>
      </c>
      <c r="C37" s="1178" t="s">
        <v>594</v>
      </c>
      <c r="D37" s="1179" t="s">
        <v>591</v>
      </c>
      <c r="E37" s="1180">
        <v>340000</v>
      </c>
      <c r="F37" s="1181" t="s">
        <v>51</v>
      </c>
      <c r="G37" s="1180">
        <v>340000</v>
      </c>
      <c r="H37" s="1181" t="s">
        <v>1954</v>
      </c>
      <c r="I37" s="1180">
        <v>220000</v>
      </c>
      <c r="J37" s="1181" t="s">
        <v>1955</v>
      </c>
      <c r="K37" s="1180">
        <v>0</v>
      </c>
      <c r="L37" s="1181" t="s">
        <v>51</v>
      </c>
      <c r="M37" s="1180">
        <v>0</v>
      </c>
      <c r="N37" s="1181" t="s">
        <v>51</v>
      </c>
      <c r="O37" s="1182">
        <f>MAX(E37:M37,COUNTIF(E37:M37,0)+1)</f>
        <v>340000</v>
      </c>
      <c r="P37" s="1184">
        <v>0</v>
      </c>
      <c r="Q37" s="1184">
        <v>0</v>
      </c>
      <c r="R37" s="1184">
        <v>0</v>
      </c>
      <c r="S37" s="1184">
        <v>0</v>
      </c>
      <c r="T37" s="1184">
        <v>0</v>
      </c>
      <c r="U37" s="1184">
        <v>0</v>
      </c>
      <c r="V37" s="1184">
        <v>0</v>
      </c>
      <c r="W37" s="1178" t="s">
        <v>1935</v>
      </c>
      <c r="X37" s="1178" t="s">
        <v>595</v>
      </c>
      <c r="Y37" s="2" t="s">
        <v>51</v>
      </c>
      <c r="Z37" s="2" t="s">
        <v>51</v>
      </c>
      <c r="AA37" s="14"/>
      <c r="AB37" s="2" t="s">
        <v>51</v>
      </c>
    </row>
    <row r="38" spans="1:29" ht="30" customHeight="1">
      <c r="A38" s="8" t="s">
        <v>1346</v>
      </c>
      <c r="B38" s="1178" t="s">
        <v>593</v>
      </c>
      <c r="C38" s="1178" t="s">
        <v>594</v>
      </c>
      <c r="D38" s="1179" t="s">
        <v>993</v>
      </c>
      <c r="E38" s="1180">
        <v>340</v>
      </c>
      <c r="F38" s="1181" t="s">
        <v>51</v>
      </c>
      <c r="G38" s="1180">
        <v>340</v>
      </c>
      <c r="H38" s="1181" t="s">
        <v>1954</v>
      </c>
      <c r="I38" s="1180">
        <v>288</v>
      </c>
      <c r="J38" s="1181" t="s">
        <v>1955</v>
      </c>
      <c r="K38" s="1180">
        <v>0</v>
      </c>
      <c r="L38" s="1181" t="s">
        <v>51</v>
      </c>
      <c r="M38" s="1180">
        <v>0</v>
      </c>
      <c r="N38" s="1181" t="s">
        <v>51</v>
      </c>
      <c r="O38" s="1182">
        <f>MAX(E38:M38,COUNTIF(E38:M38,0)+1)</f>
        <v>340</v>
      </c>
      <c r="P38" s="1184">
        <v>0</v>
      </c>
      <c r="Q38" s="1184">
        <v>0</v>
      </c>
      <c r="R38" s="1184">
        <v>0</v>
      </c>
      <c r="S38" s="1184">
        <v>0</v>
      </c>
      <c r="T38" s="1184">
        <v>0</v>
      </c>
      <c r="U38" s="1184">
        <v>0</v>
      </c>
      <c r="V38" s="1184">
        <v>0</v>
      </c>
      <c r="W38" s="1178" t="s">
        <v>1936</v>
      </c>
      <c r="X38" s="1178" t="s">
        <v>595</v>
      </c>
      <c r="Y38" s="2" t="s">
        <v>51</v>
      </c>
      <c r="Z38" s="2" t="s">
        <v>51</v>
      </c>
      <c r="AA38" s="14"/>
      <c r="AB38" s="2" t="s">
        <v>51</v>
      </c>
    </row>
    <row r="39" spans="1:29" ht="30" customHeight="1">
      <c r="A39" s="8" t="s">
        <v>1344</v>
      </c>
      <c r="B39" s="1178" t="s">
        <v>593</v>
      </c>
      <c r="C39" s="1178" t="s">
        <v>1343</v>
      </c>
      <c r="D39" s="1179" t="s">
        <v>993</v>
      </c>
      <c r="E39" s="1180">
        <v>1200</v>
      </c>
      <c r="F39" s="1181" t="s">
        <v>51</v>
      </c>
      <c r="G39" s="1180">
        <v>1400</v>
      </c>
      <c r="H39" s="1181" t="s">
        <v>1954</v>
      </c>
      <c r="I39" s="1180">
        <v>1200</v>
      </c>
      <c r="J39" s="1181" t="s">
        <v>1955</v>
      </c>
      <c r="K39" s="1180">
        <v>0</v>
      </c>
      <c r="L39" s="1181" t="s">
        <v>51</v>
      </c>
      <c r="M39" s="1180">
        <v>0</v>
      </c>
      <c r="N39" s="1181" t="s">
        <v>51</v>
      </c>
      <c r="O39" s="1182">
        <f>MAX(E39:M39,COUNTIF(E39:M39,0)+1)</f>
        <v>1400</v>
      </c>
      <c r="P39" s="1184">
        <v>0</v>
      </c>
      <c r="Q39" s="1184">
        <v>0</v>
      </c>
      <c r="R39" s="1184">
        <v>0</v>
      </c>
      <c r="S39" s="1184">
        <v>0</v>
      </c>
      <c r="T39" s="1184">
        <v>0</v>
      </c>
      <c r="U39" s="1184">
        <v>0</v>
      </c>
      <c r="V39" s="1184">
        <v>0</v>
      </c>
      <c r="W39" s="1178" t="s">
        <v>1937</v>
      </c>
      <c r="X39" s="1178" t="s">
        <v>595</v>
      </c>
      <c r="Y39" s="2" t="s">
        <v>51</v>
      </c>
      <c r="Z39" s="2" t="s">
        <v>51</v>
      </c>
      <c r="AA39" s="14"/>
      <c r="AB39" s="2" t="s">
        <v>51</v>
      </c>
    </row>
    <row r="40" spans="1:29" ht="30" customHeight="1">
      <c r="A40" s="8" t="s">
        <v>1390</v>
      </c>
      <c r="B40" s="157" t="s">
        <v>1387</v>
      </c>
      <c r="C40" s="157" t="s">
        <v>1388</v>
      </c>
      <c r="D40" s="163" t="s">
        <v>1230</v>
      </c>
      <c r="E40" s="164">
        <v>2.2200000000000002</v>
      </c>
      <c r="F40" s="165" t="s">
        <v>51</v>
      </c>
      <c r="G40" s="164">
        <v>2.7</v>
      </c>
      <c r="H40" s="165" t="s">
        <v>1959</v>
      </c>
      <c r="I40" s="164">
        <v>2.5</v>
      </c>
      <c r="J40" s="165" t="s">
        <v>1960</v>
      </c>
      <c r="K40" s="164">
        <v>0</v>
      </c>
      <c r="L40" s="165" t="s">
        <v>51</v>
      </c>
      <c r="M40" s="164">
        <v>0</v>
      </c>
      <c r="N40" s="165" t="s">
        <v>51</v>
      </c>
      <c r="O40" s="164">
        <f t="shared" si="1"/>
        <v>2.2200000000000002</v>
      </c>
      <c r="P40" s="166">
        <v>0</v>
      </c>
      <c r="Q40" s="166">
        <v>0</v>
      </c>
      <c r="R40" s="166">
        <v>0</v>
      </c>
      <c r="S40" s="166">
        <v>0</v>
      </c>
      <c r="T40" s="166">
        <v>0</v>
      </c>
      <c r="U40" s="13">
        <v>0</v>
      </c>
      <c r="V40" s="13">
        <v>0</v>
      </c>
      <c r="W40" s="8" t="s">
        <v>1938</v>
      </c>
      <c r="X40" s="8" t="s">
        <v>1389</v>
      </c>
      <c r="Y40" s="2" t="s">
        <v>51</v>
      </c>
      <c r="Z40" s="2" t="s">
        <v>51</v>
      </c>
      <c r="AA40" s="14"/>
      <c r="AB40" s="2" t="s">
        <v>51</v>
      </c>
    </row>
    <row r="41" spans="1:29" s="17" customFormat="1" ht="30" customHeight="1">
      <c r="A41" s="157" t="s">
        <v>1365</v>
      </c>
      <c r="B41" s="157" t="s">
        <v>1363</v>
      </c>
      <c r="C41" s="157" t="s">
        <v>1364</v>
      </c>
      <c r="D41" s="163" t="s">
        <v>204</v>
      </c>
      <c r="E41" s="164">
        <v>0</v>
      </c>
      <c r="F41" s="165" t="s">
        <v>51</v>
      </c>
      <c r="G41" s="164">
        <v>0</v>
      </c>
      <c r="H41" s="165" t="s">
        <v>51</v>
      </c>
      <c r="I41" s="164">
        <v>2850</v>
      </c>
      <c r="J41" s="165" t="s">
        <v>51</v>
      </c>
      <c r="K41" s="164">
        <v>0</v>
      </c>
      <c r="L41" s="165" t="s">
        <v>51</v>
      </c>
      <c r="M41" s="164">
        <v>0</v>
      </c>
      <c r="N41" s="165" t="s">
        <v>51</v>
      </c>
      <c r="O41" s="164">
        <f t="shared" si="1"/>
        <v>2850</v>
      </c>
      <c r="P41" s="166">
        <v>0</v>
      </c>
      <c r="Q41" s="166">
        <v>0</v>
      </c>
      <c r="R41" s="166">
        <v>0</v>
      </c>
      <c r="S41" s="166">
        <v>0</v>
      </c>
      <c r="T41" s="166">
        <v>0</v>
      </c>
      <c r="U41" s="166">
        <v>0</v>
      </c>
      <c r="V41" s="166">
        <v>0</v>
      </c>
      <c r="W41" s="157" t="s">
        <v>1939</v>
      </c>
      <c r="X41" s="157" t="s">
        <v>51</v>
      </c>
      <c r="Y41" s="1293" t="s">
        <v>51</v>
      </c>
      <c r="Z41" s="1293" t="s">
        <v>51</v>
      </c>
      <c r="AA41" s="1300"/>
      <c r="AB41" s="1293" t="s">
        <v>51</v>
      </c>
    </row>
    <row r="42" spans="1:29" ht="30" customHeight="1">
      <c r="A42" s="8" t="s">
        <v>1817</v>
      </c>
      <c r="B42" s="157" t="s">
        <v>1392</v>
      </c>
      <c r="C42" s="157" t="s">
        <v>1816</v>
      </c>
      <c r="D42" s="163" t="s">
        <v>993</v>
      </c>
      <c r="E42" s="164">
        <v>10652</v>
      </c>
      <c r="F42" s="165" t="s">
        <v>51</v>
      </c>
      <c r="G42" s="164">
        <v>13200</v>
      </c>
      <c r="H42" s="165" t="s">
        <v>1959</v>
      </c>
      <c r="I42" s="164">
        <v>13000</v>
      </c>
      <c r="J42" s="165" t="s">
        <v>1960</v>
      </c>
      <c r="K42" s="164">
        <v>0</v>
      </c>
      <c r="L42" s="165" t="s">
        <v>51</v>
      </c>
      <c r="M42" s="164">
        <v>0</v>
      </c>
      <c r="N42" s="165" t="s">
        <v>51</v>
      </c>
      <c r="O42" s="164">
        <f t="shared" si="1"/>
        <v>10652</v>
      </c>
      <c r="P42" s="166">
        <v>0</v>
      </c>
      <c r="Q42" s="166">
        <v>0</v>
      </c>
      <c r="R42" s="166">
        <v>0</v>
      </c>
      <c r="S42" s="166">
        <v>0</v>
      </c>
      <c r="T42" s="166">
        <v>0</v>
      </c>
      <c r="U42" s="13">
        <v>0</v>
      </c>
      <c r="V42" s="13">
        <v>0</v>
      </c>
      <c r="W42" s="8" t="s">
        <v>1940</v>
      </c>
      <c r="X42" s="8" t="s">
        <v>51</v>
      </c>
      <c r="Y42" s="2" t="s">
        <v>51</v>
      </c>
      <c r="Z42" s="2" t="s">
        <v>51</v>
      </c>
      <c r="AA42" s="14"/>
      <c r="AB42" s="2" t="s">
        <v>51</v>
      </c>
    </row>
    <row r="43" spans="1:29" ht="30" customHeight="1">
      <c r="A43" s="8" t="s">
        <v>1395</v>
      </c>
      <c r="B43" s="157" t="s">
        <v>1392</v>
      </c>
      <c r="C43" s="157" t="s">
        <v>1393</v>
      </c>
      <c r="D43" s="163" t="s">
        <v>1394</v>
      </c>
      <c r="E43" s="164">
        <v>0</v>
      </c>
      <c r="F43" s="165" t="s">
        <v>51</v>
      </c>
      <c r="G43" s="164">
        <v>13.2</v>
      </c>
      <c r="H43" s="165" t="s">
        <v>1959</v>
      </c>
      <c r="I43" s="164">
        <v>13</v>
      </c>
      <c r="J43" s="165" t="s">
        <v>1960</v>
      </c>
      <c r="K43" s="164">
        <v>0</v>
      </c>
      <c r="L43" s="165" t="s">
        <v>51</v>
      </c>
      <c r="M43" s="164">
        <v>0</v>
      </c>
      <c r="N43" s="165" t="s">
        <v>51</v>
      </c>
      <c r="O43" s="164">
        <f t="shared" si="1"/>
        <v>13</v>
      </c>
      <c r="P43" s="166">
        <v>0</v>
      </c>
      <c r="Q43" s="166">
        <v>0</v>
      </c>
      <c r="R43" s="166">
        <v>0</v>
      </c>
      <c r="S43" s="166">
        <v>0</v>
      </c>
      <c r="T43" s="166">
        <v>0</v>
      </c>
      <c r="U43" s="13">
        <v>0</v>
      </c>
      <c r="V43" s="13">
        <v>0</v>
      </c>
      <c r="W43" s="8" t="s">
        <v>1941</v>
      </c>
      <c r="X43" s="8" t="s">
        <v>51</v>
      </c>
      <c r="Y43" s="2" t="s">
        <v>51</v>
      </c>
      <c r="Z43" s="2" t="s">
        <v>51</v>
      </c>
      <c r="AA43" s="14"/>
      <c r="AB43" s="2" t="s">
        <v>51</v>
      </c>
    </row>
    <row r="44" spans="1:29" ht="30" customHeight="1">
      <c r="A44" s="8" t="s">
        <v>1128</v>
      </c>
      <c r="B44" s="157" t="s">
        <v>1126</v>
      </c>
      <c r="C44" s="157" t="s">
        <v>1127</v>
      </c>
      <c r="D44" s="163" t="s">
        <v>993</v>
      </c>
      <c r="E44" s="164">
        <v>0</v>
      </c>
      <c r="F44" s="165" t="s">
        <v>51</v>
      </c>
      <c r="G44" s="164">
        <v>3020</v>
      </c>
      <c r="H44" s="165" t="s">
        <v>1965</v>
      </c>
      <c r="I44" s="164">
        <v>0</v>
      </c>
      <c r="J44" s="165" t="s">
        <v>51</v>
      </c>
      <c r="K44" s="164">
        <v>0</v>
      </c>
      <c r="L44" s="165" t="s">
        <v>51</v>
      </c>
      <c r="M44" s="164">
        <v>0</v>
      </c>
      <c r="N44" s="165" t="s">
        <v>51</v>
      </c>
      <c r="O44" s="164">
        <f t="shared" si="1"/>
        <v>3020</v>
      </c>
      <c r="P44" s="166">
        <v>0</v>
      </c>
      <c r="Q44" s="166">
        <v>0</v>
      </c>
      <c r="R44" s="166">
        <v>0</v>
      </c>
      <c r="S44" s="166">
        <v>0</v>
      </c>
      <c r="T44" s="166">
        <v>0</v>
      </c>
      <c r="U44" s="13">
        <v>0</v>
      </c>
      <c r="V44" s="13">
        <v>0</v>
      </c>
      <c r="W44" s="8" t="s">
        <v>1943</v>
      </c>
      <c r="X44" s="8" t="s">
        <v>51</v>
      </c>
      <c r="Y44" s="2" t="s">
        <v>51</v>
      </c>
      <c r="Z44" s="2" t="s">
        <v>51</v>
      </c>
      <c r="AA44" s="14"/>
      <c r="AB44" s="2" t="s">
        <v>51</v>
      </c>
    </row>
    <row r="45" spans="1:29" ht="30" customHeight="1">
      <c r="A45" s="8" t="s">
        <v>1848</v>
      </c>
      <c r="B45" s="157" t="s">
        <v>1126</v>
      </c>
      <c r="C45" s="157" t="s">
        <v>1847</v>
      </c>
      <c r="D45" s="163" t="s">
        <v>993</v>
      </c>
      <c r="E45" s="164">
        <v>0</v>
      </c>
      <c r="F45" s="165" t="s">
        <v>51</v>
      </c>
      <c r="G45" s="164">
        <v>2290</v>
      </c>
      <c r="H45" s="165" t="s">
        <v>1965</v>
      </c>
      <c r="I45" s="164">
        <v>2390</v>
      </c>
      <c r="J45" s="165" t="s">
        <v>1967</v>
      </c>
      <c r="K45" s="164">
        <v>0</v>
      </c>
      <c r="L45" s="165" t="s">
        <v>51</v>
      </c>
      <c r="M45" s="164">
        <v>0</v>
      </c>
      <c r="N45" s="165" t="s">
        <v>51</v>
      </c>
      <c r="O45" s="164">
        <f t="shared" si="1"/>
        <v>2290</v>
      </c>
      <c r="P45" s="166">
        <v>0</v>
      </c>
      <c r="Q45" s="166">
        <v>0</v>
      </c>
      <c r="R45" s="166">
        <v>0</v>
      </c>
      <c r="S45" s="166">
        <v>0</v>
      </c>
      <c r="T45" s="166">
        <v>0</v>
      </c>
      <c r="U45" s="13">
        <v>0</v>
      </c>
      <c r="V45" s="13">
        <v>0</v>
      </c>
      <c r="W45" s="8" t="s">
        <v>1946</v>
      </c>
      <c r="X45" s="8" t="s">
        <v>51</v>
      </c>
      <c r="Y45" s="2" t="s">
        <v>51</v>
      </c>
      <c r="Z45" s="2" t="s">
        <v>51</v>
      </c>
      <c r="AA45" s="14"/>
      <c r="AB45" s="2" t="s">
        <v>51</v>
      </c>
    </row>
    <row r="46" spans="1:29" ht="30" customHeight="1">
      <c r="A46" s="8" t="s">
        <v>1813</v>
      </c>
      <c r="B46" s="157" t="s">
        <v>1811</v>
      </c>
      <c r="C46" s="157" t="s">
        <v>1812</v>
      </c>
      <c r="D46" s="163" t="s">
        <v>993</v>
      </c>
      <c r="E46" s="164">
        <v>0</v>
      </c>
      <c r="F46" s="165" t="s">
        <v>51</v>
      </c>
      <c r="G46" s="164">
        <v>11270</v>
      </c>
      <c r="H46" s="165" t="s">
        <v>1965</v>
      </c>
      <c r="I46" s="164">
        <v>11350</v>
      </c>
      <c r="J46" s="165" t="s">
        <v>1967</v>
      </c>
      <c r="K46" s="164">
        <v>0</v>
      </c>
      <c r="L46" s="165" t="s">
        <v>51</v>
      </c>
      <c r="M46" s="164">
        <v>0</v>
      </c>
      <c r="N46" s="165" t="s">
        <v>51</v>
      </c>
      <c r="O46" s="164">
        <f t="shared" si="1"/>
        <v>11270</v>
      </c>
      <c r="P46" s="166">
        <v>0</v>
      </c>
      <c r="Q46" s="166">
        <v>0</v>
      </c>
      <c r="R46" s="166">
        <v>0</v>
      </c>
      <c r="S46" s="166">
        <v>0</v>
      </c>
      <c r="T46" s="166">
        <v>0</v>
      </c>
      <c r="U46" s="13">
        <v>0</v>
      </c>
      <c r="V46" s="13">
        <v>0</v>
      </c>
      <c r="W46" s="8" t="s">
        <v>1947</v>
      </c>
      <c r="X46" s="8" t="s">
        <v>51</v>
      </c>
      <c r="Y46" s="2" t="s">
        <v>51</v>
      </c>
      <c r="Z46" s="2" t="s">
        <v>51</v>
      </c>
      <c r="AA46" s="14"/>
      <c r="AB46" s="2" t="s">
        <v>51</v>
      </c>
    </row>
    <row r="47" spans="1:29" ht="30" customHeight="1">
      <c r="A47" s="8" t="s">
        <v>989</v>
      </c>
      <c r="B47" s="157" t="s">
        <v>987</v>
      </c>
      <c r="C47" s="157" t="s">
        <v>988</v>
      </c>
      <c r="D47" s="163" t="s">
        <v>59</v>
      </c>
      <c r="E47" s="164">
        <v>408</v>
      </c>
      <c r="F47" s="165" t="s">
        <v>51</v>
      </c>
      <c r="G47" s="164">
        <v>408.35</v>
      </c>
      <c r="H47" s="165" t="s">
        <v>1970</v>
      </c>
      <c r="I47" s="164">
        <v>0</v>
      </c>
      <c r="J47" s="165" t="s">
        <v>51</v>
      </c>
      <c r="K47" s="164">
        <v>0</v>
      </c>
      <c r="L47" s="165" t="s">
        <v>51</v>
      </c>
      <c r="M47" s="164">
        <v>0</v>
      </c>
      <c r="N47" s="165" t="s">
        <v>51</v>
      </c>
      <c r="O47" s="164">
        <f t="shared" si="1"/>
        <v>408</v>
      </c>
      <c r="P47" s="166">
        <v>0</v>
      </c>
      <c r="Q47" s="166">
        <v>0</v>
      </c>
      <c r="R47" s="166">
        <v>0</v>
      </c>
      <c r="S47" s="166">
        <v>0</v>
      </c>
      <c r="T47" s="166">
        <v>0</v>
      </c>
      <c r="U47" s="13">
        <v>0</v>
      </c>
      <c r="V47" s="13">
        <v>0</v>
      </c>
      <c r="W47" s="8" t="s">
        <v>1948</v>
      </c>
      <c r="X47" s="8" t="s">
        <v>51</v>
      </c>
      <c r="Y47" s="2" t="s">
        <v>51</v>
      </c>
      <c r="Z47" s="2" t="s">
        <v>51</v>
      </c>
      <c r="AA47" s="14"/>
      <c r="AB47" s="2" t="s">
        <v>51</v>
      </c>
    </row>
    <row r="48" spans="1:29" ht="30" customHeight="1">
      <c r="A48" s="8" t="s">
        <v>1675</v>
      </c>
      <c r="B48" s="157" t="s">
        <v>1673</v>
      </c>
      <c r="C48" s="157" t="s">
        <v>1674</v>
      </c>
      <c r="D48" s="163" t="s">
        <v>993</v>
      </c>
      <c r="E48" s="164">
        <v>0</v>
      </c>
      <c r="F48" s="165" t="s">
        <v>51</v>
      </c>
      <c r="G48" s="164">
        <v>0</v>
      </c>
      <c r="H48" s="165" t="s">
        <v>51</v>
      </c>
      <c r="I48" s="164">
        <v>42000</v>
      </c>
      <c r="J48" s="165" t="s">
        <v>1972</v>
      </c>
      <c r="K48" s="164">
        <v>0</v>
      </c>
      <c r="L48" s="165" t="s">
        <v>51</v>
      </c>
      <c r="M48" s="164">
        <v>0</v>
      </c>
      <c r="N48" s="165" t="s">
        <v>51</v>
      </c>
      <c r="O48" s="164">
        <f t="shared" si="1"/>
        <v>42000</v>
      </c>
      <c r="P48" s="166">
        <v>0</v>
      </c>
      <c r="Q48" s="166">
        <v>0</v>
      </c>
      <c r="R48" s="166">
        <v>0</v>
      </c>
      <c r="S48" s="166">
        <v>0</v>
      </c>
      <c r="T48" s="166">
        <v>0</v>
      </c>
      <c r="U48" s="13">
        <v>0</v>
      </c>
      <c r="V48" s="13">
        <v>0</v>
      </c>
      <c r="W48" s="8" t="s">
        <v>1950</v>
      </c>
      <c r="X48" s="8" t="s">
        <v>51</v>
      </c>
      <c r="Y48" s="2" t="s">
        <v>51</v>
      </c>
      <c r="Z48" s="2" t="s">
        <v>51</v>
      </c>
      <c r="AA48" s="14"/>
      <c r="AB48" s="2" t="s">
        <v>51</v>
      </c>
    </row>
    <row r="49" spans="1:28" ht="30" customHeight="1">
      <c r="A49" s="8" t="s">
        <v>1334</v>
      </c>
      <c r="B49" s="157" t="s">
        <v>1329</v>
      </c>
      <c r="C49" s="157" t="s">
        <v>1333</v>
      </c>
      <c r="D49" s="163" t="s">
        <v>993</v>
      </c>
      <c r="E49" s="164">
        <v>711</v>
      </c>
      <c r="F49" s="165" t="s">
        <v>51</v>
      </c>
      <c r="G49" s="164">
        <v>800.9</v>
      </c>
      <c r="H49" s="165" t="s">
        <v>1974</v>
      </c>
      <c r="I49" s="164">
        <v>868.34</v>
      </c>
      <c r="J49" s="165" t="s">
        <v>1975</v>
      </c>
      <c r="K49" s="164">
        <v>0</v>
      </c>
      <c r="L49" s="165" t="s">
        <v>51</v>
      </c>
      <c r="M49" s="164">
        <v>0</v>
      </c>
      <c r="N49" s="165" t="s">
        <v>51</v>
      </c>
      <c r="O49" s="164">
        <f t="shared" si="1"/>
        <v>711</v>
      </c>
      <c r="P49" s="166">
        <v>0</v>
      </c>
      <c r="Q49" s="166">
        <v>0</v>
      </c>
      <c r="R49" s="166">
        <v>0</v>
      </c>
      <c r="S49" s="166">
        <v>0</v>
      </c>
      <c r="T49" s="166">
        <v>0</v>
      </c>
      <c r="U49" s="13">
        <v>0</v>
      </c>
      <c r="V49" s="13">
        <v>0</v>
      </c>
      <c r="W49" s="8" t="s">
        <v>1952</v>
      </c>
      <c r="X49" s="8" t="s">
        <v>51</v>
      </c>
      <c r="Y49" s="2" t="s">
        <v>51</v>
      </c>
      <c r="Z49" s="2" t="s">
        <v>51</v>
      </c>
      <c r="AA49" s="14"/>
      <c r="AB49" s="2" t="s">
        <v>51</v>
      </c>
    </row>
    <row r="50" spans="1:28" ht="30" customHeight="1">
      <c r="A50" s="8" t="s">
        <v>1331</v>
      </c>
      <c r="B50" s="1178" t="s">
        <v>1329</v>
      </c>
      <c r="C50" s="1178" t="s">
        <v>3587</v>
      </c>
      <c r="D50" s="1179" t="s">
        <v>993</v>
      </c>
      <c r="E50" s="1182">
        <v>700</v>
      </c>
      <c r="F50" s="1181" t="s">
        <v>51</v>
      </c>
      <c r="G50" s="1180">
        <v>860</v>
      </c>
      <c r="H50" s="1181" t="s">
        <v>1974</v>
      </c>
      <c r="I50" s="1180">
        <v>860</v>
      </c>
      <c r="J50" s="1181" t="s">
        <v>1975</v>
      </c>
      <c r="K50" s="1180">
        <v>0</v>
      </c>
      <c r="L50" s="1181" t="s">
        <v>51</v>
      </c>
      <c r="M50" s="1180">
        <v>0</v>
      </c>
      <c r="N50" s="1181" t="s">
        <v>51</v>
      </c>
      <c r="O50" s="1180">
        <f t="shared" si="1"/>
        <v>700</v>
      </c>
      <c r="P50" s="1184">
        <v>0</v>
      </c>
      <c r="Q50" s="1184">
        <v>0</v>
      </c>
      <c r="R50" s="1184">
        <v>0</v>
      </c>
      <c r="S50" s="1184">
        <v>0</v>
      </c>
      <c r="T50" s="1184">
        <v>0</v>
      </c>
      <c r="U50" s="1184">
        <v>0</v>
      </c>
      <c r="V50" s="1184">
        <v>0</v>
      </c>
      <c r="W50" s="1178" t="s">
        <v>1953</v>
      </c>
      <c r="X50" s="1178" t="s">
        <v>51</v>
      </c>
      <c r="Y50" s="2" t="s">
        <v>51</v>
      </c>
      <c r="Z50" s="2" t="s">
        <v>51</v>
      </c>
      <c r="AA50" s="14"/>
      <c r="AB50" s="2" t="s">
        <v>51</v>
      </c>
    </row>
    <row r="51" spans="1:28" ht="30" customHeight="1">
      <c r="A51" s="8" t="s">
        <v>1384</v>
      </c>
      <c r="B51" s="157" t="s">
        <v>1382</v>
      </c>
      <c r="C51" s="157" t="s">
        <v>1383</v>
      </c>
      <c r="D51" s="163" t="s">
        <v>993</v>
      </c>
      <c r="E51" s="164">
        <v>0</v>
      </c>
      <c r="F51" s="165" t="s">
        <v>51</v>
      </c>
      <c r="G51" s="164">
        <v>998</v>
      </c>
      <c r="H51" s="165" t="s">
        <v>1978</v>
      </c>
      <c r="I51" s="164">
        <v>0</v>
      </c>
      <c r="J51" s="165" t="s">
        <v>51</v>
      </c>
      <c r="K51" s="164">
        <v>0</v>
      </c>
      <c r="L51" s="165" t="s">
        <v>51</v>
      </c>
      <c r="M51" s="164">
        <v>0</v>
      </c>
      <c r="N51" s="165" t="s">
        <v>51</v>
      </c>
      <c r="O51" s="164">
        <f t="shared" si="1"/>
        <v>998</v>
      </c>
      <c r="P51" s="166">
        <v>0</v>
      </c>
      <c r="Q51" s="166">
        <v>0</v>
      </c>
      <c r="R51" s="166">
        <v>0</v>
      </c>
      <c r="S51" s="166">
        <v>0</v>
      </c>
      <c r="T51" s="166">
        <v>0</v>
      </c>
      <c r="U51" s="13">
        <v>0</v>
      </c>
      <c r="V51" s="13">
        <v>0</v>
      </c>
      <c r="W51" s="8" t="s">
        <v>1956</v>
      </c>
      <c r="X51" s="8" t="s">
        <v>51</v>
      </c>
      <c r="Y51" s="2" t="s">
        <v>51</v>
      </c>
      <c r="Z51" s="2" t="s">
        <v>51</v>
      </c>
      <c r="AA51" s="14"/>
      <c r="AB51" s="2" t="s">
        <v>51</v>
      </c>
    </row>
    <row r="52" spans="1:28" ht="30" customHeight="1">
      <c r="A52" s="8" t="s">
        <v>1742</v>
      </c>
      <c r="B52" s="157" t="s">
        <v>1740</v>
      </c>
      <c r="C52" s="157" t="s">
        <v>1741</v>
      </c>
      <c r="D52" s="163" t="s">
        <v>59</v>
      </c>
      <c r="E52" s="164">
        <v>0</v>
      </c>
      <c r="F52" s="165" t="s">
        <v>51</v>
      </c>
      <c r="G52" s="164">
        <v>90228</v>
      </c>
      <c r="H52" s="165" t="s">
        <v>1980</v>
      </c>
      <c r="I52" s="164">
        <v>0</v>
      </c>
      <c r="J52" s="165" t="s">
        <v>1981</v>
      </c>
      <c r="K52" s="164">
        <v>0</v>
      </c>
      <c r="L52" s="165" t="s">
        <v>51</v>
      </c>
      <c r="M52" s="164">
        <v>0</v>
      </c>
      <c r="N52" s="165" t="s">
        <v>51</v>
      </c>
      <c r="O52" s="164">
        <f t="shared" si="1"/>
        <v>90228</v>
      </c>
      <c r="P52" s="166">
        <v>0</v>
      </c>
      <c r="Q52" s="166">
        <v>0</v>
      </c>
      <c r="R52" s="166">
        <v>0</v>
      </c>
      <c r="S52" s="166">
        <v>0</v>
      </c>
      <c r="T52" s="166">
        <v>0</v>
      </c>
      <c r="U52" s="13">
        <v>0</v>
      </c>
      <c r="V52" s="13">
        <v>0</v>
      </c>
      <c r="W52" s="8" t="s">
        <v>1957</v>
      </c>
      <c r="X52" s="8" t="s">
        <v>51</v>
      </c>
      <c r="Y52" s="2" t="s">
        <v>51</v>
      </c>
      <c r="Z52" s="2" t="s">
        <v>51</v>
      </c>
      <c r="AA52" s="14"/>
      <c r="AB52" s="2" t="s">
        <v>51</v>
      </c>
    </row>
    <row r="53" spans="1:28" ht="30" customHeight="1">
      <c r="A53" s="8" t="s">
        <v>1327</v>
      </c>
      <c r="B53" s="157" t="s">
        <v>1325</v>
      </c>
      <c r="C53" s="157" t="s">
        <v>1326</v>
      </c>
      <c r="D53" s="163" t="s">
        <v>993</v>
      </c>
      <c r="E53" s="164">
        <v>2450</v>
      </c>
      <c r="F53" s="165" t="s">
        <v>51</v>
      </c>
      <c r="G53" s="164">
        <v>2802</v>
      </c>
      <c r="H53" s="165" t="s">
        <v>1983</v>
      </c>
      <c r="I53" s="164">
        <v>2690</v>
      </c>
      <c r="J53" s="165" t="s">
        <v>1984</v>
      </c>
      <c r="K53" s="164">
        <v>0</v>
      </c>
      <c r="L53" s="165" t="s">
        <v>51</v>
      </c>
      <c r="M53" s="164">
        <v>0</v>
      </c>
      <c r="N53" s="165" t="s">
        <v>51</v>
      </c>
      <c r="O53" s="164">
        <f t="shared" si="1"/>
        <v>2450</v>
      </c>
      <c r="P53" s="166">
        <v>0</v>
      </c>
      <c r="Q53" s="166">
        <v>0</v>
      </c>
      <c r="R53" s="166">
        <v>0</v>
      </c>
      <c r="S53" s="166">
        <v>0</v>
      </c>
      <c r="T53" s="166">
        <v>0</v>
      </c>
      <c r="U53" s="13">
        <v>0</v>
      </c>
      <c r="V53" s="13">
        <v>0</v>
      </c>
      <c r="W53" s="8" t="s">
        <v>1958</v>
      </c>
      <c r="X53" s="8" t="s">
        <v>51</v>
      </c>
      <c r="Y53" s="2" t="s">
        <v>51</v>
      </c>
      <c r="Z53" s="2" t="s">
        <v>51</v>
      </c>
      <c r="AA53" s="14"/>
      <c r="AB53" s="2" t="s">
        <v>51</v>
      </c>
    </row>
    <row r="54" spans="1:28" ht="30" customHeight="1">
      <c r="A54" s="8" t="s">
        <v>1214</v>
      </c>
      <c r="B54" s="157" t="s">
        <v>1211</v>
      </c>
      <c r="C54" s="157" t="s">
        <v>1212</v>
      </c>
      <c r="D54" s="163" t="s">
        <v>1213</v>
      </c>
      <c r="E54" s="164">
        <v>4221</v>
      </c>
      <c r="F54" s="165" t="s">
        <v>51</v>
      </c>
      <c r="G54" s="164">
        <v>0</v>
      </c>
      <c r="H54" s="165" t="s">
        <v>51</v>
      </c>
      <c r="I54" s="164">
        <v>0</v>
      </c>
      <c r="J54" s="165" t="s">
        <v>51</v>
      </c>
      <c r="K54" s="164">
        <v>0</v>
      </c>
      <c r="L54" s="165" t="s">
        <v>51</v>
      </c>
      <c r="M54" s="164">
        <v>0</v>
      </c>
      <c r="N54" s="165" t="s">
        <v>51</v>
      </c>
      <c r="O54" s="164">
        <f t="shared" si="1"/>
        <v>4221</v>
      </c>
      <c r="P54" s="166">
        <v>0</v>
      </c>
      <c r="Q54" s="166">
        <v>0</v>
      </c>
      <c r="R54" s="166">
        <v>0</v>
      </c>
      <c r="S54" s="166">
        <v>0</v>
      </c>
      <c r="T54" s="166">
        <v>0</v>
      </c>
      <c r="U54" s="13">
        <v>0</v>
      </c>
      <c r="V54" s="13">
        <v>0</v>
      </c>
      <c r="W54" s="8" t="s">
        <v>1961</v>
      </c>
      <c r="X54" s="8" t="s">
        <v>51</v>
      </c>
      <c r="Y54" s="2" t="s">
        <v>51</v>
      </c>
      <c r="Z54" s="2" t="s">
        <v>51</v>
      </c>
      <c r="AA54" s="14"/>
      <c r="AB54" s="2" t="s">
        <v>51</v>
      </c>
    </row>
    <row r="55" spans="1:28" ht="30" customHeight="1">
      <c r="A55" s="8" t="s">
        <v>1613</v>
      </c>
      <c r="B55" s="157" t="s">
        <v>1198</v>
      </c>
      <c r="C55" s="157" t="s">
        <v>1612</v>
      </c>
      <c r="D55" s="163" t="s">
        <v>1292</v>
      </c>
      <c r="E55" s="164">
        <v>376675</v>
      </c>
      <c r="F55" s="165" t="s">
        <v>51</v>
      </c>
      <c r="G55" s="164">
        <v>449101.79</v>
      </c>
      <c r="H55" s="165" t="s">
        <v>1987</v>
      </c>
      <c r="I55" s="164">
        <v>389221.55</v>
      </c>
      <c r="J55" s="165" t="s">
        <v>1988</v>
      </c>
      <c r="K55" s="164">
        <v>0</v>
      </c>
      <c r="L55" s="165" t="s">
        <v>51</v>
      </c>
      <c r="M55" s="164">
        <v>0</v>
      </c>
      <c r="N55" s="165" t="s">
        <v>51</v>
      </c>
      <c r="O55" s="164">
        <f t="shared" si="1"/>
        <v>376675</v>
      </c>
      <c r="P55" s="166">
        <v>0</v>
      </c>
      <c r="Q55" s="166">
        <v>0</v>
      </c>
      <c r="R55" s="166">
        <v>0</v>
      </c>
      <c r="S55" s="166">
        <v>0</v>
      </c>
      <c r="T55" s="166">
        <v>0</v>
      </c>
      <c r="U55" s="13">
        <v>0</v>
      </c>
      <c r="V55" s="13">
        <v>0</v>
      </c>
      <c r="W55" s="8" t="s">
        <v>1962</v>
      </c>
      <c r="X55" s="8" t="s">
        <v>51</v>
      </c>
      <c r="Y55" s="2" t="s">
        <v>51</v>
      </c>
      <c r="Z55" s="2" t="s">
        <v>51</v>
      </c>
      <c r="AA55" s="14"/>
      <c r="AB55" s="2" t="s">
        <v>51</v>
      </c>
    </row>
    <row r="56" spans="1:28" ht="30" customHeight="1">
      <c r="A56" s="8" t="s">
        <v>1199</v>
      </c>
      <c r="B56" s="157" t="s">
        <v>3796</v>
      </c>
      <c r="C56" s="157" t="s">
        <v>3795</v>
      </c>
      <c r="D56" s="163" t="s">
        <v>3797</v>
      </c>
      <c r="E56" s="164">
        <v>0</v>
      </c>
      <c r="F56" s="165" t="s">
        <v>51</v>
      </c>
      <c r="G56" s="164">
        <v>4000</v>
      </c>
      <c r="H56" s="165" t="s">
        <v>1990</v>
      </c>
      <c r="I56" s="164">
        <v>0</v>
      </c>
      <c r="J56" s="165" t="s">
        <v>51</v>
      </c>
      <c r="K56" s="164">
        <v>0</v>
      </c>
      <c r="L56" s="165" t="s">
        <v>51</v>
      </c>
      <c r="M56" s="164">
        <v>0</v>
      </c>
      <c r="N56" s="165" t="s">
        <v>51</v>
      </c>
      <c r="O56" s="164">
        <f t="shared" si="1"/>
        <v>4000</v>
      </c>
      <c r="P56" s="166">
        <v>0</v>
      </c>
      <c r="Q56" s="166">
        <v>0</v>
      </c>
      <c r="R56" s="166">
        <v>0</v>
      </c>
      <c r="S56" s="166">
        <v>0</v>
      </c>
      <c r="T56" s="166">
        <v>0</v>
      </c>
      <c r="U56" s="13">
        <v>0</v>
      </c>
      <c r="V56" s="13">
        <v>0</v>
      </c>
      <c r="W56" s="8" t="s">
        <v>1963</v>
      </c>
      <c r="X56" s="8" t="s">
        <v>51</v>
      </c>
      <c r="Y56" s="2" t="s">
        <v>51</v>
      </c>
      <c r="Z56" s="2" t="s">
        <v>51</v>
      </c>
      <c r="AA56" s="14"/>
      <c r="AB56" s="2" t="s">
        <v>51</v>
      </c>
    </row>
    <row r="57" spans="1:28" ht="30" customHeight="1">
      <c r="A57" s="8" t="s">
        <v>1890</v>
      </c>
      <c r="B57" s="157" t="s">
        <v>1286</v>
      </c>
      <c r="C57" s="157" t="s">
        <v>1888</v>
      </c>
      <c r="D57" s="163" t="s">
        <v>993</v>
      </c>
      <c r="E57" s="164">
        <v>0</v>
      </c>
      <c r="F57" s="165" t="s">
        <v>51</v>
      </c>
      <c r="G57" s="164">
        <v>0</v>
      </c>
      <c r="H57" s="165" t="s">
        <v>51</v>
      </c>
      <c r="I57" s="164">
        <v>0</v>
      </c>
      <c r="J57" s="165" t="s">
        <v>51</v>
      </c>
      <c r="K57" s="164">
        <v>0</v>
      </c>
      <c r="L57" s="165" t="s">
        <v>51</v>
      </c>
      <c r="M57" s="164">
        <v>0</v>
      </c>
      <c r="N57" s="165" t="s">
        <v>51</v>
      </c>
      <c r="O57" s="164">
        <v>0</v>
      </c>
      <c r="P57" s="166">
        <v>0</v>
      </c>
      <c r="Q57" s="166">
        <v>0</v>
      </c>
      <c r="R57" s="166">
        <v>0</v>
      </c>
      <c r="S57" s="166">
        <v>0</v>
      </c>
      <c r="T57" s="166">
        <v>0</v>
      </c>
      <c r="U57" s="13">
        <v>0</v>
      </c>
      <c r="V57" s="13">
        <v>0</v>
      </c>
      <c r="W57" s="8" t="s">
        <v>1964</v>
      </c>
      <c r="X57" s="8" t="s">
        <v>1889</v>
      </c>
      <c r="Y57" s="2" t="s">
        <v>51</v>
      </c>
      <c r="Z57" s="2" t="s">
        <v>51</v>
      </c>
      <c r="AA57" s="14"/>
      <c r="AB57" s="2" t="s">
        <v>51</v>
      </c>
    </row>
    <row r="58" spans="1:28" ht="30" customHeight="1">
      <c r="A58" s="8" t="s">
        <v>1288</v>
      </c>
      <c r="B58" s="157" t="s">
        <v>1286</v>
      </c>
      <c r="C58" s="157" t="s">
        <v>1287</v>
      </c>
      <c r="D58" s="163" t="s">
        <v>993</v>
      </c>
      <c r="E58" s="164">
        <v>0</v>
      </c>
      <c r="F58" s="165" t="s">
        <v>51</v>
      </c>
      <c r="G58" s="164">
        <v>0</v>
      </c>
      <c r="H58" s="165" t="s">
        <v>51</v>
      </c>
      <c r="I58" s="164">
        <v>104</v>
      </c>
      <c r="J58" s="165" t="s">
        <v>1942</v>
      </c>
      <c r="K58" s="164">
        <v>0</v>
      </c>
      <c r="L58" s="165" t="s">
        <v>51</v>
      </c>
      <c r="M58" s="164">
        <v>0</v>
      </c>
      <c r="N58" s="165" t="s">
        <v>51</v>
      </c>
      <c r="O58" s="164">
        <f t="shared" ref="O58:O70" si="3">SMALL(E58:M58,COUNTIF(E58:M58,0)+1)</f>
        <v>104</v>
      </c>
      <c r="P58" s="166">
        <v>0</v>
      </c>
      <c r="Q58" s="166">
        <v>0</v>
      </c>
      <c r="R58" s="166">
        <v>0</v>
      </c>
      <c r="S58" s="166">
        <v>0</v>
      </c>
      <c r="T58" s="166">
        <v>0</v>
      </c>
      <c r="U58" s="13">
        <v>0</v>
      </c>
      <c r="V58" s="13">
        <v>0</v>
      </c>
      <c r="W58" s="8" t="s">
        <v>1966</v>
      </c>
      <c r="X58" s="8" t="s">
        <v>51</v>
      </c>
      <c r="Y58" s="2" t="s">
        <v>51</v>
      </c>
      <c r="Z58" s="2" t="s">
        <v>51</v>
      </c>
      <c r="AA58" s="14"/>
      <c r="AB58" s="2" t="s">
        <v>51</v>
      </c>
    </row>
    <row r="59" spans="1:28" ht="30" customHeight="1">
      <c r="A59" s="8"/>
      <c r="B59" s="157" t="s">
        <v>4726</v>
      </c>
      <c r="C59" s="157" t="s">
        <v>4729</v>
      </c>
      <c r="D59" s="163" t="s">
        <v>993</v>
      </c>
      <c r="E59" s="164"/>
      <c r="F59" s="165"/>
      <c r="G59" s="164"/>
      <c r="H59" s="165"/>
      <c r="I59" s="164">
        <v>40000</v>
      </c>
      <c r="J59" s="165">
        <v>109</v>
      </c>
      <c r="K59" s="164"/>
      <c r="L59" s="165"/>
      <c r="M59" s="164"/>
      <c r="N59" s="165"/>
      <c r="O59" s="164">
        <f>I59</f>
        <v>40000</v>
      </c>
      <c r="P59" s="166"/>
      <c r="Q59" s="166"/>
      <c r="R59" s="166"/>
      <c r="S59" s="166"/>
      <c r="T59" s="166"/>
      <c r="U59" s="13"/>
      <c r="V59" s="13"/>
      <c r="W59" s="8" t="s">
        <v>1968</v>
      </c>
      <c r="X59" s="8"/>
      <c r="Y59" s="2"/>
      <c r="Z59" s="2"/>
      <c r="AA59" s="14"/>
      <c r="AB59" s="2"/>
    </row>
    <row r="60" spans="1:28" ht="30" customHeight="1">
      <c r="A60" s="8" t="s">
        <v>1116</v>
      </c>
      <c r="B60" s="157" t="s">
        <v>1114</v>
      </c>
      <c r="C60" s="157" t="s">
        <v>1115</v>
      </c>
      <c r="D60" s="163" t="s">
        <v>204</v>
      </c>
      <c r="E60" s="164">
        <v>0</v>
      </c>
      <c r="F60" s="165" t="s">
        <v>51</v>
      </c>
      <c r="G60" s="164">
        <v>0</v>
      </c>
      <c r="H60" s="165" t="s">
        <v>51</v>
      </c>
      <c r="I60" s="164">
        <v>1960</v>
      </c>
      <c r="J60" s="165" t="s">
        <v>1994</v>
      </c>
      <c r="K60" s="164">
        <v>0</v>
      </c>
      <c r="L60" s="165" t="s">
        <v>51</v>
      </c>
      <c r="M60" s="164">
        <v>0</v>
      </c>
      <c r="N60" s="165" t="s">
        <v>51</v>
      </c>
      <c r="O60" s="164">
        <f t="shared" si="3"/>
        <v>1960</v>
      </c>
      <c r="P60" s="166">
        <v>0</v>
      </c>
      <c r="Q60" s="166">
        <v>0</v>
      </c>
      <c r="R60" s="166">
        <v>0</v>
      </c>
      <c r="S60" s="166">
        <v>0</v>
      </c>
      <c r="T60" s="166">
        <v>0</v>
      </c>
      <c r="U60" s="13">
        <v>0</v>
      </c>
      <c r="V60" s="13">
        <v>0</v>
      </c>
      <c r="W60" s="8" t="s">
        <v>1969</v>
      </c>
      <c r="X60" s="8" t="s">
        <v>51</v>
      </c>
      <c r="Y60" s="2" t="s">
        <v>51</v>
      </c>
      <c r="Z60" s="2" t="s">
        <v>51</v>
      </c>
      <c r="AA60" s="14"/>
      <c r="AB60" s="2" t="s">
        <v>51</v>
      </c>
    </row>
    <row r="61" spans="1:28" ht="30" customHeight="1">
      <c r="A61" s="8" t="s">
        <v>1667</v>
      </c>
      <c r="B61" s="1178" t="s">
        <v>1665</v>
      </c>
      <c r="C61" s="1178" t="s">
        <v>6837</v>
      </c>
      <c r="D61" s="1179" t="s">
        <v>59</v>
      </c>
      <c r="E61" s="1180">
        <v>0</v>
      </c>
      <c r="F61" s="1181" t="s">
        <v>51</v>
      </c>
      <c r="G61" s="1180">
        <v>47850</v>
      </c>
      <c r="H61" s="1181" t="s">
        <v>1996</v>
      </c>
      <c r="I61" s="1180">
        <v>47850</v>
      </c>
      <c r="J61" s="1181" t="s">
        <v>1997</v>
      </c>
      <c r="K61" s="1182">
        <v>32000</v>
      </c>
      <c r="L61" s="1183" t="s">
        <v>6741</v>
      </c>
      <c r="M61" s="1180">
        <v>0</v>
      </c>
      <c r="N61" s="1181" t="s">
        <v>51</v>
      </c>
      <c r="O61" s="1180">
        <f t="shared" si="3"/>
        <v>32000</v>
      </c>
      <c r="P61" s="1184">
        <v>0</v>
      </c>
      <c r="Q61" s="1184">
        <v>0</v>
      </c>
      <c r="R61" s="1184">
        <v>0</v>
      </c>
      <c r="S61" s="1184">
        <v>0</v>
      </c>
      <c r="T61" s="1184">
        <v>0</v>
      </c>
      <c r="U61" s="1184">
        <v>0</v>
      </c>
      <c r="V61" s="1184">
        <v>0</v>
      </c>
      <c r="W61" s="1178" t="s">
        <v>1971</v>
      </c>
      <c r="X61" s="1178" t="s">
        <v>51</v>
      </c>
      <c r="Y61" s="2" t="s">
        <v>51</v>
      </c>
      <c r="Z61" s="2" t="s">
        <v>51</v>
      </c>
      <c r="AA61" s="14"/>
      <c r="AB61" s="2" t="s">
        <v>51</v>
      </c>
    </row>
    <row r="62" spans="1:28" ht="30" customHeight="1">
      <c r="A62" s="8" t="s">
        <v>1141</v>
      </c>
      <c r="B62" s="157" t="s">
        <v>1139</v>
      </c>
      <c r="C62" s="157" t="s">
        <v>1140</v>
      </c>
      <c r="D62" s="163" t="s">
        <v>59</v>
      </c>
      <c r="E62" s="164">
        <v>0</v>
      </c>
      <c r="F62" s="165" t="s">
        <v>51</v>
      </c>
      <c r="G62" s="164">
        <v>0</v>
      </c>
      <c r="H62" s="165" t="s">
        <v>51</v>
      </c>
      <c r="I62" s="164">
        <v>45000</v>
      </c>
      <c r="J62" s="165" t="s">
        <v>1999</v>
      </c>
      <c r="K62" s="164">
        <v>0</v>
      </c>
      <c r="L62" s="165" t="s">
        <v>51</v>
      </c>
      <c r="M62" s="164">
        <v>0</v>
      </c>
      <c r="N62" s="165" t="s">
        <v>51</v>
      </c>
      <c r="O62" s="164">
        <f t="shared" si="3"/>
        <v>45000</v>
      </c>
      <c r="P62" s="166">
        <v>0</v>
      </c>
      <c r="Q62" s="166">
        <v>0</v>
      </c>
      <c r="R62" s="166">
        <v>0</v>
      </c>
      <c r="S62" s="166">
        <v>0</v>
      </c>
      <c r="T62" s="166">
        <v>0</v>
      </c>
      <c r="U62" s="13">
        <v>0</v>
      </c>
      <c r="V62" s="13">
        <v>0</v>
      </c>
      <c r="W62" s="8" t="s">
        <v>1973</v>
      </c>
      <c r="X62" s="8" t="s">
        <v>51</v>
      </c>
      <c r="Y62" s="2" t="s">
        <v>51</v>
      </c>
      <c r="Z62" s="2" t="s">
        <v>51</v>
      </c>
      <c r="AA62" s="14"/>
      <c r="AB62" s="2" t="s">
        <v>51</v>
      </c>
    </row>
    <row r="63" spans="1:28" ht="30" customHeight="1">
      <c r="A63" s="8" t="s">
        <v>648</v>
      </c>
      <c r="B63" s="157" t="s">
        <v>647</v>
      </c>
      <c r="C63" s="157" t="s">
        <v>208</v>
      </c>
      <c r="D63" s="163" t="s">
        <v>59</v>
      </c>
      <c r="E63" s="164">
        <v>0</v>
      </c>
      <c r="F63" s="165" t="s">
        <v>51</v>
      </c>
      <c r="G63" s="164">
        <v>15000</v>
      </c>
      <c r="H63" s="165" t="s">
        <v>2001</v>
      </c>
      <c r="I63" s="164">
        <v>0</v>
      </c>
      <c r="J63" s="165" t="s">
        <v>51</v>
      </c>
      <c r="K63" s="164">
        <v>0</v>
      </c>
      <c r="L63" s="165" t="s">
        <v>51</v>
      </c>
      <c r="M63" s="164">
        <v>0</v>
      </c>
      <c r="N63" s="165" t="s">
        <v>51</v>
      </c>
      <c r="O63" s="164">
        <f t="shared" si="3"/>
        <v>15000</v>
      </c>
      <c r="P63" s="166">
        <v>12000</v>
      </c>
      <c r="Q63" s="166">
        <v>0</v>
      </c>
      <c r="R63" s="166">
        <v>0</v>
      </c>
      <c r="S63" s="166">
        <v>0</v>
      </c>
      <c r="T63" s="166">
        <v>0</v>
      </c>
      <c r="U63" s="13">
        <v>0</v>
      </c>
      <c r="V63" s="13">
        <v>0</v>
      </c>
      <c r="W63" s="8" t="s">
        <v>1976</v>
      </c>
      <c r="X63" s="8" t="s">
        <v>51</v>
      </c>
      <c r="Y63" s="2" t="s">
        <v>51</v>
      </c>
      <c r="Z63" s="2" t="s">
        <v>51</v>
      </c>
      <c r="AA63" s="14"/>
      <c r="AB63" s="2" t="s">
        <v>51</v>
      </c>
    </row>
    <row r="64" spans="1:28" ht="30" customHeight="1">
      <c r="A64" s="8" t="s">
        <v>1427</v>
      </c>
      <c r="B64" s="157" t="s">
        <v>1425</v>
      </c>
      <c r="C64" s="157" t="s">
        <v>1426</v>
      </c>
      <c r="D64" s="163" t="s">
        <v>59</v>
      </c>
      <c r="E64" s="164">
        <v>0</v>
      </c>
      <c r="F64" s="165" t="s">
        <v>51</v>
      </c>
      <c r="G64" s="164">
        <v>40000</v>
      </c>
      <c r="H64" s="165" t="s">
        <v>2003</v>
      </c>
      <c r="I64" s="164">
        <v>0</v>
      </c>
      <c r="J64" s="165" t="s">
        <v>51</v>
      </c>
      <c r="K64" s="164">
        <v>0</v>
      </c>
      <c r="L64" s="165" t="s">
        <v>51</v>
      </c>
      <c r="M64" s="164">
        <v>0</v>
      </c>
      <c r="N64" s="165" t="s">
        <v>51</v>
      </c>
      <c r="O64" s="164">
        <f t="shared" si="3"/>
        <v>40000</v>
      </c>
      <c r="P64" s="166">
        <v>0</v>
      </c>
      <c r="Q64" s="166">
        <v>0</v>
      </c>
      <c r="R64" s="166">
        <v>0</v>
      </c>
      <c r="S64" s="166">
        <v>0</v>
      </c>
      <c r="T64" s="166">
        <v>0</v>
      </c>
      <c r="U64" s="13">
        <v>0</v>
      </c>
      <c r="V64" s="13">
        <v>0</v>
      </c>
      <c r="W64" s="8" t="s">
        <v>1977</v>
      </c>
      <c r="X64" s="8" t="s">
        <v>51</v>
      </c>
      <c r="Y64" s="2" t="s">
        <v>51</v>
      </c>
      <c r="Z64" s="2" t="s">
        <v>51</v>
      </c>
      <c r="AA64" s="14"/>
      <c r="AB64" s="2" t="s">
        <v>51</v>
      </c>
    </row>
    <row r="65" spans="1:28" ht="30" customHeight="1">
      <c r="A65" s="8" t="s">
        <v>1157</v>
      </c>
      <c r="B65" s="157" t="s">
        <v>185</v>
      </c>
      <c r="C65" s="157" t="s">
        <v>1156</v>
      </c>
      <c r="D65" s="163" t="s">
        <v>59</v>
      </c>
      <c r="E65" s="164">
        <v>1920</v>
      </c>
      <c r="F65" s="165" t="s">
        <v>51</v>
      </c>
      <c r="G65" s="164">
        <v>2580.2399999999998</v>
      </c>
      <c r="H65" s="165" t="s">
        <v>2005</v>
      </c>
      <c r="I65" s="164">
        <v>2037.03</v>
      </c>
      <c r="J65" s="165" t="s">
        <v>2006</v>
      </c>
      <c r="K65" s="164">
        <v>0</v>
      </c>
      <c r="L65" s="165" t="s">
        <v>51</v>
      </c>
      <c r="M65" s="164">
        <v>0</v>
      </c>
      <c r="N65" s="165" t="s">
        <v>51</v>
      </c>
      <c r="O65" s="164">
        <f t="shared" si="3"/>
        <v>1920</v>
      </c>
      <c r="P65" s="166">
        <v>0</v>
      </c>
      <c r="Q65" s="166">
        <v>0</v>
      </c>
      <c r="R65" s="166">
        <v>0</v>
      </c>
      <c r="S65" s="166">
        <v>0</v>
      </c>
      <c r="T65" s="166">
        <v>0</v>
      </c>
      <c r="U65" s="13">
        <v>0</v>
      </c>
      <c r="V65" s="13">
        <v>0</v>
      </c>
      <c r="W65" s="8" t="s">
        <v>1979</v>
      </c>
      <c r="X65" s="8" t="s">
        <v>51</v>
      </c>
      <c r="Y65" s="2" t="s">
        <v>51</v>
      </c>
      <c r="Z65" s="2" t="s">
        <v>51</v>
      </c>
      <c r="AA65" s="14"/>
      <c r="AB65" s="2" t="s">
        <v>51</v>
      </c>
    </row>
    <row r="66" spans="1:28" ht="30" customHeight="1">
      <c r="A66" s="8" t="s">
        <v>1163</v>
      </c>
      <c r="B66" s="157" t="s">
        <v>185</v>
      </c>
      <c r="C66" s="157" t="s">
        <v>1162</v>
      </c>
      <c r="D66" s="163" t="s">
        <v>59</v>
      </c>
      <c r="E66" s="164">
        <v>2440</v>
      </c>
      <c r="F66" s="165" t="s">
        <v>51</v>
      </c>
      <c r="G66" s="164">
        <v>3469.13</v>
      </c>
      <c r="H66" s="165" t="s">
        <v>2005</v>
      </c>
      <c r="I66" s="164">
        <v>2592.59</v>
      </c>
      <c r="J66" s="165" t="s">
        <v>2006</v>
      </c>
      <c r="K66" s="164">
        <v>0</v>
      </c>
      <c r="L66" s="165" t="s">
        <v>51</v>
      </c>
      <c r="M66" s="164">
        <v>0</v>
      </c>
      <c r="N66" s="165" t="s">
        <v>51</v>
      </c>
      <c r="O66" s="164">
        <f t="shared" si="3"/>
        <v>2440</v>
      </c>
      <c r="P66" s="166">
        <v>0</v>
      </c>
      <c r="Q66" s="166">
        <v>0</v>
      </c>
      <c r="R66" s="166">
        <v>0</v>
      </c>
      <c r="S66" s="166">
        <v>0</v>
      </c>
      <c r="T66" s="166">
        <v>0</v>
      </c>
      <c r="U66" s="13">
        <v>0</v>
      </c>
      <c r="V66" s="13">
        <v>0</v>
      </c>
      <c r="W66" s="8" t="s">
        <v>1982</v>
      </c>
      <c r="X66" s="8" t="s">
        <v>51</v>
      </c>
      <c r="Y66" s="2" t="s">
        <v>51</v>
      </c>
      <c r="Z66" s="2" t="s">
        <v>51</v>
      </c>
      <c r="AA66" s="14"/>
      <c r="AB66" s="2" t="s">
        <v>51</v>
      </c>
    </row>
    <row r="67" spans="1:28" ht="30" customHeight="1">
      <c r="A67" s="8" t="s">
        <v>1149</v>
      </c>
      <c r="B67" s="157" t="s">
        <v>185</v>
      </c>
      <c r="C67" s="157" t="s">
        <v>3217</v>
      </c>
      <c r="D67" s="163" t="s">
        <v>59</v>
      </c>
      <c r="E67" s="164">
        <v>3337</v>
      </c>
      <c r="F67" s="165" t="s">
        <v>51</v>
      </c>
      <c r="G67" s="164">
        <v>4425.92</v>
      </c>
      <c r="H67" s="165" t="s">
        <v>2009</v>
      </c>
      <c r="I67" s="164">
        <v>3925.92</v>
      </c>
      <c r="J67" s="165" t="s">
        <v>2006</v>
      </c>
      <c r="K67" s="164">
        <v>0</v>
      </c>
      <c r="L67" s="165" t="s">
        <v>51</v>
      </c>
      <c r="M67" s="164">
        <v>0</v>
      </c>
      <c r="N67" s="165" t="s">
        <v>51</v>
      </c>
      <c r="O67" s="164">
        <f t="shared" si="3"/>
        <v>3337</v>
      </c>
      <c r="P67" s="166">
        <v>0</v>
      </c>
      <c r="Q67" s="166">
        <v>0</v>
      </c>
      <c r="R67" s="166">
        <v>0</v>
      </c>
      <c r="S67" s="166">
        <v>0</v>
      </c>
      <c r="T67" s="166">
        <v>0</v>
      </c>
      <c r="U67" s="166">
        <v>0</v>
      </c>
      <c r="V67" s="166">
        <v>0</v>
      </c>
      <c r="W67" s="157" t="s">
        <v>1985</v>
      </c>
      <c r="X67" s="157" t="s">
        <v>51</v>
      </c>
      <c r="Y67" s="2" t="s">
        <v>51</v>
      </c>
      <c r="Z67" s="2" t="s">
        <v>51</v>
      </c>
      <c r="AA67" s="14"/>
      <c r="AB67" s="2" t="s">
        <v>51</v>
      </c>
    </row>
    <row r="68" spans="1:28" ht="30" customHeight="1">
      <c r="A68" s="8" t="s">
        <v>1350</v>
      </c>
      <c r="B68" s="157" t="s">
        <v>185</v>
      </c>
      <c r="C68" s="157" t="s">
        <v>3216</v>
      </c>
      <c r="D68" s="163" t="s">
        <v>59</v>
      </c>
      <c r="E68" s="164">
        <v>4412</v>
      </c>
      <c r="F68" s="165" t="s">
        <v>51</v>
      </c>
      <c r="G68" s="164">
        <v>5839.5</v>
      </c>
      <c r="H68" s="165" t="s">
        <v>2009</v>
      </c>
      <c r="I68" s="164">
        <v>5209.87</v>
      </c>
      <c r="J68" s="165" t="s">
        <v>2006</v>
      </c>
      <c r="K68" s="164">
        <v>0</v>
      </c>
      <c r="L68" s="165" t="s">
        <v>51</v>
      </c>
      <c r="M68" s="164">
        <v>3337</v>
      </c>
      <c r="N68" s="165" t="s">
        <v>6691</v>
      </c>
      <c r="O68" s="164">
        <f t="shared" si="3"/>
        <v>3337</v>
      </c>
      <c r="P68" s="166">
        <v>0</v>
      </c>
      <c r="Q68" s="166">
        <v>0</v>
      </c>
      <c r="R68" s="166">
        <v>0</v>
      </c>
      <c r="S68" s="166">
        <v>0</v>
      </c>
      <c r="T68" s="166">
        <v>0</v>
      </c>
      <c r="U68" s="13">
        <v>0</v>
      </c>
      <c r="V68" s="13">
        <v>0</v>
      </c>
      <c r="W68" s="8" t="s">
        <v>1986</v>
      </c>
      <c r="X68" s="8" t="s">
        <v>51</v>
      </c>
      <c r="Y68" s="2" t="s">
        <v>51</v>
      </c>
      <c r="Z68" s="2" t="s">
        <v>51</v>
      </c>
      <c r="AA68" s="14"/>
      <c r="AB68" s="2" t="s">
        <v>51</v>
      </c>
    </row>
    <row r="69" spans="1:28" ht="30" customHeight="1">
      <c r="A69" s="8" t="s">
        <v>1573</v>
      </c>
      <c r="B69" s="157" t="s">
        <v>1553</v>
      </c>
      <c r="C69" s="157" t="s">
        <v>1572</v>
      </c>
      <c r="D69" s="163" t="s">
        <v>204</v>
      </c>
      <c r="E69" s="164">
        <v>0</v>
      </c>
      <c r="F69" s="165" t="s">
        <v>51</v>
      </c>
      <c r="G69" s="164">
        <v>0</v>
      </c>
      <c r="H69" s="165" t="s">
        <v>51</v>
      </c>
      <c r="I69" s="164">
        <v>620</v>
      </c>
      <c r="J69" s="165" t="s">
        <v>2012</v>
      </c>
      <c r="K69" s="164">
        <v>0</v>
      </c>
      <c r="L69" s="165" t="s">
        <v>51</v>
      </c>
      <c r="M69" s="1176">
        <v>620</v>
      </c>
      <c r="N69" s="1177" t="s">
        <v>6671</v>
      </c>
      <c r="O69" s="164">
        <f t="shared" si="3"/>
        <v>620</v>
      </c>
      <c r="P69" s="166">
        <v>0</v>
      </c>
      <c r="Q69" s="166">
        <v>0</v>
      </c>
      <c r="R69" s="166">
        <v>0</v>
      </c>
      <c r="S69" s="166">
        <v>0</v>
      </c>
      <c r="T69" s="166">
        <v>0</v>
      </c>
      <c r="U69" s="13">
        <v>0</v>
      </c>
      <c r="V69" s="13">
        <v>0</v>
      </c>
      <c r="W69" s="8" t="s">
        <v>1989</v>
      </c>
      <c r="X69" s="8" t="s">
        <v>51</v>
      </c>
      <c r="Y69" s="2" t="s">
        <v>51</v>
      </c>
      <c r="Z69" s="2" t="s">
        <v>51</v>
      </c>
      <c r="AA69" s="14"/>
      <c r="AB69" s="2" t="s">
        <v>51</v>
      </c>
    </row>
    <row r="70" spans="1:28" ht="30" customHeight="1">
      <c r="A70" s="8" t="s">
        <v>1555</v>
      </c>
      <c r="B70" s="1178" t="s">
        <v>1553</v>
      </c>
      <c r="C70" s="1178" t="s">
        <v>1554</v>
      </c>
      <c r="D70" s="1179" t="s">
        <v>140</v>
      </c>
      <c r="E70" s="1180">
        <v>0</v>
      </c>
      <c r="F70" s="1181" t="s">
        <v>51</v>
      </c>
      <c r="G70" s="1180">
        <v>1500</v>
      </c>
      <c r="H70" s="1181" t="s">
        <v>6547</v>
      </c>
      <c r="I70" s="1180">
        <v>0</v>
      </c>
      <c r="J70" s="1181" t="s">
        <v>51</v>
      </c>
      <c r="K70" s="1180">
        <v>0</v>
      </c>
      <c r="L70" s="1181" t="s">
        <v>51</v>
      </c>
      <c r="M70" s="1182">
        <v>690</v>
      </c>
      <c r="N70" s="1183" t="s">
        <v>6670</v>
      </c>
      <c r="O70" s="1180">
        <f t="shared" si="3"/>
        <v>690</v>
      </c>
      <c r="P70" s="1184">
        <v>0</v>
      </c>
      <c r="Q70" s="1184">
        <v>0</v>
      </c>
      <c r="R70" s="1184">
        <v>0</v>
      </c>
      <c r="S70" s="1184">
        <v>0</v>
      </c>
      <c r="T70" s="1184">
        <v>0</v>
      </c>
      <c r="U70" s="1184">
        <v>0</v>
      </c>
      <c r="V70" s="1184">
        <v>0</v>
      </c>
      <c r="W70" s="1178" t="s">
        <v>1991</v>
      </c>
      <c r="X70" s="1178" t="s">
        <v>51</v>
      </c>
      <c r="Y70" s="2" t="s">
        <v>51</v>
      </c>
      <c r="Z70" s="2" t="s">
        <v>51</v>
      </c>
      <c r="AA70" s="14"/>
      <c r="AB70" s="2" t="s">
        <v>51</v>
      </c>
    </row>
    <row r="71" spans="1:28" ht="30" customHeight="1">
      <c r="A71" s="8" t="s">
        <v>1558</v>
      </c>
      <c r="B71" s="1178" t="s">
        <v>1553</v>
      </c>
      <c r="C71" s="1178" t="s">
        <v>1557</v>
      </c>
      <c r="D71" s="1179" t="s">
        <v>204</v>
      </c>
      <c r="E71" s="1180">
        <v>0</v>
      </c>
      <c r="F71" s="1181" t="s">
        <v>51</v>
      </c>
      <c r="G71" s="1180">
        <v>5950</v>
      </c>
      <c r="H71" s="1181" t="s">
        <v>2015</v>
      </c>
      <c r="I71" s="1180">
        <v>0</v>
      </c>
      <c r="J71" s="1181" t="s">
        <v>51</v>
      </c>
      <c r="K71" s="1180">
        <v>0</v>
      </c>
      <c r="L71" s="1181" t="s">
        <v>51</v>
      </c>
      <c r="M71" s="1182">
        <v>750</v>
      </c>
      <c r="N71" s="1183" t="s">
        <v>6672</v>
      </c>
      <c r="O71" s="1180">
        <f>SMALL(E71:M71,COUNTIF(E71:M71,0)+1)</f>
        <v>750</v>
      </c>
      <c r="P71" s="1184">
        <v>0</v>
      </c>
      <c r="Q71" s="1184">
        <v>0</v>
      </c>
      <c r="R71" s="1184">
        <v>0</v>
      </c>
      <c r="S71" s="1184">
        <v>0</v>
      </c>
      <c r="T71" s="1184">
        <v>0</v>
      </c>
      <c r="U71" s="1184">
        <v>0</v>
      </c>
      <c r="V71" s="1184">
        <v>0</v>
      </c>
      <c r="W71" s="1178" t="s">
        <v>1992</v>
      </c>
      <c r="X71" s="1178" t="s">
        <v>51</v>
      </c>
      <c r="Y71" s="2" t="s">
        <v>51</v>
      </c>
      <c r="Z71" s="2" t="s">
        <v>51</v>
      </c>
      <c r="AA71" s="14"/>
      <c r="AB71" s="2" t="s">
        <v>51</v>
      </c>
    </row>
    <row r="72" spans="1:28" ht="30" customHeight="1">
      <c r="A72" s="8" t="s">
        <v>1561</v>
      </c>
      <c r="B72" s="1178" t="s">
        <v>1553</v>
      </c>
      <c r="C72" s="1178" t="s">
        <v>1560</v>
      </c>
      <c r="D72" s="1179" t="s">
        <v>204</v>
      </c>
      <c r="E72" s="1180">
        <v>0</v>
      </c>
      <c r="F72" s="1181" t="s">
        <v>51</v>
      </c>
      <c r="G72" s="1180">
        <v>1250</v>
      </c>
      <c r="H72" s="1181" t="s">
        <v>6547</v>
      </c>
      <c r="I72" s="1180">
        <v>0</v>
      </c>
      <c r="J72" s="1181" t="s">
        <v>51</v>
      </c>
      <c r="K72" s="1180">
        <v>0</v>
      </c>
      <c r="L72" s="1181" t="s">
        <v>51</v>
      </c>
      <c r="M72" s="1182">
        <v>550</v>
      </c>
      <c r="N72" s="1183" t="s">
        <v>6672</v>
      </c>
      <c r="O72" s="1180">
        <f t="shared" ref="O72:O73" si="4">SMALL(E72:M72,COUNTIF(E72:M72,0)+1)</f>
        <v>550</v>
      </c>
      <c r="P72" s="1184">
        <v>0</v>
      </c>
      <c r="Q72" s="1184">
        <v>0</v>
      </c>
      <c r="R72" s="1184">
        <v>0</v>
      </c>
      <c r="S72" s="1184">
        <v>0</v>
      </c>
      <c r="T72" s="1184">
        <v>0</v>
      </c>
      <c r="U72" s="1184">
        <v>0</v>
      </c>
      <c r="V72" s="1184">
        <v>0</v>
      </c>
      <c r="W72" s="1178" t="s">
        <v>1993</v>
      </c>
      <c r="X72" s="1178" t="s">
        <v>51</v>
      </c>
      <c r="Y72" s="2" t="s">
        <v>51</v>
      </c>
      <c r="Z72" s="2" t="s">
        <v>51</v>
      </c>
      <c r="AA72" s="14"/>
      <c r="AB72" s="2" t="s">
        <v>51</v>
      </c>
    </row>
    <row r="73" spans="1:28" ht="30" customHeight="1">
      <c r="A73" s="8" t="s">
        <v>1564</v>
      </c>
      <c r="B73" s="1178" t="s">
        <v>1553</v>
      </c>
      <c r="C73" s="1178" t="s">
        <v>6838</v>
      </c>
      <c r="D73" s="1179" t="s">
        <v>377</v>
      </c>
      <c r="E73" s="1180">
        <v>0</v>
      </c>
      <c r="F73" s="1181" t="s">
        <v>51</v>
      </c>
      <c r="G73" s="1180">
        <v>500</v>
      </c>
      <c r="H73" s="1181" t="s">
        <v>6547</v>
      </c>
      <c r="I73" s="1180">
        <v>0</v>
      </c>
      <c r="J73" s="1181" t="s">
        <v>51</v>
      </c>
      <c r="K73" s="1180">
        <v>0</v>
      </c>
      <c r="L73" s="1181" t="s">
        <v>51</v>
      </c>
      <c r="M73" s="1182">
        <v>250</v>
      </c>
      <c r="N73" s="1183" t="s">
        <v>6673</v>
      </c>
      <c r="O73" s="1180">
        <f t="shared" si="4"/>
        <v>250</v>
      </c>
      <c r="P73" s="1184">
        <v>0</v>
      </c>
      <c r="Q73" s="1184">
        <v>0</v>
      </c>
      <c r="R73" s="1184">
        <v>0</v>
      </c>
      <c r="S73" s="1184">
        <v>0</v>
      </c>
      <c r="T73" s="1184">
        <v>0</v>
      </c>
      <c r="U73" s="1184">
        <v>0</v>
      </c>
      <c r="V73" s="1184">
        <v>0</v>
      </c>
      <c r="W73" s="1178" t="s">
        <v>1995</v>
      </c>
      <c r="X73" s="1178" t="s">
        <v>51</v>
      </c>
      <c r="Y73" s="2" t="s">
        <v>51</v>
      </c>
      <c r="Z73" s="2" t="s">
        <v>51</v>
      </c>
      <c r="AA73" s="14"/>
      <c r="AB73" s="2" t="s">
        <v>51</v>
      </c>
    </row>
    <row r="74" spans="1:28" ht="30" customHeight="1">
      <c r="A74" s="8" t="s">
        <v>1567</v>
      </c>
      <c r="B74" s="157" t="s">
        <v>1553</v>
      </c>
      <c r="C74" s="157" t="s">
        <v>1566</v>
      </c>
      <c r="D74" s="163" t="s">
        <v>377</v>
      </c>
      <c r="E74" s="164">
        <v>111</v>
      </c>
      <c r="F74" s="165" t="s">
        <v>51</v>
      </c>
      <c r="G74" s="164">
        <v>0</v>
      </c>
      <c r="H74" s="165" t="s">
        <v>51</v>
      </c>
      <c r="I74" s="164">
        <v>0</v>
      </c>
      <c r="J74" s="165" t="s">
        <v>51</v>
      </c>
      <c r="K74" s="164">
        <v>0</v>
      </c>
      <c r="L74" s="165" t="s">
        <v>51</v>
      </c>
      <c r="M74" s="164"/>
      <c r="N74" s="165" t="s">
        <v>51</v>
      </c>
      <c r="O74" s="164">
        <f>SMALL(E74:M74,COUNTIF(E74:M74,0)+1)</f>
        <v>111</v>
      </c>
      <c r="P74" s="166">
        <v>0</v>
      </c>
      <c r="Q74" s="166">
        <v>0</v>
      </c>
      <c r="R74" s="166">
        <v>0</v>
      </c>
      <c r="S74" s="166">
        <v>0</v>
      </c>
      <c r="T74" s="166">
        <v>0</v>
      </c>
      <c r="U74" s="13">
        <v>0</v>
      </c>
      <c r="V74" s="13">
        <v>0</v>
      </c>
      <c r="W74" s="8" t="s">
        <v>1998</v>
      </c>
      <c r="X74" s="8" t="s">
        <v>51</v>
      </c>
      <c r="Y74" s="2" t="s">
        <v>51</v>
      </c>
      <c r="Z74" s="2" t="s">
        <v>51</v>
      </c>
      <c r="AA74" s="14"/>
      <c r="AB74" s="2" t="s">
        <v>51</v>
      </c>
    </row>
    <row r="75" spans="1:28" ht="30" customHeight="1">
      <c r="A75" s="8" t="s">
        <v>1570</v>
      </c>
      <c r="B75" s="157" t="s">
        <v>1553</v>
      </c>
      <c r="C75" s="157" t="s">
        <v>1569</v>
      </c>
      <c r="D75" s="163" t="s">
        <v>377</v>
      </c>
      <c r="E75" s="164">
        <v>107</v>
      </c>
      <c r="F75" s="165" t="s">
        <v>51</v>
      </c>
      <c r="G75" s="164">
        <v>0</v>
      </c>
      <c r="H75" s="165" t="s">
        <v>51</v>
      </c>
      <c r="I75" s="164">
        <v>0</v>
      </c>
      <c r="J75" s="165" t="s">
        <v>51</v>
      </c>
      <c r="K75" s="164">
        <v>0</v>
      </c>
      <c r="L75" s="165" t="s">
        <v>51</v>
      </c>
      <c r="M75" s="164"/>
      <c r="N75" s="165" t="s">
        <v>51</v>
      </c>
      <c r="O75" s="164">
        <f>SMALL(E75:M75,COUNTIF(E75:M75,0)+1)</f>
        <v>107</v>
      </c>
      <c r="P75" s="166">
        <v>0</v>
      </c>
      <c r="Q75" s="166">
        <v>0</v>
      </c>
      <c r="R75" s="166">
        <v>0</v>
      </c>
      <c r="S75" s="166">
        <v>0</v>
      </c>
      <c r="T75" s="166">
        <v>0</v>
      </c>
      <c r="U75" s="13">
        <v>0</v>
      </c>
      <c r="V75" s="13">
        <v>0</v>
      </c>
      <c r="W75" s="8" t="s">
        <v>2000</v>
      </c>
      <c r="X75" s="8" t="s">
        <v>51</v>
      </c>
      <c r="Y75" s="2" t="s">
        <v>51</v>
      </c>
      <c r="Z75" s="2" t="s">
        <v>51</v>
      </c>
      <c r="AA75" s="14"/>
      <c r="AB75" s="2" t="s">
        <v>51</v>
      </c>
    </row>
    <row r="76" spans="1:28" ht="30" customHeight="1">
      <c r="A76" s="8" t="s">
        <v>1576</v>
      </c>
      <c r="B76" s="157" t="s">
        <v>1553</v>
      </c>
      <c r="C76" s="157" t="s">
        <v>1575</v>
      </c>
      <c r="D76" s="163" t="s">
        <v>140</v>
      </c>
      <c r="E76" s="164">
        <v>60</v>
      </c>
      <c r="F76" s="165" t="s">
        <v>51</v>
      </c>
      <c r="G76" s="164">
        <v>0</v>
      </c>
      <c r="H76" s="165" t="s">
        <v>51</v>
      </c>
      <c r="I76" s="164">
        <v>0</v>
      </c>
      <c r="J76" s="165" t="s">
        <v>51</v>
      </c>
      <c r="K76" s="164">
        <v>0</v>
      </c>
      <c r="L76" s="165" t="s">
        <v>51</v>
      </c>
      <c r="M76" s="164"/>
      <c r="N76" s="165" t="s">
        <v>51</v>
      </c>
      <c r="O76" s="164">
        <f>SMALL(E76:M76,COUNTIF(E76:M76,0)+1)</f>
        <v>60</v>
      </c>
      <c r="P76" s="166">
        <v>0</v>
      </c>
      <c r="Q76" s="166">
        <v>0</v>
      </c>
      <c r="R76" s="166">
        <v>0</v>
      </c>
      <c r="S76" s="166">
        <v>0</v>
      </c>
      <c r="T76" s="166">
        <v>0</v>
      </c>
      <c r="U76" s="13">
        <v>0</v>
      </c>
      <c r="V76" s="13">
        <v>0</v>
      </c>
      <c r="W76" s="8" t="s">
        <v>2002</v>
      </c>
      <c r="X76" s="8" t="s">
        <v>51</v>
      </c>
      <c r="Y76" s="2" t="s">
        <v>51</v>
      </c>
      <c r="Z76" s="2" t="s">
        <v>51</v>
      </c>
      <c r="AA76" s="14"/>
      <c r="AB76" s="2" t="s">
        <v>51</v>
      </c>
    </row>
    <row r="77" spans="1:28" ht="30" customHeight="1">
      <c r="A77" s="8" t="s">
        <v>1579</v>
      </c>
      <c r="B77" s="157" t="s">
        <v>1553</v>
      </c>
      <c r="C77" s="157" t="s">
        <v>1578</v>
      </c>
      <c r="D77" s="163" t="s">
        <v>140</v>
      </c>
      <c r="E77" s="164">
        <v>80</v>
      </c>
      <c r="F77" s="165" t="s">
        <v>51</v>
      </c>
      <c r="G77" s="164">
        <v>0</v>
      </c>
      <c r="H77" s="165" t="s">
        <v>51</v>
      </c>
      <c r="I77" s="164">
        <v>0</v>
      </c>
      <c r="J77" s="165" t="s">
        <v>51</v>
      </c>
      <c r="K77" s="164">
        <v>0</v>
      </c>
      <c r="L77" s="165" t="s">
        <v>51</v>
      </c>
      <c r="M77" s="164"/>
      <c r="N77" s="165" t="s">
        <v>51</v>
      </c>
      <c r="O77" s="164">
        <f>SMALL(E77:M77,COUNTIF(E77:M77,0)+1)</f>
        <v>80</v>
      </c>
      <c r="P77" s="166">
        <v>0</v>
      </c>
      <c r="Q77" s="166">
        <v>0</v>
      </c>
      <c r="R77" s="166">
        <v>0</v>
      </c>
      <c r="S77" s="166">
        <v>0</v>
      </c>
      <c r="T77" s="166">
        <v>0</v>
      </c>
      <c r="U77" s="13">
        <v>0</v>
      </c>
      <c r="V77" s="13">
        <v>0</v>
      </c>
      <c r="W77" s="8" t="s">
        <v>2004</v>
      </c>
      <c r="X77" s="8" t="s">
        <v>51</v>
      </c>
      <c r="Y77" s="2" t="s">
        <v>51</v>
      </c>
      <c r="Z77" s="2" t="s">
        <v>51</v>
      </c>
      <c r="AA77" s="14"/>
      <c r="AB77" s="2" t="s">
        <v>51</v>
      </c>
    </row>
    <row r="78" spans="1:28" ht="30" customHeight="1">
      <c r="A78" s="8" t="s">
        <v>1583</v>
      </c>
      <c r="B78" s="1178" t="s">
        <v>1553</v>
      </c>
      <c r="C78" s="1178" t="s">
        <v>1581</v>
      </c>
      <c r="D78" s="1179" t="s">
        <v>140</v>
      </c>
      <c r="E78" s="1180">
        <v>50</v>
      </c>
      <c r="F78" s="1181" t="s">
        <v>51</v>
      </c>
      <c r="G78" s="1180">
        <v>0</v>
      </c>
      <c r="H78" s="1181" t="s">
        <v>51</v>
      </c>
      <c r="I78" s="1180">
        <v>0</v>
      </c>
      <c r="J78" s="1181" t="s">
        <v>51</v>
      </c>
      <c r="K78" s="1182"/>
      <c r="L78" s="1183"/>
      <c r="M78" s="1182">
        <v>4</v>
      </c>
      <c r="N78" s="1181"/>
      <c r="O78" s="1180">
        <f>SMALL(E78:M78,COUNTIF(E78:M78,0)+1)</f>
        <v>4</v>
      </c>
      <c r="P78" s="1184">
        <v>0</v>
      </c>
      <c r="Q78" s="1184">
        <v>0</v>
      </c>
      <c r="R78" s="1184">
        <v>0</v>
      </c>
      <c r="S78" s="1184">
        <v>0</v>
      </c>
      <c r="T78" s="1184">
        <v>0</v>
      </c>
      <c r="U78" s="1184">
        <v>0</v>
      </c>
      <c r="V78" s="1184">
        <v>0</v>
      </c>
      <c r="W78" s="1178" t="s">
        <v>2007</v>
      </c>
      <c r="X78" s="1178" t="s">
        <v>1582</v>
      </c>
      <c r="Y78" s="2" t="s">
        <v>51</v>
      </c>
      <c r="Z78" s="2" t="s">
        <v>51</v>
      </c>
      <c r="AA78" s="14"/>
      <c r="AB78" s="2" t="s">
        <v>51</v>
      </c>
    </row>
    <row r="79" spans="1:28" ht="30" customHeight="1">
      <c r="A79" s="8" t="s">
        <v>403</v>
      </c>
      <c r="B79" s="157" t="s">
        <v>401</v>
      </c>
      <c r="C79" s="157" t="s">
        <v>402</v>
      </c>
      <c r="D79" s="163" t="s">
        <v>321</v>
      </c>
      <c r="E79" s="164">
        <v>0</v>
      </c>
      <c r="F79" s="165" t="s">
        <v>51</v>
      </c>
      <c r="G79" s="164">
        <v>15000</v>
      </c>
      <c r="H79" s="165" t="s">
        <v>51</v>
      </c>
      <c r="I79" s="164">
        <v>0</v>
      </c>
      <c r="J79" s="165" t="s">
        <v>51</v>
      </c>
      <c r="K79" s="164"/>
      <c r="L79" s="165" t="s">
        <v>51</v>
      </c>
      <c r="M79" s="164"/>
      <c r="N79" s="165" t="s">
        <v>51</v>
      </c>
      <c r="O79" s="164">
        <f t="shared" ref="O79:O118" si="5">SMALL(E79:M79,COUNTIF(E79:M79,0)+1)</f>
        <v>15000</v>
      </c>
      <c r="P79" s="166">
        <v>12859</v>
      </c>
      <c r="Q79" s="166">
        <v>0</v>
      </c>
      <c r="R79" s="166">
        <v>0</v>
      </c>
      <c r="S79" s="166">
        <v>0</v>
      </c>
      <c r="T79" s="166">
        <v>0</v>
      </c>
      <c r="U79" s="13">
        <v>0</v>
      </c>
      <c r="V79" s="13">
        <v>0</v>
      </c>
      <c r="W79" s="8" t="s">
        <v>2008</v>
      </c>
      <c r="X79" s="8" t="s">
        <v>51</v>
      </c>
      <c r="Y79" s="2" t="s">
        <v>51</v>
      </c>
      <c r="Z79" s="2" t="s">
        <v>51</v>
      </c>
      <c r="AA79" s="14"/>
      <c r="AB79" s="2" t="s">
        <v>51</v>
      </c>
    </row>
    <row r="80" spans="1:28" ht="30" customHeight="1">
      <c r="A80" s="8" t="s">
        <v>406</v>
      </c>
      <c r="B80" s="157" t="s">
        <v>405</v>
      </c>
      <c r="C80" s="167" t="str">
        <f>'1층전시실산출'!C310</f>
        <v>평판150 링250</v>
      </c>
      <c r="D80" s="163" t="s">
        <v>321</v>
      </c>
      <c r="E80" s="164">
        <v>0</v>
      </c>
      <c r="F80" s="165" t="s">
        <v>51</v>
      </c>
      <c r="G80" s="164">
        <v>55000</v>
      </c>
      <c r="H80" s="165" t="s">
        <v>51</v>
      </c>
      <c r="I80" s="164">
        <v>0</v>
      </c>
      <c r="J80" s="165" t="s">
        <v>51</v>
      </c>
      <c r="K80" s="164"/>
      <c r="L80" s="165" t="s">
        <v>51</v>
      </c>
      <c r="M80" s="164"/>
      <c r="N80" s="165" t="s">
        <v>51</v>
      </c>
      <c r="O80" s="164">
        <f t="shared" si="5"/>
        <v>55000</v>
      </c>
      <c r="P80" s="166">
        <v>0</v>
      </c>
      <c r="Q80" s="166">
        <v>0</v>
      </c>
      <c r="R80" s="166">
        <v>0</v>
      </c>
      <c r="S80" s="166">
        <v>0</v>
      </c>
      <c r="T80" s="166">
        <v>0</v>
      </c>
      <c r="U80" s="13">
        <v>0</v>
      </c>
      <c r="V80" s="13">
        <v>0</v>
      </c>
      <c r="W80" s="8" t="s">
        <v>2010</v>
      </c>
      <c r="X80" s="8" t="s">
        <v>51</v>
      </c>
      <c r="Y80" s="2" t="s">
        <v>51</v>
      </c>
      <c r="Z80" s="2" t="s">
        <v>51</v>
      </c>
      <c r="AA80" s="14"/>
      <c r="AB80" s="2" t="s">
        <v>51</v>
      </c>
    </row>
    <row r="81" spans="1:28" ht="30" customHeight="1">
      <c r="A81" s="8" t="s">
        <v>406</v>
      </c>
      <c r="B81" s="157" t="s">
        <v>405</v>
      </c>
      <c r="C81" s="167" t="str">
        <f>'1층전시실산출'!C311</f>
        <v>평판200 링300</v>
      </c>
      <c r="D81" s="163" t="s">
        <v>321</v>
      </c>
      <c r="E81" s="164">
        <v>0</v>
      </c>
      <c r="F81" s="165" t="s">
        <v>51</v>
      </c>
      <c r="G81" s="164">
        <v>62000</v>
      </c>
      <c r="H81" s="165" t="s">
        <v>51</v>
      </c>
      <c r="I81" s="164">
        <v>0</v>
      </c>
      <c r="J81" s="165" t="s">
        <v>51</v>
      </c>
      <c r="K81" s="164"/>
      <c r="L81" s="165" t="s">
        <v>51</v>
      </c>
      <c r="M81" s="164"/>
      <c r="N81" s="165" t="s">
        <v>51</v>
      </c>
      <c r="O81" s="164">
        <f t="shared" ref="O81:O83" si="6">SMALL(E81:M81,COUNTIF(E81:M81,0)+1)</f>
        <v>62000</v>
      </c>
      <c r="P81" s="166">
        <v>0</v>
      </c>
      <c r="Q81" s="166">
        <v>0</v>
      </c>
      <c r="R81" s="166">
        <v>0</v>
      </c>
      <c r="S81" s="166">
        <v>0</v>
      </c>
      <c r="T81" s="166">
        <v>0</v>
      </c>
      <c r="U81" s="13">
        <v>0</v>
      </c>
      <c r="V81" s="13">
        <v>0</v>
      </c>
      <c r="W81" s="8" t="s">
        <v>2011</v>
      </c>
      <c r="X81" s="8" t="s">
        <v>51</v>
      </c>
      <c r="Y81" s="2" t="s">
        <v>51</v>
      </c>
      <c r="Z81" s="2" t="s">
        <v>51</v>
      </c>
      <c r="AA81" s="14"/>
      <c r="AB81" s="2" t="s">
        <v>51</v>
      </c>
    </row>
    <row r="82" spans="1:28" ht="30" customHeight="1">
      <c r="A82" s="8" t="s">
        <v>406</v>
      </c>
      <c r="B82" s="157" t="s">
        <v>405</v>
      </c>
      <c r="C82" s="167" t="str">
        <f>'1층전시실산출'!C312</f>
        <v>평판300 링400</v>
      </c>
      <c r="D82" s="163" t="s">
        <v>321</v>
      </c>
      <c r="E82" s="164">
        <v>0</v>
      </c>
      <c r="F82" s="165" t="s">
        <v>51</v>
      </c>
      <c r="G82" s="164">
        <v>72000</v>
      </c>
      <c r="H82" s="165" t="s">
        <v>51</v>
      </c>
      <c r="I82" s="164">
        <v>0</v>
      </c>
      <c r="J82" s="165" t="s">
        <v>51</v>
      </c>
      <c r="K82" s="164"/>
      <c r="L82" s="165" t="s">
        <v>51</v>
      </c>
      <c r="M82" s="164"/>
      <c r="N82" s="165" t="s">
        <v>51</v>
      </c>
      <c r="O82" s="164">
        <f t="shared" si="6"/>
        <v>72000</v>
      </c>
      <c r="P82" s="166">
        <v>0</v>
      </c>
      <c r="Q82" s="166">
        <v>0</v>
      </c>
      <c r="R82" s="166">
        <v>0</v>
      </c>
      <c r="S82" s="166">
        <v>0</v>
      </c>
      <c r="T82" s="166">
        <v>0</v>
      </c>
      <c r="U82" s="13">
        <v>0</v>
      </c>
      <c r="V82" s="13">
        <v>0</v>
      </c>
      <c r="W82" s="8" t="s">
        <v>2013</v>
      </c>
      <c r="X82" s="8" t="s">
        <v>51</v>
      </c>
      <c r="Y82" s="2" t="s">
        <v>51</v>
      </c>
      <c r="Z82" s="2" t="s">
        <v>51</v>
      </c>
      <c r="AA82" s="14"/>
      <c r="AB82" s="2" t="s">
        <v>51</v>
      </c>
    </row>
    <row r="83" spans="1:28" ht="30" customHeight="1">
      <c r="A83" s="8" t="s">
        <v>406</v>
      </c>
      <c r="B83" s="157" t="s">
        <v>405</v>
      </c>
      <c r="C83" s="167" t="str">
        <f>'1층전시실산출'!C313</f>
        <v>평판335 링430</v>
      </c>
      <c r="D83" s="163" t="s">
        <v>321</v>
      </c>
      <c r="E83" s="164">
        <v>0</v>
      </c>
      <c r="F83" s="165" t="s">
        <v>51</v>
      </c>
      <c r="G83" s="164">
        <v>75000</v>
      </c>
      <c r="H83" s="165" t="s">
        <v>51</v>
      </c>
      <c r="I83" s="164">
        <v>0</v>
      </c>
      <c r="J83" s="165" t="s">
        <v>51</v>
      </c>
      <c r="K83" s="164"/>
      <c r="L83" s="165" t="s">
        <v>51</v>
      </c>
      <c r="M83" s="164"/>
      <c r="N83" s="165" t="s">
        <v>51</v>
      </c>
      <c r="O83" s="164">
        <f t="shared" si="6"/>
        <v>75000</v>
      </c>
      <c r="P83" s="166">
        <v>0</v>
      </c>
      <c r="Q83" s="166">
        <v>0</v>
      </c>
      <c r="R83" s="166">
        <v>0</v>
      </c>
      <c r="S83" s="166">
        <v>0</v>
      </c>
      <c r="T83" s="166">
        <v>0</v>
      </c>
      <c r="U83" s="13">
        <v>0</v>
      </c>
      <c r="V83" s="13">
        <v>0</v>
      </c>
      <c r="W83" s="8" t="s">
        <v>2014</v>
      </c>
      <c r="X83" s="8" t="s">
        <v>51</v>
      </c>
      <c r="Y83" s="2" t="s">
        <v>51</v>
      </c>
      <c r="Z83" s="2" t="s">
        <v>51</v>
      </c>
      <c r="AA83" s="14"/>
      <c r="AB83" s="2" t="s">
        <v>51</v>
      </c>
    </row>
    <row r="84" spans="1:28" ht="30" customHeight="1">
      <c r="A84" s="8" t="s">
        <v>1112</v>
      </c>
      <c r="B84" s="157" t="s">
        <v>1110</v>
      </c>
      <c r="C84" s="157" t="s">
        <v>1111</v>
      </c>
      <c r="D84" s="163" t="s">
        <v>204</v>
      </c>
      <c r="E84" s="164">
        <v>0</v>
      </c>
      <c r="F84" s="165" t="s">
        <v>51</v>
      </c>
      <c r="G84" s="164"/>
      <c r="H84" s="165" t="s">
        <v>51</v>
      </c>
      <c r="I84" s="164">
        <v>2120</v>
      </c>
      <c r="J84" s="165" t="s">
        <v>1994</v>
      </c>
      <c r="K84" s="164">
        <v>0</v>
      </c>
      <c r="L84" s="165" t="s">
        <v>51</v>
      </c>
      <c r="M84" s="164">
        <v>0</v>
      </c>
      <c r="N84" s="165" t="s">
        <v>51</v>
      </c>
      <c r="O84" s="164">
        <f t="shared" si="5"/>
        <v>2120</v>
      </c>
      <c r="P84" s="166">
        <v>0</v>
      </c>
      <c r="Q84" s="166">
        <v>0</v>
      </c>
      <c r="R84" s="166">
        <v>0</v>
      </c>
      <c r="S84" s="166">
        <v>0</v>
      </c>
      <c r="T84" s="166">
        <v>0</v>
      </c>
      <c r="U84" s="13">
        <v>0</v>
      </c>
      <c r="V84" s="13">
        <v>0</v>
      </c>
      <c r="W84" s="8" t="s">
        <v>2016</v>
      </c>
      <c r="X84" s="8" t="s">
        <v>51</v>
      </c>
      <c r="Y84" s="2" t="s">
        <v>51</v>
      </c>
      <c r="Z84" s="2" t="s">
        <v>51</v>
      </c>
      <c r="AA84" s="14"/>
      <c r="AB84" s="2" t="s">
        <v>51</v>
      </c>
    </row>
    <row r="85" spans="1:28" ht="30" customHeight="1">
      <c r="A85" s="8" t="s">
        <v>494</v>
      </c>
      <c r="B85" s="157" t="s">
        <v>2635</v>
      </c>
      <c r="C85" s="157" t="s">
        <v>2634</v>
      </c>
      <c r="D85" s="163" t="s">
        <v>2568</v>
      </c>
      <c r="E85" s="164">
        <v>0</v>
      </c>
      <c r="F85" s="165" t="s">
        <v>51</v>
      </c>
      <c r="G85" s="164"/>
      <c r="H85" s="165" t="s">
        <v>51</v>
      </c>
      <c r="I85" s="164">
        <v>0</v>
      </c>
      <c r="J85" s="165" t="s">
        <v>51</v>
      </c>
      <c r="K85" s="164">
        <v>3200000</v>
      </c>
      <c r="L85" s="165" t="s">
        <v>51</v>
      </c>
      <c r="M85" s="164">
        <v>3658200</v>
      </c>
      <c r="N85" s="165"/>
      <c r="O85" s="164">
        <f t="shared" si="5"/>
        <v>3200000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3">
        <v>0</v>
      </c>
      <c r="V85" s="13">
        <v>0</v>
      </c>
      <c r="W85" s="8" t="s">
        <v>2017</v>
      </c>
      <c r="X85" s="8" t="s">
        <v>51</v>
      </c>
      <c r="Y85" s="2" t="s">
        <v>51</v>
      </c>
      <c r="Z85" s="2" t="s">
        <v>51</v>
      </c>
      <c r="AA85" s="14"/>
      <c r="AB85" s="2" t="s">
        <v>51</v>
      </c>
    </row>
    <row r="86" spans="1:28" ht="30" customHeight="1">
      <c r="A86" s="8" t="s">
        <v>497</v>
      </c>
      <c r="B86" s="157" t="s">
        <v>496</v>
      </c>
      <c r="C86" s="157" t="s">
        <v>3224</v>
      </c>
      <c r="D86" s="163" t="s">
        <v>2568</v>
      </c>
      <c r="E86" s="164">
        <v>0</v>
      </c>
      <c r="F86" s="165" t="s">
        <v>51</v>
      </c>
      <c r="G86" s="164"/>
      <c r="H86" s="165" t="s">
        <v>51</v>
      </c>
      <c r="I86" s="164">
        <v>0</v>
      </c>
      <c r="J86" s="165" t="s">
        <v>51</v>
      </c>
      <c r="K86" s="164">
        <v>950000</v>
      </c>
      <c r="L86" s="165" t="s">
        <v>51</v>
      </c>
      <c r="M86" s="164">
        <v>1120000</v>
      </c>
      <c r="N86" s="165"/>
      <c r="O86" s="164">
        <f t="shared" si="5"/>
        <v>950000</v>
      </c>
      <c r="P86" s="166">
        <v>0</v>
      </c>
      <c r="Q86" s="166">
        <v>0</v>
      </c>
      <c r="R86" s="166">
        <v>0</v>
      </c>
      <c r="S86" s="166">
        <v>0</v>
      </c>
      <c r="T86" s="166">
        <v>0</v>
      </c>
      <c r="U86" s="13">
        <v>0</v>
      </c>
      <c r="V86" s="13">
        <v>0</v>
      </c>
      <c r="W86" s="8" t="s">
        <v>2018</v>
      </c>
      <c r="X86" s="8" t="s">
        <v>51</v>
      </c>
      <c r="Y86" s="2" t="s">
        <v>51</v>
      </c>
      <c r="Z86" s="2" t="s">
        <v>51</v>
      </c>
      <c r="AA86" s="14"/>
      <c r="AB86" s="2" t="s">
        <v>51</v>
      </c>
    </row>
    <row r="87" spans="1:28" ht="30" customHeight="1">
      <c r="A87" s="8" t="s">
        <v>500</v>
      </c>
      <c r="B87" s="157" t="s">
        <v>499</v>
      </c>
      <c r="C87" s="157" t="s">
        <v>3225</v>
      </c>
      <c r="D87" s="163" t="s">
        <v>2568</v>
      </c>
      <c r="E87" s="164">
        <v>0</v>
      </c>
      <c r="F87" s="165" t="s">
        <v>51</v>
      </c>
      <c r="G87" s="164"/>
      <c r="H87" s="165" t="s">
        <v>51</v>
      </c>
      <c r="I87" s="164">
        <v>0</v>
      </c>
      <c r="J87" s="165" t="s">
        <v>51</v>
      </c>
      <c r="K87" s="164">
        <v>1100000</v>
      </c>
      <c r="L87" s="165" t="s">
        <v>51</v>
      </c>
      <c r="M87" s="164">
        <v>1280000</v>
      </c>
      <c r="N87" s="165"/>
      <c r="O87" s="164">
        <f t="shared" si="5"/>
        <v>1100000</v>
      </c>
      <c r="P87" s="166">
        <v>0</v>
      </c>
      <c r="Q87" s="166">
        <v>0</v>
      </c>
      <c r="R87" s="166">
        <v>0</v>
      </c>
      <c r="S87" s="166">
        <v>0</v>
      </c>
      <c r="T87" s="166">
        <v>0</v>
      </c>
      <c r="U87" s="13">
        <v>0</v>
      </c>
      <c r="V87" s="13">
        <v>0</v>
      </c>
      <c r="W87" s="8" t="s">
        <v>2019</v>
      </c>
      <c r="X87" s="8" t="s">
        <v>51</v>
      </c>
      <c r="Y87" s="2" t="s">
        <v>51</v>
      </c>
      <c r="Z87" s="2" t="s">
        <v>51</v>
      </c>
      <c r="AA87" s="14"/>
      <c r="AB87" s="2" t="s">
        <v>51</v>
      </c>
    </row>
    <row r="88" spans="1:28" ht="30" customHeight="1">
      <c r="A88" s="8" t="s">
        <v>503</v>
      </c>
      <c r="B88" s="157" t="s">
        <v>502</v>
      </c>
      <c r="C88" s="157" t="s">
        <v>3226</v>
      </c>
      <c r="D88" s="163" t="s">
        <v>2568</v>
      </c>
      <c r="E88" s="164">
        <v>0</v>
      </c>
      <c r="F88" s="165" t="s">
        <v>51</v>
      </c>
      <c r="G88" s="164"/>
      <c r="H88" s="165" t="s">
        <v>51</v>
      </c>
      <c r="I88" s="164">
        <v>0</v>
      </c>
      <c r="J88" s="165" t="s">
        <v>51</v>
      </c>
      <c r="K88" s="164">
        <v>850000</v>
      </c>
      <c r="L88" s="165" t="s">
        <v>51</v>
      </c>
      <c r="M88" s="164">
        <v>1916000</v>
      </c>
      <c r="N88" s="165"/>
      <c r="O88" s="164">
        <f t="shared" si="5"/>
        <v>850000</v>
      </c>
      <c r="P88" s="166">
        <v>0</v>
      </c>
      <c r="Q88" s="166">
        <v>0</v>
      </c>
      <c r="R88" s="166">
        <v>0</v>
      </c>
      <c r="S88" s="166">
        <v>0</v>
      </c>
      <c r="T88" s="166">
        <v>0</v>
      </c>
      <c r="U88" s="13">
        <v>0</v>
      </c>
      <c r="V88" s="13">
        <v>0</v>
      </c>
      <c r="W88" s="8" t="s">
        <v>2020</v>
      </c>
      <c r="X88" s="8" t="s">
        <v>51</v>
      </c>
      <c r="Y88" s="2" t="s">
        <v>51</v>
      </c>
      <c r="Z88" s="2" t="s">
        <v>51</v>
      </c>
      <c r="AA88" s="14"/>
      <c r="AB88" s="2" t="s">
        <v>51</v>
      </c>
    </row>
    <row r="89" spans="1:28" ht="30" customHeight="1">
      <c r="A89" s="8"/>
      <c r="B89" s="157" t="s">
        <v>2345</v>
      </c>
      <c r="C89" s="157" t="s">
        <v>3227</v>
      </c>
      <c r="D89" s="163" t="s">
        <v>2568</v>
      </c>
      <c r="E89" s="164"/>
      <c r="F89" s="165"/>
      <c r="G89" s="164"/>
      <c r="H89" s="165"/>
      <c r="I89" s="164"/>
      <c r="J89" s="165"/>
      <c r="K89" s="164">
        <v>720000</v>
      </c>
      <c r="L89" s="165"/>
      <c r="M89" s="164">
        <v>850000</v>
      </c>
      <c r="N89" s="165"/>
      <c r="O89" s="164">
        <f t="shared" si="5"/>
        <v>720000</v>
      </c>
      <c r="P89" s="166"/>
      <c r="Q89" s="166"/>
      <c r="R89" s="166"/>
      <c r="S89" s="166"/>
      <c r="T89" s="166"/>
      <c r="U89" s="13"/>
      <c r="V89" s="13"/>
      <c r="W89" s="8" t="s">
        <v>2021</v>
      </c>
      <c r="X89" s="8"/>
      <c r="Y89" s="2"/>
      <c r="Z89" s="2"/>
      <c r="AA89" s="14"/>
      <c r="AB89" s="2"/>
    </row>
    <row r="90" spans="1:28" ht="30" customHeight="1">
      <c r="A90" s="8"/>
      <c r="B90" s="157" t="s">
        <v>2346</v>
      </c>
      <c r="C90" s="157" t="s">
        <v>3228</v>
      </c>
      <c r="D90" s="163" t="s">
        <v>2568</v>
      </c>
      <c r="E90" s="164"/>
      <c r="F90" s="165"/>
      <c r="G90" s="164"/>
      <c r="H90" s="165"/>
      <c r="I90" s="164"/>
      <c r="J90" s="165"/>
      <c r="K90" s="164">
        <v>1100000</v>
      </c>
      <c r="L90" s="165"/>
      <c r="M90" s="164">
        <v>1280000</v>
      </c>
      <c r="N90" s="165"/>
      <c r="O90" s="164">
        <f t="shared" si="5"/>
        <v>1100000</v>
      </c>
      <c r="P90" s="166"/>
      <c r="Q90" s="166"/>
      <c r="R90" s="166"/>
      <c r="S90" s="166"/>
      <c r="T90" s="166"/>
      <c r="U90" s="13"/>
      <c r="V90" s="13"/>
      <c r="W90" s="8" t="s">
        <v>2022</v>
      </c>
      <c r="X90" s="8"/>
      <c r="Y90" s="2"/>
      <c r="Z90" s="2"/>
      <c r="AA90" s="14"/>
      <c r="AB90" s="2"/>
    </row>
    <row r="91" spans="1:28" ht="30" customHeight="1">
      <c r="A91" s="8"/>
      <c r="B91" s="157" t="s">
        <v>3222</v>
      </c>
      <c r="C91" s="157" t="s">
        <v>3229</v>
      </c>
      <c r="D91" s="163" t="s">
        <v>2568</v>
      </c>
      <c r="E91" s="164"/>
      <c r="F91" s="165"/>
      <c r="G91" s="164"/>
      <c r="H91" s="165"/>
      <c r="I91" s="164"/>
      <c r="J91" s="165"/>
      <c r="K91" s="164">
        <v>880000</v>
      </c>
      <c r="L91" s="165"/>
      <c r="M91" s="164">
        <v>925800</v>
      </c>
      <c r="N91" s="165"/>
      <c r="O91" s="164">
        <f t="shared" si="5"/>
        <v>880000</v>
      </c>
      <c r="P91" s="166"/>
      <c r="Q91" s="166"/>
      <c r="R91" s="166"/>
      <c r="S91" s="166"/>
      <c r="T91" s="166"/>
      <c r="U91" s="13"/>
      <c r="V91" s="13"/>
      <c r="W91" s="8" t="s">
        <v>2023</v>
      </c>
      <c r="X91" s="8"/>
      <c r="Y91" s="2"/>
      <c r="Z91" s="2"/>
      <c r="AA91" s="14"/>
      <c r="AB91" s="2"/>
    </row>
    <row r="92" spans="1:28" ht="30" customHeight="1">
      <c r="A92" s="8"/>
      <c r="B92" s="157" t="s">
        <v>3223</v>
      </c>
      <c r="C92" s="157" t="s">
        <v>2633</v>
      </c>
      <c r="D92" s="163" t="s">
        <v>2568</v>
      </c>
      <c r="E92" s="164"/>
      <c r="F92" s="165"/>
      <c r="G92" s="164"/>
      <c r="H92" s="165"/>
      <c r="I92" s="164"/>
      <c r="J92" s="165"/>
      <c r="K92" s="164">
        <v>450000</v>
      </c>
      <c r="L92" s="165"/>
      <c r="M92" s="164">
        <v>480000</v>
      </c>
      <c r="N92" s="165"/>
      <c r="O92" s="164">
        <f t="shared" si="5"/>
        <v>450000</v>
      </c>
      <c r="P92" s="166"/>
      <c r="Q92" s="166"/>
      <c r="R92" s="166"/>
      <c r="S92" s="166"/>
      <c r="T92" s="166"/>
      <c r="U92" s="13"/>
      <c r="V92" s="13"/>
      <c r="W92" s="8" t="s">
        <v>2024</v>
      </c>
      <c r="X92" s="8"/>
      <c r="Y92" s="2"/>
      <c r="Z92" s="2"/>
      <c r="AA92" s="14"/>
      <c r="AB92" s="2"/>
    </row>
    <row r="93" spans="1:28" ht="30" customHeight="1">
      <c r="A93" s="8"/>
      <c r="B93" s="157" t="s">
        <v>2348</v>
      </c>
      <c r="C93" s="157" t="s">
        <v>2349</v>
      </c>
      <c r="D93" s="163" t="s">
        <v>2568</v>
      </c>
      <c r="E93" s="164"/>
      <c r="F93" s="165"/>
      <c r="G93" s="164"/>
      <c r="H93" s="165"/>
      <c r="I93" s="164"/>
      <c r="J93" s="165"/>
      <c r="K93" s="164">
        <v>300000</v>
      </c>
      <c r="L93" s="165"/>
      <c r="M93" s="164">
        <v>716000</v>
      </c>
      <c r="N93" s="165"/>
      <c r="O93" s="164">
        <f t="shared" si="5"/>
        <v>300000</v>
      </c>
      <c r="P93" s="166"/>
      <c r="Q93" s="166"/>
      <c r="R93" s="166"/>
      <c r="S93" s="166"/>
      <c r="T93" s="166"/>
      <c r="U93" s="13"/>
      <c r="V93" s="13"/>
      <c r="W93" s="8" t="s">
        <v>2025</v>
      </c>
      <c r="X93" s="8"/>
      <c r="Y93" s="2"/>
      <c r="Z93" s="2"/>
      <c r="AA93" s="14"/>
      <c r="AB93" s="2"/>
    </row>
    <row r="94" spans="1:28" ht="30" customHeight="1">
      <c r="A94" s="8"/>
      <c r="B94" s="157" t="s">
        <v>3236</v>
      </c>
      <c r="C94" s="157" t="s">
        <v>3237</v>
      </c>
      <c r="D94" s="163" t="s">
        <v>2568</v>
      </c>
      <c r="E94" s="164"/>
      <c r="F94" s="165"/>
      <c r="G94" s="164"/>
      <c r="H94" s="165"/>
      <c r="I94" s="164"/>
      <c r="J94" s="165"/>
      <c r="K94" s="164">
        <v>400000</v>
      </c>
      <c r="L94" s="165"/>
      <c r="M94" s="164">
        <v>1800000</v>
      </c>
      <c r="N94" s="165"/>
      <c r="O94" s="164">
        <f t="shared" si="5"/>
        <v>400000</v>
      </c>
      <c r="P94" s="166"/>
      <c r="Q94" s="166"/>
      <c r="R94" s="166"/>
      <c r="S94" s="166"/>
      <c r="T94" s="166"/>
      <c r="U94" s="13"/>
      <c r="V94" s="13"/>
      <c r="W94" s="8" t="s">
        <v>2026</v>
      </c>
      <c r="X94" s="8"/>
      <c r="Y94" s="2"/>
      <c r="Z94" s="2"/>
      <c r="AA94" s="14"/>
      <c r="AB94" s="2"/>
    </row>
    <row r="95" spans="1:28" ht="30" customHeight="1">
      <c r="A95" s="8"/>
      <c r="B95" s="157" t="s">
        <v>3234</v>
      </c>
      <c r="C95" s="157" t="s">
        <v>3235</v>
      </c>
      <c r="D95" s="163" t="s">
        <v>2568</v>
      </c>
      <c r="E95" s="164"/>
      <c r="F95" s="165"/>
      <c r="G95" s="164"/>
      <c r="H95" s="165"/>
      <c r="I95" s="164"/>
      <c r="J95" s="165"/>
      <c r="K95" s="164">
        <v>400000</v>
      </c>
      <c r="L95" s="165"/>
      <c r="M95" s="164">
        <v>2250000</v>
      </c>
      <c r="N95" s="165"/>
      <c r="O95" s="164">
        <f t="shared" si="5"/>
        <v>400000</v>
      </c>
      <c r="P95" s="166"/>
      <c r="Q95" s="166"/>
      <c r="R95" s="166"/>
      <c r="S95" s="166"/>
      <c r="T95" s="166"/>
      <c r="U95" s="13"/>
      <c r="V95" s="13"/>
      <c r="W95" s="8" t="s">
        <v>2027</v>
      </c>
      <c r="X95" s="8"/>
      <c r="Y95" s="2"/>
      <c r="Z95" s="2"/>
      <c r="AA95" s="14"/>
      <c r="AB95" s="2"/>
    </row>
    <row r="96" spans="1:28" ht="30" customHeight="1">
      <c r="A96" s="8"/>
      <c r="B96" s="157" t="s">
        <v>2350</v>
      </c>
      <c r="C96" s="157" t="s">
        <v>3230</v>
      </c>
      <c r="D96" s="163" t="s">
        <v>2568</v>
      </c>
      <c r="E96" s="164"/>
      <c r="F96" s="165"/>
      <c r="G96" s="164"/>
      <c r="H96" s="165"/>
      <c r="I96" s="164"/>
      <c r="J96" s="165"/>
      <c r="K96" s="164">
        <v>780000</v>
      </c>
      <c r="L96" s="165"/>
      <c r="M96" s="164">
        <v>820000</v>
      </c>
      <c r="N96" s="165"/>
      <c r="O96" s="164">
        <f t="shared" si="5"/>
        <v>780000</v>
      </c>
      <c r="P96" s="166"/>
      <c r="Q96" s="166"/>
      <c r="R96" s="166"/>
      <c r="S96" s="166"/>
      <c r="T96" s="166"/>
      <c r="U96" s="13"/>
      <c r="V96" s="13"/>
      <c r="W96" s="8" t="s">
        <v>2028</v>
      </c>
      <c r="X96" s="8"/>
      <c r="Y96" s="2"/>
      <c r="Z96" s="2"/>
      <c r="AA96" s="14"/>
      <c r="AB96" s="2"/>
    </row>
    <row r="97" spans="1:28" ht="30" customHeight="1">
      <c r="A97" s="8"/>
      <c r="B97" s="157" t="s">
        <v>2630</v>
      </c>
      <c r="C97" s="157" t="s">
        <v>3231</v>
      </c>
      <c r="D97" s="163" t="s">
        <v>2568</v>
      </c>
      <c r="E97" s="164"/>
      <c r="F97" s="165"/>
      <c r="G97" s="164"/>
      <c r="H97" s="165"/>
      <c r="I97" s="164"/>
      <c r="J97" s="165"/>
      <c r="K97" s="164">
        <v>850000</v>
      </c>
      <c r="L97" s="165"/>
      <c r="M97" s="164">
        <v>958000</v>
      </c>
      <c r="N97" s="165"/>
      <c r="O97" s="164">
        <f t="shared" si="5"/>
        <v>850000</v>
      </c>
      <c r="P97" s="166"/>
      <c r="Q97" s="166"/>
      <c r="R97" s="166"/>
      <c r="S97" s="166"/>
      <c r="T97" s="166"/>
      <c r="U97" s="13"/>
      <c r="V97" s="13"/>
      <c r="W97" s="8" t="s">
        <v>2029</v>
      </c>
      <c r="X97" s="8"/>
      <c r="Y97" s="2"/>
      <c r="Z97" s="2"/>
      <c r="AA97" s="14"/>
      <c r="AB97" s="2"/>
    </row>
    <row r="98" spans="1:28" ht="30" customHeight="1">
      <c r="A98" s="8"/>
      <c r="B98" s="157" t="s">
        <v>2629</v>
      </c>
      <c r="C98" s="157" t="s">
        <v>3232</v>
      </c>
      <c r="D98" s="163" t="s">
        <v>2568</v>
      </c>
      <c r="E98" s="164"/>
      <c r="F98" s="165"/>
      <c r="G98" s="164"/>
      <c r="H98" s="165"/>
      <c r="I98" s="164"/>
      <c r="J98" s="165"/>
      <c r="K98" s="164">
        <v>1200000</v>
      </c>
      <c r="L98" s="165"/>
      <c r="M98" s="164">
        <v>1425000</v>
      </c>
      <c r="N98" s="165"/>
      <c r="O98" s="164">
        <f t="shared" si="5"/>
        <v>1200000</v>
      </c>
      <c r="P98" s="166"/>
      <c r="Q98" s="166"/>
      <c r="R98" s="166"/>
      <c r="S98" s="166"/>
      <c r="T98" s="166"/>
      <c r="U98" s="13"/>
      <c r="V98" s="13"/>
      <c r="W98" s="8" t="s">
        <v>2030</v>
      </c>
      <c r="X98" s="8"/>
      <c r="Y98" s="2"/>
      <c r="Z98" s="2"/>
      <c r="AA98" s="14"/>
      <c r="AB98" s="2"/>
    </row>
    <row r="99" spans="1:28" ht="30" customHeight="1">
      <c r="A99" s="8"/>
      <c r="B99" s="157" t="s">
        <v>2351</v>
      </c>
      <c r="C99" s="157" t="s">
        <v>3233</v>
      </c>
      <c r="D99" s="163" t="s">
        <v>2626</v>
      </c>
      <c r="E99" s="164"/>
      <c r="F99" s="165"/>
      <c r="G99" s="164"/>
      <c r="H99" s="165"/>
      <c r="I99" s="164"/>
      <c r="J99" s="165"/>
      <c r="K99" s="164">
        <v>1250000</v>
      </c>
      <c r="L99" s="165"/>
      <c r="M99" s="164">
        <v>1352000</v>
      </c>
      <c r="N99" s="165"/>
      <c r="O99" s="164">
        <f t="shared" si="5"/>
        <v>1250000</v>
      </c>
      <c r="P99" s="166"/>
      <c r="Q99" s="166"/>
      <c r="R99" s="166"/>
      <c r="S99" s="166"/>
      <c r="T99" s="166"/>
      <c r="U99" s="13"/>
      <c r="V99" s="13"/>
      <c r="W99" s="8" t="s">
        <v>3870</v>
      </c>
      <c r="X99" s="8"/>
      <c r="Y99" s="2"/>
      <c r="Z99" s="2"/>
      <c r="AA99" s="14"/>
      <c r="AB99" s="2"/>
    </row>
    <row r="100" spans="1:28" ht="30" customHeight="1">
      <c r="A100" s="8" t="s">
        <v>757</v>
      </c>
      <c r="B100" s="157" t="s">
        <v>427</v>
      </c>
      <c r="C100" s="157" t="s">
        <v>424</v>
      </c>
      <c r="D100" s="163" t="s">
        <v>321</v>
      </c>
      <c r="E100" s="164">
        <v>0</v>
      </c>
      <c r="F100" s="165" t="s">
        <v>51</v>
      </c>
      <c r="G100" s="164">
        <v>0</v>
      </c>
      <c r="H100" s="165" t="s">
        <v>51</v>
      </c>
      <c r="I100" s="164">
        <v>0</v>
      </c>
      <c r="J100" s="165" t="s">
        <v>51</v>
      </c>
      <c r="K100" s="164">
        <v>20000</v>
      </c>
      <c r="L100" s="165" t="s">
        <v>51</v>
      </c>
      <c r="M100" s="164">
        <v>23000</v>
      </c>
      <c r="N100" s="165" t="s">
        <v>51</v>
      </c>
      <c r="O100" s="164">
        <f t="shared" si="5"/>
        <v>20000</v>
      </c>
      <c r="P100" s="166">
        <v>0</v>
      </c>
      <c r="Q100" s="166">
        <v>0</v>
      </c>
      <c r="R100" s="166">
        <v>0</v>
      </c>
      <c r="S100" s="166">
        <v>0</v>
      </c>
      <c r="T100" s="166">
        <v>0</v>
      </c>
      <c r="U100" s="13">
        <v>0</v>
      </c>
      <c r="V100" s="13">
        <v>0</v>
      </c>
      <c r="W100" s="8" t="s">
        <v>3871</v>
      </c>
      <c r="X100" s="8" t="s">
        <v>51</v>
      </c>
      <c r="Y100" s="2" t="s">
        <v>51</v>
      </c>
      <c r="Z100" s="2" t="s">
        <v>51</v>
      </c>
      <c r="AA100" s="14"/>
      <c r="AB100" s="2" t="s">
        <v>51</v>
      </c>
    </row>
    <row r="101" spans="1:28" ht="30" customHeight="1">
      <c r="A101" s="8" t="s">
        <v>429</v>
      </c>
      <c r="B101" s="157" t="s">
        <v>427</v>
      </c>
      <c r="C101" s="157" t="s">
        <v>428</v>
      </c>
      <c r="D101" s="163" t="s">
        <v>321</v>
      </c>
      <c r="E101" s="164">
        <v>0</v>
      </c>
      <c r="F101" s="165" t="s">
        <v>51</v>
      </c>
      <c r="G101" s="164">
        <v>0</v>
      </c>
      <c r="H101" s="165" t="s">
        <v>51</v>
      </c>
      <c r="I101" s="164">
        <v>0</v>
      </c>
      <c r="J101" s="165" t="s">
        <v>51</v>
      </c>
      <c r="K101" s="164">
        <v>12000</v>
      </c>
      <c r="L101" s="165" t="s">
        <v>51</v>
      </c>
      <c r="M101" s="164">
        <v>13000</v>
      </c>
      <c r="N101" s="165" t="s">
        <v>51</v>
      </c>
      <c r="O101" s="164">
        <f t="shared" si="5"/>
        <v>12000</v>
      </c>
      <c r="P101" s="166">
        <v>0</v>
      </c>
      <c r="Q101" s="166">
        <v>0</v>
      </c>
      <c r="R101" s="166">
        <v>0</v>
      </c>
      <c r="S101" s="166">
        <v>0</v>
      </c>
      <c r="T101" s="166">
        <v>0</v>
      </c>
      <c r="U101" s="13">
        <v>0</v>
      </c>
      <c r="V101" s="13">
        <v>0</v>
      </c>
      <c r="W101" s="8" t="s">
        <v>3872</v>
      </c>
      <c r="X101" s="8" t="s">
        <v>51</v>
      </c>
      <c r="Y101" s="2" t="s">
        <v>51</v>
      </c>
      <c r="Z101" s="2" t="s">
        <v>51</v>
      </c>
      <c r="AA101" s="14"/>
      <c r="AB101" s="2" t="s">
        <v>51</v>
      </c>
    </row>
    <row r="102" spans="1:28" ht="30" customHeight="1">
      <c r="A102" s="8"/>
      <c r="B102" s="167" t="s">
        <v>3716</v>
      </c>
      <c r="C102" s="167" t="s">
        <v>3648</v>
      </c>
      <c r="D102" s="167" t="s">
        <v>3649</v>
      </c>
      <c r="E102" s="164"/>
      <c r="F102" s="165"/>
      <c r="G102" s="164"/>
      <c r="H102" s="165"/>
      <c r="I102" s="164"/>
      <c r="J102" s="165"/>
      <c r="K102" s="164">
        <v>144000</v>
      </c>
      <c r="L102" s="165"/>
      <c r="M102" s="164">
        <v>156000</v>
      </c>
      <c r="N102" s="165"/>
      <c r="O102" s="164">
        <f t="shared" si="5"/>
        <v>144000</v>
      </c>
      <c r="P102" s="166"/>
      <c r="Q102" s="166"/>
      <c r="R102" s="166"/>
      <c r="S102" s="166"/>
      <c r="T102" s="166"/>
      <c r="U102" s="13"/>
      <c r="V102" s="13"/>
      <c r="W102" s="8" t="s">
        <v>2031</v>
      </c>
      <c r="X102" s="8"/>
      <c r="Y102" s="2"/>
      <c r="Z102" s="2"/>
      <c r="AA102" s="14"/>
      <c r="AB102" s="2"/>
    </row>
    <row r="103" spans="1:28" ht="30" customHeight="1">
      <c r="A103" s="8"/>
      <c r="B103" s="167" t="s">
        <v>3716</v>
      </c>
      <c r="C103" s="167" t="s">
        <v>3650</v>
      </c>
      <c r="D103" s="167" t="s">
        <v>3649</v>
      </c>
      <c r="E103" s="164"/>
      <c r="F103" s="165"/>
      <c r="G103" s="164"/>
      <c r="H103" s="165"/>
      <c r="I103" s="164"/>
      <c r="J103" s="165"/>
      <c r="K103" s="164">
        <v>273600</v>
      </c>
      <c r="L103" s="165"/>
      <c r="M103" s="164">
        <v>280000</v>
      </c>
      <c r="N103" s="165"/>
      <c r="O103" s="164">
        <f t="shared" si="5"/>
        <v>273600</v>
      </c>
      <c r="P103" s="166"/>
      <c r="Q103" s="166"/>
      <c r="R103" s="166"/>
      <c r="S103" s="166"/>
      <c r="T103" s="166"/>
      <c r="U103" s="13"/>
      <c r="V103" s="13"/>
      <c r="W103" s="8" t="s">
        <v>2032</v>
      </c>
      <c r="X103" s="8"/>
      <c r="Y103" s="2"/>
      <c r="Z103" s="2"/>
      <c r="AA103" s="14"/>
      <c r="AB103" s="2"/>
    </row>
    <row r="104" spans="1:28" ht="30" customHeight="1">
      <c r="A104" s="8"/>
      <c r="B104" s="167" t="s">
        <v>3716</v>
      </c>
      <c r="C104" s="167" t="s">
        <v>3651</v>
      </c>
      <c r="D104" s="167" t="s">
        <v>3649</v>
      </c>
      <c r="E104" s="164"/>
      <c r="F104" s="165"/>
      <c r="G104" s="164"/>
      <c r="H104" s="165"/>
      <c r="I104" s="164"/>
      <c r="J104" s="165"/>
      <c r="K104" s="164">
        <v>115200</v>
      </c>
      <c r="L104" s="165"/>
      <c r="M104" s="164">
        <v>120000</v>
      </c>
      <c r="N104" s="165"/>
      <c r="O104" s="164">
        <f t="shared" si="5"/>
        <v>115200</v>
      </c>
      <c r="P104" s="166"/>
      <c r="Q104" s="166"/>
      <c r="R104" s="166"/>
      <c r="S104" s="166"/>
      <c r="T104" s="166"/>
      <c r="U104" s="13"/>
      <c r="V104" s="13"/>
      <c r="W104" s="8" t="s">
        <v>3873</v>
      </c>
      <c r="X104" s="8"/>
      <c r="Y104" s="2"/>
      <c r="Z104" s="2"/>
      <c r="AA104" s="14"/>
      <c r="AB104" s="2"/>
    </row>
    <row r="105" spans="1:28" ht="30" customHeight="1">
      <c r="A105" s="8"/>
      <c r="B105" s="167" t="s">
        <v>3716</v>
      </c>
      <c r="C105" s="167" t="s">
        <v>3652</v>
      </c>
      <c r="D105" s="167" t="s">
        <v>3649</v>
      </c>
      <c r="E105" s="164"/>
      <c r="F105" s="165"/>
      <c r="G105" s="164"/>
      <c r="H105" s="165"/>
      <c r="I105" s="164"/>
      <c r="J105" s="165"/>
      <c r="K105" s="164">
        <v>108000</v>
      </c>
      <c r="L105" s="165"/>
      <c r="M105" s="164">
        <v>110000</v>
      </c>
      <c r="N105" s="165"/>
      <c r="O105" s="164">
        <f t="shared" si="5"/>
        <v>108000</v>
      </c>
      <c r="P105" s="166"/>
      <c r="Q105" s="166"/>
      <c r="R105" s="166"/>
      <c r="S105" s="166"/>
      <c r="T105" s="166"/>
      <c r="U105" s="13"/>
      <c r="V105" s="13"/>
      <c r="W105" s="8" t="s">
        <v>3874</v>
      </c>
      <c r="X105" s="8"/>
      <c r="Y105" s="2"/>
      <c r="Z105" s="2"/>
      <c r="AA105" s="14"/>
      <c r="AB105" s="2"/>
    </row>
    <row r="106" spans="1:28" ht="30" customHeight="1">
      <c r="A106" s="8"/>
      <c r="B106" s="167" t="s">
        <v>3716</v>
      </c>
      <c r="C106" s="167" t="s">
        <v>3653</v>
      </c>
      <c r="D106" s="167" t="s">
        <v>3649</v>
      </c>
      <c r="E106" s="164"/>
      <c r="F106" s="165"/>
      <c r="G106" s="164"/>
      <c r="H106" s="165"/>
      <c r="I106" s="164"/>
      <c r="J106" s="165"/>
      <c r="K106" s="164">
        <v>86400</v>
      </c>
      <c r="L106" s="165"/>
      <c r="M106" s="164">
        <v>89000</v>
      </c>
      <c r="N106" s="165"/>
      <c r="O106" s="164">
        <f t="shared" si="5"/>
        <v>86400</v>
      </c>
      <c r="P106" s="166"/>
      <c r="Q106" s="166"/>
      <c r="R106" s="166"/>
      <c r="S106" s="166"/>
      <c r="T106" s="166"/>
      <c r="U106" s="13"/>
      <c r="V106" s="13"/>
      <c r="W106" s="8" t="s">
        <v>3875</v>
      </c>
      <c r="X106" s="8"/>
      <c r="Y106" s="2"/>
      <c r="Z106" s="2"/>
      <c r="AA106" s="14"/>
      <c r="AB106" s="2"/>
    </row>
    <row r="107" spans="1:28" ht="30" customHeight="1">
      <c r="A107" s="8"/>
      <c r="B107" s="167" t="s">
        <v>3716</v>
      </c>
      <c r="C107" s="167" t="s">
        <v>3654</v>
      </c>
      <c r="D107" s="167" t="s">
        <v>3649</v>
      </c>
      <c r="E107" s="164"/>
      <c r="F107" s="165"/>
      <c r="G107" s="164"/>
      <c r="H107" s="165"/>
      <c r="I107" s="164"/>
      <c r="J107" s="165"/>
      <c r="K107" s="164">
        <v>97200</v>
      </c>
      <c r="L107" s="165"/>
      <c r="M107" s="164">
        <v>102500</v>
      </c>
      <c r="N107" s="165"/>
      <c r="O107" s="164">
        <f t="shared" si="5"/>
        <v>97200</v>
      </c>
      <c r="P107" s="166"/>
      <c r="Q107" s="166"/>
      <c r="R107" s="166"/>
      <c r="S107" s="166"/>
      <c r="T107" s="166"/>
      <c r="U107" s="13"/>
      <c r="V107" s="13"/>
      <c r="W107" s="8" t="s">
        <v>3876</v>
      </c>
      <c r="X107" s="8"/>
      <c r="Y107" s="2"/>
      <c r="Z107" s="2"/>
      <c r="AA107" s="14"/>
      <c r="AB107" s="2"/>
    </row>
    <row r="108" spans="1:28" ht="30" customHeight="1">
      <c r="A108" s="8"/>
      <c r="B108" s="167" t="s">
        <v>3716</v>
      </c>
      <c r="C108" s="167" t="s">
        <v>3655</v>
      </c>
      <c r="D108" s="167" t="s">
        <v>3649</v>
      </c>
      <c r="E108" s="164"/>
      <c r="F108" s="165"/>
      <c r="G108" s="164"/>
      <c r="H108" s="165"/>
      <c r="I108" s="164"/>
      <c r="J108" s="165"/>
      <c r="K108" s="164">
        <v>115200</v>
      </c>
      <c r="L108" s="165"/>
      <c r="M108" s="164">
        <v>125000</v>
      </c>
      <c r="N108" s="165"/>
      <c r="O108" s="164">
        <f t="shared" si="5"/>
        <v>115200</v>
      </c>
      <c r="P108" s="166"/>
      <c r="Q108" s="166"/>
      <c r="R108" s="166"/>
      <c r="S108" s="166"/>
      <c r="T108" s="166"/>
      <c r="U108" s="13"/>
      <c r="V108" s="13"/>
      <c r="W108" s="8" t="s">
        <v>2033</v>
      </c>
      <c r="X108" s="8"/>
      <c r="Y108" s="2"/>
      <c r="Z108" s="2"/>
      <c r="AA108" s="14"/>
      <c r="AB108" s="2"/>
    </row>
    <row r="109" spans="1:28" ht="30" customHeight="1">
      <c r="A109" s="8"/>
      <c r="B109" s="167" t="str">
        <f>'1층전시실산출'!B329</f>
        <v>아크릴 문자(5mm)</v>
      </c>
      <c r="C109" s="167" t="str">
        <f>'1층전시실산출'!C329</f>
        <v xml:space="preserve">남한산성 </v>
      </c>
      <c r="D109" s="167" t="str">
        <f>'1층전시실산출'!D329</f>
        <v>set</v>
      </c>
      <c r="E109" s="164"/>
      <c r="F109" s="165"/>
      <c r="G109" s="164"/>
      <c r="H109" s="165"/>
      <c r="I109" s="164"/>
      <c r="J109" s="165"/>
      <c r="K109" s="164">
        <v>56000</v>
      </c>
      <c r="L109" s="165"/>
      <c r="M109" s="164">
        <v>59000</v>
      </c>
      <c r="N109" s="165"/>
      <c r="O109" s="164">
        <f t="shared" si="5"/>
        <v>56000</v>
      </c>
      <c r="P109" s="166"/>
      <c r="Q109" s="166"/>
      <c r="R109" s="166"/>
      <c r="S109" s="166"/>
      <c r="T109" s="166"/>
      <c r="U109" s="13"/>
      <c r="V109" s="13"/>
      <c r="W109" s="8" t="s">
        <v>2034</v>
      </c>
      <c r="X109" s="8"/>
      <c r="Y109" s="2"/>
      <c r="Z109" s="2"/>
      <c r="AA109" s="14"/>
      <c r="AB109" s="2"/>
    </row>
    <row r="110" spans="1:28" ht="30" customHeight="1">
      <c r="A110" s="8"/>
      <c r="B110" s="167" t="str">
        <f>'1층전시실산출'!B330</f>
        <v>아크릴 문자(5mm)</v>
      </c>
      <c r="C110" s="167" t="str">
        <f>'1층전시실산출'!C330</f>
        <v>고구려의</v>
      </c>
      <c r="D110" s="167" t="str">
        <f>'1층전시실산출'!D330</f>
        <v>set</v>
      </c>
      <c r="E110" s="164"/>
      <c r="F110" s="165"/>
      <c r="G110" s="164"/>
      <c r="H110" s="165"/>
      <c r="I110" s="164"/>
      <c r="J110" s="165"/>
      <c r="K110" s="164">
        <v>56000</v>
      </c>
      <c r="L110" s="165"/>
      <c r="M110" s="164">
        <v>59000</v>
      </c>
      <c r="N110" s="165"/>
      <c r="O110" s="164">
        <f t="shared" si="5"/>
        <v>56000</v>
      </c>
      <c r="P110" s="166"/>
      <c r="Q110" s="166"/>
      <c r="R110" s="166"/>
      <c r="S110" s="166"/>
      <c r="T110" s="166"/>
      <c r="U110" s="13"/>
      <c r="V110" s="13"/>
      <c r="W110" s="8" t="s">
        <v>2035</v>
      </c>
      <c r="X110" s="8"/>
      <c r="Y110" s="2"/>
      <c r="Z110" s="2"/>
      <c r="AA110" s="14"/>
      <c r="AB110" s="2"/>
    </row>
    <row r="111" spans="1:28" ht="30" customHeight="1">
      <c r="A111" s="8"/>
      <c r="B111" s="167" t="str">
        <f>'1층전시실산출'!B331</f>
        <v>아크릴 문자(5mm)</v>
      </c>
      <c r="C111" s="167" t="str">
        <f>'1층전시실산출'!C331</f>
        <v>한성백제의</v>
      </c>
      <c r="D111" s="167" t="str">
        <f>'1층전시실산출'!D331</f>
        <v>set</v>
      </c>
      <c r="E111" s="164"/>
      <c r="F111" s="165"/>
      <c r="G111" s="164"/>
      <c r="H111" s="165"/>
      <c r="I111" s="164"/>
      <c r="J111" s="165"/>
      <c r="K111" s="164">
        <v>144000</v>
      </c>
      <c r="L111" s="165"/>
      <c r="M111" s="164">
        <v>156000</v>
      </c>
      <c r="N111" s="165"/>
      <c r="O111" s="164">
        <f t="shared" si="5"/>
        <v>144000</v>
      </c>
      <c r="P111" s="166"/>
      <c r="Q111" s="166"/>
      <c r="R111" s="166"/>
      <c r="S111" s="166"/>
      <c r="T111" s="166"/>
      <c r="U111" s="13"/>
      <c r="V111" s="13"/>
      <c r="W111" s="8" t="s">
        <v>2036</v>
      </c>
      <c r="X111" s="8"/>
      <c r="Y111" s="2"/>
      <c r="Z111" s="2"/>
      <c r="AA111" s="14"/>
      <c r="AB111" s="2"/>
    </row>
    <row r="112" spans="1:28" ht="30" customHeight="1">
      <c r="A112" s="8"/>
      <c r="B112" s="167" t="str">
        <f>'1층전시실산출'!B332</f>
        <v>아크릴 문자(5mm)</v>
      </c>
      <c r="C112" s="167" t="str">
        <f>'1층전시실산출'!C332</f>
        <v>간석기</v>
      </c>
      <c r="D112" s="167" t="str">
        <f>'1층전시실산출'!D332</f>
        <v>set</v>
      </c>
      <c r="E112" s="164"/>
      <c r="F112" s="165"/>
      <c r="G112" s="164"/>
      <c r="H112" s="165"/>
      <c r="I112" s="164"/>
      <c r="J112" s="165"/>
      <c r="K112" s="164">
        <v>45000</v>
      </c>
      <c r="L112" s="165"/>
      <c r="M112" s="164">
        <v>55000</v>
      </c>
      <c r="N112" s="165"/>
      <c r="O112" s="164">
        <f t="shared" si="5"/>
        <v>45000</v>
      </c>
      <c r="P112" s="166"/>
      <c r="Q112" s="166"/>
      <c r="R112" s="166"/>
      <c r="S112" s="166"/>
      <c r="T112" s="166"/>
      <c r="U112" s="13"/>
      <c r="V112" s="13"/>
      <c r="W112" s="8" t="s">
        <v>2037</v>
      </c>
      <c r="X112" s="8"/>
      <c r="Y112" s="2"/>
      <c r="Z112" s="2"/>
      <c r="AA112" s="14"/>
      <c r="AB112" s="2"/>
    </row>
    <row r="113" spans="1:28" ht="30" customHeight="1">
      <c r="A113" s="8"/>
      <c r="B113" s="167" t="str">
        <f>'1층전시실산출'!B333</f>
        <v>아크릴 문자(5mm)</v>
      </c>
      <c r="C113" s="167" t="str">
        <f>'1층전시실산출'!C333</f>
        <v>뗀석기</v>
      </c>
      <c r="D113" s="167" t="str">
        <f>'1층전시실산출'!D333</f>
        <v>set</v>
      </c>
      <c r="E113" s="164"/>
      <c r="F113" s="165"/>
      <c r="G113" s="164"/>
      <c r="H113" s="165"/>
      <c r="I113" s="164"/>
      <c r="J113" s="165"/>
      <c r="K113" s="164">
        <v>45000</v>
      </c>
      <c r="L113" s="165"/>
      <c r="M113" s="164">
        <v>55000</v>
      </c>
      <c r="N113" s="165"/>
      <c r="O113" s="164">
        <f t="shared" si="5"/>
        <v>45000</v>
      </c>
      <c r="P113" s="166"/>
      <c r="Q113" s="166"/>
      <c r="R113" s="166"/>
      <c r="S113" s="166"/>
      <c r="T113" s="166"/>
      <c r="U113" s="13"/>
      <c r="V113" s="13"/>
      <c r="W113" s="8" t="s">
        <v>3877</v>
      </c>
      <c r="X113" s="8"/>
      <c r="Y113" s="2"/>
      <c r="Z113" s="2"/>
      <c r="AA113" s="14"/>
      <c r="AB113" s="2"/>
    </row>
    <row r="114" spans="1:28" ht="30" customHeight="1">
      <c r="A114" s="8"/>
      <c r="B114" s="167" t="str">
        <f>'1층전시실산출'!B334</f>
        <v>아크릴 문자(5mm)</v>
      </c>
      <c r="C114" s="167" t="str">
        <f>'1층전시실산출'!C334</f>
        <v>선사, 고대</v>
      </c>
      <c r="D114" s="167" t="str">
        <f>'1층전시실산출'!D334</f>
        <v>set</v>
      </c>
      <c r="E114" s="164"/>
      <c r="F114" s="165"/>
      <c r="G114" s="164"/>
      <c r="H114" s="165"/>
      <c r="I114" s="164"/>
      <c r="J114" s="165"/>
      <c r="K114" s="164">
        <v>180000</v>
      </c>
      <c r="L114" s="165"/>
      <c r="M114" s="164">
        <v>200000</v>
      </c>
      <c r="N114" s="165"/>
      <c r="O114" s="164">
        <f t="shared" si="5"/>
        <v>180000</v>
      </c>
      <c r="P114" s="166"/>
      <c r="Q114" s="166"/>
      <c r="R114" s="166"/>
      <c r="S114" s="166"/>
      <c r="T114" s="166"/>
      <c r="U114" s="13"/>
      <c r="V114" s="13"/>
      <c r="W114" s="8" t="s">
        <v>3878</v>
      </c>
      <c r="X114" s="8"/>
      <c r="Y114" s="2"/>
      <c r="Z114" s="2"/>
      <c r="AA114" s="14"/>
      <c r="AB114" s="2"/>
    </row>
    <row r="115" spans="1:28" ht="30" customHeight="1">
      <c r="A115" s="8"/>
      <c r="B115" s="167" t="str">
        <f>'1층전시실산출'!B335</f>
        <v>아크릴 문자(5mm)</v>
      </c>
      <c r="C115" s="167" t="str">
        <f>'1층전시실산출'!C335</f>
        <v>선사,고대 경기</v>
      </c>
      <c r="D115" s="167" t="str">
        <f>'1층전시실산출'!D335</f>
        <v>set</v>
      </c>
      <c r="E115" s="164"/>
      <c r="F115" s="165"/>
      <c r="G115" s="164"/>
      <c r="H115" s="165"/>
      <c r="I115" s="164"/>
      <c r="J115" s="165"/>
      <c r="K115" s="164">
        <v>162000</v>
      </c>
      <c r="L115" s="165"/>
      <c r="M115" s="164">
        <v>185000</v>
      </c>
      <c r="N115" s="165"/>
      <c r="O115" s="164">
        <f t="shared" si="5"/>
        <v>162000</v>
      </c>
      <c r="P115" s="166"/>
      <c r="Q115" s="166"/>
      <c r="R115" s="166"/>
      <c r="S115" s="166"/>
      <c r="T115" s="166"/>
      <c r="U115" s="13"/>
      <c r="V115" s="13"/>
      <c r="W115" s="8" t="s">
        <v>3879</v>
      </c>
      <c r="X115" s="8"/>
      <c r="Y115" s="2"/>
      <c r="Z115" s="2"/>
      <c r="AA115" s="14"/>
      <c r="AB115" s="2"/>
    </row>
    <row r="116" spans="1:28" ht="30" customHeight="1">
      <c r="A116" s="8"/>
      <c r="B116" s="167" t="str">
        <f>'1층전시실산출'!B336</f>
        <v>아크릴 문자(5mm)</v>
      </c>
      <c r="C116" s="167" t="str">
        <f>'1층전시실산출'!C336</f>
        <v>A</v>
      </c>
      <c r="D116" s="167" t="str">
        <f>'1층전시실산출'!D336</f>
        <v>set</v>
      </c>
      <c r="E116" s="164"/>
      <c r="F116" s="165"/>
      <c r="G116" s="164"/>
      <c r="H116" s="165"/>
      <c r="I116" s="164"/>
      <c r="J116" s="165"/>
      <c r="K116" s="164">
        <v>15000</v>
      </c>
      <c r="L116" s="165"/>
      <c r="M116" s="164">
        <v>16500</v>
      </c>
      <c r="N116" s="165"/>
      <c r="O116" s="164">
        <f t="shared" si="5"/>
        <v>15000</v>
      </c>
      <c r="P116" s="166"/>
      <c r="Q116" s="166"/>
      <c r="R116" s="166"/>
      <c r="S116" s="166"/>
      <c r="T116" s="166"/>
      <c r="U116" s="13"/>
      <c r="V116" s="13"/>
      <c r="W116" s="8" t="s">
        <v>3880</v>
      </c>
      <c r="X116" s="8"/>
      <c r="Y116" s="2"/>
      <c r="Z116" s="2"/>
      <c r="AA116" s="14"/>
      <c r="AB116" s="2"/>
    </row>
    <row r="117" spans="1:28" ht="30" customHeight="1">
      <c r="A117" s="8"/>
      <c r="B117" s="167" t="str">
        <f>'1층전시실산출'!B337</f>
        <v>아크릴 문자(5mm)</v>
      </c>
      <c r="C117" s="167" t="str">
        <f>'1층전시실산출'!C337</f>
        <v>C</v>
      </c>
      <c r="D117" s="167" t="str">
        <f>'1층전시실산출'!D337</f>
        <v>set</v>
      </c>
      <c r="E117" s="164"/>
      <c r="F117" s="165"/>
      <c r="G117" s="164"/>
      <c r="H117" s="165"/>
      <c r="I117" s="164"/>
      <c r="J117" s="165"/>
      <c r="K117" s="164">
        <v>15000</v>
      </c>
      <c r="L117" s="165"/>
      <c r="M117" s="164">
        <v>16500</v>
      </c>
      <c r="N117" s="165"/>
      <c r="O117" s="164">
        <f t="shared" si="5"/>
        <v>15000</v>
      </c>
      <c r="P117" s="166"/>
      <c r="Q117" s="166"/>
      <c r="R117" s="166"/>
      <c r="S117" s="166"/>
      <c r="T117" s="166"/>
      <c r="U117" s="13"/>
      <c r="V117" s="13"/>
      <c r="W117" s="8" t="s">
        <v>2038</v>
      </c>
      <c r="X117" s="8"/>
      <c r="Y117" s="2"/>
      <c r="Z117" s="2"/>
      <c r="AA117" s="14"/>
      <c r="AB117" s="2"/>
    </row>
    <row r="118" spans="1:28" ht="30" customHeight="1">
      <c r="A118" s="8"/>
      <c r="B118" s="167" t="str">
        <f>'1층전시실산출'!B338</f>
        <v>아크릴 문자(5mm)</v>
      </c>
      <c r="C118" s="167" t="str">
        <f>'1층전시실산출'!C338</f>
        <v>D</v>
      </c>
      <c r="D118" s="167" t="str">
        <f>'1층전시실산출'!D338</f>
        <v>set</v>
      </c>
      <c r="E118" s="164"/>
      <c r="F118" s="165"/>
      <c r="G118" s="164"/>
      <c r="H118" s="165"/>
      <c r="I118" s="164"/>
      <c r="J118" s="165"/>
      <c r="K118" s="164">
        <v>15000</v>
      </c>
      <c r="L118" s="165"/>
      <c r="M118" s="164">
        <v>16500</v>
      </c>
      <c r="N118" s="165"/>
      <c r="O118" s="164">
        <f t="shared" si="5"/>
        <v>15000</v>
      </c>
      <c r="P118" s="166"/>
      <c r="Q118" s="166"/>
      <c r="R118" s="166"/>
      <c r="S118" s="166"/>
      <c r="T118" s="166"/>
      <c r="U118" s="13"/>
      <c r="V118" s="13"/>
      <c r="W118" s="8" t="s">
        <v>2039</v>
      </c>
      <c r="X118" s="8"/>
      <c r="Y118" s="2"/>
      <c r="Z118" s="2"/>
      <c r="AA118" s="14"/>
      <c r="AB118" s="2"/>
    </row>
    <row r="119" spans="1:28" ht="30" customHeight="1">
      <c r="A119" s="8" t="s">
        <v>433</v>
      </c>
      <c r="B119" s="157" t="s">
        <v>431</v>
      </c>
      <c r="C119" s="140" t="s">
        <v>3731</v>
      </c>
      <c r="D119" s="163" t="s">
        <v>321</v>
      </c>
      <c r="E119" s="164">
        <v>0</v>
      </c>
      <c r="F119" s="165" t="s">
        <v>51</v>
      </c>
      <c r="G119" s="164">
        <v>0</v>
      </c>
      <c r="H119" s="165" t="s">
        <v>51</v>
      </c>
      <c r="I119" s="164">
        <v>0</v>
      </c>
      <c r="J119" s="165" t="s">
        <v>51</v>
      </c>
      <c r="K119" s="164">
        <v>29500</v>
      </c>
      <c r="L119" s="165" t="s">
        <v>51</v>
      </c>
      <c r="M119" s="164">
        <v>32000</v>
      </c>
      <c r="N119" s="165" t="s">
        <v>51</v>
      </c>
      <c r="O119" s="164">
        <f t="shared" ref="O119:O135" si="7">SMALL(E119:M119,COUNTIF(E119:M119,0)+1)</f>
        <v>29500</v>
      </c>
      <c r="P119" s="166">
        <v>0</v>
      </c>
      <c r="Q119" s="166">
        <v>0</v>
      </c>
      <c r="R119" s="166">
        <v>0</v>
      </c>
      <c r="S119" s="166">
        <v>0</v>
      </c>
      <c r="T119" s="166">
        <v>0</v>
      </c>
      <c r="U119" s="13">
        <v>0</v>
      </c>
      <c r="V119" s="13">
        <v>0</v>
      </c>
      <c r="W119" s="8" t="s">
        <v>2040</v>
      </c>
      <c r="X119" s="8" t="s">
        <v>51</v>
      </c>
      <c r="Y119" s="2" t="s">
        <v>51</v>
      </c>
      <c r="Z119" s="2" t="s">
        <v>51</v>
      </c>
      <c r="AA119" s="14"/>
      <c r="AB119" s="2" t="s">
        <v>51</v>
      </c>
    </row>
    <row r="120" spans="1:28" ht="30" customHeight="1">
      <c r="A120" s="8" t="s">
        <v>443</v>
      </c>
      <c r="B120" s="157" t="s">
        <v>431</v>
      </c>
      <c r="C120" s="140" t="s">
        <v>3733</v>
      </c>
      <c r="D120" s="163" t="s">
        <v>321</v>
      </c>
      <c r="E120" s="164">
        <v>0</v>
      </c>
      <c r="F120" s="165" t="s">
        <v>51</v>
      </c>
      <c r="G120" s="164">
        <v>0</v>
      </c>
      <c r="H120" s="165" t="s">
        <v>51</v>
      </c>
      <c r="I120" s="164">
        <v>0</v>
      </c>
      <c r="J120" s="165" t="s">
        <v>51</v>
      </c>
      <c r="K120" s="164">
        <v>18500</v>
      </c>
      <c r="L120" s="165" t="s">
        <v>51</v>
      </c>
      <c r="M120" s="164">
        <v>21000</v>
      </c>
      <c r="N120" s="165" t="s">
        <v>51</v>
      </c>
      <c r="O120" s="164">
        <f t="shared" si="7"/>
        <v>18500</v>
      </c>
      <c r="P120" s="166">
        <v>0</v>
      </c>
      <c r="Q120" s="166">
        <v>0</v>
      </c>
      <c r="R120" s="166">
        <v>0</v>
      </c>
      <c r="S120" s="166">
        <v>0</v>
      </c>
      <c r="T120" s="166">
        <v>0</v>
      </c>
      <c r="U120" s="13">
        <v>0</v>
      </c>
      <c r="V120" s="13">
        <v>0</v>
      </c>
      <c r="W120" s="8" t="s">
        <v>2041</v>
      </c>
      <c r="X120" s="8" t="s">
        <v>51</v>
      </c>
      <c r="Y120" s="2" t="s">
        <v>51</v>
      </c>
      <c r="Z120" s="2" t="s">
        <v>51</v>
      </c>
      <c r="AA120" s="14"/>
      <c r="AB120" s="2" t="s">
        <v>51</v>
      </c>
    </row>
    <row r="121" spans="1:28" ht="30" customHeight="1">
      <c r="A121" s="8" t="s">
        <v>444</v>
      </c>
      <c r="B121" s="157" t="s">
        <v>431</v>
      </c>
      <c r="C121" s="140" t="s">
        <v>2604</v>
      </c>
      <c r="D121" s="163" t="s">
        <v>321</v>
      </c>
      <c r="E121" s="164">
        <v>0</v>
      </c>
      <c r="F121" s="165" t="s">
        <v>51</v>
      </c>
      <c r="G121" s="164">
        <v>0</v>
      </c>
      <c r="H121" s="165" t="s">
        <v>51</v>
      </c>
      <c r="I121" s="164">
        <v>0</v>
      </c>
      <c r="J121" s="165" t="s">
        <v>51</v>
      </c>
      <c r="K121" s="164">
        <v>5250</v>
      </c>
      <c r="L121" s="165" t="s">
        <v>51</v>
      </c>
      <c r="M121" s="164">
        <v>6800</v>
      </c>
      <c r="N121" s="165" t="s">
        <v>51</v>
      </c>
      <c r="O121" s="164">
        <f t="shared" si="7"/>
        <v>5250</v>
      </c>
      <c r="P121" s="166">
        <v>0</v>
      </c>
      <c r="Q121" s="166">
        <v>0</v>
      </c>
      <c r="R121" s="166">
        <v>0</v>
      </c>
      <c r="S121" s="166">
        <v>0</v>
      </c>
      <c r="T121" s="166">
        <v>0</v>
      </c>
      <c r="U121" s="13">
        <v>0</v>
      </c>
      <c r="V121" s="13">
        <v>0</v>
      </c>
      <c r="W121" s="8" t="s">
        <v>2042</v>
      </c>
      <c r="X121" s="8" t="s">
        <v>51</v>
      </c>
      <c r="Y121" s="2" t="s">
        <v>51</v>
      </c>
      <c r="Z121" s="2" t="s">
        <v>51</v>
      </c>
      <c r="AA121" s="14"/>
      <c r="AB121" s="2" t="s">
        <v>51</v>
      </c>
    </row>
    <row r="122" spans="1:28" ht="30" customHeight="1">
      <c r="A122" s="8" t="s">
        <v>445</v>
      </c>
      <c r="B122" s="157" t="s">
        <v>431</v>
      </c>
      <c r="C122" s="140" t="s">
        <v>3734</v>
      </c>
      <c r="D122" s="163" t="s">
        <v>321</v>
      </c>
      <c r="E122" s="164">
        <v>0</v>
      </c>
      <c r="F122" s="165" t="s">
        <v>51</v>
      </c>
      <c r="G122" s="164">
        <v>0</v>
      </c>
      <c r="H122" s="165" t="s">
        <v>51</v>
      </c>
      <c r="I122" s="164">
        <v>0</v>
      </c>
      <c r="J122" s="165" t="s">
        <v>51</v>
      </c>
      <c r="K122" s="164">
        <v>5250</v>
      </c>
      <c r="L122" s="165" t="s">
        <v>51</v>
      </c>
      <c r="M122" s="164">
        <v>6800</v>
      </c>
      <c r="N122" s="165" t="s">
        <v>51</v>
      </c>
      <c r="O122" s="164">
        <f t="shared" si="7"/>
        <v>5250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3">
        <v>0</v>
      </c>
      <c r="V122" s="13">
        <v>0</v>
      </c>
      <c r="W122" s="8" t="s">
        <v>2043</v>
      </c>
      <c r="X122" s="8" t="s">
        <v>51</v>
      </c>
      <c r="Y122" s="2" t="s">
        <v>51</v>
      </c>
      <c r="Z122" s="2" t="s">
        <v>51</v>
      </c>
      <c r="AA122" s="14"/>
      <c r="AB122" s="2" t="s">
        <v>51</v>
      </c>
    </row>
    <row r="123" spans="1:28" ht="30" customHeight="1">
      <c r="A123" s="8" t="s">
        <v>447</v>
      </c>
      <c r="B123" s="157" t="s">
        <v>431</v>
      </c>
      <c r="C123" s="140" t="s">
        <v>3732</v>
      </c>
      <c r="D123" s="163" t="s">
        <v>321</v>
      </c>
      <c r="E123" s="164">
        <v>0</v>
      </c>
      <c r="F123" s="165" t="s">
        <v>51</v>
      </c>
      <c r="G123" s="164">
        <v>0</v>
      </c>
      <c r="H123" s="165" t="s">
        <v>51</v>
      </c>
      <c r="I123" s="164">
        <v>0</v>
      </c>
      <c r="J123" s="165" t="s">
        <v>51</v>
      </c>
      <c r="K123" s="164">
        <v>15750</v>
      </c>
      <c r="L123" s="165" t="s">
        <v>51</v>
      </c>
      <c r="M123" s="164">
        <v>16800</v>
      </c>
      <c r="N123" s="165" t="s">
        <v>51</v>
      </c>
      <c r="O123" s="164">
        <f t="shared" si="7"/>
        <v>15750</v>
      </c>
      <c r="P123" s="166">
        <v>0</v>
      </c>
      <c r="Q123" s="166">
        <v>0</v>
      </c>
      <c r="R123" s="166">
        <v>0</v>
      </c>
      <c r="S123" s="166">
        <v>0</v>
      </c>
      <c r="T123" s="166">
        <v>0</v>
      </c>
      <c r="U123" s="13">
        <v>0</v>
      </c>
      <c r="V123" s="13">
        <v>0</v>
      </c>
      <c r="W123" s="8" t="s">
        <v>2044</v>
      </c>
      <c r="X123" s="8" t="s">
        <v>51</v>
      </c>
      <c r="Y123" s="2" t="s">
        <v>51</v>
      </c>
      <c r="Z123" s="2" t="s">
        <v>51</v>
      </c>
      <c r="AA123" s="14"/>
      <c r="AB123" s="2" t="s">
        <v>51</v>
      </c>
    </row>
    <row r="124" spans="1:28" ht="30" customHeight="1">
      <c r="A124" s="8" t="s">
        <v>450</v>
      </c>
      <c r="B124" s="157" t="s">
        <v>449</v>
      </c>
      <c r="C124" s="157" t="s">
        <v>477</v>
      </c>
      <c r="D124" s="163" t="s">
        <v>321</v>
      </c>
      <c r="E124" s="164">
        <v>0</v>
      </c>
      <c r="F124" s="165" t="s">
        <v>51</v>
      </c>
      <c r="G124" s="164">
        <v>0</v>
      </c>
      <c r="H124" s="165" t="s">
        <v>51</v>
      </c>
      <c r="I124" s="164">
        <v>0</v>
      </c>
      <c r="J124" s="165" t="s">
        <v>51</v>
      </c>
      <c r="K124" s="164">
        <v>72000</v>
      </c>
      <c r="L124" s="165" t="s">
        <v>51</v>
      </c>
      <c r="M124" s="164">
        <v>82000</v>
      </c>
      <c r="N124" s="165" t="s">
        <v>51</v>
      </c>
      <c r="O124" s="164">
        <f t="shared" si="7"/>
        <v>72000</v>
      </c>
      <c r="P124" s="166">
        <v>0</v>
      </c>
      <c r="Q124" s="166">
        <v>0</v>
      </c>
      <c r="R124" s="166">
        <v>0</v>
      </c>
      <c r="S124" s="166">
        <v>0</v>
      </c>
      <c r="T124" s="166">
        <v>0</v>
      </c>
      <c r="U124" s="13">
        <v>0</v>
      </c>
      <c r="V124" s="13">
        <v>0</v>
      </c>
      <c r="W124" s="8" t="s">
        <v>2045</v>
      </c>
      <c r="X124" s="8" t="s">
        <v>51</v>
      </c>
      <c r="Y124" s="2" t="s">
        <v>51</v>
      </c>
      <c r="Z124" s="2" t="s">
        <v>51</v>
      </c>
      <c r="AA124" s="14"/>
      <c r="AB124" s="2" t="s">
        <v>51</v>
      </c>
    </row>
    <row r="125" spans="1:28" ht="30" customHeight="1">
      <c r="A125" s="8" t="s">
        <v>453</v>
      </c>
      <c r="B125" s="157" t="s">
        <v>449</v>
      </c>
      <c r="C125" s="157" t="s">
        <v>480</v>
      </c>
      <c r="D125" s="163" t="s">
        <v>321</v>
      </c>
      <c r="E125" s="164">
        <v>0</v>
      </c>
      <c r="F125" s="165" t="s">
        <v>51</v>
      </c>
      <c r="G125" s="164">
        <v>0</v>
      </c>
      <c r="H125" s="165" t="s">
        <v>51</v>
      </c>
      <c r="I125" s="164">
        <v>0</v>
      </c>
      <c r="J125" s="165" t="s">
        <v>51</v>
      </c>
      <c r="K125" s="164">
        <v>432000</v>
      </c>
      <c r="L125" s="165" t="s">
        <v>51</v>
      </c>
      <c r="M125" s="164">
        <v>460000</v>
      </c>
      <c r="N125" s="165" t="s">
        <v>51</v>
      </c>
      <c r="O125" s="164">
        <f t="shared" si="7"/>
        <v>432000</v>
      </c>
      <c r="P125" s="166">
        <v>0</v>
      </c>
      <c r="Q125" s="166">
        <v>0</v>
      </c>
      <c r="R125" s="166">
        <v>0</v>
      </c>
      <c r="S125" s="166">
        <v>0</v>
      </c>
      <c r="T125" s="166">
        <v>0</v>
      </c>
      <c r="U125" s="13">
        <v>0</v>
      </c>
      <c r="V125" s="13">
        <v>0</v>
      </c>
      <c r="W125" s="8" t="s">
        <v>2046</v>
      </c>
      <c r="X125" s="8" t="s">
        <v>51</v>
      </c>
      <c r="Y125" s="2" t="s">
        <v>51</v>
      </c>
      <c r="Z125" s="2" t="s">
        <v>51</v>
      </c>
      <c r="AA125" s="14"/>
      <c r="AB125" s="2" t="s">
        <v>51</v>
      </c>
    </row>
    <row r="126" spans="1:28" ht="30" customHeight="1">
      <c r="A126" s="8" t="s">
        <v>456</v>
      </c>
      <c r="B126" s="157" t="s">
        <v>449</v>
      </c>
      <c r="C126" s="157" t="s">
        <v>432</v>
      </c>
      <c r="D126" s="163" t="s">
        <v>321</v>
      </c>
      <c r="E126" s="164">
        <v>0</v>
      </c>
      <c r="F126" s="165" t="s">
        <v>51</v>
      </c>
      <c r="G126" s="164">
        <v>0</v>
      </c>
      <c r="H126" s="165" t="s">
        <v>51</v>
      </c>
      <c r="I126" s="164">
        <v>0</v>
      </c>
      <c r="J126" s="165" t="s">
        <v>51</v>
      </c>
      <c r="K126" s="164">
        <v>3600</v>
      </c>
      <c r="L126" s="165" t="s">
        <v>51</v>
      </c>
      <c r="M126" s="164">
        <v>3800</v>
      </c>
      <c r="N126" s="165" t="s">
        <v>51</v>
      </c>
      <c r="O126" s="164">
        <f t="shared" si="7"/>
        <v>3600</v>
      </c>
      <c r="P126" s="166">
        <v>0</v>
      </c>
      <c r="Q126" s="166">
        <v>0</v>
      </c>
      <c r="R126" s="166">
        <v>0</v>
      </c>
      <c r="S126" s="166">
        <v>0</v>
      </c>
      <c r="T126" s="166">
        <v>0</v>
      </c>
      <c r="U126" s="13">
        <v>0</v>
      </c>
      <c r="V126" s="13">
        <v>0</v>
      </c>
      <c r="W126" s="8" t="s">
        <v>2047</v>
      </c>
      <c r="X126" s="8" t="s">
        <v>51</v>
      </c>
      <c r="Y126" s="2" t="s">
        <v>51</v>
      </c>
      <c r="Z126" s="2" t="s">
        <v>51</v>
      </c>
      <c r="AA126" s="14"/>
      <c r="AB126" s="2" t="s">
        <v>51</v>
      </c>
    </row>
    <row r="127" spans="1:28" ht="30" customHeight="1">
      <c r="A127" s="8" t="s">
        <v>458</v>
      </c>
      <c r="B127" s="157" t="s">
        <v>449</v>
      </c>
      <c r="C127" s="157" t="s">
        <v>452</v>
      </c>
      <c r="D127" s="163" t="s">
        <v>321</v>
      </c>
      <c r="E127" s="164">
        <v>0</v>
      </c>
      <c r="F127" s="165" t="s">
        <v>51</v>
      </c>
      <c r="G127" s="164">
        <v>0</v>
      </c>
      <c r="H127" s="165" t="s">
        <v>51</v>
      </c>
      <c r="I127" s="164">
        <v>0</v>
      </c>
      <c r="J127" s="165" t="s">
        <v>51</v>
      </c>
      <c r="K127" s="164">
        <v>3600</v>
      </c>
      <c r="L127" s="165" t="s">
        <v>51</v>
      </c>
      <c r="M127" s="164">
        <v>4200</v>
      </c>
      <c r="N127" s="165" t="s">
        <v>51</v>
      </c>
      <c r="O127" s="164">
        <f t="shared" si="7"/>
        <v>3600</v>
      </c>
      <c r="P127" s="166">
        <v>0</v>
      </c>
      <c r="Q127" s="166">
        <v>0</v>
      </c>
      <c r="R127" s="166">
        <v>0</v>
      </c>
      <c r="S127" s="166">
        <v>0</v>
      </c>
      <c r="T127" s="166">
        <v>0</v>
      </c>
      <c r="U127" s="13">
        <v>0</v>
      </c>
      <c r="V127" s="13">
        <v>0</v>
      </c>
      <c r="W127" s="8" t="s">
        <v>2048</v>
      </c>
      <c r="X127" s="8" t="s">
        <v>51</v>
      </c>
      <c r="Y127" s="2" t="s">
        <v>51</v>
      </c>
      <c r="Z127" s="2" t="s">
        <v>51</v>
      </c>
      <c r="AA127" s="14"/>
      <c r="AB127" s="2" t="s">
        <v>51</v>
      </c>
    </row>
    <row r="128" spans="1:28" ht="30" customHeight="1">
      <c r="A128" s="8" t="s">
        <v>461</v>
      </c>
      <c r="B128" s="157" t="s">
        <v>449</v>
      </c>
      <c r="C128" s="157" t="s">
        <v>455</v>
      </c>
      <c r="D128" s="163" t="s">
        <v>321</v>
      </c>
      <c r="E128" s="164">
        <v>0</v>
      </c>
      <c r="F128" s="165" t="s">
        <v>51</v>
      </c>
      <c r="G128" s="164">
        <v>0</v>
      </c>
      <c r="H128" s="165" t="s">
        <v>51</v>
      </c>
      <c r="I128" s="164">
        <v>0</v>
      </c>
      <c r="J128" s="165" t="s">
        <v>51</v>
      </c>
      <c r="K128" s="164">
        <v>10800</v>
      </c>
      <c r="L128" s="165" t="s">
        <v>51</v>
      </c>
      <c r="M128" s="164">
        <v>12000</v>
      </c>
      <c r="N128" s="165" t="s">
        <v>51</v>
      </c>
      <c r="O128" s="164">
        <f t="shared" si="7"/>
        <v>10800</v>
      </c>
      <c r="P128" s="166">
        <v>0</v>
      </c>
      <c r="Q128" s="166">
        <v>0</v>
      </c>
      <c r="R128" s="166">
        <v>0</v>
      </c>
      <c r="S128" s="166">
        <v>0</v>
      </c>
      <c r="T128" s="166">
        <v>0</v>
      </c>
      <c r="U128" s="13">
        <v>0</v>
      </c>
      <c r="V128" s="13">
        <v>0</v>
      </c>
      <c r="W128" s="8" t="s">
        <v>2049</v>
      </c>
      <c r="X128" s="8" t="s">
        <v>51</v>
      </c>
      <c r="Y128" s="2" t="s">
        <v>51</v>
      </c>
      <c r="Z128" s="2" t="s">
        <v>51</v>
      </c>
      <c r="AA128" s="14"/>
      <c r="AB128" s="2" t="s">
        <v>51</v>
      </c>
    </row>
    <row r="129" spans="1:28" ht="30" customHeight="1">
      <c r="A129" s="8" t="s">
        <v>464</v>
      </c>
      <c r="B129" s="157" t="s">
        <v>449</v>
      </c>
      <c r="C129" s="157" t="s">
        <v>437</v>
      </c>
      <c r="D129" s="163" t="s">
        <v>321</v>
      </c>
      <c r="E129" s="164">
        <v>0</v>
      </c>
      <c r="F129" s="165" t="s">
        <v>51</v>
      </c>
      <c r="G129" s="164">
        <v>0</v>
      </c>
      <c r="H129" s="165" t="s">
        <v>51</v>
      </c>
      <c r="I129" s="164">
        <v>0</v>
      </c>
      <c r="J129" s="165" t="s">
        <v>51</v>
      </c>
      <c r="K129" s="164">
        <v>7200</v>
      </c>
      <c r="L129" s="165" t="s">
        <v>51</v>
      </c>
      <c r="M129" s="164">
        <v>8800</v>
      </c>
      <c r="N129" s="165" t="s">
        <v>51</v>
      </c>
      <c r="O129" s="164">
        <f t="shared" si="7"/>
        <v>7200</v>
      </c>
      <c r="P129" s="166">
        <v>0</v>
      </c>
      <c r="Q129" s="166">
        <v>0</v>
      </c>
      <c r="R129" s="166">
        <v>0</v>
      </c>
      <c r="S129" s="166">
        <v>0</v>
      </c>
      <c r="T129" s="166">
        <v>0</v>
      </c>
      <c r="U129" s="13">
        <v>0</v>
      </c>
      <c r="V129" s="13">
        <v>0</v>
      </c>
      <c r="W129" s="8" t="s">
        <v>2050</v>
      </c>
      <c r="X129" s="8" t="s">
        <v>51</v>
      </c>
      <c r="Y129" s="2" t="s">
        <v>51</v>
      </c>
      <c r="Z129" s="2" t="s">
        <v>51</v>
      </c>
      <c r="AA129" s="14"/>
      <c r="AB129" s="2" t="s">
        <v>51</v>
      </c>
    </row>
    <row r="130" spans="1:28" ht="30" customHeight="1">
      <c r="A130" s="8" t="s">
        <v>467</v>
      </c>
      <c r="B130" s="157" t="s">
        <v>449</v>
      </c>
      <c r="C130" s="157" t="s">
        <v>460</v>
      </c>
      <c r="D130" s="163" t="s">
        <v>321</v>
      </c>
      <c r="E130" s="164">
        <v>0</v>
      </c>
      <c r="F130" s="165" t="s">
        <v>51</v>
      </c>
      <c r="G130" s="164">
        <v>0</v>
      </c>
      <c r="H130" s="165" t="s">
        <v>51</v>
      </c>
      <c r="I130" s="164">
        <v>0</v>
      </c>
      <c r="J130" s="165" t="s">
        <v>51</v>
      </c>
      <c r="K130" s="164">
        <v>19200</v>
      </c>
      <c r="L130" s="165" t="s">
        <v>51</v>
      </c>
      <c r="M130" s="164">
        <v>20200</v>
      </c>
      <c r="N130" s="165" t="s">
        <v>51</v>
      </c>
      <c r="O130" s="164">
        <f t="shared" si="7"/>
        <v>19200</v>
      </c>
      <c r="P130" s="166">
        <v>0</v>
      </c>
      <c r="Q130" s="166">
        <v>0</v>
      </c>
      <c r="R130" s="166">
        <v>0</v>
      </c>
      <c r="S130" s="166">
        <v>0</v>
      </c>
      <c r="T130" s="166">
        <v>0</v>
      </c>
      <c r="U130" s="13">
        <v>0</v>
      </c>
      <c r="V130" s="13">
        <v>0</v>
      </c>
      <c r="W130" s="8" t="s">
        <v>3881</v>
      </c>
      <c r="X130" s="8" t="s">
        <v>51</v>
      </c>
      <c r="Y130" s="2" t="s">
        <v>51</v>
      </c>
      <c r="Z130" s="2" t="s">
        <v>51</v>
      </c>
      <c r="AA130" s="14"/>
      <c r="AB130" s="2" t="s">
        <v>51</v>
      </c>
    </row>
    <row r="131" spans="1:28" ht="30" customHeight="1">
      <c r="A131" s="8" t="s">
        <v>469</v>
      </c>
      <c r="B131" s="157" t="s">
        <v>449</v>
      </c>
      <c r="C131" s="157" t="s">
        <v>463</v>
      </c>
      <c r="D131" s="163" t="s">
        <v>321</v>
      </c>
      <c r="E131" s="164">
        <v>0</v>
      </c>
      <c r="F131" s="165" t="s">
        <v>51</v>
      </c>
      <c r="G131" s="164">
        <v>0</v>
      </c>
      <c r="H131" s="165" t="s">
        <v>51</v>
      </c>
      <c r="I131" s="164">
        <v>0</v>
      </c>
      <c r="J131" s="165" t="s">
        <v>51</v>
      </c>
      <c r="K131" s="164">
        <v>12000</v>
      </c>
      <c r="L131" s="165" t="s">
        <v>51</v>
      </c>
      <c r="M131" s="164">
        <v>15200</v>
      </c>
      <c r="N131" s="165" t="s">
        <v>51</v>
      </c>
      <c r="O131" s="164">
        <f t="shared" si="7"/>
        <v>12000</v>
      </c>
      <c r="P131" s="166">
        <v>0</v>
      </c>
      <c r="Q131" s="166">
        <v>0</v>
      </c>
      <c r="R131" s="166">
        <v>0</v>
      </c>
      <c r="S131" s="166">
        <v>0</v>
      </c>
      <c r="T131" s="166">
        <v>0</v>
      </c>
      <c r="U131" s="13">
        <v>0</v>
      </c>
      <c r="V131" s="13">
        <v>0</v>
      </c>
      <c r="W131" s="8" t="s">
        <v>3882</v>
      </c>
      <c r="X131" s="8" t="s">
        <v>51</v>
      </c>
      <c r="Y131" s="2" t="s">
        <v>51</v>
      </c>
      <c r="Z131" s="2" t="s">
        <v>51</v>
      </c>
      <c r="AA131" s="14"/>
      <c r="AB131" s="2" t="s">
        <v>51</v>
      </c>
    </row>
    <row r="132" spans="1:28" ht="30" customHeight="1">
      <c r="A132" s="8" t="s">
        <v>472</v>
      </c>
      <c r="B132" s="157" t="s">
        <v>449</v>
      </c>
      <c r="C132" s="157" t="s">
        <v>466</v>
      </c>
      <c r="D132" s="163" t="s">
        <v>321</v>
      </c>
      <c r="E132" s="164">
        <v>0</v>
      </c>
      <c r="F132" s="165" t="s">
        <v>51</v>
      </c>
      <c r="G132" s="164">
        <v>0</v>
      </c>
      <c r="H132" s="165" t="s">
        <v>51</v>
      </c>
      <c r="I132" s="164">
        <v>0</v>
      </c>
      <c r="J132" s="165" t="s">
        <v>51</v>
      </c>
      <c r="K132" s="164">
        <v>16800</v>
      </c>
      <c r="L132" s="165" t="s">
        <v>51</v>
      </c>
      <c r="M132" s="164">
        <v>17500</v>
      </c>
      <c r="N132" s="165" t="s">
        <v>51</v>
      </c>
      <c r="O132" s="164">
        <f t="shared" si="7"/>
        <v>16800</v>
      </c>
      <c r="P132" s="166">
        <v>0</v>
      </c>
      <c r="Q132" s="166">
        <v>0</v>
      </c>
      <c r="R132" s="166">
        <v>0</v>
      </c>
      <c r="S132" s="166">
        <v>0</v>
      </c>
      <c r="T132" s="166">
        <v>0</v>
      </c>
      <c r="U132" s="13">
        <v>0</v>
      </c>
      <c r="V132" s="13">
        <v>0</v>
      </c>
      <c r="W132" s="8" t="s">
        <v>2051</v>
      </c>
      <c r="X132" s="8" t="s">
        <v>51</v>
      </c>
      <c r="Y132" s="2" t="s">
        <v>51</v>
      </c>
      <c r="Z132" s="2" t="s">
        <v>51</v>
      </c>
      <c r="AA132" s="14"/>
      <c r="AB132" s="2" t="s">
        <v>51</v>
      </c>
    </row>
    <row r="133" spans="1:28" ht="30" customHeight="1">
      <c r="A133" s="8" t="s">
        <v>475</v>
      </c>
      <c r="B133" s="157" t="s">
        <v>449</v>
      </c>
      <c r="C133" s="157" t="s">
        <v>440</v>
      </c>
      <c r="D133" s="163" t="s">
        <v>321</v>
      </c>
      <c r="E133" s="164">
        <v>0</v>
      </c>
      <c r="F133" s="165" t="s">
        <v>51</v>
      </c>
      <c r="G133" s="164">
        <v>0</v>
      </c>
      <c r="H133" s="165" t="s">
        <v>51</v>
      </c>
      <c r="I133" s="164">
        <v>0</v>
      </c>
      <c r="J133" s="165" t="s">
        <v>51</v>
      </c>
      <c r="K133" s="164">
        <v>9000</v>
      </c>
      <c r="L133" s="165" t="s">
        <v>51</v>
      </c>
      <c r="M133" s="164">
        <v>10000</v>
      </c>
      <c r="N133" s="165" t="s">
        <v>51</v>
      </c>
      <c r="O133" s="164">
        <f t="shared" si="7"/>
        <v>9000</v>
      </c>
      <c r="P133" s="166">
        <v>0</v>
      </c>
      <c r="Q133" s="166">
        <v>0</v>
      </c>
      <c r="R133" s="166">
        <v>0</v>
      </c>
      <c r="S133" s="166">
        <v>0</v>
      </c>
      <c r="T133" s="166">
        <v>0</v>
      </c>
      <c r="U133" s="13">
        <v>0</v>
      </c>
      <c r="V133" s="13">
        <v>0</v>
      </c>
      <c r="W133" s="8" t="s">
        <v>2052</v>
      </c>
      <c r="X133" s="8" t="s">
        <v>51</v>
      </c>
      <c r="Y133" s="2" t="s">
        <v>51</v>
      </c>
      <c r="Z133" s="2" t="s">
        <v>51</v>
      </c>
      <c r="AA133" s="14"/>
      <c r="AB133" s="2" t="s">
        <v>51</v>
      </c>
    </row>
    <row r="134" spans="1:28" ht="30" customHeight="1">
      <c r="A134" s="8" t="s">
        <v>478</v>
      </c>
      <c r="B134" s="157" t="s">
        <v>449</v>
      </c>
      <c r="C134" s="157" t="s">
        <v>471</v>
      </c>
      <c r="D134" s="163" t="s">
        <v>321</v>
      </c>
      <c r="E134" s="164">
        <v>0</v>
      </c>
      <c r="F134" s="165" t="s">
        <v>51</v>
      </c>
      <c r="G134" s="164">
        <v>0</v>
      </c>
      <c r="H134" s="165" t="s">
        <v>51</v>
      </c>
      <c r="I134" s="164">
        <v>0</v>
      </c>
      <c r="J134" s="165" t="s">
        <v>51</v>
      </c>
      <c r="K134" s="164">
        <v>18000</v>
      </c>
      <c r="L134" s="165" t="s">
        <v>51</v>
      </c>
      <c r="M134" s="164">
        <v>20900</v>
      </c>
      <c r="N134" s="165" t="s">
        <v>51</v>
      </c>
      <c r="O134" s="164">
        <f t="shared" si="7"/>
        <v>18000</v>
      </c>
      <c r="P134" s="166">
        <v>0</v>
      </c>
      <c r="Q134" s="166">
        <v>0</v>
      </c>
      <c r="R134" s="166">
        <v>0</v>
      </c>
      <c r="S134" s="166">
        <v>0</v>
      </c>
      <c r="T134" s="166">
        <v>0</v>
      </c>
      <c r="U134" s="13">
        <v>0</v>
      </c>
      <c r="V134" s="13">
        <v>0</v>
      </c>
      <c r="W134" s="8" t="s">
        <v>2053</v>
      </c>
      <c r="X134" s="8" t="s">
        <v>51</v>
      </c>
      <c r="Y134" s="2" t="s">
        <v>51</v>
      </c>
      <c r="Z134" s="2" t="s">
        <v>51</v>
      </c>
      <c r="AA134" s="14"/>
      <c r="AB134" s="2" t="s">
        <v>51</v>
      </c>
    </row>
    <row r="135" spans="1:28" ht="30" customHeight="1">
      <c r="A135" s="8" t="s">
        <v>481</v>
      </c>
      <c r="B135" s="157" t="s">
        <v>449</v>
      </c>
      <c r="C135" s="157" t="s">
        <v>474</v>
      </c>
      <c r="D135" s="163" t="s">
        <v>321</v>
      </c>
      <c r="E135" s="164">
        <v>0</v>
      </c>
      <c r="F135" s="165" t="s">
        <v>51</v>
      </c>
      <c r="G135" s="164">
        <v>0</v>
      </c>
      <c r="H135" s="165" t="s">
        <v>51</v>
      </c>
      <c r="I135" s="164">
        <v>0</v>
      </c>
      <c r="J135" s="165" t="s">
        <v>51</v>
      </c>
      <c r="K135" s="164">
        <v>24000</v>
      </c>
      <c r="L135" s="165" t="s">
        <v>51</v>
      </c>
      <c r="M135" s="164">
        <v>26500</v>
      </c>
      <c r="N135" s="165" t="s">
        <v>51</v>
      </c>
      <c r="O135" s="164">
        <f t="shared" si="7"/>
        <v>24000</v>
      </c>
      <c r="P135" s="166">
        <v>0</v>
      </c>
      <c r="Q135" s="166">
        <v>0</v>
      </c>
      <c r="R135" s="166">
        <v>0</v>
      </c>
      <c r="S135" s="166">
        <v>0</v>
      </c>
      <c r="T135" s="166">
        <v>0</v>
      </c>
      <c r="U135" s="13">
        <v>0</v>
      </c>
      <c r="V135" s="13">
        <v>0</v>
      </c>
      <c r="W135" s="8" t="s">
        <v>2054</v>
      </c>
      <c r="X135" s="8" t="s">
        <v>51</v>
      </c>
      <c r="Y135" s="2" t="s">
        <v>51</v>
      </c>
      <c r="Z135" s="2" t="s">
        <v>51</v>
      </c>
      <c r="AA135" s="14"/>
      <c r="AB135" s="2" t="s">
        <v>51</v>
      </c>
    </row>
    <row r="136" spans="1:28" ht="30" customHeight="1">
      <c r="A136" s="8" t="s">
        <v>485</v>
      </c>
      <c r="B136" s="157" t="s">
        <v>483</v>
      </c>
      <c r="C136" s="157" t="s">
        <v>484</v>
      </c>
      <c r="D136" s="163" t="s">
        <v>419</v>
      </c>
      <c r="E136" s="164">
        <v>0</v>
      </c>
      <c r="F136" s="165" t="s">
        <v>51</v>
      </c>
      <c r="G136" s="164">
        <v>0</v>
      </c>
      <c r="H136" s="165" t="s">
        <v>51</v>
      </c>
      <c r="I136" s="164">
        <v>0</v>
      </c>
      <c r="J136" s="165" t="s">
        <v>51</v>
      </c>
      <c r="K136" s="164">
        <v>0</v>
      </c>
      <c r="L136" s="165" t="s">
        <v>51</v>
      </c>
      <c r="M136" s="164">
        <v>0</v>
      </c>
      <c r="N136" s="165" t="s">
        <v>51</v>
      </c>
      <c r="O136" s="164"/>
      <c r="P136" s="166">
        <v>189600</v>
      </c>
      <c r="Q136" s="166">
        <v>0</v>
      </c>
      <c r="R136" s="166">
        <v>0</v>
      </c>
      <c r="S136" s="166">
        <v>0</v>
      </c>
      <c r="T136" s="166">
        <v>0</v>
      </c>
      <c r="U136" s="13">
        <v>0</v>
      </c>
      <c r="V136" s="13">
        <v>0</v>
      </c>
      <c r="W136" s="8" t="s">
        <v>2055</v>
      </c>
      <c r="X136" s="8" t="s">
        <v>51</v>
      </c>
      <c r="Y136" s="2" t="s">
        <v>51</v>
      </c>
      <c r="Z136" s="2" t="s">
        <v>51</v>
      </c>
      <c r="AA136" s="14"/>
      <c r="AB136" s="2" t="s">
        <v>51</v>
      </c>
    </row>
    <row r="137" spans="1:28" ht="30" customHeight="1">
      <c r="A137" s="8" t="s">
        <v>588</v>
      </c>
      <c r="B137" s="157" t="s">
        <v>586</v>
      </c>
      <c r="C137" s="157" t="s">
        <v>587</v>
      </c>
      <c r="D137" s="163" t="s">
        <v>321</v>
      </c>
      <c r="E137" s="164">
        <v>0</v>
      </c>
      <c r="F137" s="165" t="s">
        <v>51</v>
      </c>
      <c r="G137" s="164">
        <v>0</v>
      </c>
      <c r="H137" s="165" t="s">
        <v>51</v>
      </c>
      <c r="I137" s="164">
        <v>0</v>
      </c>
      <c r="J137" s="165" t="s">
        <v>51</v>
      </c>
      <c r="K137" s="164">
        <v>280000</v>
      </c>
      <c r="L137" s="165" t="s">
        <v>51</v>
      </c>
      <c r="M137" s="164">
        <v>320000</v>
      </c>
      <c r="N137" s="165" t="s">
        <v>51</v>
      </c>
      <c r="O137" s="164">
        <f>SMALL(E137:M137,COUNTIF(E137:M137,0)+1)</f>
        <v>280000</v>
      </c>
      <c r="P137" s="166">
        <v>0</v>
      </c>
      <c r="Q137" s="166">
        <v>0</v>
      </c>
      <c r="R137" s="166">
        <v>0</v>
      </c>
      <c r="S137" s="166">
        <v>0</v>
      </c>
      <c r="T137" s="166">
        <v>0</v>
      </c>
      <c r="U137" s="13">
        <v>0</v>
      </c>
      <c r="V137" s="13">
        <v>0</v>
      </c>
      <c r="W137" s="8" t="s">
        <v>2056</v>
      </c>
      <c r="X137" s="8" t="s">
        <v>51</v>
      </c>
      <c r="Y137" s="2" t="s">
        <v>51</v>
      </c>
      <c r="Z137" s="2" t="s">
        <v>51</v>
      </c>
      <c r="AA137" s="14"/>
      <c r="AB137" s="2" t="s">
        <v>51</v>
      </c>
    </row>
    <row r="138" spans="1:28" ht="30" customHeight="1">
      <c r="A138" s="8" t="s">
        <v>590</v>
      </c>
      <c r="B138" s="157" t="s">
        <v>586</v>
      </c>
      <c r="C138" s="157" t="s">
        <v>589</v>
      </c>
      <c r="D138" s="163" t="s">
        <v>321</v>
      </c>
      <c r="E138" s="164">
        <v>0</v>
      </c>
      <c r="F138" s="165" t="s">
        <v>51</v>
      </c>
      <c r="G138" s="164">
        <v>0</v>
      </c>
      <c r="H138" s="165" t="s">
        <v>51</v>
      </c>
      <c r="I138" s="164">
        <v>0</v>
      </c>
      <c r="J138" s="165" t="s">
        <v>51</v>
      </c>
      <c r="K138" s="164">
        <v>450000</v>
      </c>
      <c r="L138" s="165" t="s">
        <v>51</v>
      </c>
      <c r="M138" s="164">
        <v>495000</v>
      </c>
      <c r="N138" s="165" t="s">
        <v>51</v>
      </c>
      <c r="O138" s="164">
        <f>SMALL(E138:M138,COUNTIF(E138:M138,0)+1)</f>
        <v>450000</v>
      </c>
      <c r="P138" s="166">
        <v>0</v>
      </c>
      <c r="Q138" s="166">
        <v>0</v>
      </c>
      <c r="R138" s="166">
        <v>0</v>
      </c>
      <c r="S138" s="166">
        <v>0</v>
      </c>
      <c r="T138" s="166">
        <v>0</v>
      </c>
      <c r="U138" s="13">
        <v>0</v>
      </c>
      <c r="V138" s="13">
        <v>0</v>
      </c>
      <c r="W138" s="8" t="s">
        <v>2057</v>
      </c>
      <c r="X138" s="8" t="s">
        <v>51</v>
      </c>
      <c r="Y138" s="2" t="s">
        <v>51</v>
      </c>
      <c r="Z138" s="2" t="s">
        <v>51</v>
      </c>
      <c r="AA138" s="14"/>
      <c r="AB138" s="2" t="s">
        <v>51</v>
      </c>
    </row>
    <row r="139" spans="1:28" ht="30" customHeight="1">
      <c r="A139" s="8"/>
      <c r="B139" s="157" t="s">
        <v>3746</v>
      </c>
      <c r="C139" s="157" t="s">
        <v>587</v>
      </c>
      <c r="D139" s="157" t="s">
        <v>321</v>
      </c>
      <c r="E139" s="164"/>
      <c r="F139" s="165"/>
      <c r="G139" s="164"/>
      <c r="H139" s="165"/>
      <c r="I139" s="164"/>
      <c r="J139" s="165"/>
      <c r="K139" s="164">
        <v>320000</v>
      </c>
      <c r="L139" s="165"/>
      <c r="M139" s="164">
        <v>348000</v>
      </c>
      <c r="N139" s="165"/>
      <c r="O139" s="164">
        <f>SMALL(E139:M139,COUNTIF(E139:M139,0)+1)</f>
        <v>320000</v>
      </c>
      <c r="P139" s="166"/>
      <c r="Q139" s="166"/>
      <c r="R139" s="166"/>
      <c r="S139" s="166"/>
      <c r="T139" s="166"/>
      <c r="U139" s="13"/>
      <c r="V139" s="13"/>
      <c r="W139" s="8" t="s">
        <v>2058</v>
      </c>
      <c r="X139" s="8"/>
      <c r="Y139" s="2"/>
      <c r="Z139" s="2"/>
      <c r="AA139" s="14"/>
      <c r="AB139" s="2"/>
    </row>
    <row r="140" spans="1:28" ht="30" customHeight="1">
      <c r="A140" s="8" t="s">
        <v>580</v>
      </c>
      <c r="B140" s="157" t="s">
        <v>579</v>
      </c>
      <c r="C140" s="157" t="s">
        <v>2576</v>
      </c>
      <c r="D140" s="163" t="s">
        <v>321</v>
      </c>
      <c r="E140" s="164">
        <v>0</v>
      </c>
      <c r="F140" s="165" t="s">
        <v>51</v>
      </c>
      <c r="G140" s="164">
        <v>0</v>
      </c>
      <c r="H140" s="165" t="s">
        <v>51</v>
      </c>
      <c r="I140" s="164">
        <v>0</v>
      </c>
      <c r="J140" s="165" t="s">
        <v>51</v>
      </c>
      <c r="K140" s="164">
        <v>2400000</v>
      </c>
      <c r="L140" s="165" t="s">
        <v>51</v>
      </c>
      <c r="M140" s="164">
        <v>2600000</v>
      </c>
      <c r="N140" s="165" t="s">
        <v>51</v>
      </c>
      <c r="O140" s="164">
        <f t="shared" ref="O140:O153" si="8">SMALL(E140:M140,COUNTIF(E140:M140,0)+1)</f>
        <v>2400000</v>
      </c>
      <c r="P140" s="166">
        <v>0</v>
      </c>
      <c r="Q140" s="166">
        <v>0</v>
      </c>
      <c r="R140" s="166">
        <v>0</v>
      </c>
      <c r="S140" s="166">
        <v>0</v>
      </c>
      <c r="T140" s="166">
        <v>0</v>
      </c>
      <c r="U140" s="13">
        <v>0</v>
      </c>
      <c r="V140" s="13">
        <v>0</v>
      </c>
      <c r="W140" s="8" t="s">
        <v>2059</v>
      </c>
      <c r="X140" s="8" t="s">
        <v>51</v>
      </c>
      <c r="Y140" s="2" t="s">
        <v>51</v>
      </c>
      <c r="Z140" s="2" t="s">
        <v>51</v>
      </c>
      <c r="AA140" s="14"/>
      <c r="AB140" s="2" t="s">
        <v>51</v>
      </c>
    </row>
    <row r="141" spans="1:28" ht="30" customHeight="1">
      <c r="A141" s="8" t="s">
        <v>584</v>
      </c>
      <c r="B141" s="157" t="s">
        <v>582</v>
      </c>
      <c r="C141" s="157" t="s">
        <v>583</v>
      </c>
      <c r="D141" s="163" t="s">
        <v>398</v>
      </c>
      <c r="E141" s="164">
        <v>0</v>
      </c>
      <c r="F141" s="165" t="s">
        <v>51</v>
      </c>
      <c r="G141" s="164">
        <v>0</v>
      </c>
      <c r="H141" s="165" t="s">
        <v>51</v>
      </c>
      <c r="I141" s="164">
        <v>0</v>
      </c>
      <c r="J141" s="165" t="s">
        <v>51</v>
      </c>
      <c r="K141" s="164">
        <v>80000</v>
      </c>
      <c r="L141" s="165" t="s">
        <v>51</v>
      </c>
      <c r="M141" s="164">
        <v>95000</v>
      </c>
      <c r="N141" s="165" t="s">
        <v>51</v>
      </c>
      <c r="O141" s="164">
        <f t="shared" si="8"/>
        <v>80000</v>
      </c>
      <c r="P141" s="166">
        <v>0</v>
      </c>
      <c r="Q141" s="166">
        <v>0</v>
      </c>
      <c r="R141" s="166">
        <v>0</v>
      </c>
      <c r="S141" s="166">
        <v>0</v>
      </c>
      <c r="T141" s="166">
        <v>0</v>
      </c>
      <c r="U141" s="13">
        <v>0</v>
      </c>
      <c r="V141" s="13">
        <v>0</v>
      </c>
      <c r="W141" s="8" t="s">
        <v>2060</v>
      </c>
      <c r="X141" s="8" t="s">
        <v>51</v>
      </c>
      <c r="Y141" s="2" t="s">
        <v>51</v>
      </c>
      <c r="Z141" s="2" t="s">
        <v>51</v>
      </c>
      <c r="AA141" s="14"/>
      <c r="AB141" s="2" t="s">
        <v>51</v>
      </c>
    </row>
    <row r="142" spans="1:28" ht="30" customHeight="1">
      <c r="A142" s="8"/>
      <c r="B142" s="157" t="s">
        <v>3744</v>
      </c>
      <c r="C142" s="157" t="s">
        <v>3745</v>
      </c>
      <c r="D142" s="157" t="s">
        <v>321</v>
      </c>
      <c r="E142" s="164"/>
      <c r="F142" s="165"/>
      <c r="G142" s="164"/>
      <c r="H142" s="165"/>
      <c r="I142" s="164"/>
      <c r="J142" s="165"/>
      <c r="K142" s="164">
        <v>240000</v>
      </c>
      <c r="L142" s="165"/>
      <c r="M142" s="164">
        <v>300000</v>
      </c>
      <c r="N142" s="165"/>
      <c r="O142" s="164">
        <f t="shared" si="8"/>
        <v>240000</v>
      </c>
      <c r="P142" s="166"/>
      <c r="Q142" s="166"/>
      <c r="R142" s="166"/>
      <c r="S142" s="166"/>
      <c r="T142" s="166"/>
      <c r="U142" s="13"/>
      <c r="V142" s="13"/>
      <c r="W142" s="8" t="s">
        <v>2061</v>
      </c>
      <c r="X142" s="8"/>
      <c r="Y142" s="2"/>
      <c r="Z142" s="2"/>
      <c r="AA142" s="14"/>
      <c r="AB142" s="2"/>
    </row>
    <row r="143" spans="1:28" ht="30" customHeight="1">
      <c r="A143" s="8" t="s">
        <v>516</v>
      </c>
      <c r="B143" s="157" t="s">
        <v>514</v>
      </c>
      <c r="C143" s="157" t="s">
        <v>535</v>
      </c>
      <c r="D143" s="157" t="s">
        <v>321</v>
      </c>
      <c r="E143" s="164">
        <v>0</v>
      </c>
      <c r="F143" s="165" t="s">
        <v>51</v>
      </c>
      <c r="G143" s="164">
        <v>0</v>
      </c>
      <c r="H143" s="165" t="s">
        <v>51</v>
      </c>
      <c r="I143" s="164">
        <v>0</v>
      </c>
      <c r="J143" s="165" t="s">
        <v>51</v>
      </c>
      <c r="K143" s="164">
        <v>30000</v>
      </c>
      <c r="L143" s="165" t="s">
        <v>51</v>
      </c>
      <c r="M143" s="164">
        <v>140000</v>
      </c>
      <c r="N143" s="165"/>
      <c r="O143" s="164">
        <f t="shared" ref="O143:O152" si="9">SMALL(E143:M143,COUNTIF(E143:M143,0)+1)</f>
        <v>30000</v>
      </c>
      <c r="P143" s="166">
        <v>0</v>
      </c>
      <c r="Q143" s="166">
        <v>0</v>
      </c>
      <c r="R143" s="166">
        <v>0</v>
      </c>
      <c r="S143" s="166">
        <v>0</v>
      </c>
      <c r="T143" s="166">
        <v>0</v>
      </c>
      <c r="U143" s="13">
        <v>0</v>
      </c>
      <c r="V143" s="13">
        <v>0</v>
      </c>
      <c r="W143" s="8" t="s">
        <v>2062</v>
      </c>
      <c r="X143" s="8" t="s">
        <v>51</v>
      </c>
      <c r="Y143" s="2" t="s">
        <v>51</v>
      </c>
      <c r="Z143" s="2" t="s">
        <v>51</v>
      </c>
      <c r="AA143" s="14"/>
      <c r="AB143" s="2" t="s">
        <v>51</v>
      </c>
    </row>
    <row r="144" spans="1:28" ht="30" customHeight="1">
      <c r="A144" s="8" t="s">
        <v>518</v>
      </c>
      <c r="B144" s="157" t="s">
        <v>514</v>
      </c>
      <c r="C144" s="157" t="s">
        <v>541</v>
      </c>
      <c r="D144" s="157" t="s">
        <v>321</v>
      </c>
      <c r="E144" s="164">
        <v>0</v>
      </c>
      <c r="F144" s="165" t="s">
        <v>51</v>
      </c>
      <c r="G144" s="164">
        <v>0</v>
      </c>
      <c r="H144" s="165" t="s">
        <v>51</v>
      </c>
      <c r="I144" s="164">
        <v>0</v>
      </c>
      <c r="J144" s="165" t="s">
        <v>51</v>
      </c>
      <c r="K144" s="164">
        <v>35000</v>
      </c>
      <c r="L144" s="165" t="s">
        <v>51</v>
      </c>
      <c r="M144" s="164">
        <v>126000</v>
      </c>
      <c r="N144" s="165"/>
      <c r="O144" s="164">
        <f t="shared" si="9"/>
        <v>35000</v>
      </c>
      <c r="P144" s="166">
        <v>0</v>
      </c>
      <c r="Q144" s="166">
        <v>0</v>
      </c>
      <c r="R144" s="166">
        <v>0</v>
      </c>
      <c r="S144" s="166">
        <v>0</v>
      </c>
      <c r="T144" s="166">
        <v>0</v>
      </c>
      <c r="U144" s="13">
        <v>0</v>
      </c>
      <c r="V144" s="13">
        <v>0</v>
      </c>
      <c r="W144" s="8" t="s">
        <v>2063</v>
      </c>
      <c r="X144" s="8" t="s">
        <v>51</v>
      </c>
      <c r="Y144" s="2" t="s">
        <v>51</v>
      </c>
      <c r="Z144" s="2" t="s">
        <v>51</v>
      </c>
      <c r="AA144" s="14"/>
      <c r="AB144" s="2" t="s">
        <v>51</v>
      </c>
    </row>
    <row r="145" spans="1:28" ht="30" customHeight="1">
      <c r="A145" s="8" t="s">
        <v>521</v>
      </c>
      <c r="B145" s="157" t="s">
        <v>514</v>
      </c>
      <c r="C145" s="157" t="s">
        <v>532</v>
      </c>
      <c r="D145" s="157" t="s">
        <v>321</v>
      </c>
      <c r="E145" s="164">
        <v>0</v>
      </c>
      <c r="F145" s="165" t="s">
        <v>51</v>
      </c>
      <c r="G145" s="164">
        <v>0</v>
      </c>
      <c r="H145" s="165" t="s">
        <v>51</v>
      </c>
      <c r="I145" s="164">
        <v>0</v>
      </c>
      <c r="J145" s="165" t="s">
        <v>51</v>
      </c>
      <c r="K145" s="164">
        <v>45000</v>
      </c>
      <c r="L145" s="165" t="s">
        <v>51</v>
      </c>
      <c r="M145" s="164">
        <v>98000</v>
      </c>
      <c r="N145" s="165"/>
      <c r="O145" s="164">
        <f t="shared" si="9"/>
        <v>45000</v>
      </c>
      <c r="P145" s="166">
        <v>0</v>
      </c>
      <c r="Q145" s="166">
        <v>0</v>
      </c>
      <c r="R145" s="166">
        <v>0</v>
      </c>
      <c r="S145" s="166">
        <v>0</v>
      </c>
      <c r="T145" s="166">
        <v>0</v>
      </c>
      <c r="U145" s="13">
        <v>0</v>
      </c>
      <c r="V145" s="13">
        <v>0</v>
      </c>
      <c r="W145" s="8" t="s">
        <v>2064</v>
      </c>
      <c r="X145" s="8" t="s">
        <v>51</v>
      </c>
      <c r="Y145" s="2" t="s">
        <v>51</v>
      </c>
      <c r="Z145" s="2" t="s">
        <v>51</v>
      </c>
      <c r="AA145" s="14"/>
      <c r="AB145" s="2" t="s">
        <v>51</v>
      </c>
    </row>
    <row r="146" spans="1:28" ht="30" customHeight="1">
      <c r="A146" s="8" t="s">
        <v>524</v>
      </c>
      <c r="B146" s="157" t="s">
        <v>514</v>
      </c>
      <c r="C146" s="157" t="s">
        <v>517</v>
      </c>
      <c r="D146" s="157" t="s">
        <v>321</v>
      </c>
      <c r="E146" s="164">
        <v>0</v>
      </c>
      <c r="F146" s="165" t="s">
        <v>51</v>
      </c>
      <c r="G146" s="164">
        <v>0</v>
      </c>
      <c r="H146" s="165" t="s">
        <v>51</v>
      </c>
      <c r="I146" s="164">
        <v>0</v>
      </c>
      <c r="J146" s="165" t="s">
        <v>51</v>
      </c>
      <c r="K146" s="164">
        <v>50000</v>
      </c>
      <c r="L146" s="165" t="s">
        <v>51</v>
      </c>
      <c r="M146" s="164">
        <v>55000</v>
      </c>
      <c r="N146" s="165"/>
      <c r="O146" s="164">
        <f t="shared" si="9"/>
        <v>50000</v>
      </c>
      <c r="P146" s="166">
        <v>0</v>
      </c>
      <c r="Q146" s="166">
        <v>0</v>
      </c>
      <c r="R146" s="166">
        <v>0</v>
      </c>
      <c r="S146" s="166">
        <v>0</v>
      </c>
      <c r="T146" s="166">
        <v>0</v>
      </c>
      <c r="U146" s="13">
        <v>0</v>
      </c>
      <c r="V146" s="13">
        <v>0</v>
      </c>
      <c r="W146" s="8" t="s">
        <v>2065</v>
      </c>
      <c r="X146" s="8" t="s">
        <v>51</v>
      </c>
      <c r="Y146" s="2" t="s">
        <v>51</v>
      </c>
      <c r="Z146" s="2" t="s">
        <v>51</v>
      </c>
      <c r="AA146" s="14"/>
      <c r="AB146" s="2" t="s">
        <v>51</v>
      </c>
    </row>
    <row r="147" spans="1:28" ht="30" customHeight="1">
      <c r="A147" s="8" t="s">
        <v>527</v>
      </c>
      <c r="B147" s="157" t="s">
        <v>514</v>
      </c>
      <c r="C147" s="157" t="s">
        <v>526</v>
      </c>
      <c r="D147" s="157" t="s">
        <v>321</v>
      </c>
      <c r="E147" s="164">
        <v>0</v>
      </c>
      <c r="F147" s="165" t="s">
        <v>51</v>
      </c>
      <c r="G147" s="164">
        <v>0</v>
      </c>
      <c r="H147" s="165" t="s">
        <v>51</v>
      </c>
      <c r="I147" s="164">
        <v>0</v>
      </c>
      <c r="J147" s="165" t="s">
        <v>51</v>
      </c>
      <c r="K147" s="164">
        <v>50000</v>
      </c>
      <c r="L147" s="165" t="s">
        <v>51</v>
      </c>
      <c r="M147" s="164">
        <v>55000</v>
      </c>
      <c r="N147" s="165"/>
      <c r="O147" s="164">
        <f t="shared" si="9"/>
        <v>50000</v>
      </c>
      <c r="P147" s="166">
        <v>0</v>
      </c>
      <c r="Q147" s="166">
        <v>0</v>
      </c>
      <c r="R147" s="166">
        <v>0</v>
      </c>
      <c r="S147" s="166">
        <v>0</v>
      </c>
      <c r="T147" s="166">
        <v>0</v>
      </c>
      <c r="U147" s="13">
        <v>0</v>
      </c>
      <c r="V147" s="13">
        <v>0</v>
      </c>
      <c r="W147" s="8" t="s">
        <v>3883</v>
      </c>
      <c r="X147" s="8" t="s">
        <v>51</v>
      </c>
      <c r="Y147" s="2" t="s">
        <v>51</v>
      </c>
      <c r="Z147" s="2" t="s">
        <v>51</v>
      </c>
      <c r="AA147" s="14"/>
      <c r="AB147" s="2" t="s">
        <v>51</v>
      </c>
    </row>
    <row r="148" spans="1:28" ht="30" customHeight="1">
      <c r="A148" s="8" t="s">
        <v>530</v>
      </c>
      <c r="B148" s="157" t="s">
        <v>514</v>
      </c>
      <c r="C148" s="157" t="s">
        <v>538</v>
      </c>
      <c r="D148" s="157" t="s">
        <v>321</v>
      </c>
      <c r="E148" s="164">
        <v>0</v>
      </c>
      <c r="F148" s="165" t="s">
        <v>51</v>
      </c>
      <c r="G148" s="164">
        <v>0</v>
      </c>
      <c r="H148" s="165" t="s">
        <v>51</v>
      </c>
      <c r="I148" s="164">
        <v>0</v>
      </c>
      <c r="J148" s="165" t="s">
        <v>51</v>
      </c>
      <c r="K148" s="164">
        <v>35000</v>
      </c>
      <c r="L148" s="165" t="s">
        <v>51</v>
      </c>
      <c r="M148" s="164">
        <v>38000</v>
      </c>
      <c r="N148" s="165"/>
      <c r="O148" s="164">
        <f t="shared" si="9"/>
        <v>35000</v>
      </c>
      <c r="P148" s="166">
        <v>0</v>
      </c>
      <c r="Q148" s="166">
        <v>0</v>
      </c>
      <c r="R148" s="166">
        <v>0</v>
      </c>
      <c r="S148" s="166">
        <v>0</v>
      </c>
      <c r="T148" s="166">
        <v>0</v>
      </c>
      <c r="U148" s="13">
        <v>0</v>
      </c>
      <c r="V148" s="13">
        <v>0</v>
      </c>
      <c r="W148" s="8" t="s">
        <v>3884</v>
      </c>
      <c r="X148" s="8" t="s">
        <v>51</v>
      </c>
      <c r="Y148" s="2" t="s">
        <v>51</v>
      </c>
      <c r="Z148" s="2" t="s">
        <v>51</v>
      </c>
      <c r="AA148" s="14"/>
      <c r="AB148" s="2" t="s">
        <v>51</v>
      </c>
    </row>
    <row r="149" spans="1:28" ht="30" customHeight="1">
      <c r="A149" s="8" t="s">
        <v>533</v>
      </c>
      <c r="B149" s="157" t="s">
        <v>514</v>
      </c>
      <c r="C149" s="157" t="s">
        <v>529</v>
      </c>
      <c r="D149" s="157" t="s">
        <v>321</v>
      </c>
      <c r="E149" s="164">
        <v>0</v>
      </c>
      <c r="F149" s="165" t="s">
        <v>51</v>
      </c>
      <c r="G149" s="164">
        <v>0</v>
      </c>
      <c r="H149" s="165" t="s">
        <v>51</v>
      </c>
      <c r="I149" s="164">
        <v>0</v>
      </c>
      <c r="J149" s="165" t="s">
        <v>51</v>
      </c>
      <c r="K149" s="164">
        <v>50000</v>
      </c>
      <c r="L149" s="165" t="s">
        <v>51</v>
      </c>
      <c r="M149" s="164">
        <v>55000</v>
      </c>
      <c r="N149" s="165"/>
      <c r="O149" s="164">
        <f t="shared" si="9"/>
        <v>50000</v>
      </c>
      <c r="P149" s="166">
        <v>0</v>
      </c>
      <c r="Q149" s="166">
        <v>0</v>
      </c>
      <c r="R149" s="166">
        <v>0</v>
      </c>
      <c r="S149" s="166">
        <v>0</v>
      </c>
      <c r="T149" s="166">
        <v>0</v>
      </c>
      <c r="U149" s="13">
        <v>0</v>
      </c>
      <c r="V149" s="13">
        <v>0</v>
      </c>
      <c r="W149" s="8" t="s">
        <v>3885</v>
      </c>
      <c r="X149" s="8" t="s">
        <v>51</v>
      </c>
      <c r="Y149" s="2" t="s">
        <v>51</v>
      </c>
      <c r="Z149" s="2" t="s">
        <v>51</v>
      </c>
      <c r="AA149" s="14"/>
      <c r="AB149" s="2" t="s">
        <v>51</v>
      </c>
    </row>
    <row r="150" spans="1:28" ht="30" customHeight="1">
      <c r="A150" s="8" t="s">
        <v>536</v>
      </c>
      <c r="B150" s="157" t="s">
        <v>514</v>
      </c>
      <c r="C150" s="157" t="s">
        <v>523</v>
      </c>
      <c r="D150" s="157" t="s">
        <v>321</v>
      </c>
      <c r="E150" s="164">
        <v>0</v>
      </c>
      <c r="F150" s="165" t="s">
        <v>51</v>
      </c>
      <c r="G150" s="164">
        <v>0</v>
      </c>
      <c r="H150" s="165" t="s">
        <v>51</v>
      </c>
      <c r="I150" s="164">
        <v>0</v>
      </c>
      <c r="J150" s="165" t="s">
        <v>51</v>
      </c>
      <c r="K150" s="164">
        <v>58000</v>
      </c>
      <c r="L150" s="165" t="s">
        <v>51</v>
      </c>
      <c r="M150" s="164">
        <v>124000</v>
      </c>
      <c r="N150" s="165"/>
      <c r="O150" s="164">
        <f t="shared" si="9"/>
        <v>58000</v>
      </c>
      <c r="P150" s="166">
        <v>0</v>
      </c>
      <c r="Q150" s="166">
        <v>0</v>
      </c>
      <c r="R150" s="166">
        <v>0</v>
      </c>
      <c r="S150" s="166">
        <v>0</v>
      </c>
      <c r="T150" s="166">
        <v>0</v>
      </c>
      <c r="U150" s="13">
        <v>0</v>
      </c>
      <c r="V150" s="13">
        <v>0</v>
      </c>
      <c r="W150" s="8" t="s">
        <v>3886</v>
      </c>
      <c r="X150" s="8" t="s">
        <v>51</v>
      </c>
      <c r="Y150" s="2" t="s">
        <v>51</v>
      </c>
      <c r="Z150" s="2" t="s">
        <v>51</v>
      </c>
      <c r="AA150" s="14"/>
      <c r="AB150" s="2" t="s">
        <v>51</v>
      </c>
    </row>
    <row r="151" spans="1:28" ht="30" customHeight="1">
      <c r="A151" s="8" t="s">
        <v>539</v>
      </c>
      <c r="B151" s="157" t="s">
        <v>514</v>
      </c>
      <c r="C151" s="157" t="s">
        <v>520</v>
      </c>
      <c r="D151" s="157" t="s">
        <v>321</v>
      </c>
      <c r="E151" s="164">
        <v>0</v>
      </c>
      <c r="F151" s="165" t="s">
        <v>51</v>
      </c>
      <c r="G151" s="164">
        <v>0</v>
      </c>
      <c r="H151" s="165" t="s">
        <v>51</v>
      </c>
      <c r="I151" s="164">
        <v>0</v>
      </c>
      <c r="J151" s="165" t="s">
        <v>51</v>
      </c>
      <c r="K151" s="164">
        <v>55000</v>
      </c>
      <c r="L151" s="165" t="s">
        <v>51</v>
      </c>
      <c r="M151" s="164">
        <v>59000</v>
      </c>
      <c r="N151" s="165"/>
      <c r="O151" s="164">
        <f t="shared" si="9"/>
        <v>55000</v>
      </c>
      <c r="P151" s="166">
        <v>0</v>
      </c>
      <c r="Q151" s="166">
        <v>0</v>
      </c>
      <c r="R151" s="166">
        <v>0</v>
      </c>
      <c r="S151" s="166">
        <v>0</v>
      </c>
      <c r="T151" s="166">
        <v>0</v>
      </c>
      <c r="U151" s="13">
        <v>0</v>
      </c>
      <c r="V151" s="13">
        <v>0</v>
      </c>
      <c r="W151" s="8" t="s">
        <v>3887</v>
      </c>
      <c r="X151" s="8" t="s">
        <v>51</v>
      </c>
      <c r="Y151" s="2" t="s">
        <v>51</v>
      </c>
      <c r="Z151" s="2" t="s">
        <v>51</v>
      </c>
      <c r="AA151" s="14"/>
      <c r="AB151" s="2" t="s">
        <v>51</v>
      </c>
    </row>
    <row r="152" spans="1:28" ht="30" customHeight="1">
      <c r="A152" s="8" t="s">
        <v>542</v>
      </c>
      <c r="B152" s="157" t="s">
        <v>514</v>
      </c>
      <c r="C152" s="157" t="s">
        <v>515</v>
      </c>
      <c r="D152" s="157" t="s">
        <v>321</v>
      </c>
      <c r="E152" s="164">
        <v>0</v>
      </c>
      <c r="F152" s="165" t="s">
        <v>51</v>
      </c>
      <c r="G152" s="164">
        <v>0</v>
      </c>
      <c r="H152" s="165" t="s">
        <v>51</v>
      </c>
      <c r="I152" s="164">
        <v>0</v>
      </c>
      <c r="J152" s="165" t="s">
        <v>51</v>
      </c>
      <c r="K152" s="164">
        <v>80000</v>
      </c>
      <c r="L152" s="165" t="s">
        <v>51</v>
      </c>
      <c r="M152" s="164">
        <v>89000</v>
      </c>
      <c r="N152" s="165"/>
      <c r="O152" s="164">
        <f t="shared" si="9"/>
        <v>80000</v>
      </c>
      <c r="P152" s="166">
        <v>0</v>
      </c>
      <c r="Q152" s="166">
        <v>0</v>
      </c>
      <c r="R152" s="166">
        <v>0</v>
      </c>
      <c r="S152" s="166">
        <v>0</v>
      </c>
      <c r="T152" s="166">
        <v>0</v>
      </c>
      <c r="U152" s="13">
        <v>0</v>
      </c>
      <c r="V152" s="13">
        <v>0</v>
      </c>
      <c r="W152" s="8" t="s">
        <v>3888</v>
      </c>
      <c r="X152" s="8" t="s">
        <v>51</v>
      </c>
      <c r="Y152" s="2" t="s">
        <v>51</v>
      </c>
      <c r="Z152" s="2" t="s">
        <v>51</v>
      </c>
      <c r="AA152" s="14"/>
      <c r="AB152" s="2" t="s">
        <v>51</v>
      </c>
    </row>
    <row r="153" spans="1:28" ht="30" customHeight="1">
      <c r="A153" s="8" t="s">
        <v>545</v>
      </c>
      <c r="B153" s="157" t="s">
        <v>544</v>
      </c>
      <c r="C153" s="157" t="s">
        <v>3238</v>
      </c>
      <c r="D153" s="157" t="s">
        <v>2568</v>
      </c>
      <c r="E153" s="164">
        <v>0</v>
      </c>
      <c r="F153" s="165" t="s">
        <v>51</v>
      </c>
      <c r="G153" s="164">
        <v>0</v>
      </c>
      <c r="H153" s="165" t="s">
        <v>51</v>
      </c>
      <c r="I153" s="164">
        <v>0</v>
      </c>
      <c r="J153" s="165" t="s">
        <v>51</v>
      </c>
      <c r="K153" s="164">
        <v>280000</v>
      </c>
      <c r="L153" s="165" t="s">
        <v>51</v>
      </c>
      <c r="M153" s="164">
        <v>320000</v>
      </c>
      <c r="N153" s="165"/>
      <c r="O153" s="164">
        <f t="shared" si="8"/>
        <v>280000</v>
      </c>
      <c r="P153" s="166">
        <v>0</v>
      </c>
      <c r="Q153" s="166">
        <v>0</v>
      </c>
      <c r="R153" s="166">
        <v>0</v>
      </c>
      <c r="S153" s="166">
        <v>0</v>
      </c>
      <c r="T153" s="166">
        <v>0</v>
      </c>
      <c r="U153" s="13">
        <v>0</v>
      </c>
      <c r="V153" s="13">
        <v>0</v>
      </c>
      <c r="W153" s="8" t="s">
        <v>3889</v>
      </c>
      <c r="X153" s="8" t="s">
        <v>51</v>
      </c>
      <c r="Y153" s="2" t="s">
        <v>51</v>
      </c>
      <c r="Z153" s="2" t="s">
        <v>51</v>
      </c>
      <c r="AA153" s="14"/>
      <c r="AB153" s="2" t="s">
        <v>51</v>
      </c>
    </row>
    <row r="154" spans="1:28" ht="30" customHeight="1">
      <c r="A154" s="8" t="s">
        <v>545</v>
      </c>
      <c r="B154" s="157" t="s">
        <v>544</v>
      </c>
      <c r="C154" s="157" t="s">
        <v>3239</v>
      </c>
      <c r="D154" s="157" t="s">
        <v>2568</v>
      </c>
      <c r="E154" s="164">
        <v>0</v>
      </c>
      <c r="F154" s="165" t="s">
        <v>51</v>
      </c>
      <c r="G154" s="164">
        <v>0</v>
      </c>
      <c r="H154" s="165" t="s">
        <v>51</v>
      </c>
      <c r="I154" s="164">
        <v>0</v>
      </c>
      <c r="J154" s="165" t="s">
        <v>51</v>
      </c>
      <c r="K154" s="164">
        <v>320000</v>
      </c>
      <c r="L154" s="165" t="s">
        <v>51</v>
      </c>
      <c r="M154" s="164">
        <v>350000</v>
      </c>
      <c r="N154" s="165"/>
      <c r="O154" s="164">
        <f t="shared" ref="O154:O215" si="10">SMALL(E154:M154,COUNTIF(E154:M154,0)+1)</f>
        <v>320000</v>
      </c>
      <c r="P154" s="166">
        <v>0</v>
      </c>
      <c r="Q154" s="166">
        <v>0</v>
      </c>
      <c r="R154" s="166">
        <v>0</v>
      </c>
      <c r="S154" s="166">
        <v>0</v>
      </c>
      <c r="T154" s="166">
        <v>0</v>
      </c>
      <c r="U154" s="13">
        <v>0</v>
      </c>
      <c r="V154" s="13">
        <v>0</v>
      </c>
      <c r="W154" s="8" t="s">
        <v>3890</v>
      </c>
      <c r="X154" s="8" t="s">
        <v>51</v>
      </c>
      <c r="Y154" s="2" t="s">
        <v>51</v>
      </c>
      <c r="Z154" s="2" t="s">
        <v>51</v>
      </c>
      <c r="AA154" s="14"/>
      <c r="AB154" s="2" t="s">
        <v>51</v>
      </c>
    </row>
    <row r="155" spans="1:28" ht="30" customHeight="1">
      <c r="A155" s="8" t="s">
        <v>545</v>
      </c>
      <c r="B155" s="157" t="s">
        <v>544</v>
      </c>
      <c r="C155" s="157" t="s">
        <v>3240</v>
      </c>
      <c r="D155" s="157" t="s">
        <v>2568</v>
      </c>
      <c r="E155" s="164">
        <v>0</v>
      </c>
      <c r="F155" s="165" t="s">
        <v>51</v>
      </c>
      <c r="G155" s="164">
        <v>0</v>
      </c>
      <c r="H155" s="165" t="s">
        <v>51</v>
      </c>
      <c r="I155" s="164">
        <v>0</v>
      </c>
      <c r="J155" s="165" t="s">
        <v>51</v>
      </c>
      <c r="K155" s="164">
        <v>280000</v>
      </c>
      <c r="L155" s="165" t="s">
        <v>51</v>
      </c>
      <c r="M155" s="164">
        <v>320000</v>
      </c>
      <c r="N155" s="165"/>
      <c r="O155" s="164">
        <f t="shared" si="10"/>
        <v>280000</v>
      </c>
      <c r="P155" s="166">
        <v>0</v>
      </c>
      <c r="Q155" s="166">
        <v>0</v>
      </c>
      <c r="R155" s="166">
        <v>0</v>
      </c>
      <c r="S155" s="166">
        <v>0</v>
      </c>
      <c r="T155" s="166">
        <v>0</v>
      </c>
      <c r="U155" s="13">
        <v>0</v>
      </c>
      <c r="V155" s="13">
        <v>0</v>
      </c>
      <c r="W155" s="8" t="s">
        <v>3891</v>
      </c>
      <c r="X155" s="8" t="s">
        <v>51</v>
      </c>
      <c r="Y155" s="2" t="s">
        <v>51</v>
      </c>
      <c r="Z155" s="2" t="s">
        <v>51</v>
      </c>
      <c r="AA155" s="14"/>
      <c r="AB155" s="2" t="s">
        <v>51</v>
      </c>
    </row>
    <row r="156" spans="1:28" ht="30" customHeight="1">
      <c r="A156" s="8" t="s">
        <v>545</v>
      </c>
      <c r="B156" s="157" t="s">
        <v>544</v>
      </c>
      <c r="C156" s="157" t="s">
        <v>3241</v>
      </c>
      <c r="D156" s="157" t="s">
        <v>2568</v>
      </c>
      <c r="E156" s="164">
        <v>0</v>
      </c>
      <c r="F156" s="165" t="s">
        <v>51</v>
      </c>
      <c r="G156" s="164">
        <v>0</v>
      </c>
      <c r="H156" s="165" t="s">
        <v>51</v>
      </c>
      <c r="I156" s="164">
        <v>0</v>
      </c>
      <c r="J156" s="165" t="s">
        <v>51</v>
      </c>
      <c r="K156" s="164">
        <v>300000</v>
      </c>
      <c r="L156" s="165" t="s">
        <v>51</v>
      </c>
      <c r="M156" s="164">
        <v>362000</v>
      </c>
      <c r="N156" s="165"/>
      <c r="O156" s="164">
        <f t="shared" si="10"/>
        <v>300000</v>
      </c>
      <c r="P156" s="166">
        <v>0</v>
      </c>
      <c r="Q156" s="166">
        <v>0</v>
      </c>
      <c r="R156" s="166">
        <v>0</v>
      </c>
      <c r="S156" s="166">
        <v>0</v>
      </c>
      <c r="T156" s="166">
        <v>0</v>
      </c>
      <c r="U156" s="13">
        <v>0</v>
      </c>
      <c r="V156" s="13">
        <v>0</v>
      </c>
      <c r="W156" s="8" t="s">
        <v>3892</v>
      </c>
      <c r="X156" s="8" t="s">
        <v>51</v>
      </c>
      <c r="Y156" s="2" t="s">
        <v>51</v>
      </c>
      <c r="Z156" s="2" t="s">
        <v>51</v>
      </c>
      <c r="AA156" s="14"/>
      <c r="AB156" s="2" t="s">
        <v>51</v>
      </c>
    </row>
    <row r="157" spans="1:28" ht="30" customHeight="1">
      <c r="A157" s="8" t="s">
        <v>545</v>
      </c>
      <c r="B157" s="157" t="s">
        <v>544</v>
      </c>
      <c r="C157" s="157" t="s">
        <v>3242</v>
      </c>
      <c r="D157" s="157" t="s">
        <v>2568</v>
      </c>
      <c r="E157" s="164">
        <v>0</v>
      </c>
      <c r="F157" s="165" t="s">
        <v>51</v>
      </c>
      <c r="G157" s="164">
        <v>0</v>
      </c>
      <c r="H157" s="165" t="s">
        <v>51</v>
      </c>
      <c r="I157" s="164">
        <v>0</v>
      </c>
      <c r="J157" s="165" t="s">
        <v>51</v>
      </c>
      <c r="K157" s="164">
        <v>250000</v>
      </c>
      <c r="L157" s="165" t="s">
        <v>51</v>
      </c>
      <c r="M157" s="164">
        <v>290000</v>
      </c>
      <c r="N157" s="165"/>
      <c r="O157" s="164">
        <f t="shared" si="10"/>
        <v>250000</v>
      </c>
      <c r="P157" s="166">
        <v>0</v>
      </c>
      <c r="Q157" s="166">
        <v>0</v>
      </c>
      <c r="R157" s="166">
        <v>0</v>
      </c>
      <c r="S157" s="166">
        <v>0</v>
      </c>
      <c r="T157" s="166">
        <v>0</v>
      </c>
      <c r="U157" s="13">
        <v>0</v>
      </c>
      <c r="V157" s="13">
        <v>0</v>
      </c>
      <c r="W157" s="8" t="s">
        <v>3893</v>
      </c>
      <c r="X157" s="8" t="s">
        <v>51</v>
      </c>
      <c r="Y157" s="2" t="s">
        <v>51</v>
      </c>
      <c r="Z157" s="2" t="s">
        <v>51</v>
      </c>
      <c r="AA157" s="14"/>
      <c r="AB157" s="2" t="s">
        <v>51</v>
      </c>
    </row>
    <row r="158" spans="1:28" ht="30" customHeight="1">
      <c r="A158" s="8" t="s">
        <v>545</v>
      </c>
      <c r="B158" s="157" t="s">
        <v>544</v>
      </c>
      <c r="C158" s="157" t="s">
        <v>3243</v>
      </c>
      <c r="D158" s="157" t="s">
        <v>2568</v>
      </c>
      <c r="E158" s="164">
        <v>0</v>
      </c>
      <c r="F158" s="165" t="s">
        <v>51</v>
      </c>
      <c r="G158" s="164">
        <v>0</v>
      </c>
      <c r="H158" s="165" t="s">
        <v>51</v>
      </c>
      <c r="I158" s="164">
        <v>0</v>
      </c>
      <c r="J158" s="165" t="s">
        <v>51</v>
      </c>
      <c r="K158" s="164">
        <v>220000</v>
      </c>
      <c r="L158" s="165" t="s">
        <v>51</v>
      </c>
      <c r="M158" s="164">
        <v>260000</v>
      </c>
      <c r="N158" s="165"/>
      <c r="O158" s="164">
        <f t="shared" si="10"/>
        <v>220000</v>
      </c>
      <c r="P158" s="166">
        <v>0</v>
      </c>
      <c r="Q158" s="166">
        <v>0</v>
      </c>
      <c r="R158" s="166">
        <v>0</v>
      </c>
      <c r="S158" s="166">
        <v>0</v>
      </c>
      <c r="T158" s="166">
        <v>0</v>
      </c>
      <c r="U158" s="13">
        <v>0</v>
      </c>
      <c r="V158" s="13">
        <v>0</v>
      </c>
      <c r="W158" s="8" t="s">
        <v>3894</v>
      </c>
      <c r="X158" s="8" t="s">
        <v>51</v>
      </c>
      <c r="Y158" s="2" t="s">
        <v>51</v>
      </c>
      <c r="Z158" s="2" t="s">
        <v>51</v>
      </c>
      <c r="AA158" s="14"/>
      <c r="AB158" s="2" t="s">
        <v>51</v>
      </c>
    </row>
    <row r="159" spans="1:28" ht="30" customHeight="1">
      <c r="A159" s="8" t="s">
        <v>545</v>
      </c>
      <c r="B159" s="157" t="s">
        <v>544</v>
      </c>
      <c r="C159" s="157" t="s">
        <v>3244</v>
      </c>
      <c r="D159" s="157" t="s">
        <v>2568</v>
      </c>
      <c r="E159" s="164">
        <v>0</v>
      </c>
      <c r="F159" s="165" t="s">
        <v>51</v>
      </c>
      <c r="G159" s="164">
        <v>0</v>
      </c>
      <c r="H159" s="165" t="s">
        <v>51</v>
      </c>
      <c r="I159" s="164">
        <v>0</v>
      </c>
      <c r="J159" s="165" t="s">
        <v>51</v>
      </c>
      <c r="K159" s="164">
        <v>80000</v>
      </c>
      <c r="L159" s="165" t="s">
        <v>51</v>
      </c>
      <c r="M159" s="164">
        <v>92000</v>
      </c>
      <c r="N159" s="165"/>
      <c r="O159" s="164">
        <f t="shared" si="10"/>
        <v>80000</v>
      </c>
      <c r="P159" s="166">
        <v>0</v>
      </c>
      <c r="Q159" s="166">
        <v>0</v>
      </c>
      <c r="R159" s="166">
        <v>0</v>
      </c>
      <c r="S159" s="166">
        <v>0</v>
      </c>
      <c r="T159" s="166">
        <v>0</v>
      </c>
      <c r="U159" s="13">
        <v>0</v>
      </c>
      <c r="V159" s="13">
        <v>0</v>
      </c>
      <c r="W159" s="8" t="s">
        <v>3895</v>
      </c>
      <c r="X159" s="8" t="s">
        <v>51</v>
      </c>
      <c r="Y159" s="2" t="s">
        <v>51</v>
      </c>
      <c r="Z159" s="2" t="s">
        <v>51</v>
      </c>
      <c r="AA159" s="14"/>
      <c r="AB159" s="2" t="s">
        <v>51</v>
      </c>
    </row>
    <row r="160" spans="1:28" ht="30" customHeight="1">
      <c r="A160" s="8" t="s">
        <v>545</v>
      </c>
      <c r="B160" s="157" t="s">
        <v>544</v>
      </c>
      <c r="C160" s="157" t="s">
        <v>3245</v>
      </c>
      <c r="D160" s="157" t="s">
        <v>2568</v>
      </c>
      <c r="E160" s="164">
        <v>0</v>
      </c>
      <c r="F160" s="165" t="s">
        <v>51</v>
      </c>
      <c r="G160" s="164">
        <v>0</v>
      </c>
      <c r="H160" s="165" t="s">
        <v>51</v>
      </c>
      <c r="I160" s="164">
        <v>0</v>
      </c>
      <c r="J160" s="165" t="s">
        <v>51</v>
      </c>
      <c r="K160" s="164">
        <v>280000</v>
      </c>
      <c r="L160" s="165" t="s">
        <v>51</v>
      </c>
      <c r="M160" s="164">
        <v>350000</v>
      </c>
      <c r="N160" s="165"/>
      <c r="O160" s="164">
        <f t="shared" si="10"/>
        <v>280000</v>
      </c>
      <c r="P160" s="166">
        <v>0</v>
      </c>
      <c r="Q160" s="166">
        <v>0</v>
      </c>
      <c r="R160" s="166">
        <v>0</v>
      </c>
      <c r="S160" s="166">
        <v>0</v>
      </c>
      <c r="T160" s="166">
        <v>0</v>
      </c>
      <c r="U160" s="13">
        <v>0</v>
      </c>
      <c r="V160" s="13">
        <v>0</v>
      </c>
      <c r="W160" s="8" t="s">
        <v>3896</v>
      </c>
      <c r="X160" s="8" t="s">
        <v>51</v>
      </c>
      <c r="Y160" s="2" t="s">
        <v>51</v>
      </c>
      <c r="Z160" s="2" t="s">
        <v>51</v>
      </c>
      <c r="AA160" s="14"/>
      <c r="AB160" s="2" t="s">
        <v>51</v>
      </c>
    </row>
    <row r="161" spans="1:28" ht="30" customHeight="1">
      <c r="A161" s="8" t="s">
        <v>545</v>
      </c>
      <c r="B161" s="157" t="s">
        <v>544</v>
      </c>
      <c r="C161" s="157" t="s">
        <v>3246</v>
      </c>
      <c r="D161" s="157" t="s">
        <v>2568</v>
      </c>
      <c r="E161" s="164">
        <v>0</v>
      </c>
      <c r="F161" s="165" t="s">
        <v>51</v>
      </c>
      <c r="G161" s="164">
        <v>0</v>
      </c>
      <c r="H161" s="165" t="s">
        <v>51</v>
      </c>
      <c r="I161" s="164">
        <v>0</v>
      </c>
      <c r="J161" s="165" t="s">
        <v>51</v>
      </c>
      <c r="K161" s="164">
        <v>60000</v>
      </c>
      <c r="L161" s="165" t="s">
        <v>51</v>
      </c>
      <c r="M161" s="164">
        <v>396000</v>
      </c>
      <c r="N161" s="165"/>
      <c r="O161" s="164">
        <f t="shared" si="10"/>
        <v>60000</v>
      </c>
      <c r="P161" s="166">
        <v>0</v>
      </c>
      <c r="Q161" s="166">
        <v>0</v>
      </c>
      <c r="R161" s="166">
        <v>0</v>
      </c>
      <c r="S161" s="166">
        <v>0</v>
      </c>
      <c r="T161" s="166">
        <v>0</v>
      </c>
      <c r="U161" s="13">
        <v>0</v>
      </c>
      <c r="V161" s="13">
        <v>0</v>
      </c>
      <c r="W161" s="8" t="s">
        <v>3897</v>
      </c>
      <c r="X161" s="8" t="s">
        <v>51</v>
      </c>
      <c r="Y161" s="2" t="s">
        <v>51</v>
      </c>
      <c r="Z161" s="2" t="s">
        <v>51</v>
      </c>
      <c r="AA161" s="14"/>
      <c r="AB161" s="2" t="s">
        <v>51</v>
      </c>
    </row>
    <row r="162" spans="1:28" ht="30" customHeight="1">
      <c r="A162" s="8" t="s">
        <v>545</v>
      </c>
      <c r="B162" s="157" t="s">
        <v>544</v>
      </c>
      <c r="C162" s="157" t="s">
        <v>3247</v>
      </c>
      <c r="D162" s="157" t="s">
        <v>2568</v>
      </c>
      <c r="E162" s="164">
        <v>0</v>
      </c>
      <c r="F162" s="165" t="s">
        <v>51</v>
      </c>
      <c r="G162" s="164">
        <v>0</v>
      </c>
      <c r="H162" s="165" t="s">
        <v>51</v>
      </c>
      <c r="I162" s="164">
        <v>0</v>
      </c>
      <c r="J162" s="165" t="s">
        <v>51</v>
      </c>
      <c r="K162" s="164">
        <v>70000</v>
      </c>
      <c r="L162" s="165" t="s">
        <v>51</v>
      </c>
      <c r="M162" s="164">
        <v>85200</v>
      </c>
      <c r="N162" s="165"/>
      <c r="O162" s="164">
        <f t="shared" si="10"/>
        <v>70000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3">
        <v>0</v>
      </c>
      <c r="V162" s="13">
        <v>0</v>
      </c>
      <c r="W162" s="8" t="s">
        <v>3898</v>
      </c>
      <c r="X162" s="8" t="s">
        <v>51</v>
      </c>
      <c r="Y162" s="2" t="s">
        <v>51</v>
      </c>
      <c r="Z162" s="2" t="s">
        <v>51</v>
      </c>
      <c r="AA162" s="14"/>
      <c r="AB162" s="2" t="s">
        <v>51</v>
      </c>
    </row>
    <row r="163" spans="1:28" ht="30" customHeight="1">
      <c r="A163" s="8" t="s">
        <v>545</v>
      </c>
      <c r="B163" s="157" t="s">
        <v>544</v>
      </c>
      <c r="C163" s="157" t="s">
        <v>3248</v>
      </c>
      <c r="D163" s="157" t="s">
        <v>2568</v>
      </c>
      <c r="E163" s="164">
        <v>0</v>
      </c>
      <c r="F163" s="165" t="s">
        <v>51</v>
      </c>
      <c r="G163" s="164">
        <v>0</v>
      </c>
      <c r="H163" s="165" t="s">
        <v>51</v>
      </c>
      <c r="I163" s="164">
        <v>0</v>
      </c>
      <c r="J163" s="165" t="s">
        <v>51</v>
      </c>
      <c r="K163" s="164">
        <v>450000</v>
      </c>
      <c r="L163" s="165" t="s">
        <v>51</v>
      </c>
      <c r="M163" s="164">
        <v>490000</v>
      </c>
      <c r="N163" s="165"/>
      <c r="O163" s="164">
        <f t="shared" si="10"/>
        <v>450000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3">
        <v>0</v>
      </c>
      <c r="V163" s="13">
        <v>0</v>
      </c>
      <c r="W163" s="8" t="s">
        <v>3899</v>
      </c>
      <c r="X163" s="8" t="s">
        <v>51</v>
      </c>
      <c r="Y163" s="2" t="s">
        <v>51</v>
      </c>
      <c r="Z163" s="2" t="s">
        <v>51</v>
      </c>
      <c r="AA163" s="14"/>
      <c r="AB163" s="2" t="s">
        <v>51</v>
      </c>
    </row>
    <row r="164" spans="1:28" ht="30" customHeight="1">
      <c r="A164" s="8" t="s">
        <v>545</v>
      </c>
      <c r="B164" s="157" t="s">
        <v>544</v>
      </c>
      <c r="C164" s="157" t="s">
        <v>3249</v>
      </c>
      <c r="D164" s="157" t="s">
        <v>2568</v>
      </c>
      <c r="E164" s="164">
        <v>0</v>
      </c>
      <c r="F164" s="165" t="s">
        <v>51</v>
      </c>
      <c r="G164" s="164">
        <v>0</v>
      </c>
      <c r="H164" s="165" t="s">
        <v>51</v>
      </c>
      <c r="I164" s="164">
        <v>0</v>
      </c>
      <c r="J164" s="165" t="s">
        <v>51</v>
      </c>
      <c r="K164" s="164">
        <v>10000</v>
      </c>
      <c r="L164" s="165" t="s">
        <v>51</v>
      </c>
      <c r="M164" s="164">
        <v>24000</v>
      </c>
      <c r="N164" s="165"/>
      <c r="O164" s="164">
        <f t="shared" si="10"/>
        <v>10000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3">
        <v>0</v>
      </c>
      <c r="V164" s="13">
        <v>0</v>
      </c>
      <c r="W164" s="8" t="s">
        <v>3900</v>
      </c>
      <c r="X164" s="8" t="s">
        <v>51</v>
      </c>
      <c r="Y164" s="2" t="s">
        <v>51</v>
      </c>
      <c r="Z164" s="2" t="s">
        <v>51</v>
      </c>
      <c r="AA164" s="14"/>
      <c r="AB164" s="2" t="s">
        <v>51</v>
      </c>
    </row>
    <row r="165" spans="1:28" ht="30" customHeight="1">
      <c r="A165" s="8" t="s">
        <v>545</v>
      </c>
      <c r="B165" s="157" t="s">
        <v>547</v>
      </c>
      <c r="C165" s="157" t="s">
        <v>3250</v>
      </c>
      <c r="D165" s="157" t="s">
        <v>2568</v>
      </c>
      <c r="E165" s="164">
        <v>0</v>
      </c>
      <c r="F165" s="165" t="s">
        <v>51</v>
      </c>
      <c r="G165" s="164">
        <v>0</v>
      </c>
      <c r="H165" s="165" t="s">
        <v>51</v>
      </c>
      <c r="I165" s="164">
        <v>0</v>
      </c>
      <c r="J165" s="165" t="s">
        <v>51</v>
      </c>
      <c r="K165" s="164">
        <v>20000</v>
      </c>
      <c r="L165" s="165" t="s">
        <v>51</v>
      </c>
      <c r="M165" s="164">
        <v>26000</v>
      </c>
      <c r="N165" s="165"/>
      <c r="O165" s="164">
        <f t="shared" si="10"/>
        <v>20000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3">
        <v>0</v>
      </c>
      <c r="V165" s="13">
        <v>0</v>
      </c>
      <c r="W165" s="8" t="s">
        <v>3901</v>
      </c>
      <c r="X165" s="8" t="s">
        <v>51</v>
      </c>
      <c r="Y165" s="2" t="s">
        <v>51</v>
      </c>
      <c r="Z165" s="2" t="s">
        <v>51</v>
      </c>
      <c r="AA165" s="14"/>
      <c r="AB165" s="2" t="s">
        <v>51</v>
      </c>
    </row>
    <row r="166" spans="1:28" ht="30" customHeight="1">
      <c r="A166" s="8" t="s">
        <v>545</v>
      </c>
      <c r="B166" s="157" t="s">
        <v>547</v>
      </c>
      <c r="C166" s="157" t="s">
        <v>3251</v>
      </c>
      <c r="D166" s="157" t="s">
        <v>2568</v>
      </c>
      <c r="E166" s="164">
        <v>0</v>
      </c>
      <c r="F166" s="165" t="s">
        <v>51</v>
      </c>
      <c r="G166" s="164">
        <v>0</v>
      </c>
      <c r="H166" s="165" t="s">
        <v>51</v>
      </c>
      <c r="I166" s="164">
        <v>0</v>
      </c>
      <c r="J166" s="165" t="s">
        <v>51</v>
      </c>
      <c r="K166" s="164">
        <v>60000</v>
      </c>
      <c r="L166" s="165" t="s">
        <v>51</v>
      </c>
      <c r="M166" s="164">
        <v>144000</v>
      </c>
      <c r="N166" s="165"/>
      <c r="O166" s="164">
        <f t="shared" si="10"/>
        <v>60000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3">
        <v>0</v>
      </c>
      <c r="V166" s="13">
        <v>0</v>
      </c>
      <c r="W166" s="8" t="s">
        <v>3902</v>
      </c>
      <c r="X166" s="8" t="s">
        <v>51</v>
      </c>
      <c r="Y166" s="2" t="s">
        <v>51</v>
      </c>
      <c r="Z166" s="2" t="s">
        <v>51</v>
      </c>
      <c r="AA166" s="14"/>
      <c r="AB166" s="2" t="s">
        <v>51</v>
      </c>
    </row>
    <row r="167" spans="1:28" ht="30" customHeight="1">
      <c r="A167" s="8" t="s">
        <v>545</v>
      </c>
      <c r="B167" s="157" t="s">
        <v>547</v>
      </c>
      <c r="C167" s="157" t="s">
        <v>3252</v>
      </c>
      <c r="D167" s="157" t="s">
        <v>2568</v>
      </c>
      <c r="E167" s="164">
        <v>0</v>
      </c>
      <c r="F167" s="165" t="s">
        <v>51</v>
      </c>
      <c r="G167" s="164">
        <v>0</v>
      </c>
      <c r="H167" s="165" t="s">
        <v>51</v>
      </c>
      <c r="I167" s="164">
        <v>0</v>
      </c>
      <c r="J167" s="165" t="s">
        <v>51</v>
      </c>
      <c r="K167" s="164">
        <v>40000</v>
      </c>
      <c r="L167" s="165" t="s">
        <v>51</v>
      </c>
      <c r="M167" s="164">
        <v>110000</v>
      </c>
      <c r="N167" s="165"/>
      <c r="O167" s="164">
        <f t="shared" si="10"/>
        <v>40000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3">
        <v>0</v>
      </c>
      <c r="V167" s="13">
        <v>0</v>
      </c>
      <c r="W167" s="8" t="s">
        <v>3903</v>
      </c>
      <c r="X167" s="8" t="s">
        <v>51</v>
      </c>
      <c r="Y167" s="2" t="s">
        <v>51</v>
      </c>
      <c r="Z167" s="2" t="s">
        <v>51</v>
      </c>
      <c r="AA167" s="14"/>
      <c r="AB167" s="2" t="s">
        <v>51</v>
      </c>
    </row>
    <row r="168" spans="1:28" ht="30" customHeight="1">
      <c r="A168" s="8" t="s">
        <v>545</v>
      </c>
      <c r="B168" s="157" t="s">
        <v>547</v>
      </c>
      <c r="C168" s="157" t="s">
        <v>3253</v>
      </c>
      <c r="D168" s="157" t="s">
        <v>2568</v>
      </c>
      <c r="E168" s="164">
        <v>0</v>
      </c>
      <c r="F168" s="165" t="s">
        <v>51</v>
      </c>
      <c r="G168" s="164">
        <v>0</v>
      </c>
      <c r="H168" s="165" t="s">
        <v>51</v>
      </c>
      <c r="I168" s="164">
        <v>0</v>
      </c>
      <c r="J168" s="165" t="s">
        <v>51</v>
      </c>
      <c r="K168" s="164">
        <v>10000</v>
      </c>
      <c r="L168" s="165" t="s">
        <v>51</v>
      </c>
      <c r="M168" s="164">
        <v>16000</v>
      </c>
      <c r="N168" s="165"/>
      <c r="O168" s="164">
        <f t="shared" si="10"/>
        <v>10000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3">
        <v>0</v>
      </c>
      <c r="V168" s="13">
        <v>0</v>
      </c>
      <c r="W168" s="8" t="s">
        <v>2066</v>
      </c>
      <c r="X168" s="8" t="s">
        <v>51</v>
      </c>
      <c r="Y168" s="2" t="s">
        <v>51</v>
      </c>
      <c r="Z168" s="2" t="s">
        <v>51</v>
      </c>
      <c r="AA168" s="14"/>
      <c r="AB168" s="2" t="s">
        <v>51</v>
      </c>
    </row>
    <row r="169" spans="1:28" ht="30" customHeight="1">
      <c r="A169" s="8" t="s">
        <v>545</v>
      </c>
      <c r="B169" s="157" t="s">
        <v>547</v>
      </c>
      <c r="C169" s="157" t="s">
        <v>3254</v>
      </c>
      <c r="D169" s="157" t="s">
        <v>2568</v>
      </c>
      <c r="E169" s="164">
        <v>0</v>
      </c>
      <c r="F169" s="165" t="s">
        <v>51</v>
      </c>
      <c r="G169" s="164">
        <v>0</v>
      </c>
      <c r="H169" s="165" t="s">
        <v>51</v>
      </c>
      <c r="I169" s="164">
        <v>0</v>
      </c>
      <c r="J169" s="165" t="s">
        <v>51</v>
      </c>
      <c r="K169" s="164">
        <v>18000</v>
      </c>
      <c r="L169" s="165" t="s">
        <v>51</v>
      </c>
      <c r="M169" s="164">
        <v>88000</v>
      </c>
      <c r="N169" s="165"/>
      <c r="O169" s="164">
        <f t="shared" si="10"/>
        <v>18000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3">
        <v>0</v>
      </c>
      <c r="V169" s="13">
        <v>0</v>
      </c>
      <c r="W169" s="8" t="s">
        <v>2067</v>
      </c>
      <c r="X169" s="8" t="s">
        <v>51</v>
      </c>
      <c r="Y169" s="2" t="s">
        <v>51</v>
      </c>
      <c r="Z169" s="2" t="s">
        <v>51</v>
      </c>
      <c r="AA169" s="14"/>
      <c r="AB169" s="2" t="s">
        <v>51</v>
      </c>
    </row>
    <row r="170" spans="1:28" ht="30" customHeight="1">
      <c r="A170" s="8" t="s">
        <v>545</v>
      </c>
      <c r="B170" s="157" t="s">
        <v>547</v>
      </c>
      <c r="C170" s="157" t="s">
        <v>3255</v>
      </c>
      <c r="D170" s="157" t="s">
        <v>2568</v>
      </c>
      <c r="E170" s="164">
        <v>0</v>
      </c>
      <c r="F170" s="165" t="s">
        <v>51</v>
      </c>
      <c r="G170" s="164">
        <v>0</v>
      </c>
      <c r="H170" s="165" t="s">
        <v>51</v>
      </c>
      <c r="I170" s="164">
        <v>0</v>
      </c>
      <c r="J170" s="165" t="s">
        <v>51</v>
      </c>
      <c r="K170" s="164">
        <v>80000</v>
      </c>
      <c r="L170" s="165" t="s">
        <v>51</v>
      </c>
      <c r="M170" s="164">
        <v>92000</v>
      </c>
      <c r="N170" s="165"/>
      <c r="O170" s="164">
        <f t="shared" si="10"/>
        <v>80000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3">
        <v>0</v>
      </c>
      <c r="V170" s="13">
        <v>0</v>
      </c>
      <c r="W170" s="8" t="s">
        <v>2068</v>
      </c>
      <c r="X170" s="8" t="s">
        <v>51</v>
      </c>
      <c r="Y170" s="2" t="s">
        <v>51</v>
      </c>
      <c r="Z170" s="2" t="s">
        <v>51</v>
      </c>
      <c r="AA170" s="14"/>
      <c r="AB170" s="2" t="s">
        <v>51</v>
      </c>
    </row>
    <row r="171" spans="1:28" ht="30" customHeight="1">
      <c r="A171" s="8" t="s">
        <v>545</v>
      </c>
      <c r="B171" s="157" t="s">
        <v>547</v>
      </c>
      <c r="C171" s="157" t="s">
        <v>3256</v>
      </c>
      <c r="D171" s="157" t="s">
        <v>2568</v>
      </c>
      <c r="E171" s="164">
        <v>0</v>
      </c>
      <c r="F171" s="165" t="s">
        <v>51</v>
      </c>
      <c r="G171" s="164">
        <v>0</v>
      </c>
      <c r="H171" s="165" t="s">
        <v>51</v>
      </c>
      <c r="I171" s="164">
        <v>0</v>
      </c>
      <c r="J171" s="165" t="s">
        <v>51</v>
      </c>
      <c r="K171" s="164">
        <v>24000</v>
      </c>
      <c r="L171" s="165" t="s">
        <v>51</v>
      </c>
      <c r="M171" s="164">
        <v>130000</v>
      </c>
      <c r="N171" s="165"/>
      <c r="O171" s="164">
        <f t="shared" si="10"/>
        <v>24000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3">
        <v>0</v>
      </c>
      <c r="V171" s="13">
        <v>0</v>
      </c>
      <c r="W171" s="8" t="s">
        <v>2069</v>
      </c>
      <c r="X171" s="8" t="s">
        <v>51</v>
      </c>
      <c r="Y171" s="2" t="s">
        <v>51</v>
      </c>
      <c r="Z171" s="2" t="s">
        <v>51</v>
      </c>
      <c r="AA171" s="14"/>
      <c r="AB171" s="2" t="s">
        <v>51</v>
      </c>
    </row>
    <row r="172" spans="1:28" ht="30" customHeight="1">
      <c r="A172" s="8" t="s">
        <v>545</v>
      </c>
      <c r="B172" s="157" t="s">
        <v>547</v>
      </c>
      <c r="C172" s="157" t="s">
        <v>3257</v>
      </c>
      <c r="D172" s="157" t="s">
        <v>2568</v>
      </c>
      <c r="E172" s="164">
        <v>0</v>
      </c>
      <c r="F172" s="165" t="s">
        <v>51</v>
      </c>
      <c r="G172" s="164">
        <v>0</v>
      </c>
      <c r="H172" s="165" t="s">
        <v>51</v>
      </c>
      <c r="I172" s="164">
        <v>0</v>
      </c>
      <c r="J172" s="165" t="s">
        <v>51</v>
      </c>
      <c r="K172" s="164">
        <v>18000</v>
      </c>
      <c r="L172" s="165" t="s">
        <v>51</v>
      </c>
      <c r="M172" s="164">
        <v>44000</v>
      </c>
      <c r="N172" s="165"/>
      <c r="O172" s="164">
        <f t="shared" si="10"/>
        <v>18000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3">
        <v>0</v>
      </c>
      <c r="V172" s="13">
        <v>0</v>
      </c>
      <c r="W172" s="8" t="s">
        <v>2070</v>
      </c>
      <c r="X172" s="8" t="s">
        <v>51</v>
      </c>
      <c r="Y172" s="2" t="s">
        <v>51</v>
      </c>
      <c r="Z172" s="2" t="s">
        <v>51</v>
      </c>
      <c r="AA172" s="14"/>
      <c r="AB172" s="2" t="s">
        <v>51</v>
      </c>
    </row>
    <row r="173" spans="1:28" ht="30" customHeight="1">
      <c r="A173" s="8" t="s">
        <v>545</v>
      </c>
      <c r="B173" s="157" t="s">
        <v>547</v>
      </c>
      <c r="C173" s="157" t="s">
        <v>3258</v>
      </c>
      <c r="D173" s="157" t="s">
        <v>2568</v>
      </c>
      <c r="E173" s="164">
        <v>0</v>
      </c>
      <c r="F173" s="165" t="s">
        <v>51</v>
      </c>
      <c r="G173" s="164">
        <v>0</v>
      </c>
      <c r="H173" s="165" t="s">
        <v>51</v>
      </c>
      <c r="I173" s="164">
        <v>0</v>
      </c>
      <c r="J173" s="165" t="s">
        <v>51</v>
      </c>
      <c r="K173" s="164">
        <v>20000</v>
      </c>
      <c r="L173" s="165" t="s">
        <v>51</v>
      </c>
      <c r="M173" s="164">
        <v>144000</v>
      </c>
      <c r="N173" s="165"/>
      <c r="O173" s="164">
        <f t="shared" si="10"/>
        <v>20000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3">
        <v>0</v>
      </c>
      <c r="V173" s="13">
        <v>0</v>
      </c>
      <c r="W173" s="8" t="s">
        <v>2071</v>
      </c>
      <c r="X173" s="8" t="s">
        <v>51</v>
      </c>
      <c r="Y173" s="2" t="s">
        <v>51</v>
      </c>
      <c r="Z173" s="2" t="s">
        <v>51</v>
      </c>
      <c r="AA173" s="14"/>
      <c r="AB173" s="2" t="s">
        <v>51</v>
      </c>
    </row>
    <row r="174" spans="1:28" ht="30" customHeight="1">
      <c r="A174" s="8" t="s">
        <v>545</v>
      </c>
      <c r="B174" s="157" t="s">
        <v>3259</v>
      </c>
      <c r="C174" s="157" t="s">
        <v>3260</v>
      </c>
      <c r="D174" s="157" t="s">
        <v>2568</v>
      </c>
      <c r="E174" s="164">
        <v>0</v>
      </c>
      <c r="F174" s="165" t="s">
        <v>51</v>
      </c>
      <c r="G174" s="164">
        <v>0</v>
      </c>
      <c r="H174" s="165" t="s">
        <v>51</v>
      </c>
      <c r="I174" s="164">
        <v>0</v>
      </c>
      <c r="J174" s="165" t="s">
        <v>51</v>
      </c>
      <c r="K174" s="164">
        <v>150000</v>
      </c>
      <c r="L174" s="165" t="s">
        <v>51</v>
      </c>
      <c r="M174" s="164">
        <v>384000</v>
      </c>
      <c r="N174" s="165"/>
      <c r="O174" s="164">
        <f t="shared" si="10"/>
        <v>150000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3">
        <v>0</v>
      </c>
      <c r="V174" s="13">
        <v>0</v>
      </c>
      <c r="W174" s="8" t="s">
        <v>2072</v>
      </c>
      <c r="X174" s="8" t="s">
        <v>51</v>
      </c>
      <c r="Y174" s="2" t="s">
        <v>51</v>
      </c>
      <c r="Z174" s="2" t="s">
        <v>51</v>
      </c>
      <c r="AA174" s="14"/>
      <c r="AB174" s="2" t="s">
        <v>51</v>
      </c>
    </row>
    <row r="175" spans="1:28" ht="30" customHeight="1">
      <c r="A175" s="8" t="s">
        <v>545</v>
      </c>
      <c r="B175" s="157" t="s">
        <v>3259</v>
      </c>
      <c r="C175" s="157" t="s">
        <v>3261</v>
      </c>
      <c r="D175" s="157" t="s">
        <v>2568</v>
      </c>
      <c r="E175" s="164">
        <v>0</v>
      </c>
      <c r="F175" s="165" t="s">
        <v>51</v>
      </c>
      <c r="G175" s="164">
        <v>0</v>
      </c>
      <c r="H175" s="165" t="s">
        <v>51</v>
      </c>
      <c r="I175" s="164">
        <v>0</v>
      </c>
      <c r="J175" s="165" t="s">
        <v>51</v>
      </c>
      <c r="K175" s="164">
        <v>340000</v>
      </c>
      <c r="L175" s="165" t="s">
        <v>51</v>
      </c>
      <c r="M175" s="164">
        <v>368000</v>
      </c>
      <c r="N175" s="165"/>
      <c r="O175" s="164">
        <f t="shared" si="10"/>
        <v>340000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3">
        <v>0</v>
      </c>
      <c r="V175" s="13">
        <v>0</v>
      </c>
      <c r="W175" s="8" t="s">
        <v>2073</v>
      </c>
      <c r="X175" s="8" t="s">
        <v>51</v>
      </c>
      <c r="Y175" s="2" t="s">
        <v>51</v>
      </c>
      <c r="Z175" s="2" t="s">
        <v>51</v>
      </c>
      <c r="AA175" s="14"/>
      <c r="AB175" s="2" t="s">
        <v>51</v>
      </c>
    </row>
    <row r="176" spans="1:28" ht="30" customHeight="1">
      <c r="A176" s="8" t="s">
        <v>545</v>
      </c>
      <c r="B176" s="157" t="s">
        <v>3262</v>
      </c>
      <c r="C176" s="157" t="s">
        <v>3263</v>
      </c>
      <c r="D176" s="157" t="s">
        <v>2568</v>
      </c>
      <c r="E176" s="164">
        <v>0</v>
      </c>
      <c r="F176" s="165" t="s">
        <v>51</v>
      </c>
      <c r="G176" s="164">
        <v>0</v>
      </c>
      <c r="H176" s="165" t="s">
        <v>51</v>
      </c>
      <c r="I176" s="164">
        <v>0</v>
      </c>
      <c r="J176" s="165" t="s">
        <v>51</v>
      </c>
      <c r="K176" s="164">
        <v>25000</v>
      </c>
      <c r="L176" s="165" t="s">
        <v>51</v>
      </c>
      <c r="M176" s="164">
        <v>29500</v>
      </c>
      <c r="N176" s="165"/>
      <c r="O176" s="164">
        <f t="shared" si="10"/>
        <v>25000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3">
        <v>0</v>
      </c>
      <c r="V176" s="13">
        <v>0</v>
      </c>
      <c r="W176" s="8" t="s">
        <v>2074</v>
      </c>
      <c r="X176" s="8" t="s">
        <v>51</v>
      </c>
      <c r="Y176" s="2" t="s">
        <v>51</v>
      </c>
      <c r="Z176" s="2" t="s">
        <v>51</v>
      </c>
      <c r="AA176" s="14"/>
      <c r="AB176" s="2" t="s">
        <v>51</v>
      </c>
    </row>
    <row r="177" spans="1:28" ht="30" customHeight="1">
      <c r="A177" s="8" t="s">
        <v>545</v>
      </c>
      <c r="B177" s="157" t="s">
        <v>3262</v>
      </c>
      <c r="C177" s="157" t="s">
        <v>3264</v>
      </c>
      <c r="D177" s="157" t="s">
        <v>2568</v>
      </c>
      <c r="E177" s="164">
        <v>0</v>
      </c>
      <c r="F177" s="165" t="s">
        <v>51</v>
      </c>
      <c r="G177" s="164">
        <v>0</v>
      </c>
      <c r="H177" s="165" t="s">
        <v>51</v>
      </c>
      <c r="I177" s="164">
        <v>0</v>
      </c>
      <c r="J177" s="165" t="s">
        <v>51</v>
      </c>
      <c r="K177" s="164">
        <v>20000</v>
      </c>
      <c r="L177" s="165" t="s">
        <v>51</v>
      </c>
      <c r="M177" s="164">
        <v>22000</v>
      </c>
      <c r="N177" s="165"/>
      <c r="O177" s="164">
        <f t="shared" si="10"/>
        <v>20000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3">
        <v>0</v>
      </c>
      <c r="V177" s="13">
        <v>0</v>
      </c>
      <c r="W177" s="8" t="s">
        <v>2075</v>
      </c>
      <c r="X177" s="8" t="s">
        <v>51</v>
      </c>
      <c r="Y177" s="2" t="s">
        <v>51</v>
      </c>
      <c r="Z177" s="2" t="s">
        <v>51</v>
      </c>
      <c r="AA177" s="14"/>
      <c r="AB177" s="2" t="s">
        <v>51</v>
      </c>
    </row>
    <row r="178" spans="1:28" ht="30" customHeight="1">
      <c r="A178" s="8" t="s">
        <v>545</v>
      </c>
      <c r="B178" s="157" t="s">
        <v>3262</v>
      </c>
      <c r="C178" s="157" t="s">
        <v>3265</v>
      </c>
      <c r="D178" s="157" t="s">
        <v>2568</v>
      </c>
      <c r="E178" s="164">
        <v>0</v>
      </c>
      <c r="F178" s="165" t="s">
        <v>51</v>
      </c>
      <c r="G178" s="164">
        <v>0</v>
      </c>
      <c r="H178" s="165" t="s">
        <v>51</v>
      </c>
      <c r="I178" s="164">
        <v>0</v>
      </c>
      <c r="J178" s="165" t="s">
        <v>51</v>
      </c>
      <c r="K178" s="164">
        <v>120000</v>
      </c>
      <c r="L178" s="165" t="s">
        <v>51</v>
      </c>
      <c r="M178" s="164">
        <v>142000</v>
      </c>
      <c r="N178" s="165"/>
      <c r="O178" s="164">
        <f t="shared" si="10"/>
        <v>120000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3">
        <v>0</v>
      </c>
      <c r="V178" s="13">
        <v>0</v>
      </c>
      <c r="W178" s="8" t="s">
        <v>2076</v>
      </c>
      <c r="X178" s="8" t="s">
        <v>51</v>
      </c>
      <c r="Y178" s="2" t="s">
        <v>51</v>
      </c>
      <c r="Z178" s="2" t="s">
        <v>51</v>
      </c>
      <c r="AA178" s="14"/>
      <c r="AB178" s="2" t="s">
        <v>51</v>
      </c>
    </row>
    <row r="179" spans="1:28" ht="30" customHeight="1">
      <c r="A179" s="8" t="s">
        <v>545</v>
      </c>
      <c r="B179" s="157" t="s">
        <v>3262</v>
      </c>
      <c r="C179" s="157" t="s">
        <v>3266</v>
      </c>
      <c r="D179" s="157" t="s">
        <v>2568</v>
      </c>
      <c r="E179" s="164">
        <v>0</v>
      </c>
      <c r="F179" s="165" t="s">
        <v>51</v>
      </c>
      <c r="G179" s="164">
        <v>0</v>
      </c>
      <c r="H179" s="165" t="s">
        <v>51</v>
      </c>
      <c r="I179" s="164">
        <v>0</v>
      </c>
      <c r="J179" s="165" t="s">
        <v>51</v>
      </c>
      <c r="K179" s="164">
        <v>100000</v>
      </c>
      <c r="L179" s="165" t="s">
        <v>51</v>
      </c>
      <c r="M179" s="164">
        <v>112000</v>
      </c>
      <c r="N179" s="165"/>
      <c r="O179" s="164">
        <f t="shared" si="10"/>
        <v>100000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3">
        <v>0</v>
      </c>
      <c r="V179" s="13">
        <v>0</v>
      </c>
      <c r="W179" s="8" t="s">
        <v>2077</v>
      </c>
      <c r="X179" s="8" t="s">
        <v>51</v>
      </c>
      <c r="Y179" s="2" t="s">
        <v>51</v>
      </c>
      <c r="Z179" s="2" t="s">
        <v>51</v>
      </c>
      <c r="AA179" s="14"/>
      <c r="AB179" s="2" t="s">
        <v>51</v>
      </c>
    </row>
    <row r="180" spans="1:28" ht="30" customHeight="1">
      <c r="A180" s="8" t="s">
        <v>545</v>
      </c>
      <c r="B180" s="157" t="s">
        <v>3262</v>
      </c>
      <c r="C180" s="157" t="s">
        <v>3267</v>
      </c>
      <c r="D180" s="157" t="s">
        <v>2568</v>
      </c>
      <c r="E180" s="164">
        <v>0</v>
      </c>
      <c r="F180" s="165" t="s">
        <v>51</v>
      </c>
      <c r="G180" s="164">
        <v>0</v>
      </c>
      <c r="H180" s="165" t="s">
        <v>51</v>
      </c>
      <c r="I180" s="164">
        <v>0</v>
      </c>
      <c r="J180" s="165" t="s">
        <v>51</v>
      </c>
      <c r="K180" s="164">
        <v>80000</v>
      </c>
      <c r="L180" s="165" t="s">
        <v>51</v>
      </c>
      <c r="M180" s="164">
        <v>89000</v>
      </c>
      <c r="N180" s="165"/>
      <c r="O180" s="164">
        <f t="shared" si="10"/>
        <v>80000</v>
      </c>
      <c r="P180" s="166">
        <v>0</v>
      </c>
      <c r="Q180" s="166">
        <v>0</v>
      </c>
      <c r="R180" s="166">
        <v>0</v>
      </c>
      <c r="S180" s="166">
        <v>0</v>
      </c>
      <c r="T180" s="166">
        <v>0</v>
      </c>
      <c r="U180" s="13">
        <v>0</v>
      </c>
      <c r="V180" s="13">
        <v>0</v>
      </c>
      <c r="W180" s="8" t="s">
        <v>2078</v>
      </c>
      <c r="X180" s="8" t="s">
        <v>51</v>
      </c>
      <c r="Y180" s="2" t="s">
        <v>51</v>
      </c>
      <c r="Z180" s="2" t="s">
        <v>51</v>
      </c>
      <c r="AA180" s="14"/>
      <c r="AB180" s="2" t="s">
        <v>51</v>
      </c>
    </row>
    <row r="181" spans="1:28" ht="30" customHeight="1">
      <c r="A181" s="8" t="s">
        <v>545</v>
      </c>
      <c r="B181" s="157" t="s">
        <v>3262</v>
      </c>
      <c r="C181" s="157" t="s">
        <v>3268</v>
      </c>
      <c r="D181" s="157" t="s">
        <v>2568</v>
      </c>
      <c r="E181" s="164">
        <v>0</v>
      </c>
      <c r="F181" s="165" t="s">
        <v>51</v>
      </c>
      <c r="G181" s="164">
        <v>0</v>
      </c>
      <c r="H181" s="165" t="s">
        <v>51</v>
      </c>
      <c r="I181" s="164">
        <v>0</v>
      </c>
      <c r="J181" s="165" t="s">
        <v>51</v>
      </c>
      <c r="K181" s="164">
        <v>110000</v>
      </c>
      <c r="L181" s="165" t="s">
        <v>51</v>
      </c>
      <c r="M181" s="164">
        <v>500000</v>
      </c>
      <c r="N181" s="165"/>
      <c r="O181" s="164">
        <f t="shared" si="10"/>
        <v>110000</v>
      </c>
      <c r="P181" s="166">
        <v>0</v>
      </c>
      <c r="Q181" s="166">
        <v>0</v>
      </c>
      <c r="R181" s="166">
        <v>0</v>
      </c>
      <c r="S181" s="166">
        <v>0</v>
      </c>
      <c r="T181" s="166">
        <v>0</v>
      </c>
      <c r="U181" s="13">
        <v>0</v>
      </c>
      <c r="V181" s="13">
        <v>0</v>
      </c>
      <c r="W181" s="8" t="s">
        <v>2079</v>
      </c>
      <c r="X181" s="8" t="s">
        <v>51</v>
      </c>
      <c r="Y181" s="2" t="s">
        <v>51</v>
      </c>
      <c r="Z181" s="2" t="s">
        <v>51</v>
      </c>
      <c r="AA181" s="14"/>
      <c r="AB181" s="2" t="s">
        <v>51</v>
      </c>
    </row>
    <row r="182" spans="1:28" ht="30" customHeight="1">
      <c r="A182" s="8" t="s">
        <v>545</v>
      </c>
      <c r="B182" s="157" t="s">
        <v>3262</v>
      </c>
      <c r="C182" s="157" t="s">
        <v>3269</v>
      </c>
      <c r="D182" s="157" t="s">
        <v>2568</v>
      </c>
      <c r="E182" s="164">
        <v>0</v>
      </c>
      <c r="F182" s="165" t="s">
        <v>51</v>
      </c>
      <c r="G182" s="164">
        <v>0</v>
      </c>
      <c r="H182" s="165" t="s">
        <v>51</v>
      </c>
      <c r="I182" s="164">
        <v>0</v>
      </c>
      <c r="J182" s="165" t="s">
        <v>51</v>
      </c>
      <c r="K182" s="164">
        <v>80000</v>
      </c>
      <c r="L182" s="165" t="s">
        <v>51</v>
      </c>
      <c r="M182" s="164">
        <v>267000</v>
      </c>
      <c r="N182" s="165"/>
      <c r="O182" s="164">
        <f t="shared" si="10"/>
        <v>80000</v>
      </c>
      <c r="P182" s="166">
        <v>0</v>
      </c>
      <c r="Q182" s="166">
        <v>0</v>
      </c>
      <c r="R182" s="166">
        <v>0</v>
      </c>
      <c r="S182" s="166">
        <v>0</v>
      </c>
      <c r="T182" s="166">
        <v>0</v>
      </c>
      <c r="U182" s="13">
        <v>0</v>
      </c>
      <c r="V182" s="13">
        <v>0</v>
      </c>
      <c r="W182" s="8" t="s">
        <v>2080</v>
      </c>
      <c r="X182" s="8" t="s">
        <v>51</v>
      </c>
      <c r="Y182" s="2" t="s">
        <v>51</v>
      </c>
      <c r="Z182" s="2" t="s">
        <v>51</v>
      </c>
      <c r="AA182" s="14"/>
      <c r="AB182" s="2" t="s">
        <v>51</v>
      </c>
    </row>
    <row r="183" spans="1:28" ht="30" customHeight="1">
      <c r="A183" s="8" t="s">
        <v>545</v>
      </c>
      <c r="B183" s="157" t="s">
        <v>3262</v>
      </c>
      <c r="C183" s="157" t="s">
        <v>3270</v>
      </c>
      <c r="D183" s="157" t="s">
        <v>2568</v>
      </c>
      <c r="E183" s="164">
        <v>0</v>
      </c>
      <c r="F183" s="165" t="s">
        <v>51</v>
      </c>
      <c r="G183" s="164">
        <v>0</v>
      </c>
      <c r="H183" s="165" t="s">
        <v>51</v>
      </c>
      <c r="I183" s="164">
        <v>0</v>
      </c>
      <c r="J183" s="165" t="s">
        <v>51</v>
      </c>
      <c r="K183" s="164">
        <v>50000</v>
      </c>
      <c r="L183" s="165" t="s">
        <v>51</v>
      </c>
      <c r="M183" s="164">
        <v>113800</v>
      </c>
      <c r="N183" s="165"/>
      <c r="O183" s="164">
        <f t="shared" si="10"/>
        <v>50000</v>
      </c>
      <c r="P183" s="166">
        <v>0</v>
      </c>
      <c r="Q183" s="166">
        <v>0</v>
      </c>
      <c r="R183" s="166">
        <v>0</v>
      </c>
      <c r="S183" s="166">
        <v>0</v>
      </c>
      <c r="T183" s="166">
        <v>0</v>
      </c>
      <c r="U183" s="13">
        <v>0</v>
      </c>
      <c r="V183" s="13">
        <v>0</v>
      </c>
      <c r="W183" s="8" t="s">
        <v>2081</v>
      </c>
      <c r="X183" s="8" t="s">
        <v>51</v>
      </c>
      <c r="Y183" s="2" t="s">
        <v>51</v>
      </c>
      <c r="Z183" s="2" t="s">
        <v>51</v>
      </c>
      <c r="AA183" s="14"/>
      <c r="AB183" s="2" t="s">
        <v>51</v>
      </c>
    </row>
    <row r="184" spans="1:28" ht="30" customHeight="1">
      <c r="A184" s="8" t="s">
        <v>545</v>
      </c>
      <c r="B184" s="157" t="s">
        <v>3262</v>
      </c>
      <c r="C184" s="157" t="s">
        <v>3271</v>
      </c>
      <c r="D184" s="157" t="s">
        <v>2568</v>
      </c>
      <c r="E184" s="164">
        <v>0</v>
      </c>
      <c r="F184" s="165" t="s">
        <v>51</v>
      </c>
      <c r="G184" s="164">
        <v>0</v>
      </c>
      <c r="H184" s="165" t="s">
        <v>51</v>
      </c>
      <c r="I184" s="164">
        <v>0</v>
      </c>
      <c r="J184" s="165" t="s">
        <v>51</v>
      </c>
      <c r="K184" s="164">
        <v>140000</v>
      </c>
      <c r="L184" s="165" t="s">
        <v>51</v>
      </c>
      <c r="M184" s="164">
        <v>168000</v>
      </c>
      <c r="N184" s="165"/>
      <c r="O184" s="164">
        <f t="shared" si="10"/>
        <v>140000</v>
      </c>
      <c r="P184" s="166">
        <v>0</v>
      </c>
      <c r="Q184" s="166">
        <v>0</v>
      </c>
      <c r="R184" s="166">
        <v>0</v>
      </c>
      <c r="S184" s="166">
        <v>0</v>
      </c>
      <c r="T184" s="166">
        <v>0</v>
      </c>
      <c r="U184" s="13">
        <v>0</v>
      </c>
      <c r="V184" s="13">
        <v>0</v>
      </c>
      <c r="W184" s="8" t="s">
        <v>2082</v>
      </c>
      <c r="X184" s="8" t="s">
        <v>51</v>
      </c>
      <c r="Y184" s="2" t="s">
        <v>51</v>
      </c>
      <c r="Z184" s="2" t="s">
        <v>51</v>
      </c>
      <c r="AA184" s="14"/>
      <c r="AB184" s="2" t="s">
        <v>51</v>
      </c>
    </row>
    <row r="185" spans="1:28" ht="30" customHeight="1">
      <c r="A185" s="8" t="s">
        <v>545</v>
      </c>
      <c r="B185" s="157" t="s">
        <v>3272</v>
      </c>
      <c r="C185" s="157" t="s">
        <v>3274</v>
      </c>
      <c r="D185" s="157" t="s">
        <v>2568</v>
      </c>
      <c r="E185" s="164">
        <v>0</v>
      </c>
      <c r="F185" s="165" t="s">
        <v>51</v>
      </c>
      <c r="G185" s="164">
        <v>0</v>
      </c>
      <c r="H185" s="165" t="s">
        <v>51</v>
      </c>
      <c r="I185" s="164">
        <v>0</v>
      </c>
      <c r="J185" s="165" t="s">
        <v>51</v>
      </c>
      <c r="K185" s="164">
        <v>2800000</v>
      </c>
      <c r="L185" s="165" t="s">
        <v>51</v>
      </c>
      <c r="M185" s="164">
        <v>2980000</v>
      </c>
      <c r="N185" s="165"/>
      <c r="O185" s="164">
        <f t="shared" si="10"/>
        <v>2800000</v>
      </c>
      <c r="P185" s="166">
        <v>0</v>
      </c>
      <c r="Q185" s="166">
        <v>0</v>
      </c>
      <c r="R185" s="166">
        <v>0</v>
      </c>
      <c r="S185" s="166">
        <v>0</v>
      </c>
      <c r="T185" s="166">
        <v>0</v>
      </c>
      <c r="U185" s="13">
        <v>0</v>
      </c>
      <c r="V185" s="13">
        <v>0</v>
      </c>
      <c r="W185" s="8" t="s">
        <v>2083</v>
      </c>
      <c r="X185" s="8" t="s">
        <v>51</v>
      </c>
      <c r="Y185" s="2" t="s">
        <v>51</v>
      </c>
      <c r="Z185" s="2" t="s">
        <v>51</v>
      </c>
      <c r="AA185" s="14"/>
      <c r="AB185" s="2" t="s">
        <v>51</v>
      </c>
    </row>
    <row r="186" spans="1:28" ht="30" customHeight="1">
      <c r="A186" s="8" t="s">
        <v>545</v>
      </c>
      <c r="B186" s="157" t="s">
        <v>3272</v>
      </c>
      <c r="C186" s="157" t="s">
        <v>3275</v>
      </c>
      <c r="D186" s="157" t="s">
        <v>2568</v>
      </c>
      <c r="E186" s="164">
        <v>0</v>
      </c>
      <c r="F186" s="165" t="s">
        <v>51</v>
      </c>
      <c r="G186" s="164">
        <v>0</v>
      </c>
      <c r="H186" s="165" t="s">
        <v>51</v>
      </c>
      <c r="I186" s="164">
        <v>0</v>
      </c>
      <c r="J186" s="165" t="s">
        <v>51</v>
      </c>
      <c r="K186" s="164">
        <v>1800000</v>
      </c>
      <c r="L186" s="165" t="s">
        <v>51</v>
      </c>
      <c r="M186" s="164">
        <v>1950000</v>
      </c>
      <c r="N186" s="165"/>
      <c r="O186" s="164">
        <f t="shared" si="10"/>
        <v>1800000</v>
      </c>
      <c r="P186" s="166">
        <v>0</v>
      </c>
      <c r="Q186" s="166">
        <v>0</v>
      </c>
      <c r="R186" s="166">
        <v>0</v>
      </c>
      <c r="S186" s="166">
        <v>0</v>
      </c>
      <c r="T186" s="166">
        <v>0</v>
      </c>
      <c r="U186" s="13">
        <v>0</v>
      </c>
      <c r="V186" s="13">
        <v>0</v>
      </c>
      <c r="W186" s="8" t="s">
        <v>2084</v>
      </c>
      <c r="X186" s="8" t="s">
        <v>51</v>
      </c>
      <c r="Y186" s="2" t="s">
        <v>51</v>
      </c>
      <c r="Z186" s="2" t="s">
        <v>51</v>
      </c>
      <c r="AA186" s="14"/>
      <c r="AB186" s="2" t="s">
        <v>51</v>
      </c>
    </row>
    <row r="187" spans="1:28" ht="30" customHeight="1">
      <c r="A187" s="8" t="s">
        <v>545</v>
      </c>
      <c r="B187" s="157" t="s">
        <v>3273</v>
      </c>
      <c r="C187" s="157" t="s">
        <v>3276</v>
      </c>
      <c r="D187" s="157" t="s">
        <v>2568</v>
      </c>
      <c r="E187" s="164">
        <v>0</v>
      </c>
      <c r="F187" s="165" t="s">
        <v>51</v>
      </c>
      <c r="G187" s="164">
        <v>0</v>
      </c>
      <c r="H187" s="165" t="s">
        <v>51</v>
      </c>
      <c r="I187" s="164">
        <v>0</v>
      </c>
      <c r="J187" s="165" t="s">
        <v>51</v>
      </c>
      <c r="K187" s="164">
        <v>20000</v>
      </c>
      <c r="L187" s="165" t="s">
        <v>51</v>
      </c>
      <c r="M187" s="164">
        <v>156000</v>
      </c>
      <c r="N187" s="165"/>
      <c r="O187" s="164">
        <f t="shared" si="10"/>
        <v>20000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3">
        <v>0</v>
      </c>
      <c r="V187" s="13">
        <v>0</v>
      </c>
      <c r="W187" s="8" t="s">
        <v>2085</v>
      </c>
      <c r="X187" s="8" t="s">
        <v>51</v>
      </c>
      <c r="Y187" s="2" t="s">
        <v>51</v>
      </c>
      <c r="Z187" s="2" t="s">
        <v>51</v>
      </c>
      <c r="AA187" s="14"/>
      <c r="AB187" s="2" t="s">
        <v>51</v>
      </c>
    </row>
    <row r="188" spans="1:28" ht="30" customHeight="1">
      <c r="A188" s="8" t="s">
        <v>545</v>
      </c>
      <c r="B188" s="157" t="s">
        <v>3273</v>
      </c>
      <c r="C188" s="157" t="s">
        <v>3277</v>
      </c>
      <c r="D188" s="157" t="s">
        <v>2568</v>
      </c>
      <c r="E188" s="164">
        <v>0</v>
      </c>
      <c r="F188" s="165" t="s">
        <v>51</v>
      </c>
      <c r="G188" s="164">
        <v>0</v>
      </c>
      <c r="H188" s="165" t="s">
        <v>51</v>
      </c>
      <c r="I188" s="164">
        <v>0</v>
      </c>
      <c r="J188" s="165" t="s">
        <v>51</v>
      </c>
      <c r="K188" s="164">
        <v>45000</v>
      </c>
      <c r="L188" s="165" t="s">
        <v>51</v>
      </c>
      <c r="M188" s="164">
        <v>247500</v>
      </c>
      <c r="N188" s="165"/>
      <c r="O188" s="164">
        <f t="shared" si="10"/>
        <v>45000</v>
      </c>
      <c r="P188" s="166">
        <v>0</v>
      </c>
      <c r="Q188" s="166">
        <v>0</v>
      </c>
      <c r="R188" s="166">
        <v>0</v>
      </c>
      <c r="S188" s="166">
        <v>0</v>
      </c>
      <c r="T188" s="166">
        <v>0</v>
      </c>
      <c r="U188" s="13">
        <v>0</v>
      </c>
      <c r="V188" s="13">
        <v>0</v>
      </c>
      <c r="W188" s="8" t="s">
        <v>2086</v>
      </c>
      <c r="X188" s="8" t="s">
        <v>51</v>
      </c>
      <c r="Y188" s="2" t="s">
        <v>51</v>
      </c>
      <c r="Z188" s="2" t="s">
        <v>51</v>
      </c>
      <c r="AA188" s="14"/>
      <c r="AB188" s="2" t="s">
        <v>51</v>
      </c>
    </row>
    <row r="189" spans="1:28" ht="30" customHeight="1">
      <c r="A189" s="8" t="s">
        <v>545</v>
      </c>
      <c r="B189" s="157" t="s">
        <v>3273</v>
      </c>
      <c r="C189" s="157" t="s">
        <v>3278</v>
      </c>
      <c r="D189" s="157" t="s">
        <v>2568</v>
      </c>
      <c r="E189" s="164">
        <v>0</v>
      </c>
      <c r="F189" s="165" t="s">
        <v>51</v>
      </c>
      <c r="G189" s="164">
        <v>0</v>
      </c>
      <c r="H189" s="165" t="s">
        <v>51</v>
      </c>
      <c r="I189" s="164">
        <v>0</v>
      </c>
      <c r="J189" s="165" t="s">
        <v>51</v>
      </c>
      <c r="K189" s="164">
        <v>12000</v>
      </c>
      <c r="L189" s="165" t="s">
        <v>51</v>
      </c>
      <c r="M189" s="164">
        <v>29300</v>
      </c>
      <c r="N189" s="165"/>
      <c r="O189" s="164">
        <f t="shared" si="10"/>
        <v>12000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3">
        <v>0</v>
      </c>
      <c r="V189" s="13">
        <v>0</v>
      </c>
      <c r="W189" s="8" t="s">
        <v>2087</v>
      </c>
      <c r="X189" s="8" t="s">
        <v>51</v>
      </c>
      <c r="Y189" s="2" t="s">
        <v>51</v>
      </c>
      <c r="Z189" s="2" t="s">
        <v>51</v>
      </c>
      <c r="AA189" s="14"/>
      <c r="AB189" s="2" t="s">
        <v>51</v>
      </c>
    </row>
    <row r="190" spans="1:28" ht="30" customHeight="1">
      <c r="A190" s="8" t="s">
        <v>545</v>
      </c>
      <c r="B190" s="157" t="s">
        <v>3273</v>
      </c>
      <c r="C190" s="157" t="s">
        <v>3279</v>
      </c>
      <c r="D190" s="157" t="s">
        <v>2568</v>
      </c>
      <c r="E190" s="164">
        <v>0</v>
      </c>
      <c r="F190" s="165" t="s">
        <v>51</v>
      </c>
      <c r="G190" s="164">
        <v>0</v>
      </c>
      <c r="H190" s="165" t="s">
        <v>51</v>
      </c>
      <c r="I190" s="164">
        <v>0</v>
      </c>
      <c r="J190" s="165" t="s">
        <v>51</v>
      </c>
      <c r="K190" s="164">
        <v>17000</v>
      </c>
      <c r="L190" s="165" t="s">
        <v>51</v>
      </c>
      <c r="M190" s="164">
        <v>59400</v>
      </c>
      <c r="N190" s="165"/>
      <c r="O190" s="164">
        <f t="shared" si="10"/>
        <v>17000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3">
        <v>0</v>
      </c>
      <c r="V190" s="13">
        <v>0</v>
      </c>
      <c r="W190" s="8" t="s">
        <v>2088</v>
      </c>
      <c r="X190" s="8" t="s">
        <v>51</v>
      </c>
      <c r="Y190" s="2" t="s">
        <v>51</v>
      </c>
      <c r="Z190" s="2" t="s">
        <v>51</v>
      </c>
      <c r="AA190" s="14"/>
      <c r="AB190" s="2" t="s">
        <v>51</v>
      </c>
    </row>
    <row r="191" spans="1:28" ht="30" customHeight="1">
      <c r="A191" s="8" t="s">
        <v>545</v>
      </c>
      <c r="B191" s="157" t="s">
        <v>3280</v>
      </c>
      <c r="C191" s="157" t="s">
        <v>3281</v>
      </c>
      <c r="D191" s="157" t="s">
        <v>2568</v>
      </c>
      <c r="E191" s="164">
        <v>0</v>
      </c>
      <c r="F191" s="165" t="s">
        <v>51</v>
      </c>
      <c r="G191" s="164">
        <v>0</v>
      </c>
      <c r="H191" s="165" t="s">
        <v>51</v>
      </c>
      <c r="I191" s="164">
        <v>0</v>
      </c>
      <c r="J191" s="165" t="s">
        <v>51</v>
      </c>
      <c r="K191" s="164">
        <v>50000</v>
      </c>
      <c r="L191" s="165" t="s">
        <v>51</v>
      </c>
      <c r="M191" s="164">
        <v>540000</v>
      </c>
      <c r="N191" s="165"/>
      <c r="O191" s="164">
        <f t="shared" si="10"/>
        <v>50000</v>
      </c>
      <c r="P191" s="166">
        <v>0</v>
      </c>
      <c r="Q191" s="166">
        <v>0</v>
      </c>
      <c r="R191" s="166">
        <v>0</v>
      </c>
      <c r="S191" s="166">
        <v>0</v>
      </c>
      <c r="T191" s="166">
        <v>0</v>
      </c>
      <c r="U191" s="13">
        <v>0</v>
      </c>
      <c r="V191" s="13">
        <v>0</v>
      </c>
      <c r="W191" s="8" t="s">
        <v>2089</v>
      </c>
      <c r="X191" s="8" t="s">
        <v>51</v>
      </c>
      <c r="Y191" s="2" t="s">
        <v>51</v>
      </c>
      <c r="Z191" s="2" t="s">
        <v>51</v>
      </c>
      <c r="AA191" s="14"/>
      <c r="AB191" s="2" t="s">
        <v>51</v>
      </c>
    </row>
    <row r="192" spans="1:28" ht="30" customHeight="1">
      <c r="A192" s="8"/>
      <c r="B192" s="157" t="s">
        <v>3656</v>
      </c>
      <c r="C192" s="157" t="s">
        <v>3657</v>
      </c>
      <c r="D192" s="157" t="s">
        <v>3649</v>
      </c>
      <c r="E192" s="164"/>
      <c r="F192" s="165"/>
      <c r="G192" s="164"/>
      <c r="H192" s="165"/>
      <c r="I192" s="164"/>
      <c r="J192" s="165"/>
      <c r="K192" s="164">
        <v>117600</v>
      </c>
      <c r="L192" s="165"/>
      <c r="M192" s="164">
        <v>120000</v>
      </c>
      <c r="N192" s="165"/>
      <c r="O192" s="164">
        <f t="shared" si="10"/>
        <v>117600</v>
      </c>
      <c r="P192" s="166"/>
      <c r="Q192" s="166"/>
      <c r="R192" s="166"/>
      <c r="S192" s="166"/>
      <c r="T192" s="166"/>
      <c r="U192" s="13"/>
      <c r="V192" s="13"/>
      <c r="W192" s="8" t="s">
        <v>2090</v>
      </c>
      <c r="X192" s="8"/>
      <c r="Y192" s="2"/>
      <c r="Z192" s="2"/>
      <c r="AA192" s="14"/>
      <c r="AB192" s="2"/>
    </row>
    <row r="193" spans="1:28" ht="30" customHeight="1">
      <c r="A193" s="8"/>
      <c r="B193" s="157" t="s">
        <v>3656</v>
      </c>
      <c r="C193" s="157" t="s">
        <v>3658</v>
      </c>
      <c r="D193" s="157" t="s">
        <v>3649</v>
      </c>
      <c r="E193" s="164"/>
      <c r="F193" s="165"/>
      <c r="G193" s="164"/>
      <c r="H193" s="165"/>
      <c r="I193" s="164"/>
      <c r="J193" s="165"/>
      <c r="K193" s="164">
        <v>48000</v>
      </c>
      <c r="L193" s="165"/>
      <c r="M193" s="164">
        <v>52000</v>
      </c>
      <c r="N193" s="165"/>
      <c r="O193" s="164">
        <f t="shared" si="10"/>
        <v>48000</v>
      </c>
      <c r="P193" s="166"/>
      <c r="Q193" s="166"/>
      <c r="R193" s="166"/>
      <c r="S193" s="166"/>
      <c r="T193" s="166"/>
      <c r="U193" s="13"/>
      <c r="V193" s="13"/>
      <c r="W193" s="8" t="s">
        <v>2091</v>
      </c>
      <c r="X193" s="8"/>
      <c r="Y193" s="2"/>
      <c r="Z193" s="2"/>
      <c r="AA193" s="14"/>
      <c r="AB193" s="2"/>
    </row>
    <row r="194" spans="1:28" ht="30" customHeight="1">
      <c r="A194" s="8"/>
      <c r="B194" s="137" t="s">
        <v>3656</v>
      </c>
      <c r="C194" s="137" t="s">
        <v>3659</v>
      </c>
      <c r="D194" s="137" t="s">
        <v>3649</v>
      </c>
      <c r="E194" s="164"/>
      <c r="F194" s="165"/>
      <c r="G194" s="164"/>
      <c r="H194" s="165"/>
      <c r="I194" s="164"/>
      <c r="J194" s="165"/>
      <c r="K194" s="164">
        <v>36000</v>
      </c>
      <c r="L194" s="165"/>
      <c r="M194" s="164">
        <v>42000</v>
      </c>
      <c r="N194" s="165"/>
      <c r="O194" s="164">
        <f t="shared" si="10"/>
        <v>36000</v>
      </c>
      <c r="P194" s="166"/>
      <c r="Q194" s="166"/>
      <c r="R194" s="166"/>
      <c r="S194" s="166"/>
      <c r="T194" s="166"/>
      <c r="U194" s="13"/>
      <c r="V194" s="13"/>
      <c r="W194" s="8" t="s">
        <v>3904</v>
      </c>
      <c r="X194" s="8"/>
      <c r="Y194" s="2"/>
      <c r="Z194" s="2"/>
      <c r="AA194" s="14"/>
      <c r="AB194" s="2"/>
    </row>
    <row r="195" spans="1:28" ht="30" customHeight="1">
      <c r="A195" s="8"/>
      <c r="B195" s="137" t="s">
        <v>3656</v>
      </c>
      <c r="C195" s="137" t="s">
        <v>3660</v>
      </c>
      <c r="D195" s="137" t="s">
        <v>3649</v>
      </c>
      <c r="E195" s="164"/>
      <c r="F195" s="165"/>
      <c r="G195" s="164"/>
      <c r="H195" s="165"/>
      <c r="I195" s="164"/>
      <c r="J195" s="165"/>
      <c r="K195" s="164">
        <v>50400</v>
      </c>
      <c r="L195" s="165"/>
      <c r="M195" s="164">
        <v>56000</v>
      </c>
      <c r="N195" s="165"/>
      <c r="O195" s="164">
        <f t="shared" si="10"/>
        <v>50400</v>
      </c>
      <c r="P195" s="166"/>
      <c r="Q195" s="166"/>
      <c r="R195" s="166"/>
      <c r="S195" s="166"/>
      <c r="T195" s="166"/>
      <c r="U195" s="13"/>
      <c r="V195" s="13"/>
      <c r="W195" s="8" t="s">
        <v>2092</v>
      </c>
      <c r="X195" s="8"/>
      <c r="Y195" s="2"/>
      <c r="Z195" s="2"/>
      <c r="AA195" s="14"/>
      <c r="AB195" s="2"/>
    </row>
    <row r="196" spans="1:28" ht="30" customHeight="1">
      <c r="A196" s="8"/>
      <c r="B196" s="137" t="s">
        <v>3656</v>
      </c>
      <c r="C196" s="137" t="s">
        <v>3661</v>
      </c>
      <c r="D196" s="137" t="s">
        <v>3649</v>
      </c>
      <c r="E196" s="164"/>
      <c r="F196" s="165"/>
      <c r="G196" s="164"/>
      <c r="H196" s="165"/>
      <c r="I196" s="164"/>
      <c r="J196" s="165"/>
      <c r="K196" s="164">
        <v>78000</v>
      </c>
      <c r="L196" s="165"/>
      <c r="M196" s="164">
        <v>82000</v>
      </c>
      <c r="N196" s="165"/>
      <c r="O196" s="164">
        <f t="shared" si="10"/>
        <v>78000</v>
      </c>
      <c r="P196" s="166"/>
      <c r="Q196" s="166"/>
      <c r="R196" s="166"/>
      <c r="S196" s="166"/>
      <c r="T196" s="166"/>
      <c r="U196" s="13"/>
      <c r="V196" s="13"/>
      <c r="W196" s="8" t="s">
        <v>2093</v>
      </c>
      <c r="X196" s="8"/>
      <c r="Y196" s="2"/>
      <c r="Z196" s="2"/>
      <c r="AA196" s="14"/>
      <c r="AB196" s="2"/>
    </row>
    <row r="197" spans="1:28" ht="30" customHeight="1">
      <c r="A197" s="8"/>
      <c r="B197" s="137" t="s">
        <v>3656</v>
      </c>
      <c r="C197" s="137" t="s">
        <v>3662</v>
      </c>
      <c r="D197" s="137" t="s">
        <v>3649</v>
      </c>
      <c r="E197" s="164"/>
      <c r="F197" s="165"/>
      <c r="G197" s="164"/>
      <c r="H197" s="165"/>
      <c r="I197" s="164"/>
      <c r="J197" s="165"/>
      <c r="K197" s="164">
        <v>50400</v>
      </c>
      <c r="L197" s="165"/>
      <c r="M197" s="164">
        <v>56000</v>
      </c>
      <c r="N197" s="165"/>
      <c r="O197" s="164">
        <f t="shared" si="10"/>
        <v>50400</v>
      </c>
      <c r="P197" s="166"/>
      <c r="Q197" s="166"/>
      <c r="R197" s="166"/>
      <c r="S197" s="166"/>
      <c r="T197" s="166"/>
      <c r="U197" s="13"/>
      <c r="V197" s="13"/>
      <c r="W197" s="8" t="s">
        <v>2094</v>
      </c>
      <c r="X197" s="8"/>
      <c r="Y197" s="2"/>
      <c r="Z197" s="2"/>
      <c r="AA197" s="14"/>
      <c r="AB197" s="2"/>
    </row>
    <row r="198" spans="1:28" ht="30" customHeight="1">
      <c r="A198" s="8"/>
      <c r="B198" s="137" t="s">
        <v>3656</v>
      </c>
      <c r="C198" s="137" t="s">
        <v>3663</v>
      </c>
      <c r="D198" s="137" t="s">
        <v>3649</v>
      </c>
      <c r="E198" s="164"/>
      <c r="F198" s="165"/>
      <c r="G198" s="164"/>
      <c r="H198" s="165"/>
      <c r="I198" s="164"/>
      <c r="J198" s="165"/>
      <c r="K198" s="164">
        <v>24000</v>
      </c>
      <c r="L198" s="165"/>
      <c r="M198" s="164">
        <v>28000</v>
      </c>
      <c r="N198" s="165"/>
      <c r="O198" s="164">
        <f t="shared" si="10"/>
        <v>24000</v>
      </c>
      <c r="P198" s="166"/>
      <c r="Q198" s="166"/>
      <c r="R198" s="166"/>
      <c r="S198" s="166"/>
      <c r="T198" s="166"/>
      <c r="U198" s="13"/>
      <c r="V198" s="13"/>
      <c r="W198" s="8" t="s">
        <v>2095</v>
      </c>
      <c r="X198" s="8"/>
      <c r="Y198" s="2"/>
      <c r="Z198" s="2"/>
      <c r="AA198" s="14"/>
      <c r="AB198" s="2"/>
    </row>
    <row r="199" spans="1:28" ht="30" customHeight="1">
      <c r="A199" s="8"/>
      <c r="B199" s="137" t="s">
        <v>3656</v>
      </c>
      <c r="C199" s="137" t="s">
        <v>3664</v>
      </c>
      <c r="D199" s="137" t="s">
        <v>3649</v>
      </c>
      <c r="E199" s="164"/>
      <c r="F199" s="165"/>
      <c r="G199" s="164"/>
      <c r="H199" s="165"/>
      <c r="I199" s="164"/>
      <c r="J199" s="165"/>
      <c r="K199" s="164">
        <v>24000</v>
      </c>
      <c r="L199" s="165"/>
      <c r="M199" s="164">
        <v>28000</v>
      </c>
      <c r="N199" s="165"/>
      <c r="O199" s="164">
        <f t="shared" si="10"/>
        <v>24000</v>
      </c>
      <c r="P199" s="166"/>
      <c r="Q199" s="166"/>
      <c r="R199" s="166"/>
      <c r="S199" s="166"/>
      <c r="T199" s="166"/>
      <c r="U199" s="13"/>
      <c r="V199" s="13"/>
      <c r="W199" s="8" t="s">
        <v>2096</v>
      </c>
      <c r="X199" s="8"/>
      <c r="Y199" s="2"/>
      <c r="Z199" s="2"/>
      <c r="AA199" s="14"/>
      <c r="AB199" s="2"/>
    </row>
    <row r="200" spans="1:28" ht="30" customHeight="1">
      <c r="A200" s="8"/>
      <c r="B200" s="157" t="s">
        <v>3656</v>
      </c>
      <c r="C200" s="157" t="s">
        <v>3660</v>
      </c>
      <c r="D200" s="163" t="s">
        <v>3649</v>
      </c>
      <c r="E200" s="164"/>
      <c r="F200" s="165"/>
      <c r="G200" s="164"/>
      <c r="H200" s="165"/>
      <c r="I200" s="164"/>
      <c r="J200" s="165"/>
      <c r="K200" s="164">
        <v>50400</v>
      </c>
      <c r="L200" s="165"/>
      <c r="M200" s="164">
        <v>61000</v>
      </c>
      <c r="N200" s="165"/>
      <c r="O200" s="164">
        <f t="shared" si="10"/>
        <v>50400</v>
      </c>
      <c r="P200" s="166"/>
      <c r="Q200" s="166"/>
      <c r="R200" s="166"/>
      <c r="S200" s="166"/>
      <c r="T200" s="166"/>
      <c r="U200" s="13"/>
      <c r="V200" s="13"/>
      <c r="W200" s="8" t="s">
        <v>2097</v>
      </c>
      <c r="X200" s="8"/>
      <c r="Y200" s="2"/>
      <c r="Z200" s="2"/>
      <c r="AA200" s="14"/>
      <c r="AB200" s="2"/>
    </row>
    <row r="201" spans="1:28" ht="30" customHeight="1">
      <c r="A201" s="8"/>
      <c r="B201" s="157" t="s">
        <v>3656</v>
      </c>
      <c r="C201" s="157" t="s">
        <v>3665</v>
      </c>
      <c r="D201" s="163" t="s">
        <v>3649</v>
      </c>
      <c r="E201" s="164"/>
      <c r="F201" s="165"/>
      <c r="G201" s="164"/>
      <c r="H201" s="165"/>
      <c r="I201" s="164"/>
      <c r="J201" s="165"/>
      <c r="K201" s="164">
        <v>36000</v>
      </c>
      <c r="L201" s="165"/>
      <c r="M201" s="164">
        <v>38000</v>
      </c>
      <c r="N201" s="165"/>
      <c r="O201" s="164">
        <f t="shared" si="10"/>
        <v>36000</v>
      </c>
      <c r="P201" s="166"/>
      <c r="Q201" s="166"/>
      <c r="R201" s="166"/>
      <c r="S201" s="166"/>
      <c r="T201" s="166"/>
      <c r="U201" s="13"/>
      <c r="V201" s="13"/>
      <c r="W201" s="8" t="s">
        <v>2098</v>
      </c>
      <c r="X201" s="8"/>
      <c r="Y201" s="2"/>
      <c r="Z201" s="2"/>
      <c r="AA201" s="14"/>
      <c r="AB201" s="2"/>
    </row>
    <row r="202" spans="1:28" ht="30" customHeight="1">
      <c r="A202" s="8"/>
      <c r="B202" s="157" t="s">
        <v>3656</v>
      </c>
      <c r="C202" s="157" t="s">
        <v>3666</v>
      </c>
      <c r="D202" s="163" t="s">
        <v>3649</v>
      </c>
      <c r="E202" s="164"/>
      <c r="F202" s="165"/>
      <c r="G202" s="164"/>
      <c r="H202" s="165"/>
      <c r="I202" s="164"/>
      <c r="J202" s="165"/>
      <c r="K202" s="164">
        <v>50400</v>
      </c>
      <c r="L202" s="165"/>
      <c r="M202" s="164">
        <v>61000</v>
      </c>
      <c r="N202" s="165"/>
      <c r="O202" s="164">
        <f t="shared" si="10"/>
        <v>50400</v>
      </c>
      <c r="P202" s="166"/>
      <c r="Q202" s="166"/>
      <c r="R202" s="166"/>
      <c r="S202" s="166"/>
      <c r="T202" s="166"/>
      <c r="U202" s="13"/>
      <c r="V202" s="13"/>
      <c r="W202" s="8" t="s">
        <v>2099</v>
      </c>
      <c r="X202" s="8"/>
      <c r="Y202" s="2"/>
      <c r="Z202" s="2"/>
      <c r="AA202" s="14"/>
      <c r="AB202" s="2"/>
    </row>
    <row r="203" spans="1:28" ht="30" customHeight="1">
      <c r="A203" s="8"/>
      <c r="B203" s="157" t="s">
        <v>3656</v>
      </c>
      <c r="C203" s="157" t="s">
        <v>3667</v>
      </c>
      <c r="D203" s="163" t="s">
        <v>3649</v>
      </c>
      <c r="E203" s="164"/>
      <c r="F203" s="165"/>
      <c r="G203" s="164"/>
      <c r="H203" s="165"/>
      <c r="I203" s="164"/>
      <c r="J203" s="165"/>
      <c r="K203" s="164">
        <v>36000</v>
      </c>
      <c r="L203" s="165"/>
      <c r="M203" s="164">
        <v>38000</v>
      </c>
      <c r="N203" s="165"/>
      <c r="O203" s="164">
        <f t="shared" si="10"/>
        <v>36000</v>
      </c>
      <c r="P203" s="166"/>
      <c r="Q203" s="166"/>
      <c r="R203" s="166"/>
      <c r="S203" s="166"/>
      <c r="T203" s="166"/>
      <c r="U203" s="13"/>
      <c r="V203" s="13"/>
      <c r="W203" s="8" t="s">
        <v>2100</v>
      </c>
      <c r="X203" s="8"/>
      <c r="Y203" s="2"/>
      <c r="Z203" s="2"/>
      <c r="AA203" s="14"/>
      <c r="AB203" s="2"/>
    </row>
    <row r="204" spans="1:28" ht="30" customHeight="1">
      <c r="A204" s="8"/>
      <c r="B204" s="157" t="s">
        <v>3656</v>
      </c>
      <c r="C204" s="157" t="s">
        <v>3668</v>
      </c>
      <c r="D204" s="163" t="s">
        <v>3649</v>
      </c>
      <c r="E204" s="164"/>
      <c r="F204" s="165"/>
      <c r="G204" s="164"/>
      <c r="H204" s="165"/>
      <c r="I204" s="164"/>
      <c r="J204" s="165"/>
      <c r="K204" s="164">
        <v>48000</v>
      </c>
      <c r="L204" s="165"/>
      <c r="M204" s="164">
        <v>52000</v>
      </c>
      <c r="N204" s="165"/>
      <c r="O204" s="164">
        <f t="shared" si="10"/>
        <v>48000</v>
      </c>
      <c r="P204" s="166"/>
      <c r="Q204" s="166"/>
      <c r="R204" s="166"/>
      <c r="S204" s="166"/>
      <c r="T204" s="166"/>
      <c r="U204" s="13"/>
      <c r="V204" s="13"/>
      <c r="W204" s="8" t="s">
        <v>2101</v>
      </c>
      <c r="X204" s="8"/>
      <c r="Y204" s="2"/>
      <c r="Z204" s="2"/>
      <c r="AA204" s="14"/>
      <c r="AB204" s="2"/>
    </row>
    <row r="205" spans="1:28" ht="30" customHeight="1">
      <c r="A205" s="8"/>
      <c r="B205" s="157" t="s">
        <v>3656</v>
      </c>
      <c r="C205" s="157" t="s">
        <v>3669</v>
      </c>
      <c r="D205" s="163" t="s">
        <v>3649</v>
      </c>
      <c r="E205" s="164"/>
      <c r="F205" s="165"/>
      <c r="G205" s="164"/>
      <c r="H205" s="165"/>
      <c r="I205" s="164"/>
      <c r="J205" s="165"/>
      <c r="K205" s="164">
        <v>30000</v>
      </c>
      <c r="L205" s="165"/>
      <c r="M205" s="164">
        <v>35000</v>
      </c>
      <c r="N205" s="165"/>
      <c r="O205" s="164">
        <f t="shared" si="10"/>
        <v>30000</v>
      </c>
      <c r="P205" s="166"/>
      <c r="Q205" s="166"/>
      <c r="R205" s="166"/>
      <c r="S205" s="166"/>
      <c r="T205" s="166"/>
      <c r="U205" s="13"/>
      <c r="V205" s="13"/>
      <c r="W205" s="8" t="s">
        <v>2102</v>
      </c>
      <c r="X205" s="8"/>
      <c r="Y205" s="2"/>
      <c r="Z205" s="2"/>
      <c r="AA205" s="14"/>
      <c r="AB205" s="2"/>
    </row>
    <row r="206" spans="1:28" ht="30" customHeight="1">
      <c r="A206" s="8"/>
      <c r="B206" s="157" t="s">
        <v>3656</v>
      </c>
      <c r="C206" s="157" t="s">
        <v>3670</v>
      </c>
      <c r="D206" s="163" t="s">
        <v>3649</v>
      </c>
      <c r="E206" s="164"/>
      <c r="F206" s="165"/>
      <c r="G206" s="164"/>
      <c r="H206" s="165"/>
      <c r="I206" s="164"/>
      <c r="J206" s="165"/>
      <c r="K206" s="164">
        <v>30000</v>
      </c>
      <c r="L206" s="165"/>
      <c r="M206" s="164">
        <v>35000</v>
      </c>
      <c r="N206" s="165"/>
      <c r="O206" s="164">
        <f t="shared" si="10"/>
        <v>30000</v>
      </c>
      <c r="P206" s="166"/>
      <c r="Q206" s="166"/>
      <c r="R206" s="166"/>
      <c r="S206" s="166"/>
      <c r="T206" s="166"/>
      <c r="U206" s="13"/>
      <c r="V206" s="13"/>
      <c r="W206" s="8" t="s">
        <v>2103</v>
      </c>
      <c r="X206" s="8"/>
      <c r="Y206" s="2"/>
      <c r="Z206" s="2"/>
      <c r="AA206" s="14"/>
      <c r="AB206" s="2"/>
    </row>
    <row r="207" spans="1:28" ht="30" customHeight="1">
      <c r="A207" s="8"/>
      <c r="B207" s="157" t="s">
        <v>3656</v>
      </c>
      <c r="C207" s="157" t="s">
        <v>3671</v>
      </c>
      <c r="D207" s="163" t="s">
        <v>3649</v>
      </c>
      <c r="E207" s="164"/>
      <c r="F207" s="165"/>
      <c r="G207" s="164"/>
      <c r="H207" s="165"/>
      <c r="I207" s="164"/>
      <c r="J207" s="165"/>
      <c r="K207" s="164">
        <v>67200</v>
      </c>
      <c r="L207" s="165"/>
      <c r="M207" s="164">
        <v>69000</v>
      </c>
      <c r="N207" s="165"/>
      <c r="O207" s="164">
        <f t="shared" si="10"/>
        <v>67200</v>
      </c>
      <c r="P207" s="166"/>
      <c r="Q207" s="166"/>
      <c r="R207" s="166"/>
      <c r="S207" s="166"/>
      <c r="T207" s="166"/>
      <c r="U207" s="13"/>
      <c r="V207" s="13"/>
      <c r="W207" s="8" t="s">
        <v>2104</v>
      </c>
      <c r="X207" s="8"/>
      <c r="Y207" s="2"/>
      <c r="Z207" s="2"/>
      <c r="AA207" s="14"/>
      <c r="AB207" s="2"/>
    </row>
    <row r="208" spans="1:28" ht="30" customHeight="1">
      <c r="A208" s="8"/>
      <c r="B208" s="157" t="s">
        <v>3656</v>
      </c>
      <c r="C208" s="157" t="s">
        <v>3672</v>
      </c>
      <c r="D208" s="163" t="s">
        <v>3649</v>
      </c>
      <c r="E208" s="164"/>
      <c r="F208" s="165"/>
      <c r="G208" s="164"/>
      <c r="H208" s="165"/>
      <c r="I208" s="164"/>
      <c r="J208" s="165"/>
      <c r="K208" s="164">
        <v>60000</v>
      </c>
      <c r="L208" s="165"/>
      <c r="M208" s="164">
        <v>65000</v>
      </c>
      <c r="N208" s="165"/>
      <c r="O208" s="164">
        <f t="shared" si="10"/>
        <v>60000</v>
      </c>
      <c r="P208" s="166"/>
      <c r="Q208" s="166"/>
      <c r="R208" s="166"/>
      <c r="S208" s="166"/>
      <c r="T208" s="166"/>
      <c r="U208" s="13"/>
      <c r="V208" s="13"/>
      <c r="W208" s="8" t="s">
        <v>2105</v>
      </c>
      <c r="X208" s="8"/>
      <c r="Y208" s="2"/>
      <c r="Z208" s="2"/>
      <c r="AA208" s="14"/>
      <c r="AB208" s="2"/>
    </row>
    <row r="209" spans="1:28" ht="30" customHeight="1">
      <c r="A209" s="8"/>
      <c r="B209" s="157" t="s">
        <v>3656</v>
      </c>
      <c r="C209" s="157" t="s">
        <v>3673</v>
      </c>
      <c r="D209" s="163" t="s">
        <v>3649</v>
      </c>
      <c r="E209" s="164"/>
      <c r="F209" s="165"/>
      <c r="G209" s="164"/>
      <c r="H209" s="165"/>
      <c r="I209" s="164"/>
      <c r="J209" s="165"/>
      <c r="K209" s="164">
        <v>50400</v>
      </c>
      <c r="L209" s="165"/>
      <c r="M209" s="164">
        <v>56000</v>
      </c>
      <c r="N209" s="165"/>
      <c r="O209" s="164">
        <f t="shared" si="10"/>
        <v>50400</v>
      </c>
      <c r="P209" s="166"/>
      <c r="Q209" s="166"/>
      <c r="R209" s="166"/>
      <c r="S209" s="166"/>
      <c r="T209" s="166"/>
      <c r="U209" s="13"/>
      <c r="V209" s="13"/>
      <c r="W209" s="8" t="s">
        <v>2106</v>
      </c>
      <c r="X209" s="8"/>
      <c r="Y209" s="2"/>
      <c r="Z209" s="2"/>
      <c r="AA209" s="14"/>
      <c r="AB209" s="2"/>
    </row>
    <row r="210" spans="1:28" ht="30" customHeight="1">
      <c r="A210" s="8"/>
      <c r="B210" s="157" t="s">
        <v>3656</v>
      </c>
      <c r="C210" s="157" t="s">
        <v>3674</v>
      </c>
      <c r="D210" s="163" t="s">
        <v>3649</v>
      </c>
      <c r="E210" s="164"/>
      <c r="F210" s="165"/>
      <c r="G210" s="164"/>
      <c r="H210" s="165"/>
      <c r="I210" s="164"/>
      <c r="J210" s="165"/>
      <c r="K210" s="164">
        <v>42000</v>
      </c>
      <c r="L210" s="165"/>
      <c r="M210" s="164">
        <v>48000</v>
      </c>
      <c r="N210" s="165"/>
      <c r="O210" s="164">
        <f t="shared" si="10"/>
        <v>42000</v>
      </c>
      <c r="P210" s="166"/>
      <c r="Q210" s="166"/>
      <c r="R210" s="166"/>
      <c r="S210" s="166"/>
      <c r="T210" s="166"/>
      <c r="U210" s="13"/>
      <c r="V210" s="13"/>
      <c r="W210" s="8" t="s">
        <v>2107</v>
      </c>
      <c r="X210" s="8"/>
      <c r="Y210" s="2"/>
      <c r="Z210" s="2"/>
      <c r="AA210" s="14"/>
      <c r="AB210" s="2"/>
    </row>
    <row r="211" spans="1:28" ht="30" customHeight="1">
      <c r="A211" s="8"/>
      <c r="B211" s="157" t="s">
        <v>3656</v>
      </c>
      <c r="C211" s="157" t="s">
        <v>3675</v>
      </c>
      <c r="D211" s="163" t="s">
        <v>3649</v>
      </c>
      <c r="E211" s="164"/>
      <c r="F211" s="165"/>
      <c r="G211" s="164"/>
      <c r="H211" s="165"/>
      <c r="I211" s="164"/>
      <c r="J211" s="165"/>
      <c r="K211" s="164">
        <v>48000</v>
      </c>
      <c r="L211" s="165"/>
      <c r="M211" s="164">
        <v>52000</v>
      </c>
      <c r="N211" s="165"/>
      <c r="O211" s="164">
        <f t="shared" si="10"/>
        <v>48000</v>
      </c>
      <c r="P211" s="166"/>
      <c r="Q211" s="166"/>
      <c r="R211" s="166"/>
      <c r="S211" s="166"/>
      <c r="T211" s="166"/>
      <c r="U211" s="13"/>
      <c r="V211" s="13"/>
      <c r="W211" s="8" t="s">
        <v>2108</v>
      </c>
      <c r="X211" s="8"/>
      <c r="Y211" s="2"/>
      <c r="Z211" s="2"/>
      <c r="AA211" s="14"/>
      <c r="AB211" s="2"/>
    </row>
    <row r="212" spans="1:28" ht="30" customHeight="1">
      <c r="A212" s="8"/>
      <c r="B212" s="157" t="s">
        <v>3656</v>
      </c>
      <c r="C212" s="157" t="s">
        <v>3676</v>
      </c>
      <c r="D212" s="163" t="s">
        <v>3649</v>
      </c>
      <c r="E212" s="164"/>
      <c r="F212" s="165"/>
      <c r="G212" s="164"/>
      <c r="H212" s="165"/>
      <c r="I212" s="164"/>
      <c r="J212" s="165"/>
      <c r="K212" s="164">
        <v>42000</v>
      </c>
      <c r="L212" s="165"/>
      <c r="M212" s="164">
        <v>48000</v>
      </c>
      <c r="N212" s="165"/>
      <c r="O212" s="164">
        <f t="shared" si="10"/>
        <v>42000</v>
      </c>
      <c r="P212" s="166"/>
      <c r="Q212" s="166"/>
      <c r="R212" s="166"/>
      <c r="S212" s="166"/>
      <c r="T212" s="166"/>
      <c r="U212" s="13"/>
      <c r="V212" s="13"/>
      <c r="W212" s="8" t="s">
        <v>2109</v>
      </c>
      <c r="X212" s="8"/>
      <c r="Y212" s="2"/>
      <c r="Z212" s="2"/>
      <c r="AA212" s="14"/>
      <c r="AB212" s="2"/>
    </row>
    <row r="213" spans="1:28" ht="30" customHeight="1">
      <c r="A213" s="8"/>
      <c r="B213" s="157" t="s">
        <v>3656</v>
      </c>
      <c r="C213" s="157" t="s">
        <v>3677</v>
      </c>
      <c r="D213" s="163" t="s">
        <v>3649</v>
      </c>
      <c r="E213" s="164"/>
      <c r="F213" s="165"/>
      <c r="G213" s="164"/>
      <c r="H213" s="165"/>
      <c r="I213" s="164"/>
      <c r="J213" s="165"/>
      <c r="K213" s="164">
        <v>66000</v>
      </c>
      <c r="L213" s="165"/>
      <c r="M213" s="164">
        <v>69000</v>
      </c>
      <c r="N213" s="165"/>
      <c r="O213" s="164">
        <f t="shared" si="10"/>
        <v>66000</v>
      </c>
      <c r="P213" s="166"/>
      <c r="Q213" s="166"/>
      <c r="R213" s="166"/>
      <c r="S213" s="166"/>
      <c r="T213" s="166"/>
      <c r="U213" s="13"/>
      <c r="V213" s="13"/>
      <c r="W213" s="8" t="s">
        <v>2110</v>
      </c>
      <c r="X213" s="8"/>
      <c r="Y213" s="2"/>
      <c r="Z213" s="2"/>
      <c r="AA213" s="14"/>
      <c r="AB213" s="2"/>
    </row>
    <row r="214" spans="1:28" ht="30" customHeight="1">
      <c r="A214" s="8"/>
      <c r="B214" s="157" t="s">
        <v>3656</v>
      </c>
      <c r="C214" s="157" t="s">
        <v>3678</v>
      </c>
      <c r="D214" s="163" t="s">
        <v>3649</v>
      </c>
      <c r="E214" s="164"/>
      <c r="F214" s="165"/>
      <c r="G214" s="164"/>
      <c r="H214" s="165"/>
      <c r="I214" s="164"/>
      <c r="J214" s="165"/>
      <c r="K214" s="164">
        <v>58800</v>
      </c>
      <c r="L214" s="165"/>
      <c r="M214" s="164">
        <v>62500</v>
      </c>
      <c r="N214" s="165"/>
      <c r="O214" s="164">
        <f t="shared" si="10"/>
        <v>58800</v>
      </c>
      <c r="P214" s="166"/>
      <c r="Q214" s="166"/>
      <c r="R214" s="166"/>
      <c r="S214" s="166"/>
      <c r="T214" s="166"/>
      <c r="U214" s="13"/>
      <c r="V214" s="13"/>
      <c r="W214" s="8" t="s">
        <v>2111</v>
      </c>
      <c r="X214" s="8"/>
      <c r="Y214" s="2"/>
      <c r="Z214" s="2"/>
      <c r="AA214" s="14"/>
      <c r="AB214" s="2"/>
    </row>
    <row r="215" spans="1:28" ht="30" customHeight="1">
      <c r="A215" s="8"/>
      <c r="B215" s="157" t="s">
        <v>3656</v>
      </c>
      <c r="C215" s="157" t="s">
        <v>3673</v>
      </c>
      <c r="D215" s="163" t="s">
        <v>3649</v>
      </c>
      <c r="E215" s="164"/>
      <c r="F215" s="165"/>
      <c r="G215" s="164"/>
      <c r="H215" s="165"/>
      <c r="I215" s="164"/>
      <c r="J215" s="165"/>
      <c r="K215" s="164">
        <v>50400</v>
      </c>
      <c r="L215" s="165"/>
      <c r="M215" s="164">
        <v>52000</v>
      </c>
      <c r="N215" s="165"/>
      <c r="O215" s="164">
        <f t="shared" si="10"/>
        <v>50400</v>
      </c>
      <c r="P215" s="166"/>
      <c r="Q215" s="166"/>
      <c r="R215" s="166"/>
      <c r="S215" s="166"/>
      <c r="T215" s="166"/>
      <c r="U215" s="13"/>
      <c r="V215" s="13"/>
      <c r="W215" s="8" t="s">
        <v>2112</v>
      </c>
      <c r="X215" s="8"/>
      <c r="Y215" s="2"/>
      <c r="Z215" s="2"/>
      <c r="AA215" s="14"/>
      <c r="AB215" s="2"/>
    </row>
    <row r="216" spans="1:28" ht="30" customHeight="1">
      <c r="A216" s="8"/>
      <c r="B216" s="157" t="s">
        <v>3656</v>
      </c>
      <c r="C216" s="157" t="s">
        <v>3673</v>
      </c>
      <c r="D216" s="163" t="s">
        <v>3649</v>
      </c>
      <c r="E216" s="164"/>
      <c r="F216" s="165"/>
      <c r="G216" s="164"/>
      <c r="H216" s="165"/>
      <c r="I216" s="164"/>
      <c r="J216" s="165"/>
      <c r="K216" s="164">
        <v>50400</v>
      </c>
      <c r="L216" s="165"/>
      <c r="M216" s="164">
        <v>52000</v>
      </c>
      <c r="N216" s="165"/>
      <c r="O216" s="164">
        <f t="shared" ref="O216:O279" si="11">SMALL(E216:M216,COUNTIF(E216:M216,0)+1)</f>
        <v>50400</v>
      </c>
      <c r="P216" s="166"/>
      <c r="Q216" s="166"/>
      <c r="R216" s="166"/>
      <c r="S216" s="166"/>
      <c r="T216" s="166"/>
      <c r="U216" s="13"/>
      <c r="V216" s="13"/>
      <c r="W216" s="8" t="s">
        <v>2113</v>
      </c>
      <c r="X216" s="8"/>
      <c r="Y216" s="2"/>
      <c r="Z216" s="2"/>
      <c r="AA216" s="14"/>
      <c r="AB216" s="2"/>
    </row>
    <row r="217" spans="1:28" ht="30" customHeight="1">
      <c r="A217" s="8"/>
      <c r="B217" s="157" t="s">
        <v>3656</v>
      </c>
      <c r="C217" s="157" t="s">
        <v>3679</v>
      </c>
      <c r="D217" s="163" t="s">
        <v>3649</v>
      </c>
      <c r="E217" s="164"/>
      <c r="F217" s="165"/>
      <c r="G217" s="164"/>
      <c r="H217" s="165"/>
      <c r="I217" s="164"/>
      <c r="J217" s="165"/>
      <c r="K217" s="164">
        <v>67200</v>
      </c>
      <c r="L217" s="165"/>
      <c r="M217" s="164">
        <v>68500</v>
      </c>
      <c r="N217" s="165"/>
      <c r="O217" s="164">
        <f t="shared" si="11"/>
        <v>67200</v>
      </c>
      <c r="P217" s="166"/>
      <c r="Q217" s="166"/>
      <c r="R217" s="166"/>
      <c r="S217" s="166"/>
      <c r="T217" s="166"/>
      <c r="U217" s="13"/>
      <c r="V217" s="13"/>
      <c r="W217" s="8" t="s">
        <v>2114</v>
      </c>
      <c r="X217" s="8"/>
      <c r="Y217" s="2"/>
      <c r="Z217" s="2"/>
      <c r="AA217" s="14"/>
      <c r="AB217" s="2"/>
    </row>
    <row r="218" spans="1:28" ht="30" customHeight="1">
      <c r="A218" s="8"/>
      <c r="B218" s="157" t="s">
        <v>3656</v>
      </c>
      <c r="C218" s="157" t="s">
        <v>3673</v>
      </c>
      <c r="D218" s="163" t="s">
        <v>3649</v>
      </c>
      <c r="E218" s="164"/>
      <c r="F218" s="165"/>
      <c r="G218" s="164"/>
      <c r="H218" s="165"/>
      <c r="I218" s="164"/>
      <c r="J218" s="165"/>
      <c r="K218" s="164">
        <v>36000</v>
      </c>
      <c r="L218" s="165"/>
      <c r="M218" s="164">
        <v>39000</v>
      </c>
      <c r="N218" s="165"/>
      <c r="O218" s="164">
        <f t="shared" si="11"/>
        <v>36000</v>
      </c>
      <c r="P218" s="166"/>
      <c r="Q218" s="166"/>
      <c r="R218" s="166"/>
      <c r="S218" s="166"/>
      <c r="T218" s="166"/>
      <c r="U218" s="13"/>
      <c r="V218" s="13"/>
      <c r="W218" s="8" t="s">
        <v>2115</v>
      </c>
      <c r="X218" s="8"/>
      <c r="Y218" s="2"/>
      <c r="Z218" s="2"/>
      <c r="AA218" s="14"/>
      <c r="AB218" s="2"/>
    </row>
    <row r="219" spans="1:28" ht="30" customHeight="1">
      <c r="A219" s="8"/>
      <c r="B219" s="157" t="s">
        <v>3656</v>
      </c>
      <c r="C219" s="157" t="s">
        <v>3680</v>
      </c>
      <c r="D219" s="163" t="s">
        <v>3649</v>
      </c>
      <c r="E219" s="164"/>
      <c r="F219" s="165"/>
      <c r="G219" s="164"/>
      <c r="H219" s="165"/>
      <c r="I219" s="164"/>
      <c r="J219" s="165"/>
      <c r="K219" s="164">
        <v>42000</v>
      </c>
      <c r="L219" s="165"/>
      <c r="M219" s="164">
        <v>46000</v>
      </c>
      <c r="N219" s="165"/>
      <c r="O219" s="164">
        <f t="shared" si="11"/>
        <v>42000</v>
      </c>
      <c r="P219" s="166"/>
      <c r="Q219" s="166"/>
      <c r="R219" s="166"/>
      <c r="S219" s="166"/>
      <c r="T219" s="166"/>
      <c r="U219" s="13"/>
      <c r="V219" s="13"/>
      <c r="W219" s="8" t="s">
        <v>2116</v>
      </c>
      <c r="X219" s="8"/>
      <c r="Y219" s="2"/>
      <c r="Z219" s="2"/>
      <c r="AA219" s="14"/>
      <c r="AB219" s="2"/>
    </row>
    <row r="220" spans="1:28" ht="30" customHeight="1">
      <c r="A220" s="8"/>
      <c r="B220" s="157" t="str">
        <f>'2층전시실산출 '!B275</f>
        <v>아크릴 문자(5mm)</v>
      </c>
      <c r="C220" s="157" t="str">
        <f>'2층전시실산출 '!C275</f>
        <v>고려의중심..</v>
      </c>
      <c r="D220" s="163" t="str">
        <f>'2층전시실산출 '!D275</f>
        <v>set</v>
      </c>
      <c r="E220" s="164"/>
      <c r="F220" s="165"/>
      <c r="G220" s="164"/>
      <c r="H220" s="165"/>
      <c r="I220" s="164"/>
      <c r="J220" s="165"/>
      <c r="K220" s="164">
        <v>117600</v>
      </c>
      <c r="L220" s="165"/>
      <c r="M220" s="164">
        <v>125000</v>
      </c>
      <c r="N220" s="165"/>
      <c r="O220" s="164">
        <f t="shared" si="11"/>
        <v>117600</v>
      </c>
      <c r="P220" s="166"/>
      <c r="Q220" s="166"/>
      <c r="R220" s="166"/>
      <c r="S220" s="166"/>
      <c r="T220" s="166"/>
      <c r="U220" s="13"/>
      <c r="V220" s="13"/>
      <c r="W220" s="8" t="s">
        <v>2117</v>
      </c>
      <c r="X220" s="8"/>
      <c r="Y220" s="2"/>
      <c r="Z220" s="2"/>
      <c r="AA220" s="14"/>
      <c r="AB220" s="2"/>
    </row>
    <row r="221" spans="1:28" ht="30" customHeight="1">
      <c r="A221" s="8"/>
      <c r="B221" s="157" t="str">
        <f>'2층전시실산출 '!B276</f>
        <v>아크릴 문자(5mm)</v>
      </c>
      <c r="C221" s="157" t="str">
        <f>'2층전시실산출 '!C276</f>
        <v>국제항구</v>
      </c>
      <c r="D221" s="163" t="str">
        <f>'2층전시실산출 '!D276</f>
        <v>set</v>
      </c>
      <c r="E221" s="164"/>
      <c r="F221" s="165"/>
      <c r="G221" s="164"/>
      <c r="H221" s="165"/>
      <c r="I221" s="164"/>
      <c r="J221" s="165"/>
      <c r="K221" s="164">
        <v>42000</v>
      </c>
      <c r="L221" s="165"/>
      <c r="M221" s="164">
        <v>46000</v>
      </c>
      <c r="N221" s="165"/>
      <c r="O221" s="164">
        <f t="shared" si="11"/>
        <v>42000</v>
      </c>
      <c r="P221" s="166"/>
      <c r="Q221" s="166"/>
      <c r="R221" s="166"/>
      <c r="S221" s="166"/>
      <c r="T221" s="166"/>
      <c r="U221" s="13"/>
      <c r="V221" s="13"/>
      <c r="W221" s="8" t="s">
        <v>2118</v>
      </c>
      <c r="X221" s="8"/>
      <c r="Y221" s="2"/>
      <c r="Z221" s="2"/>
      <c r="AA221" s="14"/>
      <c r="AB221" s="2"/>
    </row>
    <row r="222" spans="1:28" ht="30" customHeight="1">
      <c r="A222" s="8"/>
      <c r="B222" s="157" t="str">
        <f>'2층전시실산출 '!B277</f>
        <v>아크릴 문자(5mm)</v>
      </c>
      <c r="C222" s="157" t="str">
        <f>'2층전시실산출 '!C277</f>
        <v>경기선혜</v>
      </c>
      <c r="D222" s="163" t="str">
        <f>'2층전시실산출 '!D277</f>
        <v>set</v>
      </c>
      <c r="E222" s="164"/>
      <c r="F222" s="165"/>
      <c r="G222" s="164"/>
      <c r="H222" s="165"/>
      <c r="I222" s="164"/>
      <c r="J222" s="165"/>
      <c r="K222" s="164">
        <v>30000</v>
      </c>
      <c r="L222" s="165"/>
      <c r="M222" s="164">
        <v>35000</v>
      </c>
      <c r="N222" s="165"/>
      <c r="O222" s="164">
        <f t="shared" si="11"/>
        <v>30000</v>
      </c>
      <c r="P222" s="166"/>
      <c r="Q222" s="166"/>
      <c r="R222" s="166"/>
      <c r="S222" s="166"/>
      <c r="T222" s="166"/>
      <c r="U222" s="13"/>
      <c r="V222" s="13"/>
      <c r="W222" s="8" t="s">
        <v>2119</v>
      </c>
      <c r="X222" s="8"/>
      <c r="Y222" s="2"/>
      <c r="Z222" s="2"/>
      <c r="AA222" s="14"/>
      <c r="AB222" s="2"/>
    </row>
    <row r="223" spans="1:28" ht="30" customHeight="1">
      <c r="A223" s="8"/>
      <c r="B223" s="157" t="str">
        <f>'2층전시실산출 '!B278</f>
        <v>아크릴 문자(5mm)</v>
      </c>
      <c r="C223" s="157" t="str">
        <f>'2층전시실산출 '!C278</f>
        <v>백자의제작</v>
      </c>
      <c r="D223" s="163" t="str">
        <f>'2층전시실산출 '!D278</f>
        <v>set</v>
      </c>
      <c r="E223" s="164"/>
      <c r="F223" s="165"/>
      <c r="G223" s="164"/>
      <c r="H223" s="165"/>
      <c r="I223" s="164"/>
      <c r="J223" s="165"/>
      <c r="K223" s="164">
        <v>30000</v>
      </c>
      <c r="L223" s="165"/>
      <c r="M223" s="164">
        <v>35000</v>
      </c>
      <c r="N223" s="165"/>
      <c r="O223" s="164">
        <f t="shared" si="11"/>
        <v>30000</v>
      </c>
      <c r="P223" s="166"/>
      <c r="Q223" s="166"/>
      <c r="R223" s="166"/>
      <c r="S223" s="166"/>
      <c r="T223" s="166"/>
      <c r="U223" s="13"/>
      <c r="V223" s="13"/>
      <c r="W223" s="8" t="s">
        <v>2120</v>
      </c>
      <c r="X223" s="8"/>
      <c r="Y223" s="2"/>
      <c r="Z223" s="2"/>
      <c r="AA223" s="14"/>
      <c r="AB223" s="2"/>
    </row>
    <row r="224" spans="1:28" ht="30" customHeight="1">
      <c r="A224" s="8"/>
      <c r="B224" s="157" t="str">
        <f>'2층전시실산출 '!B279</f>
        <v>아크릴 문자(5mm)</v>
      </c>
      <c r="C224" s="157" t="str">
        <f>'2층전시실산출 '!C279</f>
        <v>수도방위..</v>
      </c>
      <c r="D224" s="163" t="str">
        <f>'2층전시실산출 '!D279</f>
        <v>set</v>
      </c>
      <c r="E224" s="164"/>
      <c r="F224" s="165"/>
      <c r="G224" s="164"/>
      <c r="H224" s="165"/>
      <c r="I224" s="164"/>
      <c r="J224" s="165"/>
      <c r="K224" s="164">
        <v>102900</v>
      </c>
      <c r="L224" s="165"/>
      <c r="M224" s="164">
        <v>125000</v>
      </c>
      <c r="N224" s="165"/>
      <c r="O224" s="164">
        <f t="shared" si="11"/>
        <v>102900</v>
      </c>
      <c r="P224" s="166"/>
      <c r="Q224" s="166"/>
      <c r="R224" s="166"/>
      <c r="S224" s="166"/>
      <c r="T224" s="166"/>
      <c r="U224" s="13"/>
      <c r="V224" s="13"/>
      <c r="W224" s="8" t="s">
        <v>2121</v>
      </c>
      <c r="X224" s="8"/>
      <c r="Y224" s="2"/>
      <c r="Z224" s="2"/>
      <c r="AA224" s="14"/>
      <c r="AB224" s="2"/>
    </row>
    <row r="225" spans="1:28" ht="30" customHeight="1">
      <c r="A225" s="8"/>
      <c r="B225" s="157" t="str">
        <f>'2층전시실산출 '!B280</f>
        <v>아크릴 문자(5mm)</v>
      </c>
      <c r="C225" s="157" t="str">
        <f>'2층전시실산출 '!C280</f>
        <v>임진왜란과..</v>
      </c>
      <c r="D225" s="163" t="str">
        <f>'2층전시실산출 '!D280</f>
        <v>set</v>
      </c>
      <c r="E225" s="164"/>
      <c r="F225" s="165"/>
      <c r="G225" s="164"/>
      <c r="H225" s="165"/>
      <c r="I225" s="164"/>
      <c r="J225" s="165"/>
      <c r="K225" s="164">
        <v>42000</v>
      </c>
      <c r="L225" s="165"/>
      <c r="M225" s="164">
        <v>46000</v>
      </c>
      <c r="N225" s="165"/>
      <c r="O225" s="164">
        <f t="shared" si="11"/>
        <v>42000</v>
      </c>
      <c r="P225" s="166"/>
      <c r="Q225" s="166"/>
      <c r="R225" s="166"/>
      <c r="S225" s="166"/>
      <c r="T225" s="166"/>
      <c r="U225" s="13"/>
      <c r="V225" s="13"/>
      <c r="W225" s="8" t="s">
        <v>2122</v>
      </c>
      <c r="X225" s="8"/>
      <c r="Y225" s="2"/>
      <c r="Z225" s="2"/>
      <c r="AA225" s="14"/>
      <c r="AB225" s="2"/>
    </row>
    <row r="226" spans="1:28" ht="30" customHeight="1">
      <c r="A226" s="8"/>
      <c r="B226" s="157" t="str">
        <f>'2층전시실산출 '!B281</f>
        <v>아크릴 문자(5mm)</v>
      </c>
      <c r="C226" s="157" t="str">
        <f>'2층전시실산출 '!C281</f>
        <v>병자호란..</v>
      </c>
      <c r="D226" s="163" t="str">
        <f>'2층전시실산출 '!D281</f>
        <v>set</v>
      </c>
      <c r="E226" s="164"/>
      <c r="F226" s="165"/>
      <c r="G226" s="164"/>
      <c r="H226" s="165"/>
      <c r="I226" s="164"/>
      <c r="J226" s="165"/>
      <c r="K226" s="164">
        <v>42000</v>
      </c>
      <c r="L226" s="165"/>
      <c r="M226" s="164">
        <v>46000</v>
      </c>
      <c r="N226" s="165"/>
      <c r="O226" s="164">
        <f t="shared" si="11"/>
        <v>42000</v>
      </c>
      <c r="P226" s="166"/>
      <c r="Q226" s="166"/>
      <c r="R226" s="166"/>
      <c r="S226" s="166"/>
      <c r="T226" s="166"/>
      <c r="U226" s="13"/>
      <c r="V226" s="13"/>
      <c r="W226" s="8" t="s">
        <v>2123</v>
      </c>
      <c r="X226" s="8"/>
      <c r="Y226" s="2"/>
      <c r="Z226" s="2"/>
      <c r="AA226" s="14"/>
      <c r="AB226" s="2"/>
    </row>
    <row r="227" spans="1:28" ht="30" customHeight="1">
      <c r="A227" s="8"/>
      <c r="B227" s="157" t="str">
        <f>'2층전시실산출 '!B282</f>
        <v>아크릴 문자(5mm)</v>
      </c>
      <c r="C227" s="157" t="str">
        <f>'2층전시실산출 '!C282</f>
        <v>수도방위체제..</v>
      </c>
      <c r="D227" s="163" t="str">
        <f>'2층전시실산출 '!D282</f>
        <v>set</v>
      </c>
      <c r="E227" s="164"/>
      <c r="F227" s="165"/>
      <c r="G227" s="164"/>
      <c r="H227" s="165"/>
      <c r="I227" s="164"/>
      <c r="J227" s="165"/>
      <c r="K227" s="164">
        <v>54000</v>
      </c>
      <c r="L227" s="165"/>
      <c r="M227" s="164">
        <v>65000</v>
      </c>
      <c r="N227" s="165"/>
      <c r="O227" s="164">
        <f t="shared" si="11"/>
        <v>54000</v>
      </c>
      <c r="P227" s="166"/>
      <c r="Q227" s="166"/>
      <c r="R227" s="166"/>
      <c r="S227" s="166"/>
      <c r="T227" s="166"/>
      <c r="U227" s="13"/>
      <c r="V227" s="13"/>
      <c r="W227" s="8" t="s">
        <v>2124</v>
      </c>
      <c r="X227" s="8"/>
      <c r="Y227" s="2"/>
      <c r="Z227" s="2"/>
      <c r="AA227" s="14"/>
      <c r="AB227" s="2"/>
    </row>
    <row r="228" spans="1:28" ht="30" customHeight="1">
      <c r="A228" s="8"/>
      <c r="B228" s="157" t="str">
        <f>'2층전시실산출 '!B283</f>
        <v>아크릴 문자(5mm)</v>
      </c>
      <c r="C228" s="157" t="str">
        <f>'2층전시실산출 '!C283</f>
        <v>왕실백자</v>
      </c>
      <c r="D228" s="163" t="str">
        <f>'2층전시실산출 '!D283</f>
        <v>set</v>
      </c>
      <c r="E228" s="164"/>
      <c r="F228" s="165"/>
      <c r="G228" s="164"/>
      <c r="H228" s="165"/>
      <c r="I228" s="164"/>
      <c r="J228" s="165"/>
      <c r="K228" s="164">
        <v>42000</v>
      </c>
      <c r="L228" s="165"/>
      <c r="M228" s="164">
        <v>46000</v>
      </c>
      <c r="N228" s="165"/>
      <c r="O228" s="164">
        <f t="shared" si="11"/>
        <v>42000</v>
      </c>
      <c r="P228" s="166"/>
      <c r="Q228" s="166"/>
      <c r="R228" s="166"/>
      <c r="S228" s="166"/>
      <c r="T228" s="166"/>
      <c r="U228" s="13"/>
      <c r="V228" s="13"/>
      <c r="W228" s="8" t="s">
        <v>2125</v>
      </c>
      <c r="X228" s="8"/>
      <c r="Y228" s="2"/>
      <c r="Z228" s="2"/>
      <c r="AA228" s="14"/>
      <c r="AB228" s="2"/>
    </row>
    <row r="229" spans="1:28" ht="30" customHeight="1">
      <c r="A229" s="8"/>
      <c r="B229" s="157" t="str">
        <f>'2층전시실산출 '!B284</f>
        <v>아크릴 문자(5mm)</v>
      </c>
      <c r="C229" s="157" t="str">
        <f>'2층전시실산출 '!C284</f>
        <v>천진난만..</v>
      </c>
      <c r="D229" s="163" t="str">
        <f>'2층전시실산출 '!D284</f>
        <v>set</v>
      </c>
      <c r="E229" s="164"/>
      <c r="F229" s="165"/>
      <c r="G229" s="164"/>
      <c r="H229" s="165"/>
      <c r="I229" s="164"/>
      <c r="J229" s="165"/>
      <c r="K229" s="164">
        <v>48000</v>
      </c>
      <c r="L229" s="165"/>
      <c r="M229" s="164">
        <v>52000</v>
      </c>
      <c r="N229" s="165"/>
      <c r="O229" s="164">
        <f t="shared" si="11"/>
        <v>48000</v>
      </c>
      <c r="P229" s="166"/>
      <c r="Q229" s="166"/>
      <c r="R229" s="166"/>
      <c r="S229" s="166"/>
      <c r="T229" s="166"/>
      <c r="U229" s="13"/>
      <c r="V229" s="13"/>
      <c r="W229" s="8" t="s">
        <v>2126</v>
      </c>
      <c r="X229" s="8"/>
      <c r="Y229" s="2"/>
      <c r="Z229" s="2"/>
      <c r="AA229" s="14"/>
      <c r="AB229" s="2"/>
    </row>
    <row r="230" spans="1:28" ht="30" customHeight="1">
      <c r="A230" s="8"/>
      <c r="B230" s="157" t="str">
        <f>'2층전시실산출 '!B285</f>
        <v>아크릴 문자(5mm)</v>
      </c>
      <c r="C230" s="157" t="str">
        <f>'2층전시실산출 '!C285</f>
        <v>경기관찰..</v>
      </c>
      <c r="D230" s="163" t="str">
        <f>'2층전시실산출 '!D285</f>
        <v>set</v>
      </c>
      <c r="E230" s="164"/>
      <c r="F230" s="165"/>
      <c r="G230" s="164"/>
      <c r="H230" s="165"/>
      <c r="I230" s="164"/>
      <c r="J230" s="165"/>
      <c r="K230" s="164">
        <v>60000</v>
      </c>
      <c r="L230" s="165"/>
      <c r="M230" s="164">
        <v>66000</v>
      </c>
      <c r="N230" s="165"/>
      <c r="O230" s="164">
        <f t="shared" si="11"/>
        <v>60000</v>
      </c>
      <c r="P230" s="166"/>
      <c r="Q230" s="166"/>
      <c r="R230" s="166"/>
      <c r="S230" s="166"/>
      <c r="T230" s="166"/>
      <c r="U230" s="13"/>
      <c r="V230" s="13"/>
      <c r="W230" s="8" t="s">
        <v>2127</v>
      </c>
      <c r="X230" s="8"/>
      <c r="Y230" s="2"/>
      <c r="Z230" s="2"/>
      <c r="AA230" s="14"/>
      <c r="AB230" s="2"/>
    </row>
    <row r="231" spans="1:28" ht="30" customHeight="1">
      <c r="A231" s="8"/>
      <c r="B231" s="157" t="str">
        <f>'2층전시실산출 '!B286</f>
        <v>아크릴 문자(5mm)</v>
      </c>
      <c r="C231" s="157" t="str">
        <f>'2층전시실산출 '!C286</f>
        <v>조선의 문화</v>
      </c>
      <c r="D231" s="163" t="str">
        <f>'2층전시실산출 '!D286</f>
        <v>set</v>
      </c>
      <c r="E231" s="164"/>
      <c r="F231" s="165"/>
      <c r="G231" s="164"/>
      <c r="H231" s="165"/>
      <c r="I231" s="164"/>
      <c r="J231" s="165"/>
      <c r="K231" s="164">
        <v>88200</v>
      </c>
      <c r="L231" s="165"/>
      <c r="M231" s="164">
        <v>92000</v>
      </c>
      <c r="N231" s="165"/>
      <c r="O231" s="164">
        <f t="shared" si="11"/>
        <v>88200</v>
      </c>
      <c r="P231" s="166"/>
      <c r="Q231" s="166"/>
      <c r="R231" s="166"/>
      <c r="S231" s="166"/>
      <c r="T231" s="166"/>
      <c r="U231" s="13"/>
      <c r="V231" s="13"/>
      <c r="W231" s="8" t="s">
        <v>2128</v>
      </c>
      <c r="X231" s="8"/>
      <c r="Y231" s="2"/>
      <c r="Z231" s="2"/>
      <c r="AA231" s="14"/>
      <c r="AB231" s="2"/>
    </row>
    <row r="232" spans="1:28" ht="30" customHeight="1">
      <c r="A232" s="8"/>
      <c r="B232" s="157" t="str">
        <f>'2층전시실산출 '!B287</f>
        <v>아크릴 문자(5mm)</v>
      </c>
      <c r="C232" s="157" t="str">
        <f>'2층전시실산출 '!C287</f>
        <v>이끌다</v>
      </c>
      <c r="D232" s="163" t="str">
        <f>'2층전시실산출 '!D287</f>
        <v>set</v>
      </c>
      <c r="E232" s="164"/>
      <c r="F232" s="165"/>
      <c r="G232" s="164"/>
      <c r="H232" s="165"/>
      <c r="I232" s="164"/>
      <c r="J232" s="165"/>
      <c r="K232" s="164">
        <v>44100</v>
      </c>
      <c r="L232" s="165"/>
      <c r="M232" s="164">
        <v>48000</v>
      </c>
      <c r="N232" s="165"/>
      <c r="O232" s="164">
        <f t="shared" si="11"/>
        <v>44100</v>
      </c>
      <c r="P232" s="166"/>
      <c r="Q232" s="166"/>
      <c r="R232" s="166"/>
      <c r="S232" s="166"/>
      <c r="T232" s="166"/>
      <c r="U232" s="13"/>
      <c r="V232" s="13"/>
      <c r="W232" s="8" t="s">
        <v>2129</v>
      </c>
      <c r="X232" s="8"/>
      <c r="Y232" s="2"/>
      <c r="Z232" s="2"/>
      <c r="AA232" s="14"/>
      <c r="AB232" s="2"/>
    </row>
    <row r="233" spans="1:28" ht="30" customHeight="1">
      <c r="A233" s="8"/>
      <c r="B233" s="157" t="str">
        <f>'2층전시실산출 '!B288</f>
        <v>아크릴 문자(5mm)</v>
      </c>
      <c r="C233" s="157" t="str">
        <f>'2층전시실산출 '!C288</f>
        <v>학문과사상</v>
      </c>
      <c r="D233" s="163" t="str">
        <f>'2층전시실산출 '!D288</f>
        <v>set</v>
      </c>
      <c r="E233" s="164"/>
      <c r="F233" s="165"/>
      <c r="G233" s="164"/>
      <c r="H233" s="165"/>
      <c r="I233" s="164"/>
      <c r="J233" s="165"/>
      <c r="K233" s="164">
        <v>48000</v>
      </c>
      <c r="L233" s="165"/>
      <c r="M233" s="164">
        <v>52000</v>
      </c>
      <c r="N233" s="165"/>
      <c r="O233" s="164">
        <f t="shared" si="11"/>
        <v>48000</v>
      </c>
      <c r="P233" s="166"/>
      <c r="Q233" s="166"/>
      <c r="R233" s="166"/>
      <c r="S233" s="166"/>
      <c r="T233" s="166"/>
      <c r="U233" s="13"/>
      <c r="V233" s="13"/>
      <c r="W233" s="8" t="s">
        <v>2130</v>
      </c>
      <c r="X233" s="8"/>
      <c r="Y233" s="2"/>
      <c r="Z233" s="2"/>
      <c r="AA233" s="14"/>
      <c r="AB233" s="2"/>
    </row>
    <row r="234" spans="1:28" ht="30" customHeight="1">
      <c r="A234" s="8"/>
      <c r="B234" s="157" t="str">
        <f>'2층전시실산출 '!B289</f>
        <v>아크릴 문자(5mm)</v>
      </c>
      <c r="C234" s="157" t="str">
        <f>'2층전시실산출 '!C289</f>
        <v>경기도의 서화</v>
      </c>
      <c r="D234" s="163" t="str">
        <f>'2층전시실산출 '!D289</f>
        <v>set</v>
      </c>
      <c r="E234" s="164"/>
      <c r="F234" s="165"/>
      <c r="G234" s="164"/>
      <c r="H234" s="165"/>
      <c r="I234" s="164"/>
      <c r="J234" s="165"/>
      <c r="K234" s="164">
        <v>42000</v>
      </c>
      <c r="L234" s="165"/>
      <c r="M234" s="164">
        <v>52000</v>
      </c>
      <c r="N234" s="165"/>
      <c r="O234" s="164">
        <f t="shared" si="11"/>
        <v>42000</v>
      </c>
      <c r="P234" s="166"/>
      <c r="Q234" s="166"/>
      <c r="R234" s="166"/>
      <c r="S234" s="166"/>
      <c r="T234" s="166"/>
      <c r="U234" s="13"/>
      <c r="V234" s="13"/>
      <c r="W234" s="8" t="s">
        <v>2131</v>
      </c>
      <c r="X234" s="8"/>
      <c r="Y234" s="2"/>
      <c r="Z234" s="2"/>
      <c r="AA234" s="14"/>
      <c r="AB234" s="2"/>
    </row>
    <row r="235" spans="1:28" ht="30" customHeight="1">
      <c r="A235" s="8"/>
      <c r="B235" s="157" t="str">
        <f>'2층전시실산출 '!B290</f>
        <v>아크릴 문자(5mm)</v>
      </c>
      <c r="C235" s="157" t="str">
        <f>'2층전시실산출 '!C290</f>
        <v>경기관찰사</v>
      </c>
      <c r="D235" s="163" t="str">
        <f>'2층전시실산출 '!D290</f>
        <v>set</v>
      </c>
      <c r="E235" s="164"/>
      <c r="F235" s="165"/>
      <c r="G235" s="164"/>
      <c r="H235" s="165"/>
      <c r="I235" s="164"/>
      <c r="J235" s="165"/>
      <c r="K235" s="164">
        <v>88200</v>
      </c>
      <c r="L235" s="165"/>
      <c r="M235" s="164">
        <v>92000</v>
      </c>
      <c r="N235" s="165"/>
      <c r="O235" s="164">
        <f t="shared" si="11"/>
        <v>88200</v>
      </c>
      <c r="P235" s="166"/>
      <c r="Q235" s="166"/>
      <c r="R235" s="166"/>
      <c r="S235" s="166"/>
      <c r="T235" s="166"/>
      <c r="U235" s="13"/>
      <c r="V235" s="13"/>
      <c r="W235" s="8" t="s">
        <v>2132</v>
      </c>
      <c r="X235" s="8"/>
      <c r="Y235" s="2"/>
      <c r="Z235" s="2"/>
      <c r="AA235" s="14"/>
      <c r="AB235" s="2"/>
    </row>
    <row r="236" spans="1:28" ht="30" customHeight="1">
      <c r="A236" s="8"/>
      <c r="B236" s="157" t="str">
        <f>'2층전시실산출 '!B291</f>
        <v>아크릴 문자(5mm)</v>
      </c>
      <c r="C236" s="157" t="str">
        <f>'2층전시실산출 '!C291</f>
        <v>부임하다</v>
      </c>
      <c r="D236" s="163" t="str">
        <f>'2층전시실산출 '!D291</f>
        <v>set</v>
      </c>
      <c r="E236" s="164"/>
      <c r="F236" s="165"/>
      <c r="G236" s="164"/>
      <c r="H236" s="165"/>
      <c r="I236" s="164"/>
      <c r="J236" s="165"/>
      <c r="K236" s="164">
        <v>58800</v>
      </c>
      <c r="L236" s="165"/>
      <c r="M236" s="164">
        <v>62000</v>
      </c>
      <c r="N236" s="165"/>
      <c r="O236" s="164">
        <f t="shared" si="11"/>
        <v>58800</v>
      </c>
      <c r="P236" s="166"/>
      <c r="Q236" s="166"/>
      <c r="R236" s="166"/>
      <c r="S236" s="166"/>
      <c r="T236" s="166"/>
      <c r="U236" s="13"/>
      <c r="V236" s="13"/>
      <c r="W236" s="8" t="s">
        <v>2133</v>
      </c>
      <c r="X236" s="8"/>
      <c r="Y236" s="2"/>
      <c r="Z236" s="2"/>
      <c r="AA236" s="14"/>
      <c r="AB236" s="2"/>
    </row>
    <row r="237" spans="1:28" ht="30" customHeight="1">
      <c r="A237" s="8"/>
      <c r="B237" s="157" t="str">
        <f>'2층전시실산출 '!B292</f>
        <v>아크릴 문자(5mm)</v>
      </c>
      <c r="C237" s="157" t="str">
        <f>'2층전시실산출 '!C292</f>
        <v>경기를 다스리다</v>
      </c>
      <c r="D237" s="163" t="str">
        <f>'2층전시실산출 '!D292</f>
        <v>set</v>
      </c>
      <c r="E237" s="164"/>
      <c r="F237" s="165"/>
      <c r="G237" s="164"/>
      <c r="H237" s="165"/>
      <c r="I237" s="164"/>
      <c r="J237" s="165"/>
      <c r="K237" s="164">
        <v>42000</v>
      </c>
      <c r="L237" s="165"/>
      <c r="M237" s="164">
        <v>46000</v>
      </c>
      <c r="N237" s="165"/>
      <c r="O237" s="164">
        <f t="shared" si="11"/>
        <v>42000</v>
      </c>
      <c r="P237" s="166"/>
      <c r="Q237" s="166"/>
      <c r="R237" s="166"/>
      <c r="S237" s="166"/>
      <c r="T237" s="166"/>
      <c r="U237" s="13"/>
      <c r="V237" s="13"/>
      <c r="W237" s="8" t="s">
        <v>2134</v>
      </c>
      <c r="X237" s="8"/>
      <c r="Y237" s="2"/>
      <c r="Z237" s="2"/>
      <c r="AA237" s="14"/>
      <c r="AB237" s="2"/>
    </row>
    <row r="238" spans="1:28" ht="30" customHeight="1">
      <c r="A238" s="8"/>
      <c r="B238" s="157" t="s">
        <v>431</v>
      </c>
      <c r="C238" s="157" t="str">
        <f>'2층전시실산출 '!C293</f>
        <v>240x165</v>
      </c>
      <c r="D238" s="163" t="s">
        <v>3760</v>
      </c>
      <c r="E238" s="164"/>
      <c r="F238" s="165"/>
      <c r="G238" s="164"/>
      <c r="H238" s="165"/>
      <c r="I238" s="164"/>
      <c r="J238" s="165"/>
      <c r="K238" s="164">
        <v>1400</v>
      </c>
      <c r="L238" s="165"/>
      <c r="M238" s="164">
        <v>1800</v>
      </c>
      <c r="N238" s="165"/>
      <c r="O238" s="164">
        <f t="shared" si="11"/>
        <v>1400</v>
      </c>
      <c r="P238" s="166"/>
      <c r="Q238" s="166"/>
      <c r="R238" s="166"/>
      <c r="S238" s="166"/>
      <c r="T238" s="166"/>
      <c r="U238" s="13"/>
      <c r="V238" s="13"/>
      <c r="W238" s="8" t="s">
        <v>3905</v>
      </c>
      <c r="X238" s="8"/>
      <c r="Y238" s="2"/>
      <c r="Z238" s="2"/>
      <c r="AA238" s="14"/>
      <c r="AB238" s="2"/>
    </row>
    <row r="239" spans="1:28" ht="30" customHeight="1">
      <c r="A239" s="8"/>
      <c r="B239" s="157" t="s">
        <v>431</v>
      </c>
      <c r="C239" s="157" t="str">
        <f>'2층전시실산출 '!C294</f>
        <v>290x180</v>
      </c>
      <c r="D239" s="163" t="s">
        <v>3760</v>
      </c>
      <c r="E239" s="164"/>
      <c r="F239" s="165"/>
      <c r="G239" s="164"/>
      <c r="H239" s="165"/>
      <c r="I239" s="164"/>
      <c r="J239" s="165"/>
      <c r="K239" s="164">
        <v>1400</v>
      </c>
      <c r="L239" s="165"/>
      <c r="M239" s="164">
        <v>1800</v>
      </c>
      <c r="N239" s="165"/>
      <c r="O239" s="164">
        <f t="shared" si="11"/>
        <v>1400</v>
      </c>
      <c r="P239" s="166"/>
      <c r="Q239" s="166"/>
      <c r="R239" s="166"/>
      <c r="S239" s="166"/>
      <c r="T239" s="166"/>
      <c r="U239" s="13"/>
      <c r="V239" s="13"/>
      <c r="W239" s="8" t="s">
        <v>3906</v>
      </c>
      <c r="X239" s="8"/>
      <c r="Y239" s="2"/>
      <c r="Z239" s="2"/>
      <c r="AA239" s="14"/>
      <c r="AB239" s="2"/>
    </row>
    <row r="240" spans="1:28" ht="30" customHeight="1">
      <c r="A240" s="8"/>
      <c r="B240" s="157" t="s">
        <v>431</v>
      </c>
      <c r="C240" s="157" t="str">
        <f>'2층전시실산출 '!C295</f>
        <v>300x600</v>
      </c>
      <c r="D240" s="163" t="s">
        <v>3760</v>
      </c>
      <c r="E240" s="164"/>
      <c r="F240" s="165"/>
      <c r="G240" s="164"/>
      <c r="H240" s="165"/>
      <c r="I240" s="164"/>
      <c r="J240" s="165"/>
      <c r="K240" s="164">
        <v>2100</v>
      </c>
      <c r="L240" s="165"/>
      <c r="M240" s="164">
        <v>2500</v>
      </c>
      <c r="N240" s="165"/>
      <c r="O240" s="164">
        <f t="shared" si="11"/>
        <v>2100</v>
      </c>
      <c r="P240" s="166"/>
      <c r="Q240" s="166"/>
      <c r="R240" s="166"/>
      <c r="S240" s="166"/>
      <c r="T240" s="166"/>
      <c r="U240" s="13"/>
      <c r="V240" s="13"/>
      <c r="W240" s="8" t="s">
        <v>3907</v>
      </c>
      <c r="X240" s="8"/>
      <c r="Y240" s="2"/>
      <c r="Z240" s="2"/>
      <c r="AA240" s="14"/>
      <c r="AB240" s="2"/>
    </row>
    <row r="241" spans="1:28" ht="30" customHeight="1">
      <c r="A241" s="8"/>
      <c r="B241" s="157" t="s">
        <v>431</v>
      </c>
      <c r="C241" s="157" t="str">
        <f>'2층전시실산출 '!C296</f>
        <v>370x270</v>
      </c>
      <c r="D241" s="163" t="s">
        <v>3760</v>
      </c>
      <c r="E241" s="164"/>
      <c r="F241" s="165"/>
      <c r="G241" s="164"/>
      <c r="H241" s="165"/>
      <c r="I241" s="164"/>
      <c r="J241" s="165"/>
      <c r="K241" s="164">
        <v>3500</v>
      </c>
      <c r="L241" s="165"/>
      <c r="M241" s="164">
        <v>4200</v>
      </c>
      <c r="N241" s="165"/>
      <c r="O241" s="164">
        <f t="shared" si="11"/>
        <v>3500</v>
      </c>
      <c r="P241" s="166"/>
      <c r="Q241" s="166"/>
      <c r="R241" s="166"/>
      <c r="S241" s="166"/>
      <c r="T241" s="166"/>
      <c r="U241" s="13"/>
      <c r="V241" s="13"/>
      <c r="W241" s="8" t="s">
        <v>3908</v>
      </c>
      <c r="X241" s="8"/>
      <c r="Y241" s="2"/>
      <c r="Z241" s="2"/>
      <c r="AA241" s="14"/>
      <c r="AB241" s="2"/>
    </row>
    <row r="242" spans="1:28" ht="30" customHeight="1">
      <c r="A242" s="8"/>
      <c r="B242" s="157" t="s">
        <v>431</v>
      </c>
      <c r="C242" s="157" t="str">
        <f>'2층전시실산출 '!C297</f>
        <v>430x1200</v>
      </c>
      <c r="D242" s="163" t="s">
        <v>3760</v>
      </c>
      <c r="E242" s="164"/>
      <c r="F242" s="165"/>
      <c r="G242" s="164"/>
      <c r="H242" s="165"/>
      <c r="I242" s="164"/>
      <c r="J242" s="165"/>
      <c r="K242" s="164">
        <v>18000</v>
      </c>
      <c r="L242" s="165"/>
      <c r="M242" s="164">
        <v>20000</v>
      </c>
      <c r="N242" s="165"/>
      <c r="O242" s="164">
        <f t="shared" si="11"/>
        <v>18000</v>
      </c>
      <c r="P242" s="166"/>
      <c r="Q242" s="166"/>
      <c r="R242" s="166"/>
      <c r="S242" s="166"/>
      <c r="T242" s="166"/>
      <c r="U242" s="13"/>
      <c r="V242" s="13"/>
      <c r="W242" s="8" t="s">
        <v>2135</v>
      </c>
      <c r="X242" s="8"/>
      <c r="Y242" s="2"/>
      <c r="Z242" s="2"/>
      <c r="AA242" s="14"/>
      <c r="AB242" s="2"/>
    </row>
    <row r="243" spans="1:28" ht="30" customHeight="1">
      <c r="A243" s="8"/>
      <c r="B243" s="157" t="s">
        <v>431</v>
      </c>
      <c r="C243" s="157" t="str">
        <f>'2층전시실산출 '!C298</f>
        <v>450x300</v>
      </c>
      <c r="D243" s="163" t="s">
        <v>3760</v>
      </c>
      <c r="E243" s="164"/>
      <c r="F243" s="165"/>
      <c r="G243" s="164"/>
      <c r="H243" s="165"/>
      <c r="I243" s="164"/>
      <c r="J243" s="165"/>
      <c r="K243" s="164">
        <v>4800</v>
      </c>
      <c r="L243" s="165"/>
      <c r="M243" s="164">
        <v>5200</v>
      </c>
      <c r="N243" s="165"/>
      <c r="O243" s="164">
        <f t="shared" si="11"/>
        <v>4800</v>
      </c>
      <c r="P243" s="166"/>
      <c r="Q243" s="166"/>
      <c r="R243" s="166"/>
      <c r="S243" s="166"/>
      <c r="T243" s="166"/>
      <c r="U243" s="13"/>
      <c r="V243" s="13"/>
      <c r="W243" s="8" t="s">
        <v>2136</v>
      </c>
      <c r="X243" s="8"/>
      <c r="Y243" s="2"/>
      <c r="Z243" s="2"/>
      <c r="AA243" s="14"/>
      <c r="AB243" s="2"/>
    </row>
    <row r="244" spans="1:28" ht="30" customHeight="1">
      <c r="A244" s="8"/>
      <c r="B244" s="157" t="s">
        <v>431</v>
      </c>
      <c r="C244" s="157" t="str">
        <f>'2층전시실산출 '!C299</f>
        <v>490x300</v>
      </c>
      <c r="D244" s="163" t="s">
        <v>3760</v>
      </c>
      <c r="E244" s="164"/>
      <c r="F244" s="165"/>
      <c r="G244" s="164"/>
      <c r="H244" s="165"/>
      <c r="I244" s="164"/>
      <c r="J244" s="165"/>
      <c r="K244" s="164">
        <v>5300</v>
      </c>
      <c r="L244" s="165"/>
      <c r="M244" s="164">
        <v>6200</v>
      </c>
      <c r="N244" s="165"/>
      <c r="O244" s="164">
        <f t="shared" si="11"/>
        <v>5300</v>
      </c>
      <c r="P244" s="166"/>
      <c r="Q244" s="166"/>
      <c r="R244" s="166"/>
      <c r="S244" s="166"/>
      <c r="T244" s="166"/>
      <c r="U244" s="13"/>
      <c r="V244" s="13"/>
      <c r="W244" s="8" t="s">
        <v>2137</v>
      </c>
      <c r="X244" s="8"/>
      <c r="Y244" s="2"/>
      <c r="Z244" s="2"/>
      <c r="AA244" s="14"/>
      <c r="AB244" s="2"/>
    </row>
    <row r="245" spans="1:28" ht="30" customHeight="1">
      <c r="A245" s="8"/>
      <c r="B245" s="157" t="s">
        <v>431</v>
      </c>
      <c r="C245" s="157" t="str">
        <f>'2층전시실산출 '!C300</f>
        <v>600×250</v>
      </c>
      <c r="D245" s="163" t="s">
        <v>3760</v>
      </c>
      <c r="E245" s="164"/>
      <c r="F245" s="165"/>
      <c r="G245" s="164"/>
      <c r="H245" s="165"/>
      <c r="I245" s="164"/>
      <c r="J245" s="165"/>
      <c r="K245" s="164">
        <v>6300</v>
      </c>
      <c r="L245" s="165"/>
      <c r="M245" s="164">
        <v>7200</v>
      </c>
      <c r="N245" s="165"/>
      <c r="O245" s="164">
        <f t="shared" si="11"/>
        <v>6300</v>
      </c>
      <c r="P245" s="166"/>
      <c r="Q245" s="166"/>
      <c r="R245" s="166"/>
      <c r="S245" s="166"/>
      <c r="T245" s="166"/>
      <c r="U245" s="13"/>
      <c r="V245" s="13"/>
      <c r="W245" s="8" t="s">
        <v>2138</v>
      </c>
      <c r="X245" s="8"/>
      <c r="Y245" s="2"/>
      <c r="Z245" s="2"/>
      <c r="AA245" s="14"/>
      <c r="AB245" s="2"/>
    </row>
    <row r="246" spans="1:28" ht="30" customHeight="1">
      <c r="A246" s="8"/>
      <c r="B246" s="157" t="s">
        <v>431</v>
      </c>
      <c r="C246" s="157" t="str">
        <f>'2층전시실산출 '!C301</f>
        <v>600×700</v>
      </c>
      <c r="D246" s="163" t="s">
        <v>3760</v>
      </c>
      <c r="E246" s="164"/>
      <c r="F246" s="165"/>
      <c r="G246" s="164"/>
      <c r="H246" s="165"/>
      <c r="I246" s="164"/>
      <c r="J246" s="165"/>
      <c r="K246" s="164">
        <v>14700</v>
      </c>
      <c r="L246" s="165"/>
      <c r="M246" s="164">
        <v>16500</v>
      </c>
      <c r="N246" s="165"/>
      <c r="O246" s="164">
        <f t="shared" si="11"/>
        <v>14700</v>
      </c>
      <c r="P246" s="166"/>
      <c r="Q246" s="166"/>
      <c r="R246" s="166"/>
      <c r="S246" s="166"/>
      <c r="T246" s="166"/>
      <c r="U246" s="13"/>
      <c r="V246" s="13"/>
      <c r="W246" s="8" t="s">
        <v>2139</v>
      </c>
      <c r="X246" s="8"/>
      <c r="Y246" s="2"/>
      <c r="Z246" s="2"/>
      <c r="AA246" s="14"/>
      <c r="AB246" s="2"/>
    </row>
    <row r="247" spans="1:28" ht="30" customHeight="1">
      <c r="A247" s="8"/>
      <c r="B247" s="157" t="s">
        <v>431</v>
      </c>
      <c r="C247" s="157" t="str">
        <f>'2층전시실산출 '!C302</f>
        <v>600×900</v>
      </c>
      <c r="D247" s="163" t="s">
        <v>3760</v>
      </c>
      <c r="E247" s="164"/>
      <c r="F247" s="165"/>
      <c r="G247" s="164"/>
      <c r="H247" s="165"/>
      <c r="I247" s="164"/>
      <c r="J247" s="165"/>
      <c r="K247" s="164">
        <v>18900</v>
      </c>
      <c r="L247" s="165"/>
      <c r="M247" s="164">
        <v>19800</v>
      </c>
      <c r="N247" s="165"/>
      <c r="O247" s="164">
        <f t="shared" si="11"/>
        <v>18900</v>
      </c>
      <c r="P247" s="166"/>
      <c r="Q247" s="166"/>
      <c r="R247" s="166"/>
      <c r="S247" s="166"/>
      <c r="T247" s="166"/>
      <c r="U247" s="13"/>
      <c r="V247" s="13"/>
      <c r="W247" s="8" t="s">
        <v>2140</v>
      </c>
      <c r="X247" s="8"/>
      <c r="Y247" s="2"/>
      <c r="Z247" s="2"/>
      <c r="AA247" s="14"/>
      <c r="AB247" s="2"/>
    </row>
    <row r="248" spans="1:28" ht="30" customHeight="1">
      <c r="A248" s="8"/>
      <c r="B248" s="157" t="s">
        <v>431</v>
      </c>
      <c r="C248" s="157" t="str">
        <f>'2층전시실산출 '!C303</f>
        <v>650×850</v>
      </c>
      <c r="D248" s="163" t="s">
        <v>3760</v>
      </c>
      <c r="E248" s="164"/>
      <c r="F248" s="165"/>
      <c r="G248" s="164"/>
      <c r="H248" s="165"/>
      <c r="I248" s="164"/>
      <c r="J248" s="165"/>
      <c r="K248" s="164">
        <v>14800</v>
      </c>
      <c r="L248" s="165"/>
      <c r="M248" s="164">
        <v>15900</v>
      </c>
      <c r="N248" s="165"/>
      <c r="O248" s="164">
        <f t="shared" si="11"/>
        <v>14800</v>
      </c>
      <c r="P248" s="166"/>
      <c r="Q248" s="166"/>
      <c r="R248" s="166"/>
      <c r="S248" s="166"/>
      <c r="T248" s="166"/>
      <c r="U248" s="13"/>
      <c r="V248" s="13"/>
      <c r="W248" s="8" t="s">
        <v>2141</v>
      </c>
      <c r="X248" s="8"/>
      <c r="Y248" s="2"/>
      <c r="Z248" s="2"/>
      <c r="AA248" s="14"/>
      <c r="AB248" s="2"/>
    </row>
    <row r="249" spans="1:28" ht="30" customHeight="1">
      <c r="A249" s="8"/>
      <c r="B249" s="157" t="s">
        <v>431</v>
      </c>
      <c r="C249" s="157" t="str">
        <f>'2층전시실산출 '!C304</f>
        <v>750×1100</v>
      </c>
      <c r="D249" s="163" t="s">
        <v>3760</v>
      </c>
      <c r="E249" s="164"/>
      <c r="F249" s="165"/>
      <c r="G249" s="164"/>
      <c r="H249" s="165"/>
      <c r="I249" s="164"/>
      <c r="J249" s="165"/>
      <c r="K249" s="164">
        <v>2900</v>
      </c>
      <c r="L249" s="165"/>
      <c r="M249" s="164">
        <v>3200</v>
      </c>
      <c r="N249" s="165"/>
      <c r="O249" s="164">
        <f t="shared" si="11"/>
        <v>2900</v>
      </c>
      <c r="P249" s="166"/>
      <c r="Q249" s="166"/>
      <c r="R249" s="166"/>
      <c r="S249" s="166"/>
      <c r="T249" s="166"/>
      <c r="U249" s="13"/>
      <c r="V249" s="13"/>
      <c r="W249" s="8" t="s">
        <v>2142</v>
      </c>
      <c r="X249" s="8"/>
      <c r="Y249" s="2"/>
      <c r="Z249" s="2"/>
      <c r="AA249" s="14"/>
      <c r="AB249" s="2"/>
    </row>
    <row r="250" spans="1:28" ht="30" customHeight="1">
      <c r="A250" s="8"/>
      <c r="B250" s="157" t="s">
        <v>431</v>
      </c>
      <c r="C250" s="157" t="str">
        <f>'2층전시실산출 '!C305</f>
        <v>800×1100</v>
      </c>
      <c r="D250" s="163" t="s">
        <v>3760</v>
      </c>
      <c r="E250" s="164"/>
      <c r="F250" s="165"/>
      <c r="G250" s="164"/>
      <c r="H250" s="165"/>
      <c r="I250" s="164"/>
      <c r="J250" s="165"/>
      <c r="K250" s="164">
        <v>30800.000000000004</v>
      </c>
      <c r="L250" s="165"/>
      <c r="M250" s="164">
        <v>32000</v>
      </c>
      <c r="N250" s="165"/>
      <c r="O250" s="164">
        <f t="shared" si="11"/>
        <v>30800.000000000004</v>
      </c>
      <c r="P250" s="166"/>
      <c r="Q250" s="166"/>
      <c r="R250" s="166"/>
      <c r="S250" s="166"/>
      <c r="T250" s="166"/>
      <c r="U250" s="13"/>
      <c r="V250" s="13"/>
      <c r="W250" s="8" t="s">
        <v>2143</v>
      </c>
      <c r="X250" s="8"/>
      <c r="Y250" s="2"/>
      <c r="Z250" s="2"/>
      <c r="AA250" s="14"/>
      <c r="AB250" s="2"/>
    </row>
    <row r="251" spans="1:28" ht="30" customHeight="1">
      <c r="A251" s="8"/>
      <c r="B251" s="157" t="s">
        <v>431</v>
      </c>
      <c r="C251" s="157" t="str">
        <f>'2층전시실산출 '!C306</f>
        <v>920x450</v>
      </c>
      <c r="D251" s="163" t="s">
        <v>3760</v>
      </c>
      <c r="E251" s="164"/>
      <c r="F251" s="165"/>
      <c r="G251" s="164"/>
      <c r="H251" s="165"/>
      <c r="I251" s="164"/>
      <c r="J251" s="165"/>
      <c r="K251" s="164">
        <v>15750</v>
      </c>
      <c r="L251" s="165"/>
      <c r="M251" s="164">
        <v>174000</v>
      </c>
      <c r="N251" s="165"/>
      <c r="O251" s="164">
        <f t="shared" si="11"/>
        <v>15750</v>
      </c>
      <c r="P251" s="166"/>
      <c r="Q251" s="166"/>
      <c r="R251" s="166"/>
      <c r="S251" s="166"/>
      <c r="T251" s="166"/>
      <c r="U251" s="13"/>
      <c r="V251" s="13"/>
      <c r="W251" s="8" t="s">
        <v>2144</v>
      </c>
      <c r="X251" s="8"/>
      <c r="Y251" s="2"/>
      <c r="Z251" s="2"/>
      <c r="AA251" s="14"/>
      <c r="AB251" s="2"/>
    </row>
    <row r="252" spans="1:28" ht="30" customHeight="1">
      <c r="A252" s="8"/>
      <c r="B252" s="157" t="s">
        <v>431</v>
      </c>
      <c r="C252" s="157" t="str">
        <f>'2층전시실산출 '!C307</f>
        <v>950×250</v>
      </c>
      <c r="D252" s="163" t="s">
        <v>3760</v>
      </c>
      <c r="E252" s="164"/>
      <c r="F252" s="165"/>
      <c r="G252" s="164"/>
      <c r="H252" s="165"/>
      <c r="I252" s="164"/>
      <c r="J252" s="165"/>
      <c r="K252" s="164">
        <v>9450</v>
      </c>
      <c r="L252" s="165"/>
      <c r="M252" s="164">
        <v>10200</v>
      </c>
      <c r="N252" s="165"/>
      <c r="O252" s="164">
        <f t="shared" si="11"/>
        <v>9450</v>
      </c>
      <c r="P252" s="166"/>
      <c r="Q252" s="166"/>
      <c r="R252" s="166"/>
      <c r="S252" s="166"/>
      <c r="T252" s="166"/>
      <c r="U252" s="13"/>
      <c r="V252" s="13"/>
      <c r="W252" s="8" t="s">
        <v>2145</v>
      </c>
      <c r="X252" s="8"/>
      <c r="Y252" s="2"/>
      <c r="Z252" s="2"/>
      <c r="AA252" s="14"/>
      <c r="AB252" s="2"/>
    </row>
    <row r="253" spans="1:28" ht="30" customHeight="1">
      <c r="A253" s="8"/>
      <c r="B253" s="157" t="s">
        <v>431</v>
      </c>
      <c r="C253" s="157" t="str">
        <f>'2층전시실산출 '!C308</f>
        <v>1050x2090</v>
      </c>
      <c r="D253" s="163" t="s">
        <v>3760</v>
      </c>
      <c r="E253" s="164"/>
      <c r="F253" s="165"/>
      <c r="G253" s="164"/>
      <c r="H253" s="165"/>
      <c r="I253" s="164"/>
      <c r="J253" s="165"/>
      <c r="K253" s="164">
        <v>77200</v>
      </c>
      <c r="L253" s="165"/>
      <c r="M253" s="164">
        <v>79000</v>
      </c>
      <c r="N253" s="165"/>
      <c r="O253" s="164">
        <f t="shared" si="11"/>
        <v>77200</v>
      </c>
      <c r="P253" s="166"/>
      <c r="Q253" s="166"/>
      <c r="R253" s="166"/>
      <c r="S253" s="166"/>
      <c r="T253" s="166"/>
      <c r="U253" s="13"/>
      <c r="V253" s="13"/>
      <c r="W253" s="8" t="s">
        <v>2146</v>
      </c>
      <c r="X253" s="8"/>
      <c r="Y253" s="2"/>
      <c r="Z253" s="2"/>
      <c r="AA253" s="14"/>
      <c r="AB253" s="2"/>
    </row>
    <row r="254" spans="1:28" ht="30" customHeight="1">
      <c r="A254" s="8"/>
      <c r="B254" s="157" t="s">
        <v>431</v>
      </c>
      <c r="C254" s="157" t="str">
        <f>'2층전시실산출 '!C309</f>
        <v>1100×1100</v>
      </c>
      <c r="D254" s="163" t="s">
        <v>3760</v>
      </c>
      <c r="E254" s="164"/>
      <c r="F254" s="165"/>
      <c r="G254" s="164"/>
      <c r="H254" s="165"/>
      <c r="I254" s="164"/>
      <c r="J254" s="165"/>
      <c r="K254" s="164">
        <v>42350.000000000007</v>
      </c>
      <c r="L254" s="165"/>
      <c r="M254" s="164">
        <v>46000</v>
      </c>
      <c r="N254" s="165"/>
      <c r="O254" s="164">
        <f t="shared" si="11"/>
        <v>42350.000000000007</v>
      </c>
      <c r="P254" s="166"/>
      <c r="Q254" s="166"/>
      <c r="R254" s="166"/>
      <c r="S254" s="166"/>
      <c r="T254" s="166"/>
      <c r="U254" s="13"/>
      <c r="V254" s="13"/>
      <c r="W254" s="8" t="s">
        <v>2147</v>
      </c>
      <c r="X254" s="8"/>
      <c r="Y254" s="2"/>
      <c r="Z254" s="2"/>
      <c r="AA254" s="14"/>
      <c r="AB254" s="2"/>
    </row>
    <row r="255" spans="1:28" ht="30" customHeight="1">
      <c r="A255" s="8"/>
      <c r="B255" s="157" t="s">
        <v>431</v>
      </c>
      <c r="C255" s="157" t="str">
        <f>'2층전시실산출 '!C310</f>
        <v>1100x2090</v>
      </c>
      <c r="D255" s="163" t="s">
        <v>3760</v>
      </c>
      <c r="E255" s="164"/>
      <c r="F255" s="165"/>
      <c r="G255" s="164"/>
      <c r="H255" s="165"/>
      <c r="I255" s="164"/>
      <c r="J255" s="165"/>
      <c r="K255" s="164">
        <v>80850.000000000015</v>
      </c>
      <c r="L255" s="165"/>
      <c r="M255" s="164">
        <v>82000</v>
      </c>
      <c r="N255" s="165"/>
      <c r="O255" s="164">
        <f t="shared" si="11"/>
        <v>80850.000000000015</v>
      </c>
      <c r="P255" s="166"/>
      <c r="Q255" s="166"/>
      <c r="R255" s="166"/>
      <c r="S255" s="166"/>
      <c r="T255" s="166"/>
      <c r="U255" s="13"/>
      <c r="V255" s="13"/>
      <c r="W255" s="8" t="s">
        <v>2148</v>
      </c>
      <c r="X255" s="8"/>
      <c r="Y255" s="2"/>
      <c r="Z255" s="2"/>
      <c r="AA255" s="14"/>
      <c r="AB255" s="2"/>
    </row>
    <row r="256" spans="1:28" ht="30" customHeight="1">
      <c r="A256" s="8"/>
      <c r="B256" s="157" t="s">
        <v>431</v>
      </c>
      <c r="C256" s="157" t="str">
        <f>'2층전시실산출 '!C311</f>
        <v>1200x1990</v>
      </c>
      <c r="D256" s="163" t="s">
        <v>3760</v>
      </c>
      <c r="E256" s="164"/>
      <c r="F256" s="165"/>
      <c r="G256" s="164"/>
      <c r="H256" s="165"/>
      <c r="I256" s="164"/>
      <c r="J256" s="165"/>
      <c r="K256" s="164">
        <v>84000</v>
      </c>
      <c r="L256" s="165"/>
      <c r="M256" s="164">
        <v>86000</v>
      </c>
      <c r="N256" s="165"/>
      <c r="O256" s="164">
        <f t="shared" si="11"/>
        <v>84000</v>
      </c>
      <c r="P256" s="166"/>
      <c r="Q256" s="166"/>
      <c r="R256" s="166"/>
      <c r="S256" s="166"/>
      <c r="T256" s="166"/>
      <c r="U256" s="13"/>
      <c r="V256" s="13"/>
      <c r="W256" s="8" t="s">
        <v>2149</v>
      </c>
      <c r="X256" s="8"/>
      <c r="Y256" s="2"/>
      <c r="Z256" s="2"/>
      <c r="AA256" s="14"/>
      <c r="AB256" s="2"/>
    </row>
    <row r="257" spans="1:28" ht="30" customHeight="1">
      <c r="A257" s="8"/>
      <c r="B257" s="157" t="s">
        <v>431</v>
      </c>
      <c r="C257" s="157" t="str">
        <f>'2층전시실산출 '!C312</f>
        <v>1800x1300</v>
      </c>
      <c r="D257" s="163" t="s">
        <v>3760</v>
      </c>
      <c r="E257" s="164"/>
      <c r="F257" s="165"/>
      <c r="G257" s="164"/>
      <c r="H257" s="165"/>
      <c r="I257" s="164"/>
      <c r="J257" s="165"/>
      <c r="K257" s="164">
        <v>81900.000000000015</v>
      </c>
      <c r="L257" s="165"/>
      <c r="M257" s="164">
        <v>85000</v>
      </c>
      <c r="N257" s="165"/>
      <c r="O257" s="164">
        <f t="shared" si="11"/>
        <v>81900.000000000015</v>
      </c>
      <c r="P257" s="166"/>
      <c r="Q257" s="166"/>
      <c r="R257" s="166"/>
      <c r="S257" s="166"/>
      <c r="T257" s="166"/>
      <c r="U257" s="13"/>
      <c r="V257" s="13"/>
      <c r="W257" s="8" t="s">
        <v>2150</v>
      </c>
      <c r="X257" s="8"/>
      <c r="Y257" s="2"/>
      <c r="Z257" s="2"/>
      <c r="AA257" s="14"/>
      <c r="AB257" s="2"/>
    </row>
    <row r="258" spans="1:28" ht="30" customHeight="1">
      <c r="A258" s="8"/>
      <c r="B258" s="157" t="s">
        <v>431</v>
      </c>
      <c r="C258" s="157" t="str">
        <f>'2층전시실산출 '!C313</f>
        <v>2250x500</v>
      </c>
      <c r="D258" s="163" t="s">
        <v>3760</v>
      </c>
      <c r="E258" s="164"/>
      <c r="F258" s="165"/>
      <c r="G258" s="164"/>
      <c r="H258" s="165"/>
      <c r="I258" s="164"/>
      <c r="J258" s="165"/>
      <c r="K258" s="164">
        <v>40250</v>
      </c>
      <c r="L258" s="165"/>
      <c r="M258" s="164">
        <v>42000</v>
      </c>
      <c r="N258" s="165"/>
      <c r="O258" s="164">
        <f t="shared" si="11"/>
        <v>40250</v>
      </c>
      <c r="P258" s="166"/>
      <c r="Q258" s="166"/>
      <c r="R258" s="166"/>
      <c r="S258" s="166"/>
      <c r="T258" s="166"/>
      <c r="U258" s="13"/>
      <c r="V258" s="13"/>
      <c r="W258" s="8" t="s">
        <v>2151</v>
      </c>
      <c r="X258" s="8"/>
      <c r="Y258" s="2"/>
      <c r="Z258" s="2"/>
      <c r="AA258" s="14"/>
      <c r="AB258" s="2"/>
    </row>
    <row r="259" spans="1:28" ht="30" customHeight="1">
      <c r="A259" s="8" t="s">
        <v>774</v>
      </c>
      <c r="B259" s="157" t="str">
        <f>'2층전시실산출 '!B314</f>
        <v>그래픽패널</v>
      </c>
      <c r="C259" s="157" t="str">
        <f>'2층전시실산출 '!C314</f>
        <v>240x165</v>
      </c>
      <c r="D259" s="163" t="str">
        <f>'2층전시실산출 '!D314</f>
        <v>EA</v>
      </c>
      <c r="E259" s="164">
        <v>0</v>
      </c>
      <c r="F259" s="165" t="s">
        <v>51</v>
      </c>
      <c r="G259" s="164">
        <v>0</v>
      </c>
      <c r="H259" s="165" t="s">
        <v>51</v>
      </c>
      <c r="I259" s="164">
        <v>0</v>
      </c>
      <c r="J259" s="165" t="s">
        <v>51</v>
      </c>
      <c r="K259" s="164">
        <v>2600</v>
      </c>
      <c r="L259" s="165" t="s">
        <v>51</v>
      </c>
      <c r="M259" s="164">
        <v>2900</v>
      </c>
      <c r="N259" s="165" t="s">
        <v>51</v>
      </c>
      <c r="O259" s="164">
        <f t="shared" si="11"/>
        <v>2600</v>
      </c>
      <c r="P259" s="166">
        <v>0</v>
      </c>
      <c r="Q259" s="166">
        <v>0</v>
      </c>
      <c r="R259" s="166">
        <v>0</v>
      </c>
      <c r="S259" s="166">
        <v>0</v>
      </c>
      <c r="T259" s="166">
        <v>0</v>
      </c>
      <c r="U259" s="13">
        <v>0</v>
      </c>
      <c r="V259" s="13">
        <v>0</v>
      </c>
      <c r="W259" s="8" t="s">
        <v>2152</v>
      </c>
      <c r="X259" s="8" t="s">
        <v>51</v>
      </c>
      <c r="Y259" s="2" t="s">
        <v>51</v>
      </c>
      <c r="Z259" s="2" t="s">
        <v>51</v>
      </c>
      <c r="AA259" s="14"/>
      <c r="AB259" s="2" t="s">
        <v>51</v>
      </c>
    </row>
    <row r="260" spans="1:28" ht="30" customHeight="1">
      <c r="A260" s="8" t="s">
        <v>776</v>
      </c>
      <c r="B260" s="157" t="str">
        <f>'2층전시실산출 '!B315</f>
        <v>그래픽패널</v>
      </c>
      <c r="C260" s="157" t="str">
        <f>'2층전시실산출 '!C315</f>
        <v>290x165</v>
      </c>
      <c r="D260" s="163" t="str">
        <f>'2층전시실산출 '!D315</f>
        <v>EA</v>
      </c>
      <c r="E260" s="164">
        <v>0</v>
      </c>
      <c r="F260" s="165" t="s">
        <v>51</v>
      </c>
      <c r="G260" s="164">
        <v>0</v>
      </c>
      <c r="H260" s="165" t="s">
        <v>51</v>
      </c>
      <c r="I260" s="164">
        <v>0</v>
      </c>
      <c r="J260" s="165" t="s">
        <v>51</v>
      </c>
      <c r="K260" s="164">
        <v>3000</v>
      </c>
      <c r="L260" s="165" t="s">
        <v>51</v>
      </c>
      <c r="M260" s="164">
        <v>3650</v>
      </c>
      <c r="N260" s="165" t="s">
        <v>51</v>
      </c>
      <c r="O260" s="164">
        <f t="shared" si="11"/>
        <v>3000</v>
      </c>
      <c r="P260" s="166">
        <v>0</v>
      </c>
      <c r="Q260" s="166">
        <v>0</v>
      </c>
      <c r="R260" s="166">
        <v>0</v>
      </c>
      <c r="S260" s="166">
        <v>0</v>
      </c>
      <c r="T260" s="166">
        <v>0</v>
      </c>
      <c r="U260" s="13">
        <v>0</v>
      </c>
      <c r="V260" s="13">
        <v>0</v>
      </c>
      <c r="W260" s="8" t="s">
        <v>2153</v>
      </c>
      <c r="X260" s="8" t="s">
        <v>51</v>
      </c>
      <c r="Y260" s="2" t="s">
        <v>51</v>
      </c>
      <c r="Z260" s="2" t="s">
        <v>51</v>
      </c>
      <c r="AA260" s="14"/>
      <c r="AB260" s="2" t="s">
        <v>51</v>
      </c>
    </row>
    <row r="261" spans="1:28" ht="30" customHeight="1">
      <c r="A261" s="8" t="s">
        <v>778</v>
      </c>
      <c r="B261" s="157" t="str">
        <f>'2층전시실산출 '!B316</f>
        <v>그래픽패널</v>
      </c>
      <c r="C261" s="157" t="str">
        <f>'2층전시실산출 '!C316</f>
        <v>290x600</v>
      </c>
      <c r="D261" s="163" t="str">
        <f>'2층전시실산출 '!D316</f>
        <v>EA</v>
      </c>
      <c r="E261" s="164">
        <v>0</v>
      </c>
      <c r="F261" s="165" t="s">
        <v>51</v>
      </c>
      <c r="G261" s="164">
        <v>0</v>
      </c>
      <c r="H261" s="165" t="s">
        <v>51</v>
      </c>
      <c r="I261" s="164">
        <v>0</v>
      </c>
      <c r="J261" s="165" t="s">
        <v>51</v>
      </c>
      <c r="K261" s="164">
        <v>4800</v>
      </c>
      <c r="L261" s="165" t="s">
        <v>51</v>
      </c>
      <c r="M261" s="164">
        <v>5200</v>
      </c>
      <c r="N261" s="165" t="s">
        <v>51</v>
      </c>
      <c r="O261" s="164">
        <f t="shared" si="11"/>
        <v>4800</v>
      </c>
      <c r="P261" s="166">
        <v>0</v>
      </c>
      <c r="Q261" s="166">
        <v>0</v>
      </c>
      <c r="R261" s="166">
        <v>0</v>
      </c>
      <c r="S261" s="166">
        <v>0</v>
      </c>
      <c r="T261" s="166">
        <v>0</v>
      </c>
      <c r="U261" s="13">
        <v>0</v>
      </c>
      <c r="V261" s="13">
        <v>0</v>
      </c>
      <c r="W261" s="8" t="s">
        <v>2154</v>
      </c>
      <c r="X261" s="8" t="s">
        <v>51</v>
      </c>
      <c r="Y261" s="2" t="s">
        <v>51</v>
      </c>
      <c r="Z261" s="2" t="s">
        <v>51</v>
      </c>
      <c r="AA261" s="14"/>
      <c r="AB261" s="2" t="s">
        <v>51</v>
      </c>
    </row>
    <row r="262" spans="1:28" ht="30" customHeight="1">
      <c r="A262" s="8" t="s">
        <v>780</v>
      </c>
      <c r="B262" s="157" t="str">
        <f>'2층전시실산출 '!B317</f>
        <v>그래픽패널</v>
      </c>
      <c r="C262" s="157" t="str">
        <f>'2층전시실산출 '!C317</f>
        <v>350×250</v>
      </c>
      <c r="D262" s="163" t="str">
        <f>'2층전시실산출 '!D317</f>
        <v>EA</v>
      </c>
      <c r="E262" s="164">
        <v>0</v>
      </c>
      <c r="F262" s="165" t="s">
        <v>51</v>
      </c>
      <c r="G262" s="164">
        <v>0</v>
      </c>
      <c r="H262" s="165" t="s">
        <v>51</v>
      </c>
      <c r="I262" s="164">
        <v>0</v>
      </c>
      <c r="J262" s="165" t="s">
        <v>51</v>
      </c>
      <c r="K262" s="164">
        <v>5500</v>
      </c>
      <c r="L262" s="165" t="s">
        <v>51</v>
      </c>
      <c r="M262" s="164">
        <v>6200</v>
      </c>
      <c r="N262" s="165" t="s">
        <v>51</v>
      </c>
      <c r="O262" s="164">
        <f t="shared" si="11"/>
        <v>5500</v>
      </c>
      <c r="P262" s="166">
        <v>0</v>
      </c>
      <c r="Q262" s="166">
        <v>0</v>
      </c>
      <c r="R262" s="166">
        <v>0</v>
      </c>
      <c r="S262" s="166">
        <v>0</v>
      </c>
      <c r="T262" s="166">
        <v>0</v>
      </c>
      <c r="U262" s="13">
        <v>0</v>
      </c>
      <c r="V262" s="13">
        <v>0</v>
      </c>
      <c r="W262" s="8" t="s">
        <v>2155</v>
      </c>
      <c r="X262" s="8" t="s">
        <v>51</v>
      </c>
      <c r="Y262" s="2" t="s">
        <v>51</v>
      </c>
      <c r="Z262" s="2" t="s">
        <v>51</v>
      </c>
      <c r="AA262" s="14"/>
      <c r="AB262" s="2" t="s">
        <v>51</v>
      </c>
    </row>
    <row r="263" spans="1:28" ht="30" customHeight="1">
      <c r="A263" s="8" t="s">
        <v>782</v>
      </c>
      <c r="B263" s="157" t="str">
        <f>'2층전시실산출 '!B318</f>
        <v>그래픽패널</v>
      </c>
      <c r="C263" s="157" t="str">
        <f>'2층전시실산출 '!C318</f>
        <v>370x270</v>
      </c>
      <c r="D263" s="163" t="str">
        <f>'2층전시실산출 '!D318</f>
        <v>EA</v>
      </c>
      <c r="E263" s="164">
        <v>0</v>
      </c>
      <c r="F263" s="165" t="s">
        <v>51</v>
      </c>
      <c r="G263" s="164">
        <v>0</v>
      </c>
      <c r="H263" s="165" t="s">
        <v>51</v>
      </c>
      <c r="I263" s="164">
        <v>0</v>
      </c>
      <c r="J263" s="165" t="s">
        <v>51</v>
      </c>
      <c r="K263" s="164">
        <v>7000</v>
      </c>
      <c r="L263" s="165" t="s">
        <v>51</v>
      </c>
      <c r="M263" s="164">
        <v>8200</v>
      </c>
      <c r="N263" s="165" t="s">
        <v>51</v>
      </c>
      <c r="O263" s="164">
        <f t="shared" si="11"/>
        <v>7000</v>
      </c>
      <c r="P263" s="166">
        <v>0</v>
      </c>
      <c r="Q263" s="166">
        <v>0</v>
      </c>
      <c r="R263" s="166">
        <v>0</v>
      </c>
      <c r="S263" s="166">
        <v>0</v>
      </c>
      <c r="T263" s="166">
        <v>0</v>
      </c>
      <c r="U263" s="13">
        <v>0</v>
      </c>
      <c r="V263" s="13">
        <v>0</v>
      </c>
      <c r="W263" s="8" t="s">
        <v>2156</v>
      </c>
      <c r="X263" s="8" t="s">
        <v>51</v>
      </c>
      <c r="Y263" s="2" t="s">
        <v>51</v>
      </c>
      <c r="Z263" s="2" t="s">
        <v>51</v>
      </c>
      <c r="AA263" s="14"/>
      <c r="AB263" s="2" t="s">
        <v>51</v>
      </c>
    </row>
    <row r="264" spans="1:28" ht="30" customHeight="1">
      <c r="A264" s="8" t="s">
        <v>784</v>
      </c>
      <c r="B264" s="157" t="str">
        <f>'2층전시실산출 '!B319</f>
        <v>그래픽패널</v>
      </c>
      <c r="C264" s="157" t="str">
        <f>'2층전시실산출 '!C319</f>
        <v>370x750</v>
      </c>
      <c r="D264" s="163" t="str">
        <f>'2층전시실산출 '!D319</f>
        <v>EA</v>
      </c>
      <c r="E264" s="164">
        <v>0</v>
      </c>
      <c r="F264" s="165" t="s">
        <v>51</v>
      </c>
      <c r="G264" s="164">
        <v>0</v>
      </c>
      <c r="H264" s="165" t="s">
        <v>51</v>
      </c>
      <c r="I264" s="164">
        <v>0</v>
      </c>
      <c r="J264" s="165" t="s">
        <v>51</v>
      </c>
      <c r="K264" s="164">
        <v>18600.000000000004</v>
      </c>
      <c r="L264" s="165" t="s">
        <v>51</v>
      </c>
      <c r="M264" s="164">
        <v>21000</v>
      </c>
      <c r="N264" s="165" t="s">
        <v>51</v>
      </c>
      <c r="O264" s="164">
        <f t="shared" si="11"/>
        <v>18600.000000000004</v>
      </c>
      <c r="P264" s="166">
        <v>0</v>
      </c>
      <c r="Q264" s="166">
        <v>0</v>
      </c>
      <c r="R264" s="166">
        <v>0</v>
      </c>
      <c r="S264" s="166">
        <v>0</v>
      </c>
      <c r="T264" s="166">
        <v>0</v>
      </c>
      <c r="U264" s="13">
        <v>0</v>
      </c>
      <c r="V264" s="13">
        <v>0</v>
      </c>
      <c r="W264" s="8" t="s">
        <v>2157</v>
      </c>
      <c r="X264" s="8" t="s">
        <v>51</v>
      </c>
      <c r="Y264" s="2" t="s">
        <v>51</v>
      </c>
      <c r="Z264" s="2" t="s">
        <v>51</v>
      </c>
      <c r="AA264" s="14"/>
      <c r="AB264" s="2" t="s">
        <v>51</v>
      </c>
    </row>
    <row r="265" spans="1:28" ht="30" customHeight="1">
      <c r="A265" s="8" t="s">
        <v>786</v>
      </c>
      <c r="B265" s="157" t="str">
        <f>'2층전시실산출 '!B320</f>
        <v>그래픽패널</v>
      </c>
      <c r="C265" s="157" t="str">
        <f>'2층전시실산출 '!C320</f>
        <v>430x450</v>
      </c>
      <c r="D265" s="163" t="str">
        <f>'2층전시실산출 '!D320</f>
        <v>EA</v>
      </c>
      <c r="E265" s="164">
        <v>0</v>
      </c>
      <c r="F265" s="165" t="s">
        <v>51</v>
      </c>
      <c r="G265" s="164">
        <v>0</v>
      </c>
      <c r="H265" s="165" t="s">
        <v>51</v>
      </c>
      <c r="I265" s="164">
        <v>0</v>
      </c>
      <c r="J265" s="165" t="s">
        <v>51</v>
      </c>
      <c r="K265" s="164">
        <v>12000</v>
      </c>
      <c r="L265" s="165" t="s">
        <v>51</v>
      </c>
      <c r="M265" s="164">
        <v>16000</v>
      </c>
      <c r="N265" s="165" t="s">
        <v>51</v>
      </c>
      <c r="O265" s="164">
        <f t="shared" si="11"/>
        <v>12000</v>
      </c>
      <c r="P265" s="166">
        <v>0</v>
      </c>
      <c r="Q265" s="166">
        <v>0</v>
      </c>
      <c r="R265" s="166">
        <v>0</v>
      </c>
      <c r="S265" s="166">
        <v>0</v>
      </c>
      <c r="T265" s="166">
        <v>0</v>
      </c>
      <c r="U265" s="13">
        <v>0</v>
      </c>
      <c r="V265" s="13">
        <v>0</v>
      </c>
      <c r="W265" s="8" t="s">
        <v>2158</v>
      </c>
      <c r="X265" s="8" t="s">
        <v>51</v>
      </c>
      <c r="Y265" s="2" t="s">
        <v>51</v>
      </c>
      <c r="Z265" s="2" t="s">
        <v>51</v>
      </c>
      <c r="AA265" s="14"/>
      <c r="AB265" s="2" t="s">
        <v>51</v>
      </c>
    </row>
    <row r="266" spans="1:28" ht="30" customHeight="1">
      <c r="A266" s="8" t="s">
        <v>788</v>
      </c>
      <c r="B266" s="157" t="str">
        <f>'2층전시실산출 '!B321</f>
        <v>그래픽패널</v>
      </c>
      <c r="C266" s="157" t="str">
        <f>'2층전시실산출 '!C321</f>
        <v>430x650</v>
      </c>
      <c r="D266" s="163" t="str">
        <f>'2층전시실산출 '!D321</f>
        <v>EA</v>
      </c>
      <c r="E266" s="164">
        <v>0</v>
      </c>
      <c r="F266" s="165" t="s">
        <v>51</v>
      </c>
      <c r="G266" s="164">
        <v>0</v>
      </c>
      <c r="H266" s="165" t="s">
        <v>51</v>
      </c>
      <c r="I266" s="164">
        <v>0</v>
      </c>
      <c r="J266" s="165" t="s">
        <v>51</v>
      </c>
      <c r="K266" s="164">
        <v>17300</v>
      </c>
      <c r="L266" s="165" t="s">
        <v>51</v>
      </c>
      <c r="M266" s="164">
        <v>19500</v>
      </c>
      <c r="N266" s="165" t="s">
        <v>51</v>
      </c>
      <c r="O266" s="164">
        <f t="shared" si="11"/>
        <v>17300</v>
      </c>
      <c r="P266" s="166">
        <v>0</v>
      </c>
      <c r="Q266" s="166">
        <v>0</v>
      </c>
      <c r="R266" s="166">
        <v>0</v>
      </c>
      <c r="S266" s="166">
        <v>0</v>
      </c>
      <c r="T266" s="166">
        <v>0</v>
      </c>
      <c r="U266" s="13">
        <v>0</v>
      </c>
      <c r="V266" s="13">
        <v>0</v>
      </c>
      <c r="W266" s="8" t="s">
        <v>2159</v>
      </c>
      <c r="X266" s="8" t="s">
        <v>51</v>
      </c>
      <c r="Y266" s="2" t="s">
        <v>51</v>
      </c>
      <c r="Z266" s="2" t="s">
        <v>51</v>
      </c>
      <c r="AA266" s="14"/>
      <c r="AB266" s="2" t="s">
        <v>51</v>
      </c>
    </row>
    <row r="267" spans="1:28" ht="30" customHeight="1">
      <c r="A267" s="8" t="s">
        <v>790</v>
      </c>
      <c r="B267" s="157" t="str">
        <f>'2층전시실산출 '!B322</f>
        <v>그래픽패널</v>
      </c>
      <c r="C267" s="157" t="str">
        <f>'2층전시실산출 '!C322</f>
        <v>490x300</v>
      </c>
      <c r="D267" s="163" t="str">
        <f>'2층전시실산출 '!D322</f>
        <v>EA</v>
      </c>
      <c r="E267" s="164">
        <v>0</v>
      </c>
      <c r="F267" s="165" t="s">
        <v>51</v>
      </c>
      <c r="G267" s="164">
        <v>0</v>
      </c>
      <c r="H267" s="165" t="s">
        <v>51</v>
      </c>
      <c r="I267" s="164">
        <v>0</v>
      </c>
      <c r="J267" s="165" t="s">
        <v>51</v>
      </c>
      <c r="K267" s="164">
        <v>9300</v>
      </c>
      <c r="L267" s="165" t="s">
        <v>51</v>
      </c>
      <c r="M267" s="164">
        <v>12000</v>
      </c>
      <c r="N267" s="165" t="s">
        <v>51</v>
      </c>
      <c r="O267" s="164">
        <f t="shared" si="11"/>
        <v>9300</v>
      </c>
      <c r="P267" s="166">
        <v>0</v>
      </c>
      <c r="Q267" s="166">
        <v>0</v>
      </c>
      <c r="R267" s="166">
        <v>0</v>
      </c>
      <c r="S267" s="166">
        <v>0</v>
      </c>
      <c r="T267" s="166">
        <v>0</v>
      </c>
      <c r="U267" s="13">
        <v>0</v>
      </c>
      <c r="V267" s="13">
        <v>0</v>
      </c>
      <c r="W267" s="8" t="s">
        <v>2160</v>
      </c>
      <c r="X267" s="8" t="s">
        <v>51</v>
      </c>
      <c r="Y267" s="2" t="s">
        <v>51</v>
      </c>
      <c r="Z267" s="2" t="s">
        <v>51</v>
      </c>
      <c r="AA267" s="14"/>
      <c r="AB267" s="2" t="s">
        <v>51</v>
      </c>
    </row>
    <row r="268" spans="1:28" ht="30" customHeight="1">
      <c r="A268" s="8" t="s">
        <v>792</v>
      </c>
      <c r="B268" s="157" t="str">
        <f>'2층전시실산출 '!B323</f>
        <v>그래픽패널</v>
      </c>
      <c r="C268" s="157" t="str">
        <f>'2층전시실산출 '!C323</f>
        <v>500x600</v>
      </c>
      <c r="D268" s="163" t="str">
        <f>'2층전시실산출 '!D323</f>
        <v>EA</v>
      </c>
      <c r="E268" s="164">
        <v>0</v>
      </c>
      <c r="F268" s="165" t="s">
        <v>51</v>
      </c>
      <c r="G268" s="164">
        <v>0</v>
      </c>
      <c r="H268" s="165" t="s">
        <v>51</v>
      </c>
      <c r="I268" s="164">
        <v>0</v>
      </c>
      <c r="J268" s="165" t="s">
        <v>51</v>
      </c>
      <c r="K268" s="164">
        <v>18600</v>
      </c>
      <c r="L268" s="165" t="s">
        <v>51</v>
      </c>
      <c r="M268" s="164">
        <v>21000</v>
      </c>
      <c r="N268" s="165" t="s">
        <v>51</v>
      </c>
      <c r="O268" s="164">
        <f t="shared" si="11"/>
        <v>18600</v>
      </c>
      <c r="P268" s="166">
        <v>0</v>
      </c>
      <c r="Q268" s="166">
        <v>0</v>
      </c>
      <c r="R268" s="166">
        <v>0</v>
      </c>
      <c r="S268" s="166">
        <v>0</v>
      </c>
      <c r="T268" s="166">
        <v>0</v>
      </c>
      <c r="U268" s="13">
        <v>0</v>
      </c>
      <c r="V268" s="13">
        <v>0</v>
      </c>
      <c r="W268" s="8" t="s">
        <v>2161</v>
      </c>
      <c r="X268" s="8" t="s">
        <v>51</v>
      </c>
      <c r="Y268" s="2" t="s">
        <v>51</v>
      </c>
      <c r="Z268" s="2" t="s">
        <v>51</v>
      </c>
      <c r="AA268" s="14"/>
      <c r="AB268" s="2" t="s">
        <v>51</v>
      </c>
    </row>
    <row r="269" spans="1:28" ht="30" customHeight="1">
      <c r="A269" s="8" t="s">
        <v>794</v>
      </c>
      <c r="B269" s="157" t="str">
        <f>'2층전시실산출 '!B324</f>
        <v>그래픽패널</v>
      </c>
      <c r="C269" s="157" t="str">
        <f>'2층전시실산출 '!C324</f>
        <v>600×250</v>
      </c>
      <c r="D269" s="163" t="str">
        <f>'2층전시실산출 '!D324</f>
        <v>EA</v>
      </c>
      <c r="E269" s="164">
        <v>0</v>
      </c>
      <c r="F269" s="165" t="s">
        <v>51</v>
      </c>
      <c r="G269" s="164">
        <v>0</v>
      </c>
      <c r="H269" s="165" t="s">
        <v>51</v>
      </c>
      <c r="I269" s="164">
        <v>0</v>
      </c>
      <c r="J269" s="165" t="s">
        <v>51</v>
      </c>
      <c r="K269" s="164">
        <v>9300</v>
      </c>
      <c r="L269" s="165" t="s">
        <v>51</v>
      </c>
      <c r="M269" s="164">
        <v>12000</v>
      </c>
      <c r="N269" s="165" t="s">
        <v>51</v>
      </c>
      <c r="O269" s="164">
        <f t="shared" si="11"/>
        <v>9300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3">
        <v>0</v>
      </c>
      <c r="V269" s="13">
        <v>0</v>
      </c>
      <c r="W269" s="8" t="s">
        <v>2162</v>
      </c>
      <c r="X269" s="8" t="s">
        <v>51</v>
      </c>
      <c r="Y269" s="2" t="s">
        <v>51</v>
      </c>
      <c r="Z269" s="2" t="s">
        <v>51</v>
      </c>
      <c r="AA269" s="14"/>
      <c r="AB269" s="2" t="s">
        <v>51</v>
      </c>
    </row>
    <row r="270" spans="1:28" ht="30" customHeight="1">
      <c r="A270" s="8" t="s">
        <v>796</v>
      </c>
      <c r="B270" s="157" t="str">
        <f>'2층전시실산출 '!B325</f>
        <v>그래픽패널</v>
      </c>
      <c r="C270" s="157" t="str">
        <f>'2층전시실산출 '!C325</f>
        <v>600×600</v>
      </c>
      <c r="D270" s="163" t="str">
        <f>'2층전시실산출 '!D325</f>
        <v>EA</v>
      </c>
      <c r="E270" s="164">
        <v>0</v>
      </c>
      <c r="F270" s="165" t="s">
        <v>51</v>
      </c>
      <c r="G270" s="164">
        <v>0</v>
      </c>
      <c r="H270" s="165" t="s">
        <v>51</v>
      </c>
      <c r="I270" s="164">
        <v>0</v>
      </c>
      <c r="J270" s="165" t="s">
        <v>51</v>
      </c>
      <c r="K270" s="164">
        <v>22300</v>
      </c>
      <c r="L270" s="165" t="s">
        <v>51</v>
      </c>
      <c r="M270" s="164">
        <v>28000</v>
      </c>
      <c r="N270" s="165" t="s">
        <v>51</v>
      </c>
      <c r="O270" s="164">
        <f t="shared" si="11"/>
        <v>22300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3">
        <v>0</v>
      </c>
      <c r="V270" s="13">
        <v>0</v>
      </c>
      <c r="W270" s="8" t="s">
        <v>2163</v>
      </c>
      <c r="X270" s="8" t="s">
        <v>51</v>
      </c>
      <c r="Y270" s="2" t="s">
        <v>51</v>
      </c>
      <c r="Z270" s="2" t="s">
        <v>51</v>
      </c>
      <c r="AA270" s="14"/>
      <c r="AB270" s="2" t="s">
        <v>51</v>
      </c>
    </row>
    <row r="271" spans="1:28" ht="30" customHeight="1">
      <c r="A271" s="8" t="s">
        <v>798</v>
      </c>
      <c r="B271" s="157" t="str">
        <f>'2층전시실산출 '!B326</f>
        <v>그래픽패널</v>
      </c>
      <c r="C271" s="157" t="str">
        <f>'2층전시실산출 '!C326</f>
        <v>600×900</v>
      </c>
      <c r="D271" s="163" t="str">
        <f>'2층전시실산출 '!D326</f>
        <v>EA</v>
      </c>
      <c r="E271" s="164">
        <v>0</v>
      </c>
      <c r="F271" s="165" t="s">
        <v>51</v>
      </c>
      <c r="G271" s="164">
        <v>0</v>
      </c>
      <c r="H271" s="165" t="s">
        <v>51</v>
      </c>
      <c r="I271" s="164">
        <v>0</v>
      </c>
      <c r="J271" s="165" t="s">
        <v>51</v>
      </c>
      <c r="K271" s="164">
        <v>33500</v>
      </c>
      <c r="L271" s="165" t="s">
        <v>51</v>
      </c>
      <c r="M271" s="164">
        <v>36000</v>
      </c>
      <c r="N271" s="165" t="s">
        <v>51</v>
      </c>
      <c r="O271" s="164">
        <f t="shared" si="11"/>
        <v>33500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3">
        <v>0</v>
      </c>
      <c r="V271" s="13">
        <v>0</v>
      </c>
      <c r="W271" s="8" t="s">
        <v>2164</v>
      </c>
      <c r="X271" s="8" t="s">
        <v>51</v>
      </c>
      <c r="Y271" s="2" t="s">
        <v>51</v>
      </c>
      <c r="Z271" s="2" t="s">
        <v>51</v>
      </c>
      <c r="AA271" s="14"/>
      <c r="AB271" s="2" t="s">
        <v>51</v>
      </c>
    </row>
    <row r="272" spans="1:28" ht="30" customHeight="1">
      <c r="A272" s="8" t="s">
        <v>800</v>
      </c>
      <c r="B272" s="157" t="str">
        <f>'2층전시실산출 '!B327</f>
        <v>그래픽패널</v>
      </c>
      <c r="C272" s="157" t="str">
        <f>'2층전시실산출 '!C327</f>
        <v>600×1200</v>
      </c>
      <c r="D272" s="163" t="str">
        <f>'2층전시실산출 '!D327</f>
        <v>EA</v>
      </c>
      <c r="E272" s="164">
        <v>0</v>
      </c>
      <c r="F272" s="165" t="s">
        <v>51</v>
      </c>
      <c r="G272" s="164">
        <v>0</v>
      </c>
      <c r="H272" s="165" t="s">
        <v>51</v>
      </c>
      <c r="I272" s="164">
        <v>0</v>
      </c>
      <c r="J272" s="165" t="s">
        <v>51</v>
      </c>
      <c r="K272" s="164">
        <v>44600</v>
      </c>
      <c r="L272" s="165" t="s">
        <v>51</v>
      </c>
      <c r="M272" s="164">
        <v>49000</v>
      </c>
      <c r="N272" s="165" t="s">
        <v>51</v>
      </c>
      <c r="O272" s="164">
        <f t="shared" si="11"/>
        <v>44600</v>
      </c>
      <c r="P272" s="166">
        <v>0</v>
      </c>
      <c r="Q272" s="166">
        <v>0</v>
      </c>
      <c r="R272" s="166">
        <v>0</v>
      </c>
      <c r="S272" s="166">
        <v>0</v>
      </c>
      <c r="T272" s="166">
        <v>0</v>
      </c>
      <c r="U272" s="13">
        <v>0</v>
      </c>
      <c r="V272" s="13">
        <v>0</v>
      </c>
      <c r="W272" s="8" t="s">
        <v>2165</v>
      </c>
      <c r="X272" s="8" t="s">
        <v>51</v>
      </c>
      <c r="Y272" s="2" t="s">
        <v>51</v>
      </c>
      <c r="Z272" s="2" t="s">
        <v>51</v>
      </c>
      <c r="AA272" s="14"/>
      <c r="AB272" s="2" t="s">
        <v>51</v>
      </c>
    </row>
    <row r="273" spans="1:28" ht="30" customHeight="1">
      <c r="A273" s="8" t="s">
        <v>802</v>
      </c>
      <c r="B273" s="157" t="str">
        <f>'2층전시실산출 '!B328</f>
        <v>그래픽패널</v>
      </c>
      <c r="C273" s="157" t="str">
        <f>'2층전시실산출 '!C328</f>
        <v>700×1050</v>
      </c>
      <c r="D273" s="163" t="str">
        <f>'2층전시실산출 '!D328</f>
        <v>EA</v>
      </c>
      <c r="E273" s="164">
        <v>0</v>
      </c>
      <c r="F273" s="165" t="s">
        <v>51</v>
      </c>
      <c r="G273" s="164">
        <v>0</v>
      </c>
      <c r="H273" s="165" t="s">
        <v>51</v>
      </c>
      <c r="I273" s="164">
        <v>0</v>
      </c>
      <c r="J273" s="165" t="s">
        <v>51</v>
      </c>
      <c r="K273" s="164">
        <v>47700</v>
      </c>
      <c r="L273" s="165" t="s">
        <v>51</v>
      </c>
      <c r="M273" s="164">
        <v>52000</v>
      </c>
      <c r="N273" s="165" t="s">
        <v>51</v>
      </c>
      <c r="O273" s="164">
        <f t="shared" si="11"/>
        <v>47700</v>
      </c>
      <c r="P273" s="166">
        <v>0</v>
      </c>
      <c r="Q273" s="166">
        <v>0</v>
      </c>
      <c r="R273" s="166">
        <v>0</v>
      </c>
      <c r="S273" s="166">
        <v>0</v>
      </c>
      <c r="T273" s="166">
        <v>0</v>
      </c>
      <c r="U273" s="13">
        <v>0</v>
      </c>
      <c r="V273" s="13">
        <v>0</v>
      </c>
      <c r="W273" s="8" t="s">
        <v>2166</v>
      </c>
      <c r="X273" s="8" t="s">
        <v>51</v>
      </c>
      <c r="Y273" s="2" t="s">
        <v>51</v>
      </c>
      <c r="Z273" s="2" t="s">
        <v>51</v>
      </c>
      <c r="AA273" s="14"/>
      <c r="AB273" s="2" t="s">
        <v>51</v>
      </c>
    </row>
    <row r="274" spans="1:28" ht="30" customHeight="1">
      <c r="A274" s="8" t="s">
        <v>804</v>
      </c>
      <c r="B274" s="157" t="str">
        <f>'2층전시실산출 '!B329</f>
        <v>그래픽패널</v>
      </c>
      <c r="C274" s="157" t="str">
        <f>'2층전시실산출 '!C329</f>
        <v>800×600</v>
      </c>
      <c r="D274" s="163" t="str">
        <f>'2층전시실산출 '!D329</f>
        <v>EA</v>
      </c>
      <c r="E274" s="164">
        <v>0</v>
      </c>
      <c r="F274" s="165" t="s">
        <v>51</v>
      </c>
      <c r="G274" s="164">
        <v>0</v>
      </c>
      <c r="H274" s="165" t="s">
        <v>51</v>
      </c>
      <c r="I274" s="164">
        <v>0</v>
      </c>
      <c r="J274" s="165" t="s">
        <v>51</v>
      </c>
      <c r="K274" s="164">
        <v>29700</v>
      </c>
      <c r="L274" s="165" t="s">
        <v>51</v>
      </c>
      <c r="M274" s="164">
        <v>32000</v>
      </c>
      <c r="N274" s="165" t="s">
        <v>51</v>
      </c>
      <c r="O274" s="164">
        <f t="shared" si="11"/>
        <v>29700</v>
      </c>
      <c r="P274" s="166">
        <v>0</v>
      </c>
      <c r="Q274" s="166">
        <v>0</v>
      </c>
      <c r="R274" s="166">
        <v>0</v>
      </c>
      <c r="S274" s="166">
        <v>0</v>
      </c>
      <c r="T274" s="166">
        <v>0</v>
      </c>
      <c r="U274" s="13">
        <v>0</v>
      </c>
      <c r="V274" s="13">
        <v>0</v>
      </c>
      <c r="W274" s="8" t="s">
        <v>2167</v>
      </c>
      <c r="X274" s="8" t="s">
        <v>51</v>
      </c>
      <c r="Y274" s="2" t="s">
        <v>51</v>
      </c>
      <c r="Z274" s="2" t="s">
        <v>51</v>
      </c>
      <c r="AA274" s="14"/>
      <c r="AB274" s="2" t="s">
        <v>51</v>
      </c>
    </row>
    <row r="275" spans="1:28" ht="30" customHeight="1">
      <c r="A275" s="8" t="s">
        <v>806</v>
      </c>
      <c r="B275" s="157" t="str">
        <f>'2층전시실산출 '!B330</f>
        <v>그래픽패널</v>
      </c>
      <c r="C275" s="157" t="str">
        <f>'2층전시실산출 '!C330</f>
        <v>840*450</v>
      </c>
      <c r="D275" s="163" t="str">
        <f>'2층전시실산출 '!D330</f>
        <v>EA</v>
      </c>
      <c r="E275" s="164">
        <v>0</v>
      </c>
      <c r="F275" s="165" t="s">
        <v>51</v>
      </c>
      <c r="G275" s="164">
        <v>0</v>
      </c>
      <c r="H275" s="165" t="s">
        <v>51</v>
      </c>
      <c r="I275" s="164">
        <v>0</v>
      </c>
      <c r="J275" s="165" t="s">
        <v>51</v>
      </c>
      <c r="K275" s="164">
        <v>26000</v>
      </c>
      <c r="L275" s="165" t="s">
        <v>51</v>
      </c>
      <c r="M275" s="164">
        <v>28000</v>
      </c>
      <c r="N275" s="165" t="s">
        <v>51</v>
      </c>
      <c r="O275" s="164">
        <f t="shared" si="11"/>
        <v>26000</v>
      </c>
      <c r="P275" s="166">
        <v>0</v>
      </c>
      <c r="Q275" s="166">
        <v>0</v>
      </c>
      <c r="R275" s="166">
        <v>0</v>
      </c>
      <c r="S275" s="166">
        <v>0</v>
      </c>
      <c r="T275" s="166">
        <v>0</v>
      </c>
      <c r="U275" s="13">
        <v>0</v>
      </c>
      <c r="V275" s="13">
        <v>0</v>
      </c>
      <c r="W275" s="8" t="s">
        <v>2168</v>
      </c>
      <c r="X275" s="8" t="s">
        <v>51</v>
      </c>
      <c r="Y275" s="2" t="s">
        <v>51</v>
      </c>
      <c r="Z275" s="2" t="s">
        <v>51</v>
      </c>
      <c r="AA275" s="14"/>
      <c r="AB275" s="2" t="s">
        <v>51</v>
      </c>
    </row>
    <row r="276" spans="1:28" ht="30" customHeight="1">
      <c r="A276" s="8"/>
      <c r="B276" s="157" t="str">
        <f>'2층전시실산출 '!B331</f>
        <v>그래픽패널</v>
      </c>
      <c r="C276" s="157" t="str">
        <f>'2층전시실산출 '!C331</f>
        <v>900×900</v>
      </c>
      <c r="D276" s="163" t="str">
        <f>'2층전시실산출 '!D331</f>
        <v>EA</v>
      </c>
      <c r="E276" s="164"/>
      <c r="F276" s="165"/>
      <c r="G276" s="164"/>
      <c r="H276" s="165"/>
      <c r="I276" s="164"/>
      <c r="J276" s="165"/>
      <c r="K276" s="164">
        <v>50200</v>
      </c>
      <c r="L276" s="165"/>
      <c r="M276" s="164">
        <v>56000</v>
      </c>
      <c r="N276" s="165"/>
      <c r="O276" s="164">
        <f t="shared" si="11"/>
        <v>50200</v>
      </c>
      <c r="P276" s="166"/>
      <c r="Q276" s="166"/>
      <c r="R276" s="166"/>
      <c r="S276" s="166"/>
      <c r="T276" s="166"/>
      <c r="U276" s="13"/>
      <c r="V276" s="13"/>
      <c r="W276" s="8" t="s">
        <v>2169</v>
      </c>
      <c r="X276" s="8"/>
      <c r="Y276" s="2"/>
      <c r="Z276" s="2"/>
      <c r="AA276" s="14"/>
      <c r="AB276" s="2"/>
    </row>
    <row r="277" spans="1:28" ht="30" customHeight="1">
      <c r="A277" s="8"/>
      <c r="B277" s="157" t="str">
        <f>'2층전시실산출 '!B332</f>
        <v>그래픽패널</v>
      </c>
      <c r="C277" s="157" t="str">
        <f>'2층전시실산출 '!C332</f>
        <v>900×1200</v>
      </c>
      <c r="D277" s="163" t="str">
        <f>'2층전시실산출 '!D332</f>
        <v>EA</v>
      </c>
      <c r="E277" s="164"/>
      <c r="F277" s="165"/>
      <c r="G277" s="164"/>
      <c r="H277" s="165"/>
      <c r="I277" s="164"/>
      <c r="J277" s="165"/>
      <c r="K277" s="164">
        <v>67000</v>
      </c>
      <c r="L277" s="165"/>
      <c r="M277" s="164">
        <v>69000</v>
      </c>
      <c r="N277" s="165"/>
      <c r="O277" s="164">
        <f t="shared" si="11"/>
        <v>67000</v>
      </c>
      <c r="P277" s="166"/>
      <c r="Q277" s="166"/>
      <c r="R277" s="166"/>
      <c r="S277" s="166"/>
      <c r="T277" s="166"/>
      <c r="U277" s="13"/>
      <c r="V277" s="13"/>
      <c r="W277" s="8" t="s">
        <v>2171</v>
      </c>
      <c r="X277" s="8"/>
      <c r="Y277" s="2"/>
      <c r="Z277" s="2"/>
      <c r="AA277" s="14"/>
      <c r="AB277" s="2"/>
    </row>
    <row r="278" spans="1:28" ht="30" customHeight="1">
      <c r="A278" s="8"/>
      <c r="B278" s="157" t="str">
        <f>'2층전시실산출 '!B333</f>
        <v>그래픽패널</v>
      </c>
      <c r="C278" s="157" t="str">
        <f>'2층전시실산출 '!C333</f>
        <v>1000×600</v>
      </c>
      <c r="D278" s="163" t="str">
        <f>'2층전시실산출 '!D333</f>
        <v>EA</v>
      </c>
      <c r="E278" s="164"/>
      <c r="F278" s="165"/>
      <c r="G278" s="164"/>
      <c r="H278" s="165"/>
      <c r="I278" s="164"/>
      <c r="J278" s="165"/>
      <c r="K278" s="164">
        <v>37200</v>
      </c>
      <c r="L278" s="165"/>
      <c r="M278" s="164">
        <v>42000</v>
      </c>
      <c r="N278" s="165"/>
      <c r="O278" s="164">
        <f t="shared" si="11"/>
        <v>37200</v>
      </c>
      <c r="P278" s="166"/>
      <c r="Q278" s="166"/>
      <c r="R278" s="166"/>
      <c r="S278" s="166"/>
      <c r="T278" s="166"/>
      <c r="U278" s="13"/>
      <c r="V278" s="13"/>
      <c r="W278" s="8" t="s">
        <v>2172</v>
      </c>
      <c r="X278" s="8"/>
      <c r="Y278" s="2"/>
      <c r="Z278" s="2"/>
      <c r="AA278" s="14"/>
      <c r="AB278" s="2"/>
    </row>
    <row r="279" spans="1:28" ht="30" customHeight="1">
      <c r="A279" s="8"/>
      <c r="B279" s="157" t="str">
        <f>'2층전시실산출 '!B334</f>
        <v>그래픽패널</v>
      </c>
      <c r="C279" s="157" t="str">
        <f>'2층전시실산출 '!C334</f>
        <v>1000*1200</v>
      </c>
      <c r="D279" s="163" t="str">
        <f>'2층전시실산출 '!D334</f>
        <v>EA</v>
      </c>
      <c r="E279" s="164"/>
      <c r="F279" s="165"/>
      <c r="G279" s="164"/>
      <c r="H279" s="165"/>
      <c r="I279" s="164"/>
      <c r="J279" s="165"/>
      <c r="K279" s="164">
        <v>74400</v>
      </c>
      <c r="L279" s="165"/>
      <c r="M279" s="164">
        <v>79000</v>
      </c>
      <c r="N279" s="165"/>
      <c r="O279" s="164">
        <f t="shared" si="11"/>
        <v>74400</v>
      </c>
      <c r="P279" s="166"/>
      <c r="Q279" s="166"/>
      <c r="R279" s="166"/>
      <c r="S279" s="166"/>
      <c r="T279" s="166"/>
      <c r="U279" s="13"/>
      <c r="V279" s="13"/>
      <c r="W279" s="8" t="s">
        <v>2173</v>
      </c>
      <c r="X279" s="8"/>
      <c r="Y279" s="2"/>
      <c r="Z279" s="2"/>
      <c r="AA279" s="14"/>
      <c r="AB279" s="2"/>
    </row>
    <row r="280" spans="1:28" ht="30" customHeight="1">
      <c r="A280" s="8"/>
      <c r="B280" s="157" t="str">
        <f>'2층전시실산출 '!B335</f>
        <v>그래픽패널</v>
      </c>
      <c r="C280" s="157" t="str">
        <f>'2층전시실산출 '!C335</f>
        <v>1000×1550</v>
      </c>
      <c r="D280" s="163" t="str">
        <f>'2층전시실산출 '!D335</f>
        <v>EA</v>
      </c>
      <c r="E280" s="164"/>
      <c r="F280" s="165"/>
      <c r="G280" s="164"/>
      <c r="H280" s="165"/>
      <c r="I280" s="164"/>
      <c r="J280" s="165"/>
      <c r="K280" s="164">
        <v>96100</v>
      </c>
      <c r="L280" s="165"/>
      <c r="M280" s="164">
        <v>110000</v>
      </c>
      <c r="N280" s="165"/>
      <c r="O280" s="164">
        <f t="shared" ref="O280:O286" si="12">SMALL(E280:M280,COUNTIF(E280:M280,0)+1)</f>
        <v>96100</v>
      </c>
      <c r="P280" s="166"/>
      <c r="Q280" s="166"/>
      <c r="R280" s="166"/>
      <c r="S280" s="166"/>
      <c r="T280" s="166"/>
      <c r="U280" s="13"/>
      <c r="V280" s="13"/>
      <c r="W280" s="8" t="s">
        <v>2175</v>
      </c>
      <c r="X280" s="8"/>
      <c r="Y280" s="2"/>
      <c r="Z280" s="2"/>
      <c r="AA280" s="14"/>
      <c r="AB280" s="2"/>
    </row>
    <row r="281" spans="1:28" ht="30" customHeight="1">
      <c r="A281" s="8"/>
      <c r="B281" s="157" t="str">
        <f>'2층전시실산출 '!B336</f>
        <v>그래픽패널</v>
      </c>
      <c r="C281" s="157" t="str">
        <f>'2층전시실산출 '!C336</f>
        <v>1050×1050</v>
      </c>
      <c r="D281" s="163" t="str">
        <f>'2층전시실산출 '!D336</f>
        <v>EA</v>
      </c>
      <c r="E281" s="164"/>
      <c r="F281" s="165"/>
      <c r="G281" s="164"/>
      <c r="H281" s="165"/>
      <c r="I281" s="164"/>
      <c r="J281" s="165"/>
      <c r="K281" s="164">
        <v>68400</v>
      </c>
      <c r="L281" s="165"/>
      <c r="M281" s="164">
        <v>72000</v>
      </c>
      <c r="N281" s="165"/>
      <c r="O281" s="164">
        <f t="shared" si="12"/>
        <v>68400</v>
      </c>
      <c r="P281" s="166"/>
      <c r="Q281" s="166"/>
      <c r="R281" s="166"/>
      <c r="S281" s="166"/>
      <c r="T281" s="166"/>
      <c r="U281" s="13"/>
      <c r="V281" s="13"/>
      <c r="W281" s="8" t="s">
        <v>2176</v>
      </c>
      <c r="X281" s="8"/>
      <c r="Y281" s="2"/>
      <c r="Z281" s="2"/>
      <c r="AA281" s="14"/>
      <c r="AB281" s="2"/>
    </row>
    <row r="282" spans="1:28" ht="30" customHeight="1">
      <c r="A282" s="8"/>
      <c r="B282" s="157" t="str">
        <f>'2층전시실산출 '!B337</f>
        <v>그래픽패널</v>
      </c>
      <c r="C282" s="157" t="str">
        <f>'2층전시실산출 '!C337</f>
        <v>1050×1700</v>
      </c>
      <c r="D282" s="163" t="str">
        <f>'2층전시실산출 '!D337</f>
        <v>EA</v>
      </c>
      <c r="E282" s="164"/>
      <c r="F282" s="165"/>
      <c r="G282" s="164"/>
      <c r="H282" s="165"/>
      <c r="I282" s="164"/>
      <c r="J282" s="165"/>
      <c r="K282" s="164">
        <v>110000</v>
      </c>
      <c r="L282" s="165"/>
      <c r="M282" s="164">
        <v>120000</v>
      </c>
      <c r="N282" s="165"/>
      <c r="O282" s="164">
        <f t="shared" si="12"/>
        <v>110000</v>
      </c>
      <c r="P282" s="166"/>
      <c r="Q282" s="166"/>
      <c r="R282" s="166"/>
      <c r="S282" s="166"/>
      <c r="T282" s="166"/>
      <c r="U282" s="13"/>
      <c r="V282" s="13"/>
      <c r="W282" s="8" t="s">
        <v>2178</v>
      </c>
      <c r="X282" s="8"/>
      <c r="Y282" s="2"/>
      <c r="Z282" s="2"/>
      <c r="AA282" s="14"/>
      <c r="AB282" s="2"/>
    </row>
    <row r="283" spans="1:28" ht="30" customHeight="1">
      <c r="A283" s="8"/>
      <c r="B283" s="157" t="str">
        <f>'2층전시실산출 '!B338</f>
        <v>그래픽패널</v>
      </c>
      <c r="C283" s="157" t="str">
        <f>'2층전시실산출 '!C338</f>
        <v>1200*600</v>
      </c>
      <c r="D283" s="163" t="str">
        <f>'2층전시실산출 '!D338</f>
        <v>EA</v>
      </c>
      <c r="E283" s="164"/>
      <c r="F283" s="165"/>
      <c r="G283" s="164"/>
      <c r="H283" s="165"/>
      <c r="I283" s="164"/>
      <c r="J283" s="165"/>
      <c r="K283" s="164">
        <v>44600</v>
      </c>
      <c r="L283" s="165"/>
      <c r="M283" s="164">
        <v>65200</v>
      </c>
      <c r="N283" s="165"/>
      <c r="O283" s="164">
        <f t="shared" si="12"/>
        <v>44600</v>
      </c>
      <c r="P283" s="166"/>
      <c r="Q283" s="166"/>
      <c r="R283" s="166"/>
      <c r="S283" s="166"/>
      <c r="T283" s="166"/>
      <c r="U283" s="13"/>
      <c r="V283" s="13"/>
      <c r="W283" s="8" t="s">
        <v>2179</v>
      </c>
      <c r="X283" s="8"/>
      <c r="Y283" s="2"/>
      <c r="Z283" s="2"/>
      <c r="AA283" s="14"/>
      <c r="AB283" s="2"/>
    </row>
    <row r="284" spans="1:28" ht="30" customHeight="1">
      <c r="A284" s="8"/>
      <c r="B284" s="157" t="str">
        <f>'2층전시실산출 '!B339</f>
        <v>그래픽패널</v>
      </c>
      <c r="C284" s="157" t="str">
        <f>'2층전시실산출 '!C339</f>
        <v>1300×900</v>
      </c>
      <c r="D284" s="163" t="str">
        <f>'2층전시실산출 '!D339</f>
        <v>EA</v>
      </c>
      <c r="E284" s="164"/>
      <c r="F284" s="165"/>
      <c r="G284" s="164"/>
      <c r="H284" s="165"/>
      <c r="I284" s="164"/>
      <c r="J284" s="165"/>
      <c r="K284" s="164">
        <v>72500</v>
      </c>
      <c r="L284" s="165"/>
      <c r="M284" s="164">
        <v>82900</v>
      </c>
      <c r="N284" s="165"/>
      <c r="O284" s="164">
        <f t="shared" si="12"/>
        <v>72500</v>
      </c>
      <c r="P284" s="166"/>
      <c r="Q284" s="166"/>
      <c r="R284" s="166"/>
      <c r="S284" s="166"/>
      <c r="T284" s="166"/>
      <c r="U284" s="13"/>
      <c r="V284" s="13"/>
      <c r="W284" s="8" t="s">
        <v>2180</v>
      </c>
      <c r="X284" s="8"/>
      <c r="Y284" s="2"/>
      <c r="Z284" s="2"/>
      <c r="AA284" s="14"/>
      <c r="AB284" s="2"/>
    </row>
    <row r="285" spans="1:28" ht="30" customHeight="1">
      <c r="A285" s="8"/>
      <c r="B285" s="157" t="str">
        <f>'2층전시실산출 '!B340</f>
        <v>그래픽패널</v>
      </c>
      <c r="C285" s="157" t="str">
        <f>'2층전시실산출 '!C340</f>
        <v>1500×600</v>
      </c>
      <c r="D285" s="163" t="str">
        <f>'2층전시실산출 '!D340</f>
        <v>EA</v>
      </c>
      <c r="E285" s="164"/>
      <c r="F285" s="165"/>
      <c r="G285" s="164"/>
      <c r="H285" s="165"/>
      <c r="I285" s="164"/>
      <c r="J285" s="165"/>
      <c r="K285" s="164">
        <v>55799.999999999993</v>
      </c>
      <c r="L285" s="165"/>
      <c r="M285" s="164">
        <v>65900</v>
      </c>
      <c r="N285" s="165"/>
      <c r="O285" s="164">
        <f t="shared" si="12"/>
        <v>55799.999999999993</v>
      </c>
      <c r="P285" s="166"/>
      <c r="Q285" s="166"/>
      <c r="R285" s="166"/>
      <c r="S285" s="166"/>
      <c r="T285" s="166"/>
      <c r="U285" s="13"/>
      <c r="V285" s="13"/>
      <c r="W285" s="8" t="s">
        <v>2182</v>
      </c>
      <c r="X285" s="8"/>
      <c r="Y285" s="2"/>
      <c r="Z285" s="2"/>
      <c r="AA285" s="14"/>
      <c r="AB285" s="2"/>
    </row>
    <row r="286" spans="1:28" ht="30" customHeight="1">
      <c r="A286" s="8"/>
      <c r="B286" s="157" t="str">
        <f>'2층전시실산출 '!B341</f>
        <v>그래픽패널</v>
      </c>
      <c r="C286" s="157" t="str">
        <f>'2층전시실산출 '!C341</f>
        <v>2400×600</v>
      </c>
      <c r="D286" s="163" t="str">
        <f>'2층전시실산출 '!D341</f>
        <v>EA</v>
      </c>
      <c r="E286" s="164"/>
      <c r="F286" s="165"/>
      <c r="G286" s="164"/>
      <c r="H286" s="165"/>
      <c r="I286" s="164"/>
      <c r="J286" s="165"/>
      <c r="K286" s="164">
        <v>89300</v>
      </c>
      <c r="L286" s="165"/>
      <c r="M286" s="164">
        <v>95000</v>
      </c>
      <c r="N286" s="165"/>
      <c r="O286" s="164">
        <f t="shared" si="12"/>
        <v>89300</v>
      </c>
      <c r="P286" s="166"/>
      <c r="Q286" s="166"/>
      <c r="R286" s="166"/>
      <c r="S286" s="166"/>
      <c r="T286" s="166"/>
      <c r="U286" s="13"/>
      <c r="V286" s="13"/>
      <c r="W286" s="8" t="s">
        <v>2183</v>
      </c>
      <c r="X286" s="8"/>
      <c r="Y286" s="2"/>
      <c r="Z286" s="2"/>
      <c r="AA286" s="14"/>
      <c r="AB286" s="2"/>
    </row>
    <row r="287" spans="1:28" ht="30" customHeight="1">
      <c r="A287" s="8" t="s">
        <v>820</v>
      </c>
      <c r="B287" s="157" t="s">
        <v>818</v>
      </c>
      <c r="C287" s="157" t="s">
        <v>819</v>
      </c>
      <c r="D287" s="163" t="s">
        <v>321</v>
      </c>
      <c r="E287" s="164">
        <v>0</v>
      </c>
      <c r="F287" s="165" t="s">
        <v>51</v>
      </c>
      <c r="G287" s="164">
        <v>0</v>
      </c>
      <c r="H287" s="165" t="s">
        <v>51</v>
      </c>
      <c r="I287" s="164">
        <v>0</v>
      </c>
      <c r="J287" s="165" t="s">
        <v>51</v>
      </c>
      <c r="K287" s="164">
        <v>120000</v>
      </c>
      <c r="L287" s="165" t="s">
        <v>51</v>
      </c>
      <c r="M287" s="164">
        <v>145800</v>
      </c>
      <c r="N287" s="165"/>
      <c r="O287" s="164">
        <f t="shared" ref="O287:O289" si="13">SMALL(E287:M287,COUNTIF(E287:M287,0)+1)</f>
        <v>120000</v>
      </c>
      <c r="P287" s="166">
        <v>0</v>
      </c>
      <c r="Q287" s="166">
        <v>0</v>
      </c>
      <c r="R287" s="166">
        <v>0</v>
      </c>
      <c r="S287" s="166">
        <v>0</v>
      </c>
      <c r="T287" s="166">
        <v>0</v>
      </c>
      <c r="U287" s="13">
        <v>0</v>
      </c>
      <c r="V287" s="13">
        <v>0</v>
      </c>
      <c r="W287" s="8" t="s">
        <v>2184</v>
      </c>
      <c r="X287" s="8" t="s">
        <v>51</v>
      </c>
      <c r="Y287" s="2" t="s">
        <v>51</v>
      </c>
      <c r="Z287" s="2" t="s">
        <v>51</v>
      </c>
      <c r="AA287" s="14"/>
      <c r="AB287" s="2" t="s">
        <v>51</v>
      </c>
    </row>
    <row r="288" spans="1:28" ht="30" customHeight="1">
      <c r="A288" s="8" t="s">
        <v>823</v>
      </c>
      <c r="B288" s="157" t="s">
        <v>812</v>
      </c>
      <c r="C288" s="157" t="s">
        <v>822</v>
      </c>
      <c r="D288" s="163" t="s">
        <v>321</v>
      </c>
      <c r="E288" s="164">
        <v>0</v>
      </c>
      <c r="F288" s="165" t="s">
        <v>51</v>
      </c>
      <c r="G288" s="164">
        <v>0</v>
      </c>
      <c r="H288" s="165" t="s">
        <v>51</v>
      </c>
      <c r="I288" s="164">
        <v>0</v>
      </c>
      <c r="J288" s="165" t="s">
        <v>51</v>
      </c>
      <c r="K288" s="164">
        <v>6500000</v>
      </c>
      <c r="L288" s="165" t="s">
        <v>51</v>
      </c>
      <c r="M288" s="164">
        <v>6650000</v>
      </c>
      <c r="N288" s="165"/>
      <c r="O288" s="164">
        <f t="shared" si="13"/>
        <v>6500000</v>
      </c>
      <c r="P288" s="166">
        <v>0</v>
      </c>
      <c r="Q288" s="166">
        <v>0</v>
      </c>
      <c r="R288" s="166">
        <v>0</v>
      </c>
      <c r="S288" s="166">
        <v>0</v>
      </c>
      <c r="T288" s="166">
        <v>0</v>
      </c>
      <c r="U288" s="13">
        <v>0</v>
      </c>
      <c r="V288" s="13">
        <v>0</v>
      </c>
      <c r="W288" s="8" t="s">
        <v>6548</v>
      </c>
      <c r="X288" s="8" t="s">
        <v>51</v>
      </c>
      <c r="Y288" s="2" t="s">
        <v>51</v>
      </c>
      <c r="Z288" s="2" t="s">
        <v>51</v>
      </c>
      <c r="AA288" s="14"/>
      <c r="AB288" s="2" t="s">
        <v>51</v>
      </c>
    </row>
    <row r="289" spans="1:28" ht="30" customHeight="1">
      <c r="A289" s="8"/>
      <c r="B289" s="157" t="s">
        <v>4845</v>
      </c>
      <c r="C289" s="157" t="str">
        <f>'2층전시실산출 '!C350</f>
        <v>1500*400*450</v>
      </c>
      <c r="D289" s="163" t="str">
        <f>'2층전시실산출 '!D350</f>
        <v>EA</v>
      </c>
      <c r="E289" s="164"/>
      <c r="F289" s="165"/>
      <c r="G289" s="164"/>
      <c r="H289" s="165"/>
      <c r="I289" s="164"/>
      <c r="J289" s="165"/>
      <c r="K289" s="164">
        <v>650000</v>
      </c>
      <c r="L289" s="165"/>
      <c r="M289" s="164">
        <v>720000</v>
      </c>
      <c r="N289" s="165"/>
      <c r="O289" s="164">
        <f t="shared" si="13"/>
        <v>650000</v>
      </c>
      <c r="P289" s="166"/>
      <c r="Q289" s="166"/>
      <c r="R289" s="166"/>
      <c r="S289" s="166"/>
      <c r="T289" s="166"/>
      <c r="U289" s="13"/>
      <c r="V289" s="13"/>
      <c r="W289" s="8" t="s">
        <v>6549</v>
      </c>
      <c r="X289" s="8"/>
      <c r="Y289" s="2"/>
      <c r="Z289" s="2"/>
      <c r="AA289" s="14"/>
      <c r="AB289" s="2"/>
    </row>
    <row r="290" spans="1:28" ht="30" customHeight="1">
      <c r="A290" s="8" t="s">
        <v>847</v>
      </c>
      <c r="B290" s="157" t="s">
        <v>3201</v>
      </c>
      <c r="C290" s="157" t="s">
        <v>3202</v>
      </c>
      <c r="D290" s="163" t="s">
        <v>2568</v>
      </c>
      <c r="E290" s="164">
        <v>0</v>
      </c>
      <c r="F290" s="165" t="s">
        <v>51</v>
      </c>
      <c r="G290" s="164">
        <v>0</v>
      </c>
      <c r="H290" s="165" t="s">
        <v>51</v>
      </c>
      <c r="I290" s="164">
        <v>0</v>
      </c>
      <c r="J290" s="165" t="s">
        <v>51</v>
      </c>
      <c r="K290" s="164">
        <v>10000</v>
      </c>
      <c r="L290" s="165" t="s">
        <v>51</v>
      </c>
      <c r="M290" s="164">
        <v>12000</v>
      </c>
      <c r="N290" s="165"/>
      <c r="O290" s="164">
        <f t="shared" ref="O290" si="14">SMALL(E290:M290,COUNTIF(E290:M290,0)+1)</f>
        <v>10000</v>
      </c>
      <c r="P290" s="166">
        <v>0</v>
      </c>
      <c r="Q290" s="166">
        <v>0</v>
      </c>
      <c r="R290" s="166">
        <v>0</v>
      </c>
      <c r="S290" s="166">
        <v>0</v>
      </c>
      <c r="T290" s="166">
        <v>0</v>
      </c>
      <c r="U290" s="13">
        <v>0</v>
      </c>
      <c r="V290" s="13">
        <v>0</v>
      </c>
      <c r="W290" s="8" t="s">
        <v>6550</v>
      </c>
      <c r="X290" s="8" t="s">
        <v>51</v>
      </c>
      <c r="Y290" s="2" t="s">
        <v>51</v>
      </c>
      <c r="Z290" s="2" t="s">
        <v>51</v>
      </c>
      <c r="AA290" s="14"/>
      <c r="AB290" s="2" t="s">
        <v>51</v>
      </c>
    </row>
    <row r="291" spans="1:28" ht="30" customHeight="1">
      <c r="A291" s="8" t="s">
        <v>847</v>
      </c>
      <c r="B291" s="157" t="s">
        <v>3201</v>
      </c>
      <c r="C291" s="157" t="s">
        <v>3203</v>
      </c>
      <c r="D291" s="163" t="s">
        <v>2568</v>
      </c>
      <c r="E291" s="164">
        <v>0</v>
      </c>
      <c r="F291" s="165" t="s">
        <v>51</v>
      </c>
      <c r="G291" s="164">
        <v>0</v>
      </c>
      <c r="H291" s="165" t="s">
        <v>51</v>
      </c>
      <c r="I291" s="164">
        <v>0</v>
      </c>
      <c r="J291" s="165" t="s">
        <v>51</v>
      </c>
      <c r="K291" s="164">
        <v>11000</v>
      </c>
      <c r="L291" s="165" t="s">
        <v>51</v>
      </c>
      <c r="M291" s="164">
        <v>12500</v>
      </c>
      <c r="N291" s="165"/>
      <c r="O291" s="164">
        <f t="shared" ref="O291:O360" si="15">SMALL(E291:M291,COUNTIF(E291:M291,0)+1)</f>
        <v>11000</v>
      </c>
      <c r="P291" s="166">
        <v>0</v>
      </c>
      <c r="Q291" s="166">
        <v>0</v>
      </c>
      <c r="R291" s="166">
        <v>0</v>
      </c>
      <c r="S291" s="166">
        <v>0</v>
      </c>
      <c r="T291" s="166">
        <v>0</v>
      </c>
      <c r="U291" s="13">
        <v>0</v>
      </c>
      <c r="V291" s="13">
        <v>0</v>
      </c>
      <c r="W291" s="8" t="s">
        <v>6551</v>
      </c>
      <c r="X291" s="8" t="s">
        <v>51</v>
      </c>
      <c r="Y291" s="2" t="s">
        <v>51</v>
      </c>
      <c r="Z291" s="2" t="s">
        <v>51</v>
      </c>
      <c r="AA291" s="14"/>
      <c r="AB291" s="2" t="s">
        <v>51</v>
      </c>
    </row>
    <row r="292" spans="1:28" ht="30" customHeight="1">
      <c r="A292" s="8" t="s">
        <v>847</v>
      </c>
      <c r="B292" s="157" t="s">
        <v>3201</v>
      </c>
      <c r="C292" s="157" t="s">
        <v>3204</v>
      </c>
      <c r="D292" s="163" t="s">
        <v>2568</v>
      </c>
      <c r="E292" s="164">
        <v>0</v>
      </c>
      <c r="F292" s="165" t="s">
        <v>51</v>
      </c>
      <c r="G292" s="164">
        <v>0</v>
      </c>
      <c r="H292" s="165" t="s">
        <v>51</v>
      </c>
      <c r="I292" s="164">
        <v>0</v>
      </c>
      <c r="J292" s="165" t="s">
        <v>51</v>
      </c>
      <c r="K292" s="164">
        <v>12000</v>
      </c>
      <c r="L292" s="165" t="s">
        <v>51</v>
      </c>
      <c r="M292" s="164">
        <v>14000</v>
      </c>
      <c r="N292" s="165"/>
      <c r="O292" s="164">
        <f t="shared" si="15"/>
        <v>12000</v>
      </c>
      <c r="P292" s="166">
        <v>0</v>
      </c>
      <c r="Q292" s="166">
        <v>0</v>
      </c>
      <c r="R292" s="166">
        <v>0</v>
      </c>
      <c r="S292" s="166">
        <v>0</v>
      </c>
      <c r="T292" s="166">
        <v>0</v>
      </c>
      <c r="U292" s="13">
        <v>0</v>
      </c>
      <c r="V292" s="13">
        <v>0</v>
      </c>
      <c r="W292" s="8" t="s">
        <v>6552</v>
      </c>
      <c r="X292" s="8" t="s">
        <v>51</v>
      </c>
      <c r="Y292" s="2" t="s">
        <v>51</v>
      </c>
      <c r="Z292" s="2" t="s">
        <v>51</v>
      </c>
      <c r="AA292" s="14"/>
      <c r="AB292" s="2" t="s">
        <v>51</v>
      </c>
    </row>
    <row r="293" spans="1:28" ht="30" customHeight="1">
      <c r="A293" s="8" t="s">
        <v>847</v>
      </c>
      <c r="B293" s="157" t="s">
        <v>3201</v>
      </c>
      <c r="C293" s="157" t="s">
        <v>3205</v>
      </c>
      <c r="D293" s="163" t="s">
        <v>2568</v>
      </c>
      <c r="E293" s="164">
        <v>0</v>
      </c>
      <c r="F293" s="165" t="s">
        <v>51</v>
      </c>
      <c r="G293" s="164">
        <v>0</v>
      </c>
      <c r="H293" s="165" t="s">
        <v>51</v>
      </c>
      <c r="I293" s="164">
        <v>0</v>
      </c>
      <c r="J293" s="165" t="s">
        <v>51</v>
      </c>
      <c r="K293" s="164">
        <v>13000</v>
      </c>
      <c r="L293" s="165" t="s">
        <v>51</v>
      </c>
      <c r="M293" s="164">
        <v>15000</v>
      </c>
      <c r="N293" s="165"/>
      <c r="O293" s="164">
        <f t="shared" si="15"/>
        <v>13000</v>
      </c>
      <c r="P293" s="166">
        <v>0</v>
      </c>
      <c r="Q293" s="166">
        <v>0</v>
      </c>
      <c r="R293" s="166">
        <v>0</v>
      </c>
      <c r="S293" s="166">
        <v>0</v>
      </c>
      <c r="T293" s="166">
        <v>0</v>
      </c>
      <c r="U293" s="13">
        <v>0</v>
      </c>
      <c r="V293" s="13">
        <v>0</v>
      </c>
      <c r="W293" s="8" t="s">
        <v>6553</v>
      </c>
      <c r="X293" s="8" t="s">
        <v>51</v>
      </c>
      <c r="Y293" s="2" t="s">
        <v>51</v>
      </c>
      <c r="Z293" s="2" t="s">
        <v>51</v>
      </c>
      <c r="AA293" s="14"/>
      <c r="AB293" s="2" t="s">
        <v>51</v>
      </c>
    </row>
    <row r="294" spans="1:28" ht="30" customHeight="1">
      <c r="A294" s="8" t="s">
        <v>847</v>
      </c>
      <c r="B294" s="157" t="s">
        <v>4846</v>
      </c>
      <c r="C294" s="157" t="s">
        <v>4847</v>
      </c>
      <c r="D294" s="163" t="s">
        <v>4848</v>
      </c>
      <c r="E294" s="164">
        <v>0</v>
      </c>
      <c r="F294" s="165" t="s">
        <v>51</v>
      </c>
      <c r="G294" s="164">
        <v>0</v>
      </c>
      <c r="H294" s="165" t="s">
        <v>51</v>
      </c>
      <c r="I294" s="164">
        <v>0</v>
      </c>
      <c r="J294" s="165" t="s">
        <v>51</v>
      </c>
      <c r="K294" s="164">
        <v>15000</v>
      </c>
      <c r="L294" s="165" t="s">
        <v>51</v>
      </c>
      <c r="M294" s="164">
        <v>17000</v>
      </c>
      <c r="N294" s="165"/>
      <c r="O294" s="164">
        <f t="shared" si="15"/>
        <v>15000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3">
        <v>0</v>
      </c>
      <c r="V294" s="13">
        <v>0</v>
      </c>
      <c r="W294" s="8" t="s">
        <v>6554</v>
      </c>
      <c r="X294" s="8" t="s">
        <v>51</v>
      </c>
      <c r="Y294" s="2" t="s">
        <v>51</v>
      </c>
      <c r="Z294" s="2" t="s">
        <v>51</v>
      </c>
      <c r="AA294" s="14"/>
      <c r="AB294" s="2" t="s">
        <v>51</v>
      </c>
    </row>
    <row r="295" spans="1:28" ht="30" customHeight="1">
      <c r="A295" s="8" t="s">
        <v>847</v>
      </c>
      <c r="B295" s="157" t="s">
        <v>4846</v>
      </c>
      <c r="C295" s="157" t="s">
        <v>4849</v>
      </c>
      <c r="D295" s="163" t="s">
        <v>4848</v>
      </c>
      <c r="E295" s="164">
        <v>0</v>
      </c>
      <c r="F295" s="165" t="s">
        <v>51</v>
      </c>
      <c r="G295" s="164">
        <v>0</v>
      </c>
      <c r="H295" s="165" t="s">
        <v>51</v>
      </c>
      <c r="I295" s="164">
        <v>0</v>
      </c>
      <c r="J295" s="165" t="s">
        <v>51</v>
      </c>
      <c r="K295" s="164">
        <v>18000</v>
      </c>
      <c r="L295" s="165" t="s">
        <v>51</v>
      </c>
      <c r="M295" s="164">
        <v>20000</v>
      </c>
      <c r="N295" s="165"/>
      <c r="O295" s="164">
        <f t="shared" si="15"/>
        <v>18000</v>
      </c>
      <c r="P295" s="166">
        <v>0</v>
      </c>
      <c r="Q295" s="166">
        <v>0</v>
      </c>
      <c r="R295" s="166">
        <v>0</v>
      </c>
      <c r="S295" s="166">
        <v>0</v>
      </c>
      <c r="T295" s="166">
        <v>0</v>
      </c>
      <c r="U295" s="13">
        <v>0</v>
      </c>
      <c r="V295" s="13">
        <v>0</v>
      </c>
      <c r="W295" s="8" t="s">
        <v>2186</v>
      </c>
      <c r="X295" s="8" t="s">
        <v>51</v>
      </c>
      <c r="Y295" s="2" t="s">
        <v>51</v>
      </c>
      <c r="Z295" s="2" t="s">
        <v>51</v>
      </c>
      <c r="AA295" s="14"/>
      <c r="AB295" s="2" t="s">
        <v>51</v>
      </c>
    </row>
    <row r="296" spans="1:28" ht="30" customHeight="1">
      <c r="A296" s="8" t="s">
        <v>847</v>
      </c>
      <c r="B296" s="157" t="s">
        <v>4846</v>
      </c>
      <c r="C296" s="157" t="s">
        <v>4850</v>
      </c>
      <c r="D296" s="163" t="s">
        <v>4848</v>
      </c>
      <c r="E296" s="164">
        <v>0</v>
      </c>
      <c r="F296" s="165" t="s">
        <v>51</v>
      </c>
      <c r="G296" s="164">
        <v>0</v>
      </c>
      <c r="H296" s="165" t="s">
        <v>51</v>
      </c>
      <c r="I296" s="164">
        <v>0</v>
      </c>
      <c r="J296" s="165" t="s">
        <v>51</v>
      </c>
      <c r="K296" s="164">
        <v>21000</v>
      </c>
      <c r="L296" s="165" t="s">
        <v>51</v>
      </c>
      <c r="M296" s="164">
        <v>26000</v>
      </c>
      <c r="N296" s="165"/>
      <c r="O296" s="164">
        <f t="shared" si="15"/>
        <v>21000</v>
      </c>
      <c r="P296" s="166">
        <v>0</v>
      </c>
      <c r="Q296" s="166">
        <v>0</v>
      </c>
      <c r="R296" s="166">
        <v>0</v>
      </c>
      <c r="S296" s="166">
        <v>0</v>
      </c>
      <c r="T296" s="166">
        <v>0</v>
      </c>
      <c r="U296" s="13">
        <v>0</v>
      </c>
      <c r="V296" s="13">
        <v>0</v>
      </c>
      <c r="W296" s="8" t="s">
        <v>2187</v>
      </c>
      <c r="X296" s="8" t="s">
        <v>51</v>
      </c>
      <c r="Y296" s="2" t="s">
        <v>51</v>
      </c>
      <c r="Z296" s="2" t="s">
        <v>51</v>
      </c>
      <c r="AA296" s="14"/>
      <c r="AB296" s="2" t="s">
        <v>51</v>
      </c>
    </row>
    <row r="297" spans="1:28" ht="30" customHeight="1">
      <c r="A297" s="8" t="s">
        <v>847</v>
      </c>
      <c r="B297" s="157" t="s">
        <v>4851</v>
      </c>
      <c r="C297" s="157" t="s">
        <v>4852</v>
      </c>
      <c r="D297" s="163" t="s">
        <v>4848</v>
      </c>
      <c r="E297" s="164">
        <v>0</v>
      </c>
      <c r="F297" s="165" t="s">
        <v>51</v>
      </c>
      <c r="G297" s="164">
        <v>0</v>
      </c>
      <c r="H297" s="165" t="s">
        <v>51</v>
      </c>
      <c r="I297" s="164">
        <v>0</v>
      </c>
      <c r="J297" s="165" t="s">
        <v>51</v>
      </c>
      <c r="K297" s="164">
        <v>12000</v>
      </c>
      <c r="L297" s="165" t="s">
        <v>51</v>
      </c>
      <c r="M297" s="164">
        <v>14000</v>
      </c>
      <c r="N297" s="165"/>
      <c r="O297" s="164">
        <f t="shared" si="15"/>
        <v>12000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3">
        <v>0</v>
      </c>
      <c r="V297" s="13">
        <v>0</v>
      </c>
      <c r="W297" s="8" t="s">
        <v>2190</v>
      </c>
      <c r="X297" s="8" t="s">
        <v>51</v>
      </c>
      <c r="Y297" s="2" t="s">
        <v>51</v>
      </c>
      <c r="Z297" s="2" t="s">
        <v>51</v>
      </c>
      <c r="AA297" s="14"/>
      <c r="AB297" s="2" t="s">
        <v>51</v>
      </c>
    </row>
    <row r="298" spans="1:28" ht="30" customHeight="1">
      <c r="A298" s="8" t="s">
        <v>847</v>
      </c>
      <c r="B298" s="157" t="s">
        <v>4851</v>
      </c>
      <c r="C298" s="157" t="s">
        <v>4853</v>
      </c>
      <c r="D298" s="163" t="s">
        <v>4848</v>
      </c>
      <c r="E298" s="164">
        <v>0</v>
      </c>
      <c r="F298" s="165" t="s">
        <v>51</v>
      </c>
      <c r="G298" s="164">
        <v>0</v>
      </c>
      <c r="H298" s="165" t="s">
        <v>51</v>
      </c>
      <c r="I298" s="164">
        <v>0</v>
      </c>
      <c r="J298" s="165" t="s">
        <v>51</v>
      </c>
      <c r="K298" s="164">
        <v>900000</v>
      </c>
      <c r="L298" s="165" t="s">
        <v>51</v>
      </c>
      <c r="M298" s="164">
        <v>956000</v>
      </c>
      <c r="N298" s="165"/>
      <c r="O298" s="164">
        <f t="shared" si="15"/>
        <v>900000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3">
        <v>0</v>
      </c>
      <c r="V298" s="13">
        <v>0</v>
      </c>
      <c r="W298" s="8" t="s">
        <v>2192</v>
      </c>
      <c r="X298" s="8" t="s">
        <v>51</v>
      </c>
      <c r="Y298" s="2" t="s">
        <v>51</v>
      </c>
      <c r="Z298" s="2" t="s">
        <v>51</v>
      </c>
      <c r="AA298" s="14"/>
      <c r="AB298" s="2" t="s">
        <v>51</v>
      </c>
    </row>
    <row r="299" spans="1:28" ht="30" customHeight="1">
      <c r="A299" s="8" t="s">
        <v>847</v>
      </c>
      <c r="B299" s="157" t="s">
        <v>4851</v>
      </c>
      <c r="C299" s="157" t="s">
        <v>4854</v>
      </c>
      <c r="D299" s="163" t="s">
        <v>4848</v>
      </c>
      <c r="E299" s="164">
        <v>0</v>
      </c>
      <c r="F299" s="165" t="s">
        <v>51</v>
      </c>
      <c r="G299" s="164">
        <v>0</v>
      </c>
      <c r="H299" s="165" t="s">
        <v>51</v>
      </c>
      <c r="I299" s="164">
        <v>0</v>
      </c>
      <c r="J299" s="165" t="s">
        <v>51</v>
      </c>
      <c r="K299" s="164">
        <v>750000</v>
      </c>
      <c r="L299" s="165" t="s">
        <v>51</v>
      </c>
      <c r="M299" s="164">
        <v>785000</v>
      </c>
      <c r="N299" s="165"/>
      <c r="O299" s="164">
        <f t="shared" si="15"/>
        <v>750000</v>
      </c>
      <c r="P299" s="166">
        <v>0</v>
      </c>
      <c r="Q299" s="166">
        <v>0</v>
      </c>
      <c r="R299" s="166">
        <v>0</v>
      </c>
      <c r="S299" s="166">
        <v>0</v>
      </c>
      <c r="T299" s="166">
        <v>0</v>
      </c>
      <c r="U299" s="13">
        <v>0</v>
      </c>
      <c r="V299" s="13">
        <v>0</v>
      </c>
      <c r="W299" s="8" t="s">
        <v>2193</v>
      </c>
      <c r="X299" s="8" t="s">
        <v>51</v>
      </c>
      <c r="Y299" s="2" t="s">
        <v>51</v>
      </c>
      <c r="Z299" s="2" t="s">
        <v>51</v>
      </c>
      <c r="AA299" s="14"/>
      <c r="AB299" s="2" t="s">
        <v>51</v>
      </c>
    </row>
    <row r="300" spans="1:28" ht="30" customHeight="1">
      <c r="A300" s="8" t="s">
        <v>847</v>
      </c>
      <c r="B300" s="157" t="s">
        <v>4851</v>
      </c>
      <c r="C300" s="157" t="s">
        <v>4855</v>
      </c>
      <c r="D300" s="163" t="s">
        <v>4848</v>
      </c>
      <c r="E300" s="164">
        <v>0</v>
      </c>
      <c r="F300" s="165" t="s">
        <v>51</v>
      </c>
      <c r="G300" s="164">
        <v>0</v>
      </c>
      <c r="H300" s="165" t="s">
        <v>51</v>
      </c>
      <c r="I300" s="164">
        <v>0</v>
      </c>
      <c r="J300" s="165" t="s">
        <v>51</v>
      </c>
      <c r="K300" s="164">
        <v>520000</v>
      </c>
      <c r="L300" s="165" t="s">
        <v>51</v>
      </c>
      <c r="M300" s="164">
        <v>568000</v>
      </c>
      <c r="N300" s="165"/>
      <c r="O300" s="164">
        <f t="shared" si="15"/>
        <v>520000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3">
        <v>0</v>
      </c>
      <c r="V300" s="13">
        <v>0</v>
      </c>
      <c r="W300" s="8" t="s">
        <v>2194</v>
      </c>
      <c r="X300" s="8" t="s">
        <v>51</v>
      </c>
      <c r="Y300" s="2" t="s">
        <v>51</v>
      </c>
      <c r="Z300" s="2" t="s">
        <v>51</v>
      </c>
      <c r="AA300" s="14"/>
      <c r="AB300" s="2" t="s">
        <v>51</v>
      </c>
    </row>
    <row r="301" spans="1:28" ht="30" customHeight="1">
      <c r="A301" s="8" t="s">
        <v>847</v>
      </c>
      <c r="B301" s="157" t="s">
        <v>4851</v>
      </c>
      <c r="C301" s="157" t="s">
        <v>4856</v>
      </c>
      <c r="D301" s="163" t="s">
        <v>4848</v>
      </c>
      <c r="E301" s="164">
        <v>0</v>
      </c>
      <c r="F301" s="165" t="s">
        <v>51</v>
      </c>
      <c r="G301" s="164">
        <v>0</v>
      </c>
      <c r="H301" s="165" t="s">
        <v>51</v>
      </c>
      <c r="I301" s="164">
        <v>0</v>
      </c>
      <c r="J301" s="165" t="s">
        <v>51</v>
      </c>
      <c r="K301" s="164">
        <v>180000</v>
      </c>
      <c r="L301" s="165" t="s">
        <v>51</v>
      </c>
      <c r="M301" s="164">
        <v>220000</v>
      </c>
      <c r="N301" s="165"/>
      <c r="O301" s="164">
        <f t="shared" si="15"/>
        <v>180000</v>
      </c>
      <c r="P301" s="166">
        <v>0</v>
      </c>
      <c r="Q301" s="166">
        <v>0</v>
      </c>
      <c r="R301" s="166">
        <v>0</v>
      </c>
      <c r="S301" s="166">
        <v>0</v>
      </c>
      <c r="T301" s="166">
        <v>0</v>
      </c>
      <c r="U301" s="13">
        <v>0</v>
      </c>
      <c r="V301" s="13">
        <v>0</v>
      </c>
      <c r="W301" s="8" t="s">
        <v>2197</v>
      </c>
      <c r="X301" s="8" t="s">
        <v>51</v>
      </c>
      <c r="Y301" s="2" t="s">
        <v>51</v>
      </c>
      <c r="Z301" s="2" t="s">
        <v>51</v>
      </c>
      <c r="AA301" s="14"/>
      <c r="AB301" s="2" t="s">
        <v>51</v>
      </c>
    </row>
    <row r="302" spans="1:28" ht="30" customHeight="1">
      <c r="A302" s="8" t="s">
        <v>847</v>
      </c>
      <c r="B302" s="157" t="s">
        <v>4851</v>
      </c>
      <c r="C302" s="157" t="s">
        <v>4857</v>
      </c>
      <c r="D302" s="163" t="s">
        <v>4848</v>
      </c>
      <c r="E302" s="164">
        <v>0</v>
      </c>
      <c r="F302" s="165" t="s">
        <v>51</v>
      </c>
      <c r="G302" s="164">
        <v>0</v>
      </c>
      <c r="H302" s="165" t="s">
        <v>51</v>
      </c>
      <c r="I302" s="164">
        <v>0</v>
      </c>
      <c r="J302" s="165" t="s">
        <v>51</v>
      </c>
      <c r="K302" s="164">
        <v>320000</v>
      </c>
      <c r="L302" s="165" t="s">
        <v>51</v>
      </c>
      <c r="M302" s="164">
        <v>368000</v>
      </c>
      <c r="N302" s="165"/>
      <c r="O302" s="164">
        <f t="shared" ref="O302:O308" si="16">SMALL(E302:M302,COUNTIF(E302:M302,0)+1)</f>
        <v>320000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3">
        <v>0</v>
      </c>
      <c r="V302" s="13">
        <v>0</v>
      </c>
      <c r="W302" s="8" t="s">
        <v>2198</v>
      </c>
      <c r="X302" s="8" t="s">
        <v>51</v>
      </c>
      <c r="Y302" s="2" t="s">
        <v>51</v>
      </c>
      <c r="Z302" s="2" t="s">
        <v>51</v>
      </c>
      <c r="AA302" s="14"/>
      <c r="AB302" s="2" t="s">
        <v>51</v>
      </c>
    </row>
    <row r="303" spans="1:28" ht="30" customHeight="1">
      <c r="A303" s="8" t="s">
        <v>847</v>
      </c>
      <c r="B303" s="157" t="s">
        <v>4851</v>
      </c>
      <c r="C303" s="157" t="s">
        <v>4858</v>
      </c>
      <c r="D303" s="163" t="s">
        <v>4848</v>
      </c>
      <c r="E303" s="164">
        <v>0</v>
      </c>
      <c r="F303" s="165" t="s">
        <v>51</v>
      </c>
      <c r="G303" s="164">
        <v>0</v>
      </c>
      <c r="H303" s="165" t="s">
        <v>51</v>
      </c>
      <c r="I303" s="164">
        <v>0</v>
      </c>
      <c r="J303" s="165" t="s">
        <v>51</v>
      </c>
      <c r="K303" s="164">
        <v>720000</v>
      </c>
      <c r="L303" s="165" t="s">
        <v>51</v>
      </c>
      <c r="M303" s="164">
        <v>740000</v>
      </c>
      <c r="N303" s="165"/>
      <c r="O303" s="164">
        <f t="shared" si="16"/>
        <v>720000</v>
      </c>
      <c r="P303" s="166">
        <v>0</v>
      </c>
      <c r="Q303" s="166">
        <v>0</v>
      </c>
      <c r="R303" s="166">
        <v>0</v>
      </c>
      <c r="S303" s="166">
        <v>0</v>
      </c>
      <c r="T303" s="166">
        <v>0</v>
      </c>
      <c r="U303" s="13">
        <v>0</v>
      </c>
      <c r="V303" s="13">
        <v>0</v>
      </c>
      <c r="W303" s="8" t="s">
        <v>2199</v>
      </c>
      <c r="X303" s="8" t="s">
        <v>51</v>
      </c>
      <c r="Y303" s="2" t="s">
        <v>51</v>
      </c>
      <c r="Z303" s="2" t="s">
        <v>51</v>
      </c>
      <c r="AA303" s="14"/>
      <c r="AB303" s="2" t="s">
        <v>51</v>
      </c>
    </row>
    <row r="304" spans="1:28" ht="30" customHeight="1">
      <c r="A304" s="8" t="s">
        <v>847</v>
      </c>
      <c r="B304" s="157" t="s">
        <v>4851</v>
      </c>
      <c r="C304" s="157" t="s">
        <v>4859</v>
      </c>
      <c r="D304" s="163" t="s">
        <v>4848</v>
      </c>
      <c r="E304" s="164">
        <v>0</v>
      </c>
      <c r="F304" s="165" t="s">
        <v>51</v>
      </c>
      <c r="G304" s="164">
        <v>0</v>
      </c>
      <c r="H304" s="165" t="s">
        <v>51</v>
      </c>
      <c r="I304" s="164">
        <v>0</v>
      </c>
      <c r="J304" s="165" t="s">
        <v>51</v>
      </c>
      <c r="K304" s="164">
        <v>180000</v>
      </c>
      <c r="L304" s="165" t="s">
        <v>51</v>
      </c>
      <c r="M304" s="164">
        <v>220000</v>
      </c>
      <c r="N304" s="165"/>
      <c r="O304" s="164">
        <f t="shared" si="16"/>
        <v>180000</v>
      </c>
      <c r="P304" s="166">
        <v>0</v>
      </c>
      <c r="Q304" s="166">
        <v>0</v>
      </c>
      <c r="R304" s="166">
        <v>0</v>
      </c>
      <c r="S304" s="166">
        <v>0</v>
      </c>
      <c r="T304" s="166">
        <v>0</v>
      </c>
      <c r="U304" s="13">
        <v>0</v>
      </c>
      <c r="V304" s="13">
        <v>0</v>
      </c>
      <c r="W304" s="8" t="s">
        <v>2200</v>
      </c>
      <c r="X304" s="8" t="s">
        <v>51</v>
      </c>
      <c r="Y304" s="2" t="s">
        <v>51</v>
      </c>
      <c r="Z304" s="2" t="s">
        <v>51</v>
      </c>
      <c r="AA304" s="14"/>
      <c r="AB304" s="2" t="s">
        <v>51</v>
      </c>
    </row>
    <row r="305" spans="1:28" ht="30" customHeight="1">
      <c r="A305" s="8" t="s">
        <v>847</v>
      </c>
      <c r="B305" s="157" t="s">
        <v>4851</v>
      </c>
      <c r="C305" s="157" t="s">
        <v>4860</v>
      </c>
      <c r="D305" s="163" t="s">
        <v>4848</v>
      </c>
      <c r="E305" s="164">
        <v>0</v>
      </c>
      <c r="F305" s="165" t="s">
        <v>51</v>
      </c>
      <c r="G305" s="164">
        <v>0</v>
      </c>
      <c r="H305" s="165" t="s">
        <v>51</v>
      </c>
      <c r="I305" s="164">
        <v>0</v>
      </c>
      <c r="J305" s="165" t="s">
        <v>51</v>
      </c>
      <c r="K305" s="164">
        <v>650000</v>
      </c>
      <c r="L305" s="165" t="s">
        <v>51</v>
      </c>
      <c r="M305" s="164">
        <v>690000</v>
      </c>
      <c r="N305" s="165"/>
      <c r="O305" s="164">
        <f t="shared" si="16"/>
        <v>650000</v>
      </c>
      <c r="P305" s="166">
        <v>0</v>
      </c>
      <c r="Q305" s="166">
        <v>0</v>
      </c>
      <c r="R305" s="166">
        <v>0</v>
      </c>
      <c r="S305" s="166">
        <v>0</v>
      </c>
      <c r="T305" s="166">
        <v>0</v>
      </c>
      <c r="U305" s="13">
        <v>0</v>
      </c>
      <c r="V305" s="13">
        <v>0</v>
      </c>
      <c r="W305" s="8" t="s">
        <v>2201</v>
      </c>
      <c r="X305" s="8" t="s">
        <v>51</v>
      </c>
      <c r="Y305" s="2" t="s">
        <v>51</v>
      </c>
      <c r="Z305" s="2" t="s">
        <v>51</v>
      </c>
      <c r="AA305" s="14"/>
      <c r="AB305" s="2" t="s">
        <v>51</v>
      </c>
    </row>
    <row r="306" spans="1:28" ht="30" customHeight="1">
      <c r="A306" s="8" t="s">
        <v>847</v>
      </c>
      <c r="B306" s="157" t="s">
        <v>4851</v>
      </c>
      <c r="C306" s="157" t="s">
        <v>4861</v>
      </c>
      <c r="D306" s="163" t="s">
        <v>4848</v>
      </c>
      <c r="E306" s="164">
        <v>0</v>
      </c>
      <c r="F306" s="165" t="s">
        <v>51</v>
      </c>
      <c r="G306" s="164">
        <v>0</v>
      </c>
      <c r="H306" s="165" t="s">
        <v>51</v>
      </c>
      <c r="I306" s="164">
        <v>0</v>
      </c>
      <c r="J306" s="165" t="s">
        <v>51</v>
      </c>
      <c r="K306" s="164">
        <v>230000</v>
      </c>
      <c r="L306" s="165" t="s">
        <v>51</v>
      </c>
      <c r="M306" s="164">
        <v>268000</v>
      </c>
      <c r="N306" s="165"/>
      <c r="O306" s="164">
        <f t="shared" si="16"/>
        <v>230000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3">
        <v>0</v>
      </c>
      <c r="V306" s="13">
        <v>0</v>
      </c>
      <c r="W306" s="8" t="s">
        <v>2202</v>
      </c>
      <c r="X306" s="8" t="s">
        <v>51</v>
      </c>
      <c r="Y306" s="2" t="s">
        <v>51</v>
      </c>
      <c r="Z306" s="2" t="s">
        <v>51</v>
      </c>
      <c r="AA306" s="14"/>
      <c r="AB306" s="2" t="s">
        <v>51</v>
      </c>
    </row>
    <row r="307" spans="1:28" ht="30" customHeight="1">
      <c r="A307" s="8" t="s">
        <v>847</v>
      </c>
      <c r="B307" s="157" t="s">
        <v>4851</v>
      </c>
      <c r="C307" s="157" t="s">
        <v>4862</v>
      </c>
      <c r="D307" s="163" t="s">
        <v>4848</v>
      </c>
      <c r="E307" s="164">
        <v>0</v>
      </c>
      <c r="F307" s="165" t="s">
        <v>51</v>
      </c>
      <c r="G307" s="164">
        <v>0</v>
      </c>
      <c r="H307" s="165" t="s">
        <v>51</v>
      </c>
      <c r="I307" s="164">
        <v>0</v>
      </c>
      <c r="J307" s="165" t="s">
        <v>51</v>
      </c>
      <c r="K307" s="164">
        <v>130000</v>
      </c>
      <c r="L307" s="165" t="s">
        <v>51</v>
      </c>
      <c r="M307" s="164">
        <v>145000</v>
      </c>
      <c r="N307" s="165"/>
      <c r="O307" s="164">
        <f t="shared" si="16"/>
        <v>130000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3">
        <v>0</v>
      </c>
      <c r="V307" s="13">
        <v>0</v>
      </c>
      <c r="W307" s="8" t="s">
        <v>2203</v>
      </c>
      <c r="X307" s="8" t="s">
        <v>51</v>
      </c>
      <c r="Y307" s="2" t="s">
        <v>51</v>
      </c>
      <c r="Z307" s="2" t="s">
        <v>51</v>
      </c>
      <c r="AA307" s="14"/>
      <c r="AB307" s="2" t="s">
        <v>51</v>
      </c>
    </row>
    <row r="308" spans="1:28" ht="30" customHeight="1">
      <c r="A308" s="8" t="s">
        <v>847</v>
      </c>
      <c r="B308" s="157" t="s">
        <v>4851</v>
      </c>
      <c r="C308" s="157" t="s">
        <v>4863</v>
      </c>
      <c r="D308" s="163" t="s">
        <v>4848</v>
      </c>
      <c r="E308" s="164">
        <v>0</v>
      </c>
      <c r="F308" s="165" t="s">
        <v>51</v>
      </c>
      <c r="G308" s="164">
        <v>0</v>
      </c>
      <c r="H308" s="165" t="s">
        <v>51</v>
      </c>
      <c r="I308" s="164">
        <v>0</v>
      </c>
      <c r="J308" s="165" t="s">
        <v>51</v>
      </c>
      <c r="K308" s="164">
        <v>100000</v>
      </c>
      <c r="L308" s="165" t="s">
        <v>51</v>
      </c>
      <c r="M308" s="164">
        <v>120000</v>
      </c>
      <c r="N308" s="165"/>
      <c r="O308" s="164">
        <f t="shared" si="16"/>
        <v>100000</v>
      </c>
      <c r="P308" s="166">
        <v>0</v>
      </c>
      <c r="Q308" s="166">
        <v>0</v>
      </c>
      <c r="R308" s="166">
        <v>0</v>
      </c>
      <c r="S308" s="166">
        <v>0</v>
      </c>
      <c r="T308" s="166">
        <v>0</v>
      </c>
      <c r="U308" s="13">
        <v>0</v>
      </c>
      <c r="V308" s="13">
        <v>0</v>
      </c>
      <c r="W308" s="8" t="s">
        <v>2206</v>
      </c>
      <c r="X308" s="8" t="s">
        <v>51</v>
      </c>
      <c r="Y308" s="2" t="s">
        <v>51</v>
      </c>
      <c r="Z308" s="2" t="s">
        <v>51</v>
      </c>
      <c r="AA308" s="14"/>
      <c r="AB308" s="2" t="s">
        <v>51</v>
      </c>
    </row>
    <row r="309" spans="1:28" ht="30" customHeight="1">
      <c r="A309" s="8" t="s">
        <v>847</v>
      </c>
      <c r="B309" s="157" t="s">
        <v>4851</v>
      </c>
      <c r="C309" s="157" t="s">
        <v>4864</v>
      </c>
      <c r="D309" s="163" t="s">
        <v>4848</v>
      </c>
      <c r="E309" s="164">
        <v>0</v>
      </c>
      <c r="F309" s="165" t="s">
        <v>51</v>
      </c>
      <c r="G309" s="164">
        <v>0</v>
      </c>
      <c r="H309" s="165" t="s">
        <v>51</v>
      </c>
      <c r="I309" s="164">
        <v>0</v>
      </c>
      <c r="J309" s="165" t="s">
        <v>51</v>
      </c>
      <c r="K309" s="164">
        <v>650000</v>
      </c>
      <c r="L309" s="165" t="s">
        <v>51</v>
      </c>
      <c r="M309" s="164">
        <v>685000</v>
      </c>
      <c r="N309" s="165"/>
      <c r="O309" s="164">
        <f t="shared" si="15"/>
        <v>650000</v>
      </c>
      <c r="P309" s="166">
        <v>0</v>
      </c>
      <c r="Q309" s="166">
        <v>0</v>
      </c>
      <c r="R309" s="166">
        <v>0</v>
      </c>
      <c r="S309" s="166">
        <v>0</v>
      </c>
      <c r="T309" s="166">
        <v>0</v>
      </c>
      <c r="U309" s="13">
        <v>0</v>
      </c>
      <c r="V309" s="13">
        <v>0</v>
      </c>
      <c r="W309" s="8" t="s">
        <v>2207</v>
      </c>
      <c r="X309" s="8" t="s">
        <v>51</v>
      </c>
      <c r="Y309" s="2" t="s">
        <v>51</v>
      </c>
      <c r="Z309" s="2" t="s">
        <v>51</v>
      </c>
      <c r="AA309" s="14"/>
      <c r="AB309" s="2" t="s">
        <v>51</v>
      </c>
    </row>
    <row r="310" spans="1:28" ht="30" customHeight="1">
      <c r="A310" s="8" t="s">
        <v>847</v>
      </c>
      <c r="B310" s="157" t="s">
        <v>4851</v>
      </c>
      <c r="C310" s="157" t="s">
        <v>4865</v>
      </c>
      <c r="D310" s="163" t="s">
        <v>4848</v>
      </c>
      <c r="E310" s="164">
        <v>0</v>
      </c>
      <c r="F310" s="165" t="s">
        <v>51</v>
      </c>
      <c r="G310" s="164">
        <v>0</v>
      </c>
      <c r="H310" s="165" t="s">
        <v>51</v>
      </c>
      <c r="I310" s="164">
        <v>0</v>
      </c>
      <c r="J310" s="165" t="s">
        <v>51</v>
      </c>
      <c r="K310" s="164">
        <v>620000</v>
      </c>
      <c r="L310" s="165" t="s">
        <v>51</v>
      </c>
      <c r="M310" s="164">
        <v>645000</v>
      </c>
      <c r="N310" s="165"/>
      <c r="O310" s="164">
        <f t="shared" si="15"/>
        <v>620000</v>
      </c>
      <c r="P310" s="166">
        <v>0</v>
      </c>
      <c r="Q310" s="166">
        <v>0</v>
      </c>
      <c r="R310" s="166">
        <v>0</v>
      </c>
      <c r="S310" s="166">
        <v>0</v>
      </c>
      <c r="T310" s="166">
        <v>0</v>
      </c>
      <c r="U310" s="13">
        <v>0</v>
      </c>
      <c r="V310" s="13">
        <v>0</v>
      </c>
      <c r="W310" s="8" t="s">
        <v>2209</v>
      </c>
      <c r="X310" s="8" t="s">
        <v>51</v>
      </c>
      <c r="Y310" s="2" t="s">
        <v>51</v>
      </c>
      <c r="Z310" s="2" t="s">
        <v>51</v>
      </c>
      <c r="AA310" s="14"/>
      <c r="AB310" s="2" t="s">
        <v>51</v>
      </c>
    </row>
    <row r="311" spans="1:28" ht="30" customHeight="1">
      <c r="A311" s="8" t="s">
        <v>847</v>
      </c>
      <c r="B311" s="157" t="s">
        <v>4851</v>
      </c>
      <c r="C311" s="157" t="s">
        <v>4866</v>
      </c>
      <c r="D311" s="163" t="s">
        <v>4848</v>
      </c>
      <c r="E311" s="164">
        <v>0</v>
      </c>
      <c r="F311" s="165" t="s">
        <v>51</v>
      </c>
      <c r="G311" s="164">
        <v>0</v>
      </c>
      <c r="H311" s="165" t="s">
        <v>51</v>
      </c>
      <c r="I311" s="164">
        <v>0</v>
      </c>
      <c r="J311" s="165" t="s">
        <v>51</v>
      </c>
      <c r="K311" s="164">
        <v>200000</v>
      </c>
      <c r="L311" s="165" t="s">
        <v>51</v>
      </c>
      <c r="M311" s="164">
        <v>225000</v>
      </c>
      <c r="N311" s="165"/>
      <c r="O311" s="164">
        <f t="shared" si="15"/>
        <v>200000</v>
      </c>
      <c r="P311" s="166">
        <v>0</v>
      </c>
      <c r="Q311" s="166">
        <v>0</v>
      </c>
      <c r="R311" s="166">
        <v>0</v>
      </c>
      <c r="S311" s="166">
        <v>0</v>
      </c>
      <c r="T311" s="166">
        <v>0</v>
      </c>
      <c r="U311" s="13">
        <v>0</v>
      </c>
      <c r="V311" s="13">
        <v>0</v>
      </c>
      <c r="W311" s="8" t="s">
        <v>2211</v>
      </c>
      <c r="X311" s="8" t="s">
        <v>51</v>
      </c>
      <c r="Y311" s="2" t="s">
        <v>51</v>
      </c>
      <c r="Z311" s="2" t="s">
        <v>51</v>
      </c>
      <c r="AA311" s="14"/>
      <c r="AB311" s="2" t="s">
        <v>51</v>
      </c>
    </row>
    <row r="312" spans="1:28" ht="30" customHeight="1">
      <c r="A312" s="8" t="s">
        <v>847</v>
      </c>
      <c r="B312" s="157" t="s">
        <v>4851</v>
      </c>
      <c r="C312" s="157" t="s">
        <v>4867</v>
      </c>
      <c r="D312" s="163" t="s">
        <v>4848</v>
      </c>
      <c r="E312" s="164">
        <v>0</v>
      </c>
      <c r="F312" s="165" t="s">
        <v>51</v>
      </c>
      <c r="G312" s="164">
        <v>0</v>
      </c>
      <c r="H312" s="165" t="s">
        <v>51</v>
      </c>
      <c r="I312" s="164">
        <v>0</v>
      </c>
      <c r="J312" s="165" t="s">
        <v>51</v>
      </c>
      <c r="K312" s="164">
        <v>230000</v>
      </c>
      <c r="L312" s="165" t="s">
        <v>51</v>
      </c>
      <c r="M312" s="164">
        <v>268000</v>
      </c>
      <c r="N312" s="165"/>
      <c r="O312" s="164">
        <f t="shared" si="15"/>
        <v>230000</v>
      </c>
      <c r="P312" s="166">
        <v>0</v>
      </c>
      <c r="Q312" s="166">
        <v>0</v>
      </c>
      <c r="R312" s="166">
        <v>0</v>
      </c>
      <c r="S312" s="166">
        <v>0</v>
      </c>
      <c r="T312" s="166">
        <v>0</v>
      </c>
      <c r="U312" s="13">
        <v>0</v>
      </c>
      <c r="V312" s="13">
        <v>0</v>
      </c>
      <c r="W312" s="8" t="s">
        <v>2212</v>
      </c>
      <c r="X312" s="8" t="s">
        <v>51</v>
      </c>
      <c r="Y312" s="2" t="s">
        <v>51</v>
      </c>
      <c r="Z312" s="2" t="s">
        <v>51</v>
      </c>
      <c r="AA312" s="14"/>
      <c r="AB312" s="2" t="s">
        <v>51</v>
      </c>
    </row>
    <row r="313" spans="1:28" ht="30" customHeight="1">
      <c r="A313" s="8" t="s">
        <v>847</v>
      </c>
      <c r="B313" s="157" t="s">
        <v>4851</v>
      </c>
      <c r="C313" s="157" t="s">
        <v>4868</v>
      </c>
      <c r="D313" s="163" t="s">
        <v>4848</v>
      </c>
      <c r="E313" s="164">
        <v>0</v>
      </c>
      <c r="F313" s="165" t="s">
        <v>51</v>
      </c>
      <c r="G313" s="164">
        <v>0</v>
      </c>
      <c r="H313" s="165" t="s">
        <v>51</v>
      </c>
      <c r="I313" s="164">
        <v>0</v>
      </c>
      <c r="J313" s="165" t="s">
        <v>51</v>
      </c>
      <c r="K313" s="164">
        <v>250000</v>
      </c>
      <c r="L313" s="165" t="s">
        <v>51</v>
      </c>
      <c r="M313" s="164">
        <v>275000</v>
      </c>
      <c r="N313" s="165"/>
      <c r="O313" s="164">
        <f t="shared" si="15"/>
        <v>250000</v>
      </c>
      <c r="P313" s="166">
        <v>0</v>
      </c>
      <c r="Q313" s="166">
        <v>0</v>
      </c>
      <c r="R313" s="166">
        <v>0</v>
      </c>
      <c r="S313" s="166">
        <v>0</v>
      </c>
      <c r="T313" s="166">
        <v>0</v>
      </c>
      <c r="U313" s="13">
        <v>0</v>
      </c>
      <c r="V313" s="13">
        <v>0</v>
      </c>
      <c r="W313" s="8" t="s">
        <v>2213</v>
      </c>
      <c r="X313" s="8" t="s">
        <v>51</v>
      </c>
      <c r="Y313" s="2" t="s">
        <v>51</v>
      </c>
      <c r="Z313" s="2" t="s">
        <v>51</v>
      </c>
      <c r="AA313" s="14"/>
      <c r="AB313" s="2" t="s">
        <v>51</v>
      </c>
    </row>
    <row r="314" spans="1:28" ht="30" customHeight="1">
      <c r="A314" s="8" t="s">
        <v>847</v>
      </c>
      <c r="B314" s="157" t="s">
        <v>4851</v>
      </c>
      <c r="C314" s="157" t="s">
        <v>4869</v>
      </c>
      <c r="D314" s="163" t="s">
        <v>4848</v>
      </c>
      <c r="E314" s="164">
        <v>0</v>
      </c>
      <c r="F314" s="165" t="s">
        <v>51</v>
      </c>
      <c r="G314" s="164">
        <v>0</v>
      </c>
      <c r="H314" s="165" t="s">
        <v>51</v>
      </c>
      <c r="I314" s="164">
        <v>0</v>
      </c>
      <c r="J314" s="165" t="s">
        <v>51</v>
      </c>
      <c r="K314" s="164">
        <v>680000</v>
      </c>
      <c r="L314" s="165" t="s">
        <v>51</v>
      </c>
      <c r="M314" s="164">
        <v>720000</v>
      </c>
      <c r="N314" s="165"/>
      <c r="O314" s="164">
        <f t="shared" si="15"/>
        <v>680000</v>
      </c>
      <c r="P314" s="166">
        <v>0</v>
      </c>
      <c r="Q314" s="166">
        <v>0</v>
      </c>
      <c r="R314" s="166">
        <v>0</v>
      </c>
      <c r="S314" s="166">
        <v>0</v>
      </c>
      <c r="T314" s="166">
        <v>0</v>
      </c>
      <c r="U314" s="13">
        <v>0</v>
      </c>
      <c r="V314" s="13">
        <v>0</v>
      </c>
      <c r="W314" s="8" t="s">
        <v>2214</v>
      </c>
      <c r="X314" s="8" t="s">
        <v>51</v>
      </c>
      <c r="Y314" s="2" t="s">
        <v>51</v>
      </c>
      <c r="Z314" s="2" t="s">
        <v>51</v>
      </c>
      <c r="AA314" s="14"/>
      <c r="AB314" s="2" t="s">
        <v>51</v>
      </c>
    </row>
    <row r="315" spans="1:28" ht="30" customHeight="1">
      <c r="A315" s="8" t="s">
        <v>847</v>
      </c>
      <c r="B315" s="157" t="s">
        <v>4851</v>
      </c>
      <c r="C315" s="157" t="s">
        <v>4870</v>
      </c>
      <c r="D315" s="163" t="s">
        <v>4848</v>
      </c>
      <c r="E315" s="164">
        <v>0</v>
      </c>
      <c r="F315" s="165" t="s">
        <v>51</v>
      </c>
      <c r="G315" s="164">
        <v>0</v>
      </c>
      <c r="H315" s="165" t="s">
        <v>51</v>
      </c>
      <c r="I315" s="164">
        <v>0</v>
      </c>
      <c r="J315" s="165" t="s">
        <v>51</v>
      </c>
      <c r="K315" s="164">
        <v>650000</v>
      </c>
      <c r="L315" s="165" t="s">
        <v>51</v>
      </c>
      <c r="M315" s="164">
        <v>680000</v>
      </c>
      <c r="N315" s="165"/>
      <c r="O315" s="164">
        <f t="shared" si="15"/>
        <v>650000</v>
      </c>
      <c r="P315" s="166">
        <v>0</v>
      </c>
      <c r="Q315" s="166">
        <v>0</v>
      </c>
      <c r="R315" s="166">
        <v>0</v>
      </c>
      <c r="S315" s="166">
        <v>0</v>
      </c>
      <c r="T315" s="166">
        <v>0</v>
      </c>
      <c r="U315" s="13">
        <v>0</v>
      </c>
      <c r="V315" s="13">
        <v>0</v>
      </c>
      <c r="W315" s="8" t="s">
        <v>2215</v>
      </c>
      <c r="X315" s="8" t="s">
        <v>51</v>
      </c>
      <c r="Y315" s="2" t="s">
        <v>51</v>
      </c>
      <c r="Z315" s="2" t="s">
        <v>51</v>
      </c>
      <c r="AA315" s="14"/>
      <c r="AB315" s="2" t="s">
        <v>51</v>
      </c>
    </row>
    <row r="316" spans="1:28" ht="30" customHeight="1">
      <c r="A316" s="8" t="s">
        <v>847</v>
      </c>
      <c r="B316" s="157" t="s">
        <v>4851</v>
      </c>
      <c r="C316" s="157" t="s">
        <v>4871</v>
      </c>
      <c r="D316" s="163" t="s">
        <v>4848</v>
      </c>
      <c r="E316" s="164">
        <v>0</v>
      </c>
      <c r="F316" s="165" t="s">
        <v>51</v>
      </c>
      <c r="G316" s="164">
        <v>0</v>
      </c>
      <c r="H316" s="165" t="s">
        <v>51</v>
      </c>
      <c r="I316" s="164">
        <v>0</v>
      </c>
      <c r="J316" s="165" t="s">
        <v>51</v>
      </c>
      <c r="K316" s="164">
        <v>21000</v>
      </c>
      <c r="L316" s="165" t="s">
        <v>51</v>
      </c>
      <c r="M316" s="164">
        <v>29500</v>
      </c>
      <c r="N316" s="165"/>
      <c r="O316" s="164">
        <f t="shared" si="15"/>
        <v>21000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3">
        <v>0</v>
      </c>
      <c r="V316" s="13">
        <v>0</v>
      </c>
      <c r="W316" s="8" t="s">
        <v>2216</v>
      </c>
      <c r="X316" s="8" t="s">
        <v>51</v>
      </c>
      <c r="Y316" s="2" t="s">
        <v>51</v>
      </c>
      <c r="Z316" s="2" t="s">
        <v>51</v>
      </c>
      <c r="AA316" s="14"/>
      <c r="AB316" s="2" t="s">
        <v>51</v>
      </c>
    </row>
    <row r="317" spans="1:28" ht="30" customHeight="1">
      <c r="A317" s="8" t="s">
        <v>847</v>
      </c>
      <c r="B317" s="157" t="s">
        <v>4851</v>
      </c>
      <c r="C317" s="157" t="s">
        <v>4872</v>
      </c>
      <c r="D317" s="163" t="s">
        <v>4848</v>
      </c>
      <c r="E317" s="164">
        <v>0</v>
      </c>
      <c r="F317" s="165" t="s">
        <v>51</v>
      </c>
      <c r="G317" s="164">
        <v>0</v>
      </c>
      <c r="H317" s="165" t="s">
        <v>51</v>
      </c>
      <c r="I317" s="164">
        <v>0</v>
      </c>
      <c r="J317" s="165" t="s">
        <v>51</v>
      </c>
      <c r="K317" s="164">
        <v>240000</v>
      </c>
      <c r="L317" s="165" t="s">
        <v>51</v>
      </c>
      <c r="M317" s="164">
        <v>268000</v>
      </c>
      <c r="N317" s="165"/>
      <c r="O317" s="164">
        <f t="shared" si="15"/>
        <v>240000</v>
      </c>
      <c r="P317" s="166">
        <v>0</v>
      </c>
      <c r="Q317" s="166">
        <v>0</v>
      </c>
      <c r="R317" s="166">
        <v>0</v>
      </c>
      <c r="S317" s="166">
        <v>0</v>
      </c>
      <c r="T317" s="166">
        <v>0</v>
      </c>
      <c r="U317" s="13">
        <v>0</v>
      </c>
      <c r="V317" s="13">
        <v>0</v>
      </c>
      <c r="W317" s="8" t="s">
        <v>2219</v>
      </c>
      <c r="X317" s="8" t="s">
        <v>51</v>
      </c>
      <c r="Y317" s="2" t="s">
        <v>51</v>
      </c>
      <c r="Z317" s="2" t="s">
        <v>51</v>
      </c>
      <c r="AA317" s="14"/>
      <c r="AB317" s="2" t="s">
        <v>51</v>
      </c>
    </row>
    <row r="318" spans="1:28" ht="30" customHeight="1">
      <c r="A318" s="8" t="s">
        <v>847</v>
      </c>
      <c r="B318" s="157" t="s">
        <v>4851</v>
      </c>
      <c r="C318" s="157" t="s">
        <v>4873</v>
      </c>
      <c r="D318" s="163" t="s">
        <v>4848</v>
      </c>
      <c r="E318" s="164">
        <v>0</v>
      </c>
      <c r="F318" s="165" t="s">
        <v>51</v>
      </c>
      <c r="G318" s="164">
        <v>0</v>
      </c>
      <c r="H318" s="165" t="s">
        <v>51</v>
      </c>
      <c r="I318" s="164">
        <v>0</v>
      </c>
      <c r="J318" s="165" t="s">
        <v>51</v>
      </c>
      <c r="K318" s="164">
        <v>380000</v>
      </c>
      <c r="L318" s="165" t="s">
        <v>51</v>
      </c>
      <c r="M318" s="164">
        <v>450000</v>
      </c>
      <c r="N318" s="165"/>
      <c r="O318" s="164">
        <f t="shared" si="15"/>
        <v>380000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3">
        <v>0</v>
      </c>
      <c r="V318" s="13">
        <v>0</v>
      </c>
      <c r="W318" s="8" t="s">
        <v>2220</v>
      </c>
      <c r="X318" s="8" t="s">
        <v>51</v>
      </c>
      <c r="Y318" s="2" t="s">
        <v>51</v>
      </c>
      <c r="Z318" s="2" t="s">
        <v>51</v>
      </c>
      <c r="AA318" s="14"/>
      <c r="AB318" s="2" t="s">
        <v>51</v>
      </c>
    </row>
    <row r="319" spans="1:28" ht="30" customHeight="1">
      <c r="A319" s="8" t="s">
        <v>847</v>
      </c>
      <c r="B319" s="157" t="s">
        <v>4851</v>
      </c>
      <c r="C319" s="157" t="s">
        <v>4874</v>
      </c>
      <c r="D319" s="163" t="s">
        <v>4848</v>
      </c>
      <c r="E319" s="164">
        <v>0</v>
      </c>
      <c r="F319" s="165" t="s">
        <v>51</v>
      </c>
      <c r="G319" s="164">
        <v>0</v>
      </c>
      <c r="H319" s="165" t="s">
        <v>51</v>
      </c>
      <c r="I319" s="164">
        <v>0</v>
      </c>
      <c r="J319" s="165" t="s">
        <v>51</v>
      </c>
      <c r="K319" s="164">
        <v>240000</v>
      </c>
      <c r="L319" s="165" t="s">
        <v>51</v>
      </c>
      <c r="M319" s="164">
        <v>265000</v>
      </c>
      <c r="N319" s="165"/>
      <c r="O319" s="164">
        <f t="shared" si="15"/>
        <v>240000</v>
      </c>
      <c r="P319" s="166">
        <v>0</v>
      </c>
      <c r="Q319" s="166">
        <v>0</v>
      </c>
      <c r="R319" s="166">
        <v>0</v>
      </c>
      <c r="S319" s="166">
        <v>0</v>
      </c>
      <c r="T319" s="166">
        <v>0</v>
      </c>
      <c r="U319" s="13">
        <v>0</v>
      </c>
      <c r="V319" s="13">
        <v>0</v>
      </c>
      <c r="W319" s="8" t="s">
        <v>2222</v>
      </c>
      <c r="X319" s="8" t="s">
        <v>51</v>
      </c>
      <c r="Y319" s="2" t="s">
        <v>51</v>
      </c>
      <c r="Z319" s="2" t="s">
        <v>51</v>
      </c>
      <c r="AA319" s="14"/>
      <c r="AB319" s="2" t="s">
        <v>51</v>
      </c>
    </row>
    <row r="320" spans="1:28" ht="30" customHeight="1">
      <c r="A320" s="8" t="s">
        <v>847</v>
      </c>
      <c r="B320" s="157" t="s">
        <v>4851</v>
      </c>
      <c r="C320" s="157" t="s">
        <v>4875</v>
      </c>
      <c r="D320" s="163" t="s">
        <v>4848</v>
      </c>
      <c r="E320" s="164">
        <v>0</v>
      </c>
      <c r="F320" s="165" t="s">
        <v>51</v>
      </c>
      <c r="G320" s="164">
        <v>0</v>
      </c>
      <c r="H320" s="165" t="s">
        <v>51</v>
      </c>
      <c r="I320" s="164">
        <v>0</v>
      </c>
      <c r="J320" s="165" t="s">
        <v>51</v>
      </c>
      <c r="K320" s="164">
        <v>340000</v>
      </c>
      <c r="L320" s="165" t="s">
        <v>51</v>
      </c>
      <c r="M320" s="164">
        <v>360000</v>
      </c>
      <c r="N320" s="165"/>
      <c r="O320" s="164">
        <f t="shared" si="15"/>
        <v>340000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3">
        <v>0</v>
      </c>
      <c r="V320" s="13">
        <v>0</v>
      </c>
      <c r="W320" s="8" t="s">
        <v>2223</v>
      </c>
      <c r="X320" s="8" t="s">
        <v>51</v>
      </c>
      <c r="Y320" s="2" t="s">
        <v>51</v>
      </c>
      <c r="Z320" s="2" t="s">
        <v>51</v>
      </c>
      <c r="AA320" s="14"/>
      <c r="AB320" s="2" t="s">
        <v>51</v>
      </c>
    </row>
    <row r="321" spans="1:28" ht="30" customHeight="1">
      <c r="A321" s="8" t="s">
        <v>847</v>
      </c>
      <c r="B321" s="157" t="s">
        <v>4851</v>
      </c>
      <c r="C321" s="157" t="s">
        <v>4876</v>
      </c>
      <c r="D321" s="163" t="s">
        <v>4848</v>
      </c>
      <c r="E321" s="164">
        <v>0</v>
      </c>
      <c r="F321" s="165" t="s">
        <v>51</v>
      </c>
      <c r="G321" s="164">
        <v>0</v>
      </c>
      <c r="H321" s="165" t="s">
        <v>51</v>
      </c>
      <c r="I321" s="164">
        <v>0</v>
      </c>
      <c r="J321" s="165" t="s">
        <v>51</v>
      </c>
      <c r="K321" s="164">
        <v>280000</v>
      </c>
      <c r="L321" s="165" t="s">
        <v>51</v>
      </c>
      <c r="M321" s="164">
        <v>320000</v>
      </c>
      <c r="N321" s="165"/>
      <c r="O321" s="164">
        <f t="shared" si="15"/>
        <v>280000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3">
        <v>0</v>
      </c>
      <c r="V321" s="13">
        <v>0</v>
      </c>
      <c r="W321" s="8" t="s">
        <v>2224</v>
      </c>
      <c r="X321" s="8" t="s">
        <v>51</v>
      </c>
      <c r="Y321" s="2" t="s">
        <v>51</v>
      </c>
      <c r="Z321" s="2" t="s">
        <v>51</v>
      </c>
      <c r="AA321" s="14"/>
      <c r="AB321" s="2" t="s">
        <v>51</v>
      </c>
    </row>
    <row r="322" spans="1:28" ht="30" customHeight="1">
      <c r="A322" s="8" t="s">
        <v>847</v>
      </c>
      <c r="B322" s="157" t="s">
        <v>4851</v>
      </c>
      <c r="C322" s="157" t="s">
        <v>4877</v>
      </c>
      <c r="D322" s="163" t="s">
        <v>4848</v>
      </c>
      <c r="E322" s="164">
        <v>0</v>
      </c>
      <c r="F322" s="165" t="s">
        <v>51</v>
      </c>
      <c r="G322" s="164">
        <v>0</v>
      </c>
      <c r="H322" s="165" t="s">
        <v>51</v>
      </c>
      <c r="I322" s="164">
        <v>0</v>
      </c>
      <c r="J322" s="165" t="s">
        <v>51</v>
      </c>
      <c r="K322" s="164">
        <v>270000</v>
      </c>
      <c r="L322" s="165" t="s">
        <v>51</v>
      </c>
      <c r="M322" s="164">
        <v>300000</v>
      </c>
      <c r="N322" s="165"/>
      <c r="O322" s="164">
        <f t="shared" si="15"/>
        <v>270000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3">
        <v>0</v>
      </c>
      <c r="V322" s="13">
        <v>0</v>
      </c>
      <c r="W322" s="8" t="s">
        <v>2225</v>
      </c>
      <c r="X322" s="8" t="s">
        <v>51</v>
      </c>
      <c r="Y322" s="2" t="s">
        <v>51</v>
      </c>
      <c r="Z322" s="2" t="s">
        <v>51</v>
      </c>
      <c r="AA322" s="14"/>
      <c r="AB322" s="2" t="s">
        <v>51</v>
      </c>
    </row>
    <row r="323" spans="1:28" ht="30" customHeight="1">
      <c r="A323" s="8" t="s">
        <v>847</v>
      </c>
      <c r="B323" s="157" t="s">
        <v>4851</v>
      </c>
      <c r="C323" s="157" t="s">
        <v>4878</v>
      </c>
      <c r="D323" s="163" t="s">
        <v>4848</v>
      </c>
      <c r="E323" s="164">
        <v>0</v>
      </c>
      <c r="F323" s="165" t="s">
        <v>51</v>
      </c>
      <c r="G323" s="164">
        <v>0</v>
      </c>
      <c r="H323" s="165" t="s">
        <v>51</v>
      </c>
      <c r="I323" s="164">
        <v>0</v>
      </c>
      <c r="J323" s="165" t="s">
        <v>51</v>
      </c>
      <c r="K323" s="164">
        <v>280000</v>
      </c>
      <c r="L323" s="165" t="s">
        <v>51</v>
      </c>
      <c r="M323" s="164">
        <v>298000</v>
      </c>
      <c r="N323" s="165"/>
      <c r="O323" s="164">
        <f t="shared" si="15"/>
        <v>280000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3">
        <v>0</v>
      </c>
      <c r="V323" s="13">
        <v>0</v>
      </c>
      <c r="W323" s="8" t="s">
        <v>2226</v>
      </c>
      <c r="X323" s="8" t="s">
        <v>51</v>
      </c>
      <c r="Y323" s="2" t="s">
        <v>51</v>
      </c>
      <c r="Z323" s="2" t="s">
        <v>51</v>
      </c>
      <c r="AA323" s="14"/>
      <c r="AB323" s="2" t="s">
        <v>51</v>
      </c>
    </row>
    <row r="324" spans="1:28" ht="30" customHeight="1">
      <c r="A324" s="8" t="s">
        <v>847</v>
      </c>
      <c r="B324" s="157" t="s">
        <v>4851</v>
      </c>
      <c r="C324" s="157" t="s">
        <v>4873</v>
      </c>
      <c r="D324" s="163" t="s">
        <v>4848</v>
      </c>
      <c r="E324" s="164">
        <v>0</v>
      </c>
      <c r="F324" s="165" t="s">
        <v>51</v>
      </c>
      <c r="G324" s="164">
        <v>0</v>
      </c>
      <c r="H324" s="165" t="s">
        <v>51</v>
      </c>
      <c r="I324" s="164">
        <v>0</v>
      </c>
      <c r="J324" s="165" t="s">
        <v>51</v>
      </c>
      <c r="K324" s="164">
        <v>380000</v>
      </c>
      <c r="L324" s="165" t="s">
        <v>51</v>
      </c>
      <c r="M324" s="164">
        <v>420000</v>
      </c>
      <c r="N324" s="165"/>
      <c r="O324" s="164">
        <f t="shared" si="15"/>
        <v>380000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3">
        <v>0</v>
      </c>
      <c r="V324" s="13">
        <v>0</v>
      </c>
      <c r="W324" s="8" t="s">
        <v>2227</v>
      </c>
      <c r="X324" s="8" t="s">
        <v>51</v>
      </c>
      <c r="Y324" s="2" t="s">
        <v>51</v>
      </c>
      <c r="Z324" s="2" t="s">
        <v>51</v>
      </c>
      <c r="AA324" s="14"/>
      <c r="AB324" s="2" t="s">
        <v>51</v>
      </c>
    </row>
    <row r="325" spans="1:28" ht="30" customHeight="1">
      <c r="A325" s="8" t="s">
        <v>847</v>
      </c>
      <c r="B325" s="157" t="s">
        <v>4851</v>
      </c>
      <c r="C325" s="157" t="s">
        <v>4879</v>
      </c>
      <c r="D325" s="163" t="s">
        <v>4848</v>
      </c>
      <c r="E325" s="164">
        <v>0</v>
      </c>
      <c r="F325" s="165" t="s">
        <v>51</v>
      </c>
      <c r="G325" s="164">
        <v>0</v>
      </c>
      <c r="H325" s="165" t="s">
        <v>51</v>
      </c>
      <c r="I325" s="164">
        <v>0</v>
      </c>
      <c r="J325" s="165" t="s">
        <v>51</v>
      </c>
      <c r="K325" s="164">
        <v>120000</v>
      </c>
      <c r="L325" s="165" t="s">
        <v>51</v>
      </c>
      <c r="M325" s="164">
        <v>140000</v>
      </c>
      <c r="N325" s="165"/>
      <c r="O325" s="164">
        <f t="shared" si="15"/>
        <v>120000</v>
      </c>
      <c r="P325" s="166">
        <v>0</v>
      </c>
      <c r="Q325" s="166">
        <v>0</v>
      </c>
      <c r="R325" s="166">
        <v>0</v>
      </c>
      <c r="S325" s="166">
        <v>0</v>
      </c>
      <c r="T325" s="166">
        <v>0</v>
      </c>
      <c r="U325" s="13">
        <v>0</v>
      </c>
      <c r="V325" s="13">
        <v>0</v>
      </c>
      <c r="W325" s="8" t="s">
        <v>2228</v>
      </c>
      <c r="X325" s="8" t="s">
        <v>51</v>
      </c>
      <c r="Y325" s="2" t="s">
        <v>51</v>
      </c>
      <c r="Z325" s="2" t="s">
        <v>51</v>
      </c>
      <c r="AA325" s="14"/>
      <c r="AB325" s="2" t="s">
        <v>51</v>
      </c>
    </row>
    <row r="326" spans="1:28" ht="30" customHeight="1">
      <c r="A326" s="8" t="s">
        <v>847</v>
      </c>
      <c r="B326" s="157" t="s">
        <v>4880</v>
      </c>
      <c r="C326" s="157" t="s">
        <v>4881</v>
      </c>
      <c r="D326" s="163" t="s">
        <v>4848</v>
      </c>
      <c r="E326" s="164">
        <v>0</v>
      </c>
      <c r="F326" s="165" t="s">
        <v>51</v>
      </c>
      <c r="G326" s="164">
        <v>0</v>
      </c>
      <c r="H326" s="165" t="s">
        <v>51</v>
      </c>
      <c r="I326" s="164">
        <v>0</v>
      </c>
      <c r="J326" s="165" t="s">
        <v>51</v>
      </c>
      <c r="K326" s="164">
        <v>450000</v>
      </c>
      <c r="L326" s="165" t="s">
        <v>51</v>
      </c>
      <c r="M326" s="164">
        <v>480000</v>
      </c>
      <c r="N326" s="165"/>
      <c r="O326" s="164">
        <f t="shared" si="15"/>
        <v>450000</v>
      </c>
      <c r="P326" s="166">
        <v>0</v>
      </c>
      <c r="Q326" s="166">
        <v>0</v>
      </c>
      <c r="R326" s="166">
        <v>0</v>
      </c>
      <c r="S326" s="166">
        <v>0</v>
      </c>
      <c r="T326" s="166">
        <v>0</v>
      </c>
      <c r="U326" s="13">
        <v>0</v>
      </c>
      <c r="V326" s="13">
        <v>0</v>
      </c>
      <c r="W326" s="8" t="s">
        <v>2231</v>
      </c>
      <c r="X326" s="8" t="s">
        <v>51</v>
      </c>
      <c r="Y326" s="2" t="s">
        <v>51</v>
      </c>
      <c r="Z326" s="2" t="s">
        <v>51</v>
      </c>
      <c r="AA326" s="14"/>
      <c r="AB326" s="2" t="s">
        <v>51</v>
      </c>
    </row>
    <row r="327" spans="1:28" ht="30" customHeight="1">
      <c r="A327" s="8" t="s">
        <v>847</v>
      </c>
      <c r="B327" s="157" t="s">
        <v>4882</v>
      </c>
      <c r="C327" s="157" t="s">
        <v>4883</v>
      </c>
      <c r="D327" s="163" t="s">
        <v>4848</v>
      </c>
      <c r="E327" s="164">
        <v>0</v>
      </c>
      <c r="F327" s="165" t="s">
        <v>51</v>
      </c>
      <c r="G327" s="164">
        <v>0</v>
      </c>
      <c r="H327" s="165" t="s">
        <v>51</v>
      </c>
      <c r="I327" s="164">
        <v>0</v>
      </c>
      <c r="J327" s="165" t="s">
        <v>51</v>
      </c>
      <c r="K327" s="164">
        <v>15000</v>
      </c>
      <c r="L327" s="165" t="s">
        <v>51</v>
      </c>
      <c r="M327" s="164">
        <v>18000</v>
      </c>
      <c r="N327" s="165"/>
      <c r="O327" s="164">
        <f t="shared" si="15"/>
        <v>15000</v>
      </c>
      <c r="P327" s="166">
        <v>0</v>
      </c>
      <c r="Q327" s="166">
        <v>0</v>
      </c>
      <c r="R327" s="166">
        <v>0</v>
      </c>
      <c r="S327" s="166">
        <v>0</v>
      </c>
      <c r="T327" s="166">
        <v>0</v>
      </c>
      <c r="U327" s="13">
        <v>0</v>
      </c>
      <c r="V327" s="13">
        <v>0</v>
      </c>
      <c r="W327" s="8" t="s">
        <v>2232</v>
      </c>
      <c r="X327" s="8" t="s">
        <v>51</v>
      </c>
      <c r="Y327" s="2" t="s">
        <v>51</v>
      </c>
      <c r="Z327" s="2" t="s">
        <v>51</v>
      </c>
      <c r="AA327" s="14"/>
      <c r="AB327" s="2" t="s">
        <v>51</v>
      </c>
    </row>
    <row r="328" spans="1:28" ht="30" customHeight="1">
      <c r="A328" s="8" t="s">
        <v>847</v>
      </c>
      <c r="B328" s="157" t="s">
        <v>4882</v>
      </c>
      <c r="C328" s="157" t="s">
        <v>4884</v>
      </c>
      <c r="D328" s="163" t="s">
        <v>4848</v>
      </c>
      <c r="E328" s="164">
        <v>0</v>
      </c>
      <c r="F328" s="165" t="s">
        <v>51</v>
      </c>
      <c r="G328" s="164">
        <v>0</v>
      </c>
      <c r="H328" s="165" t="s">
        <v>51</v>
      </c>
      <c r="I328" s="164">
        <v>0</v>
      </c>
      <c r="J328" s="165" t="s">
        <v>51</v>
      </c>
      <c r="K328" s="164">
        <v>18000</v>
      </c>
      <c r="L328" s="165" t="s">
        <v>51</v>
      </c>
      <c r="M328" s="164">
        <v>20000</v>
      </c>
      <c r="N328" s="165"/>
      <c r="O328" s="164">
        <f t="shared" si="15"/>
        <v>18000</v>
      </c>
      <c r="P328" s="166">
        <v>0</v>
      </c>
      <c r="Q328" s="166">
        <v>0</v>
      </c>
      <c r="R328" s="166">
        <v>0</v>
      </c>
      <c r="S328" s="166">
        <v>0</v>
      </c>
      <c r="T328" s="166">
        <v>0</v>
      </c>
      <c r="U328" s="13">
        <v>0</v>
      </c>
      <c r="V328" s="13">
        <v>0</v>
      </c>
      <c r="W328" s="8" t="s">
        <v>2235</v>
      </c>
      <c r="X328" s="8" t="s">
        <v>51</v>
      </c>
      <c r="Y328" s="2" t="s">
        <v>51</v>
      </c>
      <c r="Z328" s="2" t="s">
        <v>51</v>
      </c>
      <c r="AA328" s="14"/>
      <c r="AB328" s="2" t="s">
        <v>51</v>
      </c>
    </row>
    <row r="329" spans="1:28" ht="30" customHeight="1">
      <c r="A329" s="8" t="s">
        <v>847</v>
      </c>
      <c r="B329" s="157" t="s">
        <v>4882</v>
      </c>
      <c r="C329" s="157" t="s">
        <v>4885</v>
      </c>
      <c r="D329" s="163" t="s">
        <v>4848</v>
      </c>
      <c r="E329" s="164">
        <v>0</v>
      </c>
      <c r="F329" s="165" t="s">
        <v>51</v>
      </c>
      <c r="G329" s="164">
        <v>0</v>
      </c>
      <c r="H329" s="165" t="s">
        <v>51</v>
      </c>
      <c r="I329" s="164">
        <v>0</v>
      </c>
      <c r="J329" s="165" t="s">
        <v>51</v>
      </c>
      <c r="K329" s="164">
        <v>10000</v>
      </c>
      <c r="L329" s="165" t="s">
        <v>51</v>
      </c>
      <c r="M329" s="164">
        <v>15000</v>
      </c>
      <c r="N329" s="165"/>
      <c r="O329" s="164">
        <f t="shared" si="15"/>
        <v>10000</v>
      </c>
      <c r="P329" s="166">
        <v>0</v>
      </c>
      <c r="Q329" s="166">
        <v>0</v>
      </c>
      <c r="R329" s="166">
        <v>0</v>
      </c>
      <c r="S329" s="166">
        <v>0</v>
      </c>
      <c r="T329" s="166">
        <v>0</v>
      </c>
      <c r="U329" s="13">
        <v>0</v>
      </c>
      <c r="V329" s="13">
        <v>0</v>
      </c>
      <c r="W329" s="8" t="s">
        <v>2237</v>
      </c>
      <c r="X329" s="8" t="s">
        <v>51</v>
      </c>
      <c r="Y329" s="2" t="s">
        <v>51</v>
      </c>
      <c r="Z329" s="2" t="s">
        <v>51</v>
      </c>
      <c r="AA329" s="14"/>
      <c r="AB329" s="2" t="s">
        <v>51</v>
      </c>
    </row>
    <row r="330" spans="1:28" ht="30" customHeight="1">
      <c r="A330" s="8" t="s">
        <v>847</v>
      </c>
      <c r="B330" s="157" t="s">
        <v>4882</v>
      </c>
      <c r="C330" s="157" t="s">
        <v>4886</v>
      </c>
      <c r="D330" s="163" t="s">
        <v>4848</v>
      </c>
      <c r="E330" s="164">
        <v>0</v>
      </c>
      <c r="F330" s="165" t="s">
        <v>51</v>
      </c>
      <c r="G330" s="164">
        <v>0</v>
      </c>
      <c r="H330" s="165" t="s">
        <v>51</v>
      </c>
      <c r="I330" s="164">
        <v>0</v>
      </c>
      <c r="J330" s="165" t="s">
        <v>51</v>
      </c>
      <c r="K330" s="164">
        <v>12000</v>
      </c>
      <c r="L330" s="165" t="s">
        <v>51</v>
      </c>
      <c r="M330" s="164">
        <v>16000</v>
      </c>
      <c r="N330" s="165"/>
      <c r="O330" s="164">
        <f t="shared" si="15"/>
        <v>12000</v>
      </c>
      <c r="P330" s="166">
        <v>0</v>
      </c>
      <c r="Q330" s="166">
        <v>0</v>
      </c>
      <c r="R330" s="166">
        <v>0</v>
      </c>
      <c r="S330" s="166">
        <v>0</v>
      </c>
      <c r="T330" s="166">
        <v>0</v>
      </c>
      <c r="U330" s="13">
        <v>0</v>
      </c>
      <c r="V330" s="13">
        <v>0</v>
      </c>
      <c r="W330" s="8" t="s">
        <v>2238</v>
      </c>
      <c r="X330" s="8" t="s">
        <v>51</v>
      </c>
      <c r="Y330" s="2" t="s">
        <v>51</v>
      </c>
      <c r="Z330" s="2" t="s">
        <v>51</v>
      </c>
      <c r="AA330" s="14"/>
      <c r="AB330" s="2" t="s">
        <v>51</v>
      </c>
    </row>
    <row r="331" spans="1:28" ht="30" customHeight="1">
      <c r="A331" s="8" t="s">
        <v>847</v>
      </c>
      <c r="B331" s="157" t="s">
        <v>4882</v>
      </c>
      <c r="C331" s="157" t="s">
        <v>4887</v>
      </c>
      <c r="D331" s="163" t="s">
        <v>4848</v>
      </c>
      <c r="E331" s="164">
        <v>0</v>
      </c>
      <c r="F331" s="165" t="s">
        <v>51</v>
      </c>
      <c r="G331" s="164">
        <v>0</v>
      </c>
      <c r="H331" s="165" t="s">
        <v>51</v>
      </c>
      <c r="I331" s="164">
        <v>0</v>
      </c>
      <c r="J331" s="165" t="s">
        <v>51</v>
      </c>
      <c r="K331" s="164">
        <v>18000</v>
      </c>
      <c r="L331" s="165" t="s">
        <v>51</v>
      </c>
      <c r="M331" s="164">
        <v>22000</v>
      </c>
      <c r="N331" s="165"/>
      <c r="O331" s="164">
        <f t="shared" si="15"/>
        <v>18000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3">
        <v>0</v>
      </c>
      <c r="V331" s="13">
        <v>0</v>
      </c>
      <c r="W331" s="8" t="s">
        <v>2239</v>
      </c>
      <c r="X331" s="8" t="s">
        <v>51</v>
      </c>
      <c r="Y331" s="2" t="s">
        <v>51</v>
      </c>
      <c r="Z331" s="2" t="s">
        <v>51</v>
      </c>
      <c r="AA331" s="14"/>
      <c r="AB331" s="2" t="s">
        <v>51</v>
      </c>
    </row>
    <row r="332" spans="1:28" ht="30" customHeight="1">
      <c r="A332" s="8" t="s">
        <v>847</v>
      </c>
      <c r="B332" s="157" t="s">
        <v>4882</v>
      </c>
      <c r="C332" s="157" t="s">
        <v>4888</v>
      </c>
      <c r="D332" s="163" t="s">
        <v>4848</v>
      </c>
      <c r="E332" s="164">
        <v>0</v>
      </c>
      <c r="F332" s="165" t="s">
        <v>51</v>
      </c>
      <c r="G332" s="164">
        <v>0</v>
      </c>
      <c r="H332" s="165" t="s">
        <v>51</v>
      </c>
      <c r="I332" s="164">
        <v>0</v>
      </c>
      <c r="J332" s="165" t="s">
        <v>51</v>
      </c>
      <c r="K332" s="164">
        <v>40000</v>
      </c>
      <c r="L332" s="165" t="s">
        <v>51</v>
      </c>
      <c r="M332" s="164">
        <v>45000</v>
      </c>
      <c r="N332" s="165"/>
      <c r="O332" s="164">
        <f t="shared" si="15"/>
        <v>40000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3">
        <v>0</v>
      </c>
      <c r="V332" s="13">
        <v>0</v>
      </c>
      <c r="W332" s="8" t="s">
        <v>2240</v>
      </c>
      <c r="X332" s="8" t="s">
        <v>51</v>
      </c>
      <c r="Y332" s="2" t="s">
        <v>51</v>
      </c>
      <c r="Z332" s="2" t="s">
        <v>51</v>
      </c>
      <c r="AA332" s="14"/>
      <c r="AB332" s="2" t="s">
        <v>51</v>
      </c>
    </row>
    <row r="333" spans="1:28" ht="30" customHeight="1">
      <c r="A333" s="8" t="s">
        <v>847</v>
      </c>
      <c r="B333" s="157" t="s">
        <v>4882</v>
      </c>
      <c r="C333" s="157" t="s">
        <v>4889</v>
      </c>
      <c r="D333" s="163" t="s">
        <v>4848</v>
      </c>
      <c r="E333" s="164">
        <v>0</v>
      </c>
      <c r="F333" s="165" t="s">
        <v>51</v>
      </c>
      <c r="G333" s="164">
        <v>0</v>
      </c>
      <c r="H333" s="165" t="s">
        <v>51</v>
      </c>
      <c r="I333" s="164">
        <v>0</v>
      </c>
      <c r="J333" s="165" t="s">
        <v>51</v>
      </c>
      <c r="K333" s="164">
        <v>15000</v>
      </c>
      <c r="L333" s="165" t="s">
        <v>51</v>
      </c>
      <c r="M333" s="164">
        <v>18000</v>
      </c>
      <c r="N333" s="165"/>
      <c r="O333" s="164">
        <f t="shared" si="15"/>
        <v>15000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3">
        <v>0</v>
      </c>
      <c r="V333" s="13">
        <v>0</v>
      </c>
      <c r="W333" s="8" t="s">
        <v>2241</v>
      </c>
      <c r="X333" s="8" t="s">
        <v>51</v>
      </c>
      <c r="Y333" s="2" t="s">
        <v>51</v>
      </c>
      <c r="Z333" s="2" t="s">
        <v>51</v>
      </c>
      <c r="AA333" s="14"/>
      <c r="AB333" s="2" t="s">
        <v>51</v>
      </c>
    </row>
    <row r="334" spans="1:28" ht="30" customHeight="1">
      <c r="A334" s="8" t="s">
        <v>847</v>
      </c>
      <c r="B334" s="157" t="s">
        <v>4882</v>
      </c>
      <c r="C334" s="157" t="s">
        <v>4890</v>
      </c>
      <c r="D334" s="163" t="s">
        <v>4848</v>
      </c>
      <c r="E334" s="164">
        <v>0</v>
      </c>
      <c r="F334" s="165" t="s">
        <v>51</v>
      </c>
      <c r="G334" s="164">
        <v>0</v>
      </c>
      <c r="H334" s="165" t="s">
        <v>51</v>
      </c>
      <c r="I334" s="164">
        <v>0</v>
      </c>
      <c r="J334" s="165" t="s">
        <v>51</v>
      </c>
      <c r="K334" s="164">
        <v>10000</v>
      </c>
      <c r="L334" s="165" t="s">
        <v>51</v>
      </c>
      <c r="M334" s="164">
        <v>12000</v>
      </c>
      <c r="N334" s="165"/>
      <c r="O334" s="164">
        <f t="shared" si="15"/>
        <v>10000</v>
      </c>
      <c r="P334" s="166">
        <v>0</v>
      </c>
      <c r="Q334" s="166">
        <v>0</v>
      </c>
      <c r="R334" s="166">
        <v>0</v>
      </c>
      <c r="S334" s="166">
        <v>0</v>
      </c>
      <c r="T334" s="166">
        <v>0</v>
      </c>
      <c r="U334" s="13">
        <v>0</v>
      </c>
      <c r="V334" s="13">
        <v>0</v>
      </c>
      <c r="W334" s="8" t="s">
        <v>2242</v>
      </c>
      <c r="X334" s="8" t="s">
        <v>51</v>
      </c>
      <c r="Y334" s="2" t="s">
        <v>51</v>
      </c>
      <c r="Z334" s="2" t="s">
        <v>51</v>
      </c>
      <c r="AA334" s="14"/>
      <c r="AB334" s="2" t="s">
        <v>51</v>
      </c>
    </row>
    <row r="335" spans="1:28" ht="30" customHeight="1">
      <c r="A335" s="8" t="s">
        <v>847</v>
      </c>
      <c r="B335" s="157" t="s">
        <v>4882</v>
      </c>
      <c r="C335" s="157" t="s">
        <v>4891</v>
      </c>
      <c r="D335" s="163" t="s">
        <v>4848</v>
      </c>
      <c r="E335" s="164">
        <v>0</v>
      </c>
      <c r="F335" s="165" t="s">
        <v>51</v>
      </c>
      <c r="G335" s="164">
        <v>0</v>
      </c>
      <c r="H335" s="165" t="s">
        <v>51</v>
      </c>
      <c r="I335" s="164">
        <v>0</v>
      </c>
      <c r="J335" s="165" t="s">
        <v>51</v>
      </c>
      <c r="K335" s="164">
        <v>12000</v>
      </c>
      <c r="L335" s="165" t="s">
        <v>51</v>
      </c>
      <c r="M335" s="164">
        <v>15000</v>
      </c>
      <c r="N335" s="165"/>
      <c r="O335" s="164">
        <f t="shared" si="15"/>
        <v>12000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3">
        <v>0</v>
      </c>
      <c r="V335" s="13">
        <v>0</v>
      </c>
      <c r="W335" s="8" t="s">
        <v>2244</v>
      </c>
      <c r="X335" s="8" t="s">
        <v>51</v>
      </c>
      <c r="Y335" s="2" t="s">
        <v>51</v>
      </c>
      <c r="Z335" s="2" t="s">
        <v>51</v>
      </c>
      <c r="AA335" s="14"/>
      <c r="AB335" s="2" t="s">
        <v>51</v>
      </c>
    </row>
    <row r="336" spans="1:28" ht="30" customHeight="1">
      <c r="A336" s="8" t="s">
        <v>847</v>
      </c>
      <c r="B336" s="157" t="s">
        <v>4882</v>
      </c>
      <c r="C336" s="157" t="s">
        <v>4892</v>
      </c>
      <c r="D336" s="163" t="s">
        <v>4848</v>
      </c>
      <c r="E336" s="164">
        <v>0</v>
      </c>
      <c r="F336" s="165" t="s">
        <v>51</v>
      </c>
      <c r="G336" s="164">
        <v>0</v>
      </c>
      <c r="H336" s="165" t="s">
        <v>51</v>
      </c>
      <c r="I336" s="164">
        <v>0</v>
      </c>
      <c r="J336" s="165" t="s">
        <v>51</v>
      </c>
      <c r="K336" s="164">
        <v>10000</v>
      </c>
      <c r="L336" s="165" t="s">
        <v>51</v>
      </c>
      <c r="M336" s="164">
        <v>18000</v>
      </c>
      <c r="N336" s="165"/>
      <c r="O336" s="164">
        <f t="shared" si="15"/>
        <v>10000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3">
        <v>0</v>
      </c>
      <c r="V336" s="13">
        <v>0</v>
      </c>
      <c r="W336" s="8" t="s">
        <v>2246</v>
      </c>
      <c r="X336" s="8" t="s">
        <v>51</v>
      </c>
      <c r="Y336" s="2" t="s">
        <v>51</v>
      </c>
      <c r="Z336" s="2" t="s">
        <v>51</v>
      </c>
      <c r="AA336" s="14"/>
      <c r="AB336" s="2" t="s">
        <v>51</v>
      </c>
    </row>
    <row r="337" spans="1:28" ht="30" customHeight="1">
      <c r="A337" s="8" t="s">
        <v>847</v>
      </c>
      <c r="B337" s="157" t="s">
        <v>4882</v>
      </c>
      <c r="C337" s="157" t="s">
        <v>4893</v>
      </c>
      <c r="D337" s="163" t="s">
        <v>4848</v>
      </c>
      <c r="E337" s="164">
        <v>0</v>
      </c>
      <c r="F337" s="165" t="s">
        <v>51</v>
      </c>
      <c r="G337" s="164">
        <v>0</v>
      </c>
      <c r="H337" s="165" t="s">
        <v>51</v>
      </c>
      <c r="I337" s="164">
        <v>0</v>
      </c>
      <c r="J337" s="165" t="s">
        <v>51</v>
      </c>
      <c r="K337" s="164">
        <v>10000</v>
      </c>
      <c r="L337" s="165" t="s">
        <v>51</v>
      </c>
      <c r="M337" s="164">
        <v>18000</v>
      </c>
      <c r="N337" s="165"/>
      <c r="O337" s="164">
        <f t="shared" ref="O337:O349" si="17">SMALL(E337:M337,COUNTIF(E337:M337,0)+1)</f>
        <v>10000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3">
        <v>0</v>
      </c>
      <c r="V337" s="13">
        <v>0</v>
      </c>
      <c r="W337" s="8" t="s">
        <v>2247</v>
      </c>
      <c r="X337" s="8" t="s">
        <v>51</v>
      </c>
      <c r="Y337" s="2" t="s">
        <v>51</v>
      </c>
      <c r="Z337" s="2" t="s">
        <v>51</v>
      </c>
      <c r="AA337" s="14"/>
      <c r="AB337" s="2" t="s">
        <v>51</v>
      </c>
    </row>
    <row r="338" spans="1:28" ht="30" customHeight="1">
      <c r="A338" s="8" t="s">
        <v>847</v>
      </c>
      <c r="B338" s="157" t="s">
        <v>4882</v>
      </c>
      <c r="C338" s="157" t="s">
        <v>4894</v>
      </c>
      <c r="D338" s="163" t="s">
        <v>4848</v>
      </c>
      <c r="E338" s="164">
        <v>0</v>
      </c>
      <c r="F338" s="165" t="s">
        <v>51</v>
      </c>
      <c r="G338" s="164">
        <v>0</v>
      </c>
      <c r="H338" s="165" t="s">
        <v>51</v>
      </c>
      <c r="I338" s="164">
        <v>0</v>
      </c>
      <c r="J338" s="165" t="s">
        <v>51</v>
      </c>
      <c r="K338" s="164">
        <v>38000</v>
      </c>
      <c r="L338" s="165" t="s">
        <v>51</v>
      </c>
      <c r="M338" s="164">
        <v>42000</v>
      </c>
      <c r="N338" s="165"/>
      <c r="O338" s="164">
        <f t="shared" si="17"/>
        <v>38000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3">
        <v>0</v>
      </c>
      <c r="V338" s="13">
        <v>0</v>
      </c>
      <c r="W338" s="8" t="s">
        <v>2249</v>
      </c>
      <c r="X338" s="8" t="s">
        <v>51</v>
      </c>
      <c r="Y338" s="2" t="s">
        <v>51</v>
      </c>
      <c r="Z338" s="2" t="s">
        <v>51</v>
      </c>
      <c r="AA338" s="14"/>
      <c r="AB338" s="2" t="s">
        <v>51</v>
      </c>
    </row>
    <row r="339" spans="1:28" ht="30" customHeight="1">
      <c r="A339" s="8" t="s">
        <v>847</v>
      </c>
      <c r="B339" s="157" t="s">
        <v>4882</v>
      </c>
      <c r="C339" s="157" t="s">
        <v>4895</v>
      </c>
      <c r="D339" s="163" t="s">
        <v>4848</v>
      </c>
      <c r="E339" s="164">
        <v>0</v>
      </c>
      <c r="F339" s="165" t="s">
        <v>51</v>
      </c>
      <c r="G339" s="164">
        <v>0</v>
      </c>
      <c r="H339" s="165" t="s">
        <v>51</v>
      </c>
      <c r="I339" s="164">
        <v>0</v>
      </c>
      <c r="J339" s="165" t="s">
        <v>51</v>
      </c>
      <c r="K339" s="164">
        <v>40000</v>
      </c>
      <c r="L339" s="165" t="s">
        <v>51</v>
      </c>
      <c r="M339" s="164">
        <v>45000</v>
      </c>
      <c r="N339" s="165"/>
      <c r="O339" s="164">
        <f t="shared" si="17"/>
        <v>40000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3">
        <v>0</v>
      </c>
      <c r="V339" s="13">
        <v>0</v>
      </c>
      <c r="W339" s="8" t="s">
        <v>2251</v>
      </c>
      <c r="X339" s="8" t="s">
        <v>51</v>
      </c>
      <c r="Y339" s="2" t="s">
        <v>51</v>
      </c>
      <c r="Z339" s="2" t="s">
        <v>51</v>
      </c>
      <c r="AA339" s="14"/>
      <c r="AB339" s="2" t="s">
        <v>51</v>
      </c>
    </row>
    <row r="340" spans="1:28" ht="30" customHeight="1">
      <c r="A340" s="8" t="s">
        <v>847</v>
      </c>
      <c r="B340" s="157" t="s">
        <v>4882</v>
      </c>
      <c r="C340" s="157" t="s">
        <v>4896</v>
      </c>
      <c r="D340" s="163" t="s">
        <v>4848</v>
      </c>
      <c r="E340" s="164">
        <v>0</v>
      </c>
      <c r="F340" s="165" t="s">
        <v>51</v>
      </c>
      <c r="G340" s="164">
        <v>0</v>
      </c>
      <c r="H340" s="165" t="s">
        <v>51</v>
      </c>
      <c r="I340" s="164">
        <v>0</v>
      </c>
      <c r="J340" s="165" t="s">
        <v>51</v>
      </c>
      <c r="K340" s="164">
        <v>80000</v>
      </c>
      <c r="L340" s="165" t="s">
        <v>51</v>
      </c>
      <c r="M340" s="164">
        <v>95000</v>
      </c>
      <c r="N340" s="165"/>
      <c r="O340" s="164">
        <f t="shared" si="17"/>
        <v>80000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3">
        <v>0</v>
      </c>
      <c r="V340" s="13">
        <v>0</v>
      </c>
      <c r="W340" s="8" t="s">
        <v>2252</v>
      </c>
      <c r="X340" s="8" t="s">
        <v>51</v>
      </c>
      <c r="Y340" s="2" t="s">
        <v>51</v>
      </c>
      <c r="Z340" s="2" t="s">
        <v>51</v>
      </c>
      <c r="AA340" s="14"/>
      <c r="AB340" s="2" t="s">
        <v>51</v>
      </c>
    </row>
    <row r="341" spans="1:28" ht="30" customHeight="1">
      <c r="A341" s="8" t="s">
        <v>847</v>
      </c>
      <c r="B341" s="157" t="s">
        <v>4882</v>
      </c>
      <c r="C341" s="157" t="s">
        <v>4897</v>
      </c>
      <c r="D341" s="163" t="s">
        <v>4848</v>
      </c>
      <c r="E341" s="164">
        <v>0</v>
      </c>
      <c r="F341" s="165" t="s">
        <v>51</v>
      </c>
      <c r="G341" s="164">
        <v>0</v>
      </c>
      <c r="H341" s="165" t="s">
        <v>51</v>
      </c>
      <c r="I341" s="164">
        <v>0</v>
      </c>
      <c r="J341" s="165" t="s">
        <v>51</v>
      </c>
      <c r="K341" s="164">
        <v>10000</v>
      </c>
      <c r="L341" s="165" t="s">
        <v>51</v>
      </c>
      <c r="M341" s="164">
        <v>15000</v>
      </c>
      <c r="N341" s="165"/>
      <c r="O341" s="164">
        <f t="shared" si="17"/>
        <v>10000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3">
        <v>0</v>
      </c>
      <c r="V341" s="13">
        <v>0</v>
      </c>
      <c r="W341" s="8" t="s">
        <v>2253</v>
      </c>
      <c r="X341" s="8" t="s">
        <v>51</v>
      </c>
      <c r="Y341" s="2" t="s">
        <v>51</v>
      </c>
      <c r="Z341" s="2" t="s">
        <v>51</v>
      </c>
      <c r="AA341" s="14"/>
      <c r="AB341" s="2" t="s">
        <v>51</v>
      </c>
    </row>
    <row r="342" spans="1:28" ht="30" customHeight="1">
      <c r="A342" s="8" t="s">
        <v>847</v>
      </c>
      <c r="B342" s="157" t="s">
        <v>4882</v>
      </c>
      <c r="C342" s="157" t="s">
        <v>4898</v>
      </c>
      <c r="D342" s="163" t="s">
        <v>4848</v>
      </c>
      <c r="E342" s="164">
        <v>0</v>
      </c>
      <c r="F342" s="165" t="s">
        <v>51</v>
      </c>
      <c r="G342" s="164">
        <v>0</v>
      </c>
      <c r="H342" s="165" t="s">
        <v>51</v>
      </c>
      <c r="I342" s="164">
        <v>0</v>
      </c>
      <c r="J342" s="165" t="s">
        <v>51</v>
      </c>
      <c r="K342" s="164">
        <v>12000</v>
      </c>
      <c r="L342" s="165" t="s">
        <v>51</v>
      </c>
      <c r="M342" s="164">
        <v>18000</v>
      </c>
      <c r="N342" s="165"/>
      <c r="O342" s="164">
        <f t="shared" si="17"/>
        <v>12000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3">
        <v>0</v>
      </c>
      <c r="V342" s="13">
        <v>0</v>
      </c>
      <c r="W342" s="8" t="s">
        <v>3909</v>
      </c>
      <c r="X342" s="8" t="s">
        <v>51</v>
      </c>
      <c r="Y342" s="2" t="s">
        <v>51</v>
      </c>
      <c r="Z342" s="2" t="s">
        <v>51</v>
      </c>
      <c r="AA342" s="14"/>
      <c r="AB342" s="2" t="s">
        <v>51</v>
      </c>
    </row>
    <row r="343" spans="1:28" ht="30" customHeight="1">
      <c r="A343" s="8" t="s">
        <v>847</v>
      </c>
      <c r="B343" s="157" t="s">
        <v>4882</v>
      </c>
      <c r="C343" s="157" t="s">
        <v>4899</v>
      </c>
      <c r="D343" s="163" t="s">
        <v>4848</v>
      </c>
      <c r="E343" s="164">
        <v>0</v>
      </c>
      <c r="F343" s="165" t="s">
        <v>51</v>
      </c>
      <c r="G343" s="164">
        <v>0</v>
      </c>
      <c r="H343" s="165" t="s">
        <v>51</v>
      </c>
      <c r="I343" s="164">
        <v>0</v>
      </c>
      <c r="J343" s="165" t="s">
        <v>51</v>
      </c>
      <c r="K343" s="164">
        <v>15000</v>
      </c>
      <c r="L343" s="165" t="s">
        <v>51</v>
      </c>
      <c r="M343" s="164">
        <v>19000</v>
      </c>
      <c r="N343" s="165"/>
      <c r="O343" s="164">
        <f t="shared" si="17"/>
        <v>15000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3">
        <v>0</v>
      </c>
      <c r="V343" s="13">
        <v>0</v>
      </c>
      <c r="W343" s="8" t="s">
        <v>3910</v>
      </c>
      <c r="X343" s="8" t="s">
        <v>51</v>
      </c>
      <c r="Y343" s="2" t="s">
        <v>51</v>
      </c>
      <c r="Z343" s="2" t="s">
        <v>51</v>
      </c>
      <c r="AA343" s="14"/>
      <c r="AB343" s="2" t="s">
        <v>51</v>
      </c>
    </row>
    <row r="344" spans="1:28" ht="30" customHeight="1">
      <c r="A344" s="8" t="s">
        <v>847</v>
      </c>
      <c r="B344" s="157" t="s">
        <v>4882</v>
      </c>
      <c r="C344" s="157" t="s">
        <v>4900</v>
      </c>
      <c r="D344" s="163" t="s">
        <v>4848</v>
      </c>
      <c r="E344" s="164">
        <v>0</v>
      </c>
      <c r="F344" s="165" t="s">
        <v>51</v>
      </c>
      <c r="G344" s="164">
        <v>0</v>
      </c>
      <c r="H344" s="165" t="s">
        <v>51</v>
      </c>
      <c r="I344" s="164">
        <v>0</v>
      </c>
      <c r="J344" s="165" t="s">
        <v>51</v>
      </c>
      <c r="K344" s="164">
        <v>20000</v>
      </c>
      <c r="L344" s="165" t="s">
        <v>51</v>
      </c>
      <c r="M344" s="164">
        <v>22000</v>
      </c>
      <c r="N344" s="165"/>
      <c r="O344" s="164">
        <f t="shared" si="17"/>
        <v>20000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3">
        <v>0</v>
      </c>
      <c r="V344" s="13">
        <v>0</v>
      </c>
      <c r="W344" s="8" t="s">
        <v>3911</v>
      </c>
      <c r="X344" s="8" t="s">
        <v>51</v>
      </c>
      <c r="Y344" s="2" t="s">
        <v>51</v>
      </c>
      <c r="Z344" s="2" t="s">
        <v>51</v>
      </c>
      <c r="AA344" s="14"/>
      <c r="AB344" s="2" t="s">
        <v>51</v>
      </c>
    </row>
    <row r="345" spans="1:28" ht="30" customHeight="1">
      <c r="A345" s="8" t="s">
        <v>847</v>
      </c>
      <c r="B345" s="157" t="s">
        <v>4882</v>
      </c>
      <c r="C345" s="157" t="s">
        <v>4901</v>
      </c>
      <c r="D345" s="163" t="s">
        <v>4848</v>
      </c>
      <c r="E345" s="164">
        <v>0</v>
      </c>
      <c r="F345" s="165" t="s">
        <v>51</v>
      </c>
      <c r="G345" s="164">
        <v>0</v>
      </c>
      <c r="H345" s="165" t="s">
        <v>51</v>
      </c>
      <c r="I345" s="164">
        <v>0</v>
      </c>
      <c r="J345" s="165" t="s">
        <v>51</v>
      </c>
      <c r="K345" s="164">
        <v>120000</v>
      </c>
      <c r="L345" s="165" t="s">
        <v>51</v>
      </c>
      <c r="M345" s="164">
        <v>145000</v>
      </c>
      <c r="N345" s="165"/>
      <c r="O345" s="164">
        <f t="shared" si="17"/>
        <v>120000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3">
        <v>0</v>
      </c>
      <c r="V345" s="13">
        <v>0</v>
      </c>
      <c r="W345" s="8" t="s">
        <v>3912</v>
      </c>
      <c r="X345" s="8" t="s">
        <v>51</v>
      </c>
      <c r="Y345" s="2" t="s">
        <v>51</v>
      </c>
      <c r="Z345" s="2" t="s">
        <v>51</v>
      </c>
      <c r="AA345" s="14"/>
      <c r="AB345" s="2" t="s">
        <v>51</v>
      </c>
    </row>
    <row r="346" spans="1:28" ht="30" customHeight="1">
      <c r="A346" s="8" t="s">
        <v>847</v>
      </c>
      <c r="B346" s="157" t="s">
        <v>4882</v>
      </c>
      <c r="C346" s="157" t="s">
        <v>4902</v>
      </c>
      <c r="D346" s="163" t="s">
        <v>4848</v>
      </c>
      <c r="E346" s="164">
        <v>0</v>
      </c>
      <c r="F346" s="165" t="s">
        <v>51</v>
      </c>
      <c r="G346" s="164">
        <v>0</v>
      </c>
      <c r="H346" s="165" t="s">
        <v>51</v>
      </c>
      <c r="I346" s="164">
        <v>0</v>
      </c>
      <c r="J346" s="165" t="s">
        <v>51</v>
      </c>
      <c r="K346" s="164">
        <v>15000</v>
      </c>
      <c r="L346" s="165" t="s">
        <v>51</v>
      </c>
      <c r="M346" s="164">
        <v>18000</v>
      </c>
      <c r="N346" s="165"/>
      <c r="O346" s="164">
        <f t="shared" si="17"/>
        <v>15000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3">
        <v>0</v>
      </c>
      <c r="V346" s="13">
        <v>0</v>
      </c>
      <c r="W346" s="8" t="s">
        <v>3913</v>
      </c>
      <c r="X346" s="8" t="s">
        <v>51</v>
      </c>
      <c r="Y346" s="2" t="s">
        <v>51</v>
      </c>
      <c r="Z346" s="2" t="s">
        <v>51</v>
      </c>
      <c r="AA346" s="14"/>
      <c r="AB346" s="2" t="s">
        <v>51</v>
      </c>
    </row>
    <row r="347" spans="1:28" ht="30" customHeight="1">
      <c r="A347" s="8" t="s">
        <v>847</v>
      </c>
      <c r="B347" s="157" t="s">
        <v>4882</v>
      </c>
      <c r="C347" s="157" t="s">
        <v>4901</v>
      </c>
      <c r="D347" s="163" t="s">
        <v>4848</v>
      </c>
      <c r="E347" s="164">
        <v>0</v>
      </c>
      <c r="F347" s="165" t="s">
        <v>51</v>
      </c>
      <c r="G347" s="164">
        <v>0</v>
      </c>
      <c r="H347" s="165" t="s">
        <v>51</v>
      </c>
      <c r="I347" s="164">
        <v>0</v>
      </c>
      <c r="J347" s="165" t="s">
        <v>51</v>
      </c>
      <c r="K347" s="164">
        <v>12000</v>
      </c>
      <c r="L347" s="165" t="s">
        <v>51</v>
      </c>
      <c r="M347" s="164">
        <v>14500</v>
      </c>
      <c r="N347" s="165"/>
      <c r="O347" s="164">
        <f t="shared" si="17"/>
        <v>12000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3">
        <v>0</v>
      </c>
      <c r="V347" s="13">
        <v>0</v>
      </c>
      <c r="W347" s="8" t="s">
        <v>2255</v>
      </c>
      <c r="X347" s="8" t="s">
        <v>51</v>
      </c>
      <c r="Y347" s="2" t="s">
        <v>51</v>
      </c>
      <c r="Z347" s="2" t="s">
        <v>51</v>
      </c>
      <c r="AA347" s="14"/>
      <c r="AB347" s="2" t="s">
        <v>51</v>
      </c>
    </row>
    <row r="348" spans="1:28" ht="30" customHeight="1">
      <c r="A348" s="8" t="s">
        <v>847</v>
      </c>
      <c r="B348" s="157" t="s">
        <v>4882</v>
      </c>
      <c r="C348" s="157" t="s">
        <v>4903</v>
      </c>
      <c r="D348" s="163" t="s">
        <v>4848</v>
      </c>
      <c r="E348" s="164">
        <v>0</v>
      </c>
      <c r="F348" s="165" t="s">
        <v>51</v>
      </c>
      <c r="G348" s="164">
        <v>0</v>
      </c>
      <c r="H348" s="165" t="s">
        <v>51</v>
      </c>
      <c r="I348" s="164">
        <v>0</v>
      </c>
      <c r="J348" s="165" t="s">
        <v>51</v>
      </c>
      <c r="K348" s="164">
        <v>14000</v>
      </c>
      <c r="L348" s="165" t="s">
        <v>51</v>
      </c>
      <c r="M348" s="164">
        <v>16500</v>
      </c>
      <c r="N348" s="165"/>
      <c r="O348" s="164">
        <f t="shared" si="17"/>
        <v>14000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3">
        <v>0</v>
      </c>
      <c r="V348" s="13">
        <v>0</v>
      </c>
      <c r="W348" s="8" t="s">
        <v>2257</v>
      </c>
      <c r="X348" s="8" t="s">
        <v>51</v>
      </c>
      <c r="Y348" s="2" t="s">
        <v>51</v>
      </c>
      <c r="Z348" s="2" t="s">
        <v>51</v>
      </c>
      <c r="AA348" s="14"/>
      <c r="AB348" s="2" t="s">
        <v>51</v>
      </c>
    </row>
    <row r="349" spans="1:28" ht="30" customHeight="1">
      <c r="A349" s="8" t="s">
        <v>849</v>
      </c>
      <c r="B349" s="157" t="s">
        <v>4882</v>
      </c>
      <c r="C349" s="157" t="s">
        <v>4904</v>
      </c>
      <c r="D349" s="163" t="s">
        <v>4848</v>
      </c>
      <c r="E349" s="164">
        <v>0</v>
      </c>
      <c r="F349" s="165" t="s">
        <v>51</v>
      </c>
      <c r="G349" s="164">
        <v>0</v>
      </c>
      <c r="H349" s="165" t="s">
        <v>51</v>
      </c>
      <c r="I349" s="164">
        <v>0</v>
      </c>
      <c r="J349" s="165" t="s">
        <v>51</v>
      </c>
      <c r="K349" s="164">
        <v>12000</v>
      </c>
      <c r="L349" s="165" t="s">
        <v>51</v>
      </c>
      <c r="M349" s="164">
        <v>14800</v>
      </c>
      <c r="N349" s="165"/>
      <c r="O349" s="164">
        <f t="shared" si="17"/>
        <v>12000</v>
      </c>
      <c r="P349" s="166">
        <v>0</v>
      </c>
      <c r="Q349" s="166">
        <v>0</v>
      </c>
      <c r="R349" s="166">
        <v>0</v>
      </c>
      <c r="S349" s="166">
        <v>0</v>
      </c>
      <c r="T349" s="166">
        <v>0</v>
      </c>
      <c r="U349" s="13">
        <v>0</v>
      </c>
      <c r="V349" s="13">
        <v>0</v>
      </c>
      <c r="W349" s="8" t="s">
        <v>2259</v>
      </c>
      <c r="X349" s="8" t="s">
        <v>51</v>
      </c>
      <c r="Y349" s="2" t="s">
        <v>51</v>
      </c>
      <c r="Z349" s="2" t="s">
        <v>51</v>
      </c>
      <c r="AA349" s="14"/>
      <c r="AB349" s="2" t="s">
        <v>51</v>
      </c>
    </row>
    <row r="350" spans="1:28" ht="30" customHeight="1">
      <c r="A350" s="8" t="s">
        <v>847</v>
      </c>
      <c r="B350" s="157" t="s">
        <v>4882</v>
      </c>
      <c r="C350" s="157" t="s">
        <v>4905</v>
      </c>
      <c r="D350" s="163" t="s">
        <v>4848</v>
      </c>
      <c r="E350" s="164">
        <v>0</v>
      </c>
      <c r="F350" s="165" t="s">
        <v>51</v>
      </c>
      <c r="G350" s="164">
        <v>0</v>
      </c>
      <c r="H350" s="165" t="s">
        <v>51</v>
      </c>
      <c r="I350" s="164">
        <v>0</v>
      </c>
      <c r="J350" s="165" t="s">
        <v>51</v>
      </c>
      <c r="K350" s="164">
        <v>20000</v>
      </c>
      <c r="L350" s="165" t="s">
        <v>51</v>
      </c>
      <c r="M350" s="164">
        <v>22000</v>
      </c>
      <c r="N350" s="165"/>
      <c r="O350" s="164">
        <f t="shared" si="15"/>
        <v>20000</v>
      </c>
      <c r="P350" s="166">
        <v>0</v>
      </c>
      <c r="Q350" s="166">
        <v>0</v>
      </c>
      <c r="R350" s="166">
        <v>0</v>
      </c>
      <c r="S350" s="166">
        <v>0</v>
      </c>
      <c r="T350" s="166">
        <v>0</v>
      </c>
      <c r="U350" s="13">
        <v>0</v>
      </c>
      <c r="V350" s="13">
        <v>0</v>
      </c>
      <c r="W350" s="8" t="s">
        <v>3914</v>
      </c>
      <c r="X350" s="8" t="s">
        <v>51</v>
      </c>
      <c r="Y350" s="2" t="s">
        <v>51</v>
      </c>
      <c r="Z350" s="2" t="s">
        <v>51</v>
      </c>
      <c r="AA350" s="14"/>
      <c r="AB350" s="2" t="s">
        <v>51</v>
      </c>
    </row>
    <row r="351" spans="1:28" ht="30" customHeight="1">
      <c r="A351" s="8" t="s">
        <v>847</v>
      </c>
      <c r="B351" s="157" t="s">
        <v>4882</v>
      </c>
      <c r="C351" s="157" t="s">
        <v>4906</v>
      </c>
      <c r="D351" s="163" t="s">
        <v>4848</v>
      </c>
      <c r="E351" s="164">
        <v>0</v>
      </c>
      <c r="F351" s="165" t="s">
        <v>51</v>
      </c>
      <c r="G351" s="164">
        <v>0</v>
      </c>
      <c r="H351" s="165" t="s">
        <v>51</v>
      </c>
      <c r="I351" s="164">
        <v>0</v>
      </c>
      <c r="J351" s="165" t="s">
        <v>51</v>
      </c>
      <c r="K351" s="164">
        <v>15000</v>
      </c>
      <c r="L351" s="165" t="s">
        <v>51</v>
      </c>
      <c r="M351" s="164">
        <v>19000</v>
      </c>
      <c r="N351" s="165"/>
      <c r="O351" s="164">
        <f t="shared" si="15"/>
        <v>15000</v>
      </c>
      <c r="P351" s="166">
        <v>0</v>
      </c>
      <c r="Q351" s="166">
        <v>0</v>
      </c>
      <c r="R351" s="166">
        <v>0</v>
      </c>
      <c r="S351" s="166">
        <v>0</v>
      </c>
      <c r="T351" s="166">
        <v>0</v>
      </c>
      <c r="U351" s="13">
        <v>0</v>
      </c>
      <c r="V351" s="13">
        <v>0</v>
      </c>
      <c r="W351" s="8" t="s">
        <v>3915</v>
      </c>
      <c r="X351" s="8" t="s">
        <v>51</v>
      </c>
      <c r="Y351" s="2" t="s">
        <v>51</v>
      </c>
      <c r="Z351" s="2" t="s">
        <v>51</v>
      </c>
      <c r="AA351" s="14"/>
      <c r="AB351" s="2" t="s">
        <v>51</v>
      </c>
    </row>
    <row r="352" spans="1:28" ht="30" customHeight="1">
      <c r="A352" s="8" t="s">
        <v>847</v>
      </c>
      <c r="B352" s="157" t="s">
        <v>4907</v>
      </c>
      <c r="C352" s="157" t="s">
        <v>4908</v>
      </c>
      <c r="D352" s="163" t="s">
        <v>4848</v>
      </c>
      <c r="E352" s="164">
        <v>0</v>
      </c>
      <c r="F352" s="165" t="s">
        <v>51</v>
      </c>
      <c r="G352" s="164">
        <v>0</v>
      </c>
      <c r="H352" s="165" t="s">
        <v>51</v>
      </c>
      <c r="I352" s="164">
        <v>0</v>
      </c>
      <c r="J352" s="165" t="s">
        <v>51</v>
      </c>
      <c r="K352" s="164">
        <v>270000</v>
      </c>
      <c r="L352" s="165" t="s">
        <v>51</v>
      </c>
      <c r="M352" s="164">
        <v>300000</v>
      </c>
      <c r="N352" s="165"/>
      <c r="O352" s="164">
        <f t="shared" si="15"/>
        <v>270000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3">
        <v>0</v>
      </c>
      <c r="V352" s="13">
        <v>0</v>
      </c>
      <c r="W352" s="8" t="s">
        <v>3916</v>
      </c>
      <c r="X352" s="8" t="s">
        <v>51</v>
      </c>
      <c r="Y352" s="2" t="s">
        <v>51</v>
      </c>
      <c r="Z352" s="2" t="s">
        <v>51</v>
      </c>
      <c r="AA352" s="14"/>
      <c r="AB352" s="2" t="s">
        <v>51</v>
      </c>
    </row>
    <row r="353" spans="1:28" ht="30" customHeight="1">
      <c r="A353" s="8" t="s">
        <v>847</v>
      </c>
      <c r="B353" s="157" t="s">
        <v>4907</v>
      </c>
      <c r="C353" s="157" t="s">
        <v>4909</v>
      </c>
      <c r="D353" s="163" t="s">
        <v>4848</v>
      </c>
      <c r="E353" s="164">
        <v>0</v>
      </c>
      <c r="F353" s="165" t="s">
        <v>51</v>
      </c>
      <c r="G353" s="164">
        <v>0</v>
      </c>
      <c r="H353" s="165" t="s">
        <v>51</v>
      </c>
      <c r="I353" s="164">
        <v>0</v>
      </c>
      <c r="J353" s="165" t="s">
        <v>51</v>
      </c>
      <c r="K353" s="164">
        <v>230000</v>
      </c>
      <c r="L353" s="165" t="s">
        <v>51</v>
      </c>
      <c r="M353" s="164">
        <v>250000</v>
      </c>
      <c r="N353" s="165"/>
      <c r="O353" s="164">
        <f t="shared" si="15"/>
        <v>230000</v>
      </c>
      <c r="P353" s="166">
        <v>0</v>
      </c>
      <c r="Q353" s="166">
        <v>0</v>
      </c>
      <c r="R353" s="166">
        <v>0</v>
      </c>
      <c r="S353" s="166">
        <v>0</v>
      </c>
      <c r="T353" s="166">
        <v>0</v>
      </c>
      <c r="U353" s="13">
        <v>0</v>
      </c>
      <c r="V353" s="13">
        <v>0</v>
      </c>
      <c r="W353" s="8" t="s">
        <v>3917</v>
      </c>
      <c r="X353" s="8" t="s">
        <v>51</v>
      </c>
      <c r="Y353" s="2" t="s">
        <v>51</v>
      </c>
      <c r="Z353" s="2" t="s">
        <v>51</v>
      </c>
      <c r="AA353" s="14"/>
      <c r="AB353" s="2" t="s">
        <v>51</v>
      </c>
    </row>
    <row r="354" spans="1:28" ht="30" customHeight="1">
      <c r="A354" s="8" t="s">
        <v>847</v>
      </c>
      <c r="B354" s="157" t="s">
        <v>4907</v>
      </c>
      <c r="C354" s="157" t="s">
        <v>4910</v>
      </c>
      <c r="D354" s="163" t="s">
        <v>4848</v>
      </c>
      <c r="E354" s="164">
        <v>0</v>
      </c>
      <c r="F354" s="165" t="s">
        <v>51</v>
      </c>
      <c r="G354" s="164">
        <v>0</v>
      </c>
      <c r="H354" s="165" t="s">
        <v>51</v>
      </c>
      <c r="I354" s="164">
        <v>0</v>
      </c>
      <c r="J354" s="165" t="s">
        <v>51</v>
      </c>
      <c r="K354" s="164">
        <v>320000</v>
      </c>
      <c r="L354" s="165" t="s">
        <v>51</v>
      </c>
      <c r="M354" s="164">
        <v>340000</v>
      </c>
      <c r="N354" s="165"/>
      <c r="O354" s="164">
        <f t="shared" si="15"/>
        <v>320000</v>
      </c>
      <c r="P354" s="166">
        <v>0</v>
      </c>
      <c r="Q354" s="166">
        <v>0</v>
      </c>
      <c r="R354" s="166">
        <v>0</v>
      </c>
      <c r="S354" s="166">
        <v>0</v>
      </c>
      <c r="T354" s="166">
        <v>0</v>
      </c>
      <c r="U354" s="13">
        <v>0</v>
      </c>
      <c r="V354" s="13">
        <v>0</v>
      </c>
      <c r="W354" s="8" t="s">
        <v>3918</v>
      </c>
      <c r="X354" s="8" t="s">
        <v>51</v>
      </c>
      <c r="Y354" s="2" t="s">
        <v>51</v>
      </c>
      <c r="Z354" s="2" t="s">
        <v>51</v>
      </c>
      <c r="AA354" s="14"/>
      <c r="AB354" s="2" t="s">
        <v>51</v>
      </c>
    </row>
    <row r="355" spans="1:28" ht="30" customHeight="1">
      <c r="A355" s="8" t="s">
        <v>847</v>
      </c>
      <c r="B355" s="157" t="s">
        <v>4907</v>
      </c>
      <c r="C355" s="157" t="s">
        <v>4911</v>
      </c>
      <c r="D355" s="163" t="s">
        <v>4848</v>
      </c>
      <c r="E355" s="164">
        <v>0</v>
      </c>
      <c r="F355" s="165" t="s">
        <v>51</v>
      </c>
      <c r="G355" s="164">
        <v>0</v>
      </c>
      <c r="H355" s="165" t="s">
        <v>51</v>
      </c>
      <c r="I355" s="164">
        <v>0</v>
      </c>
      <c r="J355" s="165" t="s">
        <v>51</v>
      </c>
      <c r="K355" s="164">
        <v>230000</v>
      </c>
      <c r="L355" s="165" t="s">
        <v>51</v>
      </c>
      <c r="M355" s="164">
        <v>260000</v>
      </c>
      <c r="N355" s="165"/>
      <c r="O355" s="164">
        <f t="shared" si="15"/>
        <v>230000</v>
      </c>
      <c r="P355" s="166">
        <v>0</v>
      </c>
      <c r="Q355" s="166">
        <v>0</v>
      </c>
      <c r="R355" s="166">
        <v>0</v>
      </c>
      <c r="S355" s="166">
        <v>0</v>
      </c>
      <c r="T355" s="166">
        <v>0</v>
      </c>
      <c r="U355" s="13">
        <v>0</v>
      </c>
      <c r="V355" s="13">
        <v>0</v>
      </c>
      <c r="W355" s="8" t="s">
        <v>3919</v>
      </c>
      <c r="X355" s="8" t="s">
        <v>51</v>
      </c>
      <c r="Y355" s="2" t="s">
        <v>51</v>
      </c>
      <c r="Z355" s="2" t="s">
        <v>51</v>
      </c>
      <c r="AA355" s="14"/>
      <c r="AB355" s="2" t="s">
        <v>51</v>
      </c>
    </row>
    <row r="356" spans="1:28" ht="30" customHeight="1">
      <c r="A356" s="8" t="s">
        <v>847</v>
      </c>
      <c r="B356" s="157" t="s">
        <v>4907</v>
      </c>
      <c r="C356" s="157" t="s">
        <v>4912</v>
      </c>
      <c r="D356" s="163" t="s">
        <v>4848</v>
      </c>
      <c r="E356" s="164">
        <v>0</v>
      </c>
      <c r="F356" s="165" t="s">
        <v>51</v>
      </c>
      <c r="G356" s="164">
        <v>0</v>
      </c>
      <c r="H356" s="165" t="s">
        <v>51</v>
      </c>
      <c r="I356" s="164">
        <v>0</v>
      </c>
      <c r="J356" s="165" t="s">
        <v>51</v>
      </c>
      <c r="K356" s="164">
        <v>260000</v>
      </c>
      <c r="L356" s="165" t="s">
        <v>51</v>
      </c>
      <c r="M356" s="164">
        <v>290000</v>
      </c>
      <c r="N356" s="165"/>
      <c r="O356" s="164">
        <f t="shared" si="15"/>
        <v>260000</v>
      </c>
      <c r="P356" s="166">
        <v>0</v>
      </c>
      <c r="Q356" s="166">
        <v>0</v>
      </c>
      <c r="R356" s="166">
        <v>0</v>
      </c>
      <c r="S356" s="166">
        <v>0</v>
      </c>
      <c r="T356" s="166">
        <v>0</v>
      </c>
      <c r="U356" s="13">
        <v>0</v>
      </c>
      <c r="V356" s="13">
        <v>0</v>
      </c>
      <c r="W356" s="8" t="s">
        <v>3920</v>
      </c>
      <c r="X356" s="8" t="s">
        <v>51</v>
      </c>
      <c r="Y356" s="2" t="s">
        <v>51</v>
      </c>
      <c r="Z356" s="2" t="s">
        <v>51</v>
      </c>
      <c r="AA356" s="14"/>
      <c r="AB356" s="2" t="s">
        <v>51</v>
      </c>
    </row>
    <row r="357" spans="1:28" ht="30" customHeight="1">
      <c r="A357" s="8" t="s">
        <v>847</v>
      </c>
      <c r="B357" s="157" t="s">
        <v>4907</v>
      </c>
      <c r="C357" s="157" t="s">
        <v>4913</v>
      </c>
      <c r="D357" s="163" t="s">
        <v>4848</v>
      </c>
      <c r="E357" s="164">
        <v>0</v>
      </c>
      <c r="F357" s="165" t="s">
        <v>51</v>
      </c>
      <c r="G357" s="164">
        <v>0</v>
      </c>
      <c r="H357" s="165" t="s">
        <v>51</v>
      </c>
      <c r="I357" s="164">
        <v>0</v>
      </c>
      <c r="J357" s="165" t="s">
        <v>51</v>
      </c>
      <c r="K357" s="164">
        <v>230000</v>
      </c>
      <c r="L357" s="165" t="s">
        <v>51</v>
      </c>
      <c r="M357" s="164">
        <v>260000</v>
      </c>
      <c r="N357" s="165"/>
      <c r="O357" s="164">
        <f t="shared" si="15"/>
        <v>230000</v>
      </c>
      <c r="P357" s="166">
        <v>0</v>
      </c>
      <c r="Q357" s="166">
        <v>0</v>
      </c>
      <c r="R357" s="166">
        <v>0</v>
      </c>
      <c r="S357" s="166">
        <v>0</v>
      </c>
      <c r="T357" s="166">
        <v>0</v>
      </c>
      <c r="U357" s="13">
        <v>0</v>
      </c>
      <c r="V357" s="13">
        <v>0</v>
      </c>
      <c r="W357" s="8" t="s">
        <v>3921</v>
      </c>
      <c r="X357" s="8" t="s">
        <v>51</v>
      </c>
      <c r="Y357" s="2" t="s">
        <v>51</v>
      </c>
      <c r="Z357" s="2" t="s">
        <v>51</v>
      </c>
      <c r="AA357" s="14"/>
      <c r="AB357" s="2" t="s">
        <v>51</v>
      </c>
    </row>
    <row r="358" spans="1:28" ht="30" customHeight="1">
      <c r="A358" s="8" t="s">
        <v>847</v>
      </c>
      <c r="B358" s="157" t="s">
        <v>4907</v>
      </c>
      <c r="C358" s="157" t="s">
        <v>4914</v>
      </c>
      <c r="D358" s="163" t="s">
        <v>4848</v>
      </c>
      <c r="E358" s="164">
        <v>0</v>
      </c>
      <c r="F358" s="165" t="s">
        <v>51</v>
      </c>
      <c r="G358" s="164">
        <v>0</v>
      </c>
      <c r="H358" s="165" t="s">
        <v>51</v>
      </c>
      <c r="I358" s="164">
        <v>0</v>
      </c>
      <c r="J358" s="165" t="s">
        <v>51</v>
      </c>
      <c r="K358" s="164">
        <v>350000</v>
      </c>
      <c r="L358" s="165" t="s">
        <v>51</v>
      </c>
      <c r="M358" s="164">
        <v>380000</v>
      </c>
      <c r="N358" s="165"/>
      <c r="O358" s="164">
        <f t="shared" si="15"/>
        <v>350000</v>
      </c>
      <c r="P358" s="166">
        <v>0</v>
      </c>
      <c r="Q358" s="166">
        <v>0</v>
      </c>
      <c r="R358" s="166">
        <v>0</v>
      </c>
      <c r="S358" s="166">
        <v>0</v>
      </c>
      <c r="T358" s="166">
        <v>0</v>
      </c>
      <c r="U358" s="13">
        <v>0</v>
      </c>
      <c r="V358" s="13">
        <v>0</v>
      </c>
      <c r="W358" s="8" t="s">
        <v>3922</v>
      </c>
      <c r="X358" s="8" t="s">
        <v>51</v>
      </c>
      <c r="Y358" s="2" t="s">
        <v>51</v>
      </c>
      <c r="Z358" s="2" t="s">
        <v>51</v>
      </c>
      <c r="AA358" s="14"/>
      <c r="AB358" s="2" t="s">
        <v>51</v>
      </c>
    </row>
    <row r="359" spans="1:28" ht="30" customHeight="1">
      <c r="A359" s="8" t="s">
        <v>847</v>
      </c>
      <c r="B359" s="157" t="s">
        <v>4907</v>
      </c>
      <c r="C359" s="157" t="s">
        <v>4915</v>
      </c>
      <c r="D359" s="163" t="s">
        <v>4848</v>
      </c>
      <c r="E359" s="164">
        <v>0</v>
      </c>
      <c r="F359" s="165" t="s">
        <v>51</v>
      </c>
      <c r="G359" s="164">
        <v>0</v>
      </c>
      <c r="H359" s="165" t="s">
        <v>51</v>
      </c>
      <c r="I359" s="164">
        <v>0</v>
      </c>
      <c r="J359" s="165" t="s">
        <v>51</v>
      </c>
      <c r="K359" s="164">
        <v>380000</v>
      </c>
      <c r="L359" s="165" t="s">
        <v>51</v>
      </c>
      <c r="M359" s="164">
        <v>420000</v>
      </c>
      <c r="N359" s="165"/>
      <c r="O359" s="164">
        <f t="shared" si="15"/>
        <v>380000</v>
      </c>
      <c r="P359" s="166">
        <v>0</v>
      </c>
      <c r="Q359" s="166">
        <v>0</v>
      </c>
      <c r="R359" s="166">
        <v>0</v>
      </c>
      <c r="S359" s="166">
        <v>0</v>
      </c>
      <c r="T359" s="166">
        <v>0</v>
      </c>
      <c r="U359" s="13">
        <v>0</v>
      </c>
      <c r="V359" s="13">
        <v>0</v>
      </c>
      <c r="W359" s="8" t="s">
        <v>3923</v>
      </c>
      <c r="X359" s="8" t="s">
        <v>51</v>
      </c>
      <c r="Y359" s="2" t="s">
        <v>51</v>
      </c>
      <c r="Z359" s="2" t="s">
        <v>51</v>
      </c>
      <c r="AA359" s="14"/>
      <c r="AB359" s="2" t="s">
        <v>51</v>
      </c>
    </row>
    <row r="360" spans="1:28" ht="30" customHeight="1">
      <c r="A360" s="8" t="s">
        <v>847</v>
      </c>
      <c r="B360" s="157" t="s">
        <v>4907</v>
      </c>
      <c r="C360" s="157" t="s">
        <v>4916</v>
      </c>
      <c r="D360" s="163" t="s">
        <v>4848</v>
      </c>
      <c r="E360" s="164">
        <v>0</v>
      </c>
      <c r="F360" s="165" t="s">
        <v>51</v>
      </c>
      <c r="G360" s="164">
        <v>0</v>
      </c>
      <c r="H360" s="165" t="s">
        <v>51</v>
      </c>
      <c r="I360" s="164">
        <v>0</v>
      </c>
      <c r="J360" s="165" t="s">
        <v>51</v>
      </c>
      <c r="K360" s="164">
        <v>250000</v>
      </c>
      <c r="L360" s="165" t="s">
        <v>51</v>
      </c>
      <c r="M360" s="164">
        <v>280000</v>
      </c>
      <c r="N360" s="165"/>
      <c r="O360" s="164">
        <f t="shared" si="15"/>
        <v>250000</v>
      </c>
      <c r="P360" s="166">
        <v>0</v>
      </c>
      <c r="Q360" s="166">
        <v>0</v>
      </c>
      <c r="R360" s="166">
        <v>0</v>
      </c>
      <c r="S360" s="166">
        <v>0</v>
      </c>
      <c r="T360" s="166">
        <v>0</v>
      </c>
      <c r="U360" s="13">
        <v>0</v>
      </c>
      <c r="V360" s="13">
        <v>0</v>
      </c>
      <c r="W360" s="8" t="s">
        <v>3924</v>
      </c>
      <c r="X360" s="8" t="s">
        <v>51</v>
      </c>
      <c r="Y360" s="2" t="s">
        <v>51</v>
      </c>
      <c r="Z360" s="2" t="s">
        <v>51</v>
      </c>
      <c r="AA360" s="14"/>
      <c r="AB360" s="2" t="s">
        <v>51</v>
      </c>
    </row>
    <row r="361" spans="1:28" ht="30" customHeight="1">
      <c r="A361" s="8" t="s">
        <v>847</v>
      </c>
      <c r="B361" s="157" t="s">
        <v>4907</v>
      </c>
      <c r="C361" s="157" t="s">
        <v>4917</v>
      </c>
      <c r="D361" s="163" t="s">
        <v>4848</v>
      </c>
      <c r="E361" s="164">
        <v>0</v>
      </c>
      <c r="F361" s="165" t="s">
        <v>51</v>
      </c>
      <c r="G361" s="164">
        <v>0</v>
      </c>
      <c r="H361" s="165" t="s">
        <v>51</v>
      </c>
      <c r="I361" s="164">
        <v>0</v>
      </c>
      <c r="J361" s="165" t="s">
        <v>51</v>
      </c>
      <c r="K361" s="164">
        <v>230000</v>
      </c>
      <c r="L361" s="165" t="s">
        <v>51</v>
      </c>
      <c r="M361" s="164">
        <v>260000</v>
      </c>
      <c r="N361" s="165"/>
      <c r="O361" s="164">
        <f t="shared" ref="O361:O391" si="18">SMALL(E361:M361,COUNTIF(E361:M361,0)+1)</f>
        <v>230000</v>
      </c>
      <c r="P361" s="166">
        <v>0</v>
      </c>
      <c r="Q361" s="166">
        <v>0</v>
      </c>
      <c r="R361" s="166">
        <v>0</v>
      </c>
      <c r="S361" s="166">
        <v>0</v>
      </c>
      <c r="T361" s="166">
        <v>0</v>
      </c>
      <c r="U361" s="13">
        <v>0</v>
      </c>
      <c r="V361" s="13">
        <v>0</v>
      </c>
      <c r="W361" s="8" t="s">
        <v>3925</v>
      </c>
      <c r="X361" s="8" t="s">
        <v>51</v>
      </c>
      <c r="Y361" s="2" t="s">
        <v>51</v>
      </c>
      <c r="Z361" s="2" t="s">
        <v>51</v>
      </c>
      <c r="AA361" s="14"/>
      <c r="AB361" s="2" t="s">
        <v>51</v>
      </c>
    </row>
    <row r="362" spans="1:28" ht="30" customHeight="1">
      <c r="A362" s="8" t="s">
        <v>849</v>
      </c>
      <c r="B362" s="157" t="s">
        <v>4907</v>
      </c>
      <c r="C362" s="157" t="s">
        <v>4918</v>
      </c>
      <c r="D362" s="163" t="s">
        <v>4848</v>
      </c>
      <c r="E362" s="164">
        <v>0</v>
      </c>
      <c r="F362" s="165" t="s">
        <v>51</v>
      </c>
      <c r="G362" s="164">
        <v>0</v>
      </c>
      <c r="H362" s="165" t="s">
        <v>51</v>
      </c>
      <c r="I362" s="164">
        <v>0</v>
      </c>
      <c r="J362" s="165" t="s">
        <v>51</v>
      </c>
      <c r="K362" s="164">
        <v>270000</v>
      </c>
      <c r="L362" s="165" t="s">
        <v>51</v>
      </c>
      <c r="M362" s="164">
        <v>300000</v>
      </c>
      <c r="N362" s="165"/>
      <c r="O362" s="164">
        <f t="shared" si="18"/>
        <v>270000</v>
      </c>
      <c r="P362" s="166">
        <v>0</v>
      </c>
      <c r="Q362" s="166">
        <v>0</v>
      </c>
      <c r="R362" s="166">
        <v>0</v>
      </c>
      <c r="S362" s="166">
        <v>0</v>
      </c>
      <c r="T362" s="166">
        <v>0</v>
      </c>
      <c r="U362" s="13">
        <v>0</v>
      </c>
      <c r="V362" s="13">
        <v>0</v>
      </c>
      <c r="W362" s="8" t="s">
        <v>3926</v>
      </c>
      <c r="X362" s="8" t="s">
        <v>51</v>
      </c>
      <c r="Y362" s="2" t="s">
        <v>51</v>
      </c>
      <c r="Z362" s="2" t="s">
        <v>51</v>
      </c>
      <c r="AA362" s="14"/>
      <c r="AB362" s="2" t="s">
        <v>51</v>
      </c>
    </row>
    <row r="363" spans="1:28" ht="30" customHeight="1">
      <c r="A363" s="8" t="s">
        <v>851</v>
      </c>
      <c r="B363" s="157" t="s">
        <v>4907</v>
      </c>
      <c r="C363" s="157" t="s">
        <v>4919</v>
      </c>
      <c r="D363" s="163" t="s">
        <v>4848</v>
      </c>
      <c r="E363" s="164">
        <v>0</v>
      </c>
      <c r="F363" s="165" t="s">
        <v>51</v>
      </c>
      <c r="G363" s="164">
        <v>0</v>
      </c>
      <c r="H363" s="165" t="s">
        <v>51</v>
      </c>
      <c r="I363" s="164">
        <v>0</v>
      </c>
      <c r="J363" s="165" t="s">
        <v>51</v>
      </c>
      <c r="K363" s="164">
        <v>640000</v>
      </c>
      <c r="L363" s="165" t="s">
        <v>51</v>
      </c>
      <c r="M363" s="164">
        <v>690000</v>
      </c>
      <c r="N363" s="165"/>
      <c r="O363" s="164">
        <f t="shared" si="18"/>
        <v>640000</v>
      </c>
      <c r="P363" s="166">
        <v>0</v>
      </c>
      <c r="Q363" s="166">
        <v>0</v>
      </c>
      <c r="R363" s="166">
        <v>0</v>
      </c>
      <c r="S363" s="166">
        <v>0</v>
      </c>
      <c r="T363" s="166">
        <v>0</v>
      </c>
      <c r="U363" s="13">
        <v>0</v>
      </c>
      <c r="V363" s="13">
        <v>0</v>
      </c>
      <c r="W363" s="8" t="s">
        <v>3927</v>
      </c>
      <c r="X363" s="8" t="s">
        <v>51</v>
      </c>
      <c r="Y363" s="2" t="s">
        <v>51</v>
      </c>
      <c r="Z363" s="2" t="s">
        <v>51</v>
      </c>
      <c r="AA363" s="14"/>
      <c r="AB363" s="2" t="s">
        <v>51</v>
      </c>
    </row>
    <row r="364" spans="1:28" ht="30" customHeight="1">
      <c r="A364" s="8" t="s">
        <v>853</v>
      </c>
      <c r="B364" s="157" t="s">
        <v>4907</v>
      </c>
      <c r="C364" s="157" t="s">
        <v>4920</v>
      </c>
      <c r="D364" s="163" t="s">
        <v>4848</v>
      </c>
      <c r="E364" s="164">
        <v>0</v>
      </c>
      <c r="F364" s="165" t="s">
        <v>51</v>
      </c>
      <c r="G364" s="164">
        <v>0</v>
      </c>
      <c r="H364" s="165" t="s">
        <v>51</v>
      </c>
      <c r="I364" s="164">
        <v>0</v>
      </c>
      <c r="J364" s="165" t="s">
        <v>51</v>
      </c>
      <c r="K364" s="164">
        <v>520000</v>
      </c>
      <c r="L364" s="165" t="s">
        <v>51</v>
      </c>
      <c r="M364" s="164">
        <v>560000</v>
      </c>
      <c r="N364" s="165"/>
      <c r="O364" s="164">
        <f t="shared" si="18"/>
        <v>520000</v>
      </c>
      <c r="P364" s="166">
        <v>0</v>
      </c>
      <c r="Q364" s="166">
        <v>0</v>
      </c>
      <c r="R364" s="166">
        <v>0</v>
      </c>
      <c r="S364" s="166">
        <v>0</v>
      </c>
      <c r="T364" s="166">
        <v>0</v>
      </c>
      <c r="U364" s="13">
        <v>0</v>
      </c>
      <c r="V364" s="13">
        <v>0</v>
      </c>
      <c r="W364" s="8" t="s">
        <v>3928</v>
      </c>
      <c r="X364" s="8" t="s">
        <v>51</v>
      </c>
      <c r="Y364" s="2" t="s">
        <v>51</v>
      </c>
      <c r="Z364" s="2" t="s">
        <v>51</v>
      </c>
      <c r="AA364" s="14"/>
      <c r="AB364" s="2" t="s">
        <v>51</v>
      </c>
    </row>
    <row r="365" spans="1:28" ht="30" customHeight="1">
      <c r="A365" s="8" t="s">
        <v>855</v>
      </c>
      <c r="B365" s="157" t="s">
        <v>4907</v>
      </c>
      <c r="C365" s="157" t="s">
        <v>4921</v>
      </c>
      <c r="D365" s="163" t="s">
        <v>4848</v>
      </c>
      <c r="E365" s="164">
        <v>0</v>
      </c>
      <c r="F365" s="165" t="s">
        <v>51</v>
      </c>
      <c r="G365" s="164">
        <v>0</v>
      </c>
      <c r="H365" s="165" t="s">
        <v>51</v>
      </c>
      <c r="I365" s="164">
        <v>0</v>
      </c>
      <c r="J365" s="165" t="s">
        <v>51</v>
      </c>
      <c r="K365" s="164">
        <v>500000</v>
      </c>
      <c r="L365" s="165" t="s">
        <v>51</v>
      </c>
      <c r="M365" s="164">
        <v>585000</v>
      </c>
      <c r="N365" s="165"/>
      <c r="O365" s="164">
        <f t="shared" si="18"/>
        <v>500000</v>
      </c>
      <c r="P365" s="166">
        <v>0</v>
      </c>
      <c r="Q365" s="166">
        <v>0</v>
      </c>
      <c r="R365" s="166">
        <v>0</v>
      </c>
      <c r="S365" s="166">
        <v>0</v>
      </c>
      <c r="T365" s="166">
        <v>0</v>
      </c>
      <c r="U365" s="13">
        <v>0</v>
      </c>
      <c r="V365" s="13">
        <v>0</v>
      </c>
      <c r="W365" s="8" t="s">
        <v>3929</v>
      </c>
      <c r="X365" s="8" t="s">
        <v>51</v>
      </c>
      <c r="Y365" s="2" t="s">
        <v>51</v>
      </c>
      <c r="Z365" s="2" t="s">
        <v>51</v>
      </c>
      <c r="AA365" s="14"/>
      <c r="AB365" s="2" t="s">
        <v>51</v>
      </c>
    </row>
    <row r="366" spans="1:28" ht="30" customHeight="1">
      <c r="A366" s="8" t="s">
        <v>857</v>
      </c>
      <c r="B366" s="157" t="s">
        <v>4907</v>
      </c>
      <c r="C366" s="157" t="s">
        <v>4922</v>
      </c>
      <c r="D366" s="163" t="s">
        <v>4848</v>
      </c>
      <c r="E366" s="164">
        <v>0</v>
      </c>
      <c r="F366" s="165" t="s">
        <v>51</v>
      </c>
      <c r="G366" s="164">
        <v>0</v>
      </c>
      <c r="H366" s="165" t="s">
        <v>51</v>
      </c>
      <c r="I366" s="164">
        <v>0</v>
      </c>
      <c r="J366" s="165" t="s">
        <v>51</v>
      </c>
      <c r="K366" s="164">
        <v>320000</v>
      </c>
      <c r="L366" s="165" t="s">
        <v>51</v>
      </c>
      <c r="M366" s="164">
        <v>345000</v>
      </c>
      <c r="N366" s="165"/>
      <c r="O366" s="164">
        <f t="shared" si="18"/>
        <v>320000</v>
      </c>
      <c r="P366" s="166">
        <v>0</v>
      </c>
      <c r="Q366" s="166">
        <v>0</v>
      </c>
      <c r="R366" s="166">
        <v>0</v>
      </c>
      <c r="S366" s="166">
        <v>0</v>
      </c>
      <c r="T366" s="166">
        <v>0</v>
      </c>
      <c r="U366" s="13">
        <v>0</v>
      </c>
      <c r="V366" s="13">
        <v>0</v>
      </c>
      <c r="W366" s="8" t="s">
        <v>3930</v>
      </c>
      <c r="X366" s="8" t="s">
        <v>51</v>
      </c>
      <c r="Y366" s="2" t="s">
        <v>51</v>
      </c>
      <c r="Z366" s="2" t="s">
        <v>51</v>
      </c>
      <c r="AA366" s="14"/>
      <c r="AB366" s="2" t="s">
        <v>51</v>
      </c>
    </row>
    <row r="367" spans="1:28" ht="30" customHeight="1">
      <c r="A367" s="8" t="s">
        <v>859</v>
      </c>
      <c r="B367" s="157" t="s">
        <v>4907</v>
      </c>
      <c r="C367" s="157" t="s">
        <v>4923</v>
      </c>
      <c r="D367" s="163" t="s">
        <v>4848</v>
      </c>
      <c r="E367" s="164">
        <v>0</v>
      </c>
      <c r="F367" s="165" t="s">
        <v>51</v>
      </c>
      <c r="G367" s="164">
        <v>0</v>
      </c>
      <c r="H367" s="165" t="s">
        <v>51</v>
      </c>
      <c r="I367" s="164">
        <v>0</v>
      </c>
      <c r="J367" s="165" t="s">
        <v>51</v>
      </c>
      <c r="K367" s="164">
        <v>320000</v>
      </c>
      <c r="L367" s="165" t="s">
        <v>51</v>
      </c>
      <c r="M367" s="164">
        <v>362000</v>
      </c>
      <c r="N367" s="165"/>
      <c r="O367" s="164">
        <f t="shared" si="18"/>
        <v>320000</v>
      </c>
      <c r="P367" s="166">
        <v>0</v>
      </c>
      <c r="Q367" s="166">
        <v>0</v>
      </c>
      <c r="R367" s="166">
        <v>0</v>
      </c>
      <c r="S367" s="166">
        <v>0</v>
      </c>
      <c r="T367" s="166">
        <v>0</v>
      </c>
      <c r="U367" s="13">
        <v>0</v>
      </c>
      <c r="V367" s="13">
        <v>0</v>
      </c>
      <c r="W367" s="8" t="s">
        <v>3931</v>
      </c>
      <c r="X367" s="8" t="s">
        <v>51</v>
      </c>
      <c r="Y367" s="2" t="s">
        <v>51</v>
      </c>
      <c r="Z367" s="2" t="s">
        <v>51</v>
      </c>
      <c r="AA367" s="14"/>
      <c r="AB367" s="2" t="s">
        <v>51</v>
      </c>
    </row>
    <row r="368" spans="1:28" ht="30" customHeight="1">
      <c r="A368" s="8" t="s">
        <v>861</v>
      </c>
      <c r="B368" s="157" t="s">
        <v>4907</v>
      </c>
      <c r="C368" s="157" t="s">
        <v>4924</v>
      </c>
      <c r="D368" s="163" t="s">
        <v>4848</v>
      </c>
      <c r="E368" s="164">
        <v>0</v>
      </c>
      <c r="F368" s="165" t="s">
        <v>51</v>
      </c>
      <c r="G368" s="164">
        <v>0</v>
      </c>
      <c r="H368" s="165" t="s">
        <v>51</v>
      </c>
      <c r="I368" s="164">
        <v>0</v>
      </c>
      <c r="J368" s="165" t="s">
        <v>51</v>
      </c>
      <c r="K368" s="164">
        <v>360000</v>
      </c>
      <c r="L368" s="165" t="s">
        <v>51</v>
      </c>
      <c r="M368" s="164">
        <v>380000</v>
      </c>
      <c r="N368" s="165"/>
      <c r="O368" s="164">
        <f t="shared" si="18"/>
        <v>360000</v>
      </c>
      <c r="P368" s="166">
        <v>0</v>
      </c>
      <c r="Q368" s="166">
        <v>0</v>
      </c>
      <c r="R368" s="166">
        <v>0</v>
      </c>
      <c r="S368" s="166">
        <v>0</v>
      </c>
      <c r="T368" s="166">
        <v>0</v>
      </c>
      <c r="U368" s="13">
        <v>0</v>
      </c>
      <c r="V368" s="13">
        <v>0</v>
      </c>
      <c r="W368" s="8" t="s">
        <v>3932</v>
      </c>
      <c r="X368" s="8" t="s">
        <v>51</v>
      </c>
      <c r="Y368" s="2" t="s">
        <v>51</v>
      </c>
      <c r="Z368" s="2" t="s">
        <v>51</v>
      </c>
      <c r="AA368" s="14"/>
      <c r="AB368" s="2" t="s">
        <v>51</v>
      </c>
    </row>
    <row r="369" spans="1:28" ht="30" customHeight="1">
      <c r="A369" s="8" t="s">
        <v>863</v>
      </c>
      <c r="B369" s="157" t="s">
        <v>4907</v>
      </c>
      <c r="C369" s="157" t="s">
        <v>4925</v>
      </c>
      <c r="D369" s="163" t="s">
        <v>4848</v>
      </c>
      <c r="E369" s="164">
        <v>0</v>
      </c>
      <c r="F369" s="165" t="s">
        <v>51</v>
      </c>
      <c r="G369" s="164">
        <v>0</v>
      </c>
      <c r="H369" s="165" t="s">
        <v>51</v>
      </c>
      <c r="I369" s="164">
        <v>0</v>
      </c>
      <c r="J369" s="165" t="s">
        <v>51</v>
      </c>
      <c r="K369" s="164">
        <v>250000</v>
      </c>
      <c r="L369" s="165" t="s">
        <v>51</v>
      </c>
      <c r="M369" s="164">
        <v>290000</v>
      </c>
      <c r="N369" s="165"/>
      <c r="O369" s="164">
        <f t="shared" si="18"/>
        <v>250000</v>
      </c>
      <c r="P369" s="166">
        <v>0</v>
      </c>
      <c r="Q369" s="166">
        <v>0</v>
      </c>
      <c r="R369" s="166">
        <v>0</v>
      </c>
      <c r="S369" s="166">
        <v>0</v>
      </c>
      <c r="T369" s="166">
        <v>0</v>
      </c>
      <c r="U369" s="13">
        <v>0</v>
      </c>
      <c r="V369" s="13">
        <v>0</v>
      </c>
      <c r="W369" s="8" t="s">
        <v>3933</v>
      </c>
      <c r="X369" s="8" t="s">
        <v>51</v>
      </c>
      <c r="Y369" s="2" t="s">
        <v>51</v>
      </c>
      <c r="Z369" s="2" t="s">
        <v>51</v>
      </c>
      <c r="AA369" s="14"/>
      <c r="AB369" s="2" t="s">
        <v>51</v>
      </c>
    </row>
    <row r="370" spans="1:28" ht="30" customHeight="1">
      <c r="A370" s="8" t="s">
        <v>865</v>
      </c>
      <c r="B370" s="157" t="s">
        <v>4907</v>
      </c>
      <c r="C370" s="157" t="s">
        <v>4926</v>
      </c>
      <c r="D370" s="163" t="s">
        <v>4848</v>
      </c>
      <c r="E370" s="164">
        <v>0</v>
      </c>
      <c r="F370" s="165" t="s">
        <v>51</v>
      </c>
      <c r="G370" s="164">
        <v>0</v>
      </c>
      <c r="H370" s="165" t="s">
        <v>51</v>
      </c>
      <c r="I370" s="164">
        <v>0</v>
      </c>
      <c r="J370" s="165" t="s">
        <v>51</v>
      </c>
      <c r="K370" s="164">
        <v>270000</v>
      </c>
      <c r="L370" s="165" t="s">
        <v>51</v>
      </c>
      <c r="M370" s="164">
        <v>300000</v>
      </c>
      <c r="N370" s="165"/>
      <c r="O370" s="164">
        <f t="shared" si="18"/>
        <v>270000</v>
      </c>
      <c r="P370" s="166">
        <v>0</v>
      </c>
      <c r="Q370" s="166">
        <v>0</v>
      </c>
      <c r="R370" s="166">
        <v>0</v>
      </c>
      <c r="S370" s="166">
        <v>0</v>
      </c>
      <c r="T370" s="166">
        <v>0</v>
      </c>
      <c r="U370" s="13">
        <v>0</v>
      </c>
      <c r="V370" s="13">
        <v>0</v>
      </c>
      <c r="W370" s="8" t="s">
        <v>3934</v>
      </c>
      <c r="X370" s="8" t="s">
        <v>51</v>
      </c>
      <c r="Y370" s="2" t="s">
        <v>51</v>
      </c>
      <c r="Z370" s="2" t="s">
        <v>51</v>
      </c>
      <c r="AA370" s="14"/>
      <c r="AB370" s="2" t="s">
        <v>51</v>
      </c>
    </row>
    <row r="371" spans="1:28" ht="30" customHeight="1">
      <c r="A371" s="8" t="s">
        <v>867</v>
      </c>
      <c r="B371" s="157" t="s">
        <v>4907</v>
      </c>
      <c r="C371" s="157" t="s">
        <v>4927</v>
      </c>
      <c r="D371" s="163" t="s">
        <v>4848</v>
      </c>
      <c r="E371" s="164">
        <v>0</v>
      </c>
      <c r="F371" s="165" t="s">
        <v>51</v>
      </c>
      <c r="G371" s="164">
        <v>0</v>
      </c>
      <c r="H371" s="165" t="s">
        <v>51</v>
      </c>
      <c r="I371" s="164">
        <v>0</v>
      </c>
      <c r="J371" s="165" t="s">
        <v>51</v>
      </c>
      <c r="K371" s="164">
        <v>280000</v>
      </c>
      <c r="L371" s="165" t="s">
        <v>51</v>
      </c>
      <c r="M371" s="164">
        <v>320000</v>
      </c>
      <c r="N371" s="165"/>
      <c r="O371" s="164">
        <f t="shared" si="18"/>
        <v>280000</v>
      </c>
      <c r="P371" s="166">
        <v>0</v>
      </c>
      <c r="Q371" s="166">
        <v>0</v>
      </c>
      <c r="R371" s="166">
        <v>0</v>
      </c>
      <c r="S371" s="166">
        <v>0</v>
      </c>
      <c r="T371" s="166">
        <v>0</v>
      </c>
      <c r="U371" s="13">
        <v>0</v>
      </c>
      <c r="V371" s="13">
        <v>0</v>
      </c>
      <c r="W371" s="8" t="s">
        <v>3935</v>
      </c>
      <c r="X371" s="8" t="s">
        <v>51</v>
      </c>
      <c r="Y371" s="2" t="s">
        <v>51</v>
      </c>
      <c r="Z371" s="2" t="s">
        <v>51</v>
      </c>
      <c r="AA371" s="14"/>
      <c r="AB371" s="2" t="s">
        <v>51</v>
      </c>
    </row>
    <row r="372" spans="1:28" ht="30" customHeight="1">
      <c r="A372" s="8" t="s">
        <v>869</v>
      </c>
      <c r="B372" s="157" t="s">
        <v>4907</v>
      </c>
      <c r="C372" s="157" t="s">
        <v>4928</v>
      </c>
      <c r="D372" s="163" t="s">
        <v>4848</v>
      </c>
      <c r="E372" s="164">
        <v>0</v>
      </c>
      <c r="F372" s="165" t="s">
        <v>51</v>
      </c>
      <c r="G372" s="164">
        <v>0</v>
      </c>
      <c r="H372" s="165" t="s">
        <v>51</v>
      </c>
      <c r="I372" s="164">
        <v>0</v>
      </c>
      <c r="J372" s="165" t="s">
        <v>51</v>
      </c>
      <c r="K372" s="164">
        <v>250000</v>
      </c>
      <c r="L372" s="165" t="s">
        <v>51</v>
      </c>
      <c r="M372" s="164">
        <v>268000</v>
      </c>
      <c r="N372" s="165"/>
      <c r="O372" s="164">
        <f t="shared" si="18"/>
        <v>250000</v>
      </c>
      <c r="P372" s="166">
        <v>0</v>
      </c>
      <c r="Q372" s="166">
        <v>0</v>
      </c>
      <c r="R372" s="166">
        <v>0</v>
      </c>
      <c r="S372" s="166">
        <v>0</v>
      </c>
      <c r="T372" s="166">
        <v>0</v>
      </c>
      <c r="U372" s="13">
        <v>0</v>
      </c>
      <c r="V372" s="13">
        <v>0</v>
      </c>
      <c r="W372" s="8" t="s">
        <v>3936</v>
      </c>
      <c r="X372" s="8" t="s">
        <v>51</v>
      </c>
      <c r="Y372" s="2" t="s">
        <v>51</v>
      </c>
      <c r="Z372" s="2" t="s">
        <v>51</v>
      </c>
      <c r="AA372" s="14"/>
      <c r="AB372" s="2" t="s">
        <v>51</v>
      </c>
    </row>
    <row r="373" spans="1:28" ht="30" customHeight="1">
      <c r="A373" s="8" t="s">
        <v>871</v>
      </c>
      <c r="B373" s="157" t="s">
        <v>4907</v>
      </c>
      <c r="C373" s="157" t="s">
        <v>4929</v>
      </c>
      <c r="D373" s="163" t="s">
        <v>4848</v>
      </c>
      <c r="E373" s="164">
        <v>0</v>
      </c>
      <c r="F373" s="165" t="s">
        <v>51</v>
      </c>
      <c r="G373" s="164">
        <v>0</v>
      </c>
      <c r="H373" s="165" t="s">
        <v>51</v>
      </c>
      <c r="I373" s="164">
        <v>0</v>
      </c>
      <c r="J373" s="165" t="s">
        <v>51</v>
      </c>
      <c r="K373" s="164">
        <v>230000</v>
      </c>
      <c r="L373" s="165" t="s">
        <v>51</v>
      </c>
      <c r="M373" s="164">
        <v>245000</v>
      </c>
      <c r="N373" s="165"/>
      <c r="O373" s="164">
        <f t="shared" si="18"/>
        <v>230000</v>
      </c>
      <c r="P373" s="166">
        <v>0</v>
      </c>
      <c r="Q373" s="166">
        <v>0</v>
      </c>
      <c r="R373" s="166">
        <v>0</v>
      </c>
      <c r="S373" s="166">
        <v>0</v>
      </c>
      <c r="T373" s="166">
        <v>0</v>
      </c>
      <c r="U373" s="13">
        <v>0</v>
      </c>
      <c r="V373" s="13">
        <v>0</v>
      </c>
      <c r="W373" s="8" t="s">
        <v>3937</v>
      </c>
      <c r="X373" s="8" t="s">
        <v>51</v>
      </c>
      <c r="Y373" s="2" t="s">
        <v>51</v>
      </c>
      <c r="Z373" s="2" t="s">
        <v>51</v>
      </c>
      <c r="AA373" s="14"/>
      <c r="AB373" s="2" t="s">
        <v>51</v>
      </c>
    </row>
    <row r="374" spans="1:28" ht="30" customHeight="1">
      <c r="A374" s="8" t="s">
        <v>873</v>
      </c>
      <c r="B374" s="157" t="s">
        <v>4907</v>
      </c>
      <c r="C374" s="157" t="s">
        <v>4930</v>
      </c>
      <c r="D374" s="163" t="s">
        <v>4848</v>
      </c>
      <c r="E374" s="164">
        <v>0</v>
      </c>
      <c r="F374" s="165" t="s">
        <v>51</v>
      </c>
      <c r="G374" s="164">
        <v>0</v>
      </c>
      <c r="H374" s="165" t="s">
        <v>51</v>
      </c>
      <c r="I374" s="164">
        <v>0</v>
      </c>
      <c r="J374" s="165" t="s">
        <v>51</v>
      </c>
      <c r="K374" s="164">
        <v>250000</v>
      </c>
      <c r="L374" s="165" t="s">
        <v>51</v>
      </c>
      <c r="M374" s="164">
        <v>290000</v>
      </c>
      <c r="N374" s="165"/>
      <c r="O374" s="164">
        <f t="shared" si="18"/>
        <v>250000</v>
      </c>
      <c r="P374" s="166">
        <v>0</v>
      </c>
      <c r="Q374" s="166">
        <v>0</v>
      </c>
      <c r="R374" s="166">
        <v>0</v>
      </c>
      <c r="S374" s="166">
        <v>0</v>
      </c>
      <c r="T374" s="166">
        <v>0</v>
      </c>
      <c r="U374" s="13">
        <v>0</v>
      </c>
      <c r="V374" s="13">
        <v>0</v>
      </c>
      <c r="W374" s="8" t="s">
        <v>3938</v>
      </c>
      <c r="X374" s="8" t="s">
        <v>51</v>
      </c>
      <c r="Y374" s="2" t="s">
        <v>51</v>
      </c>
      <c r="Z374" s="2" t="s">
        <v>51</v>
      </c>
      <c r="AA374" s="14"/>
      <c r="AB374" s="2" t="s">
        <v>51</v>
      </c>
    </row>
    <row r="375" spans="1:28" ht="30" customHeight="1">
      <c r="A375" s="8" t="s">
        <v>875</v>
      </c>
      <c r="B375" s="157" t="s">
        <v>4907</v>
      </c>
      <c r="C375" s="157" t="s">
        <v>4931</v>
      </c>
      <c r="D375" s="163" t="s">
        <v>4848</v>
      </c>
      <c r="E375" s="164">
        <v>0</v>
      </c>
      <c r="F375" s="165" t="s">
        <v>51</v>
      </c>
      <c r="G375" s="164">
        <v>0</v>
      </c>
      <c r="H375" s="165" t="s">
        <v>51</v>
      </c>
      <c r="I375" s="164">
        <v>0</v>
      </c>
      <c r="J375" s="165" t="s">
        <v>51</v>
      </c>
      <c r="K375" s="164">
        <v>250000</v>
      </c>
      <c r="L375" s="165" t="s">
        <v>51</v>
      </c>
      <c r="M375" s="164">
        <v>268000</v>
      </c>
      <c r="N375" s="165"/>
      <c r="O375" s="164">
        <f t="shared" si="18"/>
        <v>250000</v>
      </c>
      <c r="P375" s="166">
        <v>0</v>
      </c>
      <c r="Q375" s="166">
        <v>0</v>
      </c>
      <c r="R375" s="166">
        <v>0</v>
      </c>
      <c r="S375" s="166">
        <v>0</v>
      </c>
      <c r="T375" s="166">
        <v>0</v>
      </c>
      <c r="U375" s="13">
        <v>0</v>
      </c>
      <c r="V375" s="13">
        <v>0</v>
      </c>
      <c r="W375" s="8" t="s">
        <v>3939</v>
      </c>
      <c r="X375" s="8" t="s">
        <v>51</v>
      </c>
      <c r="Y375" s="2" t="s">
        <v>51</v>
      </c>
      <c r="Z375" s="2" t="s">
        <v>51</v>
      </c>
      <c r="AA375" s="14"/>
      <c r="AB375" s="2" t="s">
        <v>51</v>
      </c>
    </row>
    <row r="376" spans="1:28" ht="30" customHeight="1">
      <c r="A376" s="8" t="s">
        <v>877</v>
      </c>
      <c r="B376" s="157" t="s">
        <v>4907</v>
      </c>
      <c r="C376" s="157" t="s">
        <v>4932</v>
      </c>
      <c r="D376" s="163" t="s">
        <v>4848</v>
      </c>
      <c r="E376" s="164">
        <v>0</v>
      </c>
      <c r="F376" s="165" t="s">
        <v>51</v>
      </c>
      <c r="G376" s="164">
        <v>0</v>
      </c>
      <c r="H376" s="165" t="s">
        <v>51</v>
      </c>
      <c r="I376" s="164">
        <v>0</v>
      </c>
      <c r="J376" s="165" t="s">
        <v>51</v>
      </c>
      <c r="K376" s="164">
        <v>280000</v>
      </c>
      <c r="L376" s="165" t="s">
        <v>51</v>
      </c>
      <c r="M376" s="164">
        <v>320000</v>
      </c>
      <c r="N376" s="165"/>
      <c r="O376" s="164">
        <f t="shared" si="18"/>
        <v>280000</v>
      </c>
      <c r="P376" s="166">
        <v>0</v>
      </c>
      <c r="Q376" s="166">
        <v>0</v>
      </c>
      <c r="R376" s="166">
        <v>0</v>
      </c>
      <c r="S376" s="166">
        <v>0</v>
      </c>
      <c r="T376" s="166">
        <v>0</v>
      </c>
      <c r="U376" s="13">
        <v>0</v>
      </c>
      <c r="V376" s="13">
        <v>0</v>
      </c>
      <c r="W376" s="8" t="s">
        <v>3940</v>
      </c>
      <c r="X376" s="8" t="s">
        <v>51</v>
      </c>
      <c r="Y376" s="2" t="s">
        <v>51</v>
      </c>
      <c r="Z376" s="2" t="s">
        <v>51</v>
      </c>
      <c r="AA376" s="14"/>
      <c r="AB376" s="2" t="s">
        <v>51</v>
      </c>
    </row>
    <row r="377" spans="1:28" ht="30" customHeight="1">
      <c r="A377" s="8" t="s">
        <v>879</v>
      </c>
      <c r="B377" s="157" t="s">
        <v>4907</v>
      </c>
      <c r="C377" s="157" t="s">
        <v>4933</v>
      </c>
      <c r="D377" s="163" t="s">
        <v>4848</v>
      </c>
      <c r="E377" s="164">
        <v>0</v>
      </c>
      <c r="F377" s="165" t="s">
        <v>51</v>
      </c>
      <c r="G377" s="164">
        <v>0</v>
      </c>
      <c r="H377" s="165" t="s">
        <v>51</v>
      </c>
      <c r="I377" s="164">
        <v>0</v>
      </c>
      <c r="J377" s="165" t="s">
        <v>51</v>
      </c>
      <c r="K377" s="164">
        <v>230000</v>
      </c>
      <c r="L377" s="165" t="s">
        <v>51</v>
      </c>
      <c r="M377" s="164">
        <v>268000</v>
      </c>
      <c r="N377" s="165"/>
      <c r="O377" s="164">
        <f t="shared" si="18"/>
        <v>230000</v>
      </c>
      <c r="P377" s="166">
        <v>0</v>
      </c>
      <c r="Q377" s="166">
        <v>0</v>
      </c>
      <c r="R377" s="166">
        <v>0</v>
      </c>
      <c r="S377" s="166">
        <v>0</v>
      </c>
      <c r="T377" s="166">
        <v>0</v>
      </c>
      <c r="U377" s="13">
        <v>0</v>
      </c>
      <c r="V377" s="13">
        <v>0</v>
      </c>
      <c r="W377" s="8" t="s">
        <v>3941</v>
      </c>
      <c r="X377" s="8" t="s">
        <v>51</v>
      </c>
      <c r="Y377" s="2" t="s">
        <v>51</v>
      </c>
      <c r="Z377" s="2" t="s">
        <v>51</v>
      </c>
      <c r="AA377" s="14"/>
      <c r="AB377" s="2" t="s">
        <v>51</v>
      </c>
    </row>
    <row r="378" spans="1:28" ht="30" customHeight="1">
      <c r="A378" s="8" t="s">
        <v>881</v>
      </c>
      <c r="B378" s="157" t="s">
        <v>4934</v>
      </c>
      <c r="C378" s="157" t="s">
        <v>4935</v>
      </c>
      <c r="D378" s="163" t="s">
        <v>4848</v>
      </c>
      <c r="E378" s="164">
        <v>0</v>
      </c>
      <c r="F378" s="165" t="s">
        <v>51</v>
      </c>
      <c r="G378" s="164">
        <v>0</v>
      </c>
      <c r="H378" s="165" t="s">
        <v>51</v>
      </c>
      <c r="I378" s="164">
        <v>0</v>
      </c>
      <c r="J378" s="165" t="s">
        <v>51</v>
      </c>
      <c r="K378" s="164">
        <v>70000</v>
      </c>
      <c r="L378" s="165" t="s">
        <v>51</v>
      </c>
      <c r="M378" s="164">
        <v>88000</v>
      </c>
      <c r="N378" s="165"/>
      <c r="O378" s="164">
        <f t="shared" si="18"/>
        <v>70000</v>
      </c>
      <c r="P378" s="166">
        <v>0</v>
      </c>
      <c r="Q378" s="166">
        <v>0</v>
      </c>
      <c r="R378" s="166">
        <v>0</v>
      </c>
      <c r="S378" s="166">
        <v>0</v>
      </c>
      <c r="T378" s="166">
        <v>0</v>
      </c>
      <c r="U378" s="13">
        <v>0</v>
      </c>
      <c r="V378" s="13">
        <v>0</v>
      </c>
      <c r="W378" s="8" t="s">
        <v>3942</v>
      </c>
      <c r="X378" s="8" t="s">
        <v>51</v>
      </c>
      <c r="Y378" s="2" t="s">
        <v>51</v>
      </c>
      <c r="Z378" s="2" t="s">
        <v>51</v>
      </c>
      <c r="AA378" s="14"/>
      <c r="AB378" s="2" t="s">
        <v>51</v>
      </c>
    </row>
    <row r="379" spans="1:28" ht="30" customHeight="1">
      <c r="A379" s="8" t="s">
        <v>883</v>
      </c>
      <c r="B379" s="157" t="s">
        <v>4934</v>
      </c>
      <c r="C379" s="157" t="s">
        <v>4936</v>
      </c>
      <c r="D379" s="163" t="s">
        <v>4848</v>
      </c>
      <c r="E379" s="164">
        <v>0</v>
      </c>
      <c r="F379" s="165" t="s">
        <v>51</v>
      </c>
      <c r="G379" s="164">
        <v>0</v>
      </c>
      <c r="H379" s="165" t="s">
        <v>51</v>
      </c>
      <c r="I379" s="164">
        <v>0</v>
      </c>
      <c r="J379" s="165" t="s">
        <v>51</v>
      </c>
      <c r="K379" s="164">
        <v>20000</v>
      </c>
      <c r="L379" s="165" t="s">
        <v>51</v>
      </c>
      <c r="M379" s="164">
        <v>32000</v>
      </c>
      <c r="N379" s="165"/>
      <c r="O379" s="164">
        <f t="shared" si="18"/>
        <v>20000</v>
      </c>
      <c r="P379" s="166">
        <v>0</v>
      </c>
      <c r="Q379" s="166">
        <v>0</v>
      </c>
      <c r="R379" s="166">
        <v>0</v>
      </c>
      <c r="S379" s="166">
        <v>0</v>
      </c>
      <c r="T379" s="166">
        <v>0</v>
      </c>
      <c r="U379" s="13">
        <v>0</v>
      </c>
      <c r="V379" s="13">
        <v>0</v>
      </c>
      <c r="W379" s="8" t="s">
        <v>3943</v>
      </c>
      <c r="X379" s="8" t="s">
        <v>51</v>
      </c>
      <c r="Y379" s="2" t="s">
        <v>51</v>
      </c>
      <c r="Z379" s="2" t="s">
        <v>51</v>
      </c>
      <c r="AA379" s="14"/>
      <c r="AB379" s="2" t="s">
        <v>51</v>
      </c>
    </row>
    <row r="380" spans="1:28" ht="30" customHeight="1">
      <c r="A380" s="8" t="s">
        <v>885</v>
      </c>
      <c r="B380" s="157" t="s">
        <v>4934</v>
      </c>
      <c r="C380" s="157" t="s">
        <v>4937</v>
      </c>
      <c r="D380" s="163" t="s">
        <v>4848</v>
      </c>
      <c r="E380" s="164">
        <v>0</v>
      </c>
      <c r="F380" s="165" t="s">
        <v>51</v>
      </c>
      <c r="G380" s="164">
        <v>0</v>
      </c>
      <c r="H380" s="165" t="s">
        <v>51</v>
      </c>
      <c r="I380" s="164">
        <v>0</v>
      </c>
      <c r="J380" s="165" t="s">
        <v>51</v>
      </c>
      <c r="K380" s="164">
        <v>70000</v>
      </c>
      <c r="L380" s="165" t="s">
        <v>51</v>
      </c>
      <c r="M380" s="164">
        <v>88000</v>
      </c>
      <c r="N380" s="165"/>
      <c r="O380" s="164">
        <f t="shared" si="18"/>
        <v>70000</v>
      </c>
      <c r="P380" s="166">
        <v>0</v>
      </c>
      <c r="Q380" s="166">
        <v>0</v>
      </c>
      <c r="R380" s="166">
        <v>0</v>
      </c>
      <c r="S380" s="166">
        <v>0</v>
      </c>
      <c r="T380" s="166">
        <v>0</v>
      </c>
      <c r="U380" s="13">
        <v>0</v>
      </c>
      <c r="V380" s="13">
        <v>0</v>
      </c>
      <c r="W380" s="8" t="s">
        <v>3944</v>
      </c>
      <c r="X380" s="8" t="s">
        <v>51</v>
      </c>
      <c r="Y380" s="2" t="s">
        <v>51</v>
      </c>
      <c r="Z380" s="2" t="s">
        <v>51</v>
      </c>
      <c r="AA380" s="14"/>
      <c r="AB380" s="2" t="s">
        <v>51</v>
      </c>
    </row>
    <row r="381" spans="1:28" ht="30" customHeight="1">
      <c r="A381" s="8" t="s">
        <v>887</v>
      </c>
      <c r="B381" s="157" t="s">
        <v>4934</v>
      </c>
      <c r="C381" s="157" t="s">
        <v>4938</v>
      </c>
      <c r="D381" s="163" t="s">
        <v>4848</v>
      </c>
      <c r="E381" s="164">
        <v>0</v>
      </c>
      <c r="F381" s="165" t="s">
        <v>51</v>
      </c>
      <c r="G381" s="164">
        <v>0</v>
      </c>
      <c r="H381" s="165" t="s">
        <v>51</v>
      </c>
      <c r="I381" s="164">
        <v>0</v>
      </c>
      <c r="J381" s="165" t="s">
        <v>51</v>
      </c>
      <c r="K381" s="164">
        <v>10000</v>
      </c>
      <c r="L381" s="165" t="s">
        <v>51</v>
      </c>
      <c r="M381" s="164">
        <v>12000</v>
      </c>
      <c r="N381" s="165"/>
      <c r="O381" s="164">
        <f t="shared" si="18"/>
        <v>10000</v>
      </c>
      <c r="P381" s="166">
        <v>0</v>
      </c>
      <c r="Q381" s="166">
        <v>0</v>
      </c>
      <c r="R381" s="166">
        <v>0</v>
      </c>
      <c r="S381" s="166">
        <v>0</v>
      </c>
      <c r="T381" s="166">
        <v>0</v>
      </c>
      <c r="U381" s="13">
        <v>0</v>
      </c>
      <c r="V381" s="13">
        <v>0</v>
      </c>
      <c r="W381" s="8" t="s">
        <v>3945</v>
      </c>
      <c r="X381" s="8" t="s">
        <v>51</v>
      </c>
      <c r="Y381" s="2" t="s">
        <v>51</v>
      </c>
      <c r="Z381" s="2" t="s">
        <v>51</v>
      </c>
      <c r="AA381" s="14"/>
      <c r="AB381" s="2" t="s">
        <v>51</v>
      </c>
    </row>
    <row r="382" spans="1:28" ht="30" customHeight="1">
      <c r="A382" s="8" t="s">
        <v>889</v>
      </c>
      <c r="B382" s="157" t="s">
        <v>4934</v>
      </c>
      <c r="C382" s="157" t="s">
        <v>4939</v>
      </c>
      <c r="D382" s="163" t="s">
        <v>4848</v>
      </c>
      <c r="E382" s="164">
        <v>0</v>
      </c>
      <c r="F382" s="165" t="s">
        <v>51</v>
      </c>
      <c r="G382" s="164">
        <v>0</v>
      </c>
      <c r="H382" s="165" t="s">
        <v>51</v>
      </c>
      <c r="I382" s="164">
        <v>0</v>
      </c>
      <c r="J382" s="165" t="s">
        <v>51</v>
      </c>
      <c r="K382" s="164">
        <v>10000</v>
      </c>
      <c r="L382" s="165" t="s">
        <v>51</v>
      </c>
      <c r="M382" s="164">
        <v>12000</v>
      </c>
      <c r="N382" s="165"/>
      <c r="O382" s="164">
        <f t="shared" si="18"/>
        <v>10000</v>
      </c>
      <c r="P382" s="166">
        <v>0</v>
      </c>
      <c r="Q382" s="166">
        <v>0</v>
      </c>
      <c r="R382" s="166">
        <v>0</v>
      </c>
      <c r="S382" s="166">
        <v>0</v>
      </c>
      <c r="T382" s="166">
        <v>0</v>
      </c>
      <c r="U382" s="13">
        <v>0</v>
      </c>
      <c r="V382" s="13">
        <v>0</v>
      </c>
      <c r="W382" s="8" t="s">
        <v>3946</v>
      </c>
      <c r="X382" s="8" t="s">
        <v>51</v>
      </c>
      <c r="Y382" s="2" t="s">
        <v>51</v>
      </c>
      <c r="Z382" s="2" t="s">
        <v>51</v>
      </c>
      <c r="AA382" s="14"/>
      <c r="AB382" s="2" t="s">
        <v>51</v>
      </c>
    </row>
    <row r="383" spans="1:28" ht="30" customHeight="1">
      <c r="A383" s="8" t="s">
        <v>891</v>
      </c>
      <c r="B383" s="157" t="s">
        <v>4934</v>
      </c>
      <c r="C383" s="157" t="s">
        <v>4940</v>
      </c>
      <c r="D383" s="163" t="s">
        <v>4848</v>
      </c>
      <c r="E383" s="164">
        <v>0</v>
      </c>
      <c r="F383" s="165" t="s">
        <v>51</v>
      </c>
      <c r="G383" s="164">
        <v>0</v>
      </c>
      <c r="H383" s="165" t="s">
        <v>51</v>
      </c>
      <c r="I383" s="164">
        <v>0</v>
      </c>
      <c r="J383" s="165" t="s">
        <v>51</v>
      </c>
      <c r="K383" s="164">
        <v>80000</v>
      </c>
      <c r="L383" s="165" t="s">
        <v>51</v>
      </c>
      <c r="M383" s="164">
        <v>95000</v>
      </c>
      <c r="N383" s="165"/>
      <c r="O383" s="164">
        <f t="shared" si="18"/>
        <v>80000</v>
      </c>
      <c r="P383" s="166">
        <v>0</v>
      </c>
      <c r="Q383" s="166">
        <v>0</v>
      </c>
      <c r="R383" s="166">
        <v>0</v>
      </c>
      <c r="S383" s="166">
        <v>0</v>
      </c>
      <c r="T383" s="166">
        <v>0</v>
      </c>
      <c r="U383" s="13">
        <v>0</v>
      </c>
      <c r="V383" s="13">
        <v>0</v>
      </c>
      <c r="W383" s="8" t="s">
        <v>3947</v>
      </c>
      <c r="X383" s="8" t="s">
        <v>51</v>
      </c>
      <c r="Y383" s="2" t="s">
        <v>51</v>
      </c>
      <c r="Z383" s="2" t="s">
        <v>51</v>
      </c>
      <c r="AA383" s="14"/>
      <c r="AB383" s="2" t="s">
        <v>51</v>
      </c>
    </row>
    <row r="384" spans="1:28" ht="30" customHeight="1">
      <c r="A384" s="8" t="s">
        <v>893</v>
      </c>
      <c r="B384" s="157" t="s">
        <v>4934</v>
      </c>
      <c r="C384" s="157" t="s">
        <v>4941</v>
      </c>
      <c r="D384" s="163" t="s">
        <v>4848</v>
      </c>
      <c r="E384" s="164">
        <v>0</v>
      </c>
      <c r="F384" s="165" t="s">
        <v>51</v>
      </c>
      <c r="G384" s="164">
        <v>0</v>
      </c>
      <c r="H384" s="165" t="s">
        <v>51</v>
      </c>
      <c r="I384" s="164">
        <v>0</v>
      </c>
      <c r="J384" s="165" t="s">
        <v>51</v>
      </c>
      <c r="K384" s="164">
        <v>80000</v>
      </c>
      <c r="L384" s="165" t="s">
        <v>51</v>
      </c>
      <c r="M384" s="164">
        <v>95000</v>
      </c>
      <c r="N384" s="165"/>
      <c r="O384" s="164">
        <f t="shared" si="18"/>
        <v>80000</v>
      </c>
      <c r="P384" s="166">
        <v>0</v>
      </c>
      <c r="Q384" s="166">
        <v>0</v>
      </c>
      <c r="R384" s="166">
        <v>0</v>
      </c>
      <c r="S384" s="166">
        <v>0</v>
      </c>
      <c r="T384" s="166">
        <v>0</v>
      </c>
      <c r="U384" s="13">
        <v>0</v>
      </c>
      <c r="V384" s="13">
        <v>0</v>
      </c>
      <c r="W384" s="8" t="s">
        <v>3948</v>
      </c>
      <c r="X384" s="8" t="s">
        <v>51</v>
      </c>
      <c r="Y384" s="2" t="s">
        <v>51</v>
      </c>
      <c r="Z384" s="2" t="s">
        <v>51</v>
      </c>
      <c r="AA384" s="14"/>
      <c r="AB384" s="2" t="s">
        <v>51</v>
      </c>
    </row>
    <row r="385" spans="1:28" ht="30" customHeight="1">
      <c r="A385" s="8" t="s">
        <v>895</v>
      </c>
      <c r="B385" s="157" t="s">
        <v>4934</v>
      </c>
      <c r="C385" s="157" t="s">
        <v>4942</v>
      </c>
      <c r="D385" s="163" t="s">
        <v>4848</v>
      </c>
      <c r="E385" s="164">
        <v>0</v>
      </c>
      <c r="F385" s="165" t="s">
        <v>51</v>
      </c>
      <c r="G385" s="164">
        <v>0</v>
      </c>
      <c r="H385" s="165" t="s">
        <v>51</v>
      </c>
      <c r="I385" s="164">
        <v>0</v>
      </c>
      <c r="J385" s="165" t="s">
        <v>51</v>
      </c>
      <c r="K385" s="164">
        <v>80000</v>
      </c>
      <c r="L385" s="165" t="s">
        <v>51</v>
      </c>
      <c r="M385" s="164">
        <v>95000</v>
      </c>
      <c r="N385" s="165"/>
      <c r="O385" s="164">
        <f t="shared" si="18"/>
        <v>80000</v>
      </c>
      <c r="P385" s="166">
        <v>0</v>
      </c>
      <c r="Q385" s="166">
        <v>0</v>
      </c>
      <c r="R385" s="166">
        <v>0</v>
      </c>
      <c r="S385" s="166">
        <v>0</v>
      </c>
      <c r="T385" s="166">
        <v>0</v>
      </c>
      <c r="U385" s="13">
        <v>0</v>
      </c>
      <c r="V385" s="13">
        <v>0</v>
      </c>
      <c r="W385" s="8" t="s">
        <v>3949</v>
      </c>
      <c r="X385" s="8" t="s">
        <v>51</v>
      </c>
      <c r="Y385" s="2" t="s">
        <v>51</v>
      </c>
      <c r="Z385" s="2" t="s">
        <v>51</v>
      </c>
      <c r="AA385" s="14"/>
      <c r="AB385" s="2" t="s">
        <v>51</v>
      </c>
    </row>
    <row r="386" spans="1:28" ht="30" customHeight="1">
      <c r="A386" s="8" t="s">
        <v>897</v>
      </c>
      <c r="B386" s="157" t="s">
        <v>4934</v>
      </c>
      <c r="C386" s="157" t="s">
        <v>4943</v>
      </c>
      <c r="D386" s="163" t="s">
        <v>4848</v>
      </c>
      <c r="E386" s="164">
        <v>0</v>
      </c>
      <c r="F386" s="165" t="s">
        <v>51</v>
      </c>
      <c r="G386" s="164">
        <v>0</v>
      </c>
      <c r="H386" s="165" t="s">
        <v>51</v>
      </c>
      <c r="I386" s="164">
        <v>0</v>
      </c>
      <c r="J386" s="165" t="s">
        <v>51</v>
      </c>
      <c r="K386" s="164">
        <v>70000</v>
      </c>
      <c r="L386" s="165" t="s">
        <v>51</v>
      </c>
      <c r="M386" s="164">
        <v>78000</v>
      </c>
      <c r="N386" s="165"/>
      <c r="O386" s="164">
        <f t="shared" si="18"/>
        <v>70000</v>
      </c>
      <c r="P386" s="166">
        <v>0</v>
      </c>
      <c r="Q386" s="166">
        <v>0</v>
      </c>
      <c r="R386" s="166">
        <v>0</v>
      </c>
      <c r="S386" s="166">
        <v>0</v>
      </c>
      <c r="T386" s="166">
        <v>0</v>
      </c>
      <c r="U386" s="13">
        <v>0</v>
      </c>
      <c r="V386" s="13">
        <v>0</v>
      </c>
      <c r="W386" s="8" t="s">
        <v>3950</v>
      </c>
      <c r="X386" s="8" t="s">
        <v>51</v>
      </c>
      <c r="Y386" s="2" t="s">
        <v>51</v>
      </c>
      <c r="Z386" s="2" t="s">
        <v>51</v>
      </c>
      <c r="AA386" s="14"/>
      <c r="AB386" s="2" t="s">
        <v>51</v>
      </c>
    </row>
    <row r="387" spans="1:28" ht="30" customHeight="1">
      <c r="A387" s="8" t="s">
        <v>899</v>
      </c>
      <c r="B387" s="157" t="s">
        <v>4934</v>
      </c>
      <c r="C387" s="157" t="s">
        <v>4944</v>
      </c>
      <c r="D387" s="163" t="s">
        <v>4848</v>
      </c>
      <c r="E387" s="164">
        <v>0</v>
      </c>
      <c r="F387" s="165" t="s">
        <v>51</v>
      </c>
      <c r="G387" s="164">
        <v>0</v>
      </c>
      <c r="H387" s="165" t="s">
        <v>51</v>
      </c>
      <c r="I387" s="164">
        <v>0</v>
      </c>
      <c r="J387" s="165" t="s">
        <v>51</v>
      </c>
      <c r="K387" s="164">
        <v>100000</v>
      </c>
      <c r="L387" s="165" t="s">
        <v>51</v>
      </c>
      <c r="M387" s="164">
        <v>120000</v>
      </c>
      <c r="N387" s="165"/>
      <c r="O387" s="164">
        <f t="shared" si="18"/>
        <v>100000</v>
      </c>
      <c r="P387" s="166">
        <v>0</v>
      </c>
      <c r="Q387" s="166">
        <v>0</v>
      </c>
      <c r="R387" s="166">
        <v>0</v>
      </c>
      <c r="S387" s="166">
        <v>0</v>
      </c>
      <c r="T387" s="166">
        <v>0</v>
      </c>
      <c r="U387" s="13">
        <v>0</v>
      </c>
      <c r="V387" s="13">
        <v>0</v>
      </c>
      <c r="W387" s="8" t="s">
        <v>3951</v>
      </c>
      <c r="X387" s="8" t="s">
        <v>51</v>
      </c>
      <c r="Y387" s="2" t="s">
        <v>51</v>
      </c>
      <c r="Z387" s="2" t="s">
        <v>51</v>
      </c>
      <c r="AA387" s="14"/>
      <c r="AB387" s="2" t="s">
        <v>51</v>
      </c>
    </row>
    <row r="388" spans="1:28" ht="30" customHeight="1">
      <c r="A388" s="8" t="s">
        <v>901</v>
      </c>
      <c r="B388" s="157" t="s">
        <v>4934</v>
      </c>
      <c r="C388" s="157" t="s">
        <v>4945</v>
      </c>
      <c r="D388" s="163" t="s">
        <v>4848</v>
      </c>
      <c r="E388" s="164">
        <v>0</v>
      </c>
      <c r="F388" s="165" t="s">
        <v>51</v>
      </c>
      <c r="G388" s="164">
        <v>0</v>
      </c>
      <c r="H388" s="165" t="s">
        <v>51</v>
      </c>
      <c r="I388" s="164">
        <v>0</v>
      </c>
      <c r="J388" s="165" t="s">
        <v>51</v>
      </c>
      <c r="K388" s="164">
        <v>70000</v>
      </c>
      <c r="L388" s="165" t="s">
        <v>51</v>
      </c>
      <c r="M388" s="164">
        <v>88000</v>
      </c>
      <c r="N388" s="165"/>
      <c r="O388" s="164">
        <f t="shared" si="18"/>
        <v>70000</v>
      </c>
      <c r="P388" s="166">
        <v>0</v>
      </c>
      <c r="Q388" s="166">
        <v>0</v>
      </c>
      <c r="R388" s="166">
        <v>0</v>
      </c>
      <c r="S388" s="166">
        <v>0</v>
      </c>
      <c r="T388" s="166">
        <v>0</v>
      </c>
      <c r="U388" s="13">
        <v>0</v>
      </c>
      <c r="V388" s="13">
        <v>0</v>
      </c>
      <c r="W388" s="8" t="s">
        <v>3952</v>
      </c>
      <c r="X388" s="8" t="s">
        <v>51</v>
      </c>
      <c r="Y388" s="2" t="s">
        <v>51</v>
      </c>
      <c r="Z388" s="2" t="s">
        <v>51</v>
      </c>
      <c r="AA388" s="14"/>
      <c r="AB388" s="2" t="s">
        <v>51</v>
      </c>
    </row>
    <row r="389" spans="1:28" ht="30" customHeight="1">
      <c r="A389" s="8" t="s">
        <v>903</v>
      </c>
      <c r="B389" s="157" t="s">
        <v>4934</v>
      </c>
      <c r="C389" s="157" t="s">
        <v>4946</v>
      </c>
      <c r="D389" s="163" t="s">
        <v>4848</v>
      </c>
      <c r="E389" s="164">
        <v>0</v>
      </c>
      <c r="F389" s="165" t="s">
        <v>51</v>
      </c>
      <c r="G389" s="164">
        <v>0</v>
      </c>
      <c r="H389" s="165" t="s">
        <v>51</v>
      </c>
      <c r="I389" s="164">
        <v>0</v>
      </c>
      <c r="J389" s="165" t="s">
        <v>51</v>
      </c>
      <c r="K389" s="164">
        <v>10000</v>
      </c>
      <c r="L389" s="165" t="s">
        <v>51</v>
      </c>
      <c r="M389" s="164">
        <v>12000</v>
      </c>
      <c r="N389" s="165"/>
      <c r="O389" s="164">
        <f t="shared" si="18"/>
        <v>10000</v>
      </c>
      <c r="P389" s="166">
        <v>0</v>
      </c>
      <c r="Q389" s="166">
        <v>0</v>
      </c>
      <c r="R389" s="166">
        <v>0</v>
      </c>
      <c r="S389" s="166">
        <v>0</v>
      </c>
      <c r="T389" s="166">
        <v>0</v>
      </c>
      <c r="U389" s="13">
        <v>0</v>
      </c>
      <c r="V389" s="13">
        <v>0</v>
      </c>
      <c r="W389" s="8" t="s">
        <v>3953</v>
      </c>
      <c r="X389" s="8" t="s">
        <v>51</v>
      </c>
      <c r="Y389" s="2" t="s">
        <v>51</v>
      </c>
      <c r="Z389" s="2" t="s">
        <v>51</v>
      </c>
      <c r="AA389" s="14"/>
      <c r="AB389" s="2" t="s">
        <v>51</v>
      </c>
    </row>
    <row r="390" spans="1:28" ht="30" customHeight="1">
      <c r="A390" s="8" t="s">
        <v>905</v>
      </c>
      <c r="B390" s="157" t="s">
        <v>4934</v>
      </c>
      <c r="C390" s="157" t="s">
        <v>4947</v>
      </c>
      <c r="D390" s="163" t="s">
        <v>4848</v>
      </c>
      <c r="E390" s="164">
        <v>0</v>
      </c>
      <c r="F390" s="165" t="s">
        <v>51</v>
      </c>
      <c r="G390" s="164">
        <v>0</v>
      </c>
      <c r="H390" s="165" t="s">
        <v>51</v>
      </c>
      <c r="I390" s="164">
        <v>0</v>
      </c>
      <c r="J390" s="165" t="s">
        <v>51</v>
      </c>
      <c r="K390" s="164">
        <v>120000</v>
      </c>
      <c r="L390" s="165" t="s">
        <v>51</v>
      </c>
      <c r="M390" s="164">
        <v>145000</v>
      </c>
      <c r="N390" s="165"/>
      <c r="O390" s="164">
        <f t="shared" si="18"/>
        <v>120000</v>
      </c>
      <c r="P390" s="166">
        <v>0</v>
      </c>
      <c r="Q390" s="166">
        <v>0</v>
      </c>
      <c r="R390" s="166">
        <v>0</v>
      </c>
      <c r="S390" s="166">
        <v>0</v>
      </c>
      <c r="T390" s="166">
        <v>0</v>
      </c>
      <c r="U390" s="13">
        <v>0</v>
      </c>
      <c r="V390" s="13">
        <v>0</v>
      </c>
      <c r="W390" s="8" t="s">
        <v>3954</v>
      </c>
      <c r="X390" s="8" t="s">
        <v>51</v>
      </c>
      <c r="Y390" s="2" t="s">
        <v>51</v>
      </c>
      <c r="Z390" s="2" t="s">
        <v>51</v>
      </c>
      <c r="AA390" s="14"/>
      <c r="AB390" s="2" t="s">
        <v>51</v>
      </c>
    </row>
    <row r="391" spans="1:28" ht="30" customHeight="1">
      <c r="A391" s="8" t="s">
        <v>907</v>
      </c>
      <c r="B391" s="157" t="s">
        <v>4934</v>
      </c>
      <c r="C391" s="157" t="s">
        <v>4902</v>
      </c>
      <c r="D391" s="163" t="s">
        <v>4848</v>
      </c>
      <c r="E391" s="164">
        <v>0</v>
      </c>
      <c r="F391" s="165" t="s">
        <v>51</v>
      </c>
      <c r="G391" s="164">
        <v>0</v>
      </c>
      <c r="H391" s="165" t="s">
        <v>51</v>
      </c>
      <c r="I391" s="164">
        <v>0</v>
      </c>
      <c r="J391" s="165" t="s">
        <v>51</v>
      </c>
      <c r="K391" s="164">
        <v>30000</v>
      </c>
      <c r="L391" s="165" t="s">
        <v>51</v>
      </c>
      <c r="M391" s="164">
        <v>33000</v>
      </c>
      <c r="N391" s="165"/>
      <c r="O391" s="164">
        <f t="shared" si="18"/>
        <v>30000</v>
      </c>
      <c r="P391" s="166">
        <v>0</v>
      </c>
      <c r="Q391" s="166">
        <v>0</v>
      </c>
      <c r="R391" s="166">
        <v>0</v>
      </c>
      <c r="S391" s="166">
        <v>0</v>
      </c>
      <c r="T391" s="166">
        <v>0</v>
      </c>
      <c r="U391" s="13">
        <v>0</v>
      </c>
      <c r="V391" s="13">
        <v>0</v>
      </c>
      <c r="W391" s="8" t="s">
        <v>3955</v>
      </c>
      <c r="X391" s="8" t="s">
        <v>51</v>
      </c>
      <c r="Y391" s="2" t="s">
        <v>51</v>
      </c>
      <c r="Z391" s="2" t="s">
        <v>51</v>
      </c>
      <c r="AA391" s="14"/>
      <c r="AB391" s="2" t="s">
        <v>51</v>
      </c>
    </row>
    <row r="392" spans="1:28" ht="30" customHeight="1">
      <c r="A392" s="8" t="s">
        <v>909</v>
      </c>
      <c r="B392" s="157" t="s">
        <v>4934</v>
      </c>
      <c r="C392" s="157" t="s">
        <v>4948</v>
      </c>
      <c r="D392" s="163" t="s">
        <v>4848</v>
      </c>
      <c r="E392" s="164">
        <v>0</v>
      </c>
      <c r="F392" s="165" t="s">
        <v>51</v>
      </c>
      <c r="G392" s="164">
        <v>0</v>
      </c>
      <c r="H392" s="165" t="s">
        <v>51</v>
      </c>
      <c r="I392" s="164">
        <v>0</v>
      </c>
      <c r="J392" s="165" t="s">
        <v>51</v>
      </c>
      <c r="K392" s="164">
        <v>35000</v>
      </c>
      <c r="L392" s="165" t="s">
        <v>51</v>
      </c>
      <c r="M392" s="164">
        <v>39000</v>
      </c>
      <c r="N392" s="165"/>
      <c r="O392" s="164">
        <f t="shared" ref="O392:O403" si="19">SMALL(E392:M392,COUNTIF(E392:M392,0)+1)</f>
        <v>35000</v>
      </c>
      <c r="P392" s="166">
        <v>0</v>
      </c>
      <c r="Q392" s="166">
        <v>0</v>
      </c>
      <c r="R392" s="166">
        <v>0</v>
      </c>
      <c r="S392" s="166">
        <v>0</v>
      </c>
      <c r="T392" s="166">
        <v>0</v>
      </c>
      <c r="U392" s="13">
        <v>0</v>
      </c>
      <c r="V392" s="13">
        <v>0</v>
      </c>
      <c r="W392" s="8" t="s">
        <v>3956</v>
      </c>
      <c r="X392" s="8" t="s">
        <v>51</v>
      </c>
      <c r="Y392" s="2" t="s">
        <v>51</v>
      </c>
      <c r="Z392" s="2" t="s">
        <v>51</v>
      </c>
      <c r="AA392" s="14"/>
      <c r="AB392" s="2" t="s">
        <v>51</v>
      </c>
    </row>
    <row r="393" spans="1:28" ht="30" customHeight="1">
      <c r="A393" s="8" t="s">
        <v>911</v>
      </c>
      <c r="B393" s="157" t="s">
        <v>4934</v>
      </c>
      <c r="C393" s="157" t="s">
        <v>4949</v>
      </c>
      <c r="D393" s="163" t="s">
        <v>4848</v>
      </c>
      <c r="E393" s="164">
        <v>0</v>
      </c>
      <c r="F393" s="165" t="s">
        <v>51</v>
      </c>
      <c r="G393" s="164">
        <v>0</v>
      </c>
      <c r="H393" s="165" t="s">
        <v>51</v>
      </c>
      <c r="I393" s="164">
        <v>0</v>
      </c>
      <c r="J393" s="165" t="s">
        <v>51</v>
      </c>
      <c r="K393" s="164">
        <v>100000</v>
      </c>
      <c r="L393" s="165" t="s">
        <v>51</v>
      </c>
      <c r="M393" s="164">
        <v>120000</v>
      </c>
      <c r="N393" s="165"/>
      <c r="O393" s="164">
        <f t="shared" si="19"/>
        <v>100000</v>
      </c>
      <c r="P393" s="166">
        <v>0</v>
      </c>
      <c r="Q393" s="166">
        <v>0</v>
      </c>
      <c r="R393" s="166">
        <v>0</v>
      </c>
      <c r="S393" s="166">
        <v>0</v>
      </c>
      <c r="T393" s="166">
        <v>0</v>
      </c>
      <c r="U393" s="13">
        <v>0</v>
      </c>
      <c r="V393" s="13">
        <v>0</v>
      </c>
      <c r="W393" s="8" t="s">
        <v>3957</v>
      </c>
      <c r="X393" s="8" t="s">
        <v>51</v>
      </c>
      <c r="Y393" s="2" t="s">
        <v>51</v>
      </c>
      <c r="Z393" s="2" t="s">
        <v>51</v>
      </c>
      <c r="AA393" s="14"/>
      <c r="AB393" s="2" t="s">
        <v>51</v>
      </c>
    </row>
    <row r="394" spans="1:28" ht="30" customHeight="1">
      <c r="A394" s="8" t="s">
        <v>912</v>
      </c>
      <c r="B394" s="157" t="s">
        <v>4934</v>
      </c>
      <c r="C394" s="157" t="s">
        <v>4950</v>
      </c>
      <c r="D394" s="163" t="s">
        <v>4848</v>
      </c>
      <c r="E394" s="164">
        <v>0</v>
      </c>
      <c r="F394" s="165" t="s">
        <v>51</v>
      </c>
      <c r="G394" s="164">
        <v>0</v>
      </c>
      <c r="H394" s="165" t="s">
        <v>51</v>
      </c>
      <c r="I394" s="164">
        <v>0</v>
      </c>
      <c r="J394" s="165" t="s">
        <v>51</v>
      </c>
      <c r="K394" s="164">
        <v>70000</v>
      </c>
      <c r="L394" s="165" t="s">
        <v>51</v>
      </c>
      <c r="M394" s="164">
        <v>85000</v>
      </c>
      <c r="N394" s="165"/>
      <c r="O394" s="164">
        <f t="shared" si="19"/>
        <v>70000</v>
      </c>
      <c r="P394" s="166">
        <v>0</v>
      </c>
      <c r="Q394" s="166">
        <v>0</v>
      </c>
      <c r="R394" s="166">
        <v>0</v>
      </c>
      <c r="S394" s="166">
        <v>0</v>
      </c>
      <c r="T394" s="166">
        <v>0</v>
      </c>
      <c r="U394" s="13">
        <v>0</v>
      </c>
      <c r="V394" s="13">
        <v>0</v>
      </c>
      <c r="W394" s="8" t="s">
        <v>3958</v>
      </c>
      <c r="X394" s="8" t="s">
        <v>51</v>
      </c>
      <c r="Y394" s="2" t="s">
        <v>51</v>
      </c>
      <c r="Z394" s="2" t="s">
        <v>51</v>
      </c>
      <c r="AA394" s="14"/>
      <c r="AB394" s="2" t="s">
        <v>51</v>
      </c>
    </row>
    <row r="395" spans="1:28" ht="30" customHeight="1">
      <c r="A395" s="8" t="s">
        <v>913</v>
      </c>
      <c r="B395" s="157" t="s">
        <v>4934</v>
      </c>
      <c r="C395" s="157" t="s">
        <v>4951</v>
      </c>
      <c r="D395" s="163" t="s">
        <v>4848</v>
      </c>
      <c r="E395" s="164">
        <v>0</v>
      </c>
      <c r="F395" s="165" t="s">
        <v>51</v>
      </c>
      <c r="G395" s="164">
        <v>0</v>
      </c>
      <c r="H395" s="165" t="s">
        <v>51</v>
      </c>
      <c r="I395" s="164">
        <v>0</v>
      </c>
      <c r="J395" s="165" t="s">
        <v>51</v>
      </c>
      <c r="K395" s="164">
        <v>70000</v>
      </c>
      <c r="L395" s="165" t="s">
        <v>51</v>
      </c>
      <c r="M395" s="164">
        <v>85000</v>
      </c>
      <c r="N395" s="165"/>
      <c r="O395" s="164">
        <f t="shared" si="19"/>
        <v>70000</v>
      </c>
      <c r="P395" s="166">
        <v>0</v>
      </c>
      <c r="Q395" s="166">
        <v>0</v>
      </c>
      <c r="R395" s="166">
        <v>0</v>
      </c>
      <c r="S395" s="166">
        <v>0</v>
      </c>
      <c r="T395" s="166">
        <v>0</v>
      </c>
      <c r="U395" s="13">
        <v>0</v>
      </c>
      <c r="V395" s="13">
        <v>0</v>
      </c>
      <c r="W395" s="8" t="s">
        <v>3959</v>
      </c>
      <c r="X395" s="8" t="s">
        <v>51</v>
      </c>
      <c r="Y395" s="2" t="s">
        <v>51</v>
      </c>
      <c r="Z395" s="2" t="s">
        <v>51</v>
      </c>
      <c r="AA395" s="14"/>
      <c r="AB395" s="2" t="s">
        <v>51</v>
      </c>
    </row>
    <row r="396" spans="1:28" ht="30" customHeight="1">
      <c r="A396" s="8" t="s">
        <v>914</v>
      </c>
      <c r="B396" s="157" t="s">
        <v>4934</v>
      </c>
      <c r="C396" s="157" t="s">
        <v>4952</v>
      </c>
      <c r="D396" s="163" t="s">
        <v>4848</v>
      </c>
      <c r="E396" s="164">
        <v>0</v>
      </c>
      <c r="F396" s="165" t="s">
        <v>51</v>
      </c>
      <c r="G396" s="164">
        <v>0</v>
      </c>
      <c r="H396" s="165" t="s">
        <v>51</v>
      </c>
      <c r="I396" s="164">
        <v>0</v>
      </c>
      <c r="J396" s="165" t="s">
        <v>51</v>
      </c>
      <c r="K396" s="164">
        <v>80000</v>
      </c>
      <c r="L396" s="165" t="s">
        <v>51</v>
      </c>
      <c r="M396" s="164">
        <v>88000</v>
      </c>
      <c r="N396" s="165"/>
      <c r="O396" s="164">
        <f t="shared" si="19"/>
        <v>80000</v>
      </c>
      <c r="P396" s="166">
        <v>0</v>
      </c>
      <c r="Q396" s="166">
        <v>0</v>
      </c>
      <c r="R396" s="166">
        <v>0</v>
      </c>
      <c r="S396" s="166">
        <v>0</v>
      </c>
      <c r="T396" s="166">
        <v>0</v>
      </c>
      <c r="U396" s="13">
        <v>0</v>
      </c>
      <c r="V396" s="13">
        <v>0</v>
      </c>
      <c r="W396" s="8" t="s">
        <v>3960</v>
      </c>
      <c r="X396" s="8" t="s">
        <v>51</v>
      </c>
      <c r="Y396" s="2" t="s">
        <v>51</v>
      </c>
      <c r="Z396" s="2" t="s">
        <v>51</v>
      </c>
      <c r="AA396" s="14"/>
      <c r="AB396" s="2" t="s">
        <v>51</v>
      </c>
    </row>
    <row r="397" spans="1:28" ht="30" customHeight="1">
      <c r="A397" s="8" t="s">
        <v>915</v>
      </c>
      <c r="B397" s="157" t="s">
        <v>4934</v>
      </c>
      <c r="C397" s="157" t="s">
        <v>4953</v>
      </c>
      <c r="D397" s="163" t="s">
        <v>4848</v>
      </c>
      <c r="E397" s="164">
        <v>0</v>
      </c>
      <c r="F397" s="165" t="s">
        <v>51</v>
      </c>
      <c r="G397" s="164">
        <v>0</v>
      </c>
      <c r="H397" s="165" t="s">
        <v>51</v>
      </c>
      <c r="I397" s="164">
        <v>0</v>
      </c>
      <c r="J397" s="165" t="s">
        <v>51</v>
      </c>
      <c r="K397" s="164">
        <v>20000</v>
      </c>
      <c r="L397" s="165" t="s">
        <v>51</v>
      </c>
      <c r="M397" s="164">
        <v>29000</v>
      </c>
      <c r="N397" s="165"/>
      <c r="O397" s="164">
        <f t="shared" si="19"/>
        <v>20000</v>
      </c>
      <c r="P397" s="166">
        <v>0</v>
      </c>
      <c r="Q397" s="166">
        <v>0</v>
      </c>
      <c r="R397" s="166">
        <v>0</v>
      </c>
      <c r="S397" s="166">
        <v>0</v>
      </c>
      <c r="T397" s="166">
        <v>0</v>
      </c>
      <c r="U397" s="13">
        <v>0</v>
      </c>
      <c r="V397" s="13">
        <v>0</v>
      </c>
      <c r="W397" s="8" t="s">
        <v>3961</v>
      </c>
      <c r="X397" s="8" t="s">
        <v>51</v>
      </c>
      <c r="Y397" s="2" t="s">
        <v>51</v>
      </c>
      <c r="Z397" s="2" t="s">
        <v>51</v>
      </c>
      <c r="AA397" s="14"/>
      <c r="AB397" s="2" t="s">
        <v>51</v>
      </c>
    </row>
    <row r="398" spans="1:28" ht="30" customHeight="1">
      <c r="A398" s="8" t="s">
        <v>916</v>
      </c>
      <c r="B398" s="157" t="s">
        <v>4934</v>
      </c>
      <c r="C398" s="157" t="s">
        <v>4954</v>
      </c>
      <c r="D398" s="163" t="s">
        <v>4848</v>
      </c>
      <c r="E398" s="164">
        <v>0</v>
      </c>
      <c r="F398" s="165" t="s">
        <v>51</v>
      </c>
      <c r="G398" s="164">
        <v>0</v>
      </c>
      <c r="H398" s="165" t="s">
        <v>51</v>
      </c>
      <c r="I398" s="164">
        <v>0</v>
      </c>
      <c r="J398" s="165" t="s">
        <v>51</v>
      </c>
      <c r="K398" s="164">
        <v>120000</v>
      </c>
      <c r="L398" s="165" t="s">
        <v>51</v>
      </c>
      <c r="M398" s="164">
        <v>142000</v>
      </c>
      <c r="N398" s="165"/>
      <c r="O398" s="164">
        <f t="shared" si="19"/>
        <v>120000</v>
      </c>
      <c r="P398" s="166">
        <v>0</v>
      </c>
      <c r="Q398" s="166">
        <v>0</v>
      </c>
      <c r="R398" s="166">
        <v>0</v>
      </c>
      <c r="S398" s="166">
        <v>0</v>
      </c>
      <c r="T398" s="166">
        <v>0</v>
      </c>
      <c r="U398" s="13">
        <v>0</v>
      </c>
      <c r="V398" s="13">
        <v>0</v>
      </c>
      <c r="W398" s="8" t="s">
        <v>3962</v>
      </c>
      <c r="X398" s="8" t="s">
        <v>51</v>
      </c>
      <c r="Y398" s="2" t="s">
        <v>51</v>
      </c>
      <c r="Z398" s="2" t="s">
        <v>51</v>
      </c>
      <c r="AA398" s="14"/>
      <c r="AB398" s="2" t="s">
        <v>51</v>
      </c>
    </row>
    <row r="399" spans="1:28" ht="30" customHeight="1">
      <c r="A399" s="8" t="s">
        <v>917</v>
      </c>
      <c r="B399" s="157" t="s">
        <v>4934</v>
      </c>
      <c r="C399" s="157" t="s">
        <v>4955</v>
      </c>
      <c r="D399" s="163" t="s">
        <v>4848</v>
      </c>
      <c r="E399" s="164">
        <v>0</v>
      </c>
      <c r="F399" s="165" t="s">
        <v>51</v>
      </c>
      <c r="G399" s="164">
        <v>0</v>
      </c>
      <c r="H399" s="165" t="s">
        <v>51</v>
      </c>
      <c r="I399" s="164">
        <v>0</v>
      </c>
      <c r="J399" s="165" t="s">
        <v>51</v>
      </c>
      <c r="K399" s="164">
        <v>140000</v>
      </c>
      <c r="L399" s="165" t="s">
        <v>51</v>
      </c>
      <c r="M399" s="164">
        <v>165000</v>
      </c>
      <c r="N399" s="165"/>
      <c r="O399" s="164">
        <f t="shared" si="19"/>
        <v>140000</v>
      </c>
      <c r="P399" s="166">
        <v>0</v>
      </c>
      <c r="Q399" s="166">
        <v>0</v>
      </c>
      <c r="R399" s="166">
        <v>0</v>
      </c>
      <c r="S399" s="166">
        <v>0</v>
      </c>
      <c r="T399" s="166">
        <v>0</v>
      </c>
      <c r="U399" s="13">
        <v>0</v>
      </c>
      <c r="V399" s="13">
        <v>0</v>
      </c>
      <c r="W399" s="8" t="s">
        <v>3963</v>
      </c>
      <c r="X399" s="8" t="s">
        <v>51</v>
      </c>
      <c r="Y399" s="2" t="s">
        <v>51</v>
      </c>
      <c r="Z399" s="2" t="s">
        <v>51</v>
      </c>
      <c r="AA399" s="14"/>
      <c r="AB399" s="2" t="s">
        <v>51</v>
      </c>
    </row>
    <row r="400" spans="1:28" ht="30" customHeight="1">
      <c r="A400" s="8" t="s">
        <v>918</v>
      </c>
      <c r="B400" s="157" t="s">
        <v>4934</v>
      </c>
      <c r="C400" s="157" t="s">
        <v>4956</v>
      </c>
      <c r="D400" s="163" t="s">
        <v>4848</v>
      </c>
      <c r="E400" s="164">
        <v>0</v>
      </c>
      <c r="F400" s="165" t="s">
        <v>51</v>
      </c>
      <c r="G400" s="164">
        <v>0</v>
      </c>
      <c r="H400" s="165" t="s">
        <v>51</v>
      </c>
      <c r="I400" s="164">
        <v>0</v>
      </c>
      <c r="J400" s="165" t="s">
        <v>51</v>
      </c>
      <c r="K400" s="164">
        <v>120000</v>
      </c>
      <c r="L400" s="165" t="s">
        <v>51</v>
      </c>
      <c r="M400" s="164">
        <v>142000</v>
      </c>
      <c r="N400" s="165"/>
      <c r="O400" s="164">
        <f t="shared" si="19"/>
        <v>120000</v>
      </c>
      <c r="P400" s="166">
        <v>0</v>
      </c>
      <c r="Q400" s="166">
        <v>0</v>
      </c>
      <c r="R400" s="166">
        <v>0</v>
      </c>
      <c r="S400" s="166">
        <v>0</v>
      </c>
      <c r="T400" s="166">
        <v>0</v>
      </c>
      <c r="U400" s="13">
        <v>0</v>
      </c>
      <c r="V400" s="13">
        <v>0</v>
      </c>
      <c r="W400" s="8" t="s">
        <v>3964</v>
      </c>
      <c r="X400" s="8" t="s">
        <v>51</v>
      </c>
      <c r="Y400" s="2" t="s">
        <v>51</v>
      </c>
      <c r="Z400" s="2" t="s">
        <v>51</v>
      </c>
      <c r="AA400" s="14"/>
      <c r="AB400" s="2" t="s">
        <v>51</v>
      </c>
    </row>
    <row r="401" spans="1:28" ht="30" customHeight="1">
      <c r="A401" s="8" t="s">
        <v>919</v>
      </c>
      <c r="B401" s="157" t="s">
        <v>4934</v>
      </c>
      <c r="C401" s="157" t="s">
        <v>4957</v>
      </c>
      <c r="D401" s="163" t="s">
        <v>4848</v>
      </c>
      <c r="E401" s="164">
        <v>0</v>
      </c>
      <c r="F401" s="165" t="s">
        <v>51</v>
      </c>
      <c r="G401" s="164">
        <v>0</v>
      </c>
      <c r="H401" s="165" t="s">
        <v>51</v>
      </c>
      <c r="I401" s="164">
        <v>0</v>
      </c>
      <c r="J401" s="165" t="s">
        <v>51</v>
      </c>
      <c r="K401" s="164">
        <v>180000</v>
      </c>
      <c r="L401" s="165" t="s">
        <v>51</v>
      </c>
      <c r="M401" s="164">
        <v>220000</v>
      </c>
      <c r="N401" s="165"/>
      <c r="O401" s="164">
        <f t="shared" si="19"/>
        <v>180000</v>
      </c>
      <c r="P401" s="166">
        <v>0</v>
      </c>
      <c r="Q401" s="166">
        <v>0</v>
      </c>
      <c r="R401" s="166">
        <v>0</v>
      </c>
      <c r="S401" s="166">
        <v>0</v>
      </c>
      <c r="T401" s="166">
        <v>0</v>
      </c>
      <c r="U401" s="13">
        <v>0</v>
      </c>
      <c r="V401" s="13">
        <v>0</v>
      </c>
      <c r="W401" s="8" t="s">
        <v>3965</v>
      </c>
      <c r="X401" s="8" t="s">
        <v>51</v>
      </c>
      <c r="Y401" s="2" t="s">
        <v>51</v>
      </c>
      <c r="Z401" s="2" t="s">
        <v>51</v>
      </c>
      <c r="AA401" s="14"/>
      <c r="AB401" s="2" t="s">
        <v>51</v>
      </c>
    </row>
    <row r="402" spans="1:28" ht="30" customHeight="1">
      <c r="A402" s="8" t="s">
        <v>920</v>
      </c>
      <c r="B402" s="157" t="s">
        <v>4934</v>
      </c>
      <c r="C402" s="157" t="s">
        <v>4958</v>
      </c>
      <c r="D402" s="163" t="s">
        <v>4848</v>
      </c>
      <c r="E402" s="164">
        <v>0</v>
      </c>
      <c r="F402" s="165" t="s">
        <v>51</v>
      </c>
      <c r="G402" s="164">
        <v>0</v>
      </c>
      <c r="H402" s="165" t="s">
        <v>51</v>
      </c>
      <c r="I402" s="164">
        <v>0</v>
      </c>
      <c r="J402" s="165" t="s">
        <v>51</v>
      </c>
      <c r="K402" s="164">
        <v>250000</v>
      </c>
      <c r="L402" s="165" t="s">
        <v>51</v>
      </c>
      <c r="M402" s="164">
        <v>270000</v>
      </c>
      <c r="N402" s="165"/>
      <c r="O402" s="164">
        <f t="shared" si="19"/>
        <v>250000</v>
      </c>
      <c r="P402" s="166">
        <v>0</v>
      </c>
      <c r="Q402" s="166">
        <v>0</v>
      </c>
      <c r="R402" s="166">
        <v>0</v>
      </c>
      <c r="S402" s="166">
        <v>0</v>
      </c>
      <c r="T402" s="166">
        <v>0</v>
      </c>
      <c r="U402" s="13">
        <v>0</v>
      </c>
      <c r="V402" s="13">
        <v>0</v>
      </c>
      <c r="W402" s="8" t="s">
        <v>3966</v>
      </c>
      <c r="X402" s="8" t="s">
        <v>51</v>
      </c>
      <c r="Y402" s="2" t="s">
        <v>51</v>
      </c>
      <c r="Z402" s="2" t="s">
        <v>51</v>
      </c>
      <c r="AA402" s="14"/>
      <c r="AB402" s="2" t="s">
        <v>51</v>
      </c>
    </row>
    <row r="403" spans="1:28" ht="30" customHeight="1">
      <c r="A403" s="8" t="s">
        <v>921</v>
      </c>
      <c r="B403" s="157" t="s">
        <v>4934</v>
      </c>
      <c r="C403" s="157" t="s">
        <v>4959</v>
      </c>
      <c r="D403" s="163" t="s">
        <v>4848</v>
      </c>
      <c r="E403" s="164">
        <v>0</v>
      </c>
      <c r="F403" s="165" t="s">
        <v>51</v>
      </c>
      <c r="G403" s="164">
        <v>0</v>
      </c>
      <c r="H403" s="165" t="s">
        <v>51</v>
      </c>
      <c r="I403" s="164">
        <v>0</v>
      </c>
      <c r="J403" s="165" t="s">
        <v>51</v>
      </c>
      <c r="K403" s="164">
        <v>220000</v>
      </c>
      <c r="L403" s="165" t="s">
        <v>51</v>
      </c>
      <c r="M403" s="164">
        <v>256000</v>
      </c>
      <c r="N403" s="165"/>
      <c r="O403" s="164">
        <f t="shared" si="19"/>
        <v>220000</v>
      </c>
      <c r="P403" s="166">
        <v>0</v>
      </c>
      <c r="Q403" s="166">
        <v>0</v>
      </c>
      <c r="R403" s="166">
        <v>0</v>
      </c>
      <c r="S403" s="166">
        <v>0</v>
      </c>
      <c r="T403" s="166">
        <v>0</v>
      </c>
      <c r="U403" s="13">
        <v>0</v>
      </c>
      <c r="V403" s="13">
        <v>0</v>
      </c>
      <c r="W403" s="8" t="s">
        <v>3967</v>
      </c>
      <c r="X403" s="8" t="s">
        <v>51</v>
      </c>
      <c r="Y403" s="2" t="s">
        <v>51</v>
      </c>
      <c r="Z403" s="2" t="s">
        <v>51</v>
      </c>
      <c r="AA403" s="14"/>
      <c r="AB403" s="2" t="s">
        <v>51</v>
      </c>
    </row>
    <row r="404" spans="1:28" ht="30" customHeight="1">
      <c r="A404" s="8" t="s">
        <v>921</v>
      </c>
      <c r="B404" s="157" t="s">
        <v>4934</v>
      </c>
      <c r="C404" s="157" t="s">
        <v>4960</v>
      </c>
      <c r="D404" s="163" t="s">
        <v>4848</v>
      </c>
      <c r="E404" s="164">
        <v>0</v>
      </c>
      <c r="F404" s="165" t="s">
        <v>51</v>
      </c>
      <c r="G404" s="164">
        <v>0</v>
      </c>
      <c r="H404" s="165" t="s">
        <v>51</v>
      </c>
      <c r="I404" s="164">
        <v>0</v>
      </c>
      <c r="J404" s="165" t="s">
        <v>51</v>
      </c>
      <c r="K404" s="164">
        <v>90000</v>
      </c>
      <c r="L404" s="165" t="s">
        <v>51</v>
      </c>
      <c r="M404" s="164">
        <v>98000</v>
      </c>
      <c r="N404" s="165"/>
      <c r="O404" s="164">
        <f t="shared" ref="O404:O418" si="20">SMALL(E404:M404,COUNTIF(E404:M404,0)+1)</f>
        <v>90000</v>
      </c>
      <c r="P404" s="166">
        <v>0</v>
      </c>
      <c r="Q404" s="166">
        <v>0</v>
      </c>
      <c r="R404" s="166">
        <v>0</v>
      </c>
      <c r="S404" s="166">
        <v>0</v>
      </c>
      <c r="T404" s="166">
        <v>0</v>
      </c>
      <c r="U404" s="13">
        <v>0</v>
      </c>
      <c r="V404" s="13">
        <v>0</v>
      </c>
      <c r="W404" s="8" t="s">
        <v>3968</v>
      </c>
      <c r="X404" s="8" t="s">
        <v>51</v>
      </c>
      <c r="Y404" s="2" t="s">
        <v>51</v>
      </c>
      <c r="Z404" s="2" t="s">
        <v>51</v>
      </c>
      <c r="AA404" s="14"/>
      <c r="AB404" s="2" t="s">
        <v>51</v>
      </c>
    </row>
    <row r="405" spans="1:28" ht="30" customHeight="1">
      <c r="A405" s="8" t="s">
        <v>921</v>
      </c>
      <c r="B405" s="157" t="s">
        <v>4934</v>
      </c>
      <c r="C405" s="157" t="s">
        <v>4961</v>
      </c>
      <c r="D405" s="163" t="s">
        <v>4848</v>
      </c>
      <c r="E405" s="164">
        <v>0</v>
      </c>
      <c r="F405" s="165" t="s">
        <v>51</v>
      </c>
      <c r="G405" s="164">
        <v>0</v>
      </c>
      <c r="H405" s="165" t="s">
        <v>51</v>
      </c>
      <c r="I405" s="164">
        <v>0</v>
      </c>
      <c r="J405" s="165" t="s">
        <v>51</v>
      </c>
      <c r="K405" s="164">
        <v>120000</v>
      </c>
      <c r="L405" s="165" t="s">
        <v>51</v>
      </c>
      <c r="M405" s="164">
        <v>145000</v>
      </c>
      <c r="N405" s="165"/>
      <c r="O405" s="164">
        <f t="shared" si="20"/>
        <v>120000</v>
      </c>
      <c r="P405" s="166">
        <v>0</v>
      </c>
      <c r="Q405" s="166">
        <v>0</v>
      </c>
      <c r="R405" s="166">
        <v>0</v>
      </c>
      <c r="S405" s="166">
        <v>0</v>
      </c>
      <c r="T405" s="166">
        <v>0</v>
      </c>
      <c r="U405" s="13">
        <v>0</v>
      </c>
      <c r="V405" s="13">
        <v>0</v>
      </c>
      <c r="W405" s="8" t="s">
        <v>3969</v>
      </c>
      <c r="X405" s="8" t="s">
        <v>51</v>
      </c>
      <c r="Y405" s="2" t="s">
        <v>51</v>
      </c>
      <c r="Z405" s="2" t="s">
        <v>51</v>
      </c>
      <c r="AA405" s="14"/>
      <c r="AB405" s="2" t="s">
        <v>51</v>
      </c>
    </row>
    <row r="406" spans="1:28" ht="30" customHeight="1">
      <c r="A406" s="8" t="s">
        <v>921</v>
      </c>
      <c r="B406" s="157" t="s">
        <v>4962</v>
      </c>
      <c r="C406" s="157" t="s">
        <v>4963</v>
      </c>
      <c r="D406" s="163" t="s">
        <v>4848</v>
      </c>
      <c r="E406" s="164">
        <v>0</v>
      </c>
      <c r="F406" s="165" t="s">
        <v>51</v>
      </c>
      <c r="G406" s="164">
        <v>0</v>
      </c>
      <c r="H406" s="165" t="s">
        <v>51</v>
      </c>
      <c r="I406" s="164">
        <v>0</v>
      </c>
      <c r="J406" s="165" t="s">
        <v>51</v>
      </c>
      <c r="K406" s="164">
        <v>40000</v>
      </c>
      <c r="L406" s="165" t="s">
        <v>51</v>
      </c>
      <c r="M406" s="164">
        <v>45000</v>
      </c>
      <c r="N406" s="165"/>
      <c r="O406" s="164">
        <f t="shared" si="20"/>
        <v>40000</v>
      </c>
      <c r="P406" s="166">
        <v>0</v>
      </c>
      <c r="Q406" s="166">
        <v>0</v>
      </c>
      <c r="R406" s="166">
        <v>0</v>
      </c>
      <c r="S406" s="166">
        <v>0</v>
      </c>
      <c r="T406" s="166">
        <v>0</v>
      </c>
      <c r="U406" s="13">
        <v>0</v>
      </c>
      <c r="V406" s="13">
        <v>0</v>
      </c>
      <c r="W406" s="8" t="s">
        <v>3970</v>
      </c>
      <c r="X406" s="8" t="s">
        <v>51</v>
      </c>
      <c r="Y406" s="2" t="s">
        <v>51</v>
      </c>
      <c r="Z406" s="2" t="s">
        <v>51</v>
      </c>
      <c r="AA406" s="14"/>
      <c r="AB406" s="2" t="s">
        <v>51</v>
      </c>
    </row>
    <row r="407" spans="1:28" ht="30" customHeight="1">
      <c r="A407" s="8" t="s">
        <v>921</v>
      </c>
      <c r="B407" s="157" t="s">
        <v>4962</v>
      </c>
      <c r="C407" s="157" t="s">
        <v>4964</v>
      </c>
      <c r="D407" s="163" t="s">
        <v>4848</v>
      </c>
      <c r="E407" s="164">
        <v>0</v>
      </c>
      <c r="F407" s="165" t="s">
        <v>51</v>
      </c>
      <c r="G407" s="164">
        <v>0</v>
      </c>
      <c r="H407" s="165" t="s">
        <v>51</v>
      </c>
      <c r="I407" s="164">
        <v>0</v>
      </c>
      <c r="J407" s="165" t="s">
        <v>51</v>
      </c>
      <c r="K407" s="164">
        <v>45000</v>
      </c>
      <c r="L407" s="165" t="s">
        <v>51</v>
      </c>
      <c r="M407" s="164">
        <v>46800</v>
      </c>
      <c r="N407" s="165"/>
      <c r="O407" s="164">
        <f t="shared" si="20"/>
        <v>45000</v>
      </c>
      <c r="P407" s="166">
        <v>0</v>
      </c>
      <c r="Q407" s="166">
        <v>0</v>
      </c>
      <c r="R407" s="166">
        <v>0</v>
      </c>
      <c r="S407" s="166">
        <v>0</v>
      </c>
      <c r="T407" s="166">
        <v>0</v>
      </c>
      <c r="U407" s="13">
        <v>0</v>
      </c>
      <c r="V407" s="13">
        <v>0</v>
      </c>
      <c r="W407" s="8" t="s">
        <v>3971</v>
      </c>
      <c r="X407" s="8" t="s">
        <v>51</v>
      </c>
      <c r="Y407" s="2" t="s">
        <v>51</v>
      </c>
      <c r="Z407" s="2" t="s">
        <v>51</v>
      </c>
      <c r="AA407" s="14"/>
      <c r="AB407" s="2" t="s">
        <v>51</v>
      </c>
    </row>
    <row r="408" spans="1:28" ht="30" customHeight="1">
      <c r="A408" s="8" t="s">
        <v>921</v>
      </c>
      <c r="B408" s="157" t="s">
        <v>4962</v>
      </c>
      <c r="C408" s="157" t="s">
        <v>4965</v>
      </c>
      <c r="D408" s="163" t="s">
        <v>4848</v>
      </c>
      <c r="E408" s="164">
        <v>0</v>
      </c>
      <c r="F408" s="165" t="s">
        <v>51</v>
      </c>
      <c r="G408" s="164">
        <v>0</v>
      </c>
      <c r="H408" s="165" t="s">
        <v>51</v>
      </c>
      <c r="I408" s="164">
        <v>0</v>
      </c>
      <c r="J408" s="165" t="s">
        <v>51</v>
      </c>
      <c r="K408" s="164">
        <v>43000</v>
      </c>
      <c r="L408" s="165" t="s">
        <v>51</v>
      </c>
      <c r="M408" s="164">
        <v>49000</v>
      </c>
      <c r="N408" s="165"/>
      <c r="O408" s="164">
        <f t="shared" si="20"/>
        <v>43000</v>
      </c>
      <c r="P408" s="166">
        <v>0</v>
      </c>
      <c r="Q408" s="166">
        <v>0</v>
      </c>
      <c r="R408" s="166">
        <v>0</v>
      </c>
      <c r="S408" s="166">
        <v>0</v>
      </c>
      <c r="T408" s="166">
        <v>0</v>
      </c>
      <c r="U408" s="13">
        <v>0</v>
      </c>
      <c r="V408" s="13">
        <v>0</v>
      </c>
      <c r="W408" s="8" t="s">
        <v>3972</v>
      </c>
      <c r="X408" s="8" t="s">
        <v>51</v>
      </c>
      <c r="Y408" s="2" t="s">
        <v>51</v>
      </c>
      <c r="Z408" s="2" t="s">
        <v>51</v>
      </c>
      <c r="AA408" s="14"/>
      <c r="AB408" s="2" t="s">
        <v>51</v>
      </c>
    </row>
    <row r="409" spans="1:28" ht="30" customHeight="1">
      <c r="A409" s="8" t="s">
        <v>921</v>
      </c>
      <c r="B409" s="157" t="s">
        <v>4962</v>
      </c>
      <c r="C409" s="157" t="s">
        <v>4966</v>
      </c>
      <c r="D409" s="163" t="s">
        <v>4848</v>
      </c>
      <c r="E409" s="164">
        <v>0</v>
      </c>
      <c r="F409" s="165" t="s">
        <v>51</v>
      </c>
      <c r="G409" s="164">
        <v>0</v>
      </c>
      <c r="H409" s="165" t="s">
        <v>51</v>
      </c>
      <c r="I409" s="164">
        <v>0</v>
      </c>
      <c r="J409" s="165" t="s">
        <v>51</v>
      </c>
      <c r="K409" s="164">
        <v>40000</v>
      </c>
      <c r="L409" s="165" t="s">
        <v>51</v>
      </c>
      <c r="M409" s="164">
        <v>45000</v>
      </c>
      <c r="N409" s="165"/>
      <c r="O409" s="164">
        <f t="shared" si="20"/>
        <v>40000</v>
      </c>
      <c r="P409" s="166">
        <v>0</v>
      </c>
      <c r="Q409" s="166">
        <v>0</v>
      </c>
      <c r="R409" s="166">
        <v>0</v>
      </c>
      <c r="S409" s="166">
        <v>0</v>
      </c>
      <c r="T409" s="166">
        <v>0</v>
      </c>
      <c r="U409" s="13">
        <v>0</v>
      </c>
      <c r="V409" s="13">
        <v>0</v>
      </c>
      <c r="W409" s="8" t="s">
        <v>3973</v>
      </c>
      <c r="X409" s="8" t="s">
        <v>51</v>
      </c>
      <c r="Y409" s="2" t="s">
        <v>51</v>
      </c>
      <c r="Z409" s="2" t="s">
        <v>51</v>
      </c>
      <c r="AA409" s="14"/>
      <c r="AB409" s="2" t="s">
        <v>51</v>
      </c>
    </row>
    <row r="410" spans="1:28" ht="30" customHeight="1">
      <c r="A410" s="8" t="s">
        <v>921</v>
      </c>
      <c r="B410" s="157" t="s">
        <v>4967</v>
      </c>
      <c r="C410" s="157" t="s">
        <v>4968</v>
      </c>
      <c r="D410" s="163" t="s">
        <v>4848</v>
      </c>
      <c r="E410" s="164">
        <v>0</v>
      </c>
      <c r="F410" s="165" t="s">
        <v>51</v>
      </c>
      <c r="G410" s="164">
        <v>0</v>
      </c>
      <c r="H410" s="165" t="s">
        <v>51</v>
      </c>
      <c r="I410" s="164">
        <v>0</v>
      </c>
      <c r="J410" s="165" t="s">
        <v>51</v>
      </c>
      <c r="K410" s="164">
        <v>280000</v>
      </c>
      <c r="L410" s="165" t="s">
        <v>51</v>
      </c>
      <c r="M410" s="164">
        <v>320000</v>
      </c>
      <c r="N410" s="165"/>
      <c r="O410" s="164">
        <f t="shared" si="20"/>
        <v>280000</v>
      </c>
      <c r="P410" s="166">
        <v>0</v>
      </c>
      <c r="Q410" s="166">
        <v>0</v>
      </c>
      <c r="R410" s="166">
        <v>0</v>
      </c>
      <c r="S410" s="166">
        <v>0</v>
      </c>
      <c r="T410" s="166">
        <v>0</v>
      </c>
      <c r="U410" s="13">
        <v>0</v>
      </c>
      <c r="V410" s="13">
        <v>0</v>
      </c>
      <c r="W410" s="8" t="s">
        <v>3974</v>
      </c>
      <c r="X410" s="8" t="s">
        <v>51</v>
      </c>
      <c r="Y410" s="2" t="s">
        <v>51</v>
      </c>
      <c r="Z410" s="2" t="s">
        <v>51</v>
      </c>
      <c r="AA410" s="14"/>
      <c r="AB410" s="2" t="s">
        <v>51</v>
      </c>
    </row>
    <row r="411" spans="1:28" ht="30" customHeight="1">
      <c r="A411" s="8" t="s">
        <v>921</v>
      </c>
      <c r="B411" s="157" t="s">
        <v>4967</v>
      </c>
      <c r="C411" s="157" t="s">
        <v>4969</v>
      </c>
      <c r="D411" s="163" t="s">
        <v>4848</v>
      </c>
      <c r="E411" s="164">
        <v>0</v>
      </c>
      <c r="F411" s="165" t="s">
        <v>51</v>
      </c>
      <c r="G411" s="164">
        <v>0</v>
      </c>
      <c r="H411" s="165" t="s">
        <v>51</v>
      </c>
      <c r="I411" s="164">
        <v>0</v>
      </c>
      <c r="J411" s="165" t="s">
        <v>51</v>
      </c>
      <c r="K411" s="164">
        <v>580000</v>
      </c>
      <c r="L411" s="165" t="s">
        <v>51</v>
      </c>
      <c r="M411" s="164">
        <v>620000</v>
      </c>
      <c r="N411" s="165"/>
      <c r="O411" s="164">
        <f t="shared" si="20"/>
        <v>580000</v>
      </c>
      <c r="P411" s="166">
        <v>0</v>
      </c>
      <c r="Q411" s="166">
        <v>0</v>
      </c>
      <c r="R411" s="166">
        <v>0</v>
      </c>
      <c r="S411" s="166">
        <v>0</v>
      </c>
      <c r="T411" s="166">
        <v>0</v>
      </c>
      <c r="U411" s="13">
        <v>0</v>
      </c>
      <c r="V411" s="13">
        <v>0</v>
      </c>
      <c r="W411" s="8" t="s">
        <v>3975</v>
      </c>
      <c r="X411" s="8" t="s">
        <v>51</v>
      </c>
      <c r="Y411" s="2" t="s">
        <v>51</v>
      </c>
      <c r="Z411" s="2" t="s">
        <v>51</v>
      </c>
      <c r="AA411" s="14"/>
      <c r="AB411" s="2" t="s">
        <v>51</v>
      </c>
    </row>
    <row r="412" spans="1:28" ht="30" customHeight="1">
      <c r="A412" s="8" t="s">
        <v>921</v>
      </c>
      <c r="B412" s="157" t="s">
        <v>4970</v>
      </c>
      <c r="C412" s="157" t="s">
        <v>4971</v>
      </c>
      <c r="D412" s="163" t="s">
        <v>4848</v>
      </c>
      <c r="E412" s="164">
        <v>0</v>
      </c>
      <c r="F412" s="165" t="s">
        <v>51</v>
      </c>
      <c r="G412" s="164">
        <v>0</v>
      </c>
      <c r="H412" s="165" t="s">
        <v>51</v>
      </c>
      <c r="I412" s="164">
        <v>0</v>
      </c>
      <c r="J412" s="165" t="s">
        <v>51</v>
      </c>
      <c r="K412" s="164">
        <v>200000</v>
      </c>
      <c r="L412" s="165" t="s">
        <v>51</v>
      </c>
      <c r="M412" s="164">
        <v>240000</v>
      </c>
      <c r="N412" s="165"/>
      <c r="O412" s="164">
        <f t="shared" si="20"/>
        <v>200000</v>
      </c>
      <c r="P412" s="166">
        <v>0</v>
      </c>
      <c r="Q412" s="166">
        <v>0</v>
      </c>
      <c r="R412" s="166">
        <v>0</v>
      </c>
      <c r="S412" s="166">
        <v>0</v>
      </c>
      <c r="T412" s="166">
        <v>0</v>
      </c>
      <c r="U412" s="13">
        <v>0</v>
      </c>
      <c r="V412" s="13">
        <v>0</v>
      </c>
      <c r="W412" s="8" t="s">
        <v>3976</v>
      </c>
      <c r="X412" s="8" t="s">
        <v>51</v>
      </c>
      <c r="Y412" s="2" t="s">
        <v>51</v>
      </c>
      <c r="Z412" s="2" t="s">
        <v>51</v>
      </c>
      <c r="AA412" s="14"/>
      <c r="AB412" s="2" t="s">
        <v>51</v>
      </c>
    </row>
    <row r="413" spans="1:28" ht="30" customHeight="1">
      <c r="A413" s="8" t="s">
        <v>921</v>
      </c>
      <c r="B413" s="157" t="s">
        <v>4972</v>
      </c>
      <c r="C413" s="157" t="s">
        <v>4973</v>
      </c>
      <c r="D413" s="163" t="s">
        <v>4848</v>
      </c>
      <c r="E413" s="164">
        <v>0</v>
      </c>
      <c r="F413" s="165" t="s">
        <v>51</v>
      </c>
      <c r="G413" s="164">
        <v>0</v>
      </c>
      <c r="H413" s="165" t="s">
        <v>51</v>
      </c>
      <c r="I413" s="164">
        <v>0</v>
      </c>
      <c r="J413" s="165" t="s">
        <v>51</v>
      </c>
      <c r="K413" s="164">
        <v>180000</v>
      </c>
      <c r="L413" s="165" t="s">
        <v>51</v>
      </c>
      <c r="M413" s="164">
        <v>220000</v>
      </c>
      <c r="N413" s="165"/>
      <c r="O413" s="164">
        <f t="shared" si="20"/>
        <v>180000</v>
      </c>
      <c r="P413" s="166">
        <v>0</v>
      </c>
      <c r="Q413" s="166">
        <v>0</v>
      </c>
      <c r="R413" s="166">
        <v>0</v>
      </c>
      <c r="S413" s="166">
        <v>0</v>
      </c>
      <c r="T413" s="166">
        <v>0</v>
      </c>
      <c r="U413" s="13">
        <v>0</v>
      </c>
      <c r="V413" s="13">
        <v>0</v>
      </c>
      <c r="W413" s="8" t="s">
        <v>3977</v>
      </c>
      <c r="X413" s="8" t="s">
        <v>51</v>
      </c>
      <c r="Y413" s="2" t="s">
        <v>51</v>
      </c>
      <c r="Z413" s="2" t="s">
        <v>51</v>
      </c>
      <c r="AA413" s="14"/>
      <c r="AB413" s="2" t="s">
        <v>51</v>
      </c>
    </row>
    <row r="414" spans="1:28" ht="30" customHeight="1">
      <c r="A414" s="8" t="s">
        <v>921</v>
      </c>
      <c r="B414" s="157" t="s">
        <v>4974</v>
      </c>
      <c r="C414" s="157">
        <v>1250</v>
      </c>
      <c r="D414" s="163" t="s">
        <v>4848</v>
      </c>
      <c r="E414" s="164">
        <v>0</v>
      </c>
      <c r="F414" s="165" t="s">
        <v>51</v>
      </c>
      <c r="G414" s="164">
        <v>0</v>
      </c>
      <c r="H414" s="165" t="s">
        <v>51</v>
      </c>
      <c r="I414" s="164">
        <v>0</v>
      </c>
      <c r="J414" s="165" t="s">
        <v>51</v>
      </c>
      <c r="K414" s="164">
        <v>12000</v>
      </c>
      <c r="L414" s="165" t="s">
        <v>51</v>
      </c>
      <c r="M414" s="164">
        <v>15200</v>
      </c>
      <c r="N414" s="165"/>
      <c r="O414" s="164">
        <f t="shared" si="20"/>
        <v>12000</v>
      </c>
      <c r="P414" s="166">
        <v>0</v>
      </c>
      <c r="Q414" s="166">
        <v>0</v>
      </c>
      <c r="R414" s="166">
        <v>0</v>
      </c>
      <c r="S414" s="166">
        <v>0</v>
      </c>
      <c r="T414" s="166">
        <v>0</v>
      </c>
      <c r="U414" s="13">
        <v>0</v>
      </c>
      <c r="V414" s="13">
        <v>0</v>
      </c>
      <c r="W414" s="8" t="s">
        <v>3978</v>
      </c>
      <c r="X414" s="8" t="s">
        <v>51</v>
      </c>
      <c r="Y414" s="2" t="s">
        <v>51</v>
      </c>
      <c r="Z414" s="2" t="s">
        <v>51</v>
      </c>
      <c r="AA414" s="14"/>
      <c r="AB414" s="2" t="s">
        <v>51</v>
      </c>
    </row>
    <row r="415" spans="1:28" ht="30" customHeight="1">
      <c r="A415" s="8" t="s">
        <v>921</v>
      </c>
      <c r="B415" s="157" t="s">
        <v>4974</v>
      </c>
      <c r="C415" s="157">
        <v>890</v>
      </c>
      <c r="D415" s="163" t="s">
        <v>4848</v>
      </c>
      <c r="E415" s="164">
        <v>0</v>
      </c>
      <c r="F415" s="165" t="s">
        <v>51</v>
      </c>
      <c r="G415" s="164">
        <v>0</v>
      </c>
      <c r="H415" s="165" t="s">
        <v>51</v>
      </c>
      <c r="I415" s="164">
        <v>0</v>
      </c>
      <c r="J415" s="165" t="s">
        <v>51</v>
      </c>
      <c r="K415" s="164">
        <v>10000</v>
      </c>
      <c r="L415" s="165" t="s">
        <v>51</v>
      </c>
      <c r="M415" s="164">
        <v>12000</v>
      </c>
      <c r="N415" s="165"/>
      <c r="O415" s="164">
        <f t="shared" si="20"/>
        <v>10000</v>
      </c>
      <c r="P415" s="166">
        <v>0</v>
      </c>
      <c r="Q415" s="166">
        <v>0</v>
      </c>
      <c r="R415" s="166">
        <v>0</v>
      </c>
      <c r="S415" s="166">
        <v>0</v>
      </c>
      <c r="T415" s="166">
        <v>0</v>
      </c>
      <c r="U415" s="13">
        <v>0</v>
      </c>
      <c r="V415" s="13">
        <v>0</v>
      </c>
      <c r="W415" s="8" t="s">
        <v>3979</v>
      </c>
      <c r="X415" s="8" t="s">
        <v>51</v>
      </c>
      <c r="Y415" s="2" t="s">
        <v>51</v>
      </c>
      <c r="Z415" s="2" t="s">
        <v>51</v>
      </c>
      <c r="AA415" s="14"/>
      <c r="AB415" s="2" t="s">
        <v>51</v>
      </c>
    </row>
    <row r="416" spans="1:28" ht="30" customHeight="1">
      <c r="A416" s="8" t="s">
        <v>921</v>
      </c>
      <c r="B416" s="157" t="s">
        <v>4974</v>
      </c>
      <c r="C416" s="157">
        <v>800</v>
      </c>
      <c r="D416" s="163" t="s">
        <v>4848</v>
      </c>
      <c r="E416" s="164">
        <v>0</v>
      </c>
      <c r="F416" s="165" t="s">
        <v>51</v>
      </c>
      <c r="G416" s="164">
        <v>0</v>
      </c>
      <c r="H416" s="165" t="s">
        <v>51</v>
      </c>
      <c r="I416" s="164">
        <v>0</v>
      </c>
      <c r="J416" s="165" t="s">
        <v>51</v>
      </c>
      <c r="K416" s="164">
        <v>8000</v>
      </c>
      <c r="L416" s="165" t="s">
        <v>51</v>
      </c>
      <c r="M416" s="164">
        <v>9800</v>
      </c>
      <c r="N416" s="165"/>
      <c r="O416" s="164">
        <f t="shared" si="20"/>
        <v>8000</v>
      </c>
      <c r="P416" s="166">
        <v>0</v>
      </c>
      <c r="Q416" s="166">
        <v>0</v>
      </c>
      <c r="R416" s="166">
        <v>0</v>
      </c>
      <c r="S416" s="166">
        <v>0</v>
      </c>
      <c r="T416" s="166">
        <v>0</v>
      </c>
      <c r="U416" s="13">
        <v>0</v>
      </c>
      <c r="V416" s="13">
        <v>0</v>
      </c>
      <c r="W416" s="8" t="s">
        <v>3980</v>
      </c>
      <c r="X416" s="8" t="s">
        <v>51</v>
      </c>
      <c r="Y416" s="2" t="s">
        <v>51</v>
      </c>
      <c r="Z416" s="2" t="s">
        <v>51</v>
      </c>
      <c r="AA416" s="14"/>
      <c r="AB416" s="2" t="s">
        <v>51</v>
      </c>
    </row>
    <row r="417" spans="1:28" ht="30" customHeight="1">
      <c r="A417" s="8" t="s">
        <v>921</v>
      </c>
      <c r="B417" s="157" t="s">
        <v>4974</v>
      </c>
      <c r="C417" s="157">
        <v>950</v>
      </c>
      <c r="D417" s="163" t="s">
        <v>4848</v>
      </c>
      <c r="E417" s="164">
        <v>0</v>
      </c>
      <c r="F417" s="165" t="s">
        <v>51</v>
      </c>
      <c r="G417" s="164">
        <v>0</v>
      </c>
      <c r="H417" s="165" t="s">
        <v>51</v>
      </c>
      <c r="I417" s="164">
        <v>0</v>
      </c>
      <c r="J417" s="165" t="s">
        <v>51</v>
      </c>
      <c r="K417" s="164">
        <v>8000</v>
      </c>
      <c r="L417" s="165" t="s">
        <v>51</v>
      </c>
      <c r="M417" s="164">
        <v>9800</v>
      </c>
      <c r="N417" s="165"/>
      <c r="O417" s="164">
        <f t="shared" si="20"/>
        <v>8000</v>
      </c>
      <c r="P417" s="166">
        <v>0</v>
      </c>
      <c r="Q417" s="166">
        <v>0</v>
      </c>
      <c r="R417" s="166">
        <v>0</v>
      </c>
      <c r="S417" s="166">
        <v>0</v>
      </c>
      <c r="T417" s="166">
        <v>0</v>
      </c>
      <c r="U417" s="13">
        <v>0</v>
      </c>
      <c r="V417" s="13">
        <v>0</v>
      </c>
      <c r="W417" s="8" t="s">
        <v>3981</v>
      </c>
      <c r="X417" s="8" t="s">
        <v>51</v>
      </c>
      <c r="Y417" s="2" t="s">
        <v>51</v>
      </c>
      <c r="Z417" s="2" t="s">
        <v>51</v>
      </c>
      <c r="AA417" s="14"/>
      <c r="AB417" s="2" t="s">
        <v>51</v>
      </c>
    </row>
    <row r="418" spans="1:28" ht="30" customHeight="1">
      <c r="A418" s="8" t="s">
        <v>921</v>
      </c>
      <c r="B418" s="157" t="s">
        <v>4975</v>
      </c>
      <c r="C418" s="157" t="s">
        <v>4872</v>
      </c>
      <c r="D418" s="163" t="s">
        <v>4848</v>
      </c>
      <c r="E418" s="164">
        <v>0</v>
      </c>
      <c r="F418" s="165" t="s">
        <v>51</v>
      </c>
      <c r="G418" s="164">
        <v>0</v>
      </c>
      <c r="H418" s="165" t="s">
        <v>51</v>
      </c>
      <c r="I418" s="164">
        <v>0</v>
      </c>
      <c r="J418" s="165" t="s">
        <v>51</v>
      </c>
      <c r="K418" s="164">
        <v>120000</v>
      </c>
      <c r="L418" s="165" t="s">
        <v>51</v>
      </c>
      <c r="M418" s="164">
        <v>132000</v>
      </c>
      <c r="N418" s="165"/>
      <c r="O418" s="164">
        <f t="shared" si="20"/>
        <v>120000</v>
      </c>
      <c r="P418" s="166">
        <v>0</v>
      </c>
      <c r="Q418" s="166">
        <v>0</v>
      </c>
      <c r="R418" s="166">
        <v>0</v>
      </c>
      <c r="S418" s="166">
        <v>0</v>
      </c>
      <c r="T418" s="166">
        <v>0</v>
      </c>
      <c r="U418" s="13">
        <v>0</v>
      </c>
      <c r="V418" s="13">
        <v>0</v>
      </c>
      <c r="W418" s="8" t="s">
        <v>3982</v>
      </c>
      <c r="X418" s="8" t="s">
        <v>51</v>
      </c>
      <c r="Y418" s="2" t="s">
        <v>51</v>
      </c>
      <c r="Z418" s="2" t="s">
        <v>51</v>
      </c>
      <c r="AA418" s="14"/>
      <c r="AB418" s="2" t="s">
        <v>51</v>
      </c>
    </row>
    <row r="419" spans="1:28" ht="30" customHeight="1">
      <c r="A419" s="8" t="s">
        <v>425</v>
      </c>
      <c r="B419" s="157" t="s">
        <v>423</v>
      </c>
      <c r="C419" s="157" t="s">
        <v>424</v>
      </c>
      <c r="D419" s="163" t="s">
        <v>321</v>
      </c>
      <c r="E419" s="164">
        <v>0</v>
      </c>
      <c r="F419" s="165" t="s">
        <v>51</v>
      </c>
      <c r="G419" s="164">
        <v>0</v>
      </c>
      <c r="H419" s="165" t="s">
        <v>51</v>
      </c>
      <c r="I419" s="164">
        <v>0</v>
      </c>
      <c r="J419" s="165" t="s">
        <v>51</v>
      </c>
      <c r="K419" s="164">
        <v>15000</v>
      </c>
      <c r="L419" s="165" t="s">
        <v>51</v>
      </c>
      <c r="M419" s="164">
        <v>16500</v>
      </c>
      <c r="N419" s="165" t="s">
        <v>51</v>
      </c>
      <c r="O419" s="164">
        <f t="shared" ref="O419:O455" si="21">SMALL(E419:M419,COUNTIF(E419:M419,0)+1)</f>
        <v>15000</v>
      </c>
      <c r="P419" s="166">
        <v>0</v>
      </c>
      <c r="Q419" s="166">
        <v>0</v>
      </c>
      <c r="R419" s="166">
        <v>0</v>
      </c>
      <c r="S419" s="166">
        <v>0</v>
      </c>
      <c r="T419" s="166">
        <v>0</v>
      </c>
      <c r="U419" s="13">
        <v>0</v>
      </c>
      <c r="V419" s="13">
        <v>0</v>
      </c>
      <c r="W419" s="8" t="s">
        <v>3983</v>
      </c>
      <c r="X419" s="8" t="s">
        <v>51</v>
      </c>
      <c r="Y419" s="2" t="s">
        <v>51</v>
      </c>
      <c r="Z419" s="2" t="s">
        <v>51</v>
      </c>
      <c r="AA419" s="14"/>
      <c r="AB419" s="2" t="s">
        <v>51</v>
      </c>
    </row>
    <row r="420" spans="1:28" ht="30" customHeight="1">
      <c r="A420" s="8" t="s">
        <v>508</v>
      </c>
      <c r="B420" s="157" t="s">
        <v>507</v>
      </c>
      <c r="C420" s="157" t="s">
        <v>3737</v>
      </c>
      <c r="D420" s="163" t="s">
        <v>321</v>
      </c>
      <c r="E420" s="164">
        <v>0</v>
      </c>
      <c r="F420" s="165" t="s">
        <v>51</v>
      </c>
      <c r="G420" s="164">
        <v>0</v>
      </c>
      <c r="H420" s="165" t="s">
        <v>51</v>
      </c>
      <c r="I420" s="164">
        <v>0</v>
      </c>
      <c r="J420" s="165" t="s">
        <v>51</v>
      </c>
      <c r="K420" s="164">
        <v>450000</v>
      </c>
      <c r="L420" s="165" t="s">
        <v>51</v>
      </c>
      <c r="M420" s="164">
        <v>650000</v>
      </c>
      <c r="N420" s="165"/>
      <c r="O420" s="164">
        <f t="shared" si="21"/>
        <v>450000</v>
      </c>
      <c r="P420" s="166">
        <v>0</v>
      </c>
      <c r="Q420" s="166">
        <v>0</v>
      </c>
      <c r="R420" s="166">
        <v>0</v>
      </c>
      <c r="S420" s="166">
        <v>0</v>
      </c>
      <c r="T420" s="166">
        <v>0</v>
      </c>
      <c r="U420" s="13">
        <v>0</v>
      </c>
      <c r="V420" s="13">
        <v>0</v>
      </c>
      <c r="W420" s="8" t="s">
        <v>3984</v>
      </c>
      <c r="X420" s="8" t="s">
        <v>51</v>
      </c>
      <c r="Y420" s="2" t="s">
        <v>51</v>
      </c>
      <c r="Z420" s="2" t="s">
        <v>51</v>
      </c>
      <c r="AA420" s="14"/>
      <c r="AB420" s="2" t="s">
        <v>51</v>
      </c>
    </row>
    <row r="421" spans="1:28" ht="30" customHeight="1">
      <c r="A421" s="8" t="s">
        <v>512</v>
      </c>
      <c r="B421" s="157" t="s">
        <v>510</v>
      </c>
      <c r="C421" s="157" t="s">
        <v>511</v>
      </c>
      <c r="D421" s="163" t="s">
        <v>321</v>
      </c>
      <c r="E421" s="164">
        <v>0</v>
      </c>
      <c r="F421" s="165" t="s">
        <v>51</v>
      </c>
      <c r="G421" s="164">
        <v>0</v>
      </c>
      <c r="H421" s="165" t="s">
        <v>51</v>
      </c>
      <c r="I421" s="164">
        <v>0</v>
      </c>
      <c r="J421" s="165" t="s">
        <v>51</v>
      </c>
      <c r="K421" s="164">
        <v>950000</v>
      </c>
      <c r="L421" s="165" t="s">
        <v>51</v>
      </c>
      <c r="M421" s="164">
        <v>5600000</v>
      </c>
      <c r="N421" s="165"/>
      <c r="O421" s="164">
        <f t="shared" ref="O421" si="22">SMALL(E421:M421,COUNTIF(E421:M421,0)+1)</f>
        <v>950000</v>
      </c>
      <c r="P421" s="166">
        <v>0</v>
      </c>
      <c r="Q421" s="166">
        <v>0</v>
      </c>
      <c r="R421" s="166">
        <v>0</v>
      </c>
      <c r="S421" s="166">
        <v>0</v>
      </c>
      <c r="T421" s="166">
        <v>0</v>
      </c>
      <c r="U421" s="13">
        <v>0</v>
      </c>
      <c r="V421" s="13">
        <v>0</v>
      </c>
      <c r="W421" s="8" t="s">
        <v>3985</v>
      </c>
      <c r="X421" s="8" t="s">
        <v>51</v>
      </c>
      <c r="Y421" s="2" t="s">
        <v>51</v>
      </c>
      <c r="Z421" s="2" t="s">
        <v>51</v>
      </c>
      <c r="AA421" s="14"/>
      <c r="AB421" s="2" t="s">
        <v>51</v>
      </c>
    </row>
    <row r="422" spans="1:28" ht="30" customHeight="1">
      <c r="A422" s="8" t="s">
        <v>512</v>
      </c>
      <c r="B422" s="157" t="s">
        <v>3740</v>
      </c>
      <c r="C422" s="157"/>
      <c r="D422" s="163" t="s">
        <v>321</v>
      </c>
      <c r="E422" s="164">
        <v>0</v>
      </c>
      <c r="F422" s="165" t="s">
        <v>51</v>
      </c>
      <c r="G422" s="164">
        <v>0</v>
      </c>
      <c r="H422" s="165" t="s">
        <v>51</v>
      </c>
      <c r="I422" s="164">
        <v>0</v>
      </c>
      <c r="J422" s="165" t="s">
        <v>51</v>
      </c>
      <c r="K422" s="164">
        <v>150000</v>
      </c>
      <c r="L422" s="165" t="s">
        <v>51</v>
      </c>
      <c r="M422" s="164">
        <v>5280000</v>
      </c>
      <c r="N422" s="165"/>
      <c r="O422" s="164">
        <f t="shared" si="21"/>
        <v>150000</v>
      </c>
      <c r="P422" s="166">
        <v>0</v>
      </c>
      <c r="Q422" s="166">
        <v>0</v>
      </c>
      <c r="R422" s="166">
        <v>0</v>
      </c>
      <c r="S422" s="166">
        <v>0</v>
      </c>
      <c r="T422" s="166">
        <v>0</v>
      </c>
      <c r="U422" s="13">
        <v>0</v>
      </c>
      <c r="V422" s="13">
        <v>0</v>
      </c>
      <c r="W422" s="8" t="s">
        <v>3986</v>
      </c>
      <c r="X422" s="8" t="s">
        <v>51</v>
      </c>
      <c r="Y422" s="2" t="s">
        <v>51</v>
      </c>
      <c r="Z422" s="2" t="s">
        <v>51</v>
      </c>
      <c r="AA422" s="14"/>
      <c r="AB422" s="2" t="s">
        <v>51</v>
      </c>
    </row>
    <row r="423" spans="1:28" ht="30" customHeight="1">
      <c r="A423" s="8" t="s">
        <v>409</v>
      </c>
      <c r="B423" s="157" t="s">
        <v>3738</v>
      </c>
      <c r="C423" s="157" t="s">
        <v>3739</v>
      </c>
      <c r="D423" s="163" t="s">
        <v>321</v>
      </c>
      <c r="E423" s="164">
        <v>0</v>
      </c>
      <c r="F423" s="165" t="s">
        <v>51</v>
      </c>
      <c r="G423" s="164">
        <v>0</v>
      </c>
      <c r="H423" s="165" t="s">
        <v>51</v>
      </c>
      <c r="I423" s="164">
        <v>0</v>
      </c>
      <c r="J423" s="165" t="s">
        <v>51</v>
      </c>
      <c r="K423" s="164">
        <v>80000</v>
      </c>
      <c r="L423" s="165" t="s">
        <v>51</v>
      </c>
      <c r="M423" s="164">
        <v>92000</v>
      </c>
      <c r="N423" s="165" t="s">
        <v>51</v>
      </c>
      <c r="O423" s="164">
        <f t="shared" ref="O423" si="23">SMALL(E423:M423,COUNTIF(E423:M423,0)+1)</f>
        <v>80000</v>
      </c>
      <c r="P423" s="166">
        <v>0</v>
      </c>
      <c r="Q423" s="166">
        <v>0</v>
      </c>
      <c r="R423" s="166">
        <v>0</v>
      </c>
      <c r="S423" s="166">
        <v>0</v>
      </c>
      <c r="T423" s="166">
        <v>0</v>
      </c>
      <c r="U423" s="13">
        <v>0</v>
      </c>
      <c r="V423" s="13">
        <v>0</v>
      </c>
      <c r="W423" s="8" t="s">
        <v>3987</v>
      </c>
      <c r="X423" s="8" t="s">
        <v>51</v>
      </c>
      <c r="Y423" s="2" t="s">
        <v>51</v>
      </c>
      <c r="Z423" s="2" t="s">
        <v>51</v>
      </c>
      <c r="AA423" s="14"/>
      <c r="AB423" s="2" t="s">
        <v>51</v>
      </c>
    </row>
    <row r="424" spans="1:28" ht="30" customHeight="1">
      <c r="A424" s="8" t="s">
        <v>409</v>
      </c>
      <c r="B424" s="157" t="s">
        <v>408</v>
      </c>
      <c r="C424" s="157" t="s">
        <v>51</v>
      </c>
      <c r="D424" s="163" t="s">
        <v>321</v>
      </c>
      <c r="E424" s="164">
        <v>0</v>
      </c>
      <c r="F424" s="165" t="s">
        <v>51</v>
      </c>
      <c r="G424" s="164">
        <v>0</v>
      </c>
      <c r="H424" s="165" t="s">
        <v>51</v>
      </c>
      <c r="I424" s="164">
        <v>0</v>
      </c>
      <c r="J424" s="165" t="s">
        <v>51</v>
      </c>
      <c r="K424" s="164">
        <v>80000</v>
      </c>
      <c r="L424" s="165" t="s">
        <v>51</v>
      </c>
      <c r="M424" s="164">
        <v>92000</v>
      </c>
      <c r="N424" s="165" t="s">
        <v>51</v>
      </c>
      <c r="O424" s="164">
        <f t="shared" si="21"/>
        <v>80000</v>
      </c>
      <c r="P424" s="166">
        <v>0</v>
      </c>
      <c r="Q424" s="166">
        <v>0</v>
      </c>
      <c r="R424" s="166">
        <v>0</v>
      </c>
      <c r="S424" s="166">
        <v>0</v>
      </c>
      <c r="T424" s="166">
        <v>0</v>
      </c>
      <c r="U424" s="13">
        <v>0</v>
      </c>
      <c r="V424" s="13">
        <v>0</v>
      </c>
      <c r="W424" s="8" t="s">
        <v>6555</v>
      </c>
      <c r="X424" s="8" t="s">
        <v>51</v>
      </c>
      <c r="Y424" s="2" t="s">
        <v>51</v>
      </c>
      <c r="Z424" s="2" t="s">
        <v>51</v>
      </c>
      <c r="AA424" s="14"/>
      <c r="AB424" s="2" t="s">
        <v>51</v>
      </c>
    </row>
    <row r="425" spans="1:28" ht="30" customHeight="1">
      <c r="A425" s="8" t="s">
        <v>411</v>
      </c>
      <c r="B425" s="157" t="s">
        <v>410</v>
      </c>
      <c r="C425" s="157" t="s">
        <v>51</v>
      </c>
      <c r="D425" s="163" t="s">
        <v>204</v>
      </c>
      <c r="E425" s="164">
        <v>0</v>
      </c>
      <c r="F425" s="165" t="s">
        <v>51</v>
      </c>
      <c r="G425" s="164">
        <v>0</v>
      </c>
      <c r="H425" s="165" t="s">
        <v>51</v>
      </c>
      <c r="I425" s="164">
        <v>0</v>
      </c>
      <c r="J425" s="165" t="s">
        <v>51</v>
      </c>
      <c r="K425" s="164">
        <v>12000</v>
      </c>
      <c r="L425" s="165" t="s">
        <v>51</v>
      </c>
      <c r="M425" s="164">
        <v>14000</v>
      </c>
      <c r="N425" s="165" t="s">
        <v>51</v>
      </c>
      <c r="O425" s="164">
        <f t="shared" si="21"/>
        <v>12000</v>
      </c>
      <c r="P425" s="166">
        <v>0</v>
      </c>
      <c r="Q425" s="166">
        <v>0</v>
      </c>
      <c r="R425" s="166">
        <v>0</v>
      </c>
      <c r="S425" s="166">
        <v>0</v>
      </c>
      <c r="T425" s="166">
        <v>0</v>
      </c>
      <c r="U425" s="13">
        <v>0</v>
      </c>
      <c r="V425" s="13">
        <v>0</v>
      </c>
      <c r="W425" s="8" t="s">
        <v>6556</v>
      </c>
      <c r="X425" s="8" t="s">
        <v>51</v>
      </c>
      <c r="Y425" s="2" t="s">
        <v>51</v>
      </c>
      <c r="Z425" s="2" t="s">
        <v>51</v>
      </c>
      <c r="AA425" s="14"/>
      <c r="AB425" s="2" t="s">
        <v>51</v>
      </c>
    </row>
    <row r="426" spans="1:28" ht="30" customHeight="1">
      <c r="A426" s="8" t="s">
        <v>415</v>
      </c>
      <c r="B426" s="157" t="s">
        <v>413</v>
      </c>
      <c r="C426" s="157" t="s">
        <v>414</v>
      </c>
      <c r="D426" s="163" t="s">
        <v>321</v>
      </c>
      <c r="E426" s="164">
        <v>0</v>
      </c>
      <c r="F426" s="165" t="s">
        <v>51</v>
      </c>
      <c r="G426" s="164">
        <v>0</v>
      </c>
      <c r="H426" s="165" t="s">
        <v>51</v>
      </c>
      <c r="I426" s="164">
        <v>0</v>
      </c>
      <c r="J426" s="165" t="s">
        <v>51</v>
      </c>
      <c r="K426" s="164">
        <v>22000</v>
      </c>
      <c r="L426" s="165" t="s">
        <v>51</v>
      </c>
      <c r="M426" s="164">
        <v>26000</v>
      </c>
      <c r="N426" s="165" t="s">
        <v>51</v>
      </c>
      <c r="O426" s="164">
        <f t="shared" si="21"/>
        <v>22000</v>
      </c>
      <c r="P426" s="166">
        <v>0</v>
      </c>
      <c r="Q426" s="166">
        <v>0</v>
      </c>
      <c r="R426" s="166">
        <v>0</v>
      </c>
      <c r="S426" s="166">
        <v>0</v>
      </c>
      <c r="T426" s="166">
        <v>0</v>
      </c>
      <c r="U426" s="13">
        <v>0</v>
      </c>
      <c r="V426" s="13">
        <v>0</v>
      </c>
      <c r="W426" s="8" t="s">
        <v>3988</v>
      </c>
      <c r="X426" s="8" t="s">
        <v>51</v>
      </c>
      <c r="Y426" s="2" t="s">
        <v>51</v>
      </c>
      <c r="Z426" s="2" t="s">
        <v>51</v>
      </c>
      <c r="AA426" s="14"/>
      <c r="AB426" s="2" t="s">
        <v>51</v>
      </c>
    </row>
    <row r="427" spans="1:28" ht="30" customHeight="1">
      <c r="A427" s="8" t="s">
        <v>1443</v>
      </c>
      <c r="B427" s="157" t="s">
        <v>4720</v>
      </c>
      <c r="C427" s="157" t="s">
        <v>4721</v>
      </c>
      <c r="D427" s="163" t="s">
        <v>4722</v>
      </c>
      <c r="E427" s="164">
        <v>42600</v>
      </c>
      <c r="F427" s="165" t="s">
        <v>51</v>
      </c>
      <c r="G427" s="164">
        <v>0</v>
      </c>
      <c r="H427" s="165" t="s">
        <v>51</v>
      </c>
      <c r="I427" s="164">
        <v>0</v>
      </c>
      <c r="J427" s="165" t="s">
        <v>51</v>
      </c>
      <c r="K427" s="164">
        <v>0</v>
      </c>
      <c r="L427" s="165" t="s">
        <v>51</v>
      </c>
      <c r="M427" s="164"/>
      <c r="N427" s="165" t="s">
        <v>51</v>
      </c>
      <c r="O427" s="164">
        <f t="shared" si="21"/>
        <v>42600</v>
      </c>
      <c r="P427" s="166">
        <v>0</v>
      </c>
      <c r="Q427" s="166">
        <v>0</v>
      </c>
      <c r="R427" s="166">
        <v>0</v>
      </c>
      <c r="S427" s="166">
        <v>0</v>
      </c>
      <c r="T427" s="166">
        <v>0</v>
      </c>
      <c r="U427" s="13">
        <v>0</v>
      </c>
      <c r="V427" s="13">
        <v>0</v>
      </c>
      <c r="W427" s="8" t="s">
        <v>3989</v>
      </c>
      <c r="X427" s="8" t="s">
        <v>51</v>
      </c>
      <c r="Y427" s="2" t="s">
        <v>51</v>
      </c>
      <c r="Z427" s="2" t="s">
        <v>51</v>
      </c>
      <c r="AA427" s="14"/>
      <c r="AB427" s="2" t="s">
        <v>51</v>
      </c>
    </row>
    <row r="428" spans="1:28" ht="30" customHeight="1">
      <c r="A428" s="8" t="s">
        <v>1660</v>
      </c>
      <c r="B428" s="157" t="s">
        <v>1658</v>
      </c>
      <c r="C428" s="157" t="s">
        <v>1659</v>
      </c>
      <c r="D428" s="163" t="s">
        <v>204</v>
      </c>
      <c r="E428" s="164">
        <v>4500</v>
      </c>
      <c r="F428" s="165" t="s">
        <v>51</v>
      </c>
      <c r="G428" s="164">
        <v>0</v>
      </c>
      <c r="H428" s="165" t="s">
        <v>51</v>
      </c>
      <c r="I428" s="164">
        <v>0</v>
      </c>
      <c r="J428" s="165" t="s">
        <v>51</v>
      </c>
      <c r="K428" s="164">
        <v>0</v>
      </c>
      <c r="L428" s="165" t="s">
        <v>51</v>
      </c>
      <c r="M428" s="164"/>
      <c r="N428" s="165" t="s">
        <v>51</v>
      </c>
      <c r="O428" s="164">
        <f t="shared" si="21"/>
        <v>4500</v>
      </c>
      <c r="P428" s="166">
        <v>0</v>
      </c>
      <c r="Q428" s="166">
        <v>0</v>
      </c>
      <c r="R428" s="166">
        <v>0</v>
      </c>
      <c r="S428" s="166">
        <v>0</v>
      </c>
      <c r="T428" s="166">
        <v>0</v>
      </c>
      <c r="U428" s="13">
        <v>0</v>
      </c>
      <c r="V428" s="13">
        <v>0</v>
      </c>
      <c r="W428" s="8" t="s">
        <v>3990</v>
      </c>
      <c r="X428" s="8" t="s">
        <v>51</v>
      </c>
      <c r="Y428" s="2" t="s">
        <v>51</v>
      </c>
      <c r="Z428" s="2" t="s">
        <v>51</v>
      </c>
      <c r="AA428" s="14"/>
      <c r="AB428" s="2" t="s">
        <v>51</v>
      </c>
    </row>
    <row r="429" spans="1:28" ht="30" customHeight="1">
      <c r="A429" s="8" t="s">
        <v>373</v>
      </c>
      <c r="B429" s="157" t="s">
        <v>370</v>
      </c>
      <c r="C429" s="157" t="s">
        <v>371</v>
      </c>
      <c r="D429" s="163" t="s">
        <v>321</v>
      </c>
      <c r="E429" s="164">
        <v>489020</v>
      </c>
      <c r="F429" s="165" t="s">
        <v>51</v>
      </c>
      <c r="G429" s="164">
        <v>0</v>
      </c>
      <c r="H429" s="165" t="s">
        <v>51</v>
      </c>
      <c r="I429" s="164">
        <v>0</v>
      </c>
      <c r="J429" s="165" t="s">
        <v>51</v>
      </c>
      <c r="K429" s="164">
        <v>0</v>
      </c>
      <c r="L429" s="165" t="s">
        <v>51</v>
      </c>
      <c r="M429" s="164"/>
      <c r="N429" s="165" t="s">
        <v>51</v>
      </c>
      <c r="O429" s="164">
        <f t="shared" si="21"/>
        <v>489020</v>
      </c>
      <c r="P429" s="166">
        <v>0</v>
      </c>
      <c r="Q429" s="166">
        <v>0</v>
      </c>
      <c r="R429" s="166">
        <v>0</v>
      </c>
      <c r="S429" s="166">
        <v>0</v>
      </c>
      <c r="T429" s="166">
        <v>0</v>
      </c>
      <c r="U429" s="13">
        <v>0</v>
      </c>
      <c r="V429" s="13">
        <v>0</v>
      </c>
      <c r="W429" s="8" t="s">
        <v>3991</v>
      </c>
      <c r="X429" s="8" t="s">
        <v>372</v>
      </c>
      <c r="Y429" s="2" t="s">
        <v>51</v>
      </c>
      <c r="Z429" s="2" t="s">
        <v>51</v>
      </c>
      <c r="AA429" s="14"/>
      <c r="AB429" s="2" t="s">
        <v>51</v>
      </c>
    </row>
    <row r="430" spans="1:28" ht="30" customHeight="1">
      <c r="A430" s="8" t="s">
        <v>388</v>
      </c>
      <c r="B430" s="157" t="s">
        <v>386</v>
      </c>
      <c r="C430" s="157" t="s">
        <v>387</v>
      </c>
      <c r="D430" s="163" t="s">
        <v>59</v>
      </c>
      <c r="E430" s="164">
        <v>0</v>
      </c>
      <c r="F430" s="165" t="s">
        <v>51</v>
      </c>
      <c r="G430" s="164">
        <v>0</v>
      </c>
      <c r="H430" s="165" t="s">
        <v>51</v>
      </c>
      <c r="I430" s="164">
        <v>35910</v>
      </c>
      <c r="J430" s="165" t="s">
        <v>51</v>
      </c>
      <c r="K430" s="164">
        <v>0</v>
      </c>
      <c r="L430" s="165" t="s">
        <v>51</v>
      </c>
      <c r="M430" s="164">
        <v>0</v>
      </c>
      <c r="N430" s="165" t="s">
        <v>51</v>
      </c>
      <c r="O430" s="164">
        <f t="shared" si="21"/>
        <v>35910</v>
      </c>
      <c r="P430" s="166">
        <v>0</v>
      </c>
      <c r="Q430" s="166">
        <v>0</v>
      </c>
      <c r="R430" s="166">
        <v>0</v>
      </c>
      <c r="S430" s="166">
        <v>0</v>
      </c>
      <c r="T430" s="166">
        <v>0</v>
      </c>
      <c r="U430" s="13">
        <v>0</v>
      </c>
      <c r="V430" s="13">
        <v>0</v>
      </c>
      <c r="W430" s="8" t="s">
        <v>3992</v>
      </c>
      <c r="X430" s="8" t="s">
        <v>51</v>
      </c>
      <c r="Y430" s="2" t="s">
        <v>51</v>
      </c>
      <c r="Z430" s="2" t="s">
        <v>51</v>
      </c>
      <c r="AA430" s="14"/>
      <c r="AB430" s="2" t="s">
        <v>51</v>
      </c>
    </row>
    <row r="431" spans="1:28" ht="30" customHeight="1">
      <c r="A431" s="8" t="s">
        <v>388</v>
      </c>
      <c r="B431" s="157" t="s">
        <v>3494</v>
      </c>
      <c r="C431" s="157" t="s">
        <v>3495</v>
      </c>
      <c r="D431" s="163" t="s">
        <v>59</v>
      </c>
      <c r="E431" s="164">
        <v>0</v>
      </c>
      <c r="F431" s="165" t="s">
        <v>51</v>
      </c>
      <c r="G431" s="164">
        <v>0</v>
      </c>
      <c r="H431" s="165" t="s">
        <v>51</v>
      </c>
      <c r="I431" s="164">
        <v>65000</v>
      </c>
      <c r="J431" s="165" t="s">
        <v>51</v>
      </c>
      <c r="K431" s="164">
        <v>0</v>
      </c>
      <c r="L431" s="165" t="s">
        <v>51</v>
      </c>
      <c r="M431" s="164"/>
      <c r="N431" s="165" t="s">
        <v>51</v>
      </c>
      <c r="O431" s="164">
        <f t="shared" ref="O431" si="24">SMALL(E431:M431,COUNTIF(E431:M431,0)+1)</f>
        <v>65000</v>
      </c>
      <c r="P431" s="166">
        <v>0</v>
      </c>
      <c r="Q431" s="166">
        <v>0</v>
      </c>
      <c r="R431" s="166">
        <v>0</v>
      </c>
      <c r="S431" s="166">
        <v>0</v>
      </c>
      <c r="T431" s="166">
        <v>0</v>
      </c>
      <c r="U431" s="13">
        <v>0</v>
      </c>
      <c r="V431" s="13">
        <v>0</v>
      </c>
      <c r="W431" s="8" t="s">
        <v>3993</v>
      </c>
      <c r="X431" s="8" t="s">
        <v>51</v>
      </c>
      <c r="Y431" s="2" t="s">
        <v>51</v>
      </c>
      <c r="Z431" s="2" t="s">
        <v>51</v>
      </c>
      <c r="AA431" s="14"/>
      <c r="AB431" s="2" t="s">
        <v>51</v>
      </c>
    </row>
    <row r="432" spans="1:28" ht="30" customHeight="1">
      <c r="A432" s="8" t="s">
        <v>1451</v>
      </c>
      <c r="B432" s="157" t="s">
        <v>4976</v>
      </c>
      <c r="C432" s="157"/>
      <c r="D432" s="163" t="s">
        <v>321</v>
      </c>
      <c r="E432" s="164">
        <v>0</v>
      </c>
      <c r="F432" s="165" t="s">
        <v>51</v>
      </c>
      <c r="G432" s="164">
        <v>0</v>
      </c>
      <c r="H432" s="165" t="s">
        <v>51</v>
      </c>
      <c r="I432" s="164">
        <v>0</v>
      </c>
      <c r="J432" s="165" t="s">
        <v>51</v>
      </c>
      <c r="K432" s="164">
        <v>3750000</v>
      </c>
      <c r="L432" s="165"/>
      <c r="M432" s="164">
        <v>3600000</v>
      </c>
      <c r="N432" s="165" t="s">
        <v>51</v>
      </c>
      <c r="O432" s="164">
        <f t="shared" si="21"/>
        <v>3600000</v>
      </c>
      <c r="P432" s="166">
        <v>0</v>
      </c>
      <c r="Q432" s="166">
        <v>0</v>
      </c>
      <c r="R432" s="166">
        <v>0</v>
      </c>
      <c r="S432" s="166">
        <v>0</v>
      </c>
      <c r="T432" s="166">
        <v>0</v>
      </c>
      <c r="U432" s="13">
        <v>0</v>
      </c>
      <c r="V432" s="13">
        <v>0</v>
      </c>
      <c r="W432" s="8" t="s">
        <v>3994</v>
      </c>
      <c r="X432" s="8" t="s">
        <v>51</v>
      </c>
      <c r="Y432" s="2" t="s">
        <v>51</v>
      </c>
      <c r="Z432" s="2" t="s">
        <v>51</v>
      </c>
      <c r="AA432" s="14"/>
      <c r="AB432" s="2" t="s">
        <v>51</v>
      </c>
    </row>
    <row r="433" spans="1:28" ht="30" customHeight="1">
      <c r="A433" s="8" t="s">
        <v>1456</v>
      </c>
      <c r="B433" s="157" t="s">
        <v>4977</v>
      </c>
      <c r="C433" s="157"/>
      <c r="D433" s="163" t="s">
        <v>321</v>
      </c>
      <c r="E433" s="164">
        <v>0</v>
      </c>
      <c r="F433" s="165" t="s">
        <v>51</v>
      </c>
      <c r="G433" s="164">
        <v>0</v>
      </c>
      <c r="H433" s="165" t="s">
        <v>51</v>
      </c>
      <c r="I433" s="164">
        <v>0</v>
      </c>
      <c r="J433" s="165" t="s">
        <v>51</v>
      </c>
      <c r="K433" s="164">
        <v>3200000</v>
      </c>
      <c r="L433" s="165"/>
      <c r="M433" s="164">
        <v>3037500</v>
      </c>
      <c r="N433" s="165" t="s">
        <v>51</v>
      </c>
      <c r="O433" s="164">
        <f t="shared" si="21"/>
        <v>3037500</v>
      </c>
      <c r="P433" s="166">
        <v>0</v>
      </c>
      <c r="Q433" s="166">
        <v>0</v>
      </c>
      <c r="R433" s="166">
        <v>0</v>
      </c>
      <c r="S433" s="166">
        <v>0</v>
      </c>
      <c r="T433" s="166">
        <v>0</v>
      </c>
      <c r="U433" s="13">
        <v>0</v>
      </c>
      <c r="V433" s="13">
        <v>0</v>
      </c>
      <c r="W433" s="8" t="s">
        <v>3995</v>
      </c>
      <c r="X433" s="8" t="s">
        <v>51</v>
      </c>
      <c r="Y433" s="2" t="s">
        <v>51</v>
      </c>
      <c r="Z433" s="2" t="s">
        <v>51</v>
      </c>
      <c r="AA433" s="14"/>
      <c r="AB433" s="2" t="s">
        <v>51</v>
      </c>
    </row>
    <row r="434" spans="1:28" ht="30" customHeight="1">
      <c r="A434" s="8" t="s">
        <v>1461</v>
      </c>
      <c r="B434" s="157" t="s">
        <v>4978</v>
      </c>
      <c r="C434" s="157"/>
      <c r="D434" s="163" t="s">
        <v>321</v>
      </c>
      <c r="E434" s="164">
        <v>0</v>
      </c>
      <c r="F434" s="165" t="s">
        <v>51</v>
      </c>
      <c r="G434" s="164">
        <v>0</v>
      </c>
      <c r="H434" s="165" t="s">
        <v>51</v>
      </c>
      <c r="I434" s="164">
        <v>0</v>
      </c>
      <c r="J434" s="165" t="s">
        <v>51</v>
      </c>
      <c r="K434" s="164">
        <v>1450000</v>
      </c>
      <c r="L434" s="165"/>
      <c r="M434" s="164">
        <v>1350000</v>
      </c>
      <c r="N434" s="165" t="s">
        <v>51</v>
      </c>
      <c r="O434" s="164">
        <f t="shared" si="21"/>
        <v>1350000</v>
      </c>
      <c r="P434" s="166">
        <v>0</v>
      </c>
      <c r="Q434" s="166">
        <v>0</v>
      </c>
      <c r="R434" s="166">
        <v>0</v>
      </c>
      <c r="S434" s="166">
        <v>0</v>
      </c>
      <c r="T434" s="166">
        <v>0</v>
      </c>
      <c r="U434" s="13">
        <v>0</v>
      </c>
      <c r="V434" s="13">
        <v>0</v>
      </c>
      <c r="W434" s="8" t="s">
        <v>3996</v>
      </c>
      <c r="X434" s="8" t="s">
        <v>51</v>
      </c>
      <c r="Y434" s="2" t="s">
        <v>51</v>
      </c>
      <c r="Z434" s="2" t="s">
        <v>51</v>
      </c>
      <c r="AA434" s="14"/>
      <c r="AB434" s="2" t="s">
        <v>51</v>
      </c>
    </row>
    <row r="435" spans="1:28" ht="30" customHeight="1">
      <c r="A435" s="8" t="s">
        <v>1466</v>
      </c>
      <c r="B435" s="157" t="s">
        <v>4979</v>
      </c>
      <c r="C435" s="157"/>
      <c r="D435" s="163" t="s">
        <v>321</v>
      </c>
      <c r="E435" s="164">
        <v>0</v>
      </c>
      <c r="F435" s="165" t="s">
        <v>51</v>
      </c>
      <c r="G435" s="164">
        <v>0</v>
      </c>
      <c r="H435" s="165" t="s">
        <v>51</v>
      </c>
      <c r="I435" s="164">
        <v>0</v>
      </c>
      <c r="J435" s="165" t="s">
        <v>51</v>
      </c>
      <c r="K435" s="164">
        <v>4750000</v>
      </c>
      <c r="L435" s="165"/>
      <c r="M435" s="164">
        <v>4612500</v>
      </c>
      <c r="N435" s="165" t="s">
        <v>51</v>
      </c>
      <c r="O435" s="164">
        <f t="shared" si="21"/>
        <v>4612500</v>
      </c>
      <c r="P435" s="166">
        <v>0</v>
      </c>
      <c r="Q435" s="166">
        <v>0</v>
      </c>
      <c r="R435" s="166">
        <v>0</v>
      </c>
      <c r="S435" s="166">
        <v>0</v>
      </c>
      <c r="T435" s="166">
        <v>0</v>
      </c>
      <c r="U435" s="13">
        <v>0</v>
      </c>
      <c r="V435" s="13">
        <v>0</v>
      </c>
      <c r="W435" s="8" t="s">
        <v>3997</v>
      </c>
      <c r="X435" s="8" t="s">
        <v>51</v>
      </c>
      <c r="Y435" s="2" t="s">
        <v>51</v>
      </c>
      <c r="Z435" s="2" t="s">
        <v>51</v>
      </c>
      <c r="AA435" s="14"/>
      <c r="AB435" s="2" t="s">
        <v>51</v>
      </c>
    </row>
    <row r="436" spans="1:28" ht="30" customHeight="1">
      <c r="A436" s="8" t="s">
        <v>1471</v>
      </c>
      <c r="B436" s="157" t="s">
        <v>4980</v>
      </c>
      <c r="C436" s="157"/>
      <c r="D436" s="163" t="s">
        <v>321</v>
      </c>
      <c r="E436" s="164">
        <v>0</v>
      </c>
      <c r="F436" s="165" t="s">
        <v>51</v>
      </c>
      <c r="G436" s="164">
        <v>0</v>
      </c>
      <c r="H436" s="165" t="s">
        <v>51</v>
      </c>
      <c r="I436" s="164">
        <v>0</v>
      </c>
      <c r="J436" s="165" t="s">
        <v>51</v>
      </c>
      <c r="K436" s="164">
        <v>3450000</v>
      </c>
      <c r="L436" s="165"/>
      <c r="M436" s="164">
        <v>3268800</v>
      </c>
      <c r="N436" s="165" t="s">
        <v>51</v>
      </c>
      <c r="O436" s="164">
        <f t="shared" si="21"/>
        <v>3268800</v>
      </c>
      <c r="P436" s="166">
        <v>0</v>
      </c>
      <c r="Q436" s="166">
        <v>0</v>
      </c>
      <c r="R436" s="166">
        <v>0</v>
      </c>
      <c r="S436" s="166">
        <v>0</v>
      </c>
      <c r="T436" s="166">
        <v>0</v>
      </c>
      <c r="U436" s="13">
        <v>0</v>
      </c>
      <c r="V436" s="13">
        <v>0</v>
      </c>
      <c r="W436" s="8" t="s">
        <v>3998</v>
      </c>
      <c r="X436" s="8" t="s">
        <v>51</v>
      </c>
      <c r="Y436" s="2" t="s">
        <v>51</v>
      </c>
      <c r="Z436" s="2" t="s">
        <v>51</v>
      </c>
      <c r="AA436" s="14"/>
      <c r="AB436" s="2" t="s">
        <v>51</v>
      </c>
    </row>
    <row r="437" spans="1:28" ht="30" customHeight="1">
      <c r="A437" s="8" t="s">
        <v>1476</v>
      </c>
      <c r="B437" s="157" t="s">
        <v>4981</v>
      </c>
      <c r="C437" s="157"/>
      <c r="D437" s="163" t="s">
        <v>321</v>
      </c>
      <c r="E437" s="164">
        <v>0</v>
      </c>
      <c r="F437" s="165" t="s">
        <v>51</v>
      </c>
      <c r="G437" s="164">
        <v>0</v>
      </c>
      <c r="H437" s="165" t="s">
        <v>51</v>
      </c>
      <c r="I437" s="164">
        <v>0</v>
      </c>
      <c r="J437" s="165" t="s">
        <v>51</v>
      </c>
      <c r="K437" s="164">
        <v>4350000</v>
      </c>
      <c r="L437" s="165"/>
      <c r="M437" s="164">
        <v>4188150</v>
      </c>
      <c r="N437" s="165" t="s">
        <v>51</v>
      </c>
      <c r="O437" s="164">
        <f t="shared" si="21"/>
        <v>4188150</v>
      </c>
      <c r="P437" s="166">
        <v>0</v>
      </c>
      <c r="Q437" s="166">
        <v>0</v>
      </c>
      <c r="R437" s="166">
        <v>0</v>
      </c>
      <c r="S437" s="166">
        <v>0</v>
      </c>
      <c r="T437" s="166">
        <v>0</v>
      </c>
      <c r="U437" s="13">
        <v>0</v>
      </c>
      <c r="V437" s="13">
        <v>0</v>
      </c>
      <c r="W437" s="8" t="s">
        <v>3999</v>
      </c>
      <c r="X437" s="8" t="s">
        <v>51</v>
      </c>
      <c r="Y437" s="2" t="s">
        <v>51</v>
      </c>
      <c r="Z437" s="2" t="s">
        <v>51</v>
      </c>
      <c r="AA437" s="14"/>
      <c r="AB437" s="2" t="s">
        <v>51</v>
      </c>
    </row>
    <row r="438" spans="1:28" ht="30" customHeight="1">
      <c r="A438" s="8" t="s">
        <v>1516</v>
      </c>
      <c r="B438" s="157" t="s">
        <v>4982</v>
      </c>
      <c r="C438" s="157"/>
      <c r="D438" s="163" t="s">
        <v>321</v>
      </c>
      <c r="E438" s="164">
        <v>0</v>
      </c>
      <c r="F438" s="165" t="s">
        <v>51</v>
      </c>
      <c r="G438" s="164">
        <v>0</v>
      </c>
      <c r="H438" s="165" t="s">
        <v>51</v>
      </c>
      <c r="I438" s="164">
        <v>0</v>
      </c>
      <c r="J438" s="165" t="s">
        <v>51</v>
      </c>
      <c r="K438" s="164">
        <v>2750000</v>
      </c>
      <c r="L438" s="165"/>
      <c r="M438" s="164">
        <v>2692800</v>
      </c>
      <c r="N438" s="165" t="s">
        <v>51</v>
      </c>
      <c r="O438" s="164">
        <f t="shared" si="21"/>
        <v>2692800</v>
      </c>
      <c r="P438" s="166">
        <v>0</v>
      </c>
      <c r="Q438" s="166">
        <v>0</v>
      </c>
      <c r="R438" s="166">
        <v>0</v>
      </c>
      <c r="S438" s="166">
        <v>0</v>
      </c>
      <c r="T438" s="166">
        <v>0</v>
      </c>
      <c r="U438" s="13">
        <v>0</v>
      </c>
      <c r="V438" s="13">
        <v>0</v>
      </c>
      <c r="W438" s="8" t="s">
        <v>4000</v>
      </c>
      <c r="X438" s="8" t="s">
        <v>51</v>
      </c>
      <c r="Y438" s="2" t="s">
        <v>51</v>
      </c>
      <c r="Z438" s="2" t="s">
        <v>51</v>
      </c>
      <c r="AA438" s="14"/>
      <c r="AB438" s="2" t="s">
        <v>51</v>
      </c>
    </row>
    <row r="439" spans="1:28" ht="30" customHeight="1">
      <c r="A439" s="8" t="s">
        <v>1481</v>
      </c>
      <c r="B439" s="157" t="s">
        <v>4983</v>
      </c>
      <c r="C439" s="157"/>
      <c r="D439" s="163" t="s">
        <v>321</v>
      </c>
      <c r="E439" s="164">
        <v>0</v>
      </c>
      <c r="F439" s="165" t="s">
        <v>51</v>
      </c>
      <c r="G439" s="164">
        <v>0</v>
      </c>
      <c r="H439" s="165" t="s">
        <v>51</v>
      </c>
      <c r="I439" s="164">
        <v>0</v>
      </c>
      <c r="J439" s="165" t="s">
        <v>51</v>
      </c>
      <c r="K439" s="164">
        <v>650000</v>
      </c>
      <c r="L439" s="165"/>
      <c r="M439" s="164">
        <v>550000</v>
      </c>
      <c r="N439" s="165" t="s">
        <v>51</v>
      </c>
      <c r="O439" s="164">
        <f t="shared" si="21"/>
        <v>550000</v>
      </c>
      <c r="P439" s="166">
        <v>0</v>
      </c>
      <c r="Q439" s="166">
        <v>0</v>
      </c>
      <c r="R439" s="166">
        <v>0</v>
      </c>
      <c r="S439" s="166">
        <v>0</v>
      </c>
      <c r="T439" s="166">
        <v>0</v>
      </c>
      <c r="U439" s="13">
        <v>0</v>
      </c>
      <c r="V439" s="13">
        <v>0</v>
      </c>
      <c r="W439" s="8" t="s">
        <v>4001</v>
      </c>
      <c r="X439" s="8" t="s">
        <v>51</v>
      </c>
      <c r="Y439" s="2" t="s">
        <v>51</v>
      </c>
      <c r="Z439" s="2" t="s">
        <v>51</v>
      </c>
      <c r="AA439" s="14"/>
      <c r="AB439" s="2" t="s">
        <v>51</v>
      </c>
    </row>
    <row r="440" spans="1:28" ht="30" customHeight="1">
      <c r="A440" s="8" t="s">
        <v>1486</v>
      </c>
      <c r="B440" s="157" t="s">
        <v>4984</v>
      </c>
      <c r="C440" s="157"/>
      <c r="D440" s="163" t="s">
        <v>321</v>
      </c>
      <c r="E440" s="164">
        <v>0</v>
      </c>
      <c r="F440" s="165" t="s">
        <v>51</v>
      </c>
      <c r="G440" s="164">
        <v>0</v>
      </c>
      <c r="H440" s="165" t="s">
        <v>51</v>
      </c>
      <c r="I440" s="164">
        <v>0</v>
      </c>
      <c r="J440" s="165" t="s">
        <v>51</v>
      </c>
      <c r="K440" s="164">
        <v>550000</v>
      </c>
      <c r="L440" s="165"/>
      <c r="M440" s="164">
        <v>495000</v>
      </c>
      <c r="N440" s="165" t="s">
        <v>51</v>
      </c>
      <c r="O440" s="164">
        <f t="shared" si="21"/>
        <v>495000</v>
      </c>
      <c r="P440" s="166">
        <v>0</v>
      </c>
      <c r="Q440" s="166">
        <v>0</v>
      </c>
      <c r="R440" s="166">
        <v>0</v>
      </c>
      <c r="S440" s="166">
        <v>0</v>
      </c>
      <c r="T440" s="166">
        <v>0</v>
      </c>
      <c r="U440" s="13">
        <v>0</v>
      </c>
      <c r="V440" s="13">
        <v>0</v>
      </c>
      <c r="W440" s="8" t="s">
        <v>4002</v>
      </c>
      <c r="X440" s="8" t="s">
        <v>51</v>
      </c>
      <c r="Y440" s="2" t="s">
        <v>51</v>
      </c>
      <c r="Z440" s="2" t="s">
        <v>51</v>
      </c>
      <c r="AA440" s="14"/>
      <c r="AB440" s="2" t="s">
        <v>51</v>
      </c>
    </row>
    <row r="441" spans="1:28" ht="30" customHeight="1">
      <c r="A441" s="8" t="s">
        <v>1501</v>
      </c>
      <c r="B441" s="157" t="s">
        <v>4985</v>
      </c>
      <c r="C441" s="157"/>
      <c r="D441" s="163" t="s">
        <v>321</v>
      </c>
      <c r="E441" s="164">
        <v>0</v>
      </c>
      <c r="F441" s="165" t="s">
        <v>51</v>
      </c>
      <c r="G441" s="164">
        <v>0</v>
      </c>
      <c r="H441" s="165" t="s">
        <v>51</v>
      </c>
      <c r="I441" s="164">
        <v>0</v>
      </c>
      <c r="J441" s="165" t="s">
        <v>51</v>
      </c>
      <c r="K441" s="164">
        <v>2450000</v>
      </c>
      <c r="L441" s="165" t="s">
        <v>51</v>
      </c>
      <c r="M441" s="164">
        <v>2366400</v>
      </c>
      <c r="N441" s="165" t="s">
        <v>51</v>
      </c>
      <c r="O441" s="164">
        <f t="shared" si="21"/>
        <v>2366400</v>
      </c>
      <c r="P441" s="166">
        <v>0</v>
      </c>
      <c r="Q441" s="166">
        <v>0</v>
      </c>
      <c r="R441" s="166">
        <v>0</v>
      </c>
      <c r="S441" s="166">
        <v>0</v>
      </c>
      <c r="T441" s="166">
        <v>0</v>
      </c>
      <c r="U441" s="13">
        <v>0</v>
      </c>
      <c r="V441" s="13">
        <v>0</v>
      </c>
      <c r="W441" s="8" t="s">
        <v>4003</v>
      </c>
      <c r="X441" s="8" t="s">
        <v>51</v>
      </c>
      <c r="Y441" s="2" t="s">
        <v>51</v>
      </c>
      <c r="Z441" s="2" t="s">
        <v>51</v>
      </c>
      <c r="AA441" s="14"/>
      <c r="AB441" s="2" t="s">
        <v>51</v>
      </c>
    </row>
    <row r="442" spans="1:28" ht="30" customHeight="1">
      <c r="A442" s="8" t="s">
        <v>1506</v>
      </c>
      <c r="B442" s="157" t="s">
        <v>4986</v>
      </c>
      <c r="C442" s="157"/>
      <c r="D442" s="163" t="s">
        <v>321</v>
      </c>
      <c r="E442" s="164">
        <v>0</v>
      </c>
      <c r="F442" s="165" t="s">
        <v>51</v>
      </c>
      <c r="G442" s="164">
        <v>0</v>
      </c>
      <c r="H442" s="165" t="s">
        <v>51</v>
      </c>
      <c r="I442" s="164">
        <v>0</v>
      </c>
      <c r="J442" s="165" t="s">
        <v>51</v>
      </c>
      <c r="K442" s="164">
        <v>5980000</v>
      </c>
      <c r="L442" s="165" t="s">
        <v>51</v>
      </c>
      <c r="M442" s="164">
        <v>5875200</v>
      </c>
      <c r="N442" s="165" t="s">
        <v>51</v>
      </c>
      <c r="O442" s="164">
        <f t="shared" si="21"/>
        <v>5875200</v>
      </c>
      <c r="P442" s="166">
        <v>0</v>
      </c>
      <c r="Q442" s="166">
        <v>0</v>
      </c>
      <c r="R442" s="166">
        <v>0</v>
      </c>
      <c r="S442" s="166">
        <v>0</v>
      </c>
      <c r="T442" s="166">
        <v>0</v>
      </c>
      <c r="U442" s="13">
        <v>0</v>
      </c>
      <c r="V442" s="13">
        <v>0</v>
      </c>
      <c r="W442" s="8" t="s">
        <v>4004</v>
      </c>
      <c r="X442" s="8" t="s">
        <v>51</v>
      </c>
      <c r="Y442" s="2" t="s">
        <v>51</v>
      </c>
      <c r="Z442" s="2" t="s">
        <v>51</v>
      </c>
      <c r="AA442" s="14"/>
      <c r="AB442" s="2" t="s">
        <v>51</v>
      </c>
    </row>
    <row r="443" spans="1:28" ht="30" customHeight="1">
      <c r="A443" s="8" t="s">
        <v>1511</v>
      </c>
      <c r="B443" s="157" t="s">
        <v>4987</v>
      </c>
      <c r="C443" s="157"/>
      <c r="D443" s="163" t="s">
        <v>321</v>
      </c>
      <c r="E443" s="164">
        <v>0</v>
      </c>
      <c r="F443" s="165" t="s">
        <v>51</v>
      </c>
      <c r="G443" s="164">
        <v>0</v>
      </c>
      <c r="H443" s="165" t="s">
        <v>51</v>
      </c>
      <c r="I443" s="164">
        <v>0</v>
      </c>
      <c r="J443" s="165" t="s">
        <v>51</v>
      </c>
      <c r="K443" s="164">
        <v>175000</v>
      </c>
      <c r="L443" s="165" t="s">
        <v>51</v>
      </c>
      <c r="M443" s="164">
        <v>153000</v>
      </c>
      <c r="N443" s="165" t="s">
        <v>51</v>
      </c>
      <c r="O443" s="164">
        <f t="shared" si="21"/>
        <v>153000</v>
      </c>
      <c r="P443" s="166">
        <v>0</v>
      </c>
      <c r="Q443" s="166">
        <v>0</v>
      </c>
      <c r="R443" s="166">
        <v>0</v>
      </c>
      <c r="S443" s="166">
        <v>0</v>
      </c>
      <c r="T443" s="166">
        <v>0</v>
      </c>
      <c r="U443" s="13">
        <v>0</v>
      </c>
      <c r="V443" s="13">
        <v>0</v>
      </c>
      <c r="W443" s="8" t="s">
        <v>4005</v>
      </c>
      <c r="X443" s="8" t="s">
        <v>51</v>
      </c>
      <c r="Y443" s="2" t="s">
        <v>51</v>
      </c>
      <c r="Z443" s="2" t="s">
        <v>51</v>
      </c>
      <c r="AA443" s="14"/>
      <c r="AB443" s="2" t="s">
        <v>51</v>
      </c>
    </row>
    <row r="444" spans="1:28" ht="30" customHeight="1">
      <c r="A444" s="8" t="s">
        <v>1691</v>
      </c>
      <c r="B444" s="157" t="s">
        <v>4988</v>
      </c>
      <c r="C444" s="157"/>
      <c r="D444" s="163" t="s">
        <v>321</v>
      </c>
      <c r="E444" s="164">
        <v>0</v>
      </c>
      <c r="F444" s="165" t="s">
        <v>51</v>
      </c>
      <c r="G444" s="164">
        <v>0</v>
      </c>
      <c r="H444" s="165" t="s">
        <v>51</v>
      </c>
      <c r="I444" s="164">
        <v>0</v>
      </c>
      <c r="J444" s="165" t="s">
        <v>51</v>
      </c>
      <c r="K444" s="164">
        <v>3150000</v>
      </c>
      <c r="L444" s="165"/>
      <c r="M444" s="164">
        <v>3050000</v>
      </c>
      <c r="N444" s="165" t="s">
        <v>51</v>
      </c>
      <c r="O444" s="164">
        <f t="shared" ref="O444" si="25">SMALL(E444:M444,COUNTIF(E444:M444,0)+1)</f>
        <v>3050000</v>
      </c>
      <c r="P444" s="166">
        <v>0</v>
      </c>
      <c r="Q444" s="166">
        <v>0</v>
      </c>
      <c r="R444" s="166">
        <v>0</v>
      </c>
      <c r="S444" s="166">
        <v>0</v>
      </c>
      <c r="T444" s="166">
        <v>0</v>
      </c>
      <c r="U444" s="13">
        <v>0</v>
      </c>
      <c r="V444" s="13">
        <v>0</v>
      </c>
      <c r="W444" s="8" t="s">
        <v>4006</v>
      </c>
      <c r="X444" s="8" t="s">
        <v>51</v>
      </c>
      <c r="Y444" s="2" t="s">
        <v>51</v>
      </c>
      <c r="Z444" s="2" t="s">
        <v>51</v>
      </c>
      <c r="AA444" s="14"/>
      <c r="AB444" s="2" t="s">
        <v>51</v>
      </c>
    </row>
    <row r="445" spans="1:28" ht="30" customHeight="1">
      <c r="A445" s="8" t="s">
        <v>1681</v>
      </c>
      <c r="B445" s="157" t="s">
        <v>4989</v>
      </c>
      <c r="C445" s="157"/>
      <c r="D445" s="163" t="s">
        <v>321</v>
      </c>
      <c r="E445" s="164">
        <v>0</v>
      </c>
      <c r="F445" s="165" t="s">
        <v>51</v>
      </c>
      <c r="G445" s="164">
        <v>0</v>
      </c>
      <c r="H445" s="165" t="s">
        <v>51</v>
      </c>
      <c r="I445" s="164">
        <v>0</v>
      </c>
      <c r="J445" s="165" t="s">
        <v>51</v>
      </c>
      <c r="K445" s="164">
        <v>4200000</v>
      </c>
      <c r="L445" s="165"/>
      <c r="M445" s="164">
        <v>3937500</v>
      </c>
      <c r="N445" s="165" t="s">
        <v>51</v>
      </c>
      <c r="O445" s="164">
        <f t="shared" si="21"/>
        <v>3937500</v>
      </c>
      <c r="P445" s="166">
        <v>0</v>
      </c>
      <c r="Q445" s="166">
        <v>0</v>
      </c>
      <c r="R445" s="166">
        <v>0</v>
      </c>
      <c r="S445" s="166">
        <v>0</v>
      </c>
      <c r="T445" s="166">
        <v>0</v>
      </c>
      <c r="U445" s="13">
        <v>0</v>
      </c>
      <c r="V445" s="13">
        <v>0</v>
      </c>
      <c r="W445" s="8" t="s">
        <v>4007</v>
      </c>
      <c r="X445" s="8" t="s">
        <v>51</v>
      </c>
      <c r="Y445" s="2" t="s">
        <v>51</v>
      </c>
      <c r="Z445" s="2" t="s">
        <v>51</v>
      </c>
      <c r="AA445" s="14"/>
      <c r="AB445" s="2" t="s">
        <v>51</v>
      </c>
    </row>
    <row r="446" spans="1:28" ht="30" customHeight="1">
      <c r="A446" s="8" t="s">
        <v>1686</v>
      </c>
      <c r="B446" s="157" t="s">
        <v>4990</v>
      </c>
      <c r="C446" s="157"/>
      <c r="D446" s="163" t="s">
        <v>321</v>
      </c>
      <c r="E446" s="164">
        <v>0</v>
      </c>
      <c r="F446" s="165" t="s">
        <v>51</v>
      </c>
      <c r="G446" s="164">
        <v>0</v>
      </c>
      <c r="H446" s="165" t="s">
        <v>51</v>
      </c>
      <c r="I446" s="164">
        <v>0</v>
      </c>
      <c r="J446" s="165" t="s">
        <v>51</v>
      </c>
      <c r="K446" s="164">
        <v>3250000</v>
      </c>
      <c r="L446" s="165"/>
      <c r="M446" s="164">
        <v>3262500</v>
      </c>
      <c r="N446" s="165" t="s">
        <v>51</v>
      </c>
      <c r="O446" s="164">
        <f t="shared" si="21"/>
        <v>3250000</v>
      </c>
      <c r="P446" s="166">
        <v>0</v>
      </c>
      <c r="Q446" s="166">
        <v>0</v>
      </c>
      <c r="R446" s="166">
        <v>0</v>
      </c>
      <c r="S446" s="166">
        <v>0</v>
      </c>
      <c r="T446" s="166">
        <v>0</v>
      </c>
      <c r="U446" s="13">
        <v>0</v>
      </c>
      <c r="V446" s="13">
        <v>0</v>
      </c>
      <c r="W446" s="8" t="s">
        <v>4008</v>
      </c>
      <c r="X446" s="8" t="s">
        <v>51</v>
      </c>
      <c r="Y446" s="2" t="s">
        <v>51</v>
      </c>
      <c r="Z446" s="2" t="s">
        <v>51</v>
      </c>
      <c r="AA446" s="14"/>
      <c r="AB446" s="2" t="s">
        <v>51</v>
      </c>
    </row>
    <row r="447" spans="1:28" ht="30" customHeight="1">
      <c r="A447" s="8" t="s">
        <v>1691</v>
      </c>
      <c r="B447" s="157" t="s">
        <v>4991</v>
      </c>
      <c r="C447" s="157"/>
      <c r="D447" s="163" t="s">
        <v>321</v>
      </c>
      <c r="E447" s="164">
        <v>0</v>
      </c>
      <c r="F447" s="165" t="s">
        <v>51</v>
      </c>
      <c r="G447" s="164">
        <v>0</v>
      </c>
      <c r="H447" s="165" t="s">
        <v>51</v>
      </c>
      <c r="I447" s="164">
        <v>0</v>
      </c>
      <c r="J447" s="165" t="s">
        <v>51</v>
      </c>
      <c r="K447" s="164">
        <v>3250000</v>
      </c>
      <c r="L447" s="165"/>
      <c r="M447" s="164">
        <v>3150000</v>
      </c>
      <c r="N447" s="165" t="s">
        <v>51</v>
      </c>
      <c r="O447" s="164">
        <f t="shared" si="21"/>
        <v>3150000</v>
      </c>
      <c r="P447" s="166">
        <v>0</v>
      </c>
      <c r="Q447" s="166">
        <v>0</v>
      </c>
      <c r="R447" s="166">
        <v>0</v>
      </c>
      <c r="S447" s="166">
        <v>0</v>
      </c>
      <c r="T447" s="166">
        <v>0</v>
      </c>
      <c r="U447" s="13">
        <v>0</v>
      </c>
      <c r="V447" s="13">
        <v>0</v>
      </c>
      <c r="W447" s="8" t="s">
        <v>4009</v>
      </c>
      <c r="X447" s="8" t="s">
        <v>51</v>
      </c>
      <c r="Y447" s="2" t="s">
        <v>51</v>
      </c>
      <c r="Z447" s="2" t="s">
        <v>51</v>
      </c>
      <c r="AA447" s="14"/>
      <c r="AB447" s="2" t="s">
        <v>51</v>
      </c>
    </row>
    <row r="448" spans="1:28" ht="30" customHeight="1">
      <c r="A448" s="8" t="s">
        <v>1696</v>
      </c>
      <c r="B448" s="157" t="s">
        <v>4992</v>
      </c>
      <c r="C448" s="157"/>
      <c r="D448" s="163" t="s">
        <v>321</v>
      </c>
      <c r="E448" s="164">
        <v>0</v>
      </c>
      <c r="F448" s="165" t="s">
        <v>51</v>
      </c>
      <c r="G448" s="164">
        <v>0</v>
      </c>
      <c r="H448" s="165" t="s">
        <v>51</v>
      </c>
      <c r="I448" s="164">
        <v>0</v>
      </c>
      <c r="J448" s="165" t="s">
        <v>51</v>
      </c>
      <c r="K448" s="164">
        <v>3190000</v>
      </c>
      <c r="L448" s="165"/>
      <c r="M448" s="164">
        <v>3100000</v>
      </c>
      <c r="N448" s="165" t="s">
        <v>51</v>
      </c>
      <c r="O448" s="164">
        <f t="shared" si="21"/>
        <v>3100000</v>
      </c>
      <c r="P448" s="166">
        <v>0</v>
      </c>
      <c r="Q448" s="166">
        <v>0</v>
      </c>
      <c r="R448" s="166">
        <v>0</v>
      </c>
      <c r="S448" s="166">
        <v>0</v>
      </c>
      <c r="T448" s="166">
        <v>0</v>
      </c>
      <c r="U448" s="13">
        <v>0</v>
      </c>
      <c r="V448" s="13">
        <v>0</v>
      </c>
      <c r="W448" s="8" t="s">
        <v>6557</v>
      </c>
      <c r="X448" s="8" t="s">
        <v>51</v>
      </c>
      <c r="Y448" s="2" t="s">
        <v>51</v>
      </c>
      <c r="Z448" s="2" t="s">
        <v>51</v>
      </c>
      <c r="AA448" s="14"/>
      <c r="AB448" s="2" t="s">
        <v>51</v>
      </c>
    </row>
    <row r="449" spans="1:28" ht="30" customHeight="1">
      <c r="A449" s="8" t="s">
        <v>1701</v>
      </c>
      <c r="B449" s="157" t="s">
        <v>4993</v>
      </c>
      <c r="C449" s="157"/>
      <c r="D449" s="163" t="s">
        <v>321</v>
      </c>
      <c r="E449" s="164">
        <v>0</v>
      </c>
      <c r="F449" s="165" t="s">
        <v>51</v>
      </c>
      <c r="G449" s="164">
        <v>0</v>
      </c>
      <c r="H449" s="165" t="s">
        <v>51</v>
      </c>
      <c r="I449" s="164">
        <v>0</v>
      </c>
      <c r="J449" s="165" t="s">
        <v>51</v>
      </c>
      <c r="K449" s="164">
        <v>7950000</v>
      </c>
      <c r="L449" s="165"/>
      <c r="M449" s="164">
        <v>7150500</v>
      </c>
      <c r="N449" s="165" t="s">
        <v>51</v>
      </c>
      <c r="O449" s="164">
        <f t="shared" si="21"/>
        <v>7150500</v>
      </c>
      <c r="P449" s="166">
        <v>0</v>
      </c>
      <c r="Q449" s="166">
        <v>0</v>
      </c>
      <c r="R449" s="166">
        <v>0</v>
      </c>
      <c r="S449" s="166">
        <v>0</v>
      </c>
      <c r="T449" s="166">
        <v>0</v>
      </c>
      <c r="U449" s="13">
        <v>0</v>
      </c>
      <c r="V449" s="13">
        <v>0</v>
      </c>
      <c r="W449" s="8" t="s">
        <v>4010</v>
      </c>
      <c r="X449" s="8" t="s">
        <v>51</v>
      </c>
      <c r="Y449" s="2" t="s">
        <v>51</v>
      </c>
      <c r="Z449" s="2" t="s">
        <v>51</v>
      </c>
      <c r="AA449" s="14"/>
      <c r="AB449" s="2" t="s">
        <v>51</v>
      </c>
    </row>
    <row r="450" spans="1:28" ht="30" customHeight="1">
      <c r="A450" s="8" t="s">
        <v>1706</v>
      </c>
      <c r="B450" s="157" t="s">
        <v>4994</v>
      </c>
      <c r="C450" s="157"/>
      <c r="D450" s="163" t="s">
        <v>321</v>
      </c>
      <c r="E450" s="164">
        <v>0</v>
      </c>
      <c r="F450" s="165" t="s">
        <v>51</v>
      </c>
      <c r="G450" s="164">
        <v>0</v>
      </c>
      <c r="H450" s="165" t="s">
        <v>51</v>
      </c>
      <c r="I450" s="164">
        <v>0</v>
      </c>
      <c r="J450" s="165" t="s">
        <v>51</v>
      </c>
      <c r="K450" s="164">
        <v>3200000</v>
      </c>
      <c r="L450" s="165"/>
      <c r="M450" s="164">
        <v>2962350</v>
      </c>
      <c r="N450" s="165" t="s">
        <v>51</v>
      </c>
      <c r="O450" s="164">
        <f t="shared" si="21"/>
        <v>2962350</v>
      </c>
      <c r="P450" s="166">
        <v>0</v>
      </c>
      <c r="Q450" s="166">
        <v>0</v>
      </c>
      <c r="R450" s="166">
        <v>0</v>
      </c>
      <c r="S450" s="166">
        <v>0</v>
      </c>
      <c r="T450" s="166">
        <v>0</v>
      </c>
      <c r="U450" s="13">
        <v>0</v>
      </c>
      <c r="V450" s="13">
        <v>0</v>
      </c>
      <c r="W450" s="8" t="s">
        <v>4011</v>
      </c>
      <c r="X450" s="8" t="s">
        <v>51</v>
      </c>
      <c r="Y450" s="2" t="s">
        <v>51</v>
      </c>
      <c r="Z450" s="2" t="s">
        <v>51</v>
      </c>
      <c r="AA450" s="14"/>
      <c r="AB450" s="2" t="s">
        <v>51</v>
      </c>
    </row>
    <row r="451" spans="1:28" ht="30" customHeight="1">
      <c r="A451" s="8" t="s">
        <v>1711</v>
      </c>
      <c r="B451" s="157" t="s">
        <v>4995</v>
      </c>
      <c r="C451" s="157"/>
      <c r="D451" s="163" t="s">
        <v>321</v>
      </c>
      <c r="E451" s="164">
        <v>0</v>
      </c>
      <c r="F451" s="165" t="s">
        <v>51</v>
      </c>
      <c r="G451" s="164">
        <v>0</v>
      </c>
      <c r="H451" s="165" t="s">
        <v>51</v>
      </c>
      <c r="I451" s="164">
        <v>0</v>
      </c>
      <c r="J451" s="165" t="s">
        <v>51</v>
      </c>
      <c r="K451" s="164">
        <v>2950000</v>
      </c>
      <c r="L451" s="165"/>
      <c r="M451" s="164">
        <v>2851600</v>
      </c>
      <c r="N451" s="165" t="s">
        <v>51</v>
      </c>
      <c r="O451" s="164">
        <f t="shared" si="21"/>
        <v>2851600</v>
      </c>
      <c r="P451" s="166">
        <v>0</v>
      </c>
      <c r="Q451" s="166">
        <v>0</v>
      </c>
      <c r="R451" s="166">
        <v>0</v>
      </c>
      <c r="S451" s="166">
        <v>0</v>
      </c>
      <c r="T451" s="166">
        <v>0</v>
      </c>
      <c r="U451" s="13">
        <v>0</v>
      </c>
      <c r="V451" s="13">
        <v>0</v>
      </c>
      <c r="W451" s="8" t="s">
        <v>4012</v>
      </c>
      <c r="X451" s="8" t="s">
        <v>51</v>
      </c>
      <c r="Y451" s="2" t="s">
        <v>51</v>
      </c>
      <c r="Z451" s="2" t="s">
        <v>51</v>
      </c>
      <c r="AA451" s="14"/>
      <c r="AB451" s="2" t="s">
        <v>51</v>
      </c>
    </row>
    <row r="452" spans="1:28" ht="30" customHeight="1">
      <c r="A452" s="8" t="s">
        <v>1716</v>
      </c>
      <c r="B452" s="157" t="s">
        <v>4983</v>
      </c>
      <c r="C452" s="157"/>
      <c r="D452" s="163" t="s">
        <v>321</v>
      </c>
      <c r="E452" s="164">
        <v>0</v>
      </c>
      <c r="F452" s="165" t="s">
        <v>51</v>
      </c>
      <c r="G452" s="164">
        <v>0</v>
      </c>
      <c r="H452" s="165" t="s">
        <v>51</v>
      </c>
      <c r="I452" s="164">
        <v>0</v>
      </c>
      <c r="J452" s="165" t="s">
        <v>51</v>
      </c>
      <c r="K452" s="164">
        <v>650000</v>
      </c>
      <c r="L452" s="165"/>
      <c r="M452" s="164">
        <v>525000</v>
      </c>
      <c r="N452" s="165" t="s">
        <v>51</v>
      </c>
      <c r="O452" s="164">
        <f t="shared" si="21"/>
        <v>525000</v>
      </c>
      <c r="P452" s="166">
        <v>0</v>
      </c>
      <c r="Q452" s="166">
        <v>0</v>
      </c>
      <c r="R452" s="166">
        <v>0</v>
      </c>
      <c r="S452" s="166">
        <v>0</v>
      </c>
      <c r="T452" s="166">
        <v>0</v>
      </c>
      <c r="U452" s="13">
        <v>0</v>
      </c>
      <c r="V452" s="13">
        <v>0</v>
      </c>
      <c r="W452" s="8" t="s">
        <v>4013</v>
      </c>
      <c r="X452" s="8" t="s">
        <v>51</v>
      </c>
      <c r="Y452" s="2" t="s">
        <v>51</v>
      </c>
      <c r="Z452" s="2" t="s">
        <v>51</v>
      </c>
      <c r="AA452" s="14"/>
      <c r="AB452" s="2" t="s">
        <v>51</v>
      </c>
    </row>
    <row r="453" spans="1:28" ht="30" customHeight="1">
      <c r="A453" s="8" t="s">
        <v>1491</v>
      </c>
      <c r="B453" s="157" t="s">
        <v>349</v>
      </c>
      <c r="C453" s="157"/>
      <c r="D453" s="163" t="s">
        <v>321</v>
      </c>
      <c r="E453" s="164">
        <v>0</v>
      </c>
      <c r="F453" s="165" t="s">
        <v>51</v>
      </c>
      <c r="G453" s="164">
        <v>0</v>
      </c>
      <c r="H453" s="165" t="s">
        <v>51</v>
      </c>
      <c r="I453" s="164">
        <v>0</v>
      </c>
      <c r="J453" s="165" t="s">
        <v>51</v>
      </c>
      <c r="K453" s="164">
        <v>550000</v>
      </c>
      <c r="L453" s="165" t="s">
        <v>51</v>
      </c>
      <c r="M453" s="164">
        <v>453600</v>
      </c>
      <c r="N453" s="165" t="s">
        <v>51</v>
      </c>
      <c r="O453" s="164">
        <f t="shared" si="21"/>
        <v>453600</v>
      </c>
      <c r="P453" s="166">
        <v>0</v>
      </c>
      <c r="Q453" s="166">
        <v>0</v>
      </c>
      <c r="R453" s="166">
        <v>0</v>
      </c>
      <c r="S453" s="166">
        <v>0</v>
      </c>
      <c r="T453" s="166">
        <v>0</v>
      </c>
      <c r="U453" s="13">
        <v>0</v>
      </c>
      <c r="V453" s="13">
        <v>0</v>
      </c>
      <c r="W453" s="8" t="s">
        <v>4014</v>
      </c>
      <c r="X453" s="8" t="s">
        <v>51</v>
      </c>
      <c r="Y453" s="2" t="s">
        <v>51</v>
      </c>
      <c r="Z453" s="2" t="s">
        <v>51</v>
      </c>
      <c r="AA453" s="14"/>
      <c r="AB453" s="2" t="s">
        <v>51</v>
      </c>
    </row>
    <row r="454" spans="1:28" ht="30" customHeight="1">
      <c r="A454" s="8" t="s">
        <v>751</v>
      </c>
      <c r="B454" s="157" t="s">
        <v>749</v>
      </c>
      <c r="C454" s="157" t="s">
        <v>750</v>
      </c>
      <c r="D454" s="163" t="s">
        <v>59</v>
      </c>
      <c r="E454" s="164">
        <v>30570</v>
      </c>
      <c r="F454" s="165" t="s">
        <v>51</v>
      </c>
      <c r="G454" s="164">
        <v>0</v>
      </c>
      <c r="H454" s="165" t="s">
        <v>51</v>
      </c>
      <c r="I454" s="164">
        <v>32180</v>
      </c>
      <c r="J454" s="165" t="s">
        <v>2170</v>
      </c>
      <c r="K454" s="164">
        <v>0</v>
      </c>
      <c r="L454" s="165" t="s">
        <v>51</v>
      </c>
      <c r="M454" s="164">
        <v>0</v>
      </c>
      <c r="N454" s="165" t="s">
        <v>51</v>
      </c>
      <c r="O454" s="164">
        <f t="shared" si="21"/>
        <v>30570</v>
      </c>
      <c r="P454" s="166">
        <v>0</v>
      </c>
      <c r="Q454" s="166">
        <v>0</v>
      </c>
      <c r="R454" s="166">
        <v>0</v>
      </c>
      <c r="S454" s="166">
        <v>0</v>
      </c>
      <c r="T454" s="166">
        <v>0</v>
      </c>
      <c r="U454" s="13">
        <v>0</v>
      </c>
      <c r="V454" s="13">
        <v>0</v>
      </c>
      <c r="W454" s="8" t="s">
        <v>4015</v>
      </c>
      <c r="X454" s="8" t="s">
        <v>51</v>
      </c>
      <c r="Y454" s="2" t="s">
        <v>51</v>
      </c>
      <c r="Z454" s="2" t="s">
        <v>51</v>
      </c>
      <c r="AA454" s="14"/>
      <c r="AB454" s="2" t="s">
        <v>51</v>
      </c>
    </row>
    <row r="455" spans="1:28" ht="30" customHeight="1">
      <c r="A455" s="8" t="s">
        <v>1011</v>
      </c>
      <c r="B455" s="157" t="s">
        <v>1009</v>
      </c>
      <c r="C455" s="157" t="s">
        <v>1010</v>
      </c>
      <c r="D455" s="163" t="s">
        <v>82</v>
      </c>
      <c r="E455" s="164">
        <v>0</v>
      </c>
      <c r="F455" s="165" t="s">
        <v>51</v>
      </c>
      <c r="G455" s="164">
        <v>0</v>
      </c>
      <c r="H455" s="165" t="s">
        <v>51</v>
      </c>
      <c r="I455" s="164">
        <v>888</v>
      </c>
      <c r="J455" s="165" t="s">
        <v>1981</v>
      </c>
      <c r="K455" s="164">
        <v>0</v>
      </c>
      <c r="L455" s="165" t="s">
        <v>51</v>
      </c>
      <c r="M455" s="164">
        <v>0</v>
      </c>
      <c r="N455" s="165" t="s">
        <v>51</v>
      </c>
      <c r="O455" s="164">
        <f t="shared" si="21"/>
        <v>888</v>
      </c>
      <c r="P455" s="166">
        <v>0</v>
      </c>
      <c r="Q455" s="166">
        <v>0</v>
      </c>
      <c r="R455" s="166">
        <v>0</v>
      </c>
      <c r="S455" s="166">
        <v>0</v>
      </c>
      <c r="T455" s="166">
        <v>0</v>
      </c>
      <c r="U455" s="13">
        <v>0</v>
      </c>
      <c r="V455" s="13">
        <v>0</v>
      </c>
      <c r="W455" s="8" t="s">
        <v>4016</v>
      </c>
      <c r="X455" s="8" t="s">
        <v>51</v>
      </c>
      <c r="Y455" s="2" t="s">
        <v>51</v>
      </c>
      <c r="Z455" s="2" t="s">
        <v>51</v>
      </c>
      <c r="AA455" s="14"/>
      <c r="AB455" s="2" t="s">
        <v>51</v>
      </c>
    </row>
    <row r="456" spans="1:28" ht="30" customHeight="1">
      <c r="A456" s="8" t="s">
        <v>1065</v>
      </c>
      <c r="B456" s="157" t="s">
        <v>1064</v>
      </c>
      <c r="C456" s="157" t="s">
        <v>1010</v>
      </c>
      <c r="D456" s="163" t="s">
        <v>82</v>
      </c>
      <c r="E456" s="164">
        <v>0</v>
      </c>
      <c r="F456" s="165" t="s">
        <v>51</v>
      </c>
      <c r="G456" s="164">
        <v>0</v>
      </c>
      <c r="H456" s="165" t="s">
        <v>51</v>
      </c>
      <c r="I456" s="164">
        <v>0</v>
      </c>
      <c r="J456" s="165" t="s">
        <v>51</v>
      </c>
      <c r="K456" s="164">
        <v>0</v>
      </c>
      <c r="L456" s="165" t="s">
        <v>51</v>
      </c>
      <c r="M456" s="164">
        <v>0</v>
      </c>
      <c r="N456" s="165" t="s">
        <v>51</v>
      </c>
      <c r="O456" s="164">
        <v>0</v>
      </c>
      <c r="P456" s="166">
        <v>697</v>
      </c>
      <c r="Q456" s="166">
        <v>0</v>
      </c>
      <c r="R456" s="166">
        <v>0</v>
      </c>
      <c r="S456" s="166">
        <v>0</v>
      </c>
      <c r="T456" s="166">
        <v>0</v>
      </c>
      <c r="U456" s="13">
        <v>0</v>
      </c>
      <c r="V456" s="13">
        <v>0</v>
      </c>
      <c r="W456" s="8" t="s">
        <v>4017</v>
      </c>
      <c r="X456" s="8" t="s">
        <v>51</v>
      </c>
      <c r="Y456" s="2" t="s">
        <v>51</v>
      </c>
      <c r="Z456" s="2" t="s">
        <v>51</v>
      </c>
      <c r="AA456" s="14"/>
      <c r="AB456" s="2" t="s">
        <v>51</v>
      </c>
    </row>
    <row r="457" spans="1:28" ht="30" customHeight="1">
      <c r="A457" s="8" t="s">
        <v>1093</v>
      </c>
      <c r="B457" s="157" t="s">
        <v>1092</v>
      </c>
      <c r="C457" s="157" t="s">
        <v>1010</v>
      </c>
      <c r="D457" s="163" t="s">
        <v>82</v>
      </c>
      <c r="E457" s="164">
        <v>0</v>
      </c>
      <c r="F457" s="165" t="s">
        <v>51</v>
      </c>
      <c r="G457" s="164">
        <v>0</v>
      </c>
      <c r="H457" s="165" t="s">
        <v>51</v>
      </c>
      <c r="I457" s="164">
        <v>181</v>
      </c>
      <c r="J457" s="165" t="s">
        <v>2174</v>
      </c>
      <c r="K457" s="164">
        <v>0</v>
      </c>
      <c r="L457" s="165" t="s">
        <v>51</v>
      </c>
      <c r="M457" s="164">
        <v>0</v>
      </c>
      <c r="N457" s="165" t="s">
        <v>51</v>
      </c>
      <c r="O457" s="164">
        <f>SMALL(E457:M457,COUNTIF(E457:M457,0)+1)</f>
        <v>181</v>
      </c>
      <c r="P457" s="166">
        <v>0</v>
      </c>
      <c r="Q457" s="166">
        <v>0</v>
      </c>
      <c r="R457" s="166">
        <v>0</v>
      </c>
      <c r="S457" s="166">
        <v>0</v>
      </c>
      <c r="T457" s="166">
        <v>0</v>
      </c>
      <c r="U457" s="13">
        <v>0</v>
      </c>
      <c r="V457" s="13">
        <v>0</v>
      </c>
      <c r="W457" s="8" t="s">
        <v>4018</v>
      </c>
      <c r="X457" s="8" t="s">
        <v>51</v>
      </c>
      <c r="Y457" s="2" t="s">
        <v>51</v>
      </c>
      <c r="Z457" s="2" t="s">
        <v>51</v>
      </c>
      <c r="AA457" s="14"/>
      <c r="AB457" s="2" t="s">
        <v>51</v>
      </c>
    </row>
    <row r="458" spans="1:28" ht="30" customHeight="1">
      <c r="A458" s="8" t="s">
        <v>1099</v>
      </c>
      <c r="B458" s="157" t="s">
        <v>1098</v>
      </c>
      <c r="C458" s="157" t="s">
        <v>1010</v>
      </c>
      <c r="D458" s="163" t="s">
        <v>82</v>
      </c>
      <c r="E458" s="164">
        <v>0</v>
      </c>
      <c r="F458" s="165" t="s">
        <v>51</v>
      </c>
      <c r="G458" s="164">
        <v>0</v>
      </c>
      <c r="H458" s="165" t="s">
        <v>51</v>
      </c>
      <c r="I458" s="164">
        <v>1505</v>
      </c>
      <c r="J458" s="165" t="s">
        <v>1984</v>
      </c>
      <c r="K458" s="164">
        <v>0</v>
      </c>
      <c r="L458" s="165" t="s">
        <v>51</v>
      </c>
      <c r="M458" s="164">
        <v>0</v>
      </c>
      <c r="N458" s="165" t="s">
        <v>51</v>
      </c>
      <c r="O458" s="164">
        <f>SMALL(E458:M458,COUNTIF(E458:M458,0)+1)</f>
        <v>1505</v>
      </c>
      <c r="P458" s="166">
        <v>0</v>
      </c>
      <c r="Q458" s="166">
        <v>0</v>
      </c>
      <c r="R458" s="166">
        <v>0</v>
      </c>
      <c r="S458" s="166">
        <v>0</v>
      </c>
      <c r="T458" s="166">
        <v>0</v>
      </c>
      <c r="U458" s="13">
        <v>0</v>
      </c>
      <c r="V458" s="13">
        <v>0</v>
      </c>
      <c r="W458" s="8" t="s">
        <v>4019</v>
      </c>
      <c r="X458" s="8" t="s">
        <v>51</v>
      </c>
      <c r="Y458" s="2" t="s">
        <v>51</v>
      </c>
      <c r="Z458" s="2" t="s">
        <v>51</v>
      </c>
      <c r="AA458" s="14"/>
      <c r="AB458" s="2" t="s">
        <v>51</v>
      </c>
    </row>
    <row r="459" spans="1:28" ht="30" customHeight="1">
      <c r="A459" s="8" t="s">
        <v>1023</v>
      </c>
      <c r="B459" s="157" t="s">
        <v>1022</v>
      </c>
      <c r="C459" s="157" t="s">
        <v>1010</v>
      </c>
      <c r="D459" s="163" t="s">
        <v>82</v>
      </c>
      <c r="E459" s="164">
        <v>0</v>
      </c>
      <c r="F459" s="165" t="s">
        <v>51</v>
      </c>
      <c r="G459" s="164">
        <v>0</v>
      </c>
      <c r="H459" s="165" t="s">
        <v>51</v>
      </c>
      <c r="I459" s="164">
        <v>421</v>
      </c>
      <c r="J459" s="165" t="s">
        <v>2177</v>
      </c>
      <c r="K459" s="164">
        <v>0</v>
      </c>
      <c r="L459" s="165" t="s">
        <v>51</v>
      </c>
      <c r="M459" s="164">
        <v>0</v>
      </c>
      <c r="N459" s="165" t="s">
        <v>51</v>
      </c>
      <c r="O459" s="164">
        <f>SMALL(E459:M459,COUNTIF(E459:M459,0)+1)</f>
        <v>421</v>
      </c>
      <c r="P459" s="166">
        <v>0</v>
      </c>
      <c r="Q459" s="166">
        <v>0</v>
      </c>
      <c r="R459" s="166">
        <v>0</v>
      </c>
      <c r="S459" s="166">
        <v>0</v>
      </c>
      <c r="T459" s="166">
        <v>0</v>
      </c>
      <c r="U459" s="13">
        <v>0</v>
      </c>
      <c r="V459" s="13">
        <v>0</v>
      </c>
      <c r="W459" s="8" t="s">
        <v>4020</v>
      </c>
      <c r="X459" s="8" t="s">
        <v>51</v>
      </c>
      <c r="Y459" s="2" t="s">
        <v>51</v>
      </c>
      <c r="Z459" s="2" t="s">
        <v>51</v>
      </c>
      <c r="AA459" s="14"/>
      <c r="AB459" s="2" t="s">
        <v>51</v>
      </c>
    </row>
    <row r="460" spans="1:28" ht="30" customHeight="1">
      <c r="A460" s="8" t="s">
        <v>1071</v>
      </c>
      <c r="B460" s="157" t="s">
        <v>1070</v>
      </c>
      <c r="C460" s="157" t="s">
        <v>1010</v>
      </c>
      <c r="D460" s="163" t="s">
        <v>82</v>
      </c>
      <c r="E460" s="164">
        <v>0</v>
      </c>
      <c r="F460" s="165" t="s">
        <v>51</v>
      </c>
      <c r="G460" s="164">
        <v>0</v>
      </c>
      <c r="H460" s="165" t="s">
        <v>51</v>
      </c>
      <c r="I460" s="164">
        <v>0</v>
      </c>
      <c r="J460" s="165" t="s">
        <v>51</v>
      </c>
      <c r="K460" s="164">
        <v>0</v>
      </c>
      <c r="L460" s="165" t="s">
        <v>51</v>
      </c>
      <c r="M460" s="164">
        <v>0</v>
      </c>
      <c r="N460" s="165" t="s">
        <v>51</v>
      </c>
      <c r="O460" s="164">
        <v>0</v>
      </c>
      <c r="P460" s="166">
        <v>16317</v>
      </c>
      <c r="Q460" s="166">
        <v>0</v>
      </c>
      <c r="R460" s="166">
        <v>0</v>
      </c>
      <c r="S460" s="166">
        <v>0</v>
      </c>
      <c r="T460" s="166">
        <v>0</v>
      </c>
      <c r="U460" s="13">
        <v>0</v>
      </c>
      <c r="V460" s="13">
        <v>0</v>
      </c>
      <c r="W460" s="8" t="s">
        <v>4021</v>
      </c>
      <c r="X460" s="8" t="s">
        <v>51</v>
      </c>
      <c r="Y460" s="2" t="s">
        <v>51</v>
      </c>
      <c r="Z460" s="2" t="s">
        <v>51</v>
      </c>
      <c r="AA460" s="14"/>
      <c r="AB460" s="2" t="s">
        <v>51</v>
      </c>
    </row>
    <row r="461" spans="1:28" ht="30" customHeight="1">
      <c r="A461" s="8" t="s">
        <v>1136</v>
      </c>
      <c r="B461" s="157" t="s">
        <v>1134</v>
      </c>
      <c r="C461" s="157" t="s">
        <v>1135</v>
      </c>
      <c r="D461" s="163" t="s">
        <v>82</v>
      </c>
      <c r="E461" s="164">
        <v>0</v>
      </c>
      <c r="F461" s="165" t="s">
        <v>51</v>
      </c>
      <c r="G461" s="164">
        <v>0</v>
      </c>
      <c r="H461" s="165" t="s">
        <v>51</v>
      </c>
      <c r="I461" s="164">
        <v>741</v>
      </c>
      <c r="J461" s="165" t="s">
        <v>1994</v>
      </c>
      <c r="K461" s="164">
        <v>0</v>
      </c>
      <c r="L461" s="165" t="s">
        <v>51</v>
      </c>
      <c r="M461" s="164">
        <v>0</v>
      </c>
      <c r="N461" s="165" t="s">
        <v>51</v>
      </c>
      <c r="O461" s="164">
        <f t="shared" ref="O461:O470" si="26">SMALL(E461:M461,COUNTIF(E461:M461,0)+1)</f>
        <v>741</v>
      </c>
      <c r="P461" s="166">
        <v>0</v>
      </c>
      <c r="Q461" s="166">
        <v>0</v>
      </c>
      <c r="R461" s="166">
        <v>0</v>
      </c>
      <c r="S461" s="166">
        <v>0</v>
      </c>
      <c r="T461" s="166">
        <v>0</v>
      </c>
      <c r="U461" s="13">
        <v>0</v>
      </c>
      <c r="V461" s="13">
        <v>0</v>
      </c>
      <c r="W461" s="8" t="s">
        <v>4022</v>
      </c>
      <c r="X461" s="8" t="s">
        <v>51</v>
      </c>
      <c r="Y461" s="2" t="s">
        <v>51</v>
      </c>
      <c r="Z461" s="2" t="s">
        <v>51</v>
      </c>
      <c r="AA461" s="14"/>
      <c r="AB461" s="2" t="s">
        <v>51</v>
      </c>
    </row>
    <row r="462" spans="1:28" ht="30" customHeight="1">
      <c r="A462" s="8" t="s">
        <v>1373</v>
      </c>
      <c r="B462" s="157" t="s">
        <v>1372</v>
      </c>
      <c r="C462" s="157" t="s">
        <v>1135</v>
      </c>
      <c r="D462" s="163" t="s">
        <v>82</v>
      </c>
      <c r="E462" s="164">
        <v>0</v>
      </c>
      <c r="F462" s="165" t="s">
        <v>51</v>
      </c>
      <c r="G462" s="164">
        <v>0</v>
      </c>
      <c r="H462" s="165" t="s">
        <v>51</v>
      </c>
      <c r="I462" s="164">
        <v>2339</v>
      </c>
      <c r="J462" s="165" t="s">
        <v>2181</v>
      </c>
      <c r="K462" s="164">
        <v>0</v>
      </c>
      <c r="L462" s="165" t="s">
        <v>51</v>
      </c>
      <c r="M462" s="164">
        <v>0</v>
      </c>
      <c r="N462" s="165" t="s">
        <v>51</v>
      </c>
      <c r="O462" s="164">
        <f t="shared" si="26"/>
        <v>2339</v>
      </c>
      <c r="P462" s="166">
        <v>0</v>
      </c>
      <c r="Q462" s="166">
        <v>0</v>
      </c>
      <c r="R462" s="166">
        <v>0</v>
      </c>
      <c r="S462" s="166">
        <v>0</v>
      </c>
      <c r="T462" s="166">
        <v>0</v>
      </c>
      <c r="U462" s="13">
        <v>0</v>
      </c>
      <c r="V462" s="13">
        <v>0</v>
      </c>
      <c r="W462" s="8" t="s">
        <v>4023</v>
      </c>
      <c r="X462" s="8" t="s">
        <v>51</v>
      </c>
      <c r="Y462" s="2" t="s">
        <v>51</v>
      </c>
      <c r="Z462" s="2" t="s">
        <v>51</v>
      </c>
      <c r="AA462" s="14"/>
      <c r="AB462" s="2" t="s">
        <v>51</v>
      </c>
    </row>
    <row r="463" spans="1:28" ht="30" customHeight="1">
      <c r="A463" s="8" t="s">
        <v>1375</v>
      </c>
      <c r="B463" s="157" t="s">
        <v>1134</v>
      </c>
      <c r="C463" s="157" t="s">
        <v>1135</v>
      </c>
      <c r="D463" s="163" t="s">
        <v>82</v>
      </c>
      <c r="E463" s="164">
        <v>0</v>
      </c>
      <c r="F463" s="165" t="s">
        <v>51</v>
      </c>
      <c r="G463" s="164">
        <v>0</v>
      </c>
      <c r="H463" s="165" t="s">
        <v>51</v>
      </c>
      <c r="I463" s="164">
        <v>2339</v>
      </c>
      <c r="J463" s="165" t="s">
        <v>1994</v>
      </c>
      <c r="K463" s="164">
        <v>0</v>
      </c>
      <c r="L463" s="165" t="s">
        <v>51</v>
      </c>
      <c r="M463" s="164">
        <v>0</v>
      </c>
      <c r="N463" s="165" t="s">
        <v>51</v>
      </c>
      <c r="O463" s="164">
        <f t="shared" si="26"/>
        <v>2339</v>
      </c>
      <c r="P463" s="166">
        <v>0</v>
      </c>
      <c r="Q463" s="166">
        <v>0</v>
      </c>
      <c r="R463" s="166">
        <v>0</v>
      </c>
      <c r="S463" s="166">
        <v>0</v>
      </c>
      <c r="T463" s="166">
        <v>0</v>
      </c>
      <c r="U463" s="13">
        <v>0</v>
      </c>
      <c r="V463" s="13">
        <v>0</v>
      </c>
      <c r="W463" s="8" t="s">
        <v>4024</v>
      </c>
      <c r="X463" s="8" t="s">
        <v>51</v>
      </c>
      <c r="Y463" s="2" t="s">
        <v>51</v>
      </c>
      <c r="Z463" s="2" t="s">
        <v>51</v>
      </c>
      <c r="AA463" s="14"/>
      <c r="AB463" s="2" t="s">
        <v>51</v>
      </c>
    </row>
    <row r="464" spans="1:28" ht="30" customHeight="1">
      <c r="A464" s="8" t="s">
        <v>1044</v>
      </c>
      <c r="B464" s="157" t="s">
        <v>1043</v>
      </c>
      <c r="C464" s="157" t="s">
        <v>1010</v>
      </c>
      <c r="D464" s="163" t="s">
        <v>82</v>
      </c>
      <c r="E464" s="164">
        <v>0</v>
      </c>
      <c r="F464" s="165" t="s">
        <v>51</v>
      </c>
      <c r="G464" s="164">
        <v>0</v>
      </c>
      <c r="H464" s="165" t="s">
        <v>51</v>
      </c>
      <c r="I464" s="164">
        <v>0</v>
      </c>
      <c r="J464" s="165" t="s">
        <v>51</v>
      </c>
      <c r="K464" s="164">
        <v>181</v>
      </c>
      <c r="L464" s="165" t="s">
        <v>51</v>
      </c>
      <c r="M464" s="164">
        <v>0</v>
      </c>
      <c r="N464" s="165" t="s">
        <v>51</v>
      </c>
      <c r="O464" s="164">
        <f t="shared" si="26"/>
        <v>181</v>
      </c>
      <c r="P464" s="166">
        <v>0</v>
      </c>
      <c r="Q464" s="166">
        <v>0</v>
      </c>
      <c r="R464" s="166">
        <v>0</v>
      </c>
      <c r="S464" s="166">
        <v>0</v>
      </c>
      <c r="T464" s="166">
        <v>0</v>
      </c>
      <c r="U464" s="13">
        <v>0</v>
      </c>
      <c r="V464" s="13">
        <v>0</v>
      </c>
      <c r="W464" s="8" t="s">
        <v>4025</v>
      </c>
      <c r="X464" s="8" t="s">
        <v>51</v>
      </c>
      <c r="Y464" s="2" t="s">
        <v>51</v>
      </c>
      <c r="Z464" s="2" t="s">
        <v>51</v>
      </c>
      <c r="AA464" s="14"/>
      <c r="AB464" s="2" t="s">
        <v>51</v>
      </c>
    </row>
    <row r="465" spans="1:28" ht="30" customHeight="1">
      <c r="A465" s="8" t="s">
        <v>955</v>
      </c>
      <c r="B465" s="157" t="s">
        <v>953</v>
      </c>
      <c r="C465" s="157" t="s">
        <v>954</v>
      </c>
      <c r="D465" s="163" t="s">
        <v>140</v>
      </c>
      <c r="E465" s="164">
        <v>20830</v>
      </c>
      <c r="F465" s="165" t="s">
        <v>51</v>
      </c>
      <c r="G465" s="164">
        <v>20400</v>
      </c>
      <c r="H465" s="165" t="s">
        <v>2185</v>
      </c>
      <c r="I465" s="164">
        <v>0</v>
      </c>
      <c r="J465" s="165" t="s">
        <v>51</v>
      </c>
      <c r="K465" s="164">
        <v>0</v>
      </c>
      <c r="L465" s="165" t="s">
        <v>51</v>
      </c>
      <c r="M465" s="164">
        <v>0</v>
      </c>
      <c r="N465" s="165" t="s">
        <v>51</v>
      </c>
      <c r="O465" s="164">
        <f t="shared" si="26"/>
        <v>20400</v>
      </c>
      <c r="P465" s="166">
        <v>0</v>
      </c>
      <c r="Q465" s="166">
        <v>0</v>
      </c>
      <c r="R465" s="166">
        <v>0</v>
      </c>
      <c r="S465" s="166">
        <v>0</v>
      </c>
      <c r="T465" s="166">
        <v>0</v>
      </c>
      <c r="U465" s="13">
        <v>0</v>
      </c>
      <c r="V465" s="13">
        <v>0</v>
      </c>
      <c r="W465" s="8" t="s">
        <v>4026</v>
      </c>
      <c r="X465" s="8" t="s">
        <v>51</v>
      </c>
      <c r="Y465" s="2" t="s">
        <v>51</v>
      </c>
      <c r="Z465" s="2" t="s">
        <v>51</v>
      </c>
      <c r="AA465" s="14"/>
      <c r="AB465" s="2" t="s">
        <v>51</v>
      </c>
    </row>
    <row r="466" spans="1:28" ht="30" customHeight="1">
      <c r="A466" s="8" t="s">
        <v>958</v>
      </c>
      <c r="B466" s="157" t="s">
        <v>953</v>
      </c>
      <c r="C466" s="157" t="s">
        <v>957</v>
      </c>
      <c r="D466" s="163" t="s">
        <v>140</v>
      </c>
      <c r="E466" s="164">
        <v>6640</v>
      </c>
      <c r="F466" s="165" t="s">
        <v>51</v>
      </c>
      <c r="G466" s="164">
        <v>6100</v>
      </c>
      <c r="H466" s="165" t="s">
        <v>2185</v>
      </c>
      <c r="I466" s="164">
        <v>0</v>
      </c>
      <c r="J466" s="165" t="s">
        <v>51</v>
      </c>
      <c r="K466" s="164">
        <v>0</v>
      </c>
      <c r="L466" s="165" t="s">
        <v>51</v>
      </c>
      <c r="M466" s="164">
        <v>0</v>
      </c>
      <c r="N466" s="165" t="s">
        <v>51</v>
      </c>
      <c r="O466" s="164">
        <f t="shared" si="26"/>
        <v>6100</v>
      </c>
      <c r="P466" s="166">
        <v>0</v>
      </c>
      <c r="Q466" s="166">
        <v>0</v>
      </c>
      <c r="R466" s="166">
        <v>0</v>
      </c>
      <c r="S466" s="166">
        <v>0</v>
      </c>
      <c r="T466" s="166">
        <v>0</v>
      </c>
      <c r="U466" s="13">
        <v>0</v>
      </c>
      <c r="V466" s="13">
        <v>0</v>
      </c>
      <c r="W466" s="8" t="s">
        <v>4027</v>
      </c>
      <c r="X466" s="8" t="s">
        <v>51</v>
      </c>
      <c r="Y466" s="2" t="s">
        <v>51</v>
      </c>
      <c r="Z466" s="2" t="s">
        <v>51</v>
      </c>
      <c r="AA466" s="14"/>
      <c r="AB466" s="2" t="s">
        <v>51</v>
      </c>
    </row>
    <row r="467" spans="1:28" ht="30" customHeight="1">
      <c r="A467" s="8" t="s">
        <v>961</v>
      </c>
      <c r="B467" s="157" t="s">
        <v>953</v>
      </c>
      <c r="C467" s="157" t="s">
        <v>960</v>
      </c>
      <c r="D467" s="163" t="s">
        <v>140</v>
      </c>
      <c r="E467" s="164">
        <v>0</v>
      </c>
      <c r="F467" s="165" t="s">
        <v>51</v>
      </c>
      <c r="G467" s="164">
        <v>14900</v>
      </c>
      <c r="H467" s="165" t="s">
        <v>2185</v>
      </c>
      <c r="I467" s="164">
        <v>0</v>
      </c>
      <c r="J467" s="165" t="s">
        <v>51</v>
      </c>
      <c r="K467" s="164">
        <v>0</v>
      </c>
      <c r="L467" s="165" t="s">
        <v>51</v>
      </c>
      <c r="M467" s="164">
        <v>0</v>
      </c>
      <c r="N467" s="165" t="s">
        <v>51</v>
      </c>
      <c r="O467" s="164">
        <f t="shared" si="26"/>
        <v>14900</v>
      </c>
      <c r="P467" s="166">
        <v>0</v>
      </c>
      <c r="Q467" s="166">
        <v>0</v>
      </c>
      <c r="R467" s="166">
        <v>0</v>
      </c>
      <c r="S467" s="166">
        <v>0</v>
      </c>
      <c r="T467" s="166">
        <v>0</v>
      </c>
      <c r="U467" s="13">
        <v>0</v>
      </c>
      <c r="V467" s="13">
        <v>0</v>
      </c>
      <c r="W467" s="8" t="s">
        <v>4028</v>
      </c>
      <c r="X467" s="8" t="s">
        <v>51</v>
      </c>
      <c r="Y467" s="2" t="s">
        <v>51</v>
      </c>
      <c r="Z467" s="2" t="s">
        <v>51</v>
      </c>
      <c r="AA467" s="14"/>
      <c r="AB467" s="2" t="s">
        <v>51</v>
      </c>
    </row>
    <row r="468" spans="1:28" ht="30" customHeight="1">
      <c r="A468" s="8" t="s">
        <v>967</v>
      </c>
      <c r="B468" s="157" t="s">
        <v>953</v>
      </c>
      <c r="C468" s="157" t="s">
        <v>966</v>
      </c>
      <c r="D468" s="163" t="s">
        <v>140</v>
      </c>
      <c r="E468" s="164">
        <v>10800</v>
      </c>
      <c r="F468" s="165" t="s">
        <v>51</v>
      </c>
      <c r="G468" s="164">
        <v>0</v>
      </c>
      <c r="H468" s="165" t="s">
        <v>51</v>
      </c>
      <c r="I468" s="164">
        <v>0</v>
      </c>
      <c r="J468" s="165" t="s">
        <v>51</v>
      </c>
      <c r="K468" s="164">
        <v>0</v>
      </c>
      <c r="L468" s="165" t="s">
        <v>51</v>
      </c>
      <c r="M468" s="164">
        <v>0</v>
      </c>
      <c r="N468" s="165" t="s">
        <v>51</v>
      </c>
      <c r="O468" s="164">
        <f t="shared" si="26"/>
        <v>10800</v>
      </c>
      <c r="P468" s="166">
        <v>0</v>
      </c>
      <c r="Q468" s="166">
        <v>0</v>
      </c>
      <c r="R468" s="166">
        <v>0</v>
      </c>
      <c r="S468" s="166">
        <v>0</v>
      </c>
      <c r="T468" s="166">
        <v>0</v>
      </c>
      <c r="U468" s="13">
        <v>0</v>
      </c>
      <c r="V468" s="13">
        <v>0</v>
      </c>
      <c r="W468" s="8" t="s">
        <v>4029</v>
      </c>
      <c r="X468" s="8" t="s">
        <v>51</v>
      </c>
      <c r="Y468" s="2" t="s">
        <v>51</v>
      </c>
      <c r="Z468" s="2" t="s">
        <v>51</v>
      </c>
      <c r="AA468" s="14"/>
      <c r="AB468" s="2" t="s">
        <v>51</v>
      </c>
    </row>
    <row r="469" spans="1:28" ht="30" customHeight="1">
      <c r="A469" s="8" t="s">
        <v>970</v>
      </c>
      <c r="B469" s="157" t="s">
        <v>953</v>
      </c>
      <c r="C469" s="157" t="s">
        <v>969</v>
      </c>
      <c r="D469" s="163" t="s">
        <v>140</v>
      </c>
      <c r="E469" s="164">
        <v>13500</v>
      </c>
      <c r="F469" s="165" t="s">
        <v>51</v>
      </c>
      <c r="G469" s="164">
        <v>0</v>
      </c>
      <c r="H469" s="165" t="s">
        <v>51</v>
      </c>
      <c r="I469" s="164">
        <v>0</v>
      </c>
      <c r="J469" s="165" t="s">
        <v>51</v>
      </c>
      <c r="K469" s="164">
        <v>0</v>
      </c>
      <c r="L469" s="165" t="s">
        <v>51</v>
      </c>
      <c r="M469" s="164">
        <v>0</v>
      </c>
      <c r="N469" s="165" t="s">
        <v>51</v>
      </c>
      <c r="O469" s="164">
        <f t="shared" si="26"/>
        <v>13500</v>
      </c>
      <c r="P469" s="166">
        <v>0</v>
      </c>
      <c r="Q469" s="166">
        <v>0</v>
      </c>
      <c r="R469" s="166">
        <v>0</v>
      </c>
      <c r="S469" s="166">
        <v>0</v>
      </c>
      <c r="T469" s="166">
        <v>0</v>
      </c>
      <c r="U469" s="13">
        <v>0</v>
      </c>
      <c r="V469" s="13">
        <v>0</v>
      </c>
      <c r="W469" s="8" t="s">
        <v>4030</v>
      </c>
      <c r="X469" s="8" t="s">
        <v>51</v>
      </c>
      <c r="Y469" s="2" t="s">
        <v>51</v>
      </c>
      <c r="Z469" s="2" t="s">
        <v>51</v>
      </c>
      <c r="AA469" s="14"/>
      <c r="AB469" s="2" t="s">
        <v>51</v>
      </c>
    </row>
    <row r="470" spans="1:28" ht="30" customHeight="1">
      <c r="A470" s="8" t="s">
        <v>964</v>
      </c>
      <c r="B470" s="157" t="s">
        <v>953</v>
      </c>
      <c r="C470" s="157" t="s">
        <v>963</v>
      </c>
      <c r="D470" s="163" t="s">
        <v>140</v>
      </c>
      <c r="E470" s="164">
        <v>7000</v>
      </c>
      <c r="F470" s="165" t="s">
        <v>51</v>
      </c>
      <c r="G470" s="164">
        <v>0</v>
      </c>
      <c r="H470" s="165" t="s">
        <v>51</v>
      </c>
      <c r="I470" s="164">
        <v>0</v>
      </c>
      <c r="J470" s="165" t="s">
        <v>51</v>
      </c>
      <c r="K470" s="164">
        <v>0</v>
      </c>
      <c r="L470" s="165" t="s">
        <v>51</v>
      </c>
      <c r="M470" s="164">
        <v>0</v>
      </c>
      <c r="N470" s="165" t="s">
        <v>51</v>
      </c>
      <c r="O470" s="164">
        <f t="shared" si="26"/>
        <v>7000</v>
      </c>
      <c r="P470" s="166">
        <v>0</v>
      </c>
      <c r="Q470" s="166">
        <v>0</v>
      </c>
      <c r="R470" s="166">
        <v>0</v>
      </c>
      <c r="S470" s="166">
        <v>0</v>
      </c>
      <c r="T470" s="166">
        <v>0</v>
      </c>
      <c r="U470" s="13">
        <v>0</v>
      </c>
      <c r="V470" s="13">
        <v>0</v>
      </c>
      <c r="W470" s="8" t="s">
        <v>4031</v>
      </c>
      <c r="X470" s="8" t="s">
        <v>51</v>
      </c>
      <c r="Y470" s="2" t="s">
        <v>51</v>
      </c>
      <c r="Z470" s="2" t="s">
        <v>51</v>
      </c>
      <c r="AA470" s="14"/>
      <c r="AB470" s="2" t="s">
        <v>51</v>
      </c>
    </row>
    <row r="471" spans="1:28" ht="30" customHeight="1">
      <c r="A471" s="8" t="s">
        <v>973</v>
      </c>
      <c r="B471" s="157" t="s">
        <v>953</v>
      </c>
      <c r="C471" s="157" t="s">
        <v>972</v>
      </c>
      <c r="D471" s="163" t="s">
        <v>140</v>
      </c>
      <c r="E471" s="164">
        <v>0</v>
      </c>
      <c r="F471" s="165" t="s">
        <v>51</v>
      </c>
      <c r="G471" s="164">
        <v>9900</v>
      </c>
      <c r="H471" s="165" t="s">
        <v>2185</v>
      </c>
      <c r="I471" s="164">
        <v>0</v>
      </c>
      <c r="J471" s="165" t="s">
        <v>51</v>
      </c>
      <c r="K471" s="164">
        <v>0</v>
      </c>
      <c r="L471" s="165" t="s">
        <v>51</v>
      </c>
      <c r="M471" s="164">
        <v>0</v>
      </c>
      <c r="N471" s="165" t="s">
        <v>51</v>
      </c>
      <c r="O471" s="164">
        <f>SMALL(E471:M471,COUNTIF(E471:M471,0)+1)</f>
        <v>9900</v>
      </c>
      <c r="P471" s="166">
        <v>0</v>
      </c>
      <c r="Q471" s="166">
        <v>0</v>
      </c>
      <c r="R471" s="166">
        <v>0</v>
      </c>
      <c r="S471" s="166">
        <v>0</v>
      </c>
      <c r="T471" s="166">
        <v>0</v>
      </c>
      <c r="U471" s="13">
        <v>0</v>
      </c>
      <c r="V471" s="13">
        <v>0</v>
      </c>
      <c r="W471" s="8" t="s">
        <v>4032</v>
      </c>
      <c r="X471" s="8" t="s">
        <v>51</v>
      </c>
      <c r="Y471" s="2" t="s">
        <v>51</v>
      </c>
      <c r="Z471" s="2" t="s">
        <v>51</v>
      </c>
      <c r="AA471" s="14"/>
      <c r="AB471" s="2" t="s">
        <v>51</v>
      </c>
    </row>
    <row r="472" spans="1:28" ht="30" customHeight="1">
      <c r="A472" s="8" t="s">
        <v>976</v>
      </c>
      <c r="B472" s="157" t="s">
        <v>953</v>
      </c>
      <c r="C472" s="157" t="s">
        <v>975</v>
      </c>
      <c r="D472" s="163" t="s">
        <v>140</v>
      </c>
      <c r="E472" s="164">
        <v>0</v>
      </c>
      <c r="F472" s="165" t="s">
        <v>51</v>
      </c>
      <c r="G472" s="164">
        <v>7200</v>
      </c>
      <c r="H472" s="165" t="s">
        <v>2185</v>
      </c>
      <c r="I472" s="164">
        <v>0</v>
      </c>
      <c r="J472" s="165" t="s">
        <v>51</v>
      </c>
      <c r="K472" s="164">
        <v>0</v>
      </c>
      <c r="L472" s="165" t="s">
        <v>51</v>
      </c>
      <c r="M472" s="164">
        <v>0</v>
      </c>
      <c r="N472" s="165" t="s">
        <v>51</v>
      </c>
      <c r="O472" s="164">
        <f>SMALL(E472:M472,COUNTIF(E472:M472,0)+1)</f>
        <v>7200</v>
      </c>
      <c r="P472" s="166">
        <v>0</v>
      </c>
      <c r="Q472" s="166">
        <v>0</v>
      </c>
      <c r="R472" s="166">
        <v>0</v>
      </c>
      <c r="S472" s="166">
        <v>0</v>
      </c>
      <c r="T472" s="166">
        <v>0</v>
      </c>
      <c r="U472" s="13">
        <v>0</v>
      </c>
      <c r="V472" s="13">
        <v>0</v>
      </c>
      <c r="W472" s="8" t="s">
        <v>4033</v>
      </c>
      <c r="X472" s="8" t="s">
        <v>51</v>
      </c>
      <c r="Y472" s="2" t="s">
        <v>51</v>
      </c>
      <c r="Z472" s="2" t="s">
        <v>51</v>
      </c>
      <c r="AA472" s="14"/>
      <c r="AB472" s="2" t="s">
        <v>51</v>
      </c>
    </row>
    <row r="473" spans="1:28" ht="30" customHeight="1">
      <c r="A473" s="8" t="s">
        <v>980</v>
      </c>
      <c r="B473" s="157" t="s">
        <v>953</v>
      </c>
      <c r="C473" s="157" t="s">
        <v>978</v>
      </c>
      <c r="D473" s="163" t="s">
        <v>979</v>
      </c>
      <c r="E473" s="164">
        <v>2000</v>
      </c>
      <c r="F473" s="165" t="s">
        <v>51</v>
      </c>
      <c r="G473" s="164">
        <v>0</v>
      </c>
      <c r="H473" s="165" t="s">
        <v>51</v>
      </c>
      <c r="I473" s="164">
        <v>0</v>
      </c>
      <c r="J473" s="165" t="s">
        <v>51</v>
      </c>
      <c r="K473" s="164">
        <v>0</v>
      </c>
      <c r="L473" s="165" t="s">
        <v>51</v>
      </c>
      <c r="M473" s="164">
        <v>0</v>
      </c>
      <c r="N473" s="165" t="s">
        <v>51</v>
      </c>
      <c r="O473" s="164">
        <f>SMALL(E473:M473,COUNTIF(E473:M473,0)+1)</f>
        <v>2000</v>
      </c>
      <c r="P473" s="166">
        <v>0</v>
      </c>
      <c r="Q473" s="166">
        <v>0</v>
      </c>
      <c r="R473" s="166">
        <v>0</v>
      </c>
      <c r="S473" s="166">
        <v>0</v>
      </c>
      <c r="T473" s="166">
        <v>0</v>
      </c>
      <c r="U473" s="13">
        <v>0</v>
      </c>
      <c r="V473" s="13">
        <v>0</v>
      </c>
      <c r="W473" s="8" t="s">
        <v>4034</v>
      </c>
      <c r="X473" s="8" t="s">
        <v>51</v>
      </c>
      <c r="Y473" s="2" t="s">
        <v>51</v>
      </c>
      <c r="Z473" s="2" t="s">
        <v>51</v>
      </c>
      <c r="AA473" s="14"/>
      <c r="AB473" s="2" t="s">
        <v>51</v>
      </c>
    </row>
    <row r="474" spans="1:28" ht="30" customHeight="1">
      <c r="A474" s="8" t="s">
        <v>1152</v>
      </c>
      <c r="B474" s="157" t="s">
        <v>1118</v>
      </c>
      <c r="C474" s="157" t="s">
        <v>1151</v>
      </c>
      <c r="D474" s="163" t="s">
        <v>993</v>
      </c>
      <c r="E474" s="164">
        <v>1105</v>
      </c>
      <c r="F474" s="165" t="s">
        <v>51</v>
      </c>
      <c r="G474" s="164">
        <v>1162.8</v>
      </c>
      <c r="H474" s="165" t="s">
        <v>2188</v>
      </c>
      <c r="I474" s="164">
        <v>1386.4</v>
      </c>
      <c r="J474" s="165" t="s">
        <v>2189</v>
      </c>
      <c r="K474" s="164">
        <v>0</v>
      </c>
      <c r="L474" s="165" t="s">
        <v>51</v>
      </c>
      <c r="M474" s="164">
        <v>0</v>
      </c>
      <c r="N474" s="165" t="s">
        <v>51</v>
      </c>
      <c r="O474" s="164">
        <f t="shared" ref="O474:O493" si="27">SMALL(E474:M474,COUNTIF(E474:M474,0)+1)</f>
        <v>1105</v>
      </c>
      <c r="P474" s="166">
        <v>0</v>
      </c>
      <c r="Q474" s="166">
        <v>0</v>
      </c>
      <c r="R474" s="166">
        <v>0</v>
      </c>
      <c r="S474" s="166">
        <v>0</v>
      </c>
      <c r="T474" s="166">
        <v>0</v>
      </c>
      <c r="U474" s="13">
        <v>0</v>
      </c>
      <c r="V474" s="13">
        <v>0</v>
      </c>
      <c r="W474" s="8" t="s">
        <v>4035</v>
      </c>
      <c r="X474" s="8" t="s">
        <v>51</v>
      </c>
      <c r="Y474" s="2" t="s">
        <v>51</v>
      </c>
      <c r="Z474" s="2" t="s">
        <v>51</v>
      </c>
      <c r="AA474" s="14"/>
      <c r="AB474" s="2" t="s">
        <v>51</v>
      </c>
    </row>
    <row r="475" spans="1:28" ht="30" customHeight="1">
      <c r="A475" s="8" t="s">
        <v>1120</v>
      </c>
      <c r="B475" s="157" t="s">
        <v>1118</v>
      </c>
      <c r="C475" s="157" t="s">
        <v>1119</v>
      </c>
      <c r="D475" s="163" t="s">
        <v>140</v>
      </c>
      <c r="E475" s="164">
        <v>0</v>
      </c>
      <c r="F475" s="165" t="s">
        <v>51</v>
      </c>
      <c r="G475" s="164">
        <v>0</v>
      </c>
      <c r="H475" s="165" t="s">
        <v>51</v>
      </c>
      <c r="I475" s="164">
        <v>6.3</v>
      </c>
      <c r="J475" s="165" t="s">
        <v>2191</v>
      </c>
      <c r="K475" s="164">
        <v>0</v>
      </c>
      <c r="L475" s="165" t="s">
        <v>51</v>
      </c>
      <c r="M475" s="164">
        <v>0</v>
      </c>
      <c r="N475" s="165" t="s">
        <v>51</v>
      </c>
      <c r="O475" s="164">
        <f t="shared" si="27"/>
        <v>6.3</v>
      </c>
      <c r="P475" s="166">
        <v>0</v>
      </c>
      <c r="Q475" s="166">
        <v>0</v>
      </c>
      <c r="R475" s="166">
        <v>0</v>
      </c>
      <c r="S475" s="166">
        <v>0</v>
      </c>
      <c r="T475" s="166">
        <v>0</v>
      </c>
      <c r="U475" s="13">
        <v>0</v>
      </c>
      <c r="V475" s="13">
        <v>0</v>
      </c>
      <c r="W475" s="8" t="s">
        <v>4036</v>
      </c>
      <c r="X475" s="8" t="s">
        <v>51</v>
      </c>
      <c r="Y475" s="2" t="s">
        <v>51</v>
      </c>
      <c r="Z475" s="2" t="s">
        <v>51</v>
      </c>
      <c r="AA475" s="14"/>
      <c r="AB475" s="2" t="s">
        <v>51</v>
      </c>
    </row>
    <row r="476" spans="1:28" ht="30" customHeight="1">
      <c r="A476" s="8" t="s">
        <v>1882</v>
      </c>
      <c r="B476" s="157" t="s">
        <v>1118</v>
      </c>
      <c r="C476" s="157" t="s">
        <v>1881</v>
      </c>
      <c r="D476" s="163" t="s">
        <v>993</v>
      </c>
      <c r="E476" s="164">
        <v>1105</v>
      </c>
      <c r="F476" s="165" t="s">
        <v>51</v>
      </c>
      <c r="G476" s="164">
        <v>1162.8</v>
      </c>
      <c r="H476" s="165" t="s">
        <v>2188</v>
      </c>
      <c r="I476" s="164">
        <v>1386.4</v>
      </c>
      <c r="J476" s="165" t="s">
        <v>2189</v>
      </c>
      <c r="K476" s="164">
        <v>0</v>
      </c>
      <c r="L476" s="165" t="s">
        <v>51</v>
      </c>
      <c r="M476" s="164">
        <v>0</v>
      </c>
      <c r="N476" s="165" t="s">
        <v>51</v>
      </c>
      <c r="O476" s="164">
        <f t="shared" si="27"/>
        <v>1105</v>
      </c>
      <c r="P476" s="166">
        <v>0</v>
      </c>
      <c r="Q476" s="166">
        <v>0</v>
      </c>
      <c r="R476" s="166">
        <v>0</v>
      </c>
      <c r="S476" s="166">
        <v>0</v>
      </c>
      <c r="T476" s="166">
        <v>0</v>
      </c>
      <c r="U476" s="13">
        <v>0</v>
      </c>
      <c r="V476" s="13">
        <v>0</v>
      </c>
      <c r="W476" s="8" t="s">
        <v>4037</v>
      </c>
      <c r="X476" s="8" t="s">
        <v>51</v>
      </c>
      <c r="Y476" s="2" t="s">
        <v>51</v>
      </c>
      <c r="Z476" s="2" t="s">
        <v>51</v>
      </c>
      <c r="AA476" s="14"/>
      <c r="AB476" s="2" t="s">
        <v>51</v>
      </c>
    </row>
    <row r="477" spans="1:28" ht="30" customHeight="1">
      <c r="A477" s="8" t="s">
        <v>1124</v>
      </c>
      <c r="B477" s="157" t="s">
        <v>1122</v>
      </c>
      <c r="C477" s="157" t="s">
        <v>1123</v>
      </c>
      <c r="D477" s="163" t="s">
        <v>398</v>
      </c>
      <c r="E477" s="164">
        <v>0</v>
      </c>
      <c r="F477" s="165" t="s">
        <v>51</v>
      </c>
      <c r="G477" s="164">
        <v>0</v>
      </c>
      <c r="H477" s="165" t="s">
        <v>51</v>
      </c>
      <c r="I477" s="164">
        <v>250</v>
      </c>
      <c r="J477" s="165" t="s">
        <v>1994</v>
      </c>
      <c r="K477" s="164">
        <v>0</v>
      </c>
      <c r="L477" s="165" t="s">
        <v>51</v>
      </c>
      <c r="M477" s="164">
        <v>0</v>
      </c>
      <c r="N477" s="165" t="s">
        <v>51</v>
      </c>
      <c r="O477" s="164">
        <f t="shared" si="27"/>
        <v>250</v>
      </c>
      <c r="P477" s="166">
        <v>0</v>
      </c>
      <c r="Q477" s="166">
        <v>0</v>
      </c>
      <c r="R477" s="166">
        <v>0</v>
      </c>
      <c r="S477" s="166">
        <v>0</v>
      </c>
      <c r="T477" s="166">
        <v>0</v>
      </c>
      <c r="U477" s="13">
        <v>0</v>
      </c>
      <c r="V477" s="13">
        <v>0</v>
      </c>
      <c r="W477" s="8" t="s">
        <v>4038</v>
      </c>
      <c r="X477" s="8" t="s">
        <v>51</v>
      </c>
      <c r="Y477" s="2" t="s">
        <v>51</v>
      </c>
      <c r="Z477" s="2" t="s">
        <v>51</v>
      </c>
      <c r="AA477" s="14"/>
      <c r="AB477" s="2" t="s">
        <v>51</v>
      </c>
    </row>
    <row r="478" spans="1:28" ht="30" customHeight="1">
      <c r="A478" s="8" t="s">
        <v>378</v>
      </c>
      <c r="B478" s="157" t="s">
        <v>375</v>
      </c>
      <c r="C478" s="157" t="s">
        <v>376</v>
      </c>
      <c r="D478" s="163" t="s">
        <v>377</v>
      </c>
      <c r="E478" s="164">
        <v>193100</v>
      </c>
      <c r="F478" s="165" t="s">
        <v>51</v>
      </c>
      <c r="G478" s="164">
        <v>220000</v>
      </c>
      <c r="H478" s="165" t="s">
        <v>2195</v>
      </c>
      <c r="I478" s="164">
        <v>220000</v>
      </c>
      <c r="J478" s="165" t="s">
        <v>2196</v>
      </c>
      <c r="K478" s="164">
        <v>0</v>
      </c>
      <c r="L478" s="165" t="s">
        <v>51</v>
      </c>
      <c r="M478" s="164">
        <v>0</v>
      </c>
      <c r="N478" s="165" t="s">
        <v>51</v>
      </c>
      <c r="O478" s="164">
        <f t="shared" si="27"/>
        <v>193100</v>
      </c>
      <c r="P478" s="166">
        <v>0</v>
      </c>
      <c r="Q478" s="166">
        <v>0</v>
      </c>
      <c r="R478" s="166">
        <v>0</v>
      </c>
      <c r="S478" s="166">
        <v>0</v>
      </c>
      <c r="T478" s="166">
        <v>0</v>
      </c>
      <c r="U478" s="13">
        <v>0</v>
      </c>
      <c r="V478" s="13">
        <v>0</v>
      </c>
      <c r="W478" s="8" t="s">
        <v>4039</v>
      </c>
      <c r="X478" s="8" t="s">
        <v>51</v>
      </c>
      <c r="Y478" s="2" t="s">
        <v>51</v>
      </c>
      <c r="Z478" s="2" t="s">
        <v>51</v>
      </c>
      <c r="AA478" s="14"/>
      <c r="AB478" s="2" t="s">
        <v>51</v>
      </c>
    </row>
    <row r="479" spans="1:28" ht="30" customHeight="1">
      <c r="A479" s="8" t="s">
        <v>813</v>
      </c>
      <c r="B479" s="157" t="s">
        <v>811</v>
      </c>
      <c r="C479" s="157" t="s">
        <v>812</v>
      </c>
      <c r="D479" s="163" t="s">
        <v>321</v>
      </c>
      <c r="E479" s="164">
        <v>0</v>
      </c>
      <c r="F479" s="165" t="s">
        <v>51</v>
      </c>
      <c r="G479" s="164">
        <v>0</v>
      </c>
      <c r="H479" s="165" t="s">
        <v>51</v>
      </c>
      <c r="I479" s="164">
        <v>0</v>
      </c>
      <c r="J479" s="165" t="s">
        <v>51</v>
      </c>
      <c r="K479" s="164">
        <v>12000</v>
      </c>
      <c r="L479" s="165" t="s">
        <v>51</v>
      </c>
      <c r="M479" s="164">
        <v>14200</v>
      </c>
      <c r="N479" s="165"/>
      <c r="O479" s="164">
        <f t="shared" si="27"/>
        <v>12000</v>
      </c>
      <c r="P479" s="166">
        <v>0</v>
      </c>
      <c r="Q479" s="166">
        <v>0</v>
      </c>
      <c r="R479" s="166">
        <v>0</v>
      </c>
      <c r="S479" s="166">
        <v>0</v>
      </c>
      <c r="T479" s="166">
        <v>0</v>
      </c>
      <c r="U479" s="13">
        <v>0</v>
      </c>
      <c r="V479" s="13">
        <v>0</v>
      </c>
      <c r="W479" s="8" t="s">
        <v>4040</v>
      </c>
      <c r="X479" s="8" t="s">
        <v>51</v>
      </c>
      <c r="Y479" s="2" t="s">
        <v>51</v>
      </c>
      <c r="Z479" s="2" t="s">
        <v>51</v>
      </c>
      <c r="AA479" s="14"/>
      <c r="AB479" s="2" t="s">
        <v>51</v>
      </c>
    </row>
    <row r="480" spans="1:28" ht="30" customHeight="1">
      <c r="A480" s="8" t="s">
        <v>816</v>
      </c>
      <c r="B480" s="157" t="s">
        <v>815</v>
      </c>
      <c r="C480" s="157" t="s">
        <v>812</v>
      </c>
      <c r="D480" s="163" t="s">
        <v>321</v>
      </c>
      <c r="E480" s="164">
        <v>0</v>
      </c>
      <c r="F480" s="165" t="s">
        <v>51</v>
      </c>
      <c r="G480" s="164">
        <v>0</v>
      </c>
      <c r="H480" s="165" t="s">
        <v>51</v>
      </c>
      <c r="I480" s="164">
        <v>0</v>
      </c>
      <c r="J480" s="165" t="s">
        <v>51</v>
      </c>
      <c r="K480" s="164">
        <v>28000</v>
      </c>
      <c r="L480" s="165" t="s">
        <v>51</v>
      </c>
      <c r="M480" s="164">
        <v>32000</v>
      </c>
      <c r="N480" s="165"/>
      <c r="O480" s="164">
        <f t="shared" si="27"/>
        <v>28000</v>
      </c>
      <c r="P480" s="166">
        <v>0</v>
      </c>
      <c r="Q480" s="166">
        <v>0</v>
      </c>
      <c r="R480" s="166">
        <v>0</v>
      </c>
      <c r="S480" s="166">
        <v>0</v>
      </c>
      <c r="T480" s="166">
        <v>0</v>
      </c>
      <c r="U480" s="13">
        <v>0</v>
      </c>
      <c r="V480" s="13">
        <v>0</v>
      </c>
      <c r="W480" s="8" t="s">
        <v>4041</v>
      </c>
      <c r="X480" s="8" t="s">
        <v>51</v>
      </c>
      <c r="Y480" s="2" t="s">
        <v>51</v>
      </c>
      <c r="Z480" s="2" t="s">
        <v>51</v>
      </c>
      <c r="AA480" s="14"/>
      <c r="AB480" s="2" t="s">
        <v>51</v>
      </c>
    </row>
    <row r="481" spans="1:28" ht="30" customHeight="1">
      <c r="A481" s="8" t="s">
        <v>399</v>
      </c>
      <c r="B481" s="157" t="s">
        <v>396</v>
      </c>
      <c r="C481" s="157" t="s">
        <v>397</v>
      </c>
      <c r="D481" s="163" t="s">
        <v>398</v>
      </c>
      <c r="E481" s="164">
        <v>0</v>
      </c>
      <c r="F481" s="165" t="s">
        <v>51</v>
      </c>
      <c r="G481" s="164">
        <v>18000</v>
      </c>
      <c r="H481" s="165" t="s">
        <v>51</v>
      </c>
      <c r="I481" s="164">
        <v>0</v>
      </c>
      <c r="J481" s="165" t="s">
        <v>51</v>
      </c>
      <c r="K481" s="164"/>
      <c r="L481" s="165" t="s">
        <v>51</v>
      </c>
      <c r="M481" s="164">
        <v>0</v>
      </c>
      <c r="N481" s="165" t="s">
        <v>51</v>
      </c>
      <c r="O481" s="164">
        <f t="shared" si="27"/>
        <v>18000</v>
      </c>
      <c r="P481" s="166">
        <v>0</v>
      </c>
      <c r="Q481" s="166">
        <v>0</v>
      </c>
      <c r="R481" s="166">
        <v>0</v>
      </c>
      <c r="S481" s="166">
        <v>0</v>
      </c>
      <c r="T481" s="166">
        <v>0</v>
      </c>
      <c r="U481" s="13">
        <v>0</v>
      </c>
      <c r="V481" s="13">
        <v>0</v>
      </c>
      <c r="W481" s="8" t="s">
        <v>4042</v>
      </c>
      <c r="X481" s="8" t="s">
        <v>51</v>
      </c>
      <c r="Y481" s="2" t="s">
        <v>51</v>
      </c>
      <c r="Z481" s="2" t="s">
        <v>51</v>
      </c>
      <c r="AA481" s="14"/>
      <c r="AB481" s="2" t="s">
        <v>51</v>
      </c>
    </row>
    <row r="482" spans="1:28" ht="30" customHeight="1">
      <c r="A482" s="8" t="s">
        <v>381</v>
      </c>
      <c r="B482" s="157" t="s">
        <v>380</v>
      </c>
      <c r="C482" s="157" t="s">
        <v>208</v>
      </c>
      <c r="D482" s="163" t="s">
        <v>321</v>
      </c>
      <c r="E482" s="164">
        <v>0</v>
      </c>
      <c r="F482" s="165" t="s">
        <v>51</v>
      </c>
      <c r="G482" s="164">
        <v>120000</v>
      </c>
      <c r="H482" s="165" t="s">
        <v>51</v>
      </c>
      <c r="I482" s="164">
        <v>0</v>
      </c>
      <c r="J482" s="165" t="s">
        <v>51</v>
      </c>
      <c r="K482" s="164">
        <v>0</v>
      </c>
      <c r="L482" s="165" t="s">
        <v>51</v>
      </c>
      <c r="M482" s="164">
        <v>0</v>
      </c>
      <c r="N482" s="165" t="s">
        <v>51</v>
      </c>
      <c r="O482" s="164">
        <f t="shared" si="27"/>
        <v>120000</v>
      </c>
      <c r="P482" s="166">
        <v>0</v>
      </c>
      <c r="Q482" s="166">
        <v>0</v>
      </c>
      <c r="R482" s="166">
        <v>0</v>
      </c>
      <c r="S482" s="166">
        <v>0</v>
      </c>
      <c r="T482" s="166">
        <v>0</v>
      </c>
      <c r="U482" s="13">
        <v>0</v>
      </c>
      <c r="V482" s="13">
        <v>0</v>
      </c>
      <c r="W482" s="8" t="s">
        <v>4043</v>
      </c>
      <c r="X482" s="8" t="s">
        <v>51</v>
      </c>
      <c r="Y482" s="2" t="s">
        <v>51</v>
      </c>
      <c r="Z482" s="2" t="s">
        <v>51</v>
      </c>
      <c r="AA482" s="14"/>
      <c r="AB482" s="2" t="s">
        <v>51</v>
      </c>
    </row>
    <row r="483" spans="1:28" ht="30" customHeight="1">
      <c r="A483" s="8" t="s">
        <v>384</v>
      </c>
      <c r="B483" s="157" t="s">
        <v>383</v>
      </c>
      <c r="C483" s="157" t="s">
        <v>208</v>
      </c>
      <c r="D483" s="163" t="s">
        <v>321</v>
      </c>
      <c r="E483" s="164">
        <v>0</v>
      </c>
      <c r="F483" s="165" t="s">
        <v>51</v>
      </c>
      <c r="G483" s="164">
        <v>12000</v>
      </c>
      <c r="H483" s="165" t="s">
        <v>51</v>
      </c>
      <c r="I483" s="164">
        <v>0</v>
      </c>
      <c r="J483" s="165" t="s">
        <v>51</v>
      </c>
      <c r="K483" s="164">
        <v>0</v>
      </c>
      <c r="L483" s="165" t="s">
        <v>51</v>
      </c>
      <c r="M483" s="164">
        <v>0</v>
      </c>
      <c r="N483" s="165" t="s">
        <v>51</v>
      </c>
      <c r="O483" s="164">
        <f t="shared" si="27"/>
        <v>12000</v>
      </c>
      <c r="P483" s="166">
        <v>0</v>
      </c>
      <c r="Q483" s="166">
        <v>0</v>
      </c>
      <c r="R483" s="166">
        <v>0</v>
      </c>
      <c r="S483" s="166">
        <v>0</v>
      </c>
      <c r="T483" s="166">
        <v>0</v>
      </c>
      <c r="U483" s="13">
        <v>0</v>
      </c>
      <c r="V483" s="13">
        <v>0</v>
      </c>
      <c r="W483" s="8" t="s">
        <v>4044</v>
      </c>
      <c r="X483" s="8" t="s">
        <v>51</v>
      </c>
      <c r="Y483" s="2" t="s">
        <v>51</v>
      </c>
      <c r="Z483" s="2" t="s">
        <v>51</v>
      </c>
      <c r="AA483" s="14"/>
      <c r="AB483" s="2" t="s">
        <v>51</v>
      </c>
    </row>
    <row r="484" spans="1:28" ht="30" customHeight="1">
      <c r="A484" s="8" t="s">
        <v>1547</v>
      </c>
      <c r="B484" s="157" t="s">
        <v>1545</v>
      </c>
      <c r="C484" s="157" t="s">
        <v>1546</v>
      </c>
      <c r="D484" s="163" t="s">
        <v>140</v>
      </c>
      <c r="E484" s="164">
        <v>0</v>
      </c>
      <c r="F484" s="165" t="s">
        <v>51</v>
      </c>
      <c r="G484" s="164">
        <v>180</v>
      </c>
      <c r="H484" s="165" t="s">
        <v>51</v>
      </c>
      <c r="I484" s="164">
        <v>0</v>
      </c>
      <c r="J484" s="165" t="s">
        <v>51</v>
      </c>
      <c r="K484" s="164">
        <v>0</v>
      </c>
      <c r="L484" s="165" t="s">
        <v>51</v>
      </c>
      <c r="M484" s="164"/>
      <c r="N484" s="165" t="s">
        <v>51</v>
      </c>
      <c r="O484" s="164">
        <f t="shared" si="27"/>
        <v>180</v>
      </c>
      <c r="P484" s="166">
        <v>0</v>
      </c>
      <c r="Q484" s="166">
        <v>0</v>
      </c>
      <c r="R484" s="166">
        <v>0</v>
      </c>
      <c r="S484" s="166">
        <v>0</v>
      </c>
      <c r="T484" s="166">
        <v>0</v>
      </c>
      <c r="U484" s="13">
        <v>0</v>
      </c>
      <c r="V484" s="13">
        <v>0</v>
      </c>
      <c r="W484" s="8" t="s">
        <v>4045</v>
      </c>
      <c r="X484" s="8" t="s">
        <v>51</v>
      </c>
      <c r="Y484" s="2" t="s">
        <v>51</v>
      </c>
      <c r="Z484" s="2" t="s">
        <v>51</v>
      </c>
      <c r="AA484" s="14"/>
      <c r="AB484" s="2" t="s">
        <v>51</v>
      </c>
    </row>
    <row r="485" spans="1:28" ht="30" customHeight="1">
      <c r="A485" s="8" t="s">
        <v>1235</v>
      </c>
      <c r="B485" s="157" t="s">
        <v>1233</v>
      </c>
      <c r="C485" s="157" t="s">
        <v>1234</v>
      </c>
      <c r="D485" s="163" t="s">
        <v>979</v>
      </c>
      <c r="E485" s="164">
        <v>200</v>
      </c>
      <c r="F485" s="165" t="s">
        <v>51</v>
      </c>
      <c r="G485" s="164">
        <v>230</v>
      </c>
      <c r="H485" s="165" t="s">
        <v>2204</v>
      </c>
      <c r="I485" s="164">
        <v>319</v>
      </c>
      <c r="J485" s="165" t="s">
        <v>2205</v>
      </c>
      <c r="K485" s="164">
        <v>0</v>
      </c>
      <c r="L485" s="165" t="s">
        <v>51</v>
      </c>
      <c r="M485" s="164">
        <v>0</v>
      </c>
      <c r="N485" s="165" t="s">
        <v>51</v>
      </c>
      <c r="O485" s="164">
        <f t="shared" si="27"/>
        <v>200</v>
      </c>
      <c r="P485" s="166">
        <v>0</v>
      </c>
      <c r="Q485" s="166">
        <v>0</v>
      </c>
      <c r="R485" s="166">
        <v>0</v>
      </c>
      <c r="S485" s="166">
        <v>0</v>
      </c>
      <c r="T485" s="166">
        <v>0</v>
      </c>
      <c r="U485" s="13">
        <v>0</v>
      </c>
      <c r="V485" s="13">
        <v>0</v>
      </c>
      <c r="W485" s="8" t="s">
        <v>4046</v>
      </c>
      <c r="X485" s="8" t="s">
        <v>51</v>
      </c>
      <c r="Y485" s="2" t="s">
        <v>51</v>
      </c>
      <c r="Z485" s="2" t="s">
        <v>51</v>
      </c>
      <c r="AA485" s="14"/>
      <c r="AB485" s="2" t="s">
        <v>51</v>
      </c>
    </row>
    <row r="486" spans="1:28" ht="30" customHeight="1">
      <c r="A486" s="8" t="s">
        <v>994</v>
      </c>
      <c r="B486" s="157" t="s">
        <v>991</v>
      </c>
      <c r="C486" s="157" t="s">
        <v>992</v>
      </c>
      <c r="D486" s="163" t="s">
        <v>993</v>
      </c>
      <c r="E486" s="164">
        <v>710</v>
      </c>
      <c r="F486" s="165" t="s">
        <v>51</v>
      </c>
      <c r="G486" s="164">
        <v>0</v>
      </c>
      <c r="H486" s="165" t="s">
        <v>51</v>
      </c>
      <c r="I486" s="164">
        <v>0</v>
      </c>
      <c r="J486" s="165" t="s">
        <v>51</v>
      </c>
      <c r="K486" s="164">
        <v>0</v>
      </c>
      <c r="L486" s="165" t="s">
        <v>51</v>
      </c>
      <c r="M486" s="164">
        <v>0</v>
      </c>
      <c r="N486" s="165" t="s">
        <v>51</v>
      </c>
      <c r="O486" s="164">
        <f t="shared" si="27"/>
        <v>710</v>
      </c>
      <c r="P486" s="166">
        <v>0</v>
      </c>
      <c r="Q486" s="166">
        <v>0</v>
      </c>
      <c r="R486" s="166">
        <v>0</v>
      </c>
      <c r="S486" s="166">
        <v>0</v>
      </c>
      <c r="T486" s="166">
        <v>0</v>
      </c>
      <c r="U486" s="13">
        <v>0</v>
      </c>
      <c r="V486" s="13">
        <v>0</v>
      </c>
      <c r="W486" s="8" t="s">
        <v>4047</v>
      </c>
      <c r="X486" s="8" t="s">
        <v>51</v>
      </c>
      <c r="Y486" s="2" t="s">
        <v>51</v>
      </c>
      <c r="Z486" s="2" t="s">
        <v>51</v>
      </c>
      <c r="AA486" s="14"/>
      <c r="AB486" s="2" t="s">
        <v>51</v>
      </c>
    </row>
    <row r="487" spans="1:28" ht="30" customHeight="1">
      <c r="A487" s="8" t="s">
        <v>1231</v>
      </c>
      <c r="B487" s="157" t="s">
        <v>1228</v>
      </c>
      <c r="C487" s="157" t="s">
        <v>1229</v>
      </c>
      <c r="D487" s="163" t="s">
        <v>1230</v>
      </c>
      <c r="E487" s="164">
        <v>3090</v>
      </c>
      <c r="F487" s="165" t="s">
        <v>51</v>
      </c>
      <c r="G487" s="164">
        <v>0</v>
      </c>
      <c r="H487" s="165" t="s">
        <v>51</v>
      </c>
      <c r="I487" s="164">
        <v>3833.33</v>
      </c>
      <c r="J487" s="165" t="s">
        <v>2208</v>
      </c>
      <c r="K487" s="164">
        <v>0</v>
      </c>
      <c r="L487" s="165" t="s">
        <v>51</v>
      </c>
      <c r="M487" s="164">
        <v>0</v>
      </c>
      <c r="N487" s="165" t="s">
        <v>51</v>
      </c>
      <c r="O487" s="164">
        <f t="shared" si="27"/>
        <v>3090</v>
      </c>
      <c r="P487" s="166">
        <v>0</v>
      </c>
      <c r="Q487" s="166">
        <v>0</v>
      </c>
      <c r="R487" s="166">
        <v>0</v>
      </c>
      <c r="S487" s="166">
        <v>0</v>
      </c>
      <c r="T487" s="166">
        <v>0</v>
      </c>
      <c r="U487" s="13">
        <v>0</v>
      </c>
      <c r="V487" s="13">
        <v>0</v>
      </c>
      <c r="W487" s="8" t="s">
        <v>4048</v>
      </c>
      <c r="X487" s="8" t="s">
        <v>51</v>
      </c>
      <c r="Y487" s="2" t="s">
        <v>51</v>
      </c>
      <c r="Z487" s="2" t="s">
        <v>51</v>
      </c>
      <c r="AA487" s="14"/>
      <c r="AB487" s="2" t="s">
        <v>51</v>
      </c>
    </row>
    <row r="488" spans="1:28" ht="30" customHeight="1">
      <c r="A488" s="8" t="s">
        <v>1789</v>
      </c>
      <c r="B488" s="157" t="s">
        <v>1228</v>
      </c>
      <c r="C488" s="157" t="s">
        <v>1787</v>
      </c>
      <c r="D488" s="163" t="s">
        <v>993</v>
      </c>
      <c r="E488" s="164">
        <v>0</v>
      </c>
      <c r="F488" s="165" t="s">
        <v>51</v>
      </c>
      <c r="G488" s="164">
        <v>2139.7800000000002</v>
      </c>
      <c r="H488" s="165" t="s">
        <v>2210</v>
      </c>
      <c r="I488" s="164">
        <v>0</v>
      </c>
      <c r="J488" s="165" t="s">
        <v>51</v>
      </c>
      <c r="K488" s="164">
        <v>0</v>
      </c>
      <c r="L488" s="165" t="s">
        <v>51</v>
      </c>
      <c r="M488" s="164">
        <v>0</v>
      </c>
      <c r="N488" s="165" t="s">
        <v>51</v>
      </c>
      <c r="O488" s="164">
        <f t="shared" si="27"/>
        <v>2139.7800000000002</v>
      </c>
      <c r="P488" s="166">
        <v>0</v>
      </c>
      <c r="Q488" s="166">
        <v>0</v>
      </c>
      <c r="R488" s="166">
        <v>0</v>
      </c>
      <c r="S488" s="166">
        <v>0</v>
      </c>
      <c r="T488" s="166">
        <v>0</v>
      </c>
      <c r="U488" s="13">
        <v>0</v>
      </c>
      <c r="V488" s="13">
        <v>0</v>
      </c>
      <c r="W488" s="8" t="s">
        <v>4049</v>
      </c>
      <c r="X488" s="8" t="s">
        <v>1788</v>
      </c>
      <c r="Y488" s="2" t="s">
        <v>51</v>
      </c>
      <c r="Z488" s="2" t="s">
        <v>51</v>
      </c>
      <c r="AA488" s="14"/>
      <c r="AB488" s="2" t="s">
        <v>51</v>
      </c>
    </row>
    <row r="489" spans="1:28" ht="30" customHeight="1">
      <c r="A489" s="8" t="s">
        <v>1223</v>
      </c>
      <c r="B489" s="157" t="s">
        <v>1221</v>
      </c>
      <c r="C489" s="157" t="s">
        <v>1222</v>
      </c>
      <c r="D489" s="163" t="s">
        <v>204</v>
      </c>
      <c r="E489" s="164">
        <v>73</v>
      </c>
      <c r="F489" s="165" t="s">
        <v>51</v>
      </c>
      <c r="G489" s="164">
        <v>0</v>
      </c>
      <c r="H489" s="165" t="s">
        <v>51</v>
      </c>
      <c r="I489" s="164">
        <v>0</v>
      </c>
      <c r="J489" s="165" t="s">
        <v>51</v>
      </c>
      <c r="K489" s="164">
        <v>0</v>
      </c>
      <c r="L489" s="165" t="s">
        <v>51</v>
      </c>
      <c r="M489" s="164"/>
      <c r="N489" s="165" t="s">
        <v>51</v>
      </c>
      <c r="O489" s="164">
        <f t="shared" si="27"/>
        <v>73</v>
      </c>
      <c r="P489" s="166">
        <v>0</v>
      </c>
      <c r="Q489" s="166">
        <v>0</v>
      </c>
      <c r="R489" s="166">
        <v>0</v>
      </c>
      <c r="S489" s="166">
        <v>0</v>
      </c>
      <c r="T489" s="166">
        <v>0</v>
      </c>
      <c r="U489" s="13">
        <v>0</v>
      </c>
      <c r="V489" s="13">
        <v>0</v>
      </c>
      <c r="W489" s="8" t="s">
        <v>4050</v>
      </c>
      <c r="X489" s="8" t="s">
        <v>51</v>
      </c>
      <c r="Y489" s="2" t="s">
        <v>51</v>
      </c>
      <c r="Z489" s="2" t="s">
        <v>51</v>
      </c>
      <c r="AA489" s="14"/>
      <c r="AB489" s="2" t="s">
        <v>51</v>
      </c>
    </row>
    <row r="490" spans="1:28" ht="30" customHeight="1">
      <c r="A490" s="8" t="s">
        <v>1226</v>
      </c>
      <c r="B490" s="157" t="s">
        <v>1225</v>
      </c>
      <c r="C490" s="157" t="s">
        <v>51</v>
      </c>
      <c r="D490" s="163" t="s">
        <v>993</v>
      </c>
      <c r="E490" s="164">
        <v>1150</v>
      </c>
      <c r="F490" s="165" t="s">
        <v>51</v>
      </c>
      <c r="G490" s="164">
        <v>0</v>
      </c>
      <c r="H490" s="165" t="s">
        <v>51</v>
      </c>
      <c r="I490" s="164">
        <v>0</v>
      </c>
      <c r="J490" s="165" t="s">
        <v>51</v>
      </c>
      <c r="K490" s="164">
        <v>0</v>
      </c>
      <c r="L490" s="165" t="s">
        <v>51</v>
      </c>
      <c r="M490" s="164"/>
      <c r="N490" s="165" t="s">
        <v>51</v>
      </c>
      <c r="O490" s="164">
        <f t="shared" si="27"/>
        <v>1150</v>
      </c>
      <c r="P490" s="166">
        <v>0</v>
      </c>
      <c r="Q490" s="166">
        <v>0</v>
      </c>
      <c r="R490" s="166">
        <v>0</v>
      </c>
      <c r="S490" s="166">
        <v>0</v>
      </c>
      <c r="T490" s="166">
        <v>0</v>
      </c>
      <c r="U490" s="13">
        <v>0</v>
      </c>
      <c r="V490" s="13">
        <v>0</v>
      </c>
      <c r="W490" s="8" t="s">
        <v>4051</v>
      </c>
      <c r="X490" s="8" t="s">
        <v>51</v>
      </c>
      <c r="Y490" s="2" t="s">
        <v>51</v>
      </c>
      <c r="Z490" s="2" t="s">
        <v>51</v>
      </c>
      <c r="AA490" s="14"/>
      <c r="AB490" s="2" t="s">
        <v>51</v>
      </c>
    </row>
    <row r="491" spans="1:28" ht="30" customHeight="1">
      <c r="A491" s="8" t="s">
        <v>1255</v>
      </c>
      <c r="B491" s="157" t="s">
        <v>1254</v>
      </c>
      <c r="C491" s="157" t="s">
        <v>51</v>
      </c>
      <c r="D491" s="163" t="s">
        <v>1230</v>
      </c>
      <c r="E491" s="164">
        <v>0</v>
      </c>
      <c r="F491" s="165" t="s">
        <v>51</v>
      </c>
      <c r="G491" s="164">
        <v>3900</v>
      </c>
      <c r="H491" s="165" t="s">
        <v>51</v>
      </c>
      <c r="I491" s="164">
        <v>0</v>
      </c>
      <c r="J491" s="165" t="s">
        <v>51</v>
      </c>
      <c r="K491" s="164">
        <v>0</v>
      </c>
      <c r="L491" s="165" t="s">
        <v>51</v>
      </c>
      <c r="M491" s="164">
        <v>0</v>
      </c>
      <c r="N491" s="165" t="s">
        <v>51</v>
      </c>
      <c r="O491" s="164">
        <f t="shared" si="27"/>
        <v>3900</v>
      </c>
      <c r="P491" s="166">
        <v>0</v>
      </c>
      <c r="Q491" s="166">
        <v>0</v>
      </c>
      <c r="R491" s="166">
        <v>0</v>
      </c>
      <c r="S491" s="166">
        <v>0</v>
      </c>
      <c r="T491" s="166">
        <v>0</v>
      </c>
      <c r="U491" s="13">
        <v>0</v>
      </c>
      <c r="V491" s="13">
        <v>0</v>
      </c>
      <c r="W491" s="8" t="s">
        <v>4052</v>
      </c>
      <c r="X491" s="8" t="s">
        <v>51</v>
      </c>
      <c r="Y491" s="2" t="s">
        <v>51</v>
      </c>
      <c r="Z491" s="2" t="s">
        <v>51</v>
      </c>
      <c r="AA491" s="14"/>
      <c r="AB491" s="2" t="s">
        <v>51</v>
      </c>
    </row>
    <row r="492" spans="1:28" ht="30" customHeight="1">
      <c r="A492" s="8" t="s">
        <v>1258</v>
      </c>
      <c r="B492" s="157" t="s">
        <v>1257</v>
      </c>
      <c r="C492" s="157" t="s">
        <v>51</v>
      </c>
      <c r="D492" s="163" t="s">
        <v>1230</v>
      </c>
      <c r="E492" s="164">
        <v>0</v>
      </c>
      <c r="F492" s="165" t="s">
        <v>51</v>
      </c>
      <c r="G492" s="164">
        <v>1050</v>
      </c>
      <c r="H492" s="165" t="s">
        <v>51</v>
      </c>
      <c r="I492" s="164">
        <v>0</v>
      </c>
      <c r="J492" s="165" t="s">
        <v>51</v>
      </c>
      <c r="K492" s="164">
        <v>0</v>
      </c>
      <c r="L492" s="165" t="s">
        <v>51</v>
      </c>
      <c r="M492" s="164">
        <v>0</v>
      </c>
      <c r="N492" s="165" t="s">
        <v>51</v>
      </c>
      <c r="O492" s="164">
        <f t="shared" si="27"/>
        <v>1050</v>
      </c>
      <c r="P492" s="166">
        <v>0</v>
      </c>
      <c r="Q492" s="166">
        <v>0</v>
      </c>
      <c r="R492" s="166">
        <v>0</v>
      </c>
      <c r="S492" s="166">
        <v>0</v>
      </c>
      <c r="T492" s="166">
        <v>0</v>
      </c>
      <c r="U492" s="13">
        <v>0</v>
      </c>
      <c r="V492" s="13">
        <v>0</v>
      </c>
      <c r="W492" s="8" t="s">
        <v>4053</v>
      </c>
      <c r="X492" s="8" t="s">
        <v>51</v>
      </c>
      <c r="Y492" s="2" t="s">
        <v>51</v>
      </c>
      <c r="Z492" s="2" t="s">
        <v>51</v>
      </c>
      <c r="AA492" s="14"/>
      <c r="AB492" s="2" t="s">
        <v>51</v>
      </c>
    </row>
    <row r="493" spans="1:28" ht="30" customHeight="1">
      <c r="A493" s="8" t="s">
        <v>1261</v>
      </c>
      <c r="B493" s="157" t="s">
        <v>1260</v>
      </c>
      <c r="C493" s="157" t="s">
        <v>51</v>
      </c>
      <c r="D493" s="163" t="s">
        <v>1230</v>
      </c>
      <c r="E493" s="164">
        <v>0</v>
      </c>
      <c r="F493" s="165" t="s">
        <v>51</v>
      </c>
      <c r="G493" s="164">
        <v>980</v>
      </c>
      <c r="H493" s="165" t="s">
        <v>51</v>
      </c>
      <c r="I493" s="164">
        <v>0</v>
      </c>
      <c r="J493" s="165" t="s">
        <v>51</v>
      </c>
      <c r="K493" s="164">
        <v>0</v>
      </c>
      <c r="L493" s="165" t="s">
        <v>51</v>
      </c>
      <c r="M493" s="164">
        <v>0</v>
      </c>
      <c r="N493" s="165" t="s">
        <v>51</v>
      </c>
      <c r="O493" s="164">
        <f t="shared" si="27"/>
        <v>980</v>
      </c>
      <c r="P493" s="166">
        <v>0</v>
      </c>
      <c r="Q493" s="166">
        <v>0</v>
      </c>
      <c r="R493" s="166">
        <v>0</v>
      </c>
      <c r="S493" s="166">
        <v>0</v>
      </c>
      <c r="T493" s="166">
        <v>0</v>
      </c>
      <c r="U493" s="13">
        <v>0</v>
      </c>
      <c r="V493" s="13">
        <v>0</v>
      </c>
      <c r="W493" s="8" t="s">
        <v>4054</v>
      </c>
      <c r="X493" s="8" t="s">
        <v>51</v>
      </c>
      <c r="Y493" s="2" t="s">
        <v>51</v>
      </c>
      <c r="Z493" s="2" t="s">
        <v>51</v>
      </c>
      <c r="AA493" s="14"/>
      <c r="AB493" s="2" t="s">
        <v>51</v>
      </c>
    </row>
    <row r="494" spans="1:28" ht="30" customHeight="1">
      <c r="A494" s="8" t="s">
        <v>1264</v>
      </c>
      <c r="B494" s="157" t="s">
        <v>1263</v>
      </c>
      <c r="C494" s="157" t="s">
        <v>51</v>
      </c>
      <c r="D494" s="163" t="s">
        <v>1230</v>
      </c>
      <c r="E494" s="164">
        <v>0</v>
      </c>
      <c r="F494" s="165" t="s">
        <v>51</v>
      </c>
      <c r="G494" s="164">
        <v>3022.22</v>
      </c>
      <c r="H494" s="165" t="s">
        <v>2217</v>
      </c>
      <c r="I494" s="164">
        <v>2488.88</v>
      </c>
      <c r="J494" s="165" t="s">
        <v>2218</v>
      </c>
      <c r="K494" s="164">
        <v>0</v>
      </c>
      <c r="L494" s="165" t="s">
        <v>51</v>
      </c>
      <c r="M494" s="164">
        <v>0</v>
      </c>
      <c r="N494" s="165" t="s">
        <v>51</v>
      </c>
      <c r="O494" s="164">
        <f t="shared" ref="O494:O505" si="28">SMALL(E494:M494,COUNTIF(E494:M494,0)+1)</f>
        <v>2488.88</v>
      </c>
      <c r="P494" s="166">
        <v>0</v>
      </c>
      <c r="Q494" s="166">
        <v>0</v>
      </c>
      <c r="R494" s="166">
        <v>0</v>
      </c>
      <c r="S494" s="166">
        <v>0</v>
      </c>
      <c r="T494" s="166">
        <v>0</v>
      </c>
      <c r="U494" s="13">
        <v>0</v>
      </c>
      <c r="V494" s="13">
        <v>0</v>
      </c>
      <c r="W494" s="8" t="s">
        <v>4055</v>
      </c>
      <c r="X494" s="8" t="s">
        <v>51</v>
      </c>
      <c r="Y494" s="2" t="s">
        <v>51</v>
      </c>
      <c r="Z494" s="2" t="s">
        <v>51</v>
      </c>
      <c r="AA494" s="14"/>
      <c r="AB494" s="2" t="s">
        <v>51</v>
      </c>
    </row>
    <row r="495" spans="1:28" ht="30" customHeight="1">
      <c r="A495" s="8" t="s">
        <v>1267</v>
      </c>
      <c r="B495" s="157" t="s">
        <v>1266</v>
      </c>
      <c r="C495" s="157" t="s">
        <v>51</v>
      </c>
      <c r="D495" s="163" t="s">
        <v>1230</v>
      </c>
      <c r="E495" s="164">
        <v>0</v>
      </c>
      <c r="F495" s="165" t="s">
        <v>51</v>
      </c>
      <c r="G495" s="164">
        <v>6644.44</v>
      </c>
      <c r="H495" s="165" t="s">
        <v>2210</v>
      </c>
      <c r="I495" s="164">
        <v>0</v>
      </c>
      <c r="J495" s="165" t="s">
        <v>51</v>
      </c>
      <c r="K495" s="164">
        <v>0</v>
      </c>
      <c r="L495" s="165" t="s">
        <v>51</v>
      </c>
      <c r="M495" s="164">
        <v>0</v>
      </c>
      <c r="N495" s="165" t="s">
        <v>51</v>
      </c>
      <c r="O495" s="164">
        <f t="shared" si="28"/>
        <v>6644.44</v>
      </c>
      <c r="P495" s="166">
        <v>0</v>
      </c>
      <c r="Q495" s="166">
        <v>0</v>
      </c>
      <c r="R495" s="166">
        <v>0</v>
      </c>
      <c r="S495" s="166">
        <v>0</v>
      </c>
      <c r="T495" s="166">
        <v>0</v>
      </c>
      <c r="U495" s="13">
        <v>0</v>
      </c>
      <c r="V495" s="13">
        <v>0</v>
      </c>
      <c r="W495" s="8" t="s">
        <v>4056</v>
      </c>
      <c r="X495" s="8" t="s">
        <v>51</v>
      </c>
      <c r="Y495" s="2" t="s">
        <v>51</v>
      </c>
      <c r="Z495" s="2" t="s">
        <v>51</v>
      </c>
      <c r="AA495" s="14"/>
      <c r="AB495" s="2" t="s">
        <v>51</v>
      </c>
    </row>
    <row r="496" spans="1:28" ht="30" customHeight="1">
      <c r="A496" s="8" t="s">
        <v>1267</v>
      </c>
      <c r="B496" s="157" t="s">
        <v>4843</v>
      </c>
      <c r="C496" s="157" t="s">
        <v>51</v>
      </c>
      <c r="D496" s="163" t="s">
        <v>1230</v>
      </c>
      <c r="E496" s="164">
        <v>0</v>
      </c>
      <c r="F496" s="165" t="s">
        <v>51</v>
      </c>
      <c r="G496" s="164">
        <v>12000</v>
      </c>
      <c r="H496" s="165" t="s">
        <v>2210</v>
      </c>
      <c r="I496" s="164">
        <v>0</v>
      </c>
      <c r="J496" s="165" t="s">
        <v>51</v>
      </c>
      <c r="K496" s="164">
        <v>0</v>
      </c>
      <c r="L496" s="165" t="s">
        <v>51</v>
      </c>
      <c r="M496" s="164">
        <v>0</v>
      </c>
      <c r="N496" s="165" t="s">
        <v>51</v>
      </c>
      <c r="O496" s="164">
        <f t="shared" ref="O496" si="29">SMALL(E496:M496,COUNTIF(E496:M496,0)+1)</f>
        <v>12000</v>
      </c>
      <c r="P496" s="166">
        <v>0</v>
      </c>
      <c r="Q496" s="166">
        <v>0</v>
      </c>
      <c r="R496" s="166">
        <v>0</v>
      </c>
      <c r="S496" s="166">
        <v>0</v>
      </c>
      <c r="T496" s="166">
        <v>0</v>
      </c>
      <c r="U496" s="13">
        <v>0</v>
      </c>
      <c r="V496" s="13">
        <v>0</v>
      </c>
      <c r="W496" s="8" t="s">
        <v>4057</v>
      </c>
      <c r="X496" s="8" t="s">
        <v>51</v>
      </c>
      <c r="Y496" s="2" t="s">
        <v>51</v>
      </c>
      <c r="Z496" s="2" t="s">
        <v>51</v>
      </c>
      <c r="AA496" s="14"/>
      <c r="AB496" s="2" t="s">
        <v>51</v>
      </c>
    </row>
    <row r="497" spans="1:28" ht="30" customHeight="1">
      <c r="A497" s="8" t="s">
        <v>1447</v>
      </c>
      <c r="B497" s="157" t="s">
        <v>1445</v>
      </c>
      <c r="C497" s="157" t="s">
        <v>1446</v>
      </c>
      <c r="D497" s="163" t="s">
        <v>993</v>
      </c>
      <c r="E497" s="164">
        <v>0</v>
      </c>
      <c r="F497" s="165" t="s">
        <v>51</v>
      </c>
      <c r="G497" s="164">
        <v>6000</v>
      </c>
      <c r="H497" s="165" t="s">
        <v>2221</v>
      </c>
      <c r="I497" s="164">
        <v>0</v>
      </c>
      <c r="J497" s="165" t="s">
        <v>51</v>
      </c>
      <c r="K497" s="164">
        <v>0</v>
      </c>
      <c r="L497" s="165" t="s">
        <v>51</v>
      </c>
      <c r="M497" s="164">
        <v>0</v>
      </c>
      <c r="N497" s="165" t="s">
        <v>51</v>
      </c>
      <c r="O497" s="164">
        <f t="shared" si="28"/>
        <v>6000</v>
      </c>
      <c r="P497" s="166">
        <v>0</v>
      </c>
      <c r="Q497" s="166">
        <v>0</v>
      </c>
      <c r="R497" s="166">
        <v>0</v>
      </c>
      <c r="S497" s="166">
        <v>0</v>
      </c>
      <c r="T497" s="166">
        <v>0</v>
      </c>
      <c r="U497" s="13">
        <v>0</v>
      </c>
      <c r="V497" s="13">
        <v>0</v>
      </c>
      <c r="W497" s="8" t="s">
        <v>4058</v>
      </c>
      <c r="X497" s="8" t="s">
        <v>51</v>
      </c>
      <c r="Y497" s="2" t="s">
        <v>51</v>
      </c>
      <c r="Z497" s="2" t="s">
        <v>51</v>
      </c>
      <c r="AA497" s="14"/>
      <c r="AB497" s="2" t="s">
        <v>51</v>
      </c>
    </row>
    <row r="498" spans="1:28" ht="30" customHeight="1">
      <c r="A498" s="8" t="s">
        <v>1302</v>
      </c>
      <c r="B498" s="157" t="s">
        <v>1300</v>
      </c>
      <c r="C498" s="157" t="s">
        <v>1301</v>
      </c>
      <c r="D498" s="163" t="s">
        <v>993</v>
      </c>
      <c r="E498" s="164">
        <v>30000</v>
      </c>
      <c r="F498" s="165" t="s">
        <v>51</v>
      </c>
      <c r="G498" s="164">
        <v>0</v>
      </c>
      <c r="H498" s="165" t="s">
        <v>51</v>
      </c>
      <c r="I498" s="164">
        <v>0</v>
      </c>
      <c r="J498" s="165" t="s">
        <v>51</v>
      </c>
      <c r="K498" s="164">
        <v>0</v>
      </c>
      <c r="L498" s="165" t="s">
        <v>51</v>
      </c>
      <c r="M498" s="164"/>
      <c r="N498" s="165" t="s">
        <v>51</v>
      </c>
      <c r="O498" s="164">
        <f t="shared" si="28"/>
        <v>30000</v>
      </c>
      <c r="P498" s="166">
        <v>0</v>
      </c>
      <c r="Q498" s="166">
        <v>0</v>
      </c>
      <c r="R498" s="166">
        <v>0</v>
      </c>
      <c r="S498" s="166">
        <v>0</v>
      </c>
      <c r="T498" s="166">
        <v>0</v>
      </c>
      <c r="U498" s="13">
        <v>0</v>
      </c>
      <c r="V498" s="13">
        <v>0</v>
      </c>
      <c r="W498" s="8" t="s">
        <v>4059</v>
      </c>
      <c r="X498" s="8" t="s">
        <v>51</v>
      </c>
      <c r="Y498" s="2" t="s">
        <v>51</v>
      </c>
      <c r="Z498" s="2" t="s">
        <v>51</v>
      </c>
      <c r="AA498" s="14"/>
      <c r="AB498" s="2" t="s">
        <v>51</v>
      </c>
    </row>
    <row r="499" spans="1:28" ht="30" customHeight="1">
      <c r="A499" s="8" t="s">
        <v>1305</v>
      </c>
      <c r="B499" s="157" t="s">
        <v>1304</v>
      </c>
      <c r="C499" s="157" t="s">
        <v>208</v>
      </c>
      <c r="D499" s="163" t="s">
        <v>993</v>
      </c>
      <c r="E499" s="164">
        <v>15000</v>
      </c>
      <c r="F499" s="165" t="s">
        <v>51</v>
      </c>
      <c r="G499" s="164">
        <v>0</v>
      </c>
      <c r="H499" s="165" t="s">
        <v>51</v>
      </c>
      <c r="I499" s="164">
        <v>0</v>
      </c>
      <c r="J499" s="165" t="s">
        <v>51</v>
      </c>
      <c r="K499" s="164">
        <v>0</v>
      </c>
      <c r="L499" s="165" t="s">
        <v>51</v>
      </c>
      <c r="M499" s="164"/>
      <c r="N499" s="165" t="s">
        <v>51</v>
      </c>
      <c r="O499" s="164">
        <f t="shared" si="28"/>
        <v>15000</v>
      </c>
      <c r="P499" s="166">
        <v>0</v>
      </c>
      <c r="Q499" s="166">
        <v>0</v>
      </c>
      <c r="R499" s="166">
        <v>0</v>
      </c>
      <c r="S499" s="166">
        <v>0</v>
      </c>
      <c r="T499" s="166">
        <v>0</v>
      </c>
      <c r="U499" s="13">
        <v>0</v>
      </c>
      <c r="V499" s="13">
        <v>0</v>
      </c>
      <c r="W499" s="8" t="s">
        <v>4060</v>
      </c>
      <c r="X499" s="8" t="s">
        <v>51</v>
      </c>
      <c r="Y499" s="2" t="s">
        <v>51</v>
      </c>
      <c r="Z499" s="2" t="s">
        <v>51</v>
      </c>
      <c r="AA499" s="14"/>
      <c r="AB499" s="2" t="s">
        <v>51</v>
      </c>
    </row>
    <row r="500" spans="1:28" ht="30" customHeight="1">
      <c r="A500" s="8" t="s">
        <v>1310</v>
      </c>
      <c r="B500" s="157" t="s">
        <v>1300</v>
      </c>
      <c r="C500" s="157" t="s">
        <v>51</v>
      </c>
      <c r="D500" s="163" t="s">
        <v>82</v>
      </c>
      <c r="E500" s="164">
        <v>1650</v>
      </c>
      <c r="F500" s="165" t="s">
        <v>51</v>
      </c>
      <c r="G500" s="164">
        <v>0</v>
      </c>
      <c r="H500" s="165" t="s">
        <v>51</v>
      </c>
      <c r="I500" s="164">
        <v>0</v>
      </c>
      <c r="J500" s="165" t="s">
        <v>51</v>
      </c>
      <c r="K500" s="164">
        <v>0</v>
      </c>
      <c r="L500" s="165" t="s">
        <v>51</v>
      </c>
      <c r="M500" s="164"/>
      <c r="N500" s="165" t="s">
        <v>51</v>
      </c>
      <c r="O500" s="164">
        <f t="shared" si="28"/>
        <v>1650</v>
      </c>
      <c r="P500" s="166">
        <v>0</v>
      </c>
      <c r="Q500" s="166">
        <v>0</v>
      </c>
      <c r="R500" s="166">
        <v>0</v>
      </c>
      <c r="S500" s="166">
        <v>0</v>
      </c>
      <c r="T500" s="166">
        <v>0</v>
      </c>
      <c r="U500" s="13">
        <v>0</v>
      </c>
      <c r="V500" s="13">
        <v>0</v>
      </c>
      <c r="W500" s="8" t="s">
        <v>4061</v>
      </c>
      <c r="X500" s="8" t="s">
        <v>51</v>
      </c>
      <c r="Y500" s="2" t="s">
        <v>51</v>
      </c>
      <c r="Z500" s="2" t="s">
        <v>51</v>
      </c>
      <c r="AA500" s="14"/>
      <c r="AB500" s="2" t="s">
        <v>51</v>
      </c>
    </row>
    <row r="501" spans="1:28" ht="30" customHeight="1">
      <c r="A501" s="8" t="s">
        <v>1313</v>
      </c>
      <c r="B501" s="157" t="s">
        <v>1312</v>
      </c>
      <c r="C501" s="157" t="s">
        <v>51</v>
      </c>
      <c r="D501" s="163" t="s">
        <v>993</v>
      </c>
      <c r="E501" s="164">
        <v>5800</v>
      </c>
      <c r="F501" s="165" t="s">
        <v>51</v>
      </c>
      <c r="G501" s="164">
        <v>0</v>
      </c>
      <c r="H501" s="165" t="s">
        <v>51</v>
      </c>
      <c r="I501" s="164">
        <v>0</v>
      </c>
      <c r="J501" s="165" t="s">
        <v>51</v>
      </c>
      <c r="K501" s="164">
        <v>0</v>
      </c>
      <c r="L501" s="165" t="s">
        <v>51</v>
      </c>
      <c r="M501" s="164"/>
      <c r="N501" s="165" t="s">
        <v>51</v>
      </c>
      <c r="O501" s="164">
        <f t="shared" si="28"/>
        <v>5800</v>
      </c>
      <c r="P501" s="166">
        <v>0</v>
      </c>
      <c r="Q501" s="166">
        <v>0</v>
      </c>
      <c r="R501" s="166">
        <v>0</v>
      </c>
      <c r="S501" s="166">
        <v>0</v>
      </c>
      <c r="T501" s="166">
        <v>0</v>
      </c>
      <c r="U501" s="13">
        <v>0</v>
      </c>
      <c r="V501" s="13">
        <v>0</v>
      </c>
      <c r="W501" s="8" t="s">
        <v>4062</v>
      </c>
      <c r="X501" s="8" t="s">
        <v>51</v>
      </c>
      <c r="Y501" s="2" t="s">
        <v>51</v>
      </c>
      <c r="Z501" s="2" t="s">
        <v>51</v>
      </c>
      <c r="AA501" s="14"/>
      <c r="AB501" s="2" t="s">
        <v>51</v>
      </c>
    </row>
    <row r="502" spans="1:28" ht="30" customHeight="1">
      <c r="A502" s="8" t="s">
        <v>1316</v>
      </c>
      <c r="B502" s="157" t="s">
        <v>1315</v>
      </c>
      <c r="C502" s="157" t="s">
        <v>51</v>
      </c>
      <c r="D502" s="163" t="s">
        <v>82</v>
      </c>
      <c r="E502" s="164">
        <v>2200</v>
      </c>
      <c r="F502" s="165" t="s">
        <v>51</v>
      </c>
      <c r="G502" s="164">
        <v>0</v>
      </c>
      <c r="H502" s="165" t="s">
        <v>51</v>
      </c>
      <c r="I502" s="164">
        <v>0</v>
      </c>
      <c r="J502" s="165" t="s">
        <v>51</v>
      </c>
      <c r="K502" s="164">
        <v>0</v>
      </c>
      <c r="L502" s="165" t="s">
        <v>51</v>
      </c>
      <c r="M502" s="164"/>
      <c r="N502" s="165" t="s">
        <v>51</v>
      </c>
      <c r="O502" s="164">
        <f t="shared" si="28"/>
        <v>2200</v>
      </c>
      <c r="P502" s="166">
        <v>0</v>
      </c>
      <c r="Q502" s="166">
        <v>0</v>
      </c>
      <c r="R502" s="166">
        <v>0</v>
      </c>
      <c r="S502" s="166">
        <v>0</v>
      </c>
      <c r="T502" s="166">
        <v>0</v>
      </c>
      <c r="U502" s="13">
        <v>0</v>
      </c>
      <c r="V502" s="13">
        <v>0</v>
      </c>
      <c r="W502" s="8" t="s">
        <v>4063</v>
      </c>
      <c r="X502" s="8" t="s">
        <v>51</v>
      </c>
      <c r="Y502" s="2" t="s">
        <v>51</v>
      </c>
      <c r="Z502" s="2" t="s">
        <v>51</v>
      </c>
      <c r="AA502" s="14"/>
      <c r="AB502" s="2" t="s">
        <v>51</v>
      </c>
    </row>
    <row r="503" spans="1:28" ht="30" customHeight="1">
      <c r="A503" s="8" t="s">
        <v>1319</v>
      </c>
      <c r="B503" s="157" t="s">
        <v>1318</v>
      </c>
      <c r="C503" s="157" t="s">
        <v>51</v>
      </c>
      <c r="D503" s="163" t="s">
        <v>82</v>
      </c>
      <c r="E503" s="164">
        <v>1500</v>
      </c>
      <c r="F503" s="165" t="s">
        <v>51</v>
      </c>
      <c r="G503" s="164">
        <v>0</v>
      </c>
      <c r="H503" s="165" t="s">
        <v>51</v>
      </c>
      <c r="I503" s="164">
        <v>0</v>
      </c>
      <c r="J503" s="165" t="s">
        <v>51</v>
      </c>
      <c r="K503" s="164">
        <v>0</v>
      </c>
      <c r="L503" s="165" t="s">
        <v>51</v>
      </c>
      <c r="M503" s="164"/>
      <c r="N503" s="165" t="s">
        <v>51</v>
      </c>
      <c r="O503" s="164">
        <f t="shared" si="28"/>
        <v>1500</v>
      </c>
      <c r="P503" s="166">
        <v>0</v>
      </c>
      <c r="Q503" s="166">
        <v>0</v>
      </c>
      <c r="R503" s="166">
        <v>0</v>
      </c>
      <c r="S503" s="166">
        <v>0</v>
      </c>
      <c r="T503" s="166">
        <v>0</v>
      </c>
      <c r="U503" s="13">
        <v>0</v>
      </c>
      <c r="V503" s="13">
        <v>0</v>
      </c>
      <c r="W503" s="8" t="s">
        <v>4064</v>
      </c>
      <c r="X503" s="8" t="s">
        <v>51</v>
      </c>
      <c r="Y503" s="2" t="s">
        <v>51</v>
      </c>
      <c r="Z503" s="2" t="s">
        <v>51</v>
      </c>
      <c r="AA503" s="14"/>
      <c r="AB503" s="2" t="s">
        <v>51</v>
      </c>
    </row>
    <row r="504" spans="1:28" ht="30" customHeight="1">
      <c r="A504" s="8" t="s">
        <v>1277</v>
      </c>
      <c r="B504" s="157" t="s">
        <v>1275</v>
      </c>
      <c r="C504" s="157" t="s">
        <v>1276</v>
      </c>
      <c r="D504" s="163" t="s">
        <v>1230</v>
      </c>
      <c r="E504" s="164">
        <v>0</v>
      </c>
      <c r="F504" s="165" t="s">
        <v>51</v>
      </c>
      <c r="G504" s="164">
        <v>9162.5</v>
      </c>
      <c r="H504" s="165" t="s">
        <v>2229</v>
      </c>
      <c r="I504" s="164">
        <v>10081.25</v>
      </c>
      <c r="J504" s="165" t="s">
        <v>2230</v>
      </c>
      <c r="K504" s="164">
        <v>0</v>
      </c>
      <c r="L504" s="165" t="s">
        <v>51</v>
      </c>
      <c r="M504" s="164">
        <v>0</v>
      </c>
      <c r="N504" s="165" t="s">
        <v>51</v>
      </c>
      <c r="O504" s="164">
        <f t="shared" si="28"/>
        <v>9162.5</v>
      </c>
      <c r="P504" s="166">
        <v>0</v>
      </c>
      <c r="Q504" s="166">
        <v>0</v>
      </c>
      <c r="R504" s="166">
        <v>0</v>
      </c>
      <c r="S504" s="166">
        <v>0</v>
      </c>
      <c r="T504" s="166">
        <v>0</v>
      </c>
      <c r="U504" s="13">
        <v>0</v>
      </c>
      <c r="V504" s="13">
        <v>0</v>
      </c>
      <c r="W504" s="8" t="s">
        <v>4065</v>
      </c>
      <c r="X504" s="8" t="s">
        <v>51</v>
      </c>
      <c r="Y504" s="2" t="s">
        <v>51</v>
      </c>
      <c r="Z504" s="2" t="s">
        <v>51</v>
      </c>
      <c r="AA504" s="14"/>
      <c r="AB504" s="2" t="s">
        <v>51</v>
      </c>
    </row>
    <row r="505" spans="1:28" ht="30" customHeight="1">
      <c r="A505" s="8" t="s">
        <v>1280</v>
      </c>
      <c r="B505" s="157" t="s">
        <v>1275</v>
      </c>
      <c r="C505" s="157" t="s">
        <v>1279</v>
      </c>
      <c r="D505" s="163" t="s">
        <v>1230</v>
      </c>
      <c r="E505" s="164">
        <v>0</v>
      </c>
      <c r="F505" s="165" t="s">
        <v>51</v>
      </c>
      <c r="G505" s="164">
        <v>2290</v>
      </c>
      <c r="H505" s="165" t="s">
        <v>51</v>
      </c>
      <c r="I505" s="164">
        <v>0</v>
      </c>
      <c r="J505" s="165" t="s">
        <v>51</v>
      </c>
      <c r="K505" s="164">
        <v>0</v>
      </c>
      <c r="L505" s="165" t="s">
        <v>51</v>
      </c>
      <c r="M505" s="164">
        <v>0</v>
      </c>
      <c r="N505" s="165" t="s">
        <v>51</v>
      </c>
      <c r="O505" s="164">
        <f t="shared" si="28"/>
        <v>2290</v>
      </c>
      <c r="P505" s="166">
        <v>0</v>
      </c>
      <c r="Q505" s="166">
        <v>0</v>
      </c>
      <c r="R505" s="166">
        <v>0</v>
      </c>
      <c r="S505" s="166">
        <v>0</v>
      </c>
      <c r="T505" s="166">
        <v>0</v>
      </c>
      <c r="U505" s="13">
        <v>0</v>
      </c>
      <c r="V505" s="13">
        <v>0</v>
      </c>
      <c r="W505" s="8" t="s">
        <v>4066</v>
      </c>
      <c r="X505" s="8" t="s">
        <v>51</v>
      </c>
      <c r="Y505" s="2" t="s">
        <v>51</v>
      </c>
      <c r="Z505" s="2" t="s">
        <v>51</v>
      </c>
      <c r="AA505" s="14"/>
      <c r="AB505" s="2" t="s">
        <v>51</v>
      </c>
    </row>
    <row r="506" spans="1:28" ht="30" customHeight="1">
      <c r="A506" s="8" t="s">
        <v>1753</v>
      </c>
      <c r="B506" s="157" t="s">
        <v>1242</v>
      </c>
      <c r="C506" s="157" t="s">
        <v>1752</v>
      </c>
      <c r="D506" s="163" t="s">
        <v>1230</v>
      </c>
      <c r="E506" s="164">
        <v>0</v>
      </c>
      <c r="F506" s="165" t="s">
        <v>51</v>
      </c>
      <c r="G506" s="164">
        <v>2705.55</v>
      </c>
      <c r="H506" s="165" t="s">
        <v>2233</v>
      </c>
      <c r="I506" s="164">
        <v>2705.55</v>
      </c>
      <c r="J506" s="165" t="s">
        <v>2234</v>
      </c>
      <c r="K506" s="164">
        <v>0</v>
      </c>
      <c r="L506" s="165" t="s">
        <v>51</v>
      </c>
      <c r="M506" s="164">
        <v>0</v>
      </c>
      <c r="N506" s="165" t="s">
        <v>51</v>
      </c>
      <c r="O506" s="164">
        <f>SMALL(E506:M506,COUNTIF(E506:M506,0)+1)</f>
        <v>2705.55</v>
      </c>
      <c r="P506" s="166">
        <v>0</v>
      </c>
      <c r="Q506" s="166">
        <v>0</v>
      </c>
      <c r="R506" s="166">
        <v>0</v>
      </c>
      <c r="S506" s="166">
        <v>0</v>
      </c>
      <c r="T506" s="166">
        <v>0</v>
      </c>
      <c r="U506" s="13">
        <v>0</v>
      </c>
      <c r="V506" s="13">
        <v>0</v>
      </c>
      <c r="W506" s="8" t="s">
        <v>4067</v>
      </c>
      <c r="X506" s="8" t="s">
        <v>51</v>
      </c>
      <c r="Y506" s="2" t="s">
        <v>51</v>
      </c>
      <c r="Z506" s="2" t="s">
        <v>51</v>
      </c>
      <c r="AA506" s="14"/>
      <c r="AB506" s="2" t="s">
        <v>51</v>
      </c>
    </row>
    <row r="507" spans="1:28" ht="30" customHeight="1">
      <c r="A507" s="8" t="s">
        <v>1244</v>
      </c>
      <c r="B507" s="157" t="s">
        <v>1242</v>
      </c>
      <c r="C507" s="157" t="s">
        <v>1243</v>
      </c>
      <c r="D507" s="163" t="s">
        <v>1230</v>
      </c>
      <c r="E507" s="164">
        <v>4860</v>
      </c>
      <c r="F507" s="165" t="s">
        <v>51</v>
      </c>
      <c r="G507" s="164">
        <v>3250</v>
      </c>
      <c r="H507" s="165" t="s">
        <v>2236</v>
      </c>
      <c r="I507" s="164">
        <v>4338.88</v>
      </c>
      <c r="J507" s="165" t="s">
        <v>2234</v>
      </c>
      <c r="K507" s="164">
        <v>0</v>
      </c>
      <c r="L507" s="165" t="s">
        <v>51</v>
      </c>
      <c r="M507" s="164">
        <v>0</v>
      </c>
      <c r="N507" s="165" t="s">
        <v>51</v>
      </c>
      <c r="O507" s="164">
        <f>SMALL(E507:M507,COUNTIF(E507:M507,0)+1)</f>
        <v>3250</v>
      </c>
      <c r="P507" s="166">
        <v>0</v>
      </c>
      <c r="Q507" s="166">
        <v>0</v>
      </c>
      <c r="R507" s="166">
        <v>0</v>
      </c>
      <c r="S507" s="166">
        <v>0</v>
      </c>
      <c r="T507" s="166">
        <v>0</v>
      </c>
      <c r="U507" s="13">
        <v>0</v>
      </c>
      <c r="V507" s="13">
        <v>0</v>
      </c>
      <c r="W507" s="8" t="s">
        <v>4068</v>
      </c>
      <c r="X507" s="8" t="s">
        <v>51</v>
      </c>
      <c r="Y507" s="2" t="s">
        <v>51</v>
      </c>
      <c r="Z507" s="2" t="s">
        <v>51</v>
      </c>
      <c r="AA507" s="14"/>
      <c r="AB507" s="2" t="s">
        <v>51</v>
      </c>
    </row>
    <row r="508" spans="1:28" ht="30" customHeight="1">
      <c r="A508" s="8" t="s">
        <v>1600</v>
      </c>
      <c r="B508" s="157" t="s">
        <v>637</v>
      </c>
      <c r="C508" s="157" t="s">
        <v>1599</v>
      </c>
      <c r="D508" s="163" t="s">
        <v>1230</v>
      </c>
      <c r="E508" s="164">
        <v>0</v>
      </c>
      <c r="F508" s="165" t="s">
        <v>51</v>
      </c>
      <c r="G508" s="164">
        <v>3922.22</v>
      </c>
      <c r="H508" s="165" t="s">
        <v>2236</v>
      </c>
      <c r="I508" s="164">
        <v>0</v>
      </c>
      <c r="J508" s="165" t="s">
        <v>51</v>
      </c>
      <c r="K508" s="164">
        <v>0</v>
      </c>
      <c r="L508" s="165" t="s">
        <v>51</v>
      </c>
      <c r="M508" s="164">
        <v>0</v>
      </c>
      <c r="N508" s="165" t="s">
        <v>51</v>
      </c>
      <c r="O508" s="164">
        <f>SMALL(E508:M508,COUNTIF(E508:M508,0)+1)</f>
        <v>3922.22</v>
      </c>
      <c r="P508" s="166">
        <v>0</v>
      </c>
      <c r="Q508" s="166">
        <v>0</v>
      </c>
      <c r="R508" s="166">
        <v>0</v>
      </c>
      <c r="S508" s="166">
        <v>0</v>
      </c>
      <c r="T508" s="166">
        <v>0</v>
      </c>
      <c r="U508" s="13">
        <v>0</v>
      </c>
      <c r="V508" s="13">
        <v>0</v>
      </c>
      <c r="W508" s="8" t="s">
        <v>4069</v>
      </c>
      <c r="X508" s="8" t="s">
        <v>51</v>
      </c>
      <c r="Y508" s="2" t="s">
        <v>51</v>
      </c>
      <c r="Z508" s="2" t="s">
        <v>51</v>
      </c>
      <c r="AA508" s="14"/>
      <c r="AB508" s="2" t="s">
        <v>51</v>
      </c>
    </row>
    <row r="509" spans="1:28" ht="30" customHeight="1">
      <c r="A509" s="8" t="s">
        <v>1781</v>
      </c>
      <c r="B509" s="157" t="s">
        <v>1766</v>
      </c>
      <c r="C509" s="157" t="s">
        <v>1780</v>
      </c>
      <c r="D509" s="163" t="s">
        <v>1230</v>
      </c>
      <c r="E509" s="164">
        <v>0</v>
      </c>
      <c r="F509" s="165" t="s">
        <v>51</v>
      </c>
      <c r="G509" s="164">
        <v>5588.88</v>
      </c>
      <c r="H509" s="165" t="s">
        <v>2210</v>
      </c>
      <c r="I509" s="164">
        <v>0</v>
      </c>
      <c r="J509" s="165" t="s">
        <v>51</v>
      </c>
      <c r="K509" s="164">
        <v>0</v>
      </c>
      <c r="L509" s="165" t="s">
        <v>51</v>
      </c>
      <c r="M509" s="164">
        <v>0</v>
      </c>
      <c r="N509" s="165" t="s">
        <v>51</v>
      </c>
      <c r="O509" s="164">
        <f>SMALL(E509:M509,COUNTIF(E509:M509,0)+1)</f>
        <v>5588.88</v>
      </c>
      <c r="P509" s="166">
        <v>0</v>
      </c>
      <c r="Q509" s="166">
        <v>0</v>
      </c>
      <c r="R509" s="166">
        <v>0</v>
      </c>
      <c r="S509" s="166">
        <v>0</v>
      </c>
      <c r="T509" s="166">
        <v>0</v>
      </c>
      <c r="U509" s="13">
        <v>0</v>
      </c>
      <c r="V509" s="13">
        <v>0</v>
      </c>
      <c r="W509" s="8" t="s">
        <v>4070</v>
      </c>
      <c r="X509" s="8" t="s">
        <v>51</v>
      </c>
      <c r="Y509" s="2" t="s">
        <v>51</v>
      </c>
      <c r="Z509" s="2" t="s">
        <v>51</v>
      </c>
      <c r="AA509" s="14"/>
      <c r="AB509" s="2" t="s">
        <v>51</v>
      </c>
    </row>
    <row r="510" spans="1:28" ht="30" customHeight="1">
      <c r="A510" s="8" t="s">
        <v>1778</v>
      </c>
      <c r="B510" s="157" t="s">
        <v>1766</v>
      </c>
      <c r="C510" s="157" t="s">
        <v>1777</v>
      </c>
      <c r="D510" s="163" t="s">
        <v>1230</v>
      </c>
      <c r="E510" s="164">
        <v>0</v>
      </c>
      <c r="F510" s="165" t="s">
        <v>51</v>
      </c>
      <c r="G510" s="164">
        <v>5416.66</v>
      </c>
      <c r="H510" s="165" t="s">
        <v>2210</v>
      </c>
      <c r="I510" s="164">
        <v>5762.5</v>
      </c>
      <c r="J510" s="165" t="s">
        <v>2218</v>
      </c>
      <c r="K510" s="164">
        <v>0</v>
      </c>
      <c r="L510" s="165" t="s">
        <v>51</v>
      </c>
      <c r="M510" s="164">
        <v>0</v>
      </c>
      <c r="N510" s="165" t="s">
        <v>51</v>
      </c>
      <c r="O510" s="164">
        <f>SMALL(E510:M510,COUNTIF(E510:M510,0)+1)</f>
        <v>5416.66</v>
      </c>
      <c r="P510" s="166">
        <v>0</v>
      </c>
      <c r="Q510" s="166">
        <v>0</v>
      </c>
      <c r="R510" s="166">
        <v>0</v>
      </c>
      <c r="S510" s="166">
        <v>0</v>
      </c>
      <c r="T510" s="166">
        <v>0</v>
      </c>
      <c r="U510" s="13">
        <v>0</v>
      </c>
      <c r="V510" s="13">
        <v>0</v>
      </c>
      <c r="W510" s="8" t="s">
        <v>4071</v>
      </c>
      <c r="X510" s="8" t="s">
        <v>51</v>
      </c>
      <c r="Y510" s="2" t="s">
        <v>51</v>
      </c>
      <c r="Z510" s="2" t="s">
        <v>51</v>
      </c>
      <c r="AA510" s="14"/>
      <c r="AB510" s="2" t="s">
        <v>51</v>
      </c>
    </row>
    <row r="511" spans="1:28" ht="30" customHeight="1">
      <c r="A511" s="8" t="s">
        <v>1771</v>
      </c>
      <c r="B511" s="157" t="s">
        <v>1766</v>
      </c>
      <c r="C511" s="157" t="s">
        <v>1770</v>
      </c>
      <c r="D511" s="163" t="s">
        <v>1230</v>
      </c>
      <c r="E511" s="164">
        <v>0</v>
      </c>
      <c r="F511" s="165" t="s">
        <v>51</v>
      </c>
      <c r="G511" s="164">
        <v>2708</v>
      </c>
      <c r="H511" s="165" t="s">
        <v>51</v>
      </c>
      <c r="I511" s="164">
        <v>0</v>
      </c>
      <c r="J511" s="165" t="s">
        <v>51</v>
      </c>
      <c r="K511" s="164">
        <v>0</v>
      </c>
      <c r="L511" s="165" t="s">
        <v>51</v>
      </c>
      <c r="M511" s="164">
        <v>0</v>
      </c>
      <c r="N511" s="165" t="s">
        <v>51</v>
      </c>
      <c r="O511" s="164">
        <f t="shared" ref="O511:O512" si="30">SMALL(E511:M511,COUNTIF(E511:M511,0)+1)</f>
        <v>2708</v>
      </c>
      <c r="P511" s="166">
        <v>0</v>
      </c>
      <c r="Q511" s="166">
        <v>0</v>
      </c>
      <c r="R511" s="166">
        <v>0</v>
      </c>
      <c r="S511" s="166">
        <v>0</v>
      </c>
      <c r="T511" s="166">
        <v>0</v>
      </c>
      <c r="U511" s="13">
        <v>0</v>
      </c>
      <c r="V511" s="13">
        <v>0</v>
      </c>
      <c r="W511" s="8" t="s">
        <v>4072</v>
      </c>
      <c r="X511" s="8" t="s">
        <v>51</v>
      </c>
      <c r="Y511" s="2" t="s">
        <v>51</v>
      </c>
      <c r="Z511" s="2" t="s">
        <v>51</v>
      </c>
      <c r="AA511" s="14"/>
      <c r="AB511" s="2" t="s">
        <v>51</v>
      </c>
    </row>
    <row r="512" spans="1:28" ht="30" customHeight="1">
      <c r="A512" s="8" t="s">
        <v>1768</v>
      </c>
      <c r="B512" s="157" t="s">
        <v>1766</v>
      </c>
      <c r="C512" s="157" t="s">
        <v>1767</v>
      </c>
      <c r="D512" s="163" t="s">
        <v>1230</v>
      </c>
      <c r="E512" s="164">
        <v>0</v>
      </c>
      <c r="F512" s="165" t="s">
        <v>51</v>
      </c>
      <c r="G512" s="164">
        <v>1354</v>
      </c>
      <c r="H512" s="165" t="s">
        <v>51</v>
      </c>
      <c r="I512" s="164">
        <v>0</v>
      </c>
      <c r="J512" s="165" t="s">
        <v>51</v>
      </c>
      <c r="K512" s="164">
        <v>0</v>
      </c>
      <c r="L512" s="165" t="s">
        <v>51</v>
      </c>
      <c r="M512" s="164">
        <v>0</v>
      </c>
      <c r="N512" s="165" t="s">
        <v>51</v>
      </c>
      <c r="O512" s="164">
        <f t="shared" si="30"/>
        <v>1354</v>
      </c>
      <c r="P512" s="166">
        <v>0</v>
      </c>
      <c r="Q512" s="166">
        <v>0</v>
      </c>
      <c r="R512" s="166">
        <v>0</v>
      </c>
      <c r="S512" s="166">
        <v>0</v>
      </c>
      <c r="T512" s="166">
        <v>0</v>
      </c>
      <c r="U512" s="13">
        <v>0</v>
      </c>
      <c r="V512" s="13">
        <v>0</v>
      </c>
      <c r="W512" s="8" t="s">
        <v>4073</v>
      </c>
      <c r="X512" s="8" t="s">
        <v>51</v>
      </c>
      <c r="Y512" s="2" t="s">
        <v>51</v>
      </c>
      <c r="Z512" s="2" t="s">
        <v>51</v>
      </c>
      <c r="AA512" s="14"/>
      <c r="AB512" s="2" t="s">
        <v>51</v>
      </c>
    </row>
    <row r="513" spans="1:28" ht="30" customHeight="1">
      <c r="A513" s="8" t="s">
        <v>1523</v>
      </c>
      <c r="B513" s="157" t="s">
        <v>1521</v>
      </c>
      <c r="C513" s="157" t="s">
        <v>1522</v>
      </c>
      <c r="D513" s="163" t="s">
        <v>1230</v>
      </c>
      <c r="E513" s="164">
        <v>15694</v>
      </c>
      <c r="F513" s="165" t="s">
        <v>51</v>
      </c>
      <c r="G513" s="164">
        <v>17000</v>
      </c>
      <c r="H513" s="165" t="s">
        <v>2243</v>
      </c>
      <c r="I513" s="164">
        <v>0</v>
      </c>
      <c r="J513" s="165" t="s">
        <v>51</v>
      </c>
      <c r="K513" s="164">
        <v>0</v>
      </c>
      <c r="L513" s="165" t="s">
        <v>51</v>
      </c>
      <c r="M513" s="164">
        <v>0</v>
      </c>
      <c r="N513" s="165" t="s">
        <v>51</v>
      </c>
      <c r="O513" s="164">
        <f t="shared" ref="O513:O519" si="31">SMALL(E513:M513,COUNTIF(E513:M513,0)+1)</f>
        <v>15694</v>
      </c>
      <c r="P513" s="166">
        <v>0</v>
      </c>
      <c r="Q513" s="166">
        <v>0</v>
      </c>
      <c r="R513" s="166">
        <v>0</v>
      </c>
      <c r="S513" s="166">
        <v>0</v>
      </c>
      <c r="T513" s="166">
        <v>0</v>
      </c>
      <c r="U513" s="13">
        <v>0</v>
      </c>
      <c r="V513" s="13">
        <v>0</v>
      </c>
      <c r="W513" s="8" t="s">
        <v>4074</v>
      </c>
      <c r="X513" s="8" t="s">
        <v>51</v>
      </c>
      <c r="Y513" s="2" t="s">
        <v>51</v>
      </c>
      <c r="Z513" s="2" t="s">
        <v>51</v>
      </c>
      <c r="AA513" s="14"/>
      <c r="AB513" s="2" t="s">
        <v>51</v>
      </c>
    </row>
    <row r="514" spans="1:28" ht="30" customHeight="1">
      <c r="A514" s="8" t="s">
        <v>1784</v>
      </c>
      <c r="B514" s="1178" t="s">
        <v>1773</v>
      </c>
      <c r="C514" s="1178" t="s">
        <v>1783</v>
      </c>
      <c r="D514" s="1179" t="s">
        <v>1230</v>
      </c>
      <c r="E514" s="1182">
        <v>1778</v>
      </c>
      <c r="F514" s="1181" t="s">
        <v>51</v>
      </c>
      <c r="G514" s="1180">
        <v>3579.44</v>
      </c>
      <c r="H514" s="1181" t="s">
        <v>2236</v>
      </c>
      <c r="I514" s="1180">
        <v>2833.33</v>
      </c>
      <c r="J514" s="1181" t="s">
        <v>2245</v>
      </c>
      <c r="K514" s="1180">
        <v>0</v>
      </c>
      <c r="L514" s="1181" t="s">
        <v>51</v>
      </c>
      <c r="M514" s="1180">
        <v>0</v>
      </c>
      <c r="N514" s="1181" t="s">
        <v>51</v>
      </c>
      <c r="O514" s="1180">
        <f t="shared" si="31"/>
        <v>1778</v>
      </c>
      <c r="P514" s="1184">
        <v>0</v>
      </c>
      <c r="Q514" s="1184">
        <v>0</v>
      </c>
      <c r="R514" s="1184">
        <v>0</v>
      </c>
      <c r="S514" s="1184">
        <v>0</v>
      </c>
      <c r="T514" s="1184">
        <v>0</v>
      </c>
      <c r="U514" s="1184">
        <v>0</v>
      </c>
      <c r="V514" s="1184">
        <v>0</v>
      </c>
      <c r="W514" s="1178" t="s">
        <v>4075</v>
      </c>
      <c r="X514" s="1178" t="s">
        <v>51</v>
      </c>
      <c r="Y514" s="2" t="s">
        <v>51</v>
      </c>
      <c r="Z514" s="2" t="s">
        <v>51</v>
      </c>
      <c r="AA514" s="14"/>
      <c r="AB514" s="2" t="s">
        <v>51</v>
      </c>
    </row>
    <row r="515" spans="1:28" ht="30" customHeight="1">
      <c r="A515" s="8" t="s">
        <v>1775</v>
      </c>
      <c r="B515" s="1178" t="s">
        <v>1773</v>
      </c>
      <c r="C515" s="1178" t="s">
        <v>1774</v>
      </c>
      <c r="D515" s="1179" t="s">
        <v>1230</v>
      </c>
      <c r="E515" s="1182">
        <v>1780</v>
      </c>
      <c r="F515" s="1181" t="s">
        <v>51</v>
      </c>
      <c r="G515" s="1180">
        <v>3615</v>
      </c>
      <c r="H515" s="1181" t="s">
        <v>2236</v>
      </c>
      <c r="I515" s="1180">
        <v>1944.44</v>
      </c>
      <c r="J515" s="1181" t="s">
        <v>2245</v>
      </c>
      <c r="K515" s="1180">
        <v>0</v>
      </c>
      <c r="L515" s="1181" t="s">
        <v>51</v>
      </c>
      <c r="M515" s="1180">
        <v>0</v>
      </c>
      <c r="N515" s="1181" t="s">
        <v>51</v>
      </c>
      <c r="O515" s="1180">
        <f t="shared" si="31"/>
        <v>1780</v>
      </c>
      <c r="P515" s="1184">
        <v>0</v>
      </c>
      <c r="Q515" s="1184">
        <v>0</v>
      </c>
      <c r="R515" s="1184">
        <v>0</v>
      </c>
      <c r="S515" s="1184">
        <v>0</v>
      </c>
      <c r="T515" s="1184">
        <v>0</v>
      </c>
      <c r="U515" s="1184">
        <v>0</v>
      </c>
      <c r="V515" s="1184">
        <v>0</v>
      </c>
      <c r="W515" s="1178" t="s">
        <v>4076</v>
      </c>
      <c r="X515" s="1178" t="s">
        <v>51</v>
      </c>
      <c r="Y515" s="2" t="s">
        <v>51</v>
      </c>
      <c r="Z515" s="2" t="s">
        <v>51</v>
      </c>
      <c r="AA515" s="14"/>
      <c r="AB515" s="2" t="s">
        <v>51</v>
      </c>
    </row>
    <row r="516" spans="1:28" ht="30" customHeight="1">
      <c r="A516" s="8" t="s">
        <v>1380</v>
      </c>
      <c r="B516" s="157" t="s">
        <v>1378</v>
      </c>
      <c r="C516" s="157" t="s">
        <v>1379</v>
      </c>
      <c r="D516" s="163" t="s">
        <v>204</v>
      </c>
      <c r="E516" s="164">
        <v>961</v>
      </c>
      <c r="F516" s="165" t="s">
        <v>51</v>
      </c>
      <c r="G516" s="164">
        <v>1180</v>
      </c>
      <c r="H516" s="165" t="s">
        <v>1988</v>
      </c>
      <c r="I516" s="164">
        <v>1084</v>
      </c>
      <c r="J516" s="165" t="s">
        <v>2248</v>
      </c>
      <c r="K516" s="164">
        <v>0</v>
      </c>
      <c r="L516" s="165" t="s">
        <v>51</v>
      </c>
      <c r="M516" s="164">
        <v>0</v>
      </c>
      <c r="N516" s="165" t="s">
        <v>51</v>
      </c>
      <c r="O516" s="164">
        <f t="shared" si="31"/>
        <v>961</v>
      </c>
      <c r="P516" s="166">
        <v>0</v>
      </c>
      <c r="Q516" s="166">
        <v>0</v>
      </c>
      <c r="R516" s="166">
        <v>0</v>
      </c>
      <c r="S516" s="166">
        <v>0</v>
      </c>
      <c r="T516" s="166">
        <v>0</v>
      </c>
      <c r="U516" s="13">
        <v>0</v>
      </c>
      <c r="V516" s="13">
        <v>0</v>
      </c>
      <c r="W516" s="8" t="s">
        <v>4077</v>
      </c>
      <c r="X516" s="8" t="s">
        <v>51</v>
      </c>
      <c r="Y516" s="2" t="s">
        <v>51</v>
      </c>
      <c r="Z516" s="2" t="s">
        <v>51</v>
      </c>
      <c r="AA516" s="14"/>
      <c r="AB516" s="2" t="s">
        <v>51</v>
      </c>
    </row>
    <row r="517" spans="1:28" ht="30" customHeight="1">
      <c r="A517" s="8" t="s">
        <v>1727</v>
      </c>
      <c r="B517" s="157" t="s">
        <v>987</v>
      </c>
      <c r="C517" s="157" t="s">
        <v>1726</v>
      </c>
      <c r="D517" s="163" t="s">
        <v>993</v>
      </c>
      <c r="E517" s="164">
        <v>1640</v>
      </c>
      <c r="F517" s="165" t="s">
        <v>51</v>
      </c>
      <c r="G517" s="164">
        <v>1200</v>
      </c>
      <c r="H517" s="165" t="s">
        <v>2250</v>
      </c>
      <c r="I517" s="164">
        <v>0</v>
      </c>
      <c r="J517" s="165" t="s">
        <v>51</v>
      </c>
      <c r="K517" s="164">
        <v>0</v>
      </c>
      <c r="L517" s="165" t="s">
        <v>51</v>
      </c>
      <c r="M517" s="164">
        <v>0</v>
      </c>
      <c r="N517" s="165" t="s">
        <v>51</v>
      </c>
      <c r="O517" s="164">
        <f t="shared" si="31"/>
        <v>1200</v>
      </c>
      <c r="P517" s="166">
        <v>0</v>
      </c>
      <c r="Q517" s="166">
        <v>0</v>
      </c>
      <c r="R517" s="166">
        <v>0</v>
      </c>
      <c r="S517" s="166">
        <v>0</v>
      </c>
      <c r="T517" s="166">
        <v>0</v>
      </c>
      <c r="U517" s="13">
        <v>0</v>
      </c>
      <c r="V517" s="13">
        <v>0</v>
      </c>
      <c r="W517" s="8" t="s">
        <v>4078</v>
      </c>
      <c r="X517" s="8" t="s">
        <v>51</v>
      </c>
      <c r="Y517" s="2" t="s">
        <v>51</v>
      </c>
      <c r="Z517" s="2" t="s">
        <v>51</v>
      </c>
      <c r="AA517" s="14"/>
      <c r="AB517" s="2" t="s">
        <v>51</v>
      </c>
    </row>
    <row r="518" spans="1:28" ht="30" customHeight="1">
      <c r="A518" s="8" t="s">
        <v>1730</v>
      </c>
      <c r="B518" s="157" t="s">
        <v>987</v>
      </c>
      <c r="C518" s="157" t="s">
        <v>1729</v>
      </c>
      <c r="D518" s="163" t="s">
        <v>1394</v>
      </c>
      <c r="E518" s="164">
        <v>50</v>
      </c>
      <c r="F518" s="165" t="s">
        <v>51</v>
      </c>
      <c r="G518" s="164">
        <v>0</v>
      </c>
      <c r="H518" s="165" t="s">
        <v>51</v>
      </c>
      <c r="I518" s="164">
        <v>0</v>
      </c>
      <c r="J518" s="165" t="s">
        <v>51</v>
      </c>
      <c r="K518" s="164">
        <v>0</v>
      </c>
      <c r="L518" s="165" t="s">
        <v>51</v>
      </c>
      <c r="M518" s="164">
        <v>0</v>
      </c>
      <c r="N518" s="165" t="s">
        <v>51</v>
      </c>
      <c r="O518" s="164">
        <f t="shared" si="31"/>
        <v>50</v>
      </c>
      <c r="P518" s="166">
        <v>0</v>
      </c>
      <c r="Q518" s="166">
        <v>0</v>
      </c>
      <c r="R518" s="166">
        <v>0</v>
      </c>
      <c r="S518" s="166">
        <v>0</v>
      </c>
      <c r="T518" s="166">
        <v>0</v>
      </c>
      <c r="U518" s="13">
        <v>0</v>
      </c>
      <c r="V518" s="13">
        <v>0</v>
      </c>
      <c r="W518" s="8" t="s">
        <v>4079</v>
      </c>
      <c r="X518" s="8" t="s">
        <v>51</v>
      </c>
      <c r="Y518" s="2" t="s">
        <v>51</v>
      </c>
      <c r="Z518" s="2" t="s">
        <v>51</v>
      </c>
      <c r="AA518" s="14"/>
      <c r="AB518" s="2" t="s">
        <v>51</v>
      </c>
    </row>
    <row r="519" spans="1:28" ht="30" customHeight="1">
      <c r="A519" s="8" t="s">
        <v>83</v>
      </c>
      <c r="B519" s="157" t="s">
        <v>80</v>
      </c>
      <c r="C519" s="157" t="s">
        <v>81</v>
      </c>
      <c r="D519" s="163" t="s">
        <v>3726</v>
      </c>
      <c r="E519" s="164">
        <v>0</v>
      </c>
      <c r="F519" s="165" t="s">
        <v>51</v>
      </c>
      <c r="G519" s="164">
        <v>0</v>
      </c>
      <c r="H519" s="165" t="s">
        <v>51</v>
      </c>
      <c r="I519" s="164">
        <v>0</v>
      </c>
      <c r="J519" s="165" t="s">
        <v>51</v>
      </c>
      <c r="K519" s="164">
        <v>7500</v>
      </c>
      <c r="L519" s="165" t="s">
        <v>51</v>
      </c>
      <c r="M519" s="164">
        <v>0</v>
      </c>
      <c r="N519" s="165" t="s">
        <v>51</v>
      </c>
      <c r="O519" s="164">
        <f t="shared" si="31"/>
        <v>7500</v>
      </c>
      <c r="P519" s="166">
        <v>0</v>
      </c>
      <c r="Q519" s="166">
        <v>0</v>
      </c>
      <c r="R519" s="166">
        <v>0</v>
      </c>
      <c r="S519" s="166">
        <v>0</v>
      </c>
      <c r="T519" s="166">
        <v>0</v>
      </c>
      <c r="U519" s="13">
        <v>0</v>
      </c>
      <c r="V519" s="13">
        <v>0</v>
      </c>
      <c r="W519" s="8" t="s">
        <v>4080</v>
      </c>
      <c r="X519" s="8" t="s">
        <v>51</v>
      </c>
      <c r="Y519" s="2" t="s">
        <v>51</v>
      </c>
      <c r="Z519" s="2" t="s">
        <v>51</v>
      </c>
      <c r="AA519" s="14"/>
      <c r="AB519" s="2" t="s">
        <v>51</v>
      </c>
    </row>
    <row r="520" spans="1:28" ht="30" customHeight="1">
      <c r="A520" s="8"/>
      <c r="B520" s="157" t="s">
        <v>3814</v>
      </c>
      <c r="C520" s="157" t="s">
        <v>3815</v>
      </c>
      <c r="D520" s="163" t="s">
        <v>6562</v>
      </c>
      <c r="E520" s="164"/>
      <c r="F520" s="165"/>
      <c r="G520" s="164"/>
      <c r="H520" s="165"/>
      <c r="I520" s="164"/>
      <c r="J520" s="165"/>
      <c r="K520" s="164">
        <v>12000</v>
      </c>
      <c r="L520" s="165"/>
      <c r="M520" s="164">
        <v>18000</v>
      </c>
      <c r="N520" s="165"/>
      <c r="O520" s="164">
        <f t="shared" ref="O520:O539" si="32">SMALL(E520:M520,COUNTIF(E520:M520,0)+1)</f>
        <v>12000</v>
      </c>
      <c r="P520" s="166"/>
      <c r="Q520" s="166"/>
      <c r="R520" s="166"/>
      <c r="S520" s="166"/>
      <c r="T520" s="166"/>
      <c r="U520" s="13"/>
      <c r="V520" s="13"/>
      <c r="W520" s="8" t="s">
        <v>4081</v>
      </c>
      <c r="X520" s="8"/>
      <c r="Y520" s="2"/>
      <c r="Z520" s="2"/>
      <c r="AA520" s="14"/>
      <c r="AB520" s="2"/>
    </row>
    <row r="521" spans="1:28" ht="30" customHeight="1">
      <c r="A521" s="8"/>
      <c r="B521" s="157" t="s">
        <v>3816</v>
      </c>
      <c r="C521" s="157" t="s">
        <v>3817</v>
      </c>
      <c r="D521" s="163" t="s">
        <v>6562</v>
      </c>
      <c r="E521" s="164"/>
      <c r="F521" s="165"/>
      <c r="G521" s="164"/>
      <c r="H521" s="165"/>
      <c r="I521" s="164"/>
      <c r="J521" s="165"/>
      <c r="K521" s="164">
        <v>55000</v>
      </c>
      <c r="L521" s="165"/>
      <c r="M521" s="164">
        <v>62000</v>
      </c>
      <c r="N521" s="165"/>
      <c r="O521" s="164">
        <f t="shared" si="32"/>
        <v>55000</v>
      </c>
      <c r="P521" s="166"/>
      <c r="Q521" s="166"/>
      <c r="R521" s="166"/>
      <c r="S521" s="166"/>
      <c r="T521" s="166"/>
      <c r="U521" s="13"/>
      <c r="V521" s="13"/>
      <c r="W521" s="8" t="s">
        <v>4082</v>
      </c>
      <c r="X521" s="8"/>
      <c r="Y521" s="2"/>
      <c r="Z521" s="2"/>
      <c r="AA521" s="14"/>
      <c r="AB521" s="2"/>
    </row>
    <row r="522" spans="1:28" ht="30" customHeight="1">
      <c r="A522" s="8"/>
      <c r="B522" s="157" t="s">
        <v>3818</v>
      </c>
      <c r="C522" s="157" t="s">
        <v>3819</v>
      </c>
      <c r="D522" s="163" t="s">
        <v>6562</v>
      </c>
      <c r="E522" s="164"/>
      <c r="F522" s="165"/>
      <c r="G522" s="164"/>
      <c r="H522" s="165"/>
      <c r="I522" s="164"/>
      <c r="J522" s="165"/>
      <c r="K522" s="164">
        <v>165000</v>
      </c>
      <c r="L522" s="165"/>
      <c r="M522" s="164">
        <v>175000</v>
      </c>
      <c r="N522" s="165"/>
      <c r="O522" s="164">
        <f t="shared" si="32"/>
        <v>165000</v>
      </c>
      <c r="P522" s="166"/>
      <c r="Q522" s="166"/>
      <c r="R522" s="166"/>
      <c r="S522" s="166"/>
      <c r="T522" s="166"/>
      <c r="U522" s="13"/>
      <c r="V522" s="13"/>
      <c r="W522" s="8" t="s">
        <v>4083</v>
      </c>
      <c r="X522" s="8"/>
      <c r="Y522" s="2"/>
      <c r="Z522" s="2"/>
      <c r="AA522" s="14"/>
      <c r="AB522" s="2"/>
    </row>
    <row r="523" spans="1:28" ht="30" customHeight="1">
      <c r="A523" s="8"/>
      <c r="B523" s="157" t="s">
        <v>3820</v>
      </c>
      <c r="C523" s="157" t="s">
        <v>3821</v>
      </c>
      <c r="D523" s="163" t="s">
        <v>6562</v>
      </c>
      <c r="E523" s="164"/>
      <c r="F523" s="165"/>
      <c r="G523" s="164"/>
      <c r="H523" s="165"/>
      <c r="I523" s="164"/>
      <c r="J523" s="165"/>
      <c r="K523" s="164">
        <v>98000</v>
      </c>
      <c r="L523" s="165"/>
      <c r="M523" s="164">
        <v>110000</v>
      </c>
      <c r="N523" s="165"/>
      <c r="O523" s="164">
        <f t="shared" si="32"/>
        <v>98000</v>
      </c>
      <c r="P523" s="166"/>
      <c r="Q523" s="166"/>
      <c r="R523" s="166"/>
      <c r="S523" s="166"/>
      <c r="T523" s="166"/>
      <c r="U523" s="13"/>
      <c r="V523" s="13"/>
      <c r="W523" s="8" t="s">
        <v>4084</v>
      </c>
      <c r="X523" s="8"/>
      <c r="Y523" s="2"/>
      <c r="Z523" s="2"/>
      <c r="AA523" s="14"/>
      <c r="AB523" s="2"/>
    </row>
    <row r="524" spans="1:28" ht="30" customHeight="1">
      <c r="A524" s="8"/>
      <c r="B524" s="157" t="s">
        <v>3820</v>
      </c>
      <c r="C524" s="157" t="s">
        <v>3822</v>
      </c>
      <c r="D524" s="163" t="s">
        <v>6562</v>
      </c>
      <c r="E524" s="164"/>
      <c r="F524" s="165"/>
      <c r="G524" s="164"/>
      <c r="H524" s="165"/>
      <c r="I524" s="164"/>
      <c r="J524" s="165"/>
      <c r="K524" s="164">
        <v>85000</v>
      </c>
      <c r="L524" s="165"/>
      <c r="M524" s="164">
        <v>95000</v>
      </c>
      <c r="N524" s="165"/>
      <c r="O524" s="164">
        <f t="shared" si="32"/>
        <v>85000</v>
      </c>
      <c r="P524" s="166"/>
      <c r="Q524" s="166"/>
      <c r="R524" s="166"/>
      <c r="S524" s="166"/>
      <c r="T524" s="166"/>
      <c r="U524" s="13"/>
      <c r="V524" s="13"/>
      <c r="W524" s="8" t="s">
        <v>4085</v>
      </c>
      <c r="X524" s="8"/>
      <c r="Y524" s="2"/>
      <c r="Z524" s="2"/>
      <c r="AA524" s="14"/>
      <c r="AB524" s="2"/>
    </row>
    <row r="525" spans="1:28" ht="30" customHeight="1">
      <c r="A525" s="8"/>
      <c r="B525" s="157" t="s">
        <v>3820</v>
      </c>
      <c r="C525" s="157" t="s">
        <v>3823</v>
      </c>
      <c r="D525" s="163" t="s">
        <v>6562</v>
      </c>
      <c r="E525" s="164"/>
      <c r="F525" s="165"/>
      <c r="G525" s="164"/>
      <c r="H525" s="165"/>
      <c r="I525" s="164"/>
      <c r="J525" s="165"/>
      <c r="K525" s="164">
        <v>90000</v>
      </c>
      <c r="L525" s="165"/>
      <c r="M525" s="164">
        <v>98000</v>
      </c>
      <c r="N525" s="165"/>
      <c r="O525" s="164">
        <f t="shared" si="32"/>
        <v>90000</v>
      </c>
      <c r="P525" s="166"/>
      <c r="Q525" s="166"/>
      <c r="R525" s="166"/>
      <c r="S525" s="166"/>
      <c r="T525" s="166"/>
      <c r="U525" s="13"/>
      <c r="V525" s="13"/>
      <c r="W525" s="8" t="s">
        <v>4086</v>
      </c>
      <c r="X525" s="8"/>
      <c r="Y525" s="2"/>
      <c r="Z525" s="2"/>
      <c r="AA525" s="14"/>
      <c r="AB525" s="2"/>
    </row>
    <row r="526" spans="1:28" ht="30" customHeight="1">
      <c r="A526" s="8"/>
      <c r="B526" s="157" t="s">
        <v>3824</v>
      </c>
      <c r="C526" s="157" t="s">
        <v>3825</v>
      </c>
      <c r="D526" s="163" t="s">
        <v>6563</v>
      </c>
      <c r="E526" s="164"/>
      <c r="F526" s="165"/>
      <c r="G526" s="164"/>
      <c r="H526" s="165"/>
      <c r="I526" s="164"/>
      <c r="J526" s="165"/>
      <c r="K526" s="164">
        <v>55000</v>
      </c>
      <c r="L526" s="165"/>
      <c r="M526" s="164">
        <v>65800</v>
      </c>
      <c r="N526" s="165"/>
      <c r="O526" s="164">
        <f t="shared" si="32"/>
        <v>55000</v>
      </c>
      <c r="P526" s="166"/>
      <c r="Q526" s="166"/>
      <c r="R526" s="166"/>
      <c r="S526" s="166"/>
      <c r="T526" s="166"/>
      <c r="U526" s="13"/>
      <c r="V526" s="13"/>
      <c r="W526" s="8" t="s">
        <v>4087</v>
      </c>
      <c r="X526" s="8"/>
      <c r="Y526" s="2"/>
      <c r="Z526" s="2"/>
      <c r="AA526" s="14"/>
      <c r="AB526" s="2"/>
    </row>
    <row r="527" spans="1:28" ht="30" customHeight="1">
      <c r="A527" s="8"/>
      <c r="B527" s="157" t="s">
        <v>3826</v>
      </c>
      <c r="C527" s="157" t="s">
        <v>3827</v>
      </c>
      <c r="D527" s="163" t="s">
        <v>6564</v>
      </c>
      <c r="E527" s="164"/>
      <c r="F527" s="165"/>
      <c r="G527" s="164"/>
      <c r="H527" s="165"/>
      <c r="I527" s="164"/>
      <c r="J527" s="165"/>
      <c r="K527" s="164">
        <v>1650</v>
      </c>
      <c r="L527" s="165"/>
      <c r="M527" s="164">
        <v>2000</v>
      </c>
      <c r="N527" s="165"/>
      <c r="O527" s="164">
        <f t="shared" si="32"/>
        <v>1650</v>
      </c>
      <c r="P527" s="166"/>
      <c r="Q527" s="166"/>
      <c r="R527" s="166"/>
      <c r="S527" s="166"/>
      <c r="T527" s="166"/>
      <c r="U527" s="13"/>
      <c r="V527" s="13"/>
      <c r="W527" s="8" t="s">
        <v>4088</v>
      </c>
      <c r="X527" s="8"/>
      <c r="Y527" s="2"/>
      <c r="Z527" s="2"/>
      <c r="AA527" s="14"/>
      <c r="AB527" s="2"/>
    </row>
    <row r="528" spans="1:28" ht="30" customHeight="1">
      <c r="A528" s="8"/>
      <c r="B528" s="157" t="s">
        <v>3828</v>
      </c>
      <c r="C528" s="157" t="s">
        <v>3829</v>
      </c>
      <c r="D528" s="163" t="s">
        <v>6562</v>
      </c>
      <c r="E528" s="164"/>
      <c r="F528" s="165"/>
      <c r="G528" s="164"/>
      <c r="H528" s="165"/>
      <c r="I528" s="164"/>
      <c r="J528" s="165"/>
      <c r="K528" s="164">
        <v>1700</v>
      </c>
      <c r="L528" s="165"/>
      <c r="M528" s="164">
        <v>1980</v>
      </c>
      <c r="N528" s="165"/>
      <c r="O528" s="164">
        <f t="shared" si="32"/>
        <v>1700</v>
      </c>
      <c r="P528" s="166"/>
      <c r="Q528" s="166"/>
      <c r="R528" s="166"/>
      <c r="S528" s="166"/>
      <c r="T528" s="166"/>
      <c r="U528" s="13"/>
      <c r="V528" s="13"/>
      <c r="W528" s="8" t="s">
        <v>4089</v>
      </c>
      <c r="X528" s="8"/>
      <c r="Y528" s="2"/>
      <c r="Z528" s="2"/>
      <c r="AA528" s="14"/>
      <c r="AB528" s="2"/>
    </row>
    <row r="529" spans="1:28" ht="30" customHeight="1">
      <c r="A529" s="8"/>
      <c r="B529" s="157" t="s">
        <v>3830</v>
      </c>
      <c r="C529" s="157" t="s">
        <v>3831</v>
      </c>
      <c r="D529" s="163" t="s">
        <v>6565</v>
      </c>
      <c r="E529" s="164"/>
      <c r="F529" s="165"/>
      <c r="G529" s="164"/>
      <c r="H529" s="165"/>
      <c r="I529" s="164"/>
      <c r="J529" s="165"/>
      <c r="K529" s="164">
        <v>2800</v>
      </c>
      <c r="L529" s="165"/>
      <c r="M529" s="164">
        <v>3200</v>
      </c>
      <c r="N529" s="165"/>
      <c r="O529" s="164">
        <f t="shared" si="32"/>
        <v>2800</v>
      </c>
      <c r="P529" s="166"/>
      <c r="Q529" s="166"/>
      <c r="R529" s="166"/>
      <c r="S529" s="166"/>
      <c r="T529" s="166"/>
      <c r="U529" s="13"/>
      <c r="V529" s="13"/>
      <c r="W529" s="8" t="s">
        <v>4090</v>
      </c>
      <c r="X529" s="8"/>
      <c r="Y529" s="2"/>
      <c r="Z529" s="2"/>
      <c r="AA529" s="14"/>
      <c r="AB529" s="2"/>
    </row>
    <row r="530" spans="1:28" ht="30" customHeight="1">
      <c r="A530" s="8"/>
      <c r="B530" s="157" t="s">
        <v>3832</v>
      </c>
      <c r="C530" s="157" t="s">
        <v>3833</v>
      </c>
      <c r="D530" s="163" t="s">
        <v>6562</v>
      </c>
      <c r="E530" s="164"/>
      <c r="F530" s="165"/>
      <c r="G530" s="164"/>
      <c r="H530" s="165"/>
      <c r="I530" s="164"/>
      <c r="J530" s="165"/>
      <c r="K530" s="164">
        <v>1200</v>
      </c>
      <c r="L530" s="165"/>
      <c r="M530" s="164">
        <v>1650</v>
      </c>
      <c r="N530" s="165"/>
      <c r="O530" s="164">
        <f t="shared" si="32"/>
        <v>1200</v>
      </c>
      <c r="P530" s="166"/>
      <c r="Q530" s="166"/>
      <c r="R530" s="166"/>
      <c r="S530" s="166"/>
      <c r="T530" s="166"/>
      <c r="U530" s="13"/>
      <c r="V530" s="13"/>
      <c r="W530" s="8" t="s">
        <v>4091</v>
      </c>
      <c r="X530" s="8"/>
      <c r="Y530" s="2"/>
      <c r="Z530" s="2"/>
      <c r="AA530" s="14"/>
      <c r="AB530" s="2"/>
    </row>
    <row r="531" spans="1:28" ht="30" customHeight="1">
      <c r="A531" s="8"/>
      <c r="B531" s="157" t="s">
        <v>3834</v>
      </c>
      <c r="C531" s="157" t="s">
        <v>3835</v>
      </c>
      <c r="D531" s="163" t="s">
        <v>6566</v>
      </c>
      <c r="E531" s="164"/>
      <c r="F531" s="165"/>
      <c r="G531" s="164"/>
      <c r="H531" s="165"/>
      <c r="I531" s="164"/>
      <c r="J531" s="165"/>
      <c r="K531" s="164">
        <v>300</v>
      </c>
      <c r="L531" s="165"/>
      <c r="M531" s="164">
        <v>500</v>
      </c>
      <c r="N531" s="165"/>
      <c r="O531" s="164">
        <f t="shared" si="32"/>
        <v>300</v>
      </c>
      <c r="P531" s="166"/>
      <c r="Q531" s="166"/>
      <c r="R531" s="166"/>
      <c r="S531" s="166"/>
      <c r="T531" s="166"/>
      <c r="U531" s="13"/>
      <c r="V531" s="13"/>
      <c r="W531" s="8" t="s">
        <v>4092</v>
      </c>
      <c r="X531" s="8"/>
      <c r="Y531" s="2"/>
      <c r="Z531" s="2"/>
      <c r="AA531" s="14"/>
      <c r="AB531" s="2"/>
    </row>
    <row r="532" spans="1:28" ht="30" customHeight="1">
      <c r="A532" s="8"/>
      <c r="B532" s="157" t="s">
        <v>3836</v>
      </c>
      <c r="C532" s="157" t="s">
        <v>3837</v>
      </c>
      <c r="D532" s="163" t="s">
        <v>6567</v>
      </c>
      <c r="E532" s="164"/>
      <c r="F532" s="165"/>
      <c r="G532" s="164"/>
      <c r="H532" s="165"/>
      <c r="I532" s="164"/>
      <c r="J532" s="165"/>
      <c r="K532" s="164">
        <v>22000</v>
      </c>
      <c r="L532" s="165"/>
      <c r="M532" s="164">
        <v>24000</v>
      </c>
      <c r="N532" s="165"/>
      <c r="O532" s="164">
        <f t="shared" si="32"/>
        <v>22000</v>
      </c>
      <c r="P532" s="166"/>
      <c r="Q532" s="166"/>
      <c r="R532" s="166"/>
      <c r="S532" s="166"/>
      <c r="T532" s="166"/>
      <c r="U532" s="13"/>
      <c r="V532" s="13"/>
      <c r="W532" s="8" t="s">
        <v>4093</v>
      </c>
      <c r="X532" s="8"/>
      <c r="Y532" s="2"/>
      <c r="Z532" s="2"/>
      <c r="AA532" s="14"/>
      <c r="AB532" s="2"/>
    </row>
    <row r="533" spans="1:28" ht="30" customHeight="1">
      <c r="A533" s="8"/>
      <c r="B533" s="157" t="s">
        <v>3838</v>
      </c>
      <c r="C533" s="157" t="s">
        <v>3839</v>
      </c>
      <c r="D533" s="163" t="s">
        <v>6568</v>
      </c>
      <c r="E533" s="164"/>
      <c r="F533" s="165"/>
      <c r="G533" s="164"/>
      <c r="H533" s="165"/>
      <c r="I533" s="164"/>
      <c r="J533" s="165"/>
      <c r="K533" s="164">
        <v>34000</v>
      </c>
      <c r="L533" s="165"/>
      <c r="M533" s="164">
        <v>36500</v>
      </c>
      <c r="N533" s="165"/>
      <c r="O533" s="164">
        <f t="shared" si="32"/>
        <v>34000</v>
      </c>
      <c r="P533" s="166"/>
      <c r="Q533" s="166"/>
      <c r="R533" s="166"/>
      <c r="S533" s="166"/>
      <c r="T533" s="166"/>
      <c r="U533" s="13"/>
      <c r="V533" s="13"/>
      <c r="W533" s="8" t="s">
        <v>4094</v>
      </c>
      <c r="X533" s="8"/>
      <c r="Y533" s="2"/>
      <c r="Z533" s="2"/>
      <c r="AA533" s="14"/>
      <c r="AB533" s="2"/>
    </row>
    <row r="534" spans="1:28" ht="30" customHeight="1">
      <c r="A534" s="8"/>
      <c r="B534" s="157" t="s">
        <v>3840</v>
      </c>
      <c r="C534" s="157" t="s">
        <v>3841</v>
      </c>
      <c r="D534" s="163" t="s">
        <v>6568</v>
      </c>
      <c r="E534" s="164"/>
      <c r="F534" s="165"/>
      <c r="G534" s="164"/>
      <c r="H534" s="165"/>
      <c r="I534" s="164"/>
      <c r="J534" s="165"/>
      <c r="K534" s="164">
        <v>35000</v>
      </c>
      <c r="L534" s="165"/>
      <c r="M534" s="164">
        <v>38000</v>
      </c>
      <c r="N534" s="165"/>
      <c r="O534" s="164">
        <f t="shared" si="32"/>
        <v>35000</v>
      </c>
      <c r="P534" s="166"/>
      <c r="Q534" s="166"/>
      <c r="R534" s="166"/>
      <c r="S534" s="166"/>
      <c r="T534" s="166"/>
      <c r="U534" s="13"/>
      <c r="V534" s="13"/>
      <c r="W534" s="8" t="s">
        <v>4095</v>
      </c>
      <c r="X534" s="8"/>
      <c r="Y534" s="2"/>
      <c r="Z534" s="2"/>
      <c r="AA534" s="14"/>
      <c r="AB534" s="2"/>
    </row>
    <row r="535" spans="1:28" ht="30" customHeight="1">
      <c r="A535" s="8"/>
      <c r="B535" s="157" t="s">
        <v>3842</v>
      </c>
      <c r="C535" s="157" t="s">
        <v>3843</v>
      </c>
      <c r="D535" s="163" t="s">
        <v>6569</v>
      </c>
      <c r="E535" s="164"/>
      <c r="F535" s="165"/>
      <c r="G535" s="164"/>
      <c r="H535" s="165"/>
      <c r="I535" s="164"/>
      <c r="J535" s="165"/>
      <c r="K535" s="164">
        <v>14000</v>
      </c>
      <c r="L535" s="165"/>
      <c r="M535" s="164">
        <v>16000</v>
      </c>
      <c r="N535" s="165"/>
      <c r="O535" s="164">
        <f t="shared" si="32"/>
        <v>14000</v>
      </c>
      <c r="P535" s="166"/>
      <c r="Q535" s="166"/>
      <c r="R535" s="166"/>
      <c r="S535" s="166"/>
      <c r="T535" s="166"/>
      <c r="U535" s="13"/>
      <c r="V535" s="13"/>
      <c r="W535" s="8" t="s">
        <v>4096</v>
      </c>
      <c r="X535" s="8"/>
      <c r="Y535" s="2"/>
      <c r="Z535" s="2"/>
      <c r="AA535" s="14"/>
      <c r="AB535" s="2"/>
    </row>
    <row r="536" spans="1:28" ht="30" customHeight="1">
      <c r="A536" s="8"/>
      <c r="B536" s="157" t="s">
        <v>3844</v>
      </c>
      <c r="C536" s="157" t="s">
        <v>3845</v>
      </c>
      <c r="D536" s="163" t="s">
        <v>6570</v>
      </c>
      <c r="E536" s="164"/>
      <c r="F536" s="165"/>
      <c r="G536" s="164"/>
      <c r="H536" s="165"/>
      <c r="I536" s="164"/>
      <c r="J536" s="165"/>
      <c r="K536" s="164">
        <v>2700</v>
      </c>
      <c r="L536" s="165"/>
      <c r="M536" s="164">
        <v>2800</v>
      </c>
      <c r="N536" s="165"/>
      <c r="O536" s="164">
        <f t="shared" si="32"/>
        <v>2700</v>
      </c>
      <c r="P536" s="166"/>
      <c r="Q536" s="166"/>
      <c r="R536" s="166"/>
      <c r="S536" s="166"/>
      <c r="T536" s="166"/>
      <c r="U536" s="13"/>
      <c r="V536" s="13"/>
      <c r="W536" s="8" t="s">
        <v>4097</v>
      </c>
      <c r="X536" s="8"/>
      <c r="Y536" s="2"/>
      <c r="Z536" s="2"/>
      <c r="AA536" s="14"/>
      <c r="AB536" s="2"/>
    </row>
    <row r="537" spans="1:28" ht="30" customHeight="1">
      <c r="A537" s="8"/>
      <c r="B537" s="157" t="s">
        <v>3846</v>
      </c>
      <c r="C537" s="157" t="s">
        <v>3847</v>
      </c>
      <c r="D537" s="163" t="s">
        <v>6562</v>
      </c>
      <c r="E537" s="164"/>
      <c r="F537" s="165"/>
      <c r="G537" s="164"/>
      <c r="H537" s="165"/>
      <c r="I537" s="164"/>
      <c r="J537" s="165"/>
      <c r="K537" s="164">
        <v>3100</v>
      </c>
      <c r="L537" s="165"/>
      <c r="M537" s="164">
        <v>3200</v>
      </c>
      <c r="N537" s="165"/>
      <c r="O537" s="164">
        <f t="shared" si="32"/>
        <v>3100</v>
      </c>
      <c r="P537" s="166"/>
      <c r="Q537" s="166"/>
      <c r="R537" s="166"/>
      <c r="S537" s="166"/>
      <c r="T537" s="166"/>
      <c r="U537" s="13"/>
      <c r="V537" s="13"/>
      <c r="W537" s="8" t="s">
        <v>4098</v>
      </c>
      <c r="X537" s="8"/>
      <c r="Y537" s="2"/>
      <c r="Z537" s="2"/>
      <c r="AA537" s="14"/>
      <c r="AB537" s="2"/>
    </row>
    <row r="538" spans="1:28" ht="30" customHeight="1">
      <c r="A538" s="8"/>
      <c r="B538" s="157" t="s">
        <v>3848</v>
      </c>
      <c r="C538" s="157" t="s">
        <v>3849</v>
      </c>
      <c r="D538" s="163" t="s">
        <v>6571</v>
      </c>
      <c r="E538" s="164"/>
      <c r="F538" s="165"/>
      <c r="G538" s="164"/>
      <c r="H538" s="165"/>
      <c r="I538" s="164"/>
      <c r="J538" s="165"/>
      <c r="K538" s="164">
        <v>2200</v>
      </c>
      <c r="L538" s="165"/>
      <c r="M538" s="164">
        <v>2400</v>
      </c>
      <c r="N538" s="165"/>
      <c r="O538" s="164">
        <f t="shared" si="32"/>
        <v>2200</v>
      </c>
      <c r="P538" s="166"/>
      <c r="Q538" s="166"/>
      <c r="R538" s="166"/>
      <c r="S538" s="166"/>
      <c r="T538" s="166"/>
      <c r="U538" s="13"/>
      <c r="V538" s="13"/>
      <c r="W538" s="8" t="s">
        <v>4099</v>
      </c>
      <c r="X538" s="8"/>
      <c r="Y538" s="2"/>
      <c r="Z538" s="2"/>
      <c r="AA538" s="14"/>
      <c r="AB538" s="2"/>
    </row>
    <row r="539" spans="1:28" ht="30" customHeight="1">
      <c r="A539" s="8"/>
      <c r="B539" s="215" t="s">
        <v>3850</v>
      </c>
      <c r="C539" s="215" t="s">
        <v>3851</v>
      </c>
      <c r="D539" s="216" t="s">
        <v>82</v>
      </c>
      <c r="E539" s="164"/>
      <c r="F539" s="165"/>
      <c r="G539" s="164"/>
      <c r="H539" s="165"/>
      <c r="I539" s="164"/>
      <c r="J539" s="165"/>
      <c r="K539" s="164">
        <v>197576</v>
      </c>
      <c r="L539" s="165"/>
      <c r="M539" s="164"/>
      <c r="N539" s="165"/>
      <c r="O539" s="164">
        <f t="shared" si="32"/>
        <v>197576</v>
      </c>
      <c r="P539" s="166"/>
      <c r="Q539" s="166"/>
      <c r="R539" s="166"/>
      <c r="S539" s="166"/>
      <c r="T539" s="166"/>
      <c r="U539" s="13"/>
      <c r="V539" s="13"/>
      <c r="W539" s="8" t="s">
        <v>4100</v>
      </c>
      <c r="X539" s="8"/>
      <c r="Y539" s="2"/>
      <c r="Z539" s="2"/>
      <c r="AA539" s="14"/>
      <c r="AB539" s="2"/>
    </row>
    <row r="540" spans="1:28" ht="30" customHeight="1">
      <c r="A540" s="8" t="s">
        <v>1193</v>
      </c>
      <c r="B540" s="157" t="s">
        <v>1191</v>
      </c>
      <c r="C540" s="157" t="s">
        <v>51</v>
      </c>
      <c r="D540" s="163" t="s">
        <v>1192</v>
      </c>
      <c r="E540" s="164">
        <v>0</v>
      </c>
      <c r="F540" s="165" t="s">
        <v>51</v>
      </c>
      <c r="G540" s="164">
        <v>0</v>
      </c>
      <c r="H540" s="165" t="s">
        <v>51</v>
      </c>
      <c r="I540" s="164">
        <v>2500</v>
      </c>
      <c r="J540" s="165" t="s">
        <v>51</v>
      </c>
      <c r="K540" s="164">
        <v>0</v>
      </c>
      <c r="L540" s="165" t="s">
        <v>51</v>
      </c>
      <c r="M540" s="164">
        <v>0</v>
      </c>
      <c r="N540" s="165" t="s">
        <v>51</v>
      </c>
      <c r="O540" s="164">
        <f>SMALL(E540:M540,COUNTIF(E540:M540,0)+1)</f>
        <v>2500</v>
      </c>
      <c r="P540" s="166">
        <v>0</v>
      </c>
      <c r="Q540" s="166">
        <v>0</v>
      </c>
      <c r="R540" s="166">
        <v>0</v>
      </c>
      <c r="S540" s="166">
        <v>0</v>
      </c>
      <c r="T540" s="166">
        <v>0</v>
      </c>
      <c r="U540" s="13">
        <v>0</v>
      </c>
      <c r="V540" s="13">
        <v>0</v>
      </c>
      <c r="W540" s="8" t="s">
        <v>4101</v>
      </c>
      <c r="X540" s="8" t="s">
        <v>51</v>
      </c>
      <c r="Y540" s="2" t="s">
        <v>2256</v>
      </c>
      <c r="Z540" s="2" t="s">
        <v>51</v>
      </c>
      <c r="AA540" s="14"/>
      <c r="AB540" s="2" t="s">
        <v>51</v>
      </c>
    </row>
    <row r="541" spans="1:28" ht="30" customHeight="1">
      <c r="A541" s="8"/>
      <c r="B541" s="1178" t="s">
        <v>3508</v>
      </c>
      <c r="C541" s="1178" t="s">
        <v>3504</v>
      </c>
      <c r="D541" s="1179" t="s">
        <v>3509</v>
      </c>
      <c r="E541" s="1180"/>
      <c r="F541" s="1181"/>
      <c r="G541" s="1180">
        <v>9000</v>
      </c>
      <c r="H541" s="1181"/>
      <c r="I541" s="1180">
        <v>9000</v>
      </c>
      <c r="J541" s="1181"/>
      <c r="K541" s="1180"/>
      <c r="L541" s="1181"/>
      <c r="M541" s="1182">
        <v>8100</v>
      </c>
      <c r="N541" s="1183" t="s">
        <v>6690</v>
      </c>
      <c r="O541" s="1180">
        <f>SMALL(E541:M541,COUNTIF(E541:M541,0)+1)</f>
        <v>8100</v>
      </c>
      <c r="P541" s="1184"/>
      <c r="Q541" s="1184"/>
      <c r="R541" s="1184"/>
      <c r="S541" s="1184"/>
      <c r="T541" s="1184"/>
      <c r="U541" s="1184"/>
      <c r="V541" s="1184"/>
      <c r="W541" s="1178" t="s">
        <v>4102</v>
      </c>
      <c r="X541" s="1178"/>
      <c r="Y541" s="2"/>
      <c r="Z541" s="2"/>
      <c r="AA541" s="14"/>
      <c r="AB541" s="2"/>
    </row>
    <row r="542" spans="1:28" ht="30" customHeight="1">
      <c r="A542" s="8"/>
      <c r="B542" s="1178" t="s">
        <v>3519</v>
      </c>
      <c r="C542" s="1178" t="s">
        <v>3520</v>
      </c>
      <c r="D542" s="1179" t="s">
        <v>59</v>
      </c>
      <c r="E542" s="1182">
        <v>7000</v>
      </c>
      <c r="F542" s="1181"/>
      <c r="G542" s="1180">
        <v>8200</v>
      </c>
      <c r="H542" s="1181"/>
      <c r="I542" s="1180"/>
      <c r="J542" s="1181"/>
      <c r="K542" s="1180"/>
      <c r="L542" s="1181"/>
      <c r="M542" s="1180"/>
      <c r="N542" s="1181"/>
      <c r="O542" s="1180">
        <f>SMALL(E542:M542,COUNTIF(E542:M542,0)+1)</f>
        <v>7000</v>
      </c>
      <c r="P542" s="1184"/>
      <c r="Q542" s="1184"/>
      <c r="R542" s="1184"/>
      <c r="S542" s="1184"/>
      <c r="T542" s="1184"/>
      <c r="U542" s="1184"/>
      <c r="V542" s="1184"/>
      <c r="W542" s="1178" t="s">
        <v>4103</v>
      </c>
      <c r="X542" s="1178"/>
      <c r="Y542" s="2"/>
      <c r="Z542" s="2"/>
      <c r="AA542" s="14"/>
      <c r="AB542" s="2"/>
    </row>
    <row r="543" spans="1:28" ht="30" customHeight="1">
      <c r="A543" s="8"/>
      <c r="B543" s="157" t="s">
        <v>3557</v>
      </c>
      <c r="C543" s="157" t="s">
        <v>3558</v>
      </c>
      <c r="D543" s="163" t="s">
        <v>3559</v>
      </c>
      <c r="E543" s="164"/>
      <c r="F543" s="165"/>
      <c r="G543" s="164">
        <v>1740</v>
      </c>
      <c r="H543" s="165"/>
      <c r="I543" s="164">
        <v>1542</v>
      </c>
      <c r="J543" s="165"/>
      <c r="K543" s="164"/>
      <c r="L543" s="165"/>
      <c r="M543" s="164"/>
      <c r="N543" s="165"/>
      <c r="O543" s="164">
        <f>SMALL(E543:M543,COUNTIF(E543:M543,0)+1)</f>
        <v>1542</v>
      </c>
      <c r="P543" s="166"/>
      <c r="Q543" s="166"/>
      <c r="R543" s="166"/>
      <c r="S543" s="166"/>
      <c r="T543" s="166"/>
      <c r="U543" s="13"/>
      <c r="V543" s="13"/>
      <c r="W543" s="8" t="s">
        <v>4104</v>
      </c>
      <c r="X543" s="8"/>
      <c r="Y543" s="2"/>
      <c r="Z543" s="2"/>
      <c r="AA543" s="14"/>
      <c r="AB543" s="2"/>
    </row>
    <row r="544" spans="1:28" ht="30" customHeight="1">
      <c r="A544" s="8"/>
      <c r="B544" s="157" t="s">
        <v>3557</v>
      </c>
      <c r="C544" s="157" t="s">
        <v>3560</v>
      </c>
      <c r="D544" s="163" t="s">
        <v>3561</v>
      </c>
      <c r="E544" s="164"/>
      <c r="F544" s="165"/>
      <c r="G544" s="164">
        <v>840</v>
      </c>
      <c r="H544" s="165"/>
      <c r="I544" s="164">
        <v>743</v>
      </c>
      <c r="J544" s="165"/>
      <c r="K544" s="164"/>
      <c r="L544" s="165"/>
      <c r="M544" s="164"/>
      <c r="N544" s="165"/>
      <c r="O544" s="164">
        <f>SMALL(E544:M544,COUNTIF(E544:M544,0)+1)</f>
        <v>743</v>
      </c>
      <c r="P544" s="166"/>
      <c r="Q544" s="166"/>
      <c r="R544" s="166"/>
      <c r="S544" s="166"/>
      <c r="T544" s="166"/>
      <c r="U544" s="13"/>
      <c r="V544" s="13"/>
      <c r="W544" s="8" t="s">
        <v>4105</v>
      </c>
      <c r="X544" s="8"/>
      <c r="Y544" s="2"/>
      <c r="Z544" s="2"/>
      <c r="AA544" s="14"/>
      <c r="AB544" s="2"/>
    </row>
    <row r="545" spans="1:28" ht="30" customHeight="1">
      <c r="A545" s="8"/>
      <c r="B545" s="157" t="s">
        <v>3562</v>
      </c>
      <c r="C545" s="157" t="s">
        <v>3563</v>
      </c>
      <c r="D545" s="163" t="s">
        <v>3564</v>
      </c>
      <c r="E545" s="164"/>
      <c r="F545" s="165"/>
      <c r="G545" s="164"/>
      <c r="H545" s="165"/>
      <c r="I545" s="164">
        <v>454</v>
      </c>
      <c r="J545" s="165"/>
      <c r="K545" s="164"/>
      <c r="L545" s="165"/>
      <c r="M545" s="164"/>
      <c r="N545" s="165"/>
      <c r="O545" s="164">
        <f t="shared" ref="O545:O553" si="33">SMALL(E545:M545,COUNTIF(E545:M545,0)+1)</f>
        <v>454</v>
      </c>
      <c r="P545" s="166"/>
      <c r="Q545" s="166"/>
      <c r="R545" s="166"/>
      <c r="S545" s="166"/>
      <c r="T545" s="166"/>
      <c r="U545" s="13"/>
      <c r="V545" s="13"/>
      <c r="W545" s="8" t="s">
        <v>4106</v>
      </c>
      <c r="X545" s="8"/>
      <c r="Y545" s="2"/>
      <c r="Z545" s="2"/>
      <c r="AA545" s="14"/>
      <c r="AB545" s="2"/>
    </row>
    <row r="546" spans="1:28" ht="30" customHeight="1">
      <c r="A546" s="8"/>
      <c r="B546" s="157" t="s">
        <v>3565</v>
      </c>
      <c r="C546" s="157" t="s">
        <v>3566</v>
      </c>
      <c r="D546" s="163" t="s">
        <v>3564</v>
      </c>
      <c r="E546" s="164">
        <v>43</v>
      </c>
      <c r="F546" s="165"/>
      <c r="G546" s="164">
        <v>43</v>
      </c>
      <c r="H546" s="165"/>
      <c r="I546" s="164"/>
      <c r="J546" s="165"/>
      <c r="K546" s="164"/>
      <c r="L546" s="165"/>
      <c r="M546" s="164"/>
      <c r="N546" s="165"/>
      <c r="O546" s="164">
        <f t="shared" si="33"/>
        <v>43</v>
      </c>
      <c r="P546" s="166">
        <v>237</v>
      </c>
      <c r="Q546" s="166"/>
      <c r="R546" s="166"/>
      <c r="S546" s="166"/>
      <c r="T546" s="166"/>
      <c r="U546" s="13"/>
      <c r="V546" s="13"/>
      <c r="W546" s="8" t="s">
        <v>4107</v>
      </c>
      <c r="X546" s="8"/>
      <c r="Y546" s="2"/>
      <c r="Z546" s="2"/>
      <c r="AA546" s="14"/>
      <c r="AB546" s="2"/>
    </row>
    <row r="547" spans="1:28" ht="30" customHeight="1">
      <c r="A547" s="8"/>
      <c r="B547" s="157" t="s">
        <v>3567</v>
      </c>
      <c r="C547" s="157" t="s">
        <v>3554</v>
      </c>
      <c r="D547" s="163" t="s">
        <v>3568</v>
      </c>
      <c r="E547" s="164"/>
      <c r="F547" s="165"/>
      <c r="G547" s="164">
        <v>82</v>
      </c>
      <c r="H547" s="165"/>
      <c r="I547" s="164"/>
      <c r="J547" s="165"/>
      <c r="K547" s="164"/>
      <c r="L547" s="165"/>
      <c r="M547" s="164"/>
      <c r="N547" s="165"/>
      <c r="O547" s="164">
        <f t="shared" si="33"/>
        <v>82</v>
      </c>
      <c r="P547" s="166">
        <v>4131</v>
      </c>
      <c r="Q547" s="166"/>
      <c r="R547" s="166"/>
      <c r="S547" s="166"/>
      <c r="T547" s="166"/>
      <c r="U547" s="13"/>
      <c r="V547" s="13"/>
      <c r="W547" s="8" t="s">
        <v>4108</v>
      </c>
      <c r="X547" s="8"/>
      <c r="Y547" s="2"/>
      <c r="Z547" s="2"/>
      <c r="AA547" s="14"/>
      <c r="AB547" s="2"/>
    </row>
    <row r="548" spans="1:28" ht="30" customHeight="1">
      <c r="A548" s="8"/>
      <c r="B548" s="157" t="s">
        <v>3569</v>
      </c>
      <c r="C548" s="157" t="s">
        <v>3570</v>
      </c>
      <c r="D548" s="163" t="s">
        <v>3571</v>
      </c>
      <c r="E548" s="164">
        <v>506</v>
      </c>
      <c r="F548" s="165"/>
      <c r="G548" s="164"/>
      <c r="H548" s="165"/>
      <c r="I548" s="164"/>
      <c r="J548" s="165"/>
      <c r="K548" s="164"/>
      <c r="L548" s="165"/>
      <c r="M548" s="164"/>
      <c r="N548" s="165"/>
      <c r="O548" s="164">
        <f t="shared" si="33"/>
        <v>506</v>
      </c>
      <c r="P548" s="166">
        <v>3223</v>
      </c>
      <c r="Q548" s="166"/>
      <c r="R548" s="166"/>
      <c r="S548" s="166"/>
      <c r="T548" s="166"/>
      <c r="U548" s="13"/>
      <c r="V548" s="13"/>
      <c r="W548" s="8" t="s">
        <v>4109</v>
      </c>
      <c r="X548" s="8"/>
      <c r="Y548" s="2"/>
      <c r="Z548" s="2"/>
      <c r="AA548" s="14"/>
      <c r="AB548" s="2"/>
    </row>
    <row r="549" spans="1:28" ht="30" customHeight="1">
      <c r="A549" s="8"/>
      <c r="B549" s="157" t="s">
        <v>3572</v>
      </c>
      <c r="C549" s="157" t="s">
        <v>3573</v>
      </c>
      <c r="D549" s="163" t="s">
        <v>3571</v>
      </c>
      <c r="E549" s="164">
        <v>846</v>
      </c>
      <c r="F549" s="165"/>
      <c r="G549" s="164"/>
      <c r="H549" s="165"/>
      <c r="I549" s="164"/>
      <c r="J549" s="165"/>
      <c r="K549" s="164"/>
      <c r="L549" s="165"/>
      <c r="M549" s="164"/>
      <c r="N549" s="165"/>
      <c r="O549" s="164">
        <f t="shared" si="33"/>
        <v>846</v>
      </c>
      <c r="P549" s="166">
        <v>8596</v>
      </c>
      <c r="Q549" s="166"/>
      <c r="R549" s="166"/>
      <c r="S549" s="166"/>
      <c r="T549" s="166"/>
      <c r="U549" s="13"/>
      <c r="V549" s="13"/>
      <c r="W549" s="8" t="s">
        <v>4110</v>
      </c>
      <c r="X549" s="8"/>
      <c r="Y549" s="2"/>
      <c r="Z549" s="2"/>
      <c r="AA549" s="14"/>
      <c r="AB549" s="2"/>
    </row>
    <row r="550" spans="1:28" s="384" customFormat="1" ht="30" customHeight="1">
      <c r="A550" s="8"/>
      <c r="B550" s="157" t="s">
        <v>6628</v>
      </c>
      <c r="C550" s="157"/>
      <c r="D550" s="163" t="s">
        <v>6629</v>
      </c>
      <c r="E550" s="163"/>
      <c r="F550" s="165"/>
      <c r="G550" s="164"/>
      <c r="H550" s="165"/>
      <c r="I550" s="164"/>
      <c r="J550" s="165"/>
      <c r="K550" s="164">
        <v>190000</v>
      </c>
      <c r="L550" s="165"/>
      <c r="M550" s="164">
        <v>112200</v>
      </c>
      <c r="N550" s="165"/>
      <c r="O550" s="164">
        <f t="shared" si="33"/>
        <v>112200</v>
      </c>
      <c r="P550" s="166"/>
      <c r="Q550" s="166"/>
      <c r="R550" s="166"/>
      <c r="S550" s="166"/>
      <c r="T550" s="166"/>
      <c r="U550" s="13"/>
      <c r="V550" s="13"/>
      <c r="W550" s="8" t="s">
        <v>4111</v>
      </c>
      <c r="X550" s="8"/>
      <c r="Y550" s="1056"/>
      <c r="Z550" s="1056"/>
      <c r="AA550" s="1057"/>
      <c r="AB550" s="1056"/>
    </row>
    <row r="551" spans="1:28" s="384" customFormat="1" ht="30" customHeight="1">
      <c r="A551" s="8"/>
      <c r="B551" s="157" t="s">
        <v>6630</v>
      </c>
      <c r="C551" s="157"/>
      <c r="D551" s="163" t="s">
        <v>6629</v>
      </c>
      <c r="E551" s="164"/>
      <c r="F551" s="165"/>
      <c r="G551" s="164"/>
      <c r="H551" s="165"/>
      <c r="I551" s="164"/>
      <c r="J551" s="165"/>
      <c r="K551" s="164">
        <v>152000</v>
      </c>
      <c r="L551" s="165"/>
      <c r="M551" s="164">
        <v>91800</v>
      </c>
      <c r="N551" s="165"/>
      <c r="O551" s="164">
        <f t="shared" si="33"/>
        <v>91800</v>
      </c>
      <c r="P551" s="166"/>
      <c r="Q551" s="166"/>
      <c r="R551" s="166"/>
      <c r="S551" s="166"/>
      <c r="T551" s="166"/>
      <c r="U551" s="13"/>
      <c r="V551" s="13"/>
      <c r="W551" s="8" t="s">
        <v>4112</v>
      </c>
      <c r="X551" s="8"/>
      <c r="Y551" s="1056"/>
      <c r="Z551" s="1056"/>
      <c r="AA551" s="1057"/>
      <c r="AB551" s="1056"/>
    </row>
    <row r="552" spans="1:28" ht="30" customHeight="1">
      <c r="A552" s="8"/>
      <c r="B552" s="157" t="s">
        <v>4736</v>
      </c>
      <c r="C552" s="157"/>
      <c r="D552" s="163" t="s">
        <v>2568</v>
      </c>
      <c r="E552" s="164"/>
      <c r="F552" s="165"/>
      <c r="G552" s="164"/>
      <c r="H552" s="165"/>
      <c r="I552" s="164"/>
      <c r="J552" s="165"/>
      <c r="K552" s="164">
        <v>650000</v>
      </c>
      <c r="L552" s="165"/>
      <c r="M552" s="164">
        <v>475380</v>
      </c>
      <c r="N552" s="165"/>
      <c r="O552" s="164">
        <f t="shared" si="33"/>
        <v>475380</v>
      </c>
      <c r="P552" s="166"/>
      <c r="Q552" s="166"/>
      <c r="R552" s="166"/>
      <c r="S552" s="166"/>
      <c r="T552" s="166"/>
      <c r="U552" s="13"/>
      <c r="V552" s="13"/>
      <c r="W552" s="8" t="s">
        <v>4113</v>
      </c>
      <c r="X552" s="8"/>
      <c r="Y552" s="2"/>
      <c r="Z552" s="2"/>
      <c r="AA552" s="14"/>
      <c r="AB552" s="2"/>
    </row>
    <row r="553" spans="1:28" ht="30" customHeight="1">
      <c r="A553" s="8"/>
      <c r="B553" s="157" t="s">
        <v>4737</v>
      </c>
      <c r="C553" s="157"/>
      <c r="D553" s="163" t="s">
        <v>2568</v>
      </c>
      <c r="E553" s="164"/>
      <c r="F553" s="165"/>
      <c r="G553" s="164"/>
      <c r="H553" s="165"/>
      <c r="I553" s="164"/>
      <c r="J553" s="165"/>
      <c r="K553" s="164">
        <v>1285000</v>
      </c>
      <c r="L553" s="165"/>
      <c r="M553" s="164">
        <v>1165500</v>
      </c>
      <c r="N553" s="165"/>
      <c r="O553" s="164">
        <f t="shared" si="33"/>
        <v>1165500</v>
      </c>
      <c r="P553" s="166"/>
      <c r="Q553" s="166"/>
      <c r="R553" s="166"/>
      <c r="S553" s="166"/>
      <c r="T553" s="166"/>
      <c r="U553" s="13"/>
      <c r="V553" s="13"/>
      <c r="W553" s="8" t="s">
        <v>4114</v>
      </c>
      <c r="X553" s="8"/>
      <c r="Y553" s="2"/>
      <c r="Z553" s="2"/>
      <c r="AA553" s="14"/>
      <c r="AB553" s="2"/>
    </row>
    <row r="554" spans="1:28" ht="30" customHeight="1">
      <c r="A554" s="8" t="s">
        <v>1826</v>
      </c>
      <c r="B554" s="157" t="s">
        <v>987</v>
      </c>
      <c r="C554" s="157" t="s">
        <v>1824</v>
      </c>
      <c r="D554" s="163" t="s">
        <v>1825</v>
      </c>
      <c r="E554" s="164">
        <v>0</v>
      </c>
      <c r="F554" s="165" t="s">
        <v>51</v>
      </c>
      <c r="G554" s="164">
        <v>0</v>
      </c>
      <c r="H554" s="165" t="s">
        <v>51</v>
      </c>
      <c r="I554" s="164">
        <v>0</v>
      </c>
      <c r="J554" s="165" t="s">
        <v>51</v>
      </c>
      <c r="K554" s="164">
        <v>0</v>
      </c>
      <c r="L554" s="165" t="s">
        <v>51</v>
      </c>
      <c r="M554" s="164">
        <v>0</v>
      </c>
      <c r="N554" s="165" t="s">
        <v>51</v>
      </c>
      <c r="O554" s="164">
        <v>0</v>
      </c>
      <c r="P554" s="164">
        <v>0</v>
      </c>
      <c r="Q554" s="166">
        <v>87</v>
      </c>
      <c r="R554" s="166">
        <v>0</v>
      </c>
      <c r="S554" s="166">
        <v>0</v>
      </c>
      <c r="T554" s="166">
        <v>0</v>
      </c>
      <c r="U554" s="13">
        <v>0</v>
      </c>
      <c r="V554" s="13">
        <f>SMALL(Q554:U554,COUNTIF(Q554:U554,0)+1)</f>
        <v>87</v>
      </c>
      <c r="W554" s="8" t="s">
        <v>2260</v>
      </c>
      <c r="X554" s="8" t="s">
        <v>51</v>
      </c>
      <c r="Y554" s="2" t="s">
        <v>51</v>
      </c>
      <c r="Z554" s="2" t="s">
        <v>51</v>
      </c>
      <c r="AA554" s="14"/>
      <c r="AB554" s="2" t="s">
        <v>51</v>
      </c>
    </row>
    <row r="555" spans="1:28" ht="30" customHeight="1">
      <c r="A555" s="8" t="s">
        <v>997</v>
      </c>
      <c r="B555" s="157" t="s">
        <v>3861</v>
      </c>
      <c r="C555" s="157" t="s">
        <v>947</v>
      </c>
      <c r="D555" s="163" t="s">
        <v>419</v>
      </c>
      <c r="E555" s="164">
        <v>0</v>
      </c>
      <c r="F555" s="165" t="s">
        <v>51</v>
      </c>
      <c r="G555" s="164">
        <v>0</v>
      </c>
      <c r="H555" s="165" t="s">
        <v>51</v>
      </c>
      <c r="I555" s="164">
        <v>0</v>
      </c>
      <c r="J555" s="165" t="s">
        <v>51</v>
      </c>
      <c r="K555" s="164">
        <v>0</v>
      </c>
      <c r="L555" s="165" t="s">
        <v>51</v>
      </c>
      <c r="M555" s="164">
        <v>0</v>
      </c>
      <c r="N555" s="165" t="s">
        <v>51</v>
      </c>
      <c r="O555" s="164">
        <v>0</v>
      </c>
      <c r="P555" s="164">
        <v>200000</v>
      </c>
      <c r="Q555" s="166">
        <v>0</v>
      </c>
      <c r="R555" s="166">
        <v>0</v>
      </c>
      <c r="S555" s="166">
        <v>0</v>
      </c>
      <c r="T555" s="166">
        <v>0</v>
      </c>
      <c r="U555" s="13">
        <v>0</v>
      </c>
      <c r="V555" s="13">
        <v>0</v>
      </c>
      <c r="W555" s="8" t="s">
        <v>2262</v>
      </c>
      <c r="X555" s="8" t="s">
        <v>51</v>
      </c>
      <c r="Y555" s="2" t="s">
        <v>2261</v>
      </c>
      <c r="Z555" s="2" t="s">
        <v>51</v>
      </c>
      <c r="AA555" s="14"/>
      <c r="AB555" s="2" t="s">
        <v>51</v>
      </c>
    </row>
    <row r="556" spans="1:28" ht="30" customHeight="1">
      <c r="A556" s="8" t="s">
        <v>997</v>
      </c>
      <c r="B556" s="157" t="s">
        <v>996</v>
      </c>
      <c r="C556" s="157" t="s">
        <v>947</v>
      </c>
      <c r="D556" s="163" t="s">
        <v>419</v>
      </c>
      <c r="E556" s="164">
        <v>0</v>
      </c>
      <c r="F556" s="165" t="s">
        <v>51</v>
      </c>
      <c r="G556" s="164">
        <v>0</v>
      </c>
      <c r="H556" s="165" t="s">
        <v>51</v>
      </c>
      <c r="I556" s="164">
        <v>0</v>
      </c>
      <c r="J556" s="165" t="s">
        <v>51</v>
      </c>
      <c r="K556" s="164">
        <v>0</v>
      </c>
      <c r="L556" s="165" t="s">
        <v>51</v>
      </c>
      <c r="M556" s="164">
        <v>0</v>
      </c>
      <c r="N556" s="165" t="s">
        <v>51</v>
      </c>
      <c r="O556" s="164">
        <v>0</v>
      </c>
      <c r="P556" s="164">
        <v>130264</v>
      </c>
      <c r="Q556" s="166">
        <v>0</v>
      </c>
      <c r="R556" s="166">
        <v>0</v>
      </c>
      <c r="S556" s="166">
        <v>0</v>
      </c>
      <c r="T556" s="166">
        <v>0</v>
      </c>
      <c r="U556" s="13">
        <v>0</v>
      </c>
      <c r="V556" s="13">
        <v>0</v>
      </c>
      <c r="W556" s="8" t="s">
        <v>2263</v>
      </c>
      <c r="X556" s="8" t="s">
        <v>51</v>
      </c>
      <c r="Y556" s="2" t="s">
        <v>2261</v>
      </c>
      <c r="Z556" s="2" t="s">
        <v>51</v>
      </c>
      <c r="AA556" s="14"/>
      <c r="AB556" s="2" t="s">
        <v>51</v>
      </c>
    </row>
    <row r="557" spans="1:28" ht="30" customHeight="1">
      <c r="A557" s="8" t="s">
        <v>1131</v>
      </c>
      <c r="B557" s="157" t="s">
        <v>1130</v>
      </c>
      <c r="C557" s="157" t="s">
        <v>947</v>
      </c>
      <c r="D557" s="163" t="s">
        <v>419</v>
      </c>
      <c r="E557" s="164">
        <v>0</v>
      </c>
      <c r="F557" s="165" t="s">
        <v>51</v>
      </c>
      <c r="G557" s="164">
        <v>0</v>
      </c>
      <c r="H557" s="165" t="s">
        <v>51</v>
      </c>
      <c r="I557" s="164">
        <v>0</v>
      </c>
      <c r="J557" s="165" t="s">
        <v>51</v>
      </c>
      <c r="K557" s="164">
        <v>0</v>
      </c>
      <c r="L557" s="165" t="s">
        <v>51</v>
      </c>
      <c r="M557" s="164">
        <v>0</v>
      </c>
      <c r="N557" s="165" t="s">
        <v>51</v>
      </c>
      <c r="O557" s="164">
        <v>0</v>
      </c>
      <c r="P557" s="164">
        <v>155599</v>
      </c>
      <c r="Q557" s="166">
        <v>0</v>
      </c>
      <c r="R557" s="166">
        <v>0</v>
      </c>
      <c r="S557" s="166">
        <v>0</v>
      </c>
      <c r="T557" s="166">
        <v>0</v>
      </c>
      <c r="U557" s="13">
        <v>0</v>
      </c>
      <c r="V557" s="13">
        <v>0</v>
      </c>
      <c r="W557" s="8" t="s">
        <v>2264</v>
      </c>
      <c r="X557" s="8" t="s">
        <v>51</v>
      </c>
      <c r="Y557" s="2" t="s">
        <v>2261</v>
      </c>
      <c r="Z557" s="2" t="s">
        <v>51</v>
      </c>
      <c r="AA557" s="14"/>
      <c r="AB557" s="2" t="s">
        <v>51</v>
      </c>
    </row>
    <row r="558" spans="1:28" ht="30" customHeight="1">
      <c r="A558" s="8" t="s">
        <v>1746</v>
      </c>
      <c r="B558" s="157" t="s">
        <v>1745</v>
      </c>
      <c r="C558" s="157" t="s">
        <v>418</v>
      </c>
      <c r="D558" s="163" t="s">
        <v>419</v>
      </c>
      <c r="E558" s="164">
        <v>0</v>
      </c>
      <c r="F558" s="165" t="s">
        <v>51</v>
      </c>
      <c r="G558" s="164">
        <v>0</v>
      </c>
      <c r="H558" s="165" t="s">
        <v>51</v>
      </c>
      <c r="I558" s="164">
        <v>0</v>
      </c>
      <c r="J558" s="165" t="s">
        <v>51</v>
      </c>
      <c r="K558" s="164">
        <v>0</v>
      </c>
      <c r="L558" s="165" t="s">
        <v>51</v>
      </c>
      <c r="M558" s="164">
        <v>0</v>
      </c>
      <c r="N558" s="165" t="s">
        <v>51</v>
      </c>
      <c r="O558" s="164">
        <v>0</v>
      </c>
      <c r="P558" s="164">
        <v>228462</v>
      </c>
      <c r="Q558" s="166">
        <v>0</v>
      </c>
      <c r="R558" s="166">
        <v>0</v>
      </c>
      <c r="S558" s="166">
        <v>0</v>
      </c>
      <c r="T558" s="166">
        <v>0</v>
      </c>
      <c r="U558" s="13">
        <v>0</v>
      </c>
      <c r="V558" s="13">
        <v>0</v>
      </c>
      <c r="W558" s="8" t="s">
        <v>2265</v>
      </c>
      <c r="X558" s="8" t="s">
        <v>51</v>
      </c>
      <c r="Y558" s="2" t="s">
        <v>2261</v>
      </c>
      <c r="Z558" s="2" t="s">
        <v>51</v>
      </c>
      <c r="AA558" s="14"/>
      <c r="AB558" s="2" t="s">
        <v>51</v>
      </c>
    </row>
    <row r="559" spans="1:28" ht="30" customHeight="1">
      <c r="A559" s="8" t="s">
        <v>1885</v>
      </c>
      <c r="B559" s="157" t="s">
        <v>1884</v>
      </c>
      <c r="C559" s="157" t="s">
        <v>947</v>
      </c>
      <c r="D559" s="163" t="s">
        <v>419</v>
      </c>
      <c r="E559" s="164">
        <v>0</v>
      </c>
      <c r="F559" s="165" t="s">
        <v>51</v>
      </c>
      <c r="G559" s="164">
        <v>0</v>
      </c>
      <c r="H559" s="165" t="s">
        <v>51</v>
      </c>
      <c r="I559" s="164">
        <v>0</v>
      </c>
      <c r="J559" s="165" t="s">
        <v>51</v>
      </c>
      <c r="K559" s="164">
        <v>0</v>
      </c>
      <c r="L559" s="165" t="s">
        <v>51</v>
      </c>
      <c r="M559" s="164">
        <v>0</v>
      </c>
      <c r="N559" s="165" t="s">
        <v>51</v>
      </c>
      <c r="O559" s="164">
        <v>0</v>
      </c>
      <c r="P559" s="164">
        <v>207239</v>
      </c>
      <c r="Q559" s="166">
        <v>0</v>
      </c>
      <c r="R559" s="166">
        <v>0</v>
      </c>
      <c r="S559" s="166">
        <v>0</v>
      </c>
      <c r="T559" s="166">
        <v>0</v>
      </c>
      <c r="U559" s="13">
        <v>0</v>
      </c>
      <c r="V559" s="13">
        <v>0</v>
      </c>
      <c r="W559" s="8" t="s">
        <v>2266</v>
      </c>
      <c r="X559" s="8" t="s">
        <v>51</v>
      </c>
      <c r="Y559" s="2" t="s">
        <v>2261</v>
      </c>
      <c r="Z559" s="2" t="s">
        <v>51</v>
      </c>
      <c r="AA559" s="14"/>
      <c r="AB559" s="2" t="s">
        <v>51</v>
      </c>
    </row>
    <row r="560" spans="1:28" ht="30" customHeight="1">
      <c r="A560" s="8" t="s">
        <v>1368</v>
      </c>
      <c r="B560" s="157" t="s">
        <v>1367</v>
      </c>
      <c r="C560" s="157" t="s">
        <v>418</v>
      </c>
      <c r="D560" s="163" t="s">
        <v>419</v>
      </c>
      <c r="E560" s="164">
        <v>0</v>
      </c>
      <c r="F560" s="165" t="s">
        <v>51</v>
      </c>
      <c r="G560" s="164">
        <v>0</v>
      </c>
      <c r="H560" s="165" t="s">
        <v>51</v>
      </c>
      <c r="I560" s="164">
        <v>0</v>
      </c>
      <c r="J560" s="165" t="s">
        <v>51</v>
      </c>
      <c r="K560" s="164">
        <v>0</v>
      </c>
      <c r="L560" s="165" t="s">
        <v>51</v>
      </c>
      <c r="M560" s="164">
        <v>0</v>
      </c>
      <c r="N560" s="165" t="s">
        <v>51</v>
      </c>
      <c r="O560" s="164">
        <v>0</v>
      </c>
      <c r="P560" s="164">
        <v>184100</v>
      </c>
      <c r="Q560" s="166">
        <v>0</v>
      </c>
      <c r="R560" s="166">
        <v>0</v>
      </c>
      <c r="S560" s="166">
        <v>0</v>
      </c>
      <c r="T560" s="166">
        <v>0</v>
      </c>
      <c r="U560" s="13">
        <v>0</v>
      </c>
      <c r="V560" s="13">
        <v>0</v>
      </c>
      <c r="W560" s="8" t="s">
        <v>2267</v>
      </c>
      <c r="X560" s="8" t="s">
        <v>51</v>
      </c>
      <c r="Y560" s="2" t="s">
        <v>2261</v>
      </c>
      <c r="Z560" s="2" t="s">
        <v>51</v>
      </c>
      <c r="AA560" s="14"/>
      <c r="AB560" s="2" t="s">
        <v>51</v>
      </c>
    </row>
    <row r="561" spans="1:28" ht="30" customHeight="1">
      <c r="A561" s="8" t="s">
        <v>1829</v>
      </c>
      <c r="B561" s="157" t="s">
        <v>1828</v>
      </c>
      <c r="C561" s="157" t="s">
        <v>418</v>
      </c>
      <c r="D561" s="163" t="s">
        <v>419</v>
      </c>
      <c r="E561" s="164">
        <v>0</v>
      </c>
      <c r="F561" s="165" t="s">
        <v>51</v>
      </c>
      <c r="G561" s="164">
        <v>0</v>
      </c>
      <c r="H561" s="165" t="s">
        <v>51</v>
      </c>
      <c r="I561" s="164">
        <v>0</v>
      </c>
      <c r="J561" s="165" t="s">
        <v>51</v>
      </c>
      <c r="K561" s="164">
        <v>0</v>
      </c>
      <c r="L561" s="165" t="s">
        <v>51</v>
      </c>
      <c r="M561" s="164">
        <v>0</v>
      </c>
      <c r="N561" s="165" t="s">
        <v>51</v>
      </c>
      <c r="O561" s="164">
        <v>0</v>
      </c>
      <c r="P561" s="164">
        <v>178010</v>
      </c>
      <c r="Q561" s="166">
        <v>0</v>
      </c>
      <c r="R561" s="166">
        <v>0</v>
      </c>
      <c r="S561" s="166">
        <v>0</v>
      </c>
      <c r="T561" s="166">
        <v>0</v>
      </c>
      <c r="U561" s="13">
        <v>0</v>
      </c>
      <c r="V561" s="13">
        <v>0</v>
      </c>
      <c r="W561" s="8" t="s">
        <v>2268</v>
      </c>
      <c r="X561" s="8" t="s">
        <v>51</v>
      </c>
      <c r="Y561" s="2" t="s">
        <v>2261</v>
      </c>
      <c r="Z561" s="2" t="s">
        <v>51</v>
      </c>
      <c r="AA561" s="14"/>
      <c r="AB561" s="2" t="s">
        <v>51</v>
      </c>
    </row>
    <row r="562" spans="1:28" ht="30" customHeight="1">
      <c r="A562" s="8" t="s">
        <v>1007</v>
      </c>
      <c r="B562" s="157" t="s">
        <v>1006</v>
      </c>
      <c r="C562" s="157" t="s">
        <v>418</v>
      </c>
      <c r="D562" s="163" t="s">
        <v>419</v>
      </c>
      <c r="E562" s="164">
        <v>0</v>
      </c>
      <c r="F562" s="165" t="s">
        <v>51</v>
      </c>
      <c r="G562" s="164">
        <v>0</v>
      </c>
      <c r="H562" s="165" t="s">
        <v>51</v>
      </c>
      <c r="I562" s="164">
        <v>0</v>
      </c>
      <c r="J562" s="165" t="s">
        <v>51</v>
      </c>
      <c r="K562" s="164">
        <v>0</v>
      </c>
      <c r="L562" s="165" t="s">
        <v>51</v>
      </c>
      <c r="M562" s="164">
        <v>0</v>
      </c>
      <c r="N562" s="165" t="s">
        <v>51</v>
      </c>
      <c r="O562" s="164">
        <v>0</v>
      </c>
      <c r="P562" s="164">
        <v>209394</v>
      </c>
      <c r="Q562" s="166">
        <v>0</v>
      </c>
      <c r="R562" s="166">
        <v>0</v>
      </c>
      <c r="S562" s="166">
        <v>0</v>
      </c>
      <c r="T562" s="166">
        <v>0</v>
      </c>
      <c r="U562" s="13">
        <v>0</v>
      </c>
      <c r="V562" s="13">
        <v>0</v>
      </c>
      <c r="W562" s="8" t="s">
        <v>2269</v>
      </c>
      <c r="X562" s="8" t="s">
        <v>51</v>
      </c>
      <c r="Y562" s="2" t="s">
        <v>2261</v>
      </c>
      <c r="Z562" s="2" t="s">
        <v>51</v>
      </c>
      <c r="AA562" s="14"/>
      <c r="AB562" s="2" t="s">
        <v>51</v>
      </c>
    </row>
    <row r="563" spans="1:28" ht="30" customHeight="1">
      <c r="A563" s="8" t="s">
        <v>1007</v>
      </c>
      <c r="B563" s="54" t="s">
        <v>3862</v>
      </c>
      <c r="C563" s="157" t="s">
        <v>418</v>
      </c>
      <c r="D563" s="163" t="s">
        <v>419</v>
      </c>
      <c r="E563" s="164">
        <v>0</v>
      </c>
      <c r="F563" s="165" t="s">
        <v>51</v>
      </c>
      <c r="G563" s="164">
        <v>0</v>
      </c>
      <c r="H563" s="165" t="s">
        <v>51</v>
      </c>
      <c r="I563" s="164">
        <v>0</v>
      </c>
      <c r="J563" s="165" t="s">
        <v>51</v>
      </c>
      <c r="K563" s="164">
        <v>0</v>
      </c>
      <c r="L563" s="165" t="s">
        <v>51</v>
      </c>
      <c r="M563" s="164">
        <v>0</v>
      </c>
      <c r="N563" s="165" t="s">
        <v>51</v>
      </c>
      <c r="O563" s="164">
        <v>0</v>
      </c>
      <c r="P563" s="164">
        <v>164907</v>
      </c>
      <c r="Q563" s="166">
        <v>0</v>
      </c>
      <c r="R563" s="166">
        <v>0</v>
      </c>
      <c r="S563" s="166">
        <v>0</v>
      </c>
      <c r="T563" s="166">
        <v>0</v>
      </c>
      <c r="U563" s="13">
        <v>0</v>
      </c>
      <c r="V563" s="13">
        <v>0</v>
      </c>
      <c r="W563" s="8" t="s">
        <v>2270</v>
      </c>
      <c r="X563" s="8" t="s">
        <v>51</v>
      </c>
      <c r="Y563" s="2" t="s">
        <v>2261</v>
      </c>
      <c r="Z563" s="2" t="s">
        <v>51</v>
      </c>
      <c r="AA563" s="14"/>
      <c r="AB563" s="2" t="s">
        <v>51</v>
      </c>
    </row>
    <row r="564" spans="1:28" ht="30" customHeight="1">
      <c r="A564" s="8" t="s">
        <v>1007</v>
      </c>
      <c r="B564" s="54" t="s">
        <v>3863</v>
      </c>
      <c r="C564" s="157" t="s">
        <v>418</v>
      </c>
      <c r="D564" s="163" t="s">
        <v>419</v>
      </c>
      <c r="E564" s="164">
        <v>0</v>
      </c>
      <c r="F564" s="165" t="s">
        <v>51</v>
      </c>
      <c r="G564" s="164">
        <v>0</v>
      </c>
      <c r="H564" s="165" t="s">
        <v>51</v>
      </c>
      <c r="I564" s="164">
        <v>0</v>
      </c>
      <c r="J564" s="165" t="s">
        <v>51</v>
      </c>
      <c r="K564" s="164">
        <v>0</v>
      </c>
      <c r="L564" s="165" t="s">
        <v>51</v>
      </c>
      <c r="M564" s="164">
        <v>0</v>
      </c>
      <c r="N564" s="165" t="s">
        <v>51</v>
      </c>
      <c r="O564" s="164">
        <v>0</v>
      </c>
      <c r="P564" s="164">
        <v>175669</v>
      </c>
      <c r="Q564" s="166">
        <v>0</v>
      </c>
      <c r="R564" s="166">
        <v>0</v>
      </c>
      <c r="S564" s="166">
        <v>0</v>
      </c>
      <c r="T564" s="166">
        <v>0</v>
      </c>
      <c r="U564" s="13">
        <v>0</v>
      </c>
      <c r="V564" s="13">
        <v>0</v>
      </c>
      <c r="W564" s="8" t="s">
        <v>2271</v>
      </c>
      <c r="X564" s="8" t="s">
        <v>51</v>
      </c>
      <c r="Y564" s="2" t="s">
        <v>2261</v>
      </c>
      <c r="Z564" s="2" t="s">
        <v>51</v>
      </c>
      <c r="AA564" s="14"/>
      <c r="AB564" s="2" t="s">
        <v>51</v>
      </c>
    </row>
    <row r="565" spans="1:28" ht="30" customHeight="1">
      <c r="A565" s="8" t="s">
        <v>1007</v>
      </c>
      <c r="B565" s="54" t="s">
        <v>3864</v>
      </c>
      <c r="C565" s="157" t="s">
        <v>418</v>
      </c>
      <c r="D565" s="163" t="s">
        <v>419</v>
      </c>
      <c r="E565" s="164">
        <v>0</v>
      </c>
      <c r="F565" s="165" t="s">
        <v>51</v>
      </c>
      <c r="G565" s="164">
        <v>0</v>
      </c>
      <c r="H565" s="165" t="s">
        <v>51</v>
      </c>
      <c r="I565" s="164">
        <v>0</v>
      </c>
      <c r="J565" s="165" t="s">
        <v>51</v>
      </c>
      <c r="K565" s="164">
        <v>0</v>
      </c>
      <c r="L565" s="165" t="s">
        <v>51</v>
      </c>
      <c r="M565" s="164">
        <v>0</v>
      </c>
      <c r="N565" s="165" t="s">
        <v>51</v>
      </c>
      <c r="O565" s="164">
        <v>0</v>
      </c>
      <c r="P565" s="164">
        <v>254636</v>
      </c>
      <c r="Q565" s="166">
        <v>0</v>
      </c>
      <c r="R565" s="166">
        <v>0</v>
      </c>
      <c r="S565" s="166">
        <v>0</v>
      </c>
      <c r="T565" s="166">
        <v>0</v>
      </c>
      <c r="U565" s="13">
        <v>0</v>
      </c>
      <c r="V565" s="13">
        <v>0</v>
      </c>
      <c r="W565" s="8" t="s">
        <v>2272</v>
      </c>
      <c r="X565" s="8" t="s">
        <v>51</v>
      </c>
      <c r="Y565" s="2" t="s">
        <v>2261</v>
      </c>
      <c r="Z565" s="2" t="s">
        <v>51</v>
      </c>
      <c r="AA565" s="14"/>
      <c r="AB565" s="2" t="s">
        <v>51</v>
      </c>
    </row>
    <row r="566" spans="1:28" ht="30" customHeight="1">
      <c r="A566" s="8" t="s">
        <v>1031</v>
      </c>
      <c r="B566" s="157" t="s">
        <v>1030</v>
      </c>
      <c r="C566" s="157" t="s">
        <v>418</v>
      </c>
      <c r="D566" s="163" t="s">
        <v>419</v>
      </c>
      <c r="E566" s="164">
        <v>0</v>
      </c>
      <c r="F566" s="165" t="s">
        <v>51</v>
      </c>
      <c r="G566" s="164">
        <v>0</v>
      </c>
      <c r="H566" s="165" t="s">
        <v>51</v>
      </c>
      <c r="I566" s="164">
        <v>0</v>
      </c>
      <c r="J566" s="165" t="s">
        <v>51</v>
      </c>
      <c r="K566" s="164">
        <v>0</v>
      </c>
      <c r="L566" s="165" t="s">
        <v>51</v>
      </c>
      <c r="M566" s="164">
        <v>0</v>
      </c>
      <c r="N566" s="165" t="s">
        <v>51</v>
      </c>
      <c r="O566" s="164">
        <v>0</v>
      </c>
      <c r="P566" s="164">
        <v>176436</v>
      </c>
      <c r="Q566" s="166">
        <v>0</v>
      </c>
      <c r="R566" s="166">
        <v>0</v>
      </c>
      <c r="S566" s="166">
        <v>0</v>
      </c>
      <c r="T566" s="166">
        <v>0</v>
      </c>
      <c r="U566" s="13">
        <v>0</v>
      </c>
      <c r="V566" s="13">
        <v>0</v>
      </c>
      <c r="W566" s="8" t="s">
        <v>2273</v>
      </c>
      <c r="X566" s="8" t="s">
        <v>51</v>
      </c>
      <c r="Y566" s="2" t="s">
        <v>2261</v>
      </c>
      <c r="Z566" s="2" t="s">
        <v>51</v>
      </c>
      <c r="AA566" s="14"/>
      <c r="AB566" s="2" t="s">
        <v>51</v>
      </c>
    </row>
    <row r="567" spans="1:28" ht="30" customHeight="1">
      <c r="A567" s="8" t="s">
        <v>1759</v>
      </c>
      <c r="B567" s="157" t="s">
        <v>1758</v>
      </c>
      <c r="C567" s="157" t="s">
        <v>418</v>
      </c>
      <c r="D567" s="163" t="s">
        <v>419</v>
      </c>
      <c r="E567" s="164">
        <v>0</v>
      </c>
      <c r="F567" s="165" t="s">
        <v>51</v>
      </c>
      <c r="G567" s="164">
        <v>0</v>
      </c>
      <c r="H567" s="165" t="s">
        <v>51</v>
      </c>
      <c r="I567" s="164">
        <v>0</v>
      </c>
      <c r="J567" s="165" t="s">
        <v>51</v>
      </c>
      <c r="K567" s="164">
        <v>0</v>
      </c>
      <c r="L567" s="165" t="s">
        <v>51</v>
      </c>
      <c r="M567" s="164">
        <v>0</v>
      </c>
      <c r="N567" s="165" t="s">
        <v>51</v>
      </c>
      <c r="O567" s="164">
        <v>0</v>
      </c>
      <c r="P567" s="164">
        <v>192633</v>
      </c>
      <c r="Q567" s="166">
        <v>0</v>
      </c>
      <c r="R567" s="166">
        <v>0</v>
      </c>
      <c r="S567" s="166">
        <v>0</v>
      </c>
      <c r="T567" s="166">
        <v>0</v>
      </c>
      <c r="U567" s="13">
        <v>0</v>
      </c>
      <c r="V567" s="13">
        <v>0</v>
      </c>
      <c r="W567" s="8" t="s">
        <v>2274</v>
      </c>
      <c r="X567" s="8" t="s">
        <v>51</v>
      </c>
      <c r="Y567" s="2" t="s">
        <v>2261</v>
      </c>
      <c r="Z567" s="2" t="s">
        <v>51</v>
      </c>
      <c r="AA567" s="14"/>
      <c r="AB567" s="2" t="s">
        <v>51</v>
      </c>
    </row>
    <row r="568" spans="1:28" ht="30" customHeight="1">
      <c r="A568" s="8" t="s">
        <v>948</v>
      </c>
      <c r="B568" s="157" t="s">
        <v>946</v>
      </c>
      <c r="C568" s="157" t="s">
        <v>947</v>
      </c>
      <c r="D568" s="163" t="s">
        <v>419</v>
      </c>
      <c r="E568" s="164">
        <v>0</v>
      </c>
      <c r="F568" s="165" t="s">
        <v>51</v>
      </c>
      <c r="G568" s="164">
        <v>0</v>
      </c>
      <c r="H568" s="165" t="s">
        <v>51</v>
      </c>
      <c r="I568" s="164">
        <v>0</v>
      </c>
      <c r="J568" s="165" t="s">
        <v>51</v>
      </c>
      <c r="K568" s="164">
        <v>0</v>
      </c>
      <c r="L568" s="165" t="s">
        <v>51</v>
      </c>
      <c r="M568" s="164">
        <v>0</v>
      </c>
      <c r="N568" s="165" t="s">
        <v>51</v>
      </c>
      <c r="O568" s="164">
        <v>0</v>
      </c>
      <c r="P568" s="164">
        <v>203532</v>
      </c>
      <c r="Q568" s="166">
        <v>0</v>
      </c>
      <c r="R568" s="166">
        <v>0</v>
      </c>
      <c r="S568" s="166">
        <v>0</v>
      </c>
      <c r="T568" s="166">
        <v>0</v>
      </c>
      <c r="U568" s="13">
        <v>0</v>
      </c>
      <c r="V568" s="13">
        <v>0</v>
      </c>
      <c r="W568" s="8" t="s">
        <v>2275</v>
      </c>
      <c r="X568" s="8" t="s">
        <v>51</v>
      </c>
      <c r="Y568" s="2" t="s">
        <v>2261</v>
      </c>
      <c r="Z568" s="2" t="s">
        <v>51</v>
      </c>
      <c r="AA568" s="14"/>
      <c r="AB568" s="2" t="s">
        <v>51</v>
      </c>
    </row>
    <row r="569" spans="1:28" ht="30" customHeight="1">
      <c r="A569" s="8" t="s">
        <v>1062</v>
      </c>
      <c r="B569" s="157" t="s">
        <v>1061</v>
      </c>
      <c r="C569" s="157" t="s">
        <v>418</v>
      </c>
      <c r="D569" s="163" t="s">
        <v>419</v>
      </c>
      <c r="E569" s="164">
        <v>0</v>
      </c>
      <c r="F569" s="165" t="s">
        <v>51</v>
      </c>
      <c r="G569" s="164">
        <v>0</v>
      </c>
      <c r="H569" s="165" t="s">
        <v>51</v>
      </c>
      <c r="I569" s="164">
        <v>0</v>
      </c>
      <c r="J569" s="165" t="s">
        <v>51</v>
      </c>
      <c r="K569" s="164">
        <v>0</v>
      </c>
      <c r="L569" s="165" t="s">
        <v>51</v>
      </c>
      <c r="M569" s="164">
        <v>0</v>
      </c>
      <c r="N569" s="165" t="s">
        <v>51</v>
      </c>
      <c r="O569" s="164">
        <v>0</v>
      </c>
      <c r="P569" s="164">
        <v>190247</v>
      </c>
      <c r="Q569" s="166">
        <v>0</v>
      </c>
      <c r="R569" s="166">
        <v>0</v>
      </c>
      <c r="S569" s="166">
        <v>0</v>
      </c>
      <c r="T569" s="166">
        <v>0</v>
      </c>
      <c r="U569" s="13">
        <v>0</v>
      </c>
      <c r="V569" s="13">
        <v>0</v>
      </c>
      <c r="W569" s="8" t="s">
        <v>2276</v>
      </c>
      <c r="X569" s="8" t="s">
        <v>51</v>
      </c>
      <c r="Y569" s="2" t="s">
        <v>2261</v>
      </c>
      <c r="Z569" s="2" t="s">
        <v>51</v>
      </c>
      <c r="AA569" s="14"/>
      <c r="AB569" s="2" t="s">
        <v>51</v>
      </c>
    </row>
    <row r="570" spans="1:28" ht="30" customHeight="1">
      <c r="A570" s="8" t="s">
        <v>1296</v>
      </c>
      <c r="B570" s="157" t="s">
        <v>1295</v>
      </c>
      <c r="C570" s="157" t="s">
        <v>418</v>
      </c>
      <c r="D570" s="163" t="s">
        <v>419</v>
      </c>
      <c r="E570" s="164">
        <v>0</v>
      </c>
      <c r="F570" s="165" t="s">
        <v>51</v>
      </c>
      <c r="G570" s="164">
        <v>0</v>
      </c>
      <c r="H570" s="165" t="s">
        <v>51</v>
      </c>
      <c r="I570" s="164">
        <v>0</v>
      </c>
      <c r="J570" s="165" t="s">
        <v>51</v>
      </c>
      <c r="K570" s="164">
        <v>0</v>
      </c>
      <c r="L570" s="165" t="s">
        <v>51</v>
      </c>
      <c r="M570" s="164">
        <v>0</v>
      </c>
      <c r="N570" s="165" t="s">
        <v>51</v>
      </c>
      <c r="O570" s="164">
        <v>0</v>
      </c>
      <c r="P570" s="164">
        <v>214502</v>
      </c>
      <c r="Q570" s="166">
        <v>0</v>
      </c>
      <c r="R570" s="166">
        <v>0</v>
      </c>
      <c r="S570" s="166">
        <v>0</v>
      </c>
      <c r="T570" s="166">
        <v>0</v>
      </c>
      <c r="U570" s="13">
        <v>0</v>
      </c>
      <c r="V570" s="13">
        <v>0</v>
      </c>
      <c r="W570" s="8" t="s">
        <v>2277</v>
      </c>
      <c r="X570" s="8" t="s">
        <v>51</v>
      </c>
      <c r="Y570" s="2" t="s">
        <v>2261</v>
      </c>
      <c r="Z570" s="2" t="s">
        <v>51</v>
      </c>
      <c r="AA570" s="14"/>
      <c r="AB570" s="2" t="s">
        <v>51</v>
      </c>
    </row>
    <row r="571" spans="1:28" ht="30" customHeight="1">
      <c r="A571" s="8" t="s">
        <v>1108</v>
      </c>
      <c r="B571" s="157" t="s">
        <v>1107</v>
      </c>
      <c r="C571" s="157" t="s">
        <v>418</v>
      </c>
      <c r="D571" s="163" t="s">
        <v>419</v>
      </c>
      <c r="E571" s="164">
        <v>0</v>
      </c>
      <c r="F571" s="165" t="s">
        <v>51</v>
      </c>
      <c r="G571" s="164">
        <v>0</v>
      </c>
      <c r="H571" s="165" t="s">
        <v>51</v>
      </c>
      <c r="I571" s="164">
        <v>0</v>
      </c>
      <c r="J571" s="165" t="s">
        <v>51</v>
      </c>
      <c r="K571" s="164">
        <v>0</v>
      </c>
      <c r="L571" s="165" t="s">
        <v>51</v>
      </c>
      <c r="M571" s="164">
        <v>0</v>
      </c>
      <c r="N571" s="165" t="s">
        <v>51</v>
      </c>
      <c r="O571" s="164">
        <v>0</v>
      </c>
      <c r="P571" s="164">
        <v>188854</v>
      </c>
      <c r="Q571" s="166">
        <v>0</v>
      </c>
      <c r="R571" s="166">
        <v>0</v>
      </c>
      <c r="S571" s="166">
        <v>0</v>
      </c>
      <c r="T571" s="166">
        <v>0</v>
      </c>
      <c r="U571" s="13">
        <v>0</v>
      </c>
      <c r="V571" s="13">
        <v>0</v>
      </c>
      <c r="W571" s="8" t="s">
        <v>2278</v>
      </c>
      <c r="X571" s="8" t="s">
        <v>51</v>
      </c>
      <c r="Y571" s="2" t="s">
        <v>2261</v>
      </c>
      <c r="Z571" s="2" t="s">
        <v>51</v>
      </c>
      <c r="AA571" s="14"/>
      <c r="AB571" s="2" t="s">
        <v>51</v>
      </c>
    </row>
    <row r="572" spans="1:28" ht="30" customHeight="1">
      <c r="A572" s="8" t="s">
        <v>1040</v>
      </c>
      <c r="B572" s="157" t="s">
        <v>1039</v>
      </c>
      <c r="C572" s="157" t="s">
        <v>418</v>
      </c>
      <c r="D572" s="163" t="s">
        <v>419</v>
      </c>
      <c r="E572" s="164">
        <v>0</v>
      </c>
      <c r="F572" s="165" t="s">
        <v>51</v>
      </c>
      <c r="G572" s="164">
        <v>0</v>
      </c>
      <c r="H572" s="165" t="s">
        <v>51</v>
      </c>
      <c r="I572" s="164">
        <v>0</v>
      </c>
      <c r="J572" s="165" t="s">
        <v>51</v>
      </c>
      <c r="K572" s="164">
        <v>0</v>
      </c>
      <c r="L572" s="165" t="s">
        <v>51</v>
      </c>
      <c r="M572" s="164">
        <v>0</v>
      </c>
      <c r="N572" s="165" t="s">
        <v>51</v>
      </c>
      <c r="O572" s="164">
        <v>0</v>
      </c>
      <c r="P572" s="164">
        <v>192305</v>
      </c>
      <c r="Q572" s="166">
        <v>0</v>
      </c>
      <c r="R572" s="166">
        <v>0</v>
      </c>
      <c r="S572" s="166">
        <v>0</v>
      </c>
      <c r="T572" s="166">
        <v>0</v>
      </c>
      <c r="U572" s="13">
        <v>0</v>
      </c>
      <c r="V572" s="13">
        <v>0</v>
      </c>
      <c r="W572" s="8" t="s">
        <v>2279</v>
      </c>
      <c r="X572" s="8" t="s">
        <v>51</v>
      </c>
      <c r="Y572" s="2" t="s">
        <v>2261</v>
      </c>
      <c r="Z572" s="2" t="s">
        <v>51</v>
      </c>
      <c r="AA572" s="14"/>
      <c r="AB572" s="2" t="s">
        <v>51</v>
      </c>
    </row>
    <row r="573" spans="1:28" ht="30" customHeight="1">
      <c r="A573" s="8" t="s">
        <v>1901</v>
      </c>
      <c r="B573" s="157" t="s">
        <v>1900</v>
      </c>
      <c r="C573" s="157" t="s">
        <v>947</v>
      </c>
      <c r="D573" s="163" t="s">
        <v>419</v>
      </c>
      <c r="E573" s="164">
        <v>0</v>
      </c>
      <c r="F573" s="165" t="s">
        <v>51</v>
      </c>
      <c r="G573" s="164">
        <v>0</v>
      </c>
      <c r="H573" s="165" t="s">
        <v>51</v>
      </c>
      <c r="I573" s="164">
        <v>0</v>
      </c>
      <c r="J573" s="165" t="s">
        <v>51</v>
      </c>
      <c r="K573" s="164">
        <v>0</v>
      </c>
      <c r="L573" s="165" t="s">
        <v>51</v>
      </c>
      <c r="M573" s="164">
        <v>0</v>
      </c>
      <c r="N573" s="165" t="s">
        <v>51</v>
      </c>
      <c r="O573" s="164">
        <v>0</v>
      </c>
      <c r="P573" s="164">
        <v>204974</v>
      </c>
      <c r="Q573" s="166">
        <v>0</v>
      </c>
      <c r="R573" s="166">
        <v>0</v>
      </c>
      <c r="S573" s="166">
        <v>0</v>
      </c>
      <c r="T573" s="166">
        <v>0</v>
      </c>
      <c r="U573" s="13">
        <v>0</v>
      </c>
      <c r="V573" s="13">
        <v>0</v>
      </c>
      <c r="W573" s="8" t="s">
        <v>2280</v>
      </c>
      <c r="X573" s="8" t="s">
        <v>51</v>
      </c>
      <c r="Y573" s="2" t="s">
        <v>2261</v>
      </c>
      <c r="Z573" s="2" t="s">
        <v>51</v>
      </c>
      <c r="AA573" s="14"/>
      <c r="AB573" s="2" t="s">
        <v>51</v>
      </c>
    </row>
    <row r="574" spans="1:28" ht="30" customHeight="1">
      <c r="A574" s="8" t="s">
        <v>420</v>
      </c>
      <c r="B574" s="157" t="s">
        <v>417</v>
      </c>
      <c r="C574" s="157" t="s">
        <v>418</v>
      </c>
      <c r="D574" s="163" t="s">
        <v>419</v>
      </c>
      <c r="E574" s="164">
        <v>0</v>
      </c>
      <c r="F574" s="165" t="s">
        <v>51</v>
      </c>
      <c r="G574" s="164">
        <v>0</v>
      </c>
      <c r="H574" s="165" t="s">
        <v>51</v>
      </c>
      <c r="I574" s="164">
        <v>0</v>
      </c>
      <c r="J574" s="165" t="s">
        <v>51</v>
      </c>
      <c r="K574" s="164">
        <v>0</v>
      </c>
      <c r="L574" s="165" t="s">
        <v>51</v>
      </c>
      <c r="M574" s="164">
        <v>0</v>
      </c>
      <c r="N574" s="165" t="s">
        <v>51</v>
      </c>
      <c r="O574" s="164">
        <v>0</v>
      </c>
      <c r="P574" s="164">
        <v>233369</v>
      </c>
      <c r="Q574" s="166">
        <v>0</v>
      </c>
      <c r="R574" s="166">
        <v>0</v>
      </c>
      <c r="S574" s="166">
        <v>0</v>
      </c>
      <c r="T574" s="166">
        <v>0</v>
      </c>
      <c r="U574" s="13">
        <v>0</v>
      </c>
      <c r="V574" s="13">
        <v>0</v>
      </c>
      <c r="W574" s="8" t="s">
        <v>2281</v>
      </c>
      <c r="X574" s="8" t="s">
        <v>51</v>
      </c>
      <c r="Y574" s="2" t="s">
        <v>2261</v>
      </c>
      <c r="Z574" s="2" t="s">
        <v>51</v>
      </c>
      <c r="AA574" s="14"/>
      <c r="AB574" s="2" t="s">
        <v>51</v>
      </c>
    </row>
    <row r="575" spans="1:28" ht="30" customHeight="1">
      <c r="A575" s="8"/>
      <c r="B575" s="157" t="s">
        <v>4697</v>
      </c>
      <c r="C575" s="157" t="s">
        <v>418</v>
      </c>
      <c r="D575" s="163" t="s">
        <v>419</v>
      </c>
      <c r="E575" s="164"/>
      <c r="F575" s="165"/>
      <c r="G575" s="164"/>
      <c r="H575" s="165"/>
      <c r="I575" s="164"/>
      <c r="J575" s="165"/>
      <c r="K575" s="164"/>
      <c r="L575" s="165"/>
      <c r="M575" s="164"/>
      <c r="N575" s="165"/>
      <c r="O575" s="164"/>
      <c r="P575" s="164">
        <v>186665</v>
      </c>
      <c r="Q575" s="166"/>
      <c r="R575" s="166"/>
      <c r="S575" s="166"/>
      <c r="T575" s="166"/>
      <c r="U575" s="13"/>
      <c r="V575" s="13"/>
      <c r="W575" s="8" t="s">
        <v>2282</v>
      </c>
      <c r="X575" s="8"/>
      <c r="Y575" s="2"/>
      <c r="Z575" s="2"/>
      <c r="AA575" s="14"/>
      <c r="AB575" s="2"/>
    </row>
    <row r="576" spans="1:28" ht="30" customHeight="1">
      <c r="A576" s="8"/>
      <c r="B576" s="157" t="s">
        <v>4698</v>
      </c>
      <c r="C576" s="157" t="s">
        <v>418</v>
      </c>
      <c r="D576" s="163" t="s">
        <v>419</v>
      </c>
      <c r="E576" s="164"/>
      <c r="F576" s="165"/>
      <c r="G576" s="164"/>
      <c r="H576" s="165"/>
      <c r="I576" s="164"/>
      <c r="J576" s="165"/>
      <c r="K576" s="164"/>
      <c r="L576" s="165"/>
      <c r="M576" s="164"/>
      <c r="N576" s="165"/>
      <c r="O576" s="164"/>
      <c r="P576" s="164">
        <v>174352</v>
      </c>
      <c r="Q576" s="166"/>
      <c r="R576" s="166"/>
      <c r="S576" s="166"/>
      <c r="T576" s="166"/>
      <c r="U576" s="13"/>
      <c r="V576" s="13"/>
      <c r="W576" s="8" t="s">
        <v>2283</v>
      </c>
      <c r="X576" s="8"/>
      <c r="Y576" s="2"/>
      <c r="Z576" s="2"/>
      <c r="AA576" s="14"/>
      <c r="AB576" s="2"/>
    </row>
    <row r="577" spans="1:28" ht="30" customHeight="1">
      <c r="A577" s="8" t="s">
        <v>1453</v>
      </c>
      <c r="B577" s="157" t="s">
        <v>1061</v>
      </c>
      <c r="C577" s="157" t="s">
        <v>319</v>
      </c>
      <c r="D577" s="163" t="s">
        <v>419</v>
      </c>
      <c r="E577" s="164">
        <v>0</v>
      </c>
      <c r="F577" s="165" t="s">
        <v>51</v>
      </c>
      <c r="G577" s="164">
        <v>0</v>
      </c>
      <c r="H577" s="165" t="s">
        <v>51</v>
      </c>
      <c r="I577" s="164">
        <v>0</v>
      </c>
      <c r="J577" s="165" t="s">
        <v>51</v>
      </c>
      <c r="K577" s="164">
        <v>0</v>
      </c>
      <c r="L577" s="165" t="s">
        <v>51</v>
      </c>
      <c r="M577" s="164">
        <v>0</v>
      </c>
      <c r="N577" s="165" t="s">
        <v>51</v>
      </c>
      <c r="O577" s="164">
        <v>0</v>
      </c>
      <c r="P577" s="164">
        <v>1593540</v>
      </c>
      <c r="Q577" s="166">
        <v>0</v>
      </c>
      <c r="R577" s="166">
        <v>0</v>
      </c>
      <c r="S577" s="166">
        <v>0</v>
      </c>
      <c r="T577" s="166">
        <v>0</v>
      </c>
      <c r="U577" s="13">
        <v>0</v>
      </c>
      <c r="V577" s="13">
        <v>0</v>
      </c>
      <c r="W577" s="8" t="s">
        <v>2284</v>
      </c>
      <c r="X577" s="8" t="s">
        <v>51</v>
      </c>
      <c r="Y577" s="2" t="s">
        <v>2261</v>
      </c>
      <c r="Z577" s="2" t="s">
        <v>51</v>
      </c>
      <c r="AA577" s="14"/>
      <c r="AB577" s="2" t="s">
        <v>51</v>
      </c>
    </row>
    <row r="578" spans="1:28" ht="30" customHeight="1">
      <c r="A578" s="8" t="s">
        <v>1458</v>
      </c>
      <c r="B578" s="157" t="s">
        <v>1061</v>
      </c>
      <c r="C578" s="157" t="s">
        <v>324</v>
      </c>
      <c r="D578" s="163" t="s">
        <v>419</v>
      </c>
      <c r="E578" s="164">
        <v>0</v>
      </c>
      <c r="F578" s="165" t="s">
        <v>51</v>
      </c>
      <c r="G578" s="164">
        <v>0</v>
      </c>
      <c r="H578" s="165" t="s">
        <v>51</v>
      </c>
      <c r="I578" s="164">
        <v>0</v>
      </c>
      <c r="J578" s="165" t="s">
        <v>51</v>
      </c>
      <c r="K578" s="164">
        <v>0</v>
      </c>
      <c r="L578" s="165" t="s">
        <v>51</v>
      </c>
      <c r="M578" s="164">
        <v>0</v>
      </c>
      <c r="N578" s="165" t="s">
        <v>51</v>
      </c>
      <c r="O578" s="164">
        <v>0</v>
      </c>
      <c r="P578" s="164">
        <v>1266660</v>
      </c>
      <c r="Q578" s="166">
        <v>0</v>
      </c>
      <c r="R578" s="166">
        <v>0</v>
      </c>
      <c r="S578" s="166">
        <v>0</v>
      </c>
      <c r="T578" s="166">
        <v>0</v>
      </c>
      <c r="U578" s="13">
        <v>0</v>
      </c>
      <c r="V578" s="13">
        <v>0</v>
      </c>
      <c r="W578" s="8" t="s">
        <v>2285</v>
      </c>
      <c r="X578" s="8" t="s">
        <v>51</v>
      </c>
      <c r="Y578" s="2" t="s">
        <v>2261</v>
      </c>
      <c r="Z578" s="2" t="s">
        <v>51</v>
      </c>
      <c r="AA578" s="14"/>
      <c r="AB578" s="2" t="s">
        <v>51</v>
      </c>
    </row>
    <row r="579" spans="1:28" ht="30" customHeight="1">
      <c r="A579" s="8" t="s">
        <v>1463</v>
      </c>
      <c r="B579" s="157" t="s">
        <v>1061</v>
      </c>
      <c r="C579" s="157" t="s">
        <v>328</v>
      </c>
      <c r="D579" s="163" t="s">
        <v>419</v>
      </c>
      <c r="E579" s="164">
        <v>0</v>
      </c>
      <c r="F579" s="165" t="s">
        <v>51</v>
      </c>
      <c r="G579" s="164">
        <v>0</v>
      </c>
      <c r="H579" s="165" t="s">
        <v>51</v>
      </c>
      <c r="I579" s="164">
        <v>0</v>
      </c>
      <c r="J579" s="165" t="s">
        <v>51</v>
      </c>
      <c r="K579" s="164">
        <v>0</v>
      </c>
      <c r="L579" s="165" t="s">
        <v>51</v>
      </c>
      <c r="M579" s="164">
        <v>0</v>
      </c>
      <c r="N579" s="165" t="s">
        <v>51</v>
      </c>
      <c r="O579" s="164">
        <v>0</v>
      </c>
      <c r="P579" s="164">
        <v>1012500</v>
      </c>
      <c r="Q579" s="166">
        <v>0</v>
      </c>
      <c r="R579" s="166">
        <v>0</v>
      </c>
      <c r="S579" s="166">
        <v>0</v>
      </c>
      <c r="T579" s="166">
        <v>0</v>
      </c>
      <c r="U579" s="13">
        <v>0</v>
      </c>
      <c r="V579" s="13">
        <v>0</v>
      </c>
      <c r="W579" s="8" t="s">
        <v>2286</v>
      </c>
      <c r="X579" s="8" t="s">
        <v>51</v>
      </c>
      <c r="Y579" s="2" t="s">
        <v>2261</v>
      </c>
      <c r="Z579" s="2" t="s">
        <v>51</v>
      </c>
      <c r="AA579" s="14"/>
      <c r="AB579" s="2" t="s">
        <v>51</v>
      </c>
    </row>
    <row r="580" spans="1:28" ht="30" customHeight="1">
      <c r="A580" s="8" t="s">
        <v>1468</v>
      </c>
      <c r="B580" s="157" t="s">
        <v>1061</v>
      </c>
      <c r="C580" s="157" t="s">
        <v>332</v>
      </c>
      <c r="D580" s="163" t="s">
        <v>419</v>
      </c>
      <c r="E580" s="164">
        <v>0</v>
      </c>
      <c r="F580" s="165" t="s">
        <v>51</v>
      </c>
      <c r="G580" s="164">
        <v>0</v>
      </c>
      <c r="H580" s="165" t="s">
        <v>51</v>
      </c>
      <c r="I580" s="164">
        <v>0</v>
      </c>
      <c r="J580" s="165" t="s">
        <v>51</v>
      </c>
      <c r="K580" s="164">
        <v>0</v>
      </c>
      <c r="L580" s="165" t="s">
        <v>51</v>
      </c>
      <c r="M580" s="164">
        <v>0</v>
      </c>
      <c r="N580" s="165" t="s">
        <v>51</v>
      </c>
      <c r="O580" s="164">
        <v>0</v>
      </c>
      <c r="P580" s="164">
        <v>449460</v>
      </c>
      <c r="Q580" s="166">
        <v>0</v>
      </c>
      <c r="R580" s="166">
        <v>0</v>
      </c>
      <c r="S580" s="166">
        <v>0</v>
      </c>
      <c r="T580" s="166">
        <v>0</v>
      </c>
      <c r="U580" s="13">
        <v>0</v>
      </c>
      <c r="V580" s="13">
        <v>0</v>
      </c>
      <c r="W580" s="8" t="s">
        <v>2287</v>
      </c>
      <c r="X580" s="8" t="s">
        <v>51</v>
      </c>
      <c r="Y580" s="2" t="s">
        <v>2261</v>
      </c>
      <c r="Z580" s="2" t="s">
        <v>51</v>
      </c>
      <c r="AA580" s="14"/>
      <c r="AB580" s="2" t="s">
        <v>51</v>
      </c>
    </row>
    <row r="581" spans="1:28" ht="30" customHeight="1">
      <c r="A581" s="8" t="s">
        <v>1473</v>
      </c>
      <c r="B581" s="157" t="s">
        <v>1061</v>
      </c>
      <c r="C581" s="157" t="s">
        <v>336</v>
      </c>
      <c r="D581" s="163" t="s">
        <v>419</v>
      </c>
      <c r="E581" s="164">
        <v>0</v>
      </c>
      <c r="F581" s="165" t="s">
        <v>51</v>
      </c>
      <c r="G581" s="164">
        <v>0</v>
      </c>
      <c r="H581" s="165" t="s">
        <v>51</v>
      </c>
      <c r="I581" s="164">
        <v>0</v>
      </c>
      <c r="J581" s="165" t="s">
        <v>51</v>
      </c>
      <c r="K581" s="164">
        <v>0</v>
      </c>
      <c r="L581" s="165" t="s">
        <v>51</v>
      </c>
      <c r="M581" s="164">
        <v>0</v>
      </c>
      <c r="N581" s="165" t="s">
        <v>51</v>
      </c>
      <c r="O581" s="164">
        <v>0</v>
      </c>
      <c r="P581" s="164">
        <v>1676700</v>
      </c>
      <c r="Q581" s="166">
        <v>0</v>
      </c>
      <c r="R581" s="166">
        <v>0</v>
      </c>
      <c r="S581" s="166">
        <v>0</v>
      </c>
      <c r="T581" s="166">
        <v>0</v>
      </c>
      <c r="U581" s="13">
        <v>0</v>
      </c>
      <c r="V581" s="13">
        <v>0</v>
      </c>
      <c r="W581" s="8" t="s">
        <v>2288</v>
      </c>
      <c r="X581" s="8" t="s">
        <v>51</v>
      </c>
      <c r="Y581" s="2" t="s">
        <v>2261</v>
      </c>
      <c r="Z581" s="2" t="s">
        <v>51</v>
      </c>
      <c r="AA581" s="14"/>
      <c r="AB581" s="2" t="s">
        <v>51</v>
      </c>
    </row>
    <row r="582" spans="1:28" ht="30" customHeight="1">
      <c r="A582" s="8" t="s">
        <v>1478</v>
      </c>
      <c r="B582" s="157" t="s">
        <v>1061</v>
      </c>
      <c r="C582" s="157" t="s">
        <v>339</v>
      </c>
      <c r="D582" s="163" t="s">
        <v>419</v>
      </c>
      <c r="E582" s="164">
        <v>0</v>
      </c>
      <c r="F582" s="165" t="s">
        <v>51</v>
      </c>
      <c r="G582" s="164">
        <v>0</v>
      </c>
      <c r="H582" s="165" t="s">
        <v>51</v>
      </c>
      <c r="I582" s="164">
        <v>0</v>
      </c>
      <c r="J582" s="165" t="s">
        <v>51</v>
      </c>
      <c r="K582" s="164">
        <v>0</v>
      </c>
      <c r="L582" s="165" t="s">
        <v>51</v>
      </c>
      <c r="M582" s="164">
        <v>0</v>
      </c>
      <c r="N582" s="165" t="s">
        <v>51</v>
      </c>
      <c r="O582" s="164">
        <v>0</v>
      </c>
      <c r="P582" s="164">
        <v>1341360</v>
      </c>
      <c r="Q582" s="166">
        <v>0</v>
      </c>
      <c r="R582" s="166">
        <v>0</v>
      </c>
      <c r="S582" s="166">
        <v>0</v>
      </c>
      <c r="T582" s="166">
        <v>0</v>
      </c>
      <c r="U582" s="13">
        <v>0</v>
      </c>
      <c r="V582" s="13">
        <v>0</v>
      </c>
      <c r="W582" s="8" t="s">
        <v>2289</v>
      </c>
      <c r="X582" s="8" t="s">
        <v>51</v>
      </c>
      <c r="Y582" s="2" t="s">
        <v>2261</v>
      </c>
      <c r="Z582" s="2" t="s">
        <v>51</v>
      </c>
      <c r="AA582" s="14"/>
      <c r="AB582" s="2" t="s">
        <v>51</v>
      </c>
    </row>
    <row r="583" spans="1:28" ht="30" customHeight="1">
      <c r="A583" s="8" t="s">
        <v>1518</v>
      </c>
      <c r="B583" s="157" t="s">
        <v>1061</v>
      </c>
      <c r="C583" s="157" t="s">
        <v>366</v>
      </c>
      <c r="D583" s="163" t="s">
        <v>419</v>
      </c>
      <c r="E583" s="164">
        <v>0</v>
      </c>
      <c r="F583" s="165" t="s">
        <v>51</v>
      </c>
      <c r="G583" s="164">
        <v>0</v>
      </c>
      <c r="H583" s="165" t="s">
        <v>51</v>
      </c>
      <c r="I583" s="164">
        <v>0</v>
      </c>
      <c r="J583" s="165" t="s">
        <v>51</v>
      </c>
      <c r="K583" s="164">
        <v>0</v>
      </c>
      <c r="L583" s="165" t="s">
        <v>51</v>
      </c>
      <c r="M583" s="164">
        <v>0</v>
      </c>
      <c r="N583" s="165" t="s">
        <v>51</v>
      </c>
      <c r="O583" s="164">
        <v>0</v>
      </c>
      <c r="P583" s="164">
        <v>1609200</v>
      </c>
      <c r="Q583" s="166">
        <v>0</v>
      </c>
      <c r="R583" s="166">
        <v>0</v>
      </c>
      <c r="S583" s="166">
        <v>0</v>
      </c>
      <c r="T583" s="166">
        <v>0</v>
      </c>
      <c r="U583" s="13">
        <v>0</v>
      </c>
      <c r="V583" s="13">
        <v>0</v>
      </c>
      <c r="W583" s="8" t="s">
        <v>2290</v>
      </c>
      <c r="X583" s="8" t="s">
        <v>51</v>
      </c>
      <c r="Y583" s="2" t="s">
        <v>2261</v>
      </c>
      <c r="Z583" s="2" t="s">
        <v>51</v>
      </c>
      <c r="AA583" s="14"/>
      <c r="AB583" s="2" t="s">
        <v>51</v>
      </c>
    </row>
    <row r="584" spans="1:28" ht="30" customHeight="1">
      <c r="A584" s="8" t="s">
        <v>1483</v>
      </c>
      <c r="B584" s="157" t="s">
        <v>1061</v>
      </c>
      <c r="C584" s="157" t="s">
        <v>342</v>
      </c>
      <c r="D584" s="163" t="s">
        <v>419</v>
      </c>
      <c r="E584" s="164">
        <v>0</v>
      </c>
      <c r="F584" s="165" t="s">
        <v>51</v>
      </c>
      <c r="G584" s="164">
        <v>0</v>
      </c>
      <c r="H584" s="165" t="s">
        <v>51</v>
      </c>
      <c r="I584" s="164">
        <v>0</v>
      </c>
      <c r="J584" s="165" t="s">
        <v>51</v>
      </c>
      <c r="K584" s="164">
        <v>0</v>
      </c>
      <c r="L584" s="165" t="s">
        <v>51</v>
      </c>
      <c r="M584" s="164">
        <v>0</v>
      </c>
      <c r="N584" s="165" t="s">
        <v>51</v>
      </c>
      <c r="O584" s="164">
        <v>0</v>
      </c>
      <c r="P584" s="164">
        <v>180000</v>
      </c>
      <c r="Q584" s="166">
        <v>0</v>
      </c>
      <c r="R584" s="166">
        <v>0</v>
      </c>
      <c r="S584" s="166">
        <v>0</v>
      </c>
      <c r="T584" s="166">
        <v>0</v>
      </c>
      <c r="U584" s="13">
        <v>0</v>
      </c>
      <c r="V584" s="13">
        <v>0</v>
      </c>
      <c r="W584" s="8" t="s">
        <v>2291</v>
      </c>
      <c r="X584" s="8" t="s">
        <v>51</v>
      </c>
      <c r="Y584" s="2" t="s">
        <v>2261</v>
      </c>
      <c r="Z584" s="2" t="s">
        <v>51</v>
      </c>
      <c r="AA584" s="14"/>
      <c r="AB584" s="2" t="s">
        <v>51</v>
      </c>
    </row>
    <row r="585" spans="1:28" ht="30" customHeight="1">
      <c r="A585" s="8" t="s">
        <v>1498</v>
      </c>
      <c r="B585" s="157" t="s">
        <v>1061</v>
      </c>
      <c r="C585" s="157" t="s">
        <v>353</v>
      </c>
      <c r="D585" s="163" t="s">
        <v>419</v>
      </c>
      <c r="E585" s="164">
        <v>0</v>
      </c>
      <c r="F585" s="165" t="s">
        <v>51</v>
      </c>
      <c r="G585" s="164">
        <v>0</v>
      </c>
      <c r="H585" s="165" t="s">
        <v>51</v>
      </c>
      <c r="I585" s="164">
        <v>0</v>
      </c>
      <c r="J585" s="165" t="s">
        <v>51</v>
      </c>
      <c r="K585" s="164">
        <v>0</v>
      </c>
      <c r="L585" s="165" t="s">
        <v>51</v>
      </c>
      <c r="M585" s="164">
        <v>0</v>
      </c>
      <c r="N585" s="165" t="s">
        <v>51</v>
      </c>
      <c r="O585" s="164">
        <v>0</v>
      </c>
      <c r="P585" s="164">
        <v>1166400</v>
      </c>
      <c r="Q585" s="166">
        <v>0</v>
      </c>
      <c r="R585" s="166">
        <v>0</v>
      </c>
      <c r="S585" s="166">
        <v>0</v>
      </c>
      <c r="T585" s="166">
        <v>0</v>
      </c>
      <c r="U585" s="13">
        <v>0</v>
      </c>
      <c r="V585" s="13">
        <v>0</v>
      </c>
      <c r="W585" s="8" t="s">
        <v>2292</v>
      </c>
      <c r="X585" s="8" t="s">
        <v>51</v>
      </c>
      <c r="Y585" s="2" t="s">
        <v>2261</v>
      </c>
      <c r="Z585" s="2" t="s">
        <v>51</v>
      </c>
      <c r="AA585" s="14"/>
      <c r="AB585" s="2" t="s">
        <v>51</v>
      </c>
    </row>
    <row r="586" spans="1:28" ht="30" customHeight="1">
      <c r="A586" s="8" t="s">
        <v>1488</v>
      </c>
      <c r="B586" s="157" t="s">
        <v>1061</v>
      </c>
      <c r="C586" s="157" t="s">
        <v>346</v>
      </c>
      <c r="D586" s="163" t="s">
        <v>419</v>
      </c>
      <c r="E586" s="164">
        <v>0</v>
      </c>
      <c r="F586" s="165" t="s">
        <v>51</v>
      </c>
      <c r="G586" s="164">
        <v>0</v>
      </c>
      <c r="H586" s="165" t="s">
        <v>51</v>
      </c>
      <c r="I586" s="164">
        <v>0</v>
      </c>
      <c r="J586" s="165" t="s">
        <v>51</v>
      </c>
      <c r="K586" s="164">
        <v>0</v>
      </c>
      <c r="L586" s="165" t="s">
        <v>51</v>
      </c>
      <c r="M586" s="164">
        <v>0</v>
      </c>
      <c r="N586" s="165" t="s">
        <v>51</v>
      </c>
      <c r="O586" s="164">
        <v>0</v>
      </c>
      <c r="P586" s="164">
        <v>162000</v>
      </c>
      <c r="Q586" s="166">
        <v>0</v>
      </c>
      <c r="R586" s="166">
        <v>0</v>
      </c>
      <c r="S586" s="166">
        <v>0</v>
      </c>
      <c r="T586" s="166">
        <v>0</v>
      </c>
      <c r="U586" s="13">
        <v>0</v>
      </c>
      <c r="V586" s="13">
        <v>0</v>
      </c>
      <c r="W586" s="8" t="s">
        <v>2293</v>
      </c>
      <c r="X586" s="8" t="s">
        <v>51</v>
      </c>
      <c r="Y586" s="2" t="s">
        <v>2261</v>
      </c>
      <c r="Z586" s="2" t="s">
        <v>51</v>
      </c>
      <c r="AA586" s="14"/>
      <c r="AB586" s="2" t="s">
        <v>51</v>
      </c>
    </row>
    <row r="587" spans="1:28" ht="30" customHeight="1">
      <c r="A587" s="8" t="s">
        <v>1503</v>
      </c>
      <c r="B587" s="157" t="s">
        <v>1061</v>
      </c>
      <c r="C587" s="157" t="s">
        <v>356</v>
      </c>
      <c r="D587" s="163" t="s">
        <v>419</v>
      </c>
      <c r="E587" s="164">
        <v>0</v>
      </c>
      <c r="F587" s="165" t="s">
        <v>51</v>
      </c>
      <c r="G587" s="164">
        <v>0</v>
      </c>
      <c r="H587" s="165" t="s">
        <v>51</v>
      </c>
      <c r="I587" s="164">
        <v>0</v>
      </c>
      <c r="J587" s="165" t="s">
        <v>51</v>
      </c>
      <c r="K587" s="164">
        <v>0</v>
      </c>
      <c r="L587" s="165" t="s">
        <v>51</v>
      </c>
      <c r="M587" s="164">
        <v>0</v>
      </c>
      <c r="N587" s="165" t="s">
        <v>51</v>
      </c>
      <c r="O587" s="164">
        <v>0</v>
      </c>
      <c r="P587" s="164">
        <v>1555200</v>
      </c>
      <c r="Q587" s="166">
        <v>0</v>
      </c>
      <c r="R587" s="166">
        <v>0</v>
      </c>
      <c r="S587" s="166">
        <v>0</v>
      </c>
      <c r="T587" s="166">
        <v>0</v>
      </c>
      <c r="U587" s="13">
        <v>0</v>
      </c>
      <c r="V587" s="13">
        <v>0</v>
      </c>
      <c r="W587" s="8" t="s">
        <v>2294</v>
      </c>
      <c r="X587" s="8" t="s">
        <v>51</v>
      </c>
      <c r="Y587" s="2" t="s">
        <v>2261</v>
      </c>
      <c r="Z587" s="2" t="s">
        <v>51</v>
      </c>
      <c r="AA587" s="14"/>
      <c r="AB587" s="2" t="s">
        <v>51</v>
      </c>
    </row>
    <row r="588" spans="1:28" ht="30" customHeight="1">
      <c r="A588" s="8" t="s">
        <v>1508</v>
      </c>
      <c r="B588" s="157" t="s">
        <v>1061</v>
      </c>
      <c r="C588" s="157" t="s">
        <v>359</v>
      </c>
      <c r="D588" s="163" t="s">
        <v>419</v>
      </c>
      <c r="E588" s="164">
        <v>0</v>
      </c>
      <c r="F588" s="165" t="s">
        <v>51</v>
      </c>
      <c r="G588" s="164">
        <v>0</v>
      </c>
      <c r="H588" s="165" t="s">
        <v>51</v>
      </c>
      <c r="I588" s="164">
        <v>0</v>
      </c>
      <c r="J588" s="165" t="s">
        <v>51</v>
      </c>
      <c r="K588" s="164">
        <v>0</v>
      </c>
      <c r="L588" s="165" t="s">
        <v>51</v>
      </c>
      <c r="M588" s="164">
        <v>0</v>
      </c>
      <c r="N588" s="165" t="s">
        <v>51</v>
      </c>
      <c r="O588" s="164">
        <v>0</v>
      </c>
      <c r="P588" s="164">
        <v>1832500</v>
      </c>
      <c r="Q588" s="166">
        <v>0</v>
      </c>
      <c r="R588" s="166">
        <v>0</v>
      </c>
      <c r="S588" s="166">
        <v>0</v>
      </c>
      <c r="T588" s="166">
        <v>0</v>
      </c>
      <c r="U588" s="13">
        <v>0</v>
      </c>
      <c r="V588" s="13">
        <v>0</v>
      </c>
      <c r="W588" s="8" t="s">
        <v>2295</v>
      </c>
      <c r="X588" s="8" t="s">
        <v>51</v>
      </c>
      <c r="Y588" s="2" t="s">
        <v>2261</v>
      </c>
      <c r="Z588" s="2" t="s">
        <v>51</v>
      </c>
      <c r="AA588" s="14"/>
      <c r="AB588" s="2" t="s">
        <v>51</v>
      </c>
    </row>
    <row r="589" spans="1:28" ht="30" customHeight="1">
      <c r="A589" s="8" t="s">
        <v>1513</v>
      </c>
      <c r="B589" s="157" t="s">
        <v>1061</v>
      </c>
      <c r="C589" s="157" t="s">
        <v>362</v>
      </c>
      <c r="D589" s="163" t="s">
        <v>419</v>
      </c>
      <c r="E589" s="164">
        <v>0</v>
      </c>
      <c r="F589" s="165" t="s">
        <v>51</v>
      </c>
      <c r="G589" s="164">
        <v>0</v>
      </c>
      <c r="H589" s="165" t="s">
        <v>51</v>
      </c>
      <c r="I589" s="164">
        <v>0</v>
      </c>
      <c r="J589" s="165" t="s">
        <v>51</v>
      </c>
      <c r="K589" s="164">
        <v>0</v>
      </c>
      <c r="L589" s="165" t="s">
        <v>51</v>
      </c>
      <c r="M589" s="164">
        <v>0</v>
      </c>
      <c r="N589" s="165" t="s">
        <v>51</v>
      </c>
      <c r="O589" s="164">
        <v>0</v>
      </c>
      <c r="P589" s="164">
        <v>162000</v>
      </c>
      <c r="Q589" s="166">
        <v>0</v>
      </c>
      <c r="R589" s="166">
        <v>0</v>
      </c>
      <c r="S589" s="166">
        <v>0</v>
      </c>
      <c r="T589" s="166">
        <v>0</v>
      </c>
      <c r="U589" s="13">
        <v>0</v>
      </c>
      <c r="V589" s="13">
        <v>0</v>
      </c>
      <c r="W589" s="8" t="s">
        <v>2296</v>
      </c>
      <c r="X589" s="8" t="s">
        <v>51</v>
      </c>
      <c r="Y589" s="2" t="s">
        <v>2261</v>
      </c>
      <c r="Z589" s="2" t="s">
        <v>51</v>
      </c>
      <c r="AA589" s="14"/>
      <c r="AB589" s="2" t="s">
        <v>51</v>
      </c>
    </row>
    <row r="590" spans="1:28" ht="30" customHeight="1">
      <c r="A590" s="8" t="s">
        <v>1683</v>
      </c>
      <c r="B590" s="157" t="s">
        <v>1061</v>
      </c>
      <c r="C590" s="157" t="s">
        <v>717</v>
      </c>
      <c r="D590" s="163" t="s">
        <v>419</v>
      </c>
      <c r="E590" s="164">
        <v>0</v>
      </c>
      <c r="F590" s="165" t="s">
        <v>51</v>
      </c>
      <c r="G590" s="164">
        <v>0</v>
      </c>
      <c r="H590" s="165" t="s">
        <v>51</v>
      </c>
      <c r="I590" s="164">
        <v>0</v>
      </c>
      <c r="J590" s="165" t="s">
        <v>51</v>
      </c>
      <c r="K590" s="164">
        <v>0</v>
      </c>
      <c r="L590" s="165" t="s">
        <v>51</v>
      </c>
      <c r="M590" s="164">
        <v>0</v>
      </c>
      <c r="N590" s="165" t="s">
        <v>51</v>
      </c>
      <c r="O590" s="164">
        <v>0</v>
      </c>
      <c r="P590" s="164">
        <v>1287090</v>
      </c>
      <c r="Q590" s="166">
        <v>0</v>
      </c>
      <c r="R590" s="166">
        <v>0</v>
      </c>
      <c r="S590" s="166">
        <v>0</v>
      </c>
      <c r="T590" s="166">
        <v>0</v>
      </c>
      <c r="U590" s="13">
        <v>0</v>
      </c>
      <c r="V590" s="13">
        <v>0</v>
      </c>
      <c r="W590" s="8" t="s">
        <v>2297</v>
      </c>
      <c r="X590" s="8" t="s">
        <v>51</v>
      </c>
      <c r="Y590" s="2" t="s">
        <v>2261</v>
      </c>
      <c r="Z590" s="2" t="s">
        <v>51</v>
      </c>
      <c r="AA590" s="14"/>
      <c r="AB590" s="2" t="s">
        <v>51</v>
      </c>
    </row>
    <row r="591" spans="1:28" ht="30" customHeight="1">
      <c r="A591" s="8" t="s">
        <v>1688</v>
      </c>
      <c r="B591" s="157" t="s">
        <v>1061</v>
      </c>
      <c r="C591" s="157" t="s">
        <v>720</v>
      </c>
      <c r="D591" s="163" t="s">
        <v>419</v>
      </c>
      <c r="E591" s="164">
        <v>0</v>
      </c>
      <c r="F591" s="165" t="s">
        <v>51</v>
      </c>
      <c r="G591" s="164">
        <v>0</v>
      </c>
      <c r="H591" s="165" t="s">
        <v>51</v>
      </c>
      <c r="I591" s="164">
        <v>0</v>
      </c>
      <c r="J591" s="165" t="s">
        <v>51</v>
      </c>
      <c r="K591" s="164">
        <v>0</v>
      </c>
      <c r="L591" s="165" t="s">
        <v>51</v>
      </c>
      <c r="M591" s="164">
        <v>0</v>
      </c>
      <c r="N591" s="165" t="s">
        <v>51</v>
      </c>
      <c r="O591" s="164">
        <v>0</v>
      </c>
      <c r="P591" s="164">
        <v>1066500</v>
      </c>
      <c r="Q591" s="166">
        <v>0</v>
      </c>
      <c r="R591" s="166">
        <v>0</v>
      </c>
      <c r="S591" s="166">
        <v>0</v>
      </c>
      <c r="T591" s="166">
        <v>0</v>
      </c>
      <c r="U591" s="13">
        <v>0</v>
      </c>
      <c r="V591" s="13">
        <v>0</v>
      </c>
      <c r="W591" s="8" t="s">
        <v>2298</v>
      </c>
      <c r="X591" s="8" t="s">
        <v>51</v>
      </c>
      <c r="Y591" s="2" t="s">
        <v>2261</v>
      </c>
      <c r="Z591" s="2" t="s">
        <v>51</v>
      </c>
      <c r="AA591" s="14"/>
      <c r="AB591" s="2" t="s">
        <v>51</v>
      </c>
    </row>
    <row r="592" spans="1:28" ht="30" customHeight="1">
      <c r="A592" s="8" t="s">
        <v>1693</v>
      </c>
      <c r="B592" s="157" t="s">
        <v>1061</v>
      </c>
      <c r="C592" s="157" t="s">
        <v>723</v>
      </c>
      <c r="D592" s="163" t="s">
        <v>419</v>
      </c>
      <c r="E592" s="164">
        <v>0</v>
      </c>
      <c r="F592" s="165" t="s">
        <v>51</v>
      </c>
      <c r="G592" s="164">
        <v>0</v>
      </c>
      <c r="H592" s="165" t="s">
        <v>51</v>
      </c>
      <c r="I592" s="164">
        <v>0</v>
      </c>
      <c r="J592" s="165" t="s">
        <v>51</v>
      </c>
      <c r="K592" s="164">
        <v>0</v>
      </c>
      <c r="L592" s="165" t="s">
        <v>51</v>
      </c>
      <c r="M592" s="164">
        <v>0</v>
      </c>
      <c r="N592" s="165" t="s">
        <v>51</v>
      </c>
      <c r="O592" s="164">
        <v>0</v>
      </c>
      <c r="P592" s="164">
        <v>1031400</v>
      </c>
      <c r="Q592" s="166">
        <v>0</v>
      </c>
      <c r="R592" s="166">
        <v>0</v>
      </c>
      <c r="S592" s="166">
        <v>0</v>
      </c>
      <c r="T592" s="166">
        <v>0</v>
      </c>
      <c r="U592" s="13">
        <v>0</v>
      </c>
      <c r="V592" s="13">
        <v>0</v>
      </c>
      <c r="W592" s="8" t="s">
        <v>2299</v>
      </c>
      <c r="X592" s="8" t="s">
        <v>51</v>
      </c>
      <c r="Y592" s="2" t="s">
        <v>2261</v>
      </c>
      <c r="Z592" s="2" t="s">
        <v>51</v>
      </c>
      <c r="AA592" s="14"/>
      <c r="AB592" s="2" t="s">
        <v>51</v>
      </c>
    </row>
    <row r="593" spans="1:29" ht="30" customHeight="1">
      <c r="A593" s="8" t="s">
        <v>1698</v>
      </c>
      <c r="B593" s="157" t="s">
        <v>1061</v>
      </c>
      <c r="C593" s="157" t="s">
        <v>726</v>
      </c>
      <c r="D593" s="163" t="s">
        <v>419</v>
      </c>
      <c r="E593" s="164">
        <v>0</v>
      </c>
      <c r="F593" s="165" t="s">
        <v>51</v>
      </c>
      <c r="G593" s="164">
        <v>0</v>
      </c>
      <c r="H593" s="165" t="s">
        <v>51</v>
      </c>
      <c r="I593" s="164">
        <v>0</v>
      </c>
      <c r="J593" s="165" t="s">
        <v>51</v>
      </c>
      <c r="K593" s="164">
        <v>0</v>
      </c>
      <c r="L593" s="165" t="s">
        <v>51</v>
      </c>
      <c r="M593" s="164">
        <v>0</v>
      </c>
      <c r="N593" s="165" t="s">
        <v>51</v>
      </c>
      <c r="O593" s="164">
        <v>0</v>
      </c>
      <c r="P593" s="164">
        <v>1103220</v>
      </c>
      <c r="Q593" s="166">
        <v>0</v>
      </c>
      <c r="R593" s="166">
        <v>0</v>
      </c>
      <c r="S593" s="166">
        <v>0</v>
      </c>
      <c r="T593" s="166">
        <v>0</v>
      </c>
      <c r="U593" s="13">
        <v>0</v>
      </c>
      <c r="V593" s="13">
        <v>0</v>
      </c>
      <c r="W593" s="8" t="s">
        <v>2300</v>
      </c>
      <c r="X593" s="8" t="s">
        <v>51</v>
      </c>
      <c r="Y593" s="2" t="s">
        <v>2261</v>
      </c>
      <c r="Z593" s="2" t="s">
        <v>51</v>
      </c>
      <c r="AA593" s="14"/>
      <c r="AB593" s="2" t="s">
        <v>51</v>
      </c>
    </row>
    <row r="594" spans="1:29" ht="30" customHeight="1">
      <c r="A594" s="8" t="s">
        <v>1703</v>
      </c>
      <c r="B594" s="157" t="s">
        <v>1061</v>
      </c>
      <c r="C594" s="157" t="s">
        <v>729</v>
      </c>
      <c r="D594" s="163" t="s">
        <v>419</v>
      </c>
      <c r="E594" s="164">
        <v>0</v>
      </c>
      <c r="F594" s="165" t="s">
        <v>51</v>
      </c>
      <c r="G594" s="164">
        <v>0</v>
      </c>
      <c r="H594" s="165" t="s">
        <v>51</v>
      </c>
      <c r="I594" s="164">
        <v>0</v>
      </c>
      <c r="J594" s="165" t="s">
        <v>51</v>
      </c>
      <c r="K594" s="164">
        <v>0</v>
      </c>
      <c r="L594" s="165" t="s">
        <v>51</v>
      </c>
      <c r="M594" s="164">
        <v>0</v>
      </c>
      <c r="N594" s="165" t="s">
        <v>51</v>
      </c>
      <c r="O594" s="164">
        <v>0</v>
      </c>
      <c r="P594" s="164">
        <v>2347380</v>
      </c>
      <c r="Q594" s="166">
        <v>0</v>
      </c>
      <c r="R594" s="166">
        <v>0</v>
      </c>
      <c r="S594" s="166">
        <v>0</v>
      </c>
      <c r="T594" s="166">
        <v>0</v>
      </c>
      <c r="U594" s="13">
        <v>0</v>
      </c>
      <c r="V594" s="13">
        <v>0</v>
      </c>
      <c r="W594" s="8" t="s">
        <v>4115</v>
      </c>
      <c r="X594" s="8" t="s">
        <v>51</v>
      </c>
      <c r="Y594" s="2" t="s">
        <v>2261</v>
      </c>
      <c r="Z594" s="2" t="s">
        <v>51</v>
      </c>
      <c r="AA594" s="14"/>
      <c r="AB594" s="2" t="s">
        <v>51</v>
      </c>
    </row>
    <row r="595" spans="1:29" ht="30" customHeight="1">
      <c r="A595" s="8" t="s">
        <v>1708</v>
      </c>
      <c r="B595" s="157" t="s">
        <v>1061</v>
      </c>
      <c r="C595" s="157" t="s">
        <v>732</v>
      </c>
      <c r="D595" s="163" t="s">
        <v>419</v>
      </c>
      <c r="E595" s="164">
        <v>0</v>
      </c>
      <c r="F595" s="165" t="s">
        <v>51</v>
      </c>
      <c r="G595" s="164">
        <v>0</v>
      </c>
      <c r="H595" s="165" t="s">
        <v>51</v>
      </c>
      <c r="I595" s="164">
        <v>0</v>
      </c>
      <c r="J595" s="165" t="s">
        <v>51</v>
      </c>
      <c r="K595" s="164">
        <v>0</v>
      </c>
      <c r="L595" s="165" t="s">
        <v>51</v>
      </c>
      <c r="M595" s="164">
        <v>0</v>
      </c>
      <c r="N595" s="165" t="s">
        <v>51</v>
      </c>
      <c r="O595" s="164">
        <v>0</v>
      </c>
      <c r="P595" s="164">
        <v>972540</v>
      </c>
      <c r="Q595" s="166">
        <v>0</v>
      </c>
      <c r="R595" s="166">
        <v>0</v>
      </c>
      <c r="S595" s="166">
        <v>0</v>
      </c>
      <c r="T595" s="166">
        <v>0</v>
      </c>
      <c r="U595" s="13">
        <v>0</v>
      </c>
      <c r="V595" s="13">
        <v>0</v>
      </c>
      <c r="W595" s="8" t="s">
        <v>4116</v>
      </c>
      <c r="X595" s="8" t="s">
        <v>51</v>
      </c>
      <c r="Y595" s="2" t="s">
        <v>2261</v>
      </c>
      <c r="Z595" s="2" t="s">
        <v>51</v>
      </c>
      <c r="AA595" s="14"/>
      <c r="AB595" s="2" t="s">
        <v>51</v>
      </c>
    </row>
    <row r="596" spans="1:29" ht="30" customHeight="1">
      <c r="A596" s="8" t="s">
        <v>1713</v>
      </c>
      <c r="B596" s="157" t="s">
        <v>1061</v>
      </c>
      <c r="C596" s="157" t="s">
        <v>735</v>
      </c>
      <c r="D596" s="163" t="s">
        <v>419</v>
      </c>
      <c r="E596" s="164">
        <v>0</v>
      </c>
      <c r="F596" s="165" t="s">
        <v>51</v>
      </c>
      <c r="G596" s="164">
        <v>0</v>
      </c>
      <c r="H596" s="165" t="s">
        <v>51</v>
      </c>
      <c r="I596" s="164">
        <v>0</v>
      </c>
      <c r="J596" s="165" t="s">
        <v>51</v>
      </c>
      <c r="K596" s="164">
        <v>0</v>
      </c>
      <c r="L596" s="165" t="s">
        <v>51</v>
      </c>
      <c r="M596" s="164">
        <v>0</v>
      </c>
      <c r="N596" s="165" t="s">
        <v>51</v>
      </c>
      <c r="O596" s="164">
        <v>0</v>
      </c>
      <c r="P596" s="164">
        <v>972540</v>
      </c>
      <c r="Q596" s="166">
        <v>0</v>
      </c>
      <c r="R596" s="166">
        <v>0</v>
      </c>
      <c r="S596" s="166">
        <v>0</v>
      </c>
      <c r="T596" s="166">
        <v>0</v>
      </c>
      <c r="U596" s="13">
        <v>0</v>
      </c>
      <c r="V596" s="13">
        <v>0</v>
      </c>
      <c r="W596" s="8" t="s">
        <v>4117</v>
      </c>
      <c r="X596" s="8" t="s">
        <v>51</v>
      </c>
      <c r="Y596" s="2" t="s">
        <v>2261</v>
      </c>
      <c r="Z596" s="2" t="s">
        <v>51</v>
      </c>
      <c r="AA596" s="14"/>
      <c r="AB596" s="2" t="s">
        <v>51</v>
      </c>
    </row>
    <row r="597" spans="1:29" ht="30" customHeight="1">
      <c r="A597" s="8" t="s">
        <v>1718</v>
      </c>
      <c r="B597" s="157" t="s">
        <v>1061</v>
      </c>
      <c r="C597" s="157" t="s">
        <v>342</v>
      </c>
      <c r="D597" s="163" t="s">
        <v>419</v>
      </c>
      <c r="E597" s="164">
        <v>0</v>
      </c>
      <c r="F597" s="165" t="s">
        <v>51</v>
      </c>
      <c r="G597" s="164">
        <v>0</v>
      </c>
      <c r="H597" s="165" t="s">
        <v>51</v>
      </c>
      <c r="I597" s="164">
        <v>0</v>
      </c>
      <c r="J597" s="165" t="s">
        <v>51</v>
      </c>
      <c r="K597" s="164">
        <v>0</v>
      </c>
      <c r="L597" s="165" t="s">
        <v>51</v>
      </c>
      <c r="M597" s="164">
        <v>0</v>
      </c>
      <c r="N597" s="165" t="s">
        <v>51</v>
      </c>
      <c r="O597" s="164">
        <v>0</v>
      </c>
      <c r="P597" s="164">
        <v>180000</v>
      </c>
      <c r="Q597" s="166">
        <v>0</v>
      </c>
      <c r="R597" s="166">
        <v>0</v>
      </c>
      <c r="S597" s="166">
        <v>0</v>
      </c>
      <c r="T597" s="166">
        <v>0</v>
      </c>
      <c r="U597" s="13">
        <v>0</v>
      </c>
      <c r="V597" s="13">
        <v>0</v>
      </c>
      <c r="W597" s="8" t="s">
        <v>4118</v>
      </c>
      <c r="X597" s="8" t="s">
        <v>51</v>
      </c>
      <c r="Y597" s="2" t="s">
        <v>2261</v>
      </c>
      <c r="Z597" s="2" t="s">
        <v>51</v>
      </c>
      <c r="AA597" s="14"/>
      <c r="AB597" s="2" t="s">
        <v>51</v>
      </c>
    </row>
    <row r="598" spans="1:29" ht="30" customHeight="1">
      <c r="A598" s="8" t="s">
        <v>1493</v>
      </c>
      <c r="B598" s="157" t="s">
        <v>1061</v>
      </c>
      <c r="C598" s="157" t="s">
        <v>346</v>
      </c>
      <c r="D598" s="163" t="s">
        <v>419</v>
      </c>
      <c r="E598" s="164">
        <v>0</v>
      </c>
      <c r="F598" s="165" t="s">
        <v>51</v>
      </c>
      <c r="G598" s="164">
        <v>0</v>
      </c>
      <c r="H598" s="165" t="s">
        <v>51</v>
      </c>
      <c r="I598" s="164">
        <v>0</v>
      </c>
      <c r="J598" s="165" t="s">
        <v>51</v>
      </c>
      <c r="K598" s="164">
        <v>0</v>
      </c>
      <c r="L598" s="165" t="s">
        <v>51</v>
      </c>
      <c r="M598" s="164">
        <v>0</v>
      </c>
      <c r="N598" s="165" t="s">
        <v>51</v>
      </c>
      <c r="O598" s="164">
        <v>0</v>
      </c>
      <c r="P598" s="164">
        <v>162000</v>
      </c>
      <c r="Q598" s="166">
        <v>0</v>
      </c>
      <c r="R598" s="166">
        <v>0</v>
      </c>
      <c r="S598" s="166">
        <v>0</v>
      </c>
      <c r="T598" s="166">
        <v>0</v>
      </c>
      <c r="U598" s="13">
        <v>0</v>
      </c>
      <c r="V598" s="13">
        <v>0</v>
      </c>
      <c r="W598" s="8" t="s">
        <v>4119</v>
      </c>
      <c r="X598" s="8" t="s">
        <v>51</v>
      </c>
      <c r="Y598" s="2" t="s">
        <v>2261</v>
      </c>
      <c r="Z598" s="2" t="s">
        <v>51</v>
      </c>
      <c r="AA598" s="14"/>
      <c r="AB598" s="2" t="s">
        <v>51</v>
      </c>
    </row>
    <row r="599" spans="1:29" ht="30" customHeight="1">
      <c r="A599" s="8" t="s">
        <v>1723</v>
      </c>
      <c r="B599" s="157" t="s">
        <v>1061</v>
      </c>
      <c r="C599" s="157" t="s">
        <v>353</v>
      </c>
      <c r="D599" s="163" t="s">
        <v>419</v>
      </c>
      <c r="E599" s="164">
        <v>0</v>
      </c>
      <c r="F599" s="165" t="s">
        <v>51</v>
      </c>
      <c r="G599" s="164">
        <v>0</v>
      </c>
      <c r="H599" s="165" t="s">
        <v>51</v>
      </c>
      <c r="I599" s="164">
        <v>0</v>
      </c>
      <c r="J599" s="165" t="s">
        <v>51</v>
      </c>
      <c r="K599" s="164">
        <v>0</v>
      </c>
      <c r="L599" s="165" t="s">
        <v>51</v>
      </c>
      <c r="M599" s="164">
        <v>0</v>
      </c>
      <c r="N599" s="165" t="s">
        <v>51</v>
      </c>
      <c r="O599" s="164">
        <v>0</v>
      </c>
      <c r="P599" s="164">
        <v>122400</v>
      </c>
      <c r="Q599" s="166">
        <v>0</v>
      </c>
      <c r="R599" s="166">
        <v>0</v>
      </c>
      <c r="S599" s="166">
        <v>0</v>
      </c>
      <c r="T599" s="166">
        <v>0</v>
      </c>
      <c r="U599" s="13">
        <v>0</v>
      </c>
      <c r="V599" s="13">
        <v>0</v>
      </c>
      <c r="W599" s="8" t="s">
        <v>6558</v>
      </c>
      <c r="X599" s="8" t="s">
        <v>51</v>
      </c>
      <c r="Y599" s="2" t="s">
        <v>2261</v>
      </c>
      <c r="Z599" s="2" t="s">
        <v>51</v>
      </c>
      <c r="AA599" s="14"/>
      <c r="AB599" s="2" t="s">
        <v>51</v>
      </c>
    </row>
    <row r="600" spans="1:29" ht="30" customHeight="1">
      <c r="A600" s="8" t="s">
        <v>1723</v>
      </c>
      <c r="B600" s="157" t="s">
        <v>1061</v>
      </c>
      <c r="C600" s="157" t="s">
        <v>4735</v>
      </c>
      <c r="D600" s="163" t="s">
        <v>419</v>
      </c>
      <c r="E600" s="164">
        <v>0</v>
      </c>
      <c r="F600" s="165" t="s">
        <v>51</v>
      </c>
      <c r="G600" s="164">
        <v>0</v>
      </c>
      <c r="H600" s="165" t="s">
        <v>51</v>
      </c>
      <c r="I600" s="164">
        <v>0</v>
      </c>
      <c r="J600" s="165" t="s">
        <v>51</v>
      </c>
      <c r="K600" s="164">
        <v>0</v>
      </c>
      <c r="L600" s="165" t="s">
        <v>51</v>
      </c>
      <c r="M600" s="164">
        <v>0</v>
      </c>
      <c r="N600" s="165" t="s">
        <v>51</v>
      </c>
      <c r="O600" s="164">
        <v>0</v>
      </c>
      <c r="P600" s="164">
        <v>122400</v>
      </c>
      <c r="Q600" s="166">
        <v>0</v>
      </c>
      <c r="R600" s="166">
        <v>0</v>
      </c>
      <c r="S600" s="166">
        <v>0</v>
      </c>
      <c r="T600" s="166">
        <v>0</v>
      </c>
      <c r="U600" s="13">
        <v>0</v>
      </c>
      <c r="V600" s="13">
        <v>0</v>
      </c>
      <c r="W600" s="8" t="s">
        <v>6559</v>
      </c>
      <c r="X600" s="8" t="s">
        <v>51</v>
      </c>
      <c r="Y600" s="2" t="s">
        <v>2261</v>
      </c>
      <c r="Z600" s="2" t="s">
        <v>51</v>
      </c>
      <c r="AA600" s="14"/>
      <c r="AB600" s="2" t="s">
        <v>51</v>
      </c>
    </row>
    <row r="601" spans="1:29" ht="30" customHeight="1">
      <c r="A601" s="8"/>
      <c r="B601" s="157" t="s">
        <v>1061</v>
      </c>
      <c r="C601" s="157" t="s">
        <v>4734</v>
      </c>
      <c r="D601" s="163" t="s">
        <v>419</v>
      </c>
      <c r="E601" s="164"/>
      <c r="F601" s="165"/>
      <c r="G601" s="164"/>
      <c r="H601" s="165"/>
      <c r="I601" s="164"/>
      <c r="J601" s="165"/>
      <c r="K601" s="164"/>
      <c r="L601" s="165"/>
      <c r="M601" s="164"/>
      <c r="N601" s="165"/>
      <c r="O601" s="164"/>
      <c r="P601" s="164">
        <v>1103220</v>
      </c>
      <c r="Q601" s="166"/>
      <c r="R601" s="166"/>
      <c r="S601" s="166"/>
      <c r="T601" s="166"/>
      <c r="U601" s="13"/>
      <c r="V601" s="13"/>
      <c r="W601" s="8" t="s">
        <v>6560</v>
      </c>
      <c r="X601" s="8"/>
      <c r="Y601" s="2"/>
      <c r="Z601" s="2"/>
      <c r="AA601" s="14"/>
      <c r="AB601" s="2"/>
    </row>
    <row r="602" spans="1:29" ht="30" customHeight="1">
      <c r="A602" s="8" t="s">
        <v>1878</v>
      </c>
      <c r="B602" s="157" t="s">
        <v>1876</v>
      </c>
      <c r="C602" s="157" t="s">
        <v>1877</v>
      </c>
      <c r="D602" s="163" t="s">
        <v>419</v>
      </c>
      <c r="E602" s="164">
        <v>0</v>
      </c>
      <c r="F602" s="165" t="s">
        <v>51</v>
      </c>
      <c r="G602" s="164">
        <v>0</v>
      </c>
      <c r="H602" s="165" t="s">
        <v>51</v>
      </c>
      <c r="I602" s="164">
        <v>0</v>
      </c>
      <c r="J602" s="165" t="s">
        <v>51</v>
      </c>
      <c r="K602" s="164">
        <v>0</v>
      </c>
      <c r="L602" s="165" t="s">
        <v>51</v>
      </c>
      <c r="M602" s="164">
        <v>0</v>
      </c>
      <c r="N602" s="165" t="s">
        <v>51</v>
      </c>
      <c r="O602" s="164">
        <v>0</v>
      </c>
      <c r="P602" s="164">
        <v>176693</v>
      </c>
      <c r="Q602" s="166">
        <v>0</v>
      </c>
      <c r="R602" s="166">
        <v>0</v>
      </c>
      <c r="S602" s="166">
        <v>0</v>
      </c>
      <c r="T602" s="166">
        <v>0</v>
      </c>
      <c r="U602" s="13">
        <v>0</v>
      </c>
      <c r="V602" s="13">
        <v>0</v>
      </c>
      <c r="W602" s="8" t="s">
        <v>6561</v>
      </c>
      <c r="X602" s="8" t="s">
        <v>51</v>
      </c>
      <c r="Y602" s="2" t="s">
        <v>2261</v>
      </c>
      <c r="Z602" s="2" t="s">
        <v>51</v>
      </c>
      <c r="AA602" s="14"/>
      <c r="AB602" s="2" t="s">
        <v>51</v>
      </c>
    </row>
    <row r="603" spans="1:29" ht="30" customHeight="1">
      <c r="B603" s="1178" t="s">
        <v>6695</v>
      </c>
      <c r="C603" s="1178" t="s">
        <v>6696</v>
      </c>
      <c r="D603" s="1179" t="s">
        <v>66</v>
      </c>
      <c r="E603" s="1184">
        <v>0</v>
      </c>
      <c r="F603" s="1178" t="s">
        <v>51</v>
      </c>
      <c r="G603" s="1184">
        <v>0</v>
      </c>
      <c r="H603" s="1178" t="s">
        <v>51</v>
      </c>
      <c r="I603" s="1184">
        <v>0</v>
      </c>
      <c r="J603" s="1178" t="s">
        <v>51</v>
      </c>
      <c r="K603" s="1184">
        <v>0</v>
      </c>
      <c r="L603" s="1178" t="s">
        <v>51</v>
      </c>
      <c r="M603" s="1184">
        <v>0</v>
      </c>
      <c r="N603" s="1178" t="s">
        <v>51</v>
      </c>
      <c r="O603" s="1184">
        <v>0</v>
      </c>
      <c r="P603" s="1184">
        <v>0</v>
      </c>
      <c r="Q603" s="1184">
        <v>0</v>
      </c>
      <c r="R603" s="1184">
        <v>0</v>
      </c>
      <c r="S603" s="1184">
        <v>0</v>
      </c>
      <c r="T603" s="1184">
        <v>0</v>
      </c>
      <c r="U603" s="1184">
        <v>2315</v>
      </c>
      <c r="V603" s="1184">
        <f t="shared" ref="V603" si="34">SMALL(Q603:U603,COUNTIF(Q603:U603,0)+1)</f>
        <v>2315</v>
      </c>
      <c r="W603" s="1178" t="s">
        <v>6702</v>
      </c>
      <c r="X603" s="1178" t="s">
        <v>1872</v>
      </c>
      <c r="AC603" t="s">
        <v>6679</v>
      </c>
    </row>
    <row r="604" spans="1:29" ht="30" customHeight="1">
      <c r="B604" s="1178" t="s">
        <v>6697</v>
      </c>
      <c r="C604" s="1178" t="s">
        <v>6698</v>
      </c>
      <c r="D604" s="1179" t="s">
        <v>1230</v>
      </c>
      <c r="E604" s="1184">
        <v>1317.3</v>
      </c>
      <c r="F604" s="1178" t="s">
        <v>51</v>
      </c>
      <c r="G604" s="1184"/>
      <c r="H604" s="1178"/>
      <c r="I604" s="1184"/>
      <c r="J604" s="1178"/>
      <c r="K604" s="1184">
        <v>0</v>
      </c>
      <c r="L604" s="1178" t="s">
        <v>51</v>
      </c>
      <c r="M604" s="1184">
        <v>0</v>
      </c>
      <c r="N604" s="1178" t="s">
        <v>51</v>
      </c>
      <c r="O604" s="1184">
        <f t="shared" ref="O604" si="35">SMALL(E604:M604,COUNTIF(E604:M604,0)+1)</f>
        <v>1317.3</v>
      </c>
      <c r="P604" s="1184">
        <v>0</v>
      </c>
      <c r="Q604" s="1184">
        <v>0</v>
      </c>
      <c r="R604" s="1184">
        <v>0</v>
      </c>
      <c r="S604" s="1184">
        <v>0</v>
      </c>
      <c r="T604" s="1184">
        <v>0</v>
      </c>
      <c r="U604" s="1184">
        <v>0</v>
      </c>
      <c r="V604" s="1184">
        <v>0</v>
      </c>
      <c r="W604" s="1178" t="s">
        <v>6703</v>
      </c>
      <c r="X604" s="1178" t="s">
        <v>51</v>
      </c>
      <c r="AC604" t="s">
        <v>6679</v>
      </c>
    </row>
    <row r="605" spans="1:29" ht="30" customHeight="1">
      <c r="B605" s="1178" t="s">
        <v>6700</v>
      </c>
      <c r="C605" s="1178" t="s">
        <v>6701</v>
      </c>
      <c r="D605" s="1179" t="s">
        <v>140</v>
      </c>
      <c r="E605" s="1184">
        <v>0</v>
      </c>
      <c r="F605" s="1178" t="s">
        <v>51</v>
      </c>
      <c r="G605" s="1184">
        <v>0</v>
      </c>
      <c r="H605" s="1178" t="s">
        <v>51</v>
      </c>
      <c r="I605" s="1184">
        <v>0</v>
      </c>
      <c r="J605" s="1178" t="s">
        <v>51</v>
      </c>
      <c r="K605" s="1184">
        <v>0</v>
      </c>
      <c r="L605" s="1178" t="s">
        <v>51</v>
      </c>
      <c r="M605" s="1184">
        <v>0</v>
      </c>
      <c r="N605" s="1178" t="s">
        <v>51</v>
      </c>
      <c r="O605" s="1184">
        <v>0</v>
      </c>
      <c r="P605" s="1184">
        <v>0</v>
      </c>
      <c r="Q605" s="1184">
        <v>0</v>
      </c>
      <c r="R605" s="1184">
        <v>0</v>
      </c>
      <c r="S605" s="1184">
        <v>0</v>
      </c>
      <c r="T605" s="1184">
        <v>0</v>
      </c>
      <c r="U605" s="1184">
        <v>25</v>
      </c>
      <c r="V605" s="1184">
        <f t="shared" ref="V605" si="36">SMALL(Q605:U605,COUNTIF(Q605:U605,0)+1)</f>
        <v>25</v>
      </c>
      <c r="W605" s="1178" t="s">
        <v>6704</v>
      </c>
      <c r="X605" s="1178" t="s">
        <v>1872</v>
      </c>
      <c r="AC605" t="s">
        <v>6679</v>
      </c>
    </row>
    <row r="606" spans="1:29" ht="30" customHeight="1">
      <c r="B606" s="1178" t="s">
        <v>6753</v>
      </c>
      <c r="C606" s="1178" t="s">
        <v>6754</v>
      </c>
      <c r="D606" s="1179" t="s">
        <v>66</v>
      </c>
      <c r="E606" s="1184">
        <v>0</v>
      </c>
      <c r="F606" s="1178" t="s">
        <v>51</v>
      </c>
      <c r="G606" s="1184">
        <v>0</v>
      </c>
      <c r="H606" s="1178" t="s">
        <v>51</v>
      </c>
      <c r="I606" s="1184">
        <v>0</v>
      </c>
      <c r="J606" s="1178" t="s">
        <v>51</v>
      </c>
      <c r="K606" s="1184">
        <v>0</v>
      </c>
      <c r="L606" s="1178" t="s">
        <v>51</v>
      </c>
      <c r="M606" s="1184">
        <v>0</v>
      </c>
      <c r="N606" s="1178" t="s">
        <v>51</v>
      </c>
      <c r="O606" s="1184">
        <v>0</v>
      </c>
      <c r="P606" s="1184">
        <v>0</v>
      </c>
      <c r="Q606" s="1184">
        <v>0</v>
      </c>
      <c r="R606" s="1184">
        <v>0</v>
      </c>
      <c r="S606" s="1184">
        <v>0</v>
      </c>
      <c r="T606" s="1184">
        <v>0</v>
      </c>
      <c r="U606" s="1184">
        <v>1159</v>
      </c>
      <c r="V606" s="1184">
        <f>SMALL(Q606:U606,COUNTIF(Q606:U606,0)+1)</f>
        <v>1159</v>
      </c>
      <c r="W606" s="1178" t="s">
        <v>1921</v>
      </c>
      <c r="X606" s="1178" t="s">
        <v>1872</v>
      </c>
      <c r="AC606" t="s">
        <v>6679</v>
      </c>
    </row>
    <row r="607" spans="1:29" ht="30" customHeight="1">
      <c r="B607" s="1178" t="s">
        <v>6758</v>
      </c>
      <c r="C607" s="1178" t="s">
        <v>6761</v>
      </c>
      <c r="D607" s="1179" t="s">
        <v>6759</v>
      </c>
      <c r="E607" s="1180"/>
      <c r="F607" s="1181"/>
      <c r="G607" s="1180"/>
      <c r="H607" s="1181"/>
      <c r="I607" s="1180"/>
      <c r="J607" s="1181"/>
      <c r="K607" s="1180"/>
      <c r="L607" s="1181"/>
      <c r="M607" s="1180"/>
      <c r="N607" s="1181"/>
      <c r="O607" s="1180"/>
      <c r="P607" s="1180">
        <v>150052</v>
      </c>
      <c r="Q607" s="1184"/>
      <c r="R607" s="1184"/>
      <c r="S607" s="1184"/>
      <c r="T607" s="1184"/>
      <c r="U607" s="1184"/>
      <c r="V607" s="1184"/>
      <c r="W607" s="1178" t="s">
        <v>6760</v>
      </c>
      <c r="X607" s="1178"/>
      <c r="AC607" t="s">
        <v>6679</v>
      </c>
    </row>
    <row r="608" spans="1:29" ht="30" customHeight="1"/>
    <row r="609" ht="30" customHeight="1"/>
    <row r="610" ht="30" customHeight="1"/>
    <row r="611" ht="30" customHeight="1"/>
    <row r="612" ht="30" customHeight="1"/>
    <row r="613" ht="30" customHeight="1"/>
    <row r="614" ht="30" customHeight="1"/>
    <row r="615" ht="30" customHeight="1"/>
    <row r="616" ht="30" customHeight="1"/>
    <row r="617" ht="30" customHeight="1"/>
    <row r="618" ht="30" customHeight="1"/>
    <row r="619" ht="30" customHeight="1"/>
    <row r="620" ht="30" customHeight="1"/>
    <row r="621" ht="30" customHeight="1"/>
  </sheetData>
  <sortState ref="B143:O152">
    <sortCondition ref="C143:C152"/>
  </sortState>
  <mergeCells count="14">
    <mergeCell ref="Y3:Y4"/>
    <mergeCell ref="Z3:Z4"/>
    <mergeCell ref="AA3:AA4"/>
    <mergeCell ref="AB3:AB4"/>
    <mergeCell ref="A1:X1"/>
    <mergeCell ref="A3:A4"/>
    <mergeCell ref="B3:B4"/>
    <mergeCell ref="C3:C4"/>
    <mergeCell ref="D3:D4"/>
    <mergeCell ref="E3:O3"/>
    <mergeCell ref="P3:P4"/>
    <mergeCell ref="Q3:V3"/>
    <mergeCell ref="W3:W4"/>
    <mergeCell ref="X3:X4"/>
  </mergeCells>
  <phoneticPr fontId="1" type="noConversion"/>
  <pageMargins left="0.39370078740157483" right="0" top="0.39370078740157483" bottom="0.39370078740157483" header="0" footer="0"/>
  <pageSetup paperSize="9" scale="48" fitToHeight="0" orientation="landscape" horizontalDpi="4294967293" verticalDpi="4294967293" r:id="rId1"/>
  <headerFooter>
    <oddFooter>&amp;C&amp;P&amp;R단가대비표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25</vt:i4>
      </vt:variant>
      <vt:variant>
        <vt:lpstr>이름이 지정된 범위</vt:lpstr>
      </vt:variant>
      <vt:variant>
        <vt:i4>37</vt:i4>
      </vt:variant>
    </vt:vector>
  </HeadingPairs>
  <TitlesOfParts>
    <vt:vector size="62" baseType="lpstr">
      <vt:lpstr>내역서 표지</vt:lpstr>
      <vt:lpstr>조정내역</vt:lpstr>
      <vt:lpstr>원가계산(계약심사)</vt:lpstr>
      <vt:lpstr>순공사비집계표</vt:lpstr>
      <vt:lpstr>공종별집계표</vt:lpstr>
      <vt:lpstr>공종별내역서</vt:lpstr>
      <vt:lpstr>일위대가목록</vt:lpstr>
      <vt:lpstr>일위대가</vt:lpstr>
      <vt:lpstr>단가대비표</vt:lpstr>
      <vt:lpstr>1층전시실산출</vt:lpstr>
      <vt:lpstr>2층전시실산출 </vt:lpstr>
      <vt:lpstr> 공사설정 </vt:lpstr>
      <vt:lpstr>원가(진열장)</vt:lpstr>
      <vt:lpstr>진열장내역서</vt:lpstr>
      <vt:lpstr>진열장산출</vt:lpstr>
      <vt:lpstr>일위목록(진열장)</vt:lpstr>
      <vt:lpstr>일위대가 (진열장)</vt:lpstr>
      <vt:lpstr>단가대비표(진열장)</vt:lpstr>
      <vt:lpstr>노임(진열장)</vt:lpstr>
      <vt:lpstr>일위대가목록(기계)</vt:lpstr>
      <vt:lpstr>일위대가(기계)</vt:lpstr>
      <vt:lpstr>단가대비표(기계</vt:lpstr>
      <vt:lpstr>기계설비공사 산출</vt:lpstr>
      <vt:lpstr>기계설비 목록별산출</vt:lpstr>
      <vt:lpstr>대비표</vt:lpstr>
      <vt:lpstr>'1층전시실산출'!Print_Area</vt:lpstr>
      <vt:lpstr>'2층전시실산출 '!Print_Area</vt:lpstr>
      <vt:lpstr>공종별내역서!Print_Area</vt:lpstr>
      <vt:lpstr>공종별집계표!Print_Area</vt:lpstr>
      <vt:lpstr>'기계설비공사 산출'!Print_Area</vt:lpstr>
      <vt:lpstr>'내역서 표지'!Print_Area</vt:lpstr>
      <vt:lpstr>'노임(진열장)'!Print_Area</vt:lpstr>
      <vt:lpstr>단가대비표!Print_Area</vt:lpstr>
      <vt:lpstr>'단가대비표(기계'!Print_Area</vt:lpstr>
      <vt:lpstr>'단가대비표(진열장)'!Print_Area</vt:lpstr>
      <vt:lpstr>대비표!Print_Area</vt:lpstr>
      <vt:lpstr>순공사비집계표!Print_Area</vt:lpstr>
      <vt:lpstr>'원가(진열장)'!Print_Area</vt:lpstr>
      <vt:lpstr>'원가계산(계약심사)'!Print_Area</vt:lpstr>
      <vt:lpstr>일위대가!Print_Area</vt:lpstr>
      <vt:lpstr>'일위대가 (진열장)'!Print_Area</vt:lpstr>
      <vt:lpstr>'일위대가(기계)'!Print_Area</vt:lpstr>
      <vt:lpstr>일위대가목록!Print_Area</vt:lpstr>
      <vt:lpstr>'일위대가목록(기계)'!Print_Area</vt:lpstr>
      <vt:lpstr>'일위목록(진열장)'!Print_Area</vt:lpstr>
      <vt:lpstr>진열장내역서!Print_Area</vt:lpstr>
      <vt:lpstr>진열장산출!Print_Area</vt:lpstr>
      <vt:lpstr>'1층전시실산출'!Print_Titles</vt:lpstr>
      <vt:lpstr>'2층전시실산출 '!Print_Titles</vt:lpstr>
      <vt:lpstr>공종별내역서!Print_Titles</vt:lpstr>
      <vt:lpstr>공종별집계표!Print_Titles</vt:lpstr>
      <vt:lpstr>'노임(진열장)'!Print_Titles</vt:lpstr>
      <vt:lpstr>단가대비표!Print_Titles</vt:lpstr>
      <vt:lpstr>'단가대비표(기계'!Print_Titles</vt:lpstr>
      <vt:lpstr>'단가대비표(진열장)'!Print_Titles</vt:lpstr>
      <vt:lpstr>일위대가!Print_Titles</vt:lpstr>
      <vt:lpstr>'일위대가(기계)'!Print_Titles</vt:lpstr>
      <vt:lpstr>일위대가목록!Print_Titles</vt:lpstr>
      <vt:lpstr>'일위대가목록(기계)'!Print_Titles</vt:lpstr>
      <vt:lpstr>'일위목록(진열장)'!Print_Titles</vt:lpstr>
      <vt:lpstr>진열장내역서!Print_Titles</vt:lpstr>
      <vt:lpstr>진열장산출!Print_Titles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T1</cp:lastModifiedBy>
  <cp:lastPrinted>2019-11-04T03:37:38Z</cp:lastPrinted>
  <dcterms:created xsi:type="dcterms:W3CDTF">2019-10-10T08:34:02Z</dcterms:created>
  <dcterms:modified xsi:type="dcterms:W3CDTF">2019-11-15T03:58:42Z</dcterms:modified>
</cp:coreProperties>
</file>